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drawings/drawing2.xml" ContentType="application/vnd.openxmlformats-officedocument.drawing+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drawings/drawing3.xml" ContentType="application/vnd.openxmlformats-officedocument.drawing+xml"/>
  <Override PartName="/xl/comments1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1\OrigApps\9Pct\Cores\4GORA\Ready2Post\"/>
    </mc:Choice>
  </mc:AlternateContent>
  <xr:revisionPtr revIDLastSave="0" documentId="8_{2C6BFEDE-A6FE-4E25-83EF-062AF40B7364}" xr6:coauthVersionLast="45" xr6:coauthVersionMax="45" xr10:uidLastSave="{00000000-0000-0000-0000-000000000000}"/>
  <workbookProtection workbookAlgorithmName="SHA-512" workbookHashValue="sVE7Mqe/Ceozh68gYhgNH80sNxmq7mFC+QyOh2rxkBSBKOdw2NxZGHCJylLDo9cEqgEXjSme/smLvqVrzc/ysw==" workbookSaltValue="Qprc4mLrsasOZcp1QYhbcw==" workbookSpinCount="100000" lockStructure="1"/>
  <bookViews>
    <workbookView xWindow="2745" yWindow="5115" windowWidth="26040" windowHeight="8370"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Preview term" sheetId="89" state="hidden" r:id="rId20"/>
    <sheet name="Closing term sheet" sheetId="90" state="hidden" r:id="rId21"/>
    <sheet name="Part X - HOME NHTF Unit Calcs" sheetId="96" r:id="rId22"/>
    <sheet name="ProrationMethodCostAllocatnDCA" sheetId="93" state="hidden" r:id="rId23"/>
    <sheet name="Closing ExhA" sheetId="91" state="hidden" r:id="rId24"/>
    <sheet name="Closing ExhA New" sheetId="95" state="hidden" r:id="rId25"/>
    <sheet name="IDIS Setup" sheetId="92" state="hidden" r:id="rId26"/>
    <sheet name="DCA_SB_Only" sheetId="97" state="hidden" r:id="rId27"/>
    <sheet name="Part XI - Applicant Cert Ltr" sheetId="80" r:id="rId28"/>
    <sheet name="DCA Underwriting Assumptions" sheetId="81" state="hidden" r:id="rId29"/>
  </sheets>
  <definedNames>
    <definedName name="_xlnm.Print_Area" localSheetId="24">'Closing ExhA New'!$A$1:$M$69</definedName>
    <definedName name="_xlnm.Print_Area" localSheetId="20">'Closing term sheet'!$A$1:$J$210</definedName>
    <definedName name="_xlnm.Print_Area" localSheetId="16">'D&amp;E Sensitivity Analysis'!$A$2:$K$82</definedName>
    <definedName name="_xlnm.Print_Area" localSheetId="28">'DCA Underwriting Assumptions'!$A$1:$R$333</definedName>
    <definedName name="_xlnm.Print_Area" localSheetId="13">'Executive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3">'Part III-Sources of Funds'!$A$2:$Q$66</definedName>
    <definedName name="_xlnm.Print_Area" localSheetId="1">'Part I-Project Information'!$A$2:$P$218</definedName>
    <definedName name="_xlnm.Print_Area" localSheetId="6">'Part IV-A-Uses of Funds'!$A$2:$T$201</definedName>
    <definedName name="_xlnm.Print_Area" localSheetId="7">'Part IV-B-Other Items'!$A$1:$H$81</definedName>
    <definedName name="_xlnm.Print_Area" localSheetId="12">'Part IX Scoring Criteria'!$A$1:$P$404</definedName>
    <definedName name="_xlnm.Print_Area" localSheetId="11">'Part VIII-Threshold Criteria'!$A$1:$Q$475</definedName>
    <definedName name="_xlnm.Print_Area" localSheetId="10">'Part VII-Pro Forma'!$A$2:$K$140</definedName>
    <definedName name="_xlnm.Print_Area" localSheetId="9">'Part VI-Revenues &amp; Expenses'!$A$2:$Q$253</definedName>
    <definedName name="_xlnm.Print_Area" localSheetId="8">'Part V-Utility Allowances'!$A$1:$M$46</definedName>
    <definedName name="_xlnm.Print_Area" localSheetId="21">'Part X - HOME NHTF Unit Calcs'!$A$1:$K$70</definedName>
    <definedName name="_xlnm.Print_Area" localSheetId="27">'Part XI - Applicant Cert Ltr'!$A$1:$M$41</definedName>
    <definedName name="_xlnm.Print_Area" localSheetId="18">'Payments-Ex B'!$A$1:$K$44</definedName>
    <definedName name="_xlnm.Print_Area" localSheetId="19">'Preview term'!$A$1:$H$79</definedName>
    <definedName name="_xlnm.Print_Area" localSheetId="0">'Project Narrative'!$A$1:$A$23</definedName>
    <definedName name="_xlnm.Print_Area" localSheetId="22">ProrationMethodCostAllocatnDCA!$A$1:$K$70</definedName>
    <definedName name="_xlnm.Print_Area" localSheetId="15">'Sensitivity Analysis'!$A$1:$L$76</definedName>
    <definedName name="_xlnm.Print_Area" localSheetId="14">'Subsidy Layering Memo'!$A$2:$J$122</definedName>
    <definedName name="_xlnm.Print_Titles" localSheetId="24">'Closing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3">'Part III-Sources of Funds'!$2:$3</definedName>
    <definedName name="_xlnm.Print_Titles" localSheetId="1">'Part I-Project Information'!$2:$3</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Forma'!$2:$11</definedName>
    <definedName name="_xlnm.Print_Titles" localSheetId="9">'Part VI-Revenues &amp; Expenses'!$2:$3</definedName>
    <definedName name="_xlnm.Print_Titles" localSheetId="21">'Part X - HOME NHTF Unit Calcs'!$1:$6</definedName>
    <definedName name="_xlnm.Print_Titles" localSheetId="22">ProrationMethodCostAllocatnDCA!$1:$6</definedName>
    <definedName name="rf"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50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F56" i="72" l="1"/>
  <c r="AD56" i="72"/>
  <c r="AA56" i="72"/>
  <c r="Y56" i="72"/>
  <c r="AG55" i="72"/>
  <c r="AE55" i="72"/>
  <c r="AB55" i="72"/>
  <c r="Z55" i="72"/>
  <c r="AF54" i="72"/>
  <c r="AA54" i="72"/>
  <c r="AE53" i="72"/>
  <c r="Z53" i="72"/>
  <c r="AG52" i="72"/>
  <c r="AF52" i="72"/>
  <c r="AE52" i="72"/>
  <c r="AB52" i="72"/>
  <c r="AA52" i="72"/>
  <c r="Z52" i="72"/>
  <c r="AE51" i="72"/>
  <c r="AC51" i="72"/>
  <c r="Z51" i="72"/>
  <c r="X51" i="72"/>
  <c r="AG50" i="72"/>
  <c r="AF50" i="72"/>
  <c r="AE50" i="72"/>
  <c r="AD50" i="72"/>
  <c r="AC50" i="72"/>
  <c r="AB50" i="72"/>
  <c r="AA50" i="72"/>
  <c r="Z50" i="72"/>
  <c r="Y50" i="72"/>
  <c r="X50" i="72"/>
  <c r="AC49" i="72"/>
  <c r="X49" i="72"/>
  <c r="AG48" i="72"/>
  <c r="AF48" i="72"/>
  <c r="AE48" i="72"/>
  <c r="AD48" i="72"/>
  <c r="AC48" i="72"/>
  <c r="AB48" i="72"/>
  <c r="AA48" i="72"/>
  <c r="Z48" i="72"/>
  <c r="Y48" i="72"/>
  <c r="X48" i="72"/>
  <c r="AG47" i="72"/>
  <c r="AE47" i="72"/>
  <c r="AE58" i="72" s="1"/>
  <c r="AC47" i="72"/>
  <c r="AB47" i="72"/>
  <c r="Z47" i="72"/>
  <c r="X47" i="72"/>
  <c r="AE46" i="72"/>
  <c r="AC46" i="72"/>
  <c r="AG45" i="72"/>
  <c r="AF45" i="72"/>
  <c r="AE45" i="72"/>
  <c r="AD45" i="72"/>
  <c r="AC45" i="72"/>
  <c r="AB45" i="72"/>
  <c r="AA45" i="72"/>
  <c r="Z45" i="72"/>
  <c r="Y45" i="72"/>
  <c r="X45" i="72"/>
  <c r="AC44" i="72"/>
  <c r="X44" i="72"/>
  <c r="AC43" i="72"/>
  <c r="X43" i="72"/>
  <c r="AD42" i="72"/>
  <c r="AC42" i="72"/>
  <c r="Y42" i="72"/>
  <c r="X42" i="72"/>
  <c r="AC41" i="72"/>
  <c r="X41" i="72"/>
  <c r="AD40" i="72"/>
  <c r="AC40" i="72"/>
  <c r="Y40" i="72"/>
  <c r="X40" i="72"/>
  <c r="AC39" i="72"/>
  <c r="AD38" i="72"/>
  <c r="AC38" i="72"/>
  <c r="Y38" i="72"/>
  <c r="X38" i="72"/>
  <c r="AD37" i="72"/>
  <c r="AC37" i="72"/>
  <c r="Y37" i="72"/>
  <c r="X37" i="72"/>
  <c r="AD36" i="72"/>
  <c r="AC36" i="72"/>
  <c r="Y36" i="72"/>
  <c r="X36" i="72"/>
  <c r="AD35" i="72"/>
  <c r="AD58" i="72" s="1"/>
  <c r="AC35" i="72"/>
  <c r="Y35" i="72"/>
  <c r="X35" i="72"/>
  <c r="AF34" i="72"/>
  <c r="AF58" i="72" s="1"/>
  <c r="AE34" i="72"/>
  <c r="AD34" i="72"/>
  <c r="AC34" i="72"/>
  <c r="AA34" i="72"/>
  <c r="AA58" i="72" s="1"/>
  <c r="Z34" i="72"/>
  <c r="Y34" i="72"/>
  <c r="Y58" i="72" s="1"/>
  <c r="X34" i="72"/>
  <c r="AG33" i="72"/>
  <c r="AG58" i="72" s="1"/>
  <c r="AE33" i="72"/>
  <c r="AC33" i="72"/>
  <c r="AC58" i="72" s="1"/>
  <c r="AB33" i="72"/>
  <c r="AB58" i="72" s="1"/>
  <c r="Z33" i="72"/>
  <c r="Z58" i="72" s="1"/>
  <c r="X33" i="72"/>
  <c r="X58" i="72" s="1"/>
  <c r="AF1775" i="97"/>
  <c r="AD1775" i="97"/>
  <c r="AA1775" i="97"/>
  <c r="Y1775" i="97"/>
  <c r="AG1774" i="97"/>
  <c r="AE1774" i="97"/>
  <c r="AB1774" i="97"/>
  <c r="Z1774" i="97"/>
  <c r="AF1773" i="97"/>
  <c r="AA1773" i="97"/>
  <c r="AE1772" i="97"/>
  <c r="Z1772" i="97"/>
  <c r="AG1771" i="97"/>
  <c r="AF1771" i="97"/>
  <c r="AE1771" i="97"/>
  <c r="AB1771" i="97"/>
  <c r="AA1771" i="97"/>
  <c r="Z1771" i="97"/>
  <c r="AE1770" i="97"/>
  <c r="AC1770" i="97"/>
  <c r="Z1770" i="97"/>
  <c r="X1770" i="97"/>
  <c r="AG1769" i="97"/>
  <c r="AF1769" i="97"/>
  <c r="AE1769" i="97"/>
  <c r="AD1769" i="97"/>
  <c r="AC1769" i="97"/>
  <c r="AB1769" i="97"/>
  <c r="AA1769" i="97"/>
  <c r="Z1769" i="97"/>
  <c r="Y1769" i="97"/>
  <c r="X1769" i="97"/>
  <c r="AC1768" i="97"/>
  <c r="X1768" i="97"/>
  <c r="AG1767" i="97"/>
  <c r="AF1767" i="97"/>
  <c r="AE1767" i="97"/>
  <c r="AD1767" i="97"/>
  <c r="AC1767" i="97"/>
  <c r="AB1767" i="97"/>
  <c r="AA1767" i="97"/>
  <c r="Z1767" i="97"/>
  <c r="Y1767" i="97"/>
  <c r="X1767" i="97"/>
  <c r="AG1766" i="97"/>
  <c r="AE1766" i="97"/>
  <c r="AC1766" i="97"/>
  <c r="AB1766" i="97"/>
  <c r="Z1766" i="97"/>
  <c r="X1766" i="97"/>
  <c r="AE1765" i="97"/>
  <c r="AC1765" i="97"/>
  <c r="AG1764" i="97"/>
  <c r="AF1764" i="97"/>
  <c r="AE1764" i="97"/>
  <c r="AD1764" i="97"/>
  <c r="AC1764" i="97"/>
  <c r="AB1764" i="97"/>
  <c r="AA1764" i="97"/>
  <c r="Z1764" i="97"/>
  <c r="Y1764" i="97"/>
  <c r="X1764" i="97"/>
  <c r="AC1763" i="97"/>
  <c r="X1763" i="97"/>
  <c r="AC1762" i="97"/>
  <c r="X1762" i="97"/>
  <c r="AD1761" i="97"/>
  <c r="AC1761" i="97"/>
  <c r="Y1761" i="97"/>
  <c r="X1761" i="97"/>
  <c r="AC1760" i="97"/>
  <c r="X1760" i="97"/>
  <c r="AD1759" i="97"/>
  <c r="AC1759" i="97"/>
  <c r="Y1759" i="97"/>
  <c r="X1759" i="97"/>
  <c r="AC1758" i="97"/>
  <c r="AD1757" i="97"/>
  <c r="AC1757" i="97"/>
  <c r="Y1757" i="97"/>
  <c r="X1757" i="97"/>
  <c r="AD1756" i="97"/>
  <c r="AC1756" i="97"/>
  <c r="Y1756" i="97"/>
  <c r="X1756" i="97"/>
  <c r="AD1755" i="97"/>
  <c r="AC1755" i="97"/>
  <c r="Y1755" i="97"/>
  <c r="X1755" i="97"/>
  <c r="AD1754" i="97"/>
  <c r="AD1777" i="97" s="1"/>
  <c r="AC1754" i="97"/>
  <c r="Y1754" i="97"/>
  <c r="X1754" i="97"/>
  <c r="AF1753" i="97"/>
  <c r="AF1777" i="97" s="1"/>
  <c r="AE1753" i="97"/>
  <c r="AD1753" i="97"/>
  <c r="AC1753" i="97"/>
  <c r="AA1753" i="97"/>
  <c r="AA1777" i="97" s="1"/>
  <c r="Z1753" i="97"/>
  <c r="Y1753" i="97"/>
  <c r="Y1777" i="97" s="1"/>
  <c r="X1753" i="97"/>
  <c r="AG1752" i="97"/>
  <c r="AG1777" i="97" s="1"/>
  <c r="AE1752" i="97"/>
  <c r="AE1777" i="97" s="1"/>
  <c r="AC1752" i="97"/>
  <c r="AC1777" i="97" s="1"/>
  <c r="AB1752" i="97"/>
  <c r="AB1777" i="97" s="1"/>
  <c r="Z1752" i="97"/>
  <c r="Z1777" i="97" s="1"/>
  <c r="X1752" i="97"/>
  <c r="X1777" i="97" s="1"/>
  <c r="M74" i="97" l="1"/>
  <c r="F74" i="97"/>
  <c r="M73" i="97"/>
  <c r="F73" i="97"/>
  <c r="J72" i="97"/>
  <c r="F72" i="97"/>
  <c r="M71" i="97"/>
  <c r="F227" i="75" l="1"/>
  <c r="F231" i="75"/>
  <c r="F237" i="75"/>
  <c r="F219" i="75"/>
  <c r="F218" i="75"/>
  <c r="G46" i="78" l="1"/>
  <c r="P1988" i="97" l="1"/>
  <c r="P1817" i="97"/>
  <c r="P1884" i="97"/>
  <c r="P1976" i="97"/>
  <c r="P1980" i="97"/>
  <c r="P1982" i="97"/>
  <c r="P2071" i="97"/>
  <c r="O2071" i="97"/>
  <c r="P2069" i="97"/>
  <c r="O2114" i="97"/>
  <c r="P2049" i="97"/>
  <c r="O2049" i="97"/>
  <c r="P2013" i="97"/>
  <c r="P1975" i="97"/>
  <c r="P1966" i="97"/>
  <c r="O1966" i="97"/>
  <c r="P1947" i="97"/>
  <c r="P1939" i="97"/>
  <c r="P1918" i="97"/>
  <c r="O1918" i="97"/>
  <c r="P1882" i="97"/>
  <c r="P1657" i="97"/>
  <c r="K1544" i="97"/>
  <c r="P1359" i="97"/>
  <c r="I1083" i="97"/>
  <c r="I1076" i="97"/>
  <c r="I1067" i="97"/>
  <c r="B1083" i="97"/>
  <c r="B1072" i="97"/>
  <c r="B1063" i="97"/>
  <c r="E2161" i="97"/>
  <c r="E2162" i="97"/>
  <c r="E2163" i="97"/>
  <c r="E2164" i="97"/>
  <c r="E2165" i="97"/>
  <c r="E2166" i="97"/>
  <c r="E2167" i="97"/>
  <c r="E2168" i="97"/>
  <c r="E2169" i="97"/>
  <c r="E2170" i="97"/>
  <c r="E2171" i="97"/>
  <c r="E2172" i="97"/>
  <c r="E2173" i="97"/>
  <c r="E2174" i="97"/>
  <c r="E2175" i="97"/>
  <c r="E2176" i="97"/>
  <c r="E2177" i="97"/>
  <c r="E2178" i="97"/>
  <c r="B2161" i="97"/>
  <c r="C2161" i="97"/>
  <c r="D2161" i="97"/>
  <c r="B2162" i="97"/>
  <c r="C2162" i="97"/>
  <c r="D2162" i="97"/>
  <c r="B2163" i="97"/>
  <c r="C2163" i="97"/>
  <c r="D2163" i="97"/>
  <c r="B2164" i="97"/>
  <c r="C2164" i="97"/>
  <c r="D2164" i="97"/>
  <c r="B2165" i="97"/>
  <c r="C2165" i="97"/>
  <c r="D2165" i="97"/>
  <c r="B2166" i="97"/>
  <c r="C2166" i="97"/>
  <c r="D2166" i="97"/>
  <c r="B2167" i="97"/>
  <c r="C2167" i="97"/>
  <c r="D2167" i="97"/>
  <c r="B2168" i="97"/>
  <c r="C2168" i="97"/>
  <c r="D2168" i="97"/>
  <c r="B2169" i="97"/>
  <c r="C2169" i="97"/>
  <c r="D2169" i="97"/>
  <c r="B2170" i="97"/>
  <c r="C2170" i="97"/>
  <c r="D2170" i="97"/>
  <c r="B2171" i="97"/>
  <c r="C2171" i="97"/>
  <c r="D2171" i="97"/>
  <c r="B2172" i="97"/>
  <c r="C2172" i="97"/>
  <c r="D2172" i="97"/>
  <c r="B2173" i="97"/>
  <c r="C2173" i="97"/>
  <c r="D2173" i="97"/>
  <c r="B2174" i="97"/>
  <c r="C2174" i="97"/>
  <c r="D2174" i="97"/>
  <c r="B2175" i="97"/>
  <c r="C2175" i="97"/>
  <c r="D2175" i="97"/>
  <c r="B2176" i="97"/>
  <c r="C2176" i="97"/>
  <c r="D2176" i="97"/>
  <c r="B2177" i="97"/>
  <c r="C2177" i="97"/>
  <c r="D2177" i="97"/>
  <c r="B2178" i="97"/>
  <c r="C2178" i="97"/>
  <c r="D2178" i="97"/>
  <c r="E2160" i="97"/>
  <c r="D2160" i="97"/>
  <c r="C2160" i="97"/>
  <c r="B2160" i="97"/>
  <c r="J2142" i="97"/>
  <c r="J2143" i="97"/>
  <c r="J2144" i="97"/>
  <c r="J2141" i="97"/>
  <c r="J2135" i="97"/>
  <c r="J2138" i="97"/>
  <c r="O2110" i="97"/>
  <c r="O2106" i="97"/>
  <c r="O2102" i="97"/>
  <c r="O2098" i="97"/>
  <c r="O2092" i="97"/>
  <c r="O2091" i="97"/>
  <c r="O2089" i="97"/>
  <c r="O2087" i="97"/>
  <c r="O2086" i="97"/>
  <c r="O2084" i="97"/>
  <c r="O2083" i="97"/>
  <c r="O2082" i="97"/>
  <c r="O2081" i="97"/>
  <c r="O2079" i="97"/>
  <c r="O2077" i="97"/>
  <c r="O2073" i="97"/>
  <c r="O2072" i="97"/>
  <c r="O2060" i="97"/>
  <c r="B2058" i="97"/>
  <c r="O2053" i="97"/>
  <c r="D2051" i="97"/>
  <c r="O2042" i="97"/>
  <c r="O2043" i="97"/>
  <c r="O2041" i="97"/>
  <c r="O2040" i="97"/>
  <c r="J2024" i="97"/>
  <c r="J2025" i="97"/>
  <c r="J2026" i="97"/>
  <c r="J2027" i="97"/>
  <c r="J2028" i="97"/>
  <c r="J2029" i="97"/>
  <c r="J2030" i="97"/>
  <c r="J2031" i="97"/>
  <c r="J2032" i="97"/>
  <c r="J2033" i="97"/>
  <c r="J2023" i="97"/>
  <c r="O2020" i="97"/>
  <c r="O2018" i="97"/>
  <c r="O2017" i="97"/>
  <c r="O2016" i="97"/>
  <c r="O2015" i="97"/>
  <c r="I2006" i="97"/>
  <c r="O2005" i="97"/>
  <c r="O2000" i="97"/>
  <c r="O1999" i="97"/>
  <c r="O1998" i="97"/>
  <c r="O1997" i="97"/>
  <c r="O1992" i="97"/>
  <c r="O1993" i="97"/>
  <c r="O1994" i="97"/>
  <c r="O1995" i="97"/>
  <c r="O1991" i="97"/>
  <c r="O1989" i="97"/>
  <c r="O1983" i="97"/>
  <c r="O1981" i="97"/>
  <c r="O1978" i="97"/>
  <c r="O1979" i="97"/>
  <c r="O1977" i="97"/>
  <c r="O1968" i="97"/>
  <c r="O1969" i="97"/>
  <c r="O1967" i="97"/>
  <c r="M1959" i="97"/>
  <c r="I1959" i="97"/>
  <c r="G1959" i="97"/>
  <c r="M1958" i="97"/>
  <c r="I1958" i="97"/>
  <c r="G1958" i="97"/>
  <c r="O1957" i="97"/>
  <c r="O1956" i="97"/>
  <c r="O1950" i="97"/>
  <c r="O1949" i="97"/>
  <c r="O1942" i="97"/>
  <c r="O1941" i="97"/>
  <c r="F1930" i="97"/>
  <c r="F1929" i="97"/>
  <c r="F1928" i="97"/>
  <c r="F1927" i="97"/>
  <c r="J1922" i="97"/>
  <c r="O1924" i="97"/>
  <c r="H1924" i="97"/>
  <c r="J1921" i="97"/>
  <c r="O1920" i="97"/>
  <c r="O1912" i="97"/>
  <c r="O1911" i="97"/>
  <c r="O1909" i="97"/>
  <c r="O1908" i="97"/>
  <c r="O1907" i="97"/>
  <c r="O1904" i="97"/>
  <c r="O1897" i="97"/>
  <c r="O1895" i="97"/>
  <c r="O1894" i="97"/>
  <c r="O1893" i="97"/>
  <c r="M1888" i="97"/>
  <c r="M1889" i="97"/>
  <c r="M1890" i="97"/>
  <c r="M1887" i="97"/>
  <c r="O1885" i="97"/>
  <c r="K1872" i="97"/>
  <c r="K1873" i="97"/>
  <c r="K1874" i="97"/>
  <c r="K1875" i="97"/>
  <c r="K1876" i="97"/>
  <c r="H1872" i="97"/>
  <c r="H1873" i="97"/>
  <c r="H1874" i="97"/>
  <c r="H1875" i="97"/>
  <c r="H1876" i="97"/>
  <c r="C1872" i="97"/>
  <c r="C1873" i="97"/>
  <c r="C1874" i="97"/>
  <c r="C1875" i="97"/>
  <c r="C1876" i="97"/>
  <c r="K1871" i="97"/>
  <c r="H1871" i="97"/>
  <c r="C1871" i="97"/>
  <c r="O1866" i="97"/>
  <c r="O1857" i="97"/>
  <c r="O1854" i="97"/>
  <c r="O1855" i="97"/>
  <c r="O1853" i="97"/>
  <c r="O1852" i="97"/>
  <c r="O1851" i="97"/>
  <c r="I1856" i="97"/>
  <c r="I1854" i="97"/>
  <c r="I1852" i="97"/>
  <c r="L1850" i="97"/>
  <c r="I1850" i="97"/>
  <c r="G1848" i="97"/>
  <c r="O1846" i="97"/>
  <c r="O1845" i="97"/>
  <c r="O1844" i="97"/>
  <c r="O1839" i="97"/>
  <c r="O1837" i="97"/>
  <c r="J1839" i="97"/>
  <c r="J1838" i="97"/>
  <c r="J1837" i="97"/>
  <c r="J1836" i="97"/>
  <c r="F1837" i="97"/>
  <c r="F1838" i="97"/>
  <c r="F1839" i="97"/>
  <c r="F1836" i="97"/>
  <c r="O1830" i="97"/>
  <c r="O1831" i="97"/>
  <c r="O1832" i="97"/>
  <c r="O1833" i="97"/>
  <c r="O1829" i="97"/>
  <c r="A2123" i="97"/>
  <c r="A2094" i="97"/>
  <c r="A2065" i="97"/>
  <c r="A2045" i="97"/>
  <c r="A2009" i="97"/>
  <c r="A1971" i="97"/>
  <c r="A1962" i="97"/>
  <c r="A1952" i="97"/>
  <c r="A1934" i="97"/>
  <c r="A1914" i="97"/>
  <c r="A1899" i="97"/>
  <c r="A1878" i="97"/>
  <c r="A1861" i="97"/>
  <c r="A1823" i="97"/>
  <c r="O1821" i="97"/>
  <c r="O1820" i="97"/>
  <c r="O1819" i="97"/>
  <c r="O1813" i="97"/>
  <c r="H1812" i="97"/>
  <c r="O1809" i="97"/>
  <c r="O1808" i="97"/>
  <c r="M1772" i="97"/>
  <c r="E1738" i="97"/>
  <c r="E1740" i="97"/>
  <c r="E1741" i="97"/>
  <c r="E1743" i="97"/>
  <c r="E1744" i="97"/>
  <c r="E1747" i="97"/>
  <c r="E1748" i="97"/>
  <c r="O1733" i="97"/>
  <c r="O1727" i="97"/>
  <c r="P1705" i="97" l="1"/>
  <c r="P1704" i="97"/>
  <c r="P1703" i="97"/>
  <c r="P1702" i="97"/>
  <c r="P1701" i="97"/>
  <c r="P1700" i="97"/>
  <c r="P1699" i="97"/>
  <c r="P1698" i="97"/>
  <c r="P1697" i="97"/>
  <c r="P1696" i="97"/>
  <c r="B1684" i="97"/>
  <c r="P1688" i="97"/>
  <c r="M1682" i="97"/>
  <c r="G1682" i="97"/>
  <c r="G1681" i="97"/>
  <c r="K1676" i="97"/>
  <c r="K1673" i="97"/>
  <c r="K1670" i="97"/>
  <c r="P1680" i="97"/>
  <c r="P1676" i="97"/>
  <c r="P1673" i="97"/>
  <c r="P1670" i="97"/>
  <c r="J1676" i="97"/>
  <c r="J1673" i="97"/>
  <c r="J1670" i="97"/>
  <c r="P1666" i="97"/>
  <c r="P1665" i="97"/>
  <c r="J1666" i="97"/>
  <c r="J1665" i="97"/>
  <c r="P1661" i="97"/>
  <c r="P1660" i="97"/>
  <c r="P1659" i="97" l="1"/>
  <c r="P1664" i="97"/>
  <c r="P1663" i="97"/>
  <c r="P1662" i="97"/>
  <c r="H1650" i="97"/>
  <c r="P1650" i="97"/>
  <c r="P1649" i="97"/>
  <c r="P1648" i="97"/>
  <c r="P1647" i="97"/>
  <c r="P1646" i="97"/>
  <c r="P1639" i="97"/>
  <c r="P1638" i="97"/>
  <c r="M1637" i="97"/>
  <c r="E1637" i="97"/>
  <c r="P1629" i="97"/>
  <c r="P1628" i="97"/>
  <c r="P1627" i="97"/>
  <c r="P1626" i="97"/>
  <c r="P1625" i="97"/>
  <c r="P1624" i="97"/>
  <c r="P1623" i="97"/>
  <c r="P1622" i="97"/>
  <c r="I1621" i="97"/>
  <c r="I1620" i="97"/>
  <c r="M1613" i="97"/>
  <c r="P1612" i="97"/>
  <c r="P1610" i="97"/>
  <c r="O1602" i="97"/>
  <c r="P1601" i="97"/>
  <c r="P1600" i="97"/>
  <c r="P1599" i="97"/>
  <c r="P1598" i="97"/>
  <c r="C1590" i="97"/>
  <c r="C1589" i="97"/>
  <c r="G1586" i="97"/>
  <c r="G1585" i="97"/>
  <c r="K1581" i="97"/>
  <c r="P1591" i="97"/>
  <c r="P1583" i="97"/>
  <c r="P1590" i="97"/>
  <c r="P1589" i="97"/>
  <c r="P1586" i="97"/>
  <c r="P1585" i="97"/>
  <c r="P1580" i="97"/>
  <c r="P1579" i="97"/>
  <c r="P1573" i="97"/>
  <c r="P1572" i="97"/>
  <c r="P1571" i="97"/>
  <c r="P1570" i="97"/>
  <c r="L1569" i="97"/>
  <c r="P1568" i="97"/>
  <c r="K1564" i="97"/>
  <c r="K1562" i="97"/>
  <c r="K1561" i="97"/>
  <c r="P1564" i="97"/>
  <c r="P1563" i="97"/>
  <c r="P1562" i="97"/>
  <c r="P1561" i="97"/>
  <c r="P1557" i="97"/>
  <c r="P1556" i="97"/>
  <c r="P1555" i="97"/>
  <c r="P1553" i="97"/>
  <c r="P1546" i="97"/>
  <c r="P1543" i="97"/>
  <c r="P1542" i="97"/>
  <c r="P1540" i="97"/>
  <c r="P1533" i="97" l="1"/>
  <c r="P1532" i="97"/>
  <c r="P1531" i="97"/>
  <c r="P1530" i="97"/>
  <c r="P1529" i="97"/>
  <c r="P1528" i="97"/>
  <c r="P1517" i="97"/>
  <c r="P1518" i="97"/>
  <c r="P1519" i="97"/>
  <c r="P1520" i="97"/>
  <c r="P1521" i="97"/>
  <c r="P1516" i="97"/>
  <c r="P1515" i="97"/>
  <c r="P1514" i="97"/>
  <c r="P1513" i="97"/>
  <c r="P1510" i="97"/>
  <c r="K1511" i="97"/>
  <c r="K1512" i="97"/>
  <c r="K1509" i="97"/>
  <c r="P1508" i="97"/>
  <c r="P1500" i="97"/>
  <c r="P1501" i="97"/>
  <c r="P1499" i="97"/>
  <c r="Q1492" i="97"/>
  <c r="Q1493" i="97"/>
  <c r="Q1494" i="97"/>
  <c r="Q1495" i="97"/>
  <c r="Q1496" i="97"/>
  <c r="Q1497" i="97"/>
  <c r="Q1498" i="97"/>
  <c r="K1492" i="97"/>
  <c r="K1493" i="97"/>
  <c r="K1494" i="97"/>
  <c r="K1495" i="97"/>
  <c r="K1496" i="97"/>
  <c r="K1497" i="97"/>
  <c r="K1498" i="97"/>
  <c r="J1492" i="97"/>
  <c r="J1493" i="97"/>
  <c r="J1494" i="97"/>
  <c r="J1495" i="97"/>
  <c r="J1496" i="97"/>
  <c r="J1497" i="97"/>
  <c r="J1498" i="97"/>
  <c r="B1492" i="97"/>
  <c r="B1493" i="97"/>
  <c r="B1494" i="97"/>
  <c r="B1495" i="97"/>
  <c r="B1496" i="97"/>
  <c r="B1497" i="97"/>
  <c r="B1498" i="97"/>
  <c r="Q1491" i="97"/>
  <c r="K1491" i="97"/>
  <c r="J1491" i="97"/>
  <c r="B1491" i="97"/>
  <c r="P1481" i="97" l="1"/>
  <c r="P1482" i="97"/>
  <c r="P1483" i="97"/>
  <c r="P1475" i="97"/>
  <c r="P1476" i="97"/>
  <c r="P1477" i="97"/>
  <c r="P1478" i="97"/>
  <c r="P1479" i="97"/>
  <c r="P1480" i="97"/>
  <c r="P1474" i="97"/>
  <c r="I1471" i="97"/>
  <c r="I1472" i="97"/>
  <c r="I1473" i="97"/>
  <c r="I1470" i="97"/>
  <c r="C1471" i="97"/>
  <c r="C1472" i="97"/>
  <c r="C1473" i="97"/>
  <c r="C1470" i="97"/>
  <c r="K1466" i="97"/>
  <c r="M1465" i="97"/>
  <c r="K1465" i="97"/>
  <c r="K1464" i="97"/>
  <c r="J1453" i="97"/>
  <c r="J1452" i="97"/>
  <c r="P1467" i="97"/>
  <c r="P1463" i="97"/>
  <c r="P1462" i="97"/>
  <c r="P1452" i="97"/>
  <c r="P1453" i="97"/>
  <c r="P1454" i="97"/>
  <c r="P1455" i="97"/>
  <c r="P1451" i="97"/>
  <c r="P1445" i="97"/>
  <c r="P1444" i="97"/>
  <c r="J1445" i="97"/>
  <c r="J1444" i="97"/>
  <c r="P1442" i="97"/>
  <c r="P1425" i="97"/>
  <c r="P1426" i="97"/>
  <c r="P1427" i="97"/>
  <c r="P1428" i="97"/>
  <c r="P1429" i="97"/>
  <c r="P1430" i="97"/>
  <c r="P1431" i="97"/>
  <c r="P1432" i="97"/>
  <c r="P1433" i="97"/>
  <c r="P1434" i="97"/>
  <c r="P1435" i="97"/>
  <c r="P1424" i="97"/>
  <c r="P1415" i="97"/>
  <c r="P1416" i="97"/>
  <c r="P1417" i="97"/>
  <c r="P1414" i="97"/>
  <c r="P1407" i="97"/>
  <c r="P1404" i="97"/>
  <c r="P1403" i="97"/>
  <c r="K1406" i="97"/>
  <c r="M1405" i="97"/>
  <c r="M1404" i="97"/>
  <c r="M1403" i="97"/>
  <c r="N1395" i="97"/>
  <c r="P1393" i="97"/>
  <c r="P1392" i="97"/>
  <c r="P1391" i="97"/>
  <c r="P1390" i="97"/>
  <c r="C1388" i="97"/>
  <c r="F1383" i="97"/>
  <c r="F1384" i="97"/>
  <c r="F1385" i="97"/>
  <c r="F1386" i="97"/>
  <c r="K1383" i="97"/>
  <c r="K1384" i="97"/>
  <c r="P1383" i="97"/>
  <c r="P1384" i="97"/>
  <c r="P1385" i="97"/>
  <c r="P1382" i="97"/>
  <c r="K1386" i="97"/>
  <c r="K1382" i="97"/>
  <c r="F1382" i="97"/>
  <c r="P1379" i="97"/>
  <c r="P1380" i="97"/>
  <c r="L1378" i="97"/>
  <c r="P1377" i="97"/>
  <c r="P1376" i="97"/>
  <c r="P1375" i="97"/>
  <c r="L1374" i="97"/>
  <c r="P1365" i="97"/>
  <c r="P1366" i="97"/>
  <c r="P1367" i="97"/>
  <c r="P1361" i="97"/>
  <c r="P1362" i="97"/>
  <c r="P1363" i="97"/>
  <c r="P1364" i="97"/>
  <c r="P1360" i="97"/>
  <c r="P1358" i="97"/>
  <c r="M1357" i="97"/>
  <c r="P1356" i="97"/>
  <c r="A1713" i="97"/>
  <c r="A1707" i="97"/>
  <c r="A1690" i="97"/>
  <c r="A1652" i="97"/>
  <c r="A1641" i="97"/>
  <c r="A1631" i="97"/>
  <c r="A1615" i="97"/>
  <c r="A1605" i="97"/>
  <c r="A1594" i="97"/>
  <c r="A1575" i="97"/>
  <c r="A1548" i="97"/>
  <c r="A1535" i="97"/>
  <c r="A1523" i="97"/>
  <c r="A1503" i="97"/>
  <c r="A1485" i="97"/>
  <c r="A1457" i="97"/>
  <c r="A1446" i="97"/>
  <c r="A1437" i="97"/>
  <c r="A1419" i="97"/>
  <c r="A1409" i="97"/>
  <c r="A1397" i="97"/>
  <c r="A1369" i="97"/>
  <c r="A1351" i="97"/>
  <c r="P1349" i="97"/>
  <c r="P1348" i="97"/>
  <c r="P1347" i="97"/>
  <c r="P1346" i="97"/>
  <c r="P1345" i="97"/>
  <c r="O1344" i="97"/>
  <c r="N1344" i="97"/>
  <c r="O1343" i="97"/>
  <c r="N1343" i="97"/>
  <c r="J1344" i="97"/>
  <c r="I1344" i="97"/>
  <c r="J1343" i="97"/>
  <c r="I1343" i="97"/>
  <c r="E1344" i="97"/>
  <c r="D1344" i="97"/>
  <c r="E1343" i="97"/>
  <c r="D1343" i="97"/>
  <c r="P1340" i="97"/>
  <c r="K1340" i="97"/>
  <c r="M1339" i="97"/>
  <c r="M1338" i="97"/>
  <c r="M1337" i="97"/>
  <c r="L1329" i="97"/>
  <c r="P1330" i="97"/>
  <c r="P1326" i="97"/>
  <c r="P1327" i="97"/>
  <c r="P1328" i="97"/>
  <c r="P1325" i="97"/>
  <c r="P1323" i="97"/>
  <c r="P1321" i="97"/>
  <c r="A1333" i="97"/>
  <c r="A1317" i="97"/>
  <c r="A1311" i="97"/>
  <c r="Q1278" i="97"/>
  <c r="A1272" i="97"/>
  <c r="A1236" i="97"/>
  <c r="F1232" i="97"/>
  <c r="E1232" i="97"/>
  <c r="D1232" i="97"/>
  <c r="C1232" i="97"/>
  <c r="B1232" i="97"/>
  <c r="F1231" i="97"/>
  <c r="E1231" i="97"/>
  <c r="D1231" i="97"/>
  <c r="C1231" i="97"/>
  <c r="B1231" i="97"/>
  <c r="F1230" i="97"/>
  <c r="E1230" i="97"/>
  <c r="D1230" i="97"/>
  <c r="C1230" i="97"/>
  <c r="B1230" i="97"/>
  <c r="K1202" i="97"/>
  <c r="J1202" i="97"/>
  <c r="I1202" i="97"/>
  <c r="H1202" i="97"/>
  <c r="G1202" i="97"/>
  <c r="F1202" i="97"/>
  <c r="E1202" i="97"/>
  <c r="D1202" i="97"/>
  <c r="C1202" i="97"/>
  <c r="B1202" i="97"/>
  <c r="K1201" i="97"/>
  <c r="J1201" i="97"/>
  <c r="I1201" i="97"/>
  <c r="H1201" i="97"/>
  <c r="G1201" i="97"/>
  <c r="F1201" i="97"/>
  <c r="E1201" i="97"/>
  <c r="D1201" i="97"/>
  <c r="C1201" i="97"/>
  <c r="B1201" i="97"/>
  <c r="K1200" i="97"/>
  <c r="J1200" i="97"/>
  <c r="I1200" i="97"/>
  <c r="H1200" i="97"/>
  <c r="G1200" i="97"/>
  <c r="F1200" i="97"/>
  <c r="E1200" i="97"/>
  <c r="D1200" i="97"/>
  <c r="C1200" i="97"/>
  <c r="B1200" i="97"/>
  <c r="K1171" i="97"/>
  <c r="J1171" i="97"/>
  <c r="I1171" i="97"/>
  <c r="H1171" i="97"/>
  <c r="G1171" i="97"/>
  <c r="F1171" i="97"/>
  <c r="E1171" i="97"/>
  <c r="D1171" i="97"/>
  <c r="C1171" i="97"/>
  <c r="B1171" i="97"/>
  <c r="K1170" i="97"/>
  <c r="J1170" i="97"/>
  <c r="I1170" i="97"/>
  <c r="H1170" i="97"/>
  <c r="G1170" i="97"/>
  <c r="F1170" i="97"/>
  <c r="E1170" i="97"/>
  <c r="D1170" i="97"/>
  <c r="C1170" i="97"/>
  <c r="B1170" i="97"/>
  <c r="K1169" i="97"/>
  <c r="J1169" i="97"/>
  <c r="I1169" i="97"/>
  <c r="H1169" i="97"/>
  <c r="G1169" i="97"/>
  <c r="F1169" i="97"/>
  <c r="E1169" i="97"/>
  <c r="D1169" i="97"/>
  <c r="C1169" i="97"/>
  <c r="B1169" i="97"/>
  <c r="F1220" i="97"/>
  <c r="E1220" i="97"/>
  <c r="D1220" i="97"/>
  <c r="C1220" i="97"/>
  <c r="B1220" i="97"/>
  <c r="F1219" i="97"/>
  <c r="E1219" i="97"/>
  <c r="D1219" i="97"/>
  <c r="C1219" i="97"/>
  <c r="B1219" i="97"/>
  <c r="F1218" i="97"/>
  <c r="E1218" i="97"/>
  <c r="D1218" i="97"/>
  <c r="C1218" i="97"/>
  <c r="B1218" i="97"/>
  <c r="F1217" i="97"/>
  <c r="E1217" i="97"/>
  <c r="D1217" i="97"/>
  <c r="C1217" i="97"/>
  <c r="B1217" i="97"/>
  <c r="F1214" i="97"/>
  <c r="E1214" i="97"/>
  <c r="D1214" i="97"/>
  <c r="C1214" i="97"/>
  <c r="B1214" i="97"/>
  <c r="F1209" i="97"/>
  <c r="E1209" i="97"/>
  <c r="D1209" i="97"/>
  <c r="C1209" i="97"/>
  <c r="B1209" i="97"/>
  <c r="F1208" i="97"/>
  <c r="E1208" i="97"/>
  <c r="D1208" i="97"/>
  <c r="C1208" i="97"/>
  <c r="B1208" i="97"/>
  <c r="K1190" i="97"/>
  <c r="J1190" i="97"/>
  <c r="I1190" i="97"/>
  <c r="H1190" i="97"/>
  <c r="G1190" i="97"/>
  <c r="F1190" i="97"/>
  <c r="E1190" i="97"/>
  <c r="D1190" i="97"/>
  <c r="C1190" i="97"/>
  <c r="B1190" i="97"/>
  <c r="K1189" i="97"/>
  <c r="J1189" i="97"/>
  <c r="I1189" i="97"/>
  <c r="H1189" i="97"/>
  <c r="G1189" i="97"/>
  <c r="F1189" i="97"/>
  <c r="E1189" i="97"/>
  <c r="D1189" i="97"/>
  <c r="C1189" i="97"/>
  <c r="B1189" i="97"/>
  <c r="K1188" i="97"/>
  <c r="J1188" i="97"/>
  <c r="I1188" i="97"/>
  <c r="H1188" i="97"/>
  <c r="G1188" i="97"/>
  <c r="F1188" i="97"/>
  <c r="E1188" i="97"/>
  <c r="D1188" i="97"/>
  <c r="C1188" i="97"/>
  <c r="B1188" i="97"/>
  <c r="K1187" i="97"/>
  <c r="J1187" i="97"/>
  <c r="I1187" i="97"/>
  <c r="H1187" i="97"/>
  <c r="G1187" i="97"/>
  <c r="F1187" i="97"/>
  <c r="E1187" i="97"/>
  <c r="D1187" i="97"/>
  <c r="C1187" i="97"/>
  <c r="B1187" i="97"/>
  <c r="K1184" i="97"/>
  <c r="J1184" i="97"/>
  <c r="I1184" i="97"/>
  <c r="H1184" i="97"/>
  <c r="G1184" i="97"/>
  <c r="F1184" i="97"/>
  <c r="E1184" i="97"/>
  <c r="D1184" i="97"/>
  <c r="C1184" i="97"/>
  <c r="B1184" i="97"/>
  <c r="K1179" i="97"/>
  <c r="J1179" i="97"/>
  <c r="I1179" i="97"/>
  <c r="H1179" i="97"/>
  <c r="G1179" i="97"/>
  <c r="F1179" i="97"/>
  <c r="E1179" i="97"/>
  <c r="D1179" i="97"/>
  <c r="C1179" i="97"/>
  <c r="B1179" i="97"/>
  <c r="K1178" i="97"/>
  <c r="J1178" i="97"/>
  <c r="I1178" i="97"/>
  <c r="H1178" i="97"/>
  <c r="G1178" i="97"/>
  <c r="F1178" i="97"/>
  <c r="E1178" i="97"/>
  <c r="D1178" i="97"/>
  <c r="C1178" i="97"/>
  <c r="B1178" i="97"/>
  <c r="K1160" i="97"/>
  <c r="J1160" i="97"/>
  <c r="I1160" i="97"/>
  <c r="H1160" i="97"/>
  <c r="G1160" i="97"/>
  <c r="K1158" i="97"/>
  <c r="J1158" i="97"/>
  <c r="I1158" i="97"/>
  <c r="H1158" i="97"/>
  <c r="G1158" i="97"/>
  <c r="F1158" i="97"/>
  <c r="E1158" i="97"/>
  <c r="D1158" i="97"/>
  <c r="C1158" i="97"/>
  <c r="B1158" i="97"/>
  <c r="K1157" i="97"/>
  <c r="J1157" i="97"/>
  <c r="I1157" i="97"/>
  <c r="H1157" i="97"/>
  <c r="G1157" i="97"/>
  <c r="F1157" i="97"/>
  <c r="E1157" i="97"/>
  <c r="D1157" i="97"/>
  <c r="C1157" i="97"/>
  <c r="B1157" i="97"/>
  <c r="K1156" i="97"/>
  <c r="J1156" i="97"/>
  <c r="I1156" i="97"/>
  <c r="H1156" i="97"/>
  <c r="G1156" i="97"/>
  <c r="F1156" i="97"/>
  <c r="E1156" i="97"/>
  <c r="D1156" i="97"/>
  <c r="C1156" i="97"/>
  <c r="B1156" i="97"/>
  <c r="K1155" i="97"/>
  <c r="J1155" i="97"/>
  <c r="I1155" i="97"/>
  <c r="H1155" i="97"/>
  <c r="G1155" i="97"/>
  <c r="F1155" i="97"/>
  <c r="E1155" i="97"/>
  <c r="D1155" i="97"/>
  <c r="C1155" i="97"/>
  <c r="B1155" i="97"/>
  <c r="K1152" i="97"/>
  <c r="J1152" i="97"/>
  <c r="I1152" i="97"/>
  <c r="H1152" i="97"/>
  <c r="G1152" i="97"/>
  <c r="F1152" i="97"/>
  <c r="E1152" i="97"/>
  <c r="D1152" i="97"/>
  <c r="C1152" i="97"/>
  <c r="B1152" i="97"/>
  <c r="K1147" i="97"/>
  <c r="J1147" i="97"/>
  <c r="I1147" i="97"/>
  <c r="H1147" i="97"/>
  <c r="G1147" i="97"/>
  <c r="F1147" i="97"/>
  <c r="E1147" i="97"/>
  <c r="D1147" i="97"/>
  <c r="C1147" i="97"/>
  <c r="B1147" i="97"/>
  <c r="K1146" i="97"/>
  <c r="J1146" i="97"/>
  <c r="I1146" i="97"/>
  <c r="H1146" i="97"/>
  <c r="G1146" i="97"/>
  <c r="F1146" i="97"/>
  <c r="E1146" i="97"/>
  <c r="D1146" i="97"/>
  <c r="C1146" i="97"/>
  <c r="B1146" i="97"/>
  <c r="C1137" i="97"/>
  <c r="D1137" i="97"/>
  <c r="E1137" i="97"/>
  <c r="F1137" i="97"/>
  <c r="G1137" i="97"/>
  <c r="H1137" i="97"/>
  <c r="I1137" i="97"/>
  <c r="J1137" i="97"/>
  <c r="K1137" i="97"/>
  <c r="C1138" i="97"/>
  <c r="D1138" i="97"/>
  <c r="E1138" i="97"/>
  <c r="F1138" i="97"/>
  <c r="G1138" i="97"/>
  <c r="H1138" i="97"/>
  <c r="I1138" i="97"/>
  <c r="J1138" i="97"/>
  <c r="K1138" i="97"/>
  <c r="C1139" i="97"/>
  <c r="D1139" i="97"/>
  <c r="E1139" i="97"/>
  <c r="F1139" i="97"/>
  <c r="G1139" i="97"/>
  <c r="H1139" i="97"/>
  <c r="I1139" i="97"/>
  <c r="J1139" i="97"/>
  <c r="K1139" i="97"/>
  <c r="B1137" i="97"/>
  <c r="B1138" i="97"/>
  <c r="B1139" i="97"/>
  <c r="C1123" i="97"/>
  <c r="D1123" i="97"/>
  <c r="E1123" i="97"/>
  <c r="F1123" i="97"/>
  <c r="G1123" i="97"/>
  <c r="H1123" i="97"/>
  <c r="I1123" i="97"/>
  <c r="J1123" i="97"/>
  <c r="K1123" i="97"/>
  <c r="C1124" i="97"/>
  <c r="D1124" i="97"/>
  <c r="E1124" i="97"/>
  <c r="F1124" i="97"/>
  <c r="G1124" i="97"/>
  <c r="H1124" i="97"/>
  <c r="I1124" i="97"/>
  <c r="J1124" i="97"/>
  <c r="K1124" i="97"/>
  <c r="C1125" i="97"/>
  <c r="D1125" i="97"/>
  <c r="E1125" i="97"/>
  <c r="F1125" i="97"/>
  <c r="G1125" i="97"/>
  <c r="H1125" i="97"/>
  <c r="I1125" i="97"/>
  <c r="J1125" i="97"/>
  <c r="K1125" i="97"/>
  <c r="C1126" i="97"/>
  <c r="D1126" i="97"/>
  <c r="E1126" i="97"/>
  <c r="F1126" i="97"/>
  <c r="G1126" i="97"/>
  <c r="H1126" i="97"/>
  <c r="I1126" i="97"/>
  <c r="J1126" i="97"/>
  <c r="K1126" i="97"/>
  <c r="B1123" i="97"/>
  <c r="B1124" i="97"/>
  <c r="B1125" i="97"/>
  <c r="B1126" i="97"/>
  <c r="C1120" i="97"/>
  <c r="D1120" i="97"/>
  <c r="E1120" i="97"/>
  <c r="F1120" i="97"/>
  <c r="G1120" i="97"/>
  <c r="H1120" i="97"/>
  <c r="I1120" i="97"/>
  <c r="J1120" i="97"/>
  <c r="K1120" i="97"/>
  <c r="B1120" i="97"/>
  <c r="C1114" i="97"/>
  <c r="D1114" i="97"/>
  <c r="E1114" i="97"/>
  <c r="F1114" i="97"/>
  <c r="G1114" i="97"/>
  <c r="H1114" i="97"/>
  <c r="I1114" i="97"/>
  <c r="J1114" i="97"/>
  <c r="K1114" i="97"/>
  <c r="C1115" i="97"/>
  <c r="D1115" i="97"/>
  <c r="E1115" i="97"/>
  <c r="F1115" i="97"/>
  <c r="G1115" i="97"/>
  <c r="H1115" i="97"/>
  <c r="I1115" i="97"/>
  <c r="J1115" i="97"/>
  <c r="K1115" i="97"/>
  <c r="B1114" i="97"/>
  <c r="B1115" i="97"/>
  <c r="K1106" i="97"/>
  <c r="K1105" i="97"/>
  <c r="G1106" i="97"/>
  <c r="G1105" i="97"/>
  <c r="G1102" i="97"/>
  <c r="B1105" i="97"/>
  <c r="A1093" i="97" l="1"/>
  <c r="Q1090" i="97"/>
  <c r="N1090" i="97"/>
  <c r="L1090" i="97"/>
  <c r="J1090" i="97"/>
  <c r="N1088" i="97"/>
  <c r="K1088" i="97"/>
  <c r="L1083" i="97"/>
  <c r="L1074" i="97"/>
  <c r="L1075" i="97"/>
  <c r="L1076" i="97"/>
  <c r="L1065" i="97"/>
  <c r="L1066" i="97"/>
  <c r="L1067" i="97"/>
  <c r="L1073" i="97"/>
  <c r="L1072" i="97"/>
  <c r="L1082" i="97"/>
  <c r="L1081" i="97"/>
  <c r="L1064" i="97"/>
  <c r="L1059" i="97"/>
  <c r="L1058" i="97"/>
  <c r="F1082" i="97"/>
  <c r="F1083" i="97"/>
  <c r="F1081" i="97"/>
  <c r="F1080" i="97"/>
  <c r="F1079" i="97"/>
  <c r="F1078" i="97"/>
  <c r="F1077" i="97"/>
  <c r="F1076" i="97"/>
  <c r="F1072" i="97"/>
  <c r="F1071" i="97"/>
  <c r="F1070" i="97"/>
  <c r="F1069" i="97"/>
  <c r="F1068" i="97"/>
  <c r="F1067" i="97"/>
  <c r="F1059" i="97"/>
  <c r="F1060" i="97"/>
  <c r="F1061" i="97"/>
  <c r="F1062" i="97"/>
  <c r="F1063" i="97"/>
  <c r="F1058" i="97"/>
  <c r="L1052" i="97"/>
  <c r="K1052" i="97"/>
  <c r="J1052" i="97"/>
  <c r="I1052" i="97"/>
  <c r="H1052" i="97"/>
  <c r="L1051" i="97"/>
  <c r="K1051" i="97"/>
  <c r="J1051" i="97"/>
  <c r="I1051" i="97"/>
  <c r="H1051" i="97"/>
  <c r="L1048" i="97"/>
  <c r="K1048" i="97"/>
  <c r="J1048" i="97"/>
  <c r="I1048" i="97"/>
  <c r="H1048" i="97"/>
  <c r="L1047" i="97"/>
  <c r="K1047" i="97"/>
  <c r="J1047" i="97"/>
  <c r="I1047" i="97"/>
  <c r="H1047" i="97"/>
  <c r="Q1043" i="97"/>
  <c r="P1043" i="97"/>
  <c r="O1043" i="97"/>
  <c r="N1043" i="97"/>
  <c r="M1043" i="97"/>
  <c r="L1043" i="97"/>
  <c r="K1043" i="97"/>
  <c r="J1043" i="97"/>
  <c r="I1043" i="97"/>
  <c r="H1043" i="97"/>
  <c r="Q1042" i="97"/>
  <c r="P1042" i="97"/>
  <c r="O1042" i="97"/>
  <c r="N1042" i="97"/>
  <c r="M1042" i="97"/>
  <c r="L1042" i="97"/>
  <c r="K1042" i="97"/>
  <c r="J1042" i="97"/>
  <c r="I1042" i="97"/>
  <c r="H1042" i="97"/>
  <c r="Q1039" i="97"/>
  <c r="P1039" i="97"/>
  <c r="O1039" i="97"/>
  <c r="N1039" i="97"/>
  <c r="M1039" i="97"/>
  <c r="L1039" i="97"/>
  <c r="K1039" i="97"/>
  <c r="J1039" i="97"/>
  <c r="I1039" i="97"/>
  <c r="H1039" i="97"/>
  <c r="Q1038" i="97"/>
  <c r="P1038" i="97"/>
  <c r="O1038" i="97"/>
  <c r="N1038" i="97"/>
  <c r="M1038" i="97"/>
  <c r="L1038" i="97"/>
  <c r="K1038" i="97"/>
  <c r="J1038" i="97"/>
  <c r="I1038" i="97"/>
  <c r="H1038" i="97"/>
  <c r="Q1034" i="97"/>
  <c r="P1034" i="97"/>
  <c r="O1034" i="97"/>
  <c r="N1034" i="97"/>
  <c r="M1034" i="97"/>
  <c r="L1034" i="97"/>
  <c r="K1034" i="97"/>
  <c r="J1034" i="97"/>
  <c r="I1034" i="97"/>
  <c r="H1034" i="97"/>
  <c r="Q1033" i="97"/>
  <c r="P1033" i="97"/>
  <c r="O1033" i="97"/>
  <c r="N1033" i="97"/>
  <c r="M1033" i="97"/>
  <c r="L1033" i="97"/>
  <c r="K1033" i="97"/>
  <c r="J1033" i="97"/>
  <c r="I1033" i="97"/>
  <c r="H1033" i="97"/>
  <c r="Q1030" i="97"/>
  <c r="P1030" i="97"/>
  <c r="O1030" i="97"/>
  <c r="N1030" i="97"/>
  <c r="M1030" i="97"/>
  <c r="L1030" i="97"/>
  <c r="K1030" i="97"/>
  <c r="J1030" i="97"/>
  <c r="I1030" i="97"/>
  <c r="H1030" i="97"/>
  <c r="Q1029" i="97"/>
  <c r="P1029" i="97"/>
  <c r="O1029" i="97"/>
  <c r="N1029" i="97"/>
  <c r="M1029" i="97"/>
  <c r="L1029" i="97"/>
  <c r="K1029" i="97"/>
  <c r="J1029" i="97"/>
  <c r="I1029" i="97"/>
  <c r="H1029" i="97"/>
  <c r="Q1025" i="97"/>
  <c r="P1025" i="97"/>
  <c r="O1025" i="97"/>
  <c r="N1025" i="97"/>
  <c r="M1025" i="97"/>
  <c r="L1025" i="97"/>
  <c r="K1025" i="97"/>
  <c r="J1025" i="97"/>
  <c r="I1025" i="97"/>
  <c r="H1025" i="97"/>
  <c r="Q1024" i="97"/>
  <c r="P1024" i="97"/>
  <c r="O1024" i="97"/>
  <c r="N1024" i="97"/>
  <c r="M1024" i="97"/>
  <c r="L1024" i="97"/>
  <c r="K1024" i="97"/>
  <c r="J1024" i="97"/>
  <c r="I1024" i="97"/>
  <c r="H1024" i="97"/>
  <c r="I1020" i="97"/>
  <c r="J1020" i="97"/>
  <c r="K1020" i="97"/>
  <c r="L1020" i="97"/>
  <c r="M1020" i="97"/>
  <c r="N1020" i="97"/>
  <c r="O1020" i="97"/>
  <c r="P1020" i="97"/>
  <c r="Q1020" i="97"/>
  <c r="I1021" i="97"/>
  <c r="J1021" i="97"/>
  <c r="K1021" i="97"/>
  <c r="L1021" i="97"/>
  <c r="M1021" i="97"/>
  <c r="N1021" i="97"/>
  <c r="O1021" i="97"/>
  <c r="P1021" i="97"/>
  <c r="Q1021" i="97"/>
  <c r="H1021" i="97"/>
  <c r="H1020" i="97"/>
  <c r="C1052" i="97"/>
  <c r="C1048" i="97"/>
  <c r="C1043" i="97"/>
  <c r="C1039" i="97"/>
  <c r="C1034" i="97"/>
  <c r="C1030" i="97"/>
  <c r="C1025" i="97"/>
  <c r="C1021" i="97"/>
  <c r="L962" i="97"/>
  <c r="M962" i="97"/>
  <c r="N962" i="97"/>
  <c r="O962" i="97"/>
  <c r="L963" i="97"/>
  <c r="M963" i="97"/>
  <c r="N963" i="97"/>
  <c r="O963" i="97"/>
  <c r="K963" i="97"/>
  <c r="K962" i="97"/>
  <c r="N852" i="97"/>
  <c r="O852" i="97"/>
  <c r="P852" i="97"/>
  <c r="Q852" i="97"/>
  <c r="N853" i="97"/>
  <c r="O853" i="97"/>
  <c r="P853" i="97"/>
  <c r="Q853" i="97"/>
  <c r="N854" i="97"/>
  <c r="O854" i="97"/>
  <c r="P854" i="97"/>
  <c r="Q854" i="97"/>
  <c r="N855" i="97"/>
  <c r="O855" i="97"/>
  <c r="P855" i="97"/>
  <c r="Q855" i="97"/>
  <c r="N856" i="97"/>
  <c r="O856" i="97"/>
  <c r="P856" i="97"/>
  <c r="Q856" i="97"/>
  <c r="N857" i="97"/>
  <c r="O857" i="97"/>
  <c r="P857" i="97"/>
  <c r="Q857" i="97"/>
  <c r="N858" i="97"/>
  <c r="O858" i="97"/>
  <c r="P858" i="97"/>
  <c r="Q858" i="97"/>
  <c r="N859" i="97"/>
  <c r="O859" i="97"/>
  <c r="P859" i="97"/>
  <c r="Q859" i="97"/>
  <c r="N860" i="97"/>
  <c r="O860" i="97"/>
  <c r="P860" i="97"/>
  <c r="Q860" i="97"/>
  <c r="N861" i="97"/>
  <c r="O861" i="97"/>
  <c r="P861" i="97"/>
  <c r="Q861" i="97"/>
  <c r="N862" i="97"/>
  <c r="O862" i="97"/>
  <c r="P862" i="97"/>
  <c r="Q862" i="97"/>
  <c r="N863" i="97"/>
  <c r="O863" i="97"/>
  <c r="P863" i="97"/>
  <c r="Q863" i="97"/>
  <c r="N864" i="97"/>
  <c r="O864" i="97"/>
  <c r="P864" i="97"/>
  <c r="Q864" i="97"/>
  <c r="N865" i="97"/>
  <c r="O865" i="97"/>
  <c r="P865" i="97"/>
  <c r="Q865" i="97"/>
  <c r="N866" i="97"/>
  <c r="O866" i="97"/>
  <c r="P866" i="97"/>
  <c r="Q866" i="97"/>
  <c r="N867" i="97"/>
  <c r="O867" i="97"/>
  <c r="P867" i="97"/>
  <c r="Q867" i="97"/>
  <c r="N868" i="97"/>
  <c r="O868" i="97"/>
  <c r="P868" i="97"/>
  <c r="Q868" i="97"/>
  <c r="N869" i="97"/>
  <c r="O869" i="97"/>
  <c r="P869" i="97"/>
  <c r="Q869" i="97"/>
  <c r="N870" i="97"/>
  <c r="O870" i="97"/>
  <c r="P870" i="97"/>
  <c r="Q870" i="97"/>
  <c r="N871" i="97"/>
  <c r="O871" i="97"/>
  <c r="P871" i="97"/>
  <c r="Q871" i="97"/>
  <c r="N872" i="97"/>
  <c r="O872" i="97"/>
  <c r="P872" i="97"/>
  <c r="Q872" i="97"/>
  <c r="N873" i="97"/>
  <c r="O873" i="97"/>
  <c r="P873" i="97"/>
  <c r="Q873" i="97"/>
  <c r="N874" i="97"/>
  <c r="O874" i="97"/>
  <c r="P874" i="97"/>
  <c r="Q874" i="97"/>
  <c r="N875" i="97"/>
  <c r="O875" i="97"/>
  <c r="P875" i="97"/>
  <c r="Q875" i="97"/>
  <c r="N876" i="97"/>
  <c r="O876" i="97"/>
  <c r="P876" i="97"/>
  <c r="Q876" i="97"/>
  <c r="N877" i="97"/>
  <c r="O877" i="97"/>
  <c r="P877" i="97"/>
  <c r="Q877" i="97"/>
  <c r="N878" i="97"/>
  <c r="O878" i="97"/>
  <c r="P878" i="97"/>
  <c r="Q878" i="97"/>
  <c r="N879" i="97"/>
  <c r="O879" i="97"/>
  <c r="P879" i="97"/>
  <c r="Q879" i="97"/>
  <c r="N880" i="97"/>
  <c r="O880" i="97"/>
  <c r="P880" i="97"/>
  <c r="Q880" i="97"/>
  <c r="N881" i="97"/>
  <c r="O881" i="97"/>
  <c r="P881" i="97"/>
  <c r="Q881" i="97"/>
  <c r="N882" i="97"/>
  <c r="O882" i="97"/>
  <c r="P882" i="97"/>
  <c r="Q882" i="97"/>
  <c r="N883" i="97"/>
  <c r="O883" i="97"/>
  <c r="P883" i="97"/>
  <c r="Q883" i="97"/>
  <c r="N884" i="97"/>
  <c r="O884" i="97"/>
  <c r="P884" i="97"/>
  <c r="Q884" i="97"/>
  <c r="N885" i="97"/>
  <c r="O885" i="97"/>
  <c r="P885" i="97"/>
  <c r="Q885" i="97"/>
  <c r="N886" i="97"/>
  <c r="O886" i="97"/>
  <c r="P886" i="97"/>
  <c r="Q886" i="97"/>
  <c r="N887" i="97"/>
  <c r="O887" i="97"/>
  <c r="P887" i="97"/>
  <c r="Q887" i="97"/>
  <c r="N888" i="97"/>
  <c r="O888" i="97"/>
  <c r="P888" i="97"/>
  <c r="Q888" i="97"/>
  <c r="B852" i="97"/>
  <c r="C852" i="97"/>
  <c r="D852" i="97"/>
  <c r="E852" i="97"/>
  <c r="F852" i="97"/>
  <c r="G852" i="97"/>
  <c r="H852" i="97"/>
  <c r="I852" i="97"/>
  <c r="J852" i="97"/>
  <c r="K852" i="97"/>
  <c r="B853" i="97"/>
  <c r="C853" i="97"/>
  <c r="D853" i="97"/>
  <c r="E853" i="97"/>
  <c r="F853" i="97"/>
  <c r="G853" i="97"/>
  <c r="H853" i="97"/>
  <c r="I853" i="97"/>
  <c r="J853" i="97"/>
  <c r="K853" i="97"/>
  <c r="B854" i="97"/>
  <c r="C854" i="97"/>
  <c r="D854" i="97"/>
  <c r="E854" i="97"/>
  <c r="F854" i="97"/>
  <c r="G854" i="97"/>
  <c r="H854" i="97"/>
  <c r="I854" i="97"/>
  <c r="J854" i="97"/>
  <c r="K854" i="97"/>
  <c r="B855" i="97"/>
  <c r="C855" i="97"/>
  <c r="D855" i="97"/>
  <c r="E855" i="97"/>
  <c r="F855" i="97"/>
  <c r="G855" i="97"/>
  <c r="H855" i="97"/>
  <c r="I855" i="97"/>
  <c r="J855" i="97"/>
  <c r="K855" i="97"/>
  <c r="B856" i="97"/>
  <c r="C856" i="97"/>
  <c r="D856" i="97"/>
  <c r="E856" i="97"/>
  <c r="F856" i="97"/>
  <c r="G856" i="97"/>
  <c r="H856" i="97"/>
  <c r="I856" i="97"/>
  <c r="J856" i="97"/>
  <c r="K856" i="97"/>
  <c r="B857" i="97"/>
  <c r="C857" i="97"/>
  <c r="D857" i="97"/>
  <c r="E857" i="97"/>
  <c r="F857" i="97"/>
  <c r="G857" i="97"/>
  <c r="H857" i="97"/>
  <c r="I857" i="97"/>
  <c r="J857" i="97"/>
  <c r="K857" i="97"/>
  <c r="B858" i="97"/>
  <c r="C858" i="97"/>
  <c r="D858" i="97"/>
  <c r="E858" i="97"/>
  <c r="F858" i="97"/>
  <c r="G858" i="97"/>
  <c r="H858" i="97"/>
  <c r="I858" i="97"/>
  <c r="K858" i="97"/>
  <c r="B859" i="97"/>
  <c r="C859" i="97"/>
  <c r="D859" i="97"/>
  <c r="E859" i="97"/>
  <c r="F859" i="97"/>
  <c r="G859" i="97"/>
  <c r="H859" i="97"/>
  <c r="I859" i="97"/>
  <c r="K859" i="97"/>
  <c r="B860" i="97"/>
  <c r="C860" i="97"/>
  <c r="D860" i="97"/>
  <c r="E860" i="97"/>
  <c r="F860" i="97"/>
  <c r="G860" i="97"/>
  <c r="H860" i="97"/>
  <c r="I860" i="97"/>
  <c r="K860" i="97"/>
  <c r="B861" i="97"/>
  <c r="C861" i="97"/>
  <c r="D861" i="97"/>
  <c r="E861" i="97"/>
  <c r="F861" i="97"/>
  <c r="G861" i="97"/>
  <c r="H861" i="97"/>
  <c r="I861" i="97"/>
  <c r="K861" i="97"/>
  <c r="B862" i="97"/>
  <c r="C862" i="97"/>
  <c r="D862" i="97"/>
  <c r="E862" i="97"/>
  <c r="F862" i="97"/>
  <c r="G862" i="97"/>
  <c r="H862" i="97"/>
  <c r="I862" i="97"/>
  <c r="K862" i="97"/>
  <c r="B863" i="97"/>
  <c r="C863" i="97"/>
  <c r="D863" i="97"/>
  <c r="E863" i="97"/>
  <c r="F863" i="97"/>
  <c r="G863" i="97"/>
  <c r="H863" i="97"/>
  <c r="I863" i="97"/>
  <c r="K863" i="97"/>
  <c r="B864" i="97"/>
  <c r="C864" i="97"/>
  <c r="D864" i="97"/>
  <c r="E864" i="97"/>
  <c r="F864" i="97"/>
  <c r="G864" i="97"/>
  <c r="H864" i="97"/>
  <c r="I864" i="97"/>
  <c r="K864" i="97"/>
  <c r="B865" i="97"/>
  <c r="C865" i="97"/>
  <c r="D865" i="97"/>
  <c r="E865" i="97"/>
  <c r="F865" i="97"/>
  <c r="G865" i="97"/>
  <c r="H865" i="97"/>
  <c r="I865" i="97"/>
  <c r="K865" i="97"/>
  <c r="B866" i="97"/>
  <c r="C866" i="97"/>
  <c r="D866" i="97"/>
  <c r="E866" i="97"/>
  <c r="F866" i="97"/>
  <c r="G866" i="97"/>
  <c r="H866" i="97"/>
  <c r="I866" i="97"/>
  <c r="K866" i="97"/>
  <c r="B867" i="97"/>
  <c r="C867" i="97"/>
  <c r="D867" i="97"/>
  <c r="E867" i="97"/>
  <c r="F867" i="97"/>
  <c r="G867" i="97"/>
  <c r="H867" i="97"/>
  <c r="I867" i="97"/>
  <c r="K867" i="97"/>
  <c r="B868" i="97"/>
  <c r="C868" i="97"/>
  <c r="D868" i="97"/>
  <c r="E868" i="97"/>
  <c r="F868" i="97"/>
  <c r="G868" i="97"/>
  <c r="H868" i="97"/>
  <c r="I868" i="97"/>
  <c r="K868" i="97"/>
  <c r="B869" i="97"/>
  <c r="C869" i="97"/>
  <c r="D869" i="97"/>
  <c r="E869" i="97"/>
  <c r="F869" i="97"/>
  <c r="G869" i="97"/>
  <c r="H869" i="97"/>
  <c r="I869" i="97"/>
  <c r="K869" i="97"/>
  <c r="B870" i="97"/>
  <c r="C870" i="97"/>
  <c r="D870" i="97"/>
  <c r="E870" i="97"/>
  <c r="F870" i="97"/>
  <c r="G870" i="97"/>
  <c r="H870" i="97"/>
  <c r="I870" i="97"/>
  <c r="K870" i="97"/>
  <c r="B871" i="97"/>
  <c r="C871" i="97"/>
  <c r="D871" i="97"/>
  <c r="E871" i="97"/>
  <c r="F871" i="97"/>
  <c r="G871" i="97"/>
  <c r="H871" i="97"/>
  <c r="I871" i="97"/>
  <c r="K871" i="97"/>
  <c r="B872" i="97"/>
  <c r="C872" i="97"/>
  <c r="D872" i="97"/>
  <c r="E872" i="97"/>
  <c r="F872" i="97"/>
  <c r="G872" i="97"/>
  <c r="H872" i="97"/>
  <c r="I872" i="97"/>
  <c r="K872" i="97"/>
  <c r="B873" i="97"/>
  <c r="C873" i="97"/>
  <c r="D873" i="97"/>
  <c r="E873" i="97"/>
  <c r="F873" i="97"/>
  <c r="G873" i="97"/>
  <c r="H873" i="97"/>
  <c r="I873" i="97"/>
  <c r="K873" i="97"/>
  <c r="B874" i="97"/>
  <c r="C874" i="97"/>
  <c r="D874" i="97"/>
  <c r="E874" i="97"/>
  <c r="F874" i="97"/>
  <c r="G874" i="97"/>
  <c r="H874" i="97"/>
  <c r="I874" i="97"/>
  <c r="K874" i="97"/>
  <c r="B875" i="97"/>
  <c r="C875" i="97"/>
  <c r="D875" i="97"/>
  <c r="E875" i="97"/>
  <c r="F875" i="97"/>
  <c r="G875" i="97"/>
  <c r="H875" i="97"/>
  <c r="I875" i="97"/>
  <c r="K875" i="97"/>
  <c r="B876" i="97"/>
  <c r="C876" i="97"/>
  <c r="D876" i="97"/>
  <c r="E876" i="97"/>
  <c r="F876" i="97"/>
  <c r="G876" i="97"/>
  <c r="H876" i="97"/>
  <c r="I876" i="97"/>
  <c r="K876" i="97"/>
  <c r="B877" i="97"/>
  <c r="C877" i="97"/>
  <c r="D877" i="97"/>
  <c r="E877" i="97"/>
  <c r="F877" i="97"/>
  <c r="G877" i="97"/>
  <c r="H877" i="97"/>
  <c r="I877" i="97"/>
  <c r="K877" i="97"/>
  <c r="B878" i="97"/>
  <c r="C878" i="97"/>
  <c r="D878" i="97"/>
  <c r="E878" i="97"/>
  <c r="F878" i="97"/>
  <c r="G878" i="97"/>
  <c r="H878" i="97"/>
  <c r="I878" i="97"/>
  <c r="K878" i="97"/>
  <c r="B879" i="97"/>
  <c r="C879" i="97"/>
  <c r="D879" i="97"/>
  <c r="E879" i="97"/>
  <c r="F879" i="97"/>
  <c r="G879" i="97"/>
  <c r="H879" i="97"/>
  <c r="I879" i="97"/>
  <c r="K879" i="97"/>
  <c r="B880" i="97"/>
  <c r="C880" i="97"/>
  <c r="D880" i="97"/>
  <c r="E880" i="97"/>
  <c r="F880" i="97"/>
  <c r="G880" i="97"/>
  <c r="H880" i="97"/>
  <c r="I880" i="97"/>
  <c r="K880" i="97"/>
  <c r="B881" i="97"/>
  <c r="C881" i="97"/>
  <c r="D881" i="97"/>
  <c r="E881" i="97"/>
  <c r="F881" i="97"/>
  <c r="G881" i="97"/>
  <c r="H881" i="97"/>
  <c r="I881" i="97"/>
  <c r="K881" i="97"/>
  <c r="B882" i="97"/>
  <c r="C882" i="97"/>
  <c r="D882" i="97"/>
  <c r="E882" i="97"/>
  <c r="F882" i="97"/>
  <c r="G882" i="97"/>
  <c r="H882" i="97"/>
  <c r="I882" i="97"/>
  <c r="K882" i="97"/>
  <c r="B883" i="97"/>
  <c r="C883" i="97"/>
  <c r="D883" i="97"/>
  <c r="E883" i="97"/>
  <c r="F883" i="97"/>
  <c r="G883" i="97"/>
  <c r="H883" i="97"/>
  <c r="I883" i="97"/>
  <c r="K883" i="97"/>
  <c r="B884" i="97"/>
  <c r="C884" i="97"/>
  <c r="D884" i="97"/>
  <c r="E884" i="97"/>
  <c r="F884" i="97"/>
  <c r="G884" i="97"/>
  <c r="H884" i="97"/>
  <c r="I884" i="97"/>
  <c r="K884" i="97"/>
  <c r="B885" i="97"/>
  <c r="C885" i="97"/>
  <c r="D885" i="97"/>
  <c r="E885" i="97"/>
  <c r="F885" i="97"/>
  <c r="G885" i="97"/>
  <c r="H885" i="97"/>
  <c r="I885" i="97"/>
  <c r="K885" i="97"/>
  <c r="B886" i="97"/>
  <c r="C886" i="97"/>
  <c r="D886" i="97"/>
  <c r="E886" i="97"/>
  <c r="F886" i="97"/>
  <c r="G886" i="97"/>
  <c r="H886" i="97"/>
  <c r="I886" i="97"/>
  <c r="K886" i="97"/>
  <c r="B887" i="97"/>
  <c r="C887" i="97"/>
  <c r="D887" i="97"/>
  <c r="E887" i="97"/>
  <c r="F887" i="97"/>
  <c r="G887" i="97"/>
  <c r="H887" i="97"/>
  <c r="I887" i="97"/>
  <c r="K887" i="97"/>
  <c r="B888" i="97"/>
  <c r="C888" i="97"/>
  <c r="D888" i="97"/>
  <c r="E888" i="97"/>
  <c r="F888" i="97"/>
  <c r="G888" i="97"/>
  <c r="H888" i="97"/>
  <c r="I888" i="97"/>
  <c r="K888" i="97"/>
  <c r="Q851" i="97"/>
  <c r="P851" i="97"/>
  <c r="O851" i="97"/>
  <c r="N851" i="97"/>
  <c r="K851" i="97"/>
  <c r="J851" i="97"/>
  <c r="I851" i="97"/>
  <c r="H851" i="97"/>
  <c r="G851" i="97"/>
  <c r="F851" i="97"/>
  <c r="E851" i="97"/>
  <c r="D851" i="97"/>
  <c r="C851" i="97"/>
  <c r="B851" i="97"/>
  <c r="O848" i="97"/>
  <c r="P847" i="97"/>
  <c r="P846" i="97"/>
  <c r="G847" i="97"/>
  <c r="G846" i="97"/>
  <c r="B834" i="97"/>
  <c r="M829" i="97"/>
  <c r="L829" i="97"/>
  <c r="K829" i="97"/>
  <c r="J829" i="97"/>
  <c r="I829" i="97"/>
  <c r="M828" i="97"/>
  <c r="L828" i="97"/>
  <c r="K828" i="97"/>
  <c r="J828" i="97"/>
  <c r="I828" i="97"/>
  <c r="M827" i="97"/>
  <c r="L827" i="97"/>
  <c r="K827" i="97"/>
  <c r="J827" i="97"/>
  <c r="I827" i="97"/>
  <c r="M826" i="97"/>
  <c r="L826" i="97"/>
  <c r="K826" i="97"/>
  <c r="J826" i="97"/>
  <c r="I826" i="97"/>
  <c r="M825" i="97"/>
  <c r="L825" i="97"/>
  <c r="K825" i="97"/>
  <c r="J825" i="97"/>
  <c r="I825" i="97"/>
  <c r="M824" i="97"/>
  <c r="L824" i="97"/>
  <c r="K824" i="97"/>
  <c r="J824" i="97"/>
  <c r="I824" i="97"/>
  <c r="M823" i="97"/>
  <c r="L823" i="97"/>
  <c r="K823" i="97"/>
  <c r="J823" i="97"/>
  <c r="I823" i="97"/>
  <c r="M822" i="97"/>
  <c r="L822" i="97"/>
  <c r="K822" i="97"/>
  <c r="J822" i="97"/>
  <c r="I822" i="97"/>
  <c r="M821" i="97"/>
  <c r="L821" i="97"/>
  <c r="K821" i="97"/>
  <c r="J821" i="97"/>
  <c r="I821" i="97"/>
  <c r="M820" i="97"/>
  <c r="L820" i="97"/>
  <c r="K820" i="97"/>
  <c r="J820" i="97"/>
  <c r="I820" i="97"/>
  <c r="I804" i="97"/>
  <c r="J804" i="97"/>
  <c r="K804" i="97"/>
  <c r="L804" i="97"/>
  <c r="M804" i="97"/>
  <c r="I805" i="97"/>
  <c r="J805" i="97"/>
  <c r="K805" i="97"/>
  <c r="L805" i="97"/>
  <c r="M805" i="97"/>
  <c r="I806" i="97"/>
  <c r="J806" i="97"/>
  <c r="K806" i="97"/>
  <c r="L806" i="97"/>
  <c r="M806" i="97"/>
  <c r="I807" i="97"/>
  <c r="J807" i="97"/>
  <c r="K807" i="97"/>
  <c r="L807" i="97"/>
  <c r="M807" i="97"/>
  <c r="I808" i="97"/>
  <c r="J808" i="97"/>
  <c r="K808" i="97"/>
  <c r="L808" i="97"/>
  <c r="M808" i="97"/>
  <c r="I809" i="97"/>
  <c r="J809" i="97"/>
  <c r="K809" i="97"/>
  <c r="L809" i="97"/>
  <c r="M809" i="97"/>
  <c r="I810" i="97"/>
  <c r="J810" i="97"/>
  <c r="K810" i="97"/>
  <c r="L810" i="97"/>
  <c r="M810" i="97"/>
  <c r="I811" i="97"/>
  <c r="J811" i="97"/>
  <c r="K811" i="97"/>
  <c r="L811" i="97"/>
  <c r="M811" i="97"/>
  <c r="I812" i="97"/>
  <c r="J812" i="97"/>
  <c r="K812" i="97"/>
  <c r="L812" i="97"/>
  <c r="M812" i="97"/>
  <c r="J803" i="97"/>
  <c r="K803" i="97"/>
  <c r="L803" i="97"/>
  <c r="M803" i="97"/>
  <c r="I803" i="97"/>
  <c r="G829" i="97"/>
  <c r="F829" i="97"/>
  <c r="G828" i="97"/>
  <c r="F828" i="97"/>
  <c r="G827" i="97"/>
  <c r="F827" i="97"/>
  <c r="G826" i="97"/>
  <c r="F826" i="97"/>
  <c r="G825" i="97"/>
  <c r="F825" i="97"/>
  <c r="G824" i="97"/>
  <c r="F824" i="97"/>
  <c r="G823" i="97"/>
  <c r="F823" i="97"/>
  <c r="G822" i="97"/>
  <c r="F822" i="97"/>
  <c r="G821" i="97"/>
  <c r="F821" i="97"/>
  <c r="G820" i="97"/>
  <c r="F820" i="97"/>
  <c r="F804" i="97"/>
  <c r="G804" i="97"/>
  <c r="F805" i="97"/>
  <c r="G805" i="97"/>
  <c r="F806" i="97"/>
  <c r="G806" i="97"/>
  <c r="F807" i="97"/>
  <c r="G807" i="97"/>
  <c r="F808" i="97"/>
  <c r="G808" i="97"/>
  <c r="F809" i="97"/>
  <c r="G809" i="97"/>
  <c r="F810" i="97"/>
  <c r="G810" i="97"/>
  <c r="F811" i="97"/>
  <c r="G811" i="97"/>
  <c r="F812" i="97"/>
  <c r="G812" i="97"/>
  <c r="G803" i="97"/>
  <c r="F803" i="97"/>
  <c r="C829" i="97"/>
  <c r="C812" i="97"/>
  <c r="E827" i="97"/>
  <c r="E810" i="97"/>
  <c r="D822" i="97"/>
  <c r="D821" i="97"/>
  <c r="D820" i="97"/>
  <c r="D804" i="97"/>
  <c r="D805" i="97"/>
  <c r="D803" i="97"/>
  <c r="L816" i="97"/>
  <c r="I816" i="97"/>
  <c r="I815" i="97"/>
  <c r="L799" i="97"/>
  <c r="I799" i="97"/>
  <c r="I798" i="97"/>
  <c r="B794" i="97"/>
  <c r="A792" i="97"/>
  <c r="L813" i="97" l="1"/>
  <c r="L830" i="97"/>
  <c r="I830" i="97"/>
  <c r="M830" i="97"/>
  <c r="I813" i="97"/>
  <c r="K813" i="97"/>
  <c r="J830" i="97"/>
  <c r="K830" i="97"/>
  <c r="J813" i="97"/>
  <c r="M813" i="97"/>
  <c r="F772" i="97"/>
  <c r="F755" i="97"/>
  <c r="F766" i="97"/>
  <c r="F761" i="97"/>
  <c r="H784" i="97"/>
  <c r="F784" i="97"/>
  <c r="H778" i="97"/>
  <c r="F778" i="97"/>
  <c r="H749" i="97"/>
  <c r="F749" i="97"/>
  <c r="H743" i="97"/>
  <c r="F743" i="97"/>
  <c r="H738" i="97"/>
  <c r="F738" i="97"/>
  <c r="F732" i="97"/>
  <c r="H732" i="97"/>
  <c r="H726" i="97"/>
  <c r="F726" i="97"/>
  <c r="H721" i="97"/>
  <c r="F721" i="97"/>
  <c r="H716" i="97"/>
  <c r="F716" i="97"/>
  <c r="S700" i="97"/>
  <c r="S197" i="78"/>
  <c r="A704" i="97" l="1"/>
  <c r="Q691" i="97"/>
  <c r="N691" i="97"/>
  <c r="T688" i="97"/>
  <c r="P672" i="97"/>
  <c r="M672" i="97"/>
  <c r="J672" i="97"/>
  <c r="R668" i="97"/>
  <c r="P668" i="97"/>
  <c r="J668" i="97"/>
  <c r="H668" i="97"/>
  <c r="C661" i="97"/>
  <c r="E594" i="97"/>
  <c r="E593" i="97"/>
  <c r="P661" i="97"/>
  <c r="P660" i="97"/>
  <c r="P659" i="97"/>
  <c r="P658" i="97"/>
  <c r="P657" i="97"/>
  <c r="P656" i="97"/>
  <c r="J657" i="97"/>
  <c r="J658" i="97"/>
  <c r="J659" i="97"/>
  <c r="J660" i="97"/>
  <c r="J661" i="97"/>
  <c r="J656" i="97"/>
  <c r="C646" i="97"/>
  <c r="C637" i="97"/>
  <c r="C622" i="97"/>
  <c r="C616" i="97"/>
  <c r="C615" i="97"/>
  <c r="C605" i="97"/>
  <c r="C588" i="97"/>
  <c r="C575" i="97"/>
  <c r="C574" i="97"/>
  <c r="C549" i="97"/>
  <c r="C519" i="97"/>
  <c r="C520" i="97"/>
  <c r="C518" i="97"/>
  <c r="S637" i="97"/>
  <c r="S636" i="97"/>
  <c r="S635" i="97"/>
  <c r="S634" i="97"/>
  <c r="S633" i="97"/>
  <c r="S632" i="97"/>
  <c r="S646" i="97"/>
  <c r="S645" i="97"/>
  <c r="P646" i="97"/>
  <c r="P645" i="97"/>
  <c r="M646" i="97"/>
  <c r="M645" i="97"/>
  <c r="J646" i="97"/>
  <c r="J645" i="97"/>
  <c r="G646" i="97"/>
  <c r="G645" i="97"/>
  <c r="P637" i="97"/>
  <c r="P636" i="97"/>
  <c r="M637" i="97"/>
  <c r="M636" i="97"/>
  <c r="J637" i="97"/>
  <c r="J636" i="97"/>
  <c r="G633" i="97"/>
  <c r="G634" i="97"/>
  <c r="G635" i="97"/>
  <c r="G636" i="97"/>
  <c r="G637" i="97"/>
  <c r="S629" i="97"/>
  <c r="S628" i="97"/>
  <c r="S627" i="97"/>
  <c r="P629" i="97"/>
  <c r="P628" i="97"/>
  <c r="P627" i="97"/>
  <c r="M629" i="97"/>
  <c r="M628" i="97"/>
  <c r="M627" i="97"/>
  <c r="J629" i="97"/>
  <c r="J628" i="97"/>
  <c r="J627" i="97"/>
  <c r="G628" i="97"/>
  <c r="G629" i="97"/>
  <c r="S622" i="97"/>
  <c r="S621" i="97"/>
  <c r="S620" i="97"/>
  <c r="S619" i="97"/>
  <c r="G620" i="97"/>
  <c r="G621" i="97"/>
  <c r="G622" i="97"/>
  <c r="S616" i="97"/>
  <c r="S615" i="97"/>
  <c r="S614" i="97"/>
  <c r="S613" i="97"/>
  <c r="S612" i="97"/>
  <c r="S611" i="97"/>
  <c r="S610" i="97"/>
  <c r="S609" i="97"/>
  <c r="S608" i="97"/>
  <c r="G609" i="97"/>
  <c r="G610" i="97"/>
  <c r="G611" i="97"/>
  <c r="G612" i="97"/>
  <c r="G613" i="97"/>
  <c r="G614" i="97"/>
  <c r="G615" i="97"/>
  <c r="G616" i="97"/>
  <c r="S605" i="97"/>
  <c r="S604" i="97"/>
  <c r="S603" i="97"/>
  <c r="S602" i="97"/>
  <c r="S601" i="97"/>
  <c r="S600" i="97"/>
  <c r="G601" i="97"/>
  <c r="G602" i="97"/>
  <c r="G603" i="97"/>
  <c r="G604" i="97"/>
  <c r="G605" i="97"/>
  <c r="S594" i="97"/>
  <c r="S593" i="97"/>
  <c r="S592" i="97"/>
  <c r="S591" i="97"/>
  <c r="P594" i="97"/>
  <c r="P593" i="97"/>
  <c r="P592" i="97"/>
  <c r="P591" i="97"/>
  <c r="M594" i="97"/>
  <c r="M593" i="97"/>
  <c r="M592" i="97"/>
  <c r="M591" i="97"/>
  <c r="J594" i="97"/>
  <c r="J593" i="97"/>
  <c r="J592" i="97"/>
  <c r="J591" i="97"/>
  <c r="G592" i="97"/>
  <c r="G593" i="97"/>
  <c r="G594" i="97"/>
  <c r="G632" i="97"/>
  <c r="G627" i="97"/>
  <c r="S625" i="97"/>
  <c r="P625" i="97"/>
  <c r="M625" i="97"/>
  <c r="J625" i="97"/>
  <c r="G625" i="97"/>
  <c r="G619" i="97"/>
  <c r="G608" i="97"/>
  <c r="G600" i="97"/>
  <c r="G591" i="97"/>
  <c r="S588" i="97"/>
  <c r="S587" i="97"/>
  <c r="S586" i="97"/>
  <c r="S585" i="97"/>
  <c r="S584" i="97"/>
  <c r="S583" i="97"/>
  <c r="S582" i="97"/>
  <c r="S581" i="97"/>
  <c r="S580" i="97"/>
  <c r="S579" i="97"/>
  <c r="S578" i="97"/>
  <c r="P588" i="97"/>
  <c r="P587" i="97"/>
  <c r="P586" i="97"/>
  <c r="P585" i="97"/>
  <c r="P584" i="97"/>
  <c r="P583" i="97"/>
  <c r="P582" i="97"/>
  <c r="P581" i="97"/>
  <c r="P580" i="97"/>
  <c r="P579" i="97"/>
  <c r="P578" i="97"/>
  <c r="M588" i="97"/>
  <c r="M587" i="97"/>
  <c r="M586" i="97"/>
  <c r="M585" i="97"/>
  <c r="M584" i="97"/>
  <c r="M583" i="97"/>
  <c r="M582" i="97"/>
  <c r="M581" i="97"/>
  <c r="M580" i="97"/>
  <c r="M579" i="97"/>
  <c r="M578" i="97"/>
  <c r="J588" i="97"/>
  <c r="J587" i="97"/>
  <c r="J586" i="97"/>
  <c r="J585" i="97"/>
  <c r="J584" i="97"/>
  <c r="J583" i="97"/>
  <c r="J582" i="97"/>
  <c r="J581" i="97"/>
  <c r="J580" i="97"/>
  <c r="J579" i="97"/>
  <c r="J578" i="97"/>
  <c r="G588" i="97"/>
  <c r="G587" i="97"/>
  <c r="G586" i="97"/>
  <c r="G585" i="97"/>
  <c r="G584" i="97"/>
  <c r="G583" i="97"/>
  <c r="G582" i="97"/>
  <c r="G581" i="97"/>
  <c r="G580" i="97"/>
  <c r="G579" i="97"/>
  <c r="G578" i="97"/>
  <c r="S575" i="97"/>
  <c r="S574" i="97"/>
  <c r="S573" i="97"/>
  <c r="S572" i="97"/>
  <c r="S571" i="97"/>
  <c r="S570" i="97"/>
  <c r="S569" i="97"/>
  <c r="S568" i="97"/>
  <c r="S567" i="97"/>
  <c r="S566" i="97"/>
  <c r="S565" i="97"/>
  <c r="S564" i="97"/>
  <c r="P575" i="97"/>
  <c r="P574" i="97"/>
  <c r="P573" i="97"/>
  <c r="P572" i="97"/>
  <c r="P571" i="97"/>
  <c r="P570" i="97"/>
  <c r="P569" i="97"/>
  <c r="P568" i="97"/>
  <c r="P567" i="97"/>
  <c r="P566" i="97"/>
  <c r="P565" i="97"/>
  <c r="P564" i="97"/>
  <c r="M575" i="97"/>
  <c r="M574" i="97"/>
  <c r="M573" i="97"/>
  <c r="M572" i="97"/>
  <c r="M571" i="97"/>
  <c r="M570" i="97"/>
  <c r="M569" i="97"/>
  <c r="M568" i="97"/>
  <c r="M567" i="97"/>
  <c r="M566" i="97"/>
  <c r="M565" i="97"/>
  <c r="M564" i="97"/>
  <c r="J575" i="97"/>
  <c r="J574" i="97"/>
  <c r="J573" i="97"/>
  <c r="J572" i="97"/>
  <c r="J571" i="97"/>
  <c r="J570" i="97"/>
  <c r="J569" i="97"/>
  <c r="J568" i="97"/>
  <c r="J567" i="97"/>
  <c r="J566" i="97"/>
  <c r="J565" i="97"/>
  <c r="J564" i="97"/>
  <c r="G565" i="97"/>
  <c r="G566" i="97"/>
  <c r="G567" i="97"/>
  <c r="G568" i="97"/>
  <c r="G569" i="97"/>
  <c r="G570" i="97"/>
  <c r="G571" i="97"/>
  <c r="G572" i="97"/>
  <c r="G573" i="97"/>
  <c r="G574" i="97"/>
  <c r="G575" i="97"/>
  <c r="J530" i="97"/>
  <c r="J529" i="97"/>
  <c r="S543" i="97"/>
  <c r="S542" i="97"/>
  <c r="S541" i="97"/>
  <c r="M543" i="97"/>
  <c r="M542" i="97"/>
  <c r="M541" i="97"/>
  <c r="P543" i="97"/>
  <c r="P542" i="97"/>
  <c r="P541" i="97"/>
  <c r="S538" i="97"/>
  <c r="S537" i="97"/>
  <c r="S536" i="97"/>
  <c r="S535" i="97"/>
  <c r="S534" i="97"/>
  <c r="S533" i="97"/>
  <c r="P538" i="97"/>
  <c r="P537" i="97"/>
  <c r="P536" i="97"/>
  <c r="P535" i="97"/>
  <c r="P534" i="97"/>
  <c r="P533" i="97"/>
  <c r="M538" i="97"/>
  <c r="M537" i="97"/>
  <c r="M536" i="97"/>
  <c r="M535" i="97"/>
  <c r="M534" i="97"/>
  <c r="M533" i="97"/>
  <c r="J538" i="97"/>
  <c r="J537" i="97"/>
  <c r="J536" i="97"/>
  <c r="J535" i="97"/>
  <c r="J534" i="97"/>
  <c r="J533" i="97"/>
  <c r="G534" i="97"/>
  <c r="G535" i="97"/>
  <c r="G536" i="97"/>
  <c r="G537" i="97"/>
  <c r="G538" i="97"/>
  <c r="G530" i="97"/>
  <c r="S530" i="97"/>
  <c r="S524" i="97"/>
  <c r="S525" i="97"/>
  <c r="S526" i="97"/>
  <c r="M526" i="97"/>
  <c r="G524" i="97"/>
  <c r="G525" i="97"/>
  <c r="G526" i="97"/>
  <c r="G564" i="97"/>
  <c r="S558" i="97"/>
  <c r="P558" i="97"/>
  <c r="M558" i="97"/>
  <c r="P549" i="97"/>
  <c r="S549" i="97"/>
  <c r="M549" i="97"/>
  <c r="J549" i="97"/>
  <c r="G549" i="97"/>
  <c r="G533" i="97"/>
  <c r="S529" i="97"/>
  <c r="S523" i="97"/>
  <c r="M525" i="97"/>
  <c r="P529" i="97"/>
  <c r="M529" i="97"/>
  <c r="G529" i="97"/>
  <c r="G523" i="97"/>
  <c r="S520" i="97"/>
  <c r="S519" i="97"/>
  <c r="S518" i="97"/>
  <c r="S517" i="97"/>
  <c r="S516" i="97"/>
  <c r="S515" i="97"/>
  <c r="S514" i="97"/>
  <c r="S513" i="97"/>
  <c r="S512" i="97"/>
  <c r="P520" i="97"/>
  <c r="P519" i="97"/>
  <c r="P518" i="97"/>
  <c r="P517" i="97"/>
  <c r="P516" i="97"/>
  <c r="P515" i="97"/>
  <c r="P514" i="97"/>
  <c r="P513" i="97"/>
  <c r="P512" i="97"/>
  <c r="M520" i="97"/>
  <c r="M519" i="97"/>
  <c r="M518" i="97"/>
  <c r="M517" i="97"/>
  <c r="M516" i="97"/>
  <c r="M515" i="97"/>
  <c r="M514" i="97"/>
  <c r="M513" i="97"/>
  <c r="M512" i="97"/>
  <c r="J520" i="97"/>
  <c r="J519" i="97"/>
  <c r="J518" i="97"/>
  <c r="J517" i="97"/>
  <c r="J516" i="97"/>
  <c r="J515" i="97"/>
  <c r="J514" i="97"/>
  <c r="J513" i="97"/>
  <c r="J512" i="97"/>
  <c r="G513" i="97"/>
  <c r="G514" i="97"/>
  <c r="G515" i="97"/>
  <c r="G516" i="97"/>
  <c r="G517" i="97"/>
  <c r="G518" i="97"/>
  <c r="G519" i="97"/>
  <c r="G520" i="97"/>
  <c r="G512" i="97"/>
  <c r="G589" i="97" l="1"/>
  <c r="A500" i="97"/>
  <c r="C493" i="97"/>
  <c r="C491" i="97"/>
  <c r="I484" i="97"/>
  <c r="I485" i="97"/>
  <c r="I486" i="97"/>
  <c r="I487" i="97"/>
  <c r="I488" i="97"/>
  <c r="I489" i="97"/>
  <c r="I490" i="97"/>
  <c r="I492" i="97"/>
  <c r="I493" i="97"/>
  <c r="E484" i="97"/>
  <c r="E485" i="97"/>
  <c r="E486" i="97"/>
  <c r="E487" i="97"/>
  <c r="E488" i="97"/>
  <c r="E489" i="97"/>
  <c r="E490" i="97"/>
  <c r="E491" i="97"/>
  <c r="E492" i="97"/>
  <c r="E493" i="97"/>
  <c r="I483" i="97"/>
  <c r="E483" i="97"/>
  <c r="N479" i="97"/>
  <c r="M479" i="97"/>
  <c r="L479" i="97"/>
  <c r="K479" i="97"/>
  <c r="P475" i="97"/>
  <c r="P476" i="97"/>
  <c r="P477" i="97"/>
  <c r="N475" i="97"/>
  <c r="N476" i="97"/>
  <c r="N477" i="97"/>
  <c r="M475" i="97"/>
  <c r="M476" i="97"/>
  <c r="M477" i="97"/>
  <c r="L475" i="97"/>
  <c r="L476" i="97"/>
  <c r="L477" i="97"/>
  <c r="K475" i="97"/>
  <c r="K476" i="97"/>
  <c r="K477" i="97"/>
  <c r="I475" i="97"/>
  <c r="I476" i="97"/>
  <c r="I477" i="97"/>
  <c r="I478" i="97"/>
  <c r="E475" i="97"/>
  <c r="E476" i="97"/>
  <c r="E477" i="97"/>
  <c r="E478" i="97"/>
  <c r="E479" i="97"/>
  <c r="N474" i="97"/>
  <c r="M474" i="97"/>
  <c r="L474" i="97"/>
  <c r="K474" i="97"/>
  <c r="C477" i="97"/>
  <c r="I474" i="97"/>
  <c r="E474" i="97"/>
  <c r="D465" i="97"/>
  <c r="D466" i="97"/>
  <c r="D464" i="97"/>
  <c r="P457" i="97"/>
  <c r="P458" i="97"/>
  <c r="N457" i="97"/>
  <c r="N458" i="97"/>
  <c r="L457" i="97"/>
  <c r="L458" i="97"/>
  <c r="L459" i="97"/>
  <c r="L460" i="97"/>
  <c r="L461" i="97"/>
  <c r="L462" i="97"/>
  <c r="L463" i="97"/>
  <c r="L464" i="97"/>
  <c r="L465" i="97"/>
  <c r="L466" i="97"/>
  <c r="H466" i="97"/>
  <c r="H465" i="97"/>
  <c r="H464" i="97"/>
  <c r="H463" i="97"/>
  <c r="H462" i="97"/>
  <c r="H461" i="97"/>
  <c r="H460" i="97"/>
  <c r="H459" i="97"/>
  <c r="H457" i="97"/>
  <c r="H458" i="97"/>
  <c r="P456" i="97"/>
  <c r="N456" i="97"/>
  <c r="L456" i="97"/>
  <c r="H456" i="97"/>
  <c r="F444" i="97"/>
  <c r="F445" i="97"/>
  <c r="F446" i="97"/>
  <c r="F443" i="97"/>
  <c r="H447" i="97"/>
  <c r="H442" i="97"/>
  <c r="I450" i="97"/>
  <c r="I441" i="97"/>
  <c r="I440" i="97"/>
  <c r="E445" i="97"/>
  <c r="E443" i="97"/>
  <c r="E450" i="97"/>
  <c r="E449" i="97"/>
  <c r="E448" i="97"/>
  <c r="E447" i="97"/>
  <c r="L450" i="97"/>
  <c r="L449" i="97"/>
  <c r="L448" i="97"/>
  <c r="L447" i="97"/>
  <c r="L446" i="97"/>
  <c r="L445" i="97"/>
  <c r="L444" i="97"/>
  <c r="L443" i="97"/>
  <c r="L442" i="97"/>
  <c r="L441" i="97"/>
  <c r="L440" i="97"/>
  <c r="E441" i="97"/>
  <c r="E440" i="97"/>
  <c r="B441" i="97"/>
  <c r="B442" i="97"/>
  <c r="B443" i="97"/>
  <c r="B444" i="97"/>
  <c r="B445" i="97"/>
  <c r="B446" i="97"/>
  <c r="B447" i="97"/>
  <c r="B448" i="97"/>
  <c r="B449" i="97"/>
  <c r="B450" i="97"/>
  <c r="B440" i="97"/>
  <c r="A431" i="97" l="1"/>
  <c r="E417" i="97"/>
  <c r="I417" i="97"/>
  <c r="J417" i="97"/>
  <c r="K417" i="97"/>
  <c r="L417" i="97"/>
  <c r="M417" i="97"/>
  <c r="N417" i="97"/>
  <c r="E418" i="97"/>
  <c r="I418" i="97"/>
  <c r="J418" i="97"/>
  <c r="K418" i="97"/>
  <c r="L418" i="97"/>
  <c r="M418" i="97"/>
  <c r="N418" i="97"/>
  <c r="E419" i="97"/>
  <c r="I419" i="97"/>
  <c r="J419" i="97"/>
  <c r="K419" i="97"/>
  <c r="L419" i="97"/>
  <c r="M419" i="97"/>
  <c r="N419" i="97"/>
  <c r="E420" i="97"/>
  <c r="I420" i="97"/>
  <c r="J420" i="97"/>
  <c r="K420" i="97"/>
  <c r="L420" i="97"/>
  <c r="M420" i="97"/>
  <c r="N420" i="97"/>
  <c r="E421" i="97"/>
  <c r="I421" i="97"/>
  <c r="J421" i="97"/>
  <c r="K421" i="97"/>
  <c r="L421" i="97"/>
  <c r="M421" i="97"/>
  <c r="N421" i="97"/>
  <c r="E422" i="97"/>
  <c r="I422" i="97"/>
  <c r="J422" i="97"/>
  <c r="K422" i="97"/>
  <c r="L422" i="97"/>
  <c r="M422" i="97"/>
  <c r="N422" i="97"/>
  <c r="E423" i="97"/>
  <c r="I423" i="97"/>
  <c r="J423" i="97"/>
  <c r="K423" i="97"/>
  <c r="L423" i="97"/>
  <c r="M423" i="97"/>
  <c r="N423" i="97"/>
  <c r="E424" i="97"/>
  <c r="I424" i="97"/>
  <c r="J424" i="97"/>
  <c r="K424" i="97"/>
  <c r="L424" i="97"/>
  <c r="M424" i="97"/>
  <c r="N424" i="97"/>
  <c r="E425" i="97"/>
  <c r="I425" i="97"/>
  <c r="J425" i="97"/>
  <c r="K425" i="97"/>
  <c r="L425" i="97"/>
  <c r="M425" i="97"/>
  <c r="N425" i="97"/>
  <c r="E426" i="97"/>
  <c r="I426" i="97"/>
  <c r="J426" i="97"/>
  <c r="K426" i="97"/>
  <c r="L426" i="97"/>
  <c r="M426" i="97"/>
  <c r="N426" i="97"/>
  <c r="E427" i="97"/>
  <c r="I427" i="97"/>
  <c r="J427" i="97"/>
  <c r="K427" i="97"/>
  <c r="L427" i="97"/>
  <c r="M427" i="97"/>
  <c r="N427" i="97"/>
  <c r="E428" i="97"/>
  <c r="I428" i="97"/>
  <c r="J428" i="97"/>
  <c r="K428" i="97"/>
  <c r="L428" i="97"/>
  <c r="M428" i="97"/>
  <c r="N428" i="97"/>
  <c r="N416" i="97"/>
  <c r="M416" i="97"/>
  <c r="L416" i="97"/>
  <c r="K416" i="97"/>
  <c r="J416" i="97"/>
  <c r="I416" i="97"/>
  <c r="E416" i="97"/>
  <c r="C407" i="97"/>
  <c r="H400" i="97"/>
  <c r="I400" i="97"/>
  <c r="H401" i="97"/>
  <c r="I401" i="97"/>
  <c r="H402" i="97"/>
  <c r="I402" i="97"/>
  <c r="H403" i="97"/>
  <c r="I403" i="97"/>
  <c r="H404" i="97"/>
  <c r="I404" i="97"/>
  <c r="H405" i="97"/>
  <c r="I405" i="97"/>
  <c r="H406" i="97"/>
  <c r="I406" i="97"/>
  <c r="H407" i="97"/>
  <c r="I407" i="97"/>
  <c r="I399" i="97"/>
  <c r="H399" i="97"/>
  <c r="M395" i="97"/>
  <c r="J395" i="97"/>
  <c r="H395" i="97"/>
  <c r="Q394" i="97"/>
  <c r="H394" i="97"/>
  <c r="Q393" i="97"/>
  <c r="L393" i="97"/>
  <c r="H393" i="97"/>
  <c r="M391" i="97"/>
  <c r="J391" i="97"/>
  <c r="H391" i="97"/>
  <c r="Q390" i="97"/>
  <c r="H390" i="97"/>
  <c r="Q389" i="97"/>
  <c r="L389" i="97"/>
  <c r="H389" i="97"/>
  <c r="M387" i="97"/>
  <c r="J387" i="97"/>
  <c r="H387" i="97"/>
  <c r="Q386" i="97"/>
  <c r="H386" i="97"/>
  <c r="Q385" i="97"/>
  <c r="L385" i="97"/>
  <c r="H385" i="97"/>
  <c r="M383" i="97"/>
  <c r="J383" i="97"/>
  <c r="H383" i="97"/>
  <c r="Q382" i="97"/>
  <c r="H382" i="97"/>
  <c r="Q381" i="97"/>
  <c r="L381" i="97"/>
  <c r="H381" i="97"/>
  <c r="M379" i="97"/>
  <c r="J379" i="97"/>
  <c r="H379" i="97"/>
  <c r="Q378" i="97"/>
  <c r="H378" i="97"/>
  <c r="Q377" i="97"/>
  <c r="L377" i="97"/>
  <c r="H377" i="97"/>
  <c r="M375" i="97"/>
  <c r="J375" i="97"/>
  <c r="H375" i="97"/>
  <c r="Q374" i="97"/>
  <c r="H374" i="97"/>
  <c r="Q373" i="97"/>
  <c r="L373" i="97"/>
  <c r="H373" i="97"/>
  <c r="M371" i="97"/>
  <c r="J371" i="97"/>
  <c r="H371" i="97"/>
  <c r="Q370" i="97"/>
  <c r="H370" i="97"/>
  <c r="Q369" i="97"/>
  <c r="L369" i="97"/>
  <c r="H369" i="97"/>
  <c r="H367" i="97"/>
  <c r="M367" i="97"/>
  <c r="Q366" i="97"/>
  <c r="H366" i="97"/>
  <c r="J367" i="97"/>
  <c r="Q365" i="97"/>
  <c r="L365" i="97"/>
  <c r="H365" i="97"/>
  <c r="L296" i="97"/>
  <c r="J296" i="97"/>
  <c r="H296" i="97"/>
  <c r="Q295" i="97"/>
  <c r="L295" i="97"/>
  <c r="H295" i="97"/>
  <c r="Q294" i="97"/>
  <c r="L294" i="97"/>
  <c r="H294" i="97"/>
  <c r="Q293" i="97"/>
  <c r="H293" i="97"/>
  <c r="Q292" i="97"/>
  <c r="H292" i="97"/>
  <c r="L322" i="97"/>
  <c r="J322" i="97"/>
  <c r="H322" i="97"/>
  <c r="Q321" i="97"/>
  <c r="L321" i="97"/>
  <c r="H321" i="97"/>
  <c r="Q320" i="97"/>
  <c r="L320" i="97"/>
  <c r="H320" i="97"/>
  <c r="Q319" i="97"/>
  <c r="H319" i="97"/>
  <c r="Q318" i="97"/>
  <c r="H318" i="97"/>
  <c r="L360" i="97"/>
  <c r="J360" i="97"/>
  <c r="H360" i="97"/>
  <c r="Q359" i="97"/>
  <c r="L359" i="97"/>
  <c r="H359" i="97"/>
  <c r="Q358" i="97"/>
  <c r="L358" i="97"/>
  <c r="H358" i="97"/>
  <c r="Q357" i="97"/>
  <c r="H357" i="97"/>
  <c r="Q356" i="97"/>
  <c r="H356" i="97"/>
  <c r="L354" i="97"/>
  <c r="J354" i="97"/>
  <c r="H354" i="97"/>
  <c r="Q353" i="97"/>
  <c r="L353" i="97"/>
  <c r="H353" i="97"/>
  <c r="Q352" i="97"/>
  <c r="L352" i="97"/>
  <c r="H352" i="97"/>
  <c r="Q351" i="97"/>
  <c r="H351" i="97"/>
  <c r="Q350" i="97"/>
  <c r="H350" i="97"/>
  <c r="L348" i="97"/>
  <c r="J348" i="97"/>
  <c r="H348" i="97"/>
  <c r="Q347" i="97"/>
  <c r="L347" i="97"/>
  <c r="H347" i="97"/>
  <c r="Q346" i="97"/>
  <c r="L346" i="97"/>
  <c r="H346" i="97"/>
  <c r="Q345" i="97"/>
  <c r="H345" i="97"/>
  <c r="Q344" i="97"/>
  <c r="H344" i="97"/>
  <c r="L342" i="97"/>
  <c r="J342" i="97"/>
  <c r="H342" i="97"/>
  <c r="Q341" i="97"/>
  <c r="L341" i="97"/>
  <c r="H341" i="97"/>
  <c r="Q340" i="97"/>
  <c r="L340" i="97"/>
  <c r="H340" i="97"/>
  <c r="Q339" i="97"/>
  <c r="H339" i="97"/>
  <c r="Q338" i="97"/>
  <c r="H338" i="97"/>
  <c r="L336" i="97"/>
  <c r="J336" i="97"/>
  <c r="H336" i="97"/>
  <c r="Q335" i="97"/>
  <c r="L335" i="97"/>
  <c r="H335" i="97"/>
  <c r="Q334" i="97"/>
  <c r="L334" i="97"/>
  <c r="H334" i="97"/>
  <c r="Q333" i="97"/>
  <c r="H333" i="97"/>
  <c r="Q332" i="97"/>
  <c r="H332" i="97"/>
  <c r="L330" i="97"/>
  <c r="J330" i="97"/>
  <c r="H330" i="97"/>
  <c r="Q329" i="97"/>
  <c r="L329" i="97"/>
  <c r="H329" i="97"/>
  <c r="Q328" i="97"/>
  <c r="L328" i="97"/>
  <c r="H328" i="97"/>
  <c r="Q327" i="97"/>
  <c r="H327" i="97"/>
  <c r="Q326" i="97"/>
  <c r="H326" i="97"/>
  <c r="L316" i="97"/>
  <c r="J316" i="97"/>
  <c r="H316" i="97"/>
  <c r="Q315" i="97"/>
  <c r="L315" i="97"/>
  <c r="H315" i="97"/>
  <c r="Q314" i="97"/>
  <c r="L314" i="97"/>
  <c r="H314" i="97"/>
  <c r="Q313" i="97"/>
  <c r="H313" i="97"/>
  <c r="Q312" i="97"/>
  <c r="H312" i="97"/>
  <c r="L310" i="97"/>
  <c r="J310" i="97"/>
  <c r="H310" i="97"/>
  <c r="Q309" i="97"/>
  <c r="L309" i="97"/>
  <c r="H309" i="97"/>
  <c r="Q308" i="97"/>
  <c r="L308" i="97"/>
  <c r="H308" i="97"/>
  <c r="Q307" i="97"/>
  <c r="H307" i="97"/>
  <c r="Q306" i="97"/>
  <c r="H306" i="97"/>
  <c r="L304" i="97"/>
  <c r="J304" i="97"/>
  <c r="H304" i="97"/>
  <c r="Q303" i="97"/>
  <c r="L303" i="97"/>
  <c r="H303" i="97"/>
  <c r="Q302" i="97"/>
  <c r="L302" i="97"/>
  <c r="H302" i="97"/>
  <c r="Q301" i="97"/>
  <c r="H301" i="97"/>
  <c r="Q300" i="97"/>
  <c r="H300" i="97"/>
  <c r="L289" i="97"/>
  <c r="J289" i="97"/>
  <c r="H289" i="97"/>
  <c r="Q288" i="97"/>
  <c r="L288" i="97"/>
  <c r="H288" i="97"/>
  <c r="Q287" i="97"/>
  <c r="L287" i="97"/>
  <c r="H287" i="97"/>
  <c r="Q286" i="97"/>
  <c r="H286" i="97"/>
  <c r="Q285" i="97"/>
  <c r="H285" i="97"/>
  <c r="L283" i="97"/>
  <c r="J283" i="97"/>
  <c r="H283" i="97"/>
  <c r="Q282" i="97"/>
  <c r="L282" i="97"/>
  <c r="H282" i="97"/>
  <c r="Q281" i="97"/>
  <c r="L281" i="97"/>
  <c r="H281" i="97"/>
  <c r="Q280" i="97"/>
  <c r="H280" i="97"/>
  <c r="Q279" i="97"/>
  <c r="H279" i="97"/>
  <c r="L276" i="97"/>
  <c r="J276" i="97"/>
  <c r="H276" i="97"/>
  <c r="Q275" i="97"/>
  <c r="L275" i="97"/>
  <c r="H275" i="97"/>
  <c r="Q274" i="97"/>
  <c r="L274" i="97"/>
  <c r="H274" i="97"/>
  <c r="Q273" i="97"/>
  <c r="H273" i="97"/>
  <c r="Q272" i="97"/>
  <c r="H272" i="97"/>
  <c r="L270" i="97"/>
  <c r="J270" i="97"/>
  <c r="H270" i="97"/>
  <c r="Q269" i="97"/>
  <c r="L269" i="97"/>
  <c r="H269" i="97"/>
  <c r="Q268" i="97"/>
  <c r="L268" i="97"/>
  <c r="H268" i="97"/>
  <c r="Q267" i="97"/>
  <c r="H267" i="97"/>
  <c r="Q266" i="97"/>
  <c r="H266" i="97"/>
  <c r="L262" i="97"/>
  <c r="L264" i="97"/>
  <c r="J264" i="97"/>
  <c r="H264" i="97"/>
  <c r="H263" i="97"/>
  <c r="L263" i="97"/>
  <c r="Q263" i="97"/>
  <c r="Q262" i="97"/>
  <c r="Q261" i="97"/>
  <c r="Q260" i="97"/>
  <c r="H262" i="97"/>
  <c r="H261" i="97"/>
  <c r="H260" i="97"/>
  <c r="L255" i="97" l="1"/>
  <c r="J255" i="97"/>
  <c r="H255" i="97"/>
  <c r="M254" i="97"/>
  <c r="J254" i="97"/>
  <c r="H254" i="97"/>
  <c r="Q254" i="97"/>
  <c r="Q253" i="97"/>
  <c r="L253" i="97"/>
  <c r="H253" i="97"/>
  <c r="Q252" i="97"/>
  <c r="Q251" i="97"/>
  <c r="H252" i="97"/>
  <c r="H251" i="97"/>
  <c r="A242" i="97" l="1"/>
  <c r="O233" i="97"/>
  <c r="O234" i="97"/>
  <c r="O232" i="97"/>
  <c r="N230" i="97"/>
  <c r="I239" i="97"/>
  <c r="I238" i="97"/>
  <c r="I237" i="97"/>
  <c r="P229" i="97"/>
  <c r="P230" i="97"/>
  <c r="P231" i="97"/>
  <c r="I229" i="97"/>
  <c r="I230" i="97"/>
  <c r="I231" i="97"/>
  <c r="I232" i="97"/>
  <c r="I233" i="97"/>
  <c r="I234" i="97"/>
  <c r="I235" i="97"/>
  <c r="P228" i="97"/>
  <c r="I228" i="97"/>
  <c r="B223" i="97"/>
  <c r="L218" i="97"/>
  <c r="L219" i="97"/>
  <c r="L220" i="97"/>
  <c r="L221" i="97"/>
  <c r="L217" i="97"/>
  <c r="J218" i="97"/>
  <c r="J219" i="97"/>
  <c r="J220" i="97"/>
  <c r="J221" i="97"/>
  <c r="J217" i="97"/>
  <c r="H218" i="97"/>
  <c r="I218" i="97"/>
  <c r="H219" i="97"/>
  <c r="I219" i="97"/>
  <c r="H220" i="97"/>
  <c r="I220" i="97"/>
  <c r="H221" i="97"/>
  <c r="I221" i="97"/>
  <c r="I217" i="97"/>
  <c r="H217" i="97"/>
  <c r="C221" i="97"/>
  <c r="F218" i="97"/>
  <c r="G218" i="97"/>
  <c r="F219" i="97"/>
  <c r="G219" i="97"/>
  <c r="F220" i="97"/>
  <c r="G220" i="97"/>
  <c r="F221" i="97"/>
  <c r="G221" i="97"/>
  <c r="G217" i="97"/>
  <c r="F217" i="97"/>
  <c r="O210" i="97"/>
  <c r="O211" i="97"/>
  <c r="O209" i="97"/>
  <c r="P204" i="97"/>
  <c r="P203" i="97"/>
  <c r="L201" i="97"/>
  <c r="P201" i="97"/>
  <c r="L204" i="97"/>
  <c r="L203" i="97"/>
  <c r="L199" i="97"/>
  <c r="J198" i="97"/>
  <c r="N196" i="97"/>
  <c r="N197" i="97"/>
  <c r="J197" i="97"/>
  <c r="J196" i="97"/>
  <c r="N195" i="97"/>
  <c r="D198" i="97"/>
  <c r="G197" i="97"/>
  <c r="D197" i="97"/>
  <c r="D196" i="97"/>
  <c r="D195" i="97"/>
  <c r="N192" i="97"/>
  <c r="N193" i="97"/>
  <c r="N191" i="97"/>
  <c r="L211" i="97"/>
  <c r="L210" i="97"/>
  <c r="L209" i="97"/>
  <c r="I206" i="97"/>
  <c r="I204" i="97"/>
  <c r="I203" i="97"/>
  <c r="I199" i="97"/>
  <c r="I193" i="97"/>
  <c r="I190" i="97"/>
  <c r="O182" i="97"/>
  <c r="I185" i="97"/>
  <c r="I183" i="97"/>
  <c r="I182" i="97"/>
  <c r="I180" i="97"/>
  <c r="I179" i="97"/>
  <c r="I178" i="97"/>
  <c r="I177" i="97"/>
  <c r="I176" i="97"/>
  <c r="I175" i="97"/>
  <c r="G179" i="97"/>
  <c r="O179" i="97"/>
  <c r="O178" i="97"/>
  <c r="O177" i="97"/>
  <c r="O176" i="97"/>
  <c r="O175" i="97"/>
  <c r="O172" i="97"/>
  <c r="O171" i="97"/>
  <c r="O169" i="97"/>
  <c r="O170" i="97"/>
  <c r="O168" i="97"/>
  <c r="I173" i="97"/>
  <c r="G172" i="97"/>
  <c r="I172" i="97"/>
  <c r="I171" i="97"/>
  <c r="I170" i="97"/>
  <c r="I169" i="97"/>
  <c r="I168" i="97"/>
  <c r="I166" i="97"/>
  <c r="I167" i="97"/>
  <c r="M164" i="97"/>
  <c r="M163" i="97"/>
  <c r="M162" i="97"/>
  <c r="M161" i="97"/>
  <c r="M160" i="97"/>
  <c r="M159" i="97"/>
  <c r="F160" i="97"/>
  <c r="F161" i="97"/>
  <c r="F162" i="97"/>
  <c r="F163" i="97"/>
  <c r="F164" i="97"/>
  <c r="F159" i="97"/>
  <c r="J164" i="97"/>
  <c r="J163" i="97"/>
  <c r="J162" i="97"/>
  <c r="J161" i="97"/>
  <c r="J160" i="97"/>
  <c r="J159" i="97"/>
  <c r="C164" i="97"/>
  <c r="C163" i="97"/>
  <c r="C162" i="97"/>
  <c r="C161" i="97"/>
  <c r="C160" i="97"/>
  <c r="C159" i="97"/>
  <c r="P154" i="97"/>
  <c r="M154" i="97"/>
  <c r="J154" i="97"/>
  <c r="P153" i="97"/>
  <c r="M153" i="97"/>
  <c r="J153" i="97"/>
  <c r="P152" i="97"/>
  <c r="M152" i="97"/>
  <c r="J152" i="97"/>
  <c r="P151" i="97"/>
  <c r="M151" i="97"/>
  <c r="J151" i="97"/>
  <c r="P150" i="97"/>
  <c r="M150" i="97"/>
  <c r="J150" i="97"/>
  <c r="P149" i="97"/>
  <c r="M149" i="97"/>
  <c r="J149" i="97"/>
  <c r="I150" i="97"/>
  <c r="I151" i="97"/>
  <c r="I152" i="97"/>
  <c r="I153" i="97"/>
  <c r="I154" i="97"/>
  <c r="F150" i="97"/>
  <c r="F151" i="97"/>
  <c r="F152" i="97"/>
  <c r="F153" i="97"/>
  <c r="F154" i="97"/>
  <c r="C150" i="97"/>
  <c r="C151" i="97"/>
  <c r="C152" i="97"/>
  <c r="C153" i="97"/>
  <c r="C154" i="97"/>
  <c r="I149" i="97"/>
  <c r="F149" i="97"/>
  <c r="C149" i="97"/>
  <c r="L137" i="97"/>
  <c r="I137" i="97"/>
  <c r="E137" i="97"/>
  <c r="M136" i="97"/>
  <c r="K135" i="97"/>
  <c r="I136" i="97"/>
  <c r="I135" i="97"/>
  <c r="E136" i="97"/>
  <c r="E135" i="97"/>
  <c r="O135" i="97"/>
  <c r="O134" i="97"/>
  <c r="O133" i="97"/>
  <c r="E134" i="97"/>
  <c r="E133" i="97"/>
  <c r="H129" i="97"/>
  <c r="H145" i="97"/>
  <c r="H143" i="97"/>
  <c r="P125" i="97"/>
  <c r="P124" i="97"/>
  <c r="M124" i="97"/>
  <c r="H127" i="97"/>
  <c r="H125" i="97"/>
  <c r="H124" i="97"/>
  <c r="P120" i="97"/>
  <c r="K118" i="97"/>
  <c r="P79" i="97"/>
  <c r="N79" i="97"/>
  <c r="P109" i="97"/>
  <c r="O109" i="97"/>
  <c r="M109" i="97"/>
  <c r="O108" i="97"/>
  <c r="M108" i="97"/>
  <c r="M106" i="97"/>
  <c r="P104" i="97"/>
  <c r="O104" i="97"/>
  <c r="O103" i="97"/>
  <c r="M104" i="97"/>
  <c r="M103" i="97"/>
  <c r="M101" i="97"/>
  <c r="H106" i="97"/>
  <c r="H101" i="97"/>
  <c r="H97" i="97"/>
  <c r="I94" i="97"/>
  <c r="I93" i="97"/>
  <c r="H94" i="97"/>
  <c r="H93" i="97"/>
  <c r="P93" i="97"/>
  <c r="P81" i="97"/>
  <c r="H83" i="97"/>
  <c r="I74" i="97"/>
  <c r="F48" i="97"/>
  <c r="F71" i="97"/>
  <c r="H68" i="97"/>
  <c r="J68" i="97"/>
  <c r="H69" i="97"/>
  <c r="J69" i="97"/>
  <c r="F69" i="97"/>
  <c r="F68" i="97"/>
  <c r="F65" i="97"/>
  <c r="N64" i="97"/>
  <c r="P64" i="97"/>
  <c r="O63" i="97"/>
  <c r="O62" i="97"/>
  <c r="J63" i="97"/>
  <c r="F64" i="97"/>
  <c r="F63" i="97"/>
  <c r="P61" i="97"/>
  <c r="N61" i="97"/>
  <c r="J62" i="97"/>
  <c r="G62" i="97"/>
  <c r="O60" i="97"/>
  <c r="O59" i="97"/>
  <c r="F60" i="97"/>
  <c r="F61" i="97"/>
  <c r="F59" i="97"/>
  <c r="O55" i="97"/>
  <c r="F55" i="97"/>
  <c r="O54" i="97"/>
  <c r="M54" i="97"/>
  <c r="J54" i="97"/>
  <c r="F54" i="97"/>
  <c r="J53" i="97"/>
  <c r="F53" i="97"/>
  <c r="F52" i="97"/>
  <c r="N51" i="97"/>
  <c r="J51" i="97"/>
  <c r="F51" i="97"/>
  <c r="F49" i="97"/>
  <c r="O49" i="97"/>
  <c r="O48" i="97"/>
  <c r="M48" i="97"/>
  <c r="J48" i="97"/>
  <c r="J47" i="97"/>
  <c r="F47" i="97"/>
  <c r="N45" i="97"/>
  <c r="J45" i="97"/>
  <c r="F46" i="97"/>
  <c r="F45" i="97"/>
  <c r="N41" i="97"/>
  <c r="P40" i="97"/>
  <c r="L40" i="97"/>
  <c r="F41" i="97"/>
  <c r="F40" i="97"/>
  <c r="F39" i="97"/>
  <c r="N39" i="97"/>
  <c r="O37" i="97"/>
  <c r="O36" i="97"/>
  <c r="F36" i="97"/>
  <c r="B31" i="97"/>
  <c r="O31" i="97"/>
  <c r="A5" i="97"/>
  <c r="K2194" i="97"/>
  <c r="C2190" i="97"/>
  <c r="D2190" i="97" s="1"/>
  <c r="I2190" i="97" s="1"/>
  <c r="C2189" i="97"/>
  <c r="D2189" i="97" s="1"/>
  <c r="I2189" i="97" s="1"/>
  <c r="C2188" i="97"/>
  <c r="D2188" i="97" s="1"/>
  <c r="I2188" i="97" s="1"/>
  <c r="C2187" i="97"/>
  <c r="D2187" i="97" s="1"/>
  <c r="I2187" i="97" s="1"/>
  <c r="C2186" i="97"/>
  <c r="D2186" i="97" s="1"/>
  <c r="I2186" i="97" s="1"/>
  <c r="K2180" i="97"/>
  <c r="J2146" i="97"/>
  <c r="J2149" i="97" s="1"/>
  <c r="D2131" i="97"/>
  <c r="D2130" i="97"/>
  <c r="J2077" i="97"/>
  <c r="Q2060" i="97"/>
  <c r="O2055" i="97"/>
  <c r="Q2053" i="97"/>
  <c r="L2051" i="97"/>
  <c r="R2049" i="97"/>
  <c r="L2049" i="97"/>
  <c r="J2049" i="97"/>
  <c r="L2040" i="97"/>
  <c r="M2034" i="97"/>
  <c r="J2034" i="97"/>
  <c r="Q2020" i="97"/>
  <c r="L2020" i="97"/>
  <c r="S2015" i="97"/>
  <c r="R2015" i="97"/>
  <c r="M2038" i="97" s="1"/>
  <c r="L2015" i="97"/>
  <c r="G1996" i="97"/>
  <c r="K1990" i="97"/>
  <c r="G1990" i="97"/>
  <c r="J1988" i="97"/>
  <c r="Q1969" i="97"/>
  <c r="Q1968" i="97"/>
  <c r="Q1967" i="97"/>
  <c r="Q1950" i="97"/>
  <c r="Q1949" i="97"/>
  <c r="Q1942" i="97"/>
  <c r="Q1941" i="97"/>
  <c r="K1940" i="97"/>
  <c r="K1939" i="97"/>
  <c r="H1939" i="97"/>
  <c r="N1928" i="97"/>
  <c r="Q1924" i="97"/>
  <c r="Q1920" i="97"/>
  <c r="L1904" i="97"/>
  <c r="Q1897" i="97"/>
  <c r="L1897" i="97"/>
  <c r="Q1895" i="97"/>
  <c r="Q1894" i="97"/>
  <c r="Q1893" i="97"/>
  <c r="V1890" i="97"/>
  <c r="Q1890" i="97"/>
  <c r="V1889" i="97"/>
  <c r="Q1889" i="97"/>
  <c r="Q1885" i="97"/>
  <c r="Q1866" i="97"/>
  <c r="H1866" i="97"/>
  <c r="Q1857" i="97"/>
  <c r="Q1855" i="97"/>
  <c r="Q1854" i="97"/>
  <c r="Q1853" i="97"/>
  <c r="M1847" i="97"/>
  <c r="J1827" i="97"/>
  <c r="J1812" i="97"/>
  <c r="Q1809" i="97"/>
  <c r="Q1808" i="97"/>
  <c r="L1808" i="97"/>
  <c r="J1808" i="97"/>
  <c r="I1805" i="97"/>
  <c r="O1789" i="97"/>
  <c r="P1786" i="97" s="1"/>
  <c r="J1789" i="97"/>
  <c r="P1782" i="97" s="1"/>
  <c r="F1789" i="97"/>
  <c r="L2114" i="97" s="1"/>
  <c r="K1777" i="97"/>
  <c r="J1777" i="97"/>
  <c r="I1777" i="97"/>
  <c r="H1777" i="97"/>
  <c r="G1777" i="97"/>
  <c r="M1775" i="97"/>
  <c r="P1758" i="97"/>
  <c r="Q1737" i="97"/>
  <c r="P1735" i="97"/>
  <c r="P1733" i="97" s="1"/>
  <c r="B1725" i="97"/>
  <c r="A1720" i="97"/>
  <c r="N1677" i="97"/>
  <c r="N1676" i="97"/>
  <c r="I1676" i="97"/>
  <c r="AG1674" i="97"/>
  <c r="AF1674" i="97" s="1"/>
  <c r="AE1674" i="97" s="1"/>
  <c r="AD1674" i="97" s="1"/>
  <c r="AC1674" i="97" s="1"/>
  <c r="AB1674" i="97" s="1"/>
  <c r="AA1674" i="97" s="1"/>
  <c r="Z1674" i="97" s="1"/>
  <c r="N1674" i="97"/>
  <c r="N1673" i="97"/>
  <c r="I1673" i="97"/>
  <c r="AG1672" i="97"/>
  <c r="AF1672" i="97" s="1"/>
  <c r="AE1672" i="97" s="1"/>
  <c r="AD1672" i="97" s="1"/>
  <c r="AC1672" i="97" s="1"/>
  <c r="AB1672" i="97" s="1"/>
  <c r="AA1672" i="97" s="1"/>
  <c r="Z1672" i="97" s="1"/>
  <c r="N1671" i="97"/>
  <c r="N1670" i="97"/>
  <c r="I1670" i="97"/>
  <c r="M1639" i="97"/>
  <c r="N1636" i="97"/>
  <c r="N1619" i="97"/>
  <c r="N1609" i="97"/>
  <c r="AG1566" i="97"/>
  <c r="AF1566" i="97" s="1"/>
  <c r="AE1566" i="97" s="1"/>
  <c r="AD1566" i="97" s="1"/>
  <c r="AC1566" i="97" s="1"/>
  <c r="AB1566" i="97" s="1"/>
  <c r="AA1566" i="97" s="1"/>
  <c r="Z1566" i="97" s="1"/>
  <c r="N1564" i="97"/>
  <c r="AG1563" i="97"/>
  <c r="AF1563" i="97" s="1"/>
  <c r="AE1563" i="97" s="1"/>
  <c r="AD1563" i="97" s="1"/>
  <c r="AC1563" i="97" s="1"/>
  <c r="AB1563" i="97" s="1"/>
  <c r="AA1563" i="97" s="1"/>
  <c r="Z1563" i="97" s="1"/>
  <c r="N1562" i="97"/>
  <c r="M1562" i="97"/>
  <c r="L1562" i="97" s="1"/>
  <c r="AG1561" i="97"/>
  <c r="AF1561" i="97" s="1"/>
  <c r="AE1561" i="97" s="1"/>
  <c r="AD1561" i="97" s="1"/>
  <c r="AC1561" i="97" s="1"/>
  <c r="AB1561" i="97" s="1"/>
  <c r="AA1561" i="97" s="1"/>
  <c r="Z1561" i="97" s="1"/>
  <c r="N1561" i="97"/>
  <c r="L1488" i="97"/>
  <c r="M1481" i="97"/>
  <c r="K1405" i="97"/>
  <c r="J1405" i="97"/>
  <c r="I1405" i="97"/>
  <c r="H1405" i="97"/>
  <c r="F1405" i="97"/>
  <c r="M1335" i="97"/>
  <c r="K1335" i="97"/>
  <c r="G1315" i="97"/>
  <c r="J1315" i="97" s="1"/>
  <c r="G1314" i="97"/>
  <c r="J1314" i="97" s="1"/>
  <c r="Q1298" i="97"/>
  <c r="P1298" i="97"/>
  <c r="Q1295" i="97"/>
  <c r="P1295" i="97"/>
  <c r="A1243" i="97"/>
  <c r="H1243" i="97" s="1"/>
  <c r="R1241" i="97"/>
  <c r="A1241" i="97"/>
  <c r="A1165" i="97"/>
  <c r="A1196" i="97" s="1"/>
  <c r="A1226" i="97" s="1"/>
  <c r="A1157" i="97"/>
  <c r="A1189" i="97" s="1"/>
  <c r="A1219" i="97" s="1"/>
  <c r="A1156" i="97"/>
  <c r="A1188" i="97" s="1"/>
  <c r="A1218" i="97" s="1"/>
  <c r="A1155" i="97"/>
  <c r="A1187" i="97" s="1"/>
  <c r="A1217" i="97" s="1"/>
  <c r="A1154" i="97"/>
  <c r="A1186" i="97" s="1"/>
  <c r="A1216" i="97" s="1"/>
  <c r="A1132" i="97"/>
  <c r="A1164" i="97" s="1"/>
  <c r="A1195" i="97" s="1"/>
  <c r="A1225" i="97" s="1"/>
  <c r="A1131" i="97"/>
  <c r="A1163" i="97" s="1"/>
  <c r="A1194" i="97" s="1"/>
  <c r="A1224" i="97" s="1"/>
  <c r="A1130" i="97"/>
  <c r="A1162" i="97" s="1"/>
  <c r="A1193" i="97" s="1"/>
  <c r="A1223" i="97" s="1"/>
  <c r="C1110" i="97"/>
  <c r="N1108" i="97"/>
  <c r="C1105" i="97"/>
  <c r="K1104" i="97"/>
  <c r="G1103" i="97"/>
  <c r="K1102" i="97"/>
  <c r="N1100" i="97"/>
  <c r="C1100" i="97"/>
  <c r="A1098" i="97"/>
  <c r="N1098" i="97" s="1"/>
  <c r="Q1088" i="97"/>
  <c r="L1084" i="97"/>
  <c r="F1084" i="97"/>
  <c r="L1077" i="97"/>
  <c r="F1073" i="97"/>
  <c r="L1068" i="97"/>
  <c r="F1064" i="97"/>
  <c r="L1060" i="97"/>
  <c r="S1055" i="97"/>
  <c r="L1053" i="97"/>
  <c r="K1053" i="97"/>
  <c r="J1053" i="97"/>
  <c r="I1053" i="97"/>
  <c r="H1053" i="97"/>
  <c r="S1050" i="97"/>
  <c r="L1049" i="97"/>
  <c r="K1049" i="97"/>
  <c r="J1049" i="97"/>
  <c r="I1049" i="97"/>
  <c r="H1049" i="97"/>
  <c r="T1046" i="97"/>
  <c r="Q1044" i="97"/>
  <c r="P1044" i="97"/>
  <c r="O1044" i="97"/>
  <c r="N1044" i="97"/>
  <c r="M1044" i="97"/>
  <c r="L1044" i="97"/>
  <c r="K1044" i="97"/>
  <c r="J1044" i="97"/>
  <c r="I1044" i="97"/>
  <c r="H1044" i="97"/>
  <c r="S1041" i="97"/>
  <c r="Q1040" i="97"/>
  <c r="P1040" i="97"/>
  <c r="O1040" i="97"/>
  <c r="N1040" i="97"/>
  <c r="M1040" i="97"/>
  <c r="L1040" i="97"/>
  <c r="K1040" i="97"/>
  <c r="J1040" i="97"/>
  <c r="I1040" i="97"/>
  <c r="H1040" i="97"/>
  <c r="T1037" i="97"/>
  <c r="Q1035" i="97"/>
  <c r="P1035" i="97"/>
  <c r="O1035" i="97"/>
  <c r="N1035" i="97"/>
  <c r="M1035" i="97"/>
  <c r="L1035" i="97"/>
  <c r="K1035" i="97"/>
  <c r="J1035" i="97"/>
  <c r="I1035" i="97"/>
  <c r="H1035" i="97"/>
  <c r="S1032" i="97"/>
  <c r="Q1031" i="97"/>
  <c r="P1031" i="97"/>
  <c r="O1031" i="97"/>
  <c r="N1031" i="97"/>
  <c r="M1031" i="97"/>
  <c r="L1031" i="97"/>
  <c r="K1031" i="97"/>
  <c r="J1031" i="97"/>
  <c r="I1031" i="97"/>
  <c r="H1031" i="97"/>
  <c r="T1028" i="97"/>
  <c r="Q1026" i="97"/>
  <c r="P1026" i="97"/>
  <c r="O1026" i="97"/>
  <c r="N1026" i="97"/>
  <c r="M1026" i="97"/>
  <c r="L1026" i="97"/>
  <c r="K1026" i="97"/>
  <c r="J1026" i="97"/>
  <c r="I1026" i="97"/>
  <c r="H1026" i="97"/>
  <c r="S1023" i="97"/>
  <c r="Q1022" i="97"/>
  <c r="P1022" i="97"/>
  <c r="O1022" i="97"/>
  <c r="N1022" i="97"/>
  <c r="M1022" i="97"/>
  <c r="L1022" i="97"/>
  <c r="K1022" i="97"/>
  <c r="J1022" i="97"/>
  <c r="I1022" i="97"/>
  <c r="H1022" i="97"/>
  <c r="S1019" i="97"/>
  <c r="S1018" i="97"/>
  <c r="S1016" i="97"/>
  <c r="S996" i="97"/>
  <c r="S986" i="97"/>
  <c r="S985" i="97"/>
  <c r="L985" i="97"/>
  <c r="S966" i="97"/>
  <c r="P963" i="97"/>
  <c r="A963" i="97" s="1"/>
  <c r="P962" i="97"/>
  <c r="S952" i="97"/>
  <c r="S943" i="97"/>
  <c r="S942" i="97"/>
  <c r="L942" i="97"/>
  <c r="S932" i="97"/>
  <c r="S909" i="97"/>
  <c r="S893" i="97"/>
  <c r="L893" i="97"/>
  <c r="F890" i="97"/>
  <c r="E890" i="97"/>
  <c r="B890" i="97"/>
  <c r="MU889" i="97"/>
  <c r="F889" i="97"/>
  <c r="E889" i="97"/>
  <c r="MT888" i="97"/>
  <c r="MS888" i="97"/>
  <c r="MR888" i="97"/>
  <c r="MQ888" i="97"/>
  <c r="MP888" i="97"/>
  <c r="MO888" i="97"/>
  <c r="MN888" i="97"/>
  <c r="MM888" i="97"/>
  <c r="ML888" i="97"/>
  <c r="MK888" i="97"/>
  <c r="MJ888" i="97"/>
  <c r="MI888" i="97"/>
  <c r="MH888" i="97"/>
  <c r="MG888" i="97"/>
  <c r="MF888" i="97"/>
  <c r="ME888" i="97"/>
  <c r="MD888" i="97"/>
  <c r="MC888" i="97"/>
  <c r="MB888" i="97"/>
  <c r="MA888" i="97"/>
  <c r="LZ888" i="97"/>
  <c r="LY888" i="97"/>
  <c r="LX888" i="97"/>
  <c r="LW888" i="97"/>
  <c r="LV888" i="97"/>
  <c r="LU888" i="97"/>
  <c r="LT888" i="97"/>
  <c r="LS888" i="97"/>
  <c r="LR888" i="97"/>
  <c r="LQ888" i="97"/>
  <c r="LP888" i="97"/>
  <c r="LO888" i="97"/>
  <c r="LN888" i="97"/>
  <c r="LM888" i="97"/>
  <c r="LL888" i="97"/>
  <c r="LK888" i="97"/>
  <c r="LJ888" i="97"/>
  <c r="LI888" i="97"/>
  <c r="LH888" i="97"/>
  <c r="LG888" i="97"/>
  <c r="LF888" i="97"/>
  <c r="LE888" i="97"/>
  <c r="LD888" i="97"/>
  <c r="LC888" i="97"/>
  <c r="LB888" i="97"/>
  <c r="LA888" i="97"/>
  <c r="KZ888" i="97"/>
  <c r="KY888" i="97"/>
  <c r="KX888" i="97"/>
  <c r="KW888" i="97"/>
  <c r="KV888" i="97"/>
  <c r="KU888" i="97"/>
  <c r="KT888" i="97"/>
  <c r="KS888" i="97"/>
  <c r="KR888" i="97"/>
  <c r="KQ888" i="97"/>
  <c r="KP888" i="97"/>
  <c r="KO888" i="97"/>
  <c r="KN888" i="97"/>
  <c r="KM888" i="97"/>
  <c r="KL888" i="97"/>
  <c r="KK888" i="97"/>
  <c r="KJ888" i="97"/>
  <c r="KI888" i="97"/>
  <c r="KH888" i="97"/>
  <c r="KG888" i="97"/>
  <c r="KF888" i="97"/>
  <c r="KE888" i="97"/>
  <c r="KD888" i="97"/>
  <c r="KC888" i="97"/>
  <c r="KB888" i="97"/>
  <c r="KA888" i="97"/>
  <c r="JZ888" i="97"/>
  <c r="JY888" i="97"/>
  <c r="JX888" i="97"/>
  <c r="JW888" i="97"/>
  <c r="JV888" i="97"/>
  <c r="JU888" i="97"/>
  <c r="JT888" i="97"/>
  <c r="JS888" i="97"/>
  <c r="JR888" i="97"/>
  <c r="JQ888" i="97"/>
  <c r="JP888" i="97"/>
  <c r="JO888" i="97"/>
  <c r="JN888" i="97"/>
  <c r="JM888" i="97"/>
  <c r="JL888" i="97"/>
  <c r="JK888" i="97"/>
  <c r="JJ888" i="97"/>
  <c r="JI888" i="97"/>
  <c r="JH888" i="97"/>
  <c r="JG888" i="97"/>
  <c r="JF888" i="97"/>
  <c r="JE888" i="97"/>
  <c r="JD888" i="97"/>
  <c r="JC888" i="97"/>
  <c r="JB888" i="97"/>
  <c r="JA888" i="97"/>
  <c r="IZ888" i="97"/>
  <c r="IY888" i="97"/>
  <c r="IX888" i="97"/>
  <c r="IW888" i="97"/>
  <c r="IV888" i="97"/>
  <c r="IU888" i="97"/>
  <c r="IT888" i="97"/>
  <c r="IS888" i="97"/>
  <c r="IR888" i="97"/>
  <c r="IQ888" i="97"/>
  <c r="IP888" i="97"/>
  <c r="IO888" i="97"/>
  <c r="IN888" i="97"/>
  <c r="IM888" i="97"/>
  <c r="IL888" i="97"/>
  <c r="IK888" i="97"/>
  <c r="IJ888" i="97"/>
  <c r="II888" i="97"/>
  <c r="IH888" i="97"/>
  <c r="IG888" i="97"/>
  <c r="IF888" i="97"/>
  <c r="IE888" i="97"/>
  <c r="ID888" i="97"/>
  <c r="IC888" i="97"/>
  <c r="IB888" i="97"/>
  <c r="IA888" i="97"/>
  <c r="HZ888" i="97"/>
  <c r="HY888" i="97"/>
  <c r="HX888" i="97"/>
  <c r="HW888" i="97"/>
  <c r="HV888" i="97"/>
  <c r="HU888" i="97"/>
  <c r="HT888" i="97"/>
  <c r="HS888" i="97"/>
  <c r="HR888" i="97"/>
  <c r="HQ888" i="97"/>
  <c r="HP888" i="97"/>
  <c r="HO888" i="97"/>
  <c r="HN888" i="97"/>
  <c r="HM888" i="97"/>
  <c r="HL888" i="97"/>
  <c r="HK888" i="97"/>
  <c r="HJ888" i="97"/>
  <c r="HI888" i="97"/>
  <c r="HH888" i="97"/>
  <c r="HG888" i="97"/>
  <c r="HF888" i="97"/>
  <c r="HE888" i="97"/>
  <c r="HD888" i="97"/>
  <c r="HC888" i="97"/>
  <c r="HB888" i="97"/>
  <c r="HA888" i="97"/>
  <c r="GZ888" i="97"/>
  <c r="GY888" i="97"/>
  <c r="GX888" i="97"/>
  <c r="GW888" i="97"/>
  <c r="GV888" i="97"/>
  <c r="GU888" i="97"/>
  <c r="GT888" i="97"/>
  <c r="GS888" i="97"/>
  <c r="GR888" i="97"/>
  <c r="GQ888" i="97"/>
  <c r="GP888" i="97"/>
  <c r="GO888" i="97"/>
  <c r="GN888" i="97"/>
  <c r="GM888" i="97"/>
  <c r="GL888" i="97"/>
  <c r="GK888" i="97"/>
  <c r="GJ888" i="97"/>
  <c r="GI888" i="97"/>
  <c r="GH888" i="97"/>
  <c r="GG888" i="97"/>
  <c r="GF888" i="97"/>
  <c r="GE888" i="97"/>
  <c r="GD888" i="97"/>
  <c r="GC888" i="97"/>
  <c r="GB888" i="97"/>
  <c r="GA888" i="97"/>
  <c r="FZ888" i="97"/>
  <c r="FY888" i="97"/>
  <c r="FX888" i="97"/>
  <c r="FW888" i="97"/>
  <c r="FV888" i="97"/>
  <c r="FU888" i="97"/>
  <c r="FT888" i="97"/>
  <c r="FS888" i="97"/>
  <c r="FR888" i="97"/>
  <c r="FQ888" i="97"/>
  <c r="FP888" i="97"/>
  <c r="FO888" i="97"/>
  <c r="FN888" i="97"/>
  <c r="FM888" i="97"/>
  <c r="FL888" i="97"/>
  <c r="FK888" i="97"/>
  <c r="FJ888" i="97"/>
  <c r="FI888" i="97"/>
  <c r="FH888" i="97"/>
  <c r="FG888" i="97"/>
  <c r="FF888" i="97"/>
  <c r="FE888" i="97"/>
  <c r="FD888" i="97"/>
  <c r="FC888" i="97"/>
  <c r="FB888" i="97"/>
  <c r="FA888" i="97"/>
  <c r="EZ888" i="97"/>
  <c r="EY888" i="97"/>
  <c r="EX888" i="97"/>
  <c r="EW888" i="97"/>
  <c r="EV888" i="97"/>
  <c r="EU888" i="97"/>
  <c r="ET888" i="97"/>
  <c r="ES888" i="97"/>
  <c r="ER888" i="97"/>
  <c r="EQ888" i="97"/>
  <c r="EP888" i="97"/>
  <c r="EO888" i="97"/>
  <c r="EN888" i="97"/>
  <c r="EM888" i="97"/>
  <c r="EL888" i="97"/>
  <c r="EK888" i="97"/>
  <c r="EJ888" i="97"/>
  <c r="EI888" i="97"/>
  <c r="EH888" i="97"/>
  <c r="EG888" i="97"/>
  <c r="EF888" i="97"/>
  <c r="EE888" i="97"/>
  <c r="ED888" i="97"/>
  <c r="EC888" i="97"/>
  <c r="EB888" i="97"/>
  <c r="EA888" i="97"/>
  <c r="DZ888" i="97"/>
  <c r="DY888" i="97"/>
  <c r="DX888" i="97"/>
  <c r="DW888" i="97"/>
  <c r="DV888" i="97"/>
  <c r="DU888" i="97"/>
  <c r="DT888" i="97"/>
  <c r="DS888" i="97"/>
  <c r="DR888" i="97"/>
  <c r="DQ888" i="97"/>
  <c r="DP888" i="97"/>
  <c r="DO888" i="97"/>
  <c r="DN888" i="97"/>
  <c r="DM888" i="97"/>
  <c r="DL888" i="97"/>
  <c r="DK888" i="97"/>
  <c r="DJ888" i="97"/>
  <c r="DI888" i="97"/>
  <c r="DH888" i="97"/>
  <c r="DG888" i="97"/>
  <c r="DF888" i="97"/>
  <c r="DE888" i="97"/>
  <c r="DD888" i="97"/>
  <c r="DC888" i="97"/>
  <c r="DB888" i="97"/>
  <c r="DA888" i="97"/>
  <c r="CZ888" i="97"/>
  <c r="CY888" i="97"/>
  <c r="CX888" i="97"/>
  <c r="CW888" i="97"/>
  <c r="CV888" i="97"/>
  <c r="CU888" i="97"/>
  <c r="CT888" i="97"/>
  <c r="CS888" i="97"/>
  <c r="CR888" i="97"/>
  <c r="CQ888" i="97"/>
  <c r="CP888" i="97"/>
  <c r="CO888" i="97"/>
  <c r="CN888" i="97"/>
  <c r="CM888" i="97"/>
  <c r="CL888" i="97"/>
  <c r="CK888" i="97"/>
  <c r="CJ888" i="97"/>
  <c r="CI888" i="97"/>
  <c r="CH888" i="97"/>
  <c r="CG888" i="97"/>
  <c r="CF888" i="97"/>
  <c r="CE888" i="97"/>
  <c r="CD888" i="97"/>
  <c r="CC888" i="97"/>
  <c r="CB888" i="97"/>
  <c r="CA888" i="97"/>
  <c r="BZ888" i="97"/>
  <c r="BY888" i="97"/>
  <c r="BX888" i="97"/>
  <c r="BW888" i="97"/>
  <c r="BV888" i="97"/>
  <c r="BU888" i="97"/>
  <c r="BT888" i="97"/>
  <c r="BS888" i="97"/>
  <c r="BR888" i="97"/>
  <c r="BQ888" i="97"/>
  <c r="BP888" i="97"/>
  <c r="BO888" i="97"/>
  <c r="BN888" i="97"/>
  <c r="BM888" i="97"/>
  <c r="BL888" i="97"/>
  <c r="BK888" i="97"/>
  <c r="BJ888" i="97"/>
  <c r="BI888" i="97"/>
  <c r="BH888" i="97"/>
  <c r="BG888" i="97"/>
  <c r="BF888" i="97"/>
  <c r="BE888" i="97"/>
  <c r="BD888" i="97"/>
  <c r="BC888" i="97"/>
  <c r="BB888" i="97"/>
  <c r="BA888" i="97"/>
  <c r="AZ888" i="97"/>
  <c r="AY888" i="97"/>
  <c r="AX888" i="97"/>
  <c r="AW888" i="97"/>
  <c r="AV888" i="97"/>
  <c r="AU888" i="97"/>
  <c r="AT888" i="97"/>
  <c r="AS888" i="97"/>
  <c r="AR888" i="97"/>
  <c r="AQ888" i="97"/>
  <c r="AP888" i="97"/>
  <c r="AO888" i="97"/>
  <c r="AN888" i="97"/>
  <c r="AM888" i="97"/>
  <c r="AL888" i="97"/>
  <c r="AK888" i="97"/>
  <c r="AJ888" i="97"/>
  <c r="AI888" i="97"/>
  <c r="AH888" i="97"/>
  <c r="AG888" i="97"/>
  <c r="AF888" i="97"/>
  <c r="AE888" i="97"/>
  <c r="AD888" i="97"/>
  <c r="AC888" i="97"/>
  <c r="AB888" i="97"/>
  <c r="AA888" i="97"/>
  <c r="Z888" i="97"/>
  <c r="Y888" i="97"/>
  <c r="X888" i="97"/>
  <c r="A888" i="97"/>
  <c r="MT887" i="97"/>
  <c r="MS887" i="97"/>
  <c r="MR887" i="97"/>
  <c r="MQ887" i="97"/>
  <c r="MP887" i="97"/>
  <c r="MO887" i="97"/>
  <c r="MN887" i="97"/>
  <c r="MM887" i="97"/>
  <c r="ML887" i="97"/>
  <c r="MK887" i="97"/>
  <c r="MJ887" i="97"/>
  <c r="MI887" i="97"/>
  <c r="MH887" i="97"/>
  <c r="MG887" i="97"/>
  <c r="MF887" i="97"/>
  <c r="ME887" i="97"/>
  <c r="MD887" i="97"/>
  <c r="MC887" i="97"/>
  <c r="MB887" i="97"/>
  <c r="MA887" i="97"/>
  <c r="LZ887" i="97"/>
  <c r="LY887" i="97"/>
  <c r="LX887" i="97"/>
  <c r="LW887" i="97"/>
  <c r="LV887" i="97"/>
  <c r="LU887" i="97"/>
  <c r="LT887" i="97"/>
  <c r="LS887" i="97"/>
  <c r="LR887" i="97"/>
  <c r="LQ887" i="97"/>
  <c r="LP887" i="97"/>
  <c r="LO887" i="97"/>
  <c r="LN887" i="97"/>
  <c r="LM887" i="97"/>
  <c r="LL887" i="97"/>
  <c r="LK887" i="97"/>
  <c r="LJ887" i="97"/>
  <c r="LI887" i="97"/>
  <c r="LH887" i="97"/>
  <c r="LG887" i="97"/>
  <c r="LF887" i="97"/>
  <c r="LE887" i="97"/>
  <c r="LD887" i="97"/>
  <c r="LC887" i="97"/>
  <c r="LB887" i="97"/>
  <c r="LA887" i="97"/>
  <c r="KZ887" i="97"/>
  <c r="KY887" i="97"/>
  <c r="KX887" i="97"/>
  <c r="KW887" i="97"/>
  <c r="KV887" i="97"/>
  <c r="KU887" i="97"/>
  <c r="KT887" i="97"/>
  <c r="KS887" i="97"/>
  <c r="KR887" i="97"/>
  <c r="KQ887" i="97"/>
  <c r="KP887" i="97"/>
  <c r="KO887" i="97"/>
  <c r="KN887" i="97"/>
  <c r="KM887" i="97"/>
  <c r="KL887" i="97"/>
  <c r="KK887" i="97"/>
  <c r="KJ887" i="97"/>
  <c r="KI887" i="97"/>
  <c r="KH887" i="97"/>
  <c r="KG887" i="97"/>
  <c r="KF887" i="97"/>
  <c r="KE887" i="97"/>
  <c r="KD887" i="97"/>
  <c r="KC887" i="97"/>
  <c r="KB887" i="97"/>
  <c r="KA887" i="97"/>
  <c r="JZ887" i="97"/>
  <c r="JY887" i="97"/>
  <c r="JX887" i="97"/>
  <c r="JW887" i="97"/>
  <c r="JV887" i="97"/>
  <c r="JU887" i="97"/>
  <c r="JT887" i="97"/>
  <c r="JS887" i="97"/>
  <c r="JR887" i="97"/>
  <c r="JQ887" i="97"/>
  <c r="JP887" i="97"/>
  <c r="JO887" i="97"/>
  <c r="JN887" i="97"/>
  <c r="JM887" i="97"/>
  <c r="JL887" i="97"/>
  <c r="JK887" i="97"/>
  <c r="JJ887" i="97"/>
  <c r="JI887" i="97"/>
  <c r="JH887" i="97"/>
  <c r="JG887" i="97"/>
  <c r="JF887" i="97"/>
  <c r="JE887" i="97"/>
  <c r="JD887" i="97"/>
  <c r="JC887" i="97"/>
  <c r="JB887" i="97"/>
  <c r="JA887" i="97"/>
  <c r="IZ887" i="97"/>
  <c r="IY887" i="97"/>
  <c r="IX887" i="97"/>
  <c r="IW887" i="97"/>
  <c r="IV887" i="97"/>
  <c r="IU887" i="97"/>
  <c r="IT887" i="97"/>
  <c r="IS887" i="97"/>
  <c r="IR887" i="97"/>
  <c r="IQ887" i="97"/>
  <c r="IP887" i="97"/>
  <c r="IO887" i="97"/>
  <c r="IN887" i="97"/>
  <c r="IM887" i="97"/>
  <c r="IL887" i="97"/>
  <c r="IK887" i="97"/>
  <c r="IJ887" i="97"/>
  <c r="II887" i="97"/>
  <c r="IH887" i="97"/>
  <c r="IG887" i="97"/>
  <c r="IF887" i="97"/>
  <c r="IE887" i="97"/>
  <c r="ID887" i="97"/>
  <c r="IC887" i="97"/>
  <c r="IB887" i="97"/>
  <c r="IA887" i="97"/>
  <c r="HZ887" i="97"/>
  <c r="HY887" i="97"/>
  <c r="HX887" i="97"/>
  <c r="HW887" i="97"/>
  <c r="HV887" i="97"/>
  <c r="HU887" i="97"/>
  <c r="HT887" i="97"/>
  <c r="HS887" i="97"/>
  <c r="HR887" i="97"/>
  <c r="HQ887" i="97"/>
  <c r="HP887" i="97"/>
  <c r="HO887" i="97"/>
  <c r="HN887" i="97"/>
  <c r="HM887" i="97"/>
  <c r="HL887" i="97"/>
  <c r="HK887" i="97"/>
  <c r="HJ887" i="97"/>
  <c r="HI887" i="97"/>
  <c r="HH887" i="97"/>
  <c r="HG887" i="97"/>
  <c r="HF887" i="97"/>
  <c r="HE887" i="97"/>
  <c r="HD887" i="97"/>
  <c r="HC887" i="97"/>
  <c r="HB887" i="97"/>
  <c r="HA887" i="97"/>
  <c r="GZ887" i="97"/>
  <c r="GY887" i="97"/>
  <c r="GX887" i="97"/>
  <c r="GW887" i="97"/>
  <c r="GV887" i="97"/>
  <c r="GU887" i="97"/>
  <c r="GT887" i="97"/>
  <c r="GS887" i="97"/>
  <c r="GR887" i="97"/>
  <c r="GQ887" i="97"/>
  <c r="GP887" i="97"/>
  <c r="GO887" i="97"/>
  <c r="GN887" i="97"/>
  <c r="GM887" i="97"/>
  <c r="GL887" i="97"/>
  <c r="GK887" i="97"/>
  <c r="GJ887" i="97"/>
  <c r="GI887" i="97"/>
  <c r="GH887" i="97"/>
  <c r="GG887" i="97"/>
  <c r="GF887" i="97"/>
  <c r="GE887" i="97"/>
  <c r="GD887" i="97"/>
  <c r="GC887" i="97"/>
  <c r="GB887" i="97"/>
  <c r="GA887" i="97"/>
  <c r="FZ887" i="97"/>
  <c r="FY887" i="97"/>
  <c r="FX887" i="97"/>
  <c r="FW887" i="97"/>
  <c r="FV887" i="97"/>
  <c r="FU887" i="97"/>
  <c r="FT887" i="97"/>
  <c r="FS887" i="97"/>
  <c r="FR887" i="97"/>
  <c r="FQ887" i="97"/>
  <c r="FP887" i="97"/>
  <c r="FO887" i="97"/>
  <c r="FN887" i="97"/>
  <c r="FM887" i="97"/>
  <c r="FL887" i="97"/>
  <c r="FK887" i="97"/>
  <c r="FJ887" i="97"/>
  <c r="FI887" i="97"/>
  <c r="FH887" i="97"/>
  <c r="FG887" i="97"/>
  <c r="FF887" i="97"/>
  <c r="FE887" i="97"/>
  <c r="FD887" i="97"/>
  <c r="FC887" i="97"/>
  <c r="FB887" i="97"/>
  <c r="FA887" i="97"/>
  <c r="EZ887" i="97"/>
  <c r="EY887" i="97"/>
  <c r="EX887" i="97"/>
  <c r="EW887" i="97"/>
  <c r="EV887" i="97"/>
  <c r="EU887" i="97"/>
  <c r="ET887" i="97"/>
  <c r="ES887" i="97"/>
  <c r="ER887" i="97"/>
  <c r="EQ887" i="97"/>
  <c r="EP887" i="97"/>
  <c r="EO887" i="97"/>
  <c r="EN887" i="97"/>
  <c r="EM887" i="97"/>
  <c r="EL887" i="97"/>
  <c r="EK887" i="97"/>
  <c r="EJ887" i="97"/>
  <c r="EI887" i="97"/>
  <c r="EH887" i="97"/>
  <c r="EG887" i="97"/>
  <c r="EF887" i="97"/>
  <c r="EE887" i="97"/>
  <c r="ED887" i="97"/>
  <c r="EC887" i="97"/>
  <c r="EB887" i="97"/>
  <c r="EA887" i="97"/>
  <c r="DZ887" i="97"/>
  <c r="DY887" i="97"/>
  <c r="DX887" i="97"/>
  <c r="DW887" i="97"/>
  <c r="DV887" i="97"/>
  <c r="DU887" i="97"/>
  <c r="DT887" i="97"/>
  <c r="DS887" i="97"/>
  <c r="DR887" i="97"/>
  <c r="DQ887" i="97"/>
  <c r="DP887" i="97"/>
  <c r="DO887" i="97"/>
  <c r="DN887" i="97"/>
  <c r="DM887" i="97"/>
  <c r="DL887" i="97"/>
  <c r="DK887" i="97"/>
  <c r="DJ887" i="97"/>
  <c r="DI887" i="97"/>
  <c r="DH887" i="97"/>
  <c r="DG887" i="97"/>
  <c r="DF887" i="97"/>
  <c r="DE887" i="97"/>
  <c r="DD887" i="97"/>
  <c r="DC887" i="97"/>
  <c r="DB887" i="97"/>
  <c r="DA887" i="97"/>
  <c r="CZ887" i="97"/>
  <c r="CY887" i="97"/>
  <c r="CX887" i="97"/>
  <c r="CW887" i="97"/>
  <c r="CV887" i="97"/>
  <c r="CU887" i="97"/>
  <c r="CT887" i="97"/>
  <c r="CS887" i="97"/>
  <c r="CR887" i="97"/>
  <c r="CQ887" i="97"/>
  <c r="CP887" i="97"/>
  <c r="CO887" i="97"/>
  <c r="CN887" i="97"/>
  <c r="CM887" i="97"/>
  <c r="CL887" i="97"/>
  <c r="CK887" i="97"/>
  <c r="CJ887" i="97"/>
  <c r="CI887" i="97"/>
  <c r="CH887" i="97"/>
  <c r="CG887" i="97"/>
  <c r="CF887" i="97"/>
  <c r="CE887" i="97"/>
  <c r="CD887" i="97"/>
  <c r="CC887" i="97"/>
  <c r="CB887" i="97"/>
  <c r="CA887" i="97"/>
  <c r="BZ887" i="97"/>
  <c r="BY887" i="97"/>
  <c r="BX887" i="97"/>
  <c r="BW887" i="97"/>
  <c r="BV887" i="97"/>
  <c r="BU887" i="97"/>
  <c r="BT887" i="97"/>
  <c r="BS887" i="97"/>
  <c r="BR887" i="97"/>
  <c r="BQ887" i="97"/>
  <c r="BP887" i="97"/>
  <c r="BO887" i="97"/>
  <c r="BN887" i="97"/>
  <c r="BM887" i="97"/>
  <c r="BL887" i="97"/>
  <c r="BK887" i="97"/>
  <c r="BJ887" i="97"/>
  <c r="BI887" i="97"/>
  <c r="BH887" i="97"/>
  <c r="BG887" i="97"/>
  <c r="BF887" i="97"/>
  <c r="BE887" i="97"/>
  <c r="BD887" i="97"/>
  <c r="BC887" i="97"/>
  <c r="BB887" i="97"/>
  <c r="BA887" i="97"/>
  <c r="AZ887" i="97"/>
  <c r="AY887" i="97"/>
  <c r="AX887" i="97"/>
  <c r="AW887" i="97"/>
  <c r="AV887" i="97"/>
  <c r="AU887" i="97"/>
  <c r="AT887" i="97"/>
  <c r="AS887" i="97"/>
  <c r="AR887" i="97"/>
  <c r="AQ887" i="97"/>
  <c r="AP887" i="97"/>
  <c r="AO887" i="97"/>
  <c r="AN887" i="97"/>
  <c r="AM887" i="97"/>
  <c r="AL887" i="97"/>
  <c r="AK887" i="97"/>
  <c r="AJ887" i="97"/>
  <c r="AI887" i="97"/>
  <c r="AH887" i="97"/>
  <c r="AG887" i="97"/>
  <c r="AF887" i="97"/>
  <c r="AE887" i="97"/>
  <c r="AD887" i="97"/>
  <c r="AC887" i="97"/>
  <c r="AB887" i="97"/>
  <c r="AA887" i="97"/>
  <c r="Z887" i="97"/>
  <c r="Y887" i="97"/>
  <c r="X887" i="97"/>
  <c r="A887" i="97"/>
  <c r="MT886" i="97"/>
  <c r="MS886" i="97"/>
  <c r="MR886" i="97"/>
  <c r="MQ886" i="97"/>
  <c r="MP886" i="97"/>
  <c r="MO886" i="97"/>
  <c r="MN886" i="97"/>
  <c r="MM886" i="97"/>
  <c r="ML886" i="97"/>
  <c r="MK886" i="97"/>
  <c r="MJ886" i="97"/>
  <c r="MI886" i="97"/>
  <c r="MH886" i="97"/>
  <c r="MG886" i="97"/>
  <c r="MF886" i="97"/>
  <c r="ME886" i="97"/>
  <c r="MD886" i="97"/>
  <c r="MC886" i="97"/>
  <c r="MB886" i="97"/>
  <c r="MA886" i="97"/>
  <c r="LZ886" i="97"/>
  <c r="LY886" i="97"/>
  <c r="LX886" i="97"/>
  <c r="LW886" i="97"/>
  <c r="LV886" i="97"/>
  <c r="LU886" i="97"/>
  <c r="LT886" i="97"/>
  <c r="LS886" i="97"/>
  <c r="LR886" i="97"/>
  <c r="LQ886" i="97"/>
  <c r="LP886" i="97"/>
  <c r="LO886" i="97"/>
  <c r="LN886" i="97"/>
  <c r="LM886" i="97"/>
  <c r="LL886" i="97"/>
  <c r="LK886" i="97"/>
  <c r="LJ886" i="97"/>
  <c r="LI886" i="97"/>
  <c r="LH886" i="97"/>
  <c r="LG886" i="97"/>
  <c r="LF886" i="97"/>
  <c r="LE886" i="97"/>
  <c r="LD886" i="97"/>
  <c r="LC886" i="97"/>
  <c r="LB886" i="97"/>
  <c r="LA886" i="97"/>
  <c r="KZ886" i="97"/>
  <c r="KY886" i="97"/>
  <c r="KX886" i="97"/>
  <c r="KW886" i="97"/>
  <c r="KV886" i="97"/>
  <c r="KU886" i="97"/>
  <c r="KT886" i="97"/>
  <c r="KS886" i="97"/>
  <c r="KR886" i="97"/>
  <c r="KQ886" i="97"/>
  <c r="KP886" i="97"/>
  <c r="KO886" i="97"/>
  <c r="KN886" i="97"/>
  <c r="KM886" i="97"/>
  <c r="KL886" i="97"/>
  <c r="KK886" i="97"/>
  <c r="KJ886" i="97"/>
  <c r="KI886" i="97"/>
  <c r="KH886" i="97"/>
  <c r="KG886" i="97"/>
  <c r="KF886" i="97"/>
  <c r="KE886" i="97"/>
  <c r="KD886" i="97"/>
  <c r="KC886" i="97"/>
  <c r="KB886" i="97"/>
  <c r="KA886" i="97"/>
  <c r="JZ886" i="97"/>
  <c r="JY886" i="97"/>
  <c r="JX886" i="97"/>
  <c r="JW886" i="97"/>
  <c r="JV886" i="97"/>
  <c r="JU886" i="97"/>
  <c r="JT886" i="97"/>
  <c r="JS886" i="97"/>
  <c r="JR886" i="97"/>
  <c r="JQ886" i="97"/>
  <c r="JP886" i="97"/>
  <c r="JO886" i="97"/>
  <c r="JN886" i="97"/>
  <c r="JM886" i="97"/>
  <c r="JL886" i="97"/>
  <c r="JK886" i="97"/>
  <c r="JJ886" i="97"/>
  <c r="JI886" i="97"/>
  <c r="JH886" i="97"/>
  <c r="JG886" i="97"/>
  <c r="JF886" i="97"/>
  <c r="JE886" i="97"/>
  <c r="JD886" i="97"/>
  <c r="JC886" i="97"/>
  <c r="JB886" i="97"/>
  <c r="JA886" i="97"/>
  <c r="IZ886" i="97"/>
  <c r="IY886" i="97"/>
  <c r="IX886" i="97"/>
  <c r="IW886" i="97"/>
  <c r="IV886" i="97"/>
  <c r="IU886" i="97"/>
  <c r="IT886" i="97"/>
  <c r="IS886" i="97"/>
  <c r="IR886" i="97"/>
  <c r="IQ886" i="97"/>
  <c r="IP886" i="97"/>
  <c r="IO886" i="97"/>
  <c r="IN886" i="97"/>
  <c r="IM886" i="97"/>
  <c r="IL886" i="97"/>
  <c r="IK886" i="97"/>
  <c r="IJ886" i="97"/>
  <c r="II886" i="97"/>
  <c r="IH886" i="97"/>
  <c r="IG886" i="97"/>
  <c r="IF886" i="97"/>
  <c r="IE886" i="97"/>
  <c r="ID886" i="97"/>
  <c r="IC886" i="97"/>
  <c r="IB886" i="97"/>
  <c r="IA886" i="97"/>
  <c r="HZ886" i="97"/>
  <c r="HY886" i="97"/>
  <c r="HX886" i="97"/>
  <c r="HW886" i="97"/>
  <c r="HV886" i="97"/>
  <c r="HU886" i="97"/>
  <c r="HT886" i="97"/>
  <c r="HS886" i="97"/>
  <c r="HR886" i="97"/>
  <c r="HQ886" i="97"/>
  <c r="HP886" i="97"/>
  <c r="HO886" i="97"/>
  <c r="HN886" i="97"/>
  <c r="HM886" i="97"/>
  <c r="HL886" i="97"/>
  <c r="HK886" i="97"/>
  <c r="HJ886" i="97"/>
  <c r="HI886" i="97"/>
  <c r="HH886" i="97"/>
  <c r="HG886" i="97"/>
  <c r="HF886" i="97"/>
  <c r="HE886" i="97"/>
  <c r="HD886" i="97"/>
  <c r="HC886" i="97"/>
  <c r="HB886" i="97"/>
  <c r="HA886" i="97"/>
  <c r="GZ886" i="97"/>
  <c r="GY886" i="97"/>
  <c r="GX886" i="97"/>
  <c r="GW886" i="97"/>
  <c r="GV886" i="97"/>
  <c r="GU886" i="97"/>
  <c r="GT886" i="97"/>
  <c r="GS886" i="97"/>
  <c r="GR886" i="97"/>
  <c r="GQ886" i="97"/>
  <c r="GP886" i="97"/>
  <c r="GO886" i="97"/>
  <c r="GN886" i="97"/>
  <c r="GM886" i="97"/>
  <c r="GL886" i="97"/>
  <c r="GK886" i="97"/>
  <c r="GJ886" i="97"/>
  <c r="GI886" i="97"/>
  <c r="GH886" i="97"/>
  <c r="GG886" i="97"/>
  <c r="GF886" i="97"/>
  <c r="GE886" i="97"/>
  <c r="GD886" i="97"/>
  <c r="GC886" i="97"/>
  <c r="GB886" i="97"/>
  <c r="GA886" i="97"/>
  <c r="FZ886" i="97"/>
  <c r="FY886" i="97"/>
  <c r="FX886" i="97"/>
  <c r="FW886" i="97"/>
  <c r="FV886" i="97"/>
  <c r="FU886" i="97"/>
  <c r="FT886" i="97"/>
  <c r="FS886" i="97"/>
  <c r="FR886" i="97"/>
  <c r="FQ886" i="97"/>
  <c r="FP886" i="97"/>
  <c r="FO886" i="97"/>
  <c r="FN886" i="97"/>
  <c r="FM886" i="97"/>
  <c r="FL886" i="97"/>
  <c r="FK886" i="97"/>
  <c r="FJ886" i="97"/>
  <c r="FI886" i="97"/>
  <c r="FH886" i="97"/>
  <c r="FG886" i="97"/>
  <c r="FF886" i="97"/>
  <c r="FE886" i="97"/>
  <c r="FD886" i="97"/>
  <c r="FC886" i="97"/>
  <c r="FB886" i="97"/>
  <c r="FA886" i="97"/>
  <c r="EZ886" i="97"/>
  <c r="EY886" i="97"/>
  <c r="EX886" i="97"/>
  <c r="EW886" i="97"/>
  <c r="EV886" i="97"/>
  <c r="EU886" i="97"/>
  <c r="ET886" i="97"/>
  <c r="ES886" i="97"/>
  <c r="ER886" i="97"/>
  <c r="EQ886" i="97"/>
  <c r="EP886" i="97"/>
  <c r="EO886" i="97"/>
  <c r="EN886" i="97"/>
  <c r="EM886" i="97"/>
  <c r="EL886" i="97"/>
  <c r="EK886" i="97"/>
  <c r="EJ886" i="97"/>
  <c r="EI886" i="97"/>
  <c r="EH886" i="97"/>
  <c r="EG886" i="97"/>
  <c r="EF886" i="97"/>
  <c r="EE886" i="97"/>
  <c r="ED886" i="97"/>
  <c r="EC886" i="97"/>
  <c r="EB886" i="97"/>
  <c r="EA886" i="97"/>
  <c r="DZ886" i="97"/>
  <c r="DY886" i="97"/>
  <c r="DX886" i="97"/>
  <c r="DW886" i="97"/>
  <c r="DV886" i="97"/>
  <c r="DU886" i="97"/>
  <c r="DT886" i="97"/>
  <c r="DS886" i="97"/>
  <c r="DR886" i="97"/>
  <c r="DQ886" i="97"/>
  <c r="DP886" i="97"/>
  <c r="DO886" i="97"/>
  <c r="DN886" i="97"/>
  <c r="DM886" i="97"/>
  <c r="DL886" i="97"/>
  <c r="DK886" i="97"/>
  <c r="DJ886" i="97"/>
  <c r="DI886" i="97"/>
  <c r="DH886" i="97"/>
  <c r="DG886" i="97"/>
  <c r="DF886" i="97"/>
  <c r="DE886" i="97"/>
  <c r="DD886" i="97"/>
  <c r="DC886" i="97"/>
  <c r="DB886" i="97"/>
  <c r="DA886" i="97"/>
  <c r="CZ886" i="97"/>
  <c r="CY886" i="97"/>
  <c r="CX886" i="97"/>
  <c r="CW886" i="97"/>
  <c r="CV886" i="97"/>
  <c r="CU886" i="97"/>
  <c r="CT886" i="97"/>
  <c r="CS886" i="97"/>
  <c r="CR886" i="97"/>
  <c r="CQ886" i="97"/>
  <c r="CP886" i="97"/>
  <c r="CO886" i="97"/>
  <c r="CN886" i="97"/>
  <c r="CM886" i="97"/>
  <c r="CL886" i="97"/>
  <c r="CK886" i="97"/>
  <c r="CJ886" i="97"/>
  <c r="CI886" i="97"/>
  <c r="CH886" i="97"/>
  <c r="CG886" i="97"/>
  <c r="CF886" i="97"/>
  <c r="CE886" i="97"/>
  <c r="CD886" i="97"/>
  <c r="CC886" i="97"/>
  <c r="CB886" i="97"/>
  <c r="CA886" i="97"/>
  <c r="BZ886" i="97"/>
  <c r="BY886" i="97"/>
  <c r="BX886" i="97"/>
  <c r="BW886" i="97"/>
  <c r="BV886" i="97"/>
  <c r="BU886" i="97"/>
  <c r="BT886" i="97"/>
  <c r="BS886" i="97"/>
  <c r="BR886" i="97"/>
  <c r="BQ886" i="97"/>
  <c r="BP886" i="97"/>
  <c r="BO886" i="97"/>
  <c r="BN886" i="97"/>
  <c r="BM886" i="97"/>
  <c r="BL886" i="97"/>
  <c r="BK886" i="97"/>
  <c r="BJ886" i="97"/>
  <c r="BI886" i="97"/>
  <c r="BH886" i="97"/>
  <c r="BG886" i="97"/>
  <c r="BF886" i="97"/>
  <c r="BE886" i="97"/>
  <c r="BD886" i="97"/>
  <c r="BC886" i="97"/>
  <c r="BB886" i="97"/>
  <c r="BA886" i="97"/>
  <c r="AZ886" i="97"/>
  <c r="AY886" i="97"/>
  <c r="AX886" i="97"/>
  <c r="AW886" i="97"/>
  <c r="AV886" i="97"/>
  <c r="AU886" i="97"/>
  <c r="AT886" i="97"/>
  <c r="AS886" i="97"/>
  <c r="AR886" i="97"/>
  <c r="AQ886" i="97"/>
  <c r="AP886" i="97"/>
  <c r="AO886" i="97"/>
  <c r="AN886" i="97"/>
  <c r="AM886" i="97"/>
  <c r="AL886" i="97"/>
  <c r="AK886" i="97"/>
  <c r="AJ886" i="97"/>
  <c r="AI886" i="97"/>
  <c r="AH886" i="97"/>
  <c r="AG886" i="97"/>
  <c r="AF886" i="97"/>
  <c r="AE886" i="97"/>
  <c r="AD886" i="97"/>
  <c r="AC886" i="97"/>
  <c r="AB886" i="97"/>
  <c r="AA886" i="97"/>
  <c r="Z886" i="97"/>
  <c r="Y886" i="97"/>
  <c r="X886" i="97"/>
  <c r="A886" i="97"/>
  <c r="MT885" i="97"/>
  <c r="MS885" i="97"/>
  <c r="MR885" i="97"/>
  <c r="MQ885" i="97"/>
  <c r="MP885" i="97"/>
  <c r="MO885" i="97"/>
  <c r="MN885" i="97"/>
  <c r="MM885" i="97"/>
  <c r="ML885" i="97"/>
  <c r="MK885" i="97"/>
  <c r="MJ885" i="97"/>
  <c r="MI885" i="97"/>
  <c r="MH885" i="97"/>
  <c r="MG885" i="97"/>
  <c r="MF885" i="97"/>
  <c r="ME885" i="97"/>
  <c r="MD885" i="97"/>
  <c r="MC885" i="97"/>
  <c r="MB885" i="97"/>
  <c r="MA885" i="97"/>
  <c r="LZ885" i="97"/>
  <c r="LY885" i="97"/>
  <c r="LX885" i="97"/>
  <c r="LW885" i="97"/>
  <c r="LV885" i="97"/>
  <c r="LU885" i="97"/>
  <c r="LT885" i="97"/>
  <c r="LS885" i="97"/>
  <c r="LR885" i="97"/>
  <c r="LQ885" i="97"/>
  <c r="LP885" i="97"/>
  <c r="LO885" i="97"/>
  <c r="LN885" i="97"/>
  <c r="LM885" i="97"/>
  <c r="LL885" i="97"/>
  <c r="LK885" i="97"/>
  <c r="LJ885" i="97"/>
  <c r="LI885" i="97"/>
  <c r="LH885" i="97"/>
  <c r="LG885" i="97"/>
  <c r="LF885" i="97"/>
  <c r="LE885" i="97"/>
  <c r="LD885" i="97"/>
  <c r="LC885" i="97"/>
  <c r="LB885" i="97"/>
  <c r="LA885" i="97"/>
  <c r="KZ885" i="97"/>
  <c r="KY885" i="97"/>
  <c r="KX885" i="97"/>
  <c r="KW885" i="97"/>
  <c r="KV885" i="97"/>
  <c r="KU885" i="97"/>
  <c r="KT885" i="97"/>
  <c r="KS885" i="97"/>
  <c r="KR885" i="97"/>
  <c r="KQ885" i="97"/>
  <c r="KP885" i="97"/>
  <c r="KO885" i="97"/>
  <c r="KN885" i="97"/>
  <c r="KM885" i="97"/>
  <c r="KL885" i="97"/>
  <c r="KK885" i="97"/>
  <c r="KJ885" i="97"/>
  <c r="KI885" i="97"/>
  <c r="KH885" i="97"/>
  <c r="KG885" i="97"/>
  <c r="KF885" i="97"/>
  <c r="KE885" i="97"/>
  <c r="KD885" i="97"/>
  <c r="KC885" i="97"/>
  <c r="KB885" i="97"/>
  <c r="KA885" i="97"/>
  <c r="JZ885" i="97"/>
  <c r="JY885" i="97"/>
  <c r="JX885" i="97"/>
  <c r="JW885" i="97"/>
  <c r="JV885" i="97"/>
  <c r="JU885" i="97"/>
  <c r="JT885" i="97"/>
  <c r="JS885" i="97"/>
  <c r="JR885" i="97"/>
  <c r="JQ885" i="97"/>
  <c r="JP885" i="97"/>
  <c r="JO885" i="97"/>
  <c r="JN885" i="97"/>
  <c r="JM885" i="97"/>
  <c r="JL885" i="97"/>
  <c r="JK885" i="97"/>
  <c r="JJ885" i="97"/>
  <c r="JI885" i="97"/>
  <c r="JH885" i="97"/>
  <c r="JG885" i="97"/>
  <c r="JF885" i="97"/>
  <c r="JE885" i="97"/>
  <c r="JD885" i="97"/>
  <c r="JC885" i="97"/>
  <c r="JB885" i="97"/>
  <c r="JA885" i="97"/>
  <c r="IZ885" i="97"/>
  <c r="IY885" i="97"/>
  <c r="IX885" i="97"/>
  <c r="IW885" i="97"/>
  <c r="IV885" i="97"/>
  <c r="IU885" i="97"/>
  <c r="IT885" i="97"/>
  <c r="IS885" i="97"/>
  <c r="IR885" i="97"/>
  <c r="IQ885" i="97"/>
  <c r="IP885" i="97"/>
  <c r="IO885" i="97"/>
  <c r="IN885" i="97"/>
  <c r="IM885" i="97"/>
  <c r="IL885" i="97"/>
  <c r="IK885" i="97"/>
  <c r="IJ885" i="97"/>
  <c r="II885" i="97"/>
  <c r="IH885" i="97"/>
  <c r="IG885" i="97"/>
  <c r="IF885" i="97"/>
  <c r="IE885" i="97"/>
  <c r="ID885" i="97"/>
  <c r="IC885" i="97"/>
  <c r="IB885" i="97"/>
  <c r="IA885" i="97"/>
  <c r="HZ885" i="97"/>
  <c r="HY885" i="97"/>
  <c r="HX885" i="97"/>
  <c r="HW885" i="97"/>
  <c r="HV885" i="97"/>
  <c r="HU885" i="97"/>
  <c r="HT885" i="97"/>
  <c r="HS885" i="97"/>
  <c r="HR885" i="97"/>
  <c r="HQ885" i="97"/>
  <c r="HP885" i="97"/>
  <c r="HO885" i="97"/>
  <c r="HN885" i="97"/>
  <c r="HM885" i="97"/>
  <c r="HL885" i="97"/>
  <c r="HK885" i="97"/>
  <c r="HJ885" i="97"/>
  <c r="HI885" i="97"/>
  <c r="HH885" i="97"/>
  <c r="HG885" i="97"/>
  <c r="HF885" i="97"/>
  <c r="HE885" i="97"/>
  <c r="HD885" i="97"/>
  <c r="HC885" i="97"/>
  <c r="HB885" i="97"/>
  <c r="HA885" i="97"/>
  <c r="GZ885" i="97"/>
  <c r="GY885" i="97"/>
  <c r="GX885" i="97"/>
  <c r="GW885" i="97"/>
  <c r="GV885" i="97"/>
  <c r="GU885" i="97"/>
  <c r="GT885" i="97"/>
  <c r="GS885" i="97"/>
  <c r="GR885" i="97"/>
  <c r="GQ885" i="97"/>
  <c r="GP885" i="97"/>
  <c r="GO885" i="97"/>
  <c r="GN885" i="97"/>
  <c r="GM885" i="97"/>
  <c r="GL885" i="97"/>
  <c r="GK885" i="97"/>
  <c r="GJ885" i="97"/>
  <c r="GI885" i="97"/>
  <c r="GH885" i="97"/>
  <c r="GG885" i="97"/>
  <c r="GF885" i="97"/>
  <c r="GE885" i="97"/>
  <c r="GD885" i="97"/>
  <c r="GC885" i="97"/>
  <c r="GB885" i="97"/>
  <c r="GA885" i="97"/>
  <c r="FZ885" i="97"/>
  <c r="FY885" i="97"/>
  <c r="FX885" i="97"/>
  <c r="FW885" i="97"/>
  <c r="FV885" i="97"/>
  <c r="FU885" i="97"/>
  <c r="FT885" i="97"/>
  <c r="FS885" i="97"/>
  <c r="FR885" i="97"/>
  <c r="FQ885" i="97"/>
  <c r="FP885" i="97"/>
  <c r="FO885" i="97"/>
  <c r="FN885" i="97"/>
  <c r="FM885" i="97"/>
  <c r="FL885" i="97"/>
  <c r="FK885" i="97"/>
  <c r="FJ885" i="97"/>
  <c r="FI885" i="97"/>
  <c r="FH885" i="97"/>
  <c r="FG885" i="97"/>
  <c r="FF885" i="97"/>
  <c r="FE885" i="97"/>
  <c r="FD885" i="97"/>
  <c r="FC885" i="97"/>
  <c r="FB885" i="97"/>
  <c r="FA885" i="97"/>
  <c r="EZ885" i="97"/>
  <c r="EY885" i="97"/>
  <c r="EX885" i="97"/>
  <c r="EW885" i="97"/>
  <c r="EV885" i="97"/>
  <c r="EU885" i="97"/>
  <c r="ET885" i="97"/>
  <c r="ES885" i="97"/>
  <c r="ER885" i="97"/>
  <c r="EQ885" i="97"/>
  <c r="EP885" i="97"/>
  <c r="EO885" i="97"/>
  <c r="EN885" i="97"/>
  <c r="EM885" i="97"/>
  <c r="EL885" i="97"/>
  <c r="EK885" i="97"/>
  <c r="EJ885" i="97"/>
  <c r="EI885" i="97"/>
  <c r="EH885" i="97"/>
  <c r="EG885" i="97"/>
  <c r="EF885" i="97"/>
  <c r="EE885" i="97"/>
  <c r="ED885" i="97"/>
  <c r="EC885" i="97"/>
  <c r="EB885" i="97"/>
  <c r="EA885" i="97"/>
  <c r="DZ885" i="97"/>
  <c r="DY885" i="97"/>
  <c r="DX885" i="97"/>
  <c r="DW885" i="97"/>
  <c r="DV885" i="97"/>
  <c r="DU885" i="97"/>
  <c r="DT885" i="97"/>
  <c r="DS885" i="97"/>
  <c r="DR885" i="97"/>
  <c r="DQ885" i="97"/>
  <c r="DP885" i="97"/>
  <c r="DO885" i="97"/>
  <c r="DN885" i="97"/>
  <c r="DM885" i="97"/>
  <c r="DL885" i="97"/>
  <c r="DK885" i="97"/>
  <c r="DJ885" i="97"/>
  <c r="DI885" i="97"/>
  <c r="DH885" i="97"/>
  <c r="DG885" i="97"/>
  <c r="DF885" i="97"/>
  <c r="DE885" i="97"/>
  <c r="DD885" i="97"/>
  <c r="DC885" i="97"/>
  <c r="DB885" i="97"/>
  <c r="DA885" i="97"/>
  <c r="CZ885" i="97"/>
  <c r="CY885" i="97"/>
  <c r="CX885" i="97"/>
  <c r="CW885" i="97"/>
  <c r="CV885" i="97"/>
  <c r="CU885" i="97"/>
  <c r="CT885" i="97"/>
  <c r="CS885" i="97"/>
  <c r="CR885" i="97"/>
  <c r="CQ885" i="97"/>
  <c r="CP885" i="97"/>
  <c r="CO885" i="97"/>
  <c r="CN885" i="97"/>
  <c r="CM885" i="97"/>
  <c r="CL885" i="97"/>
  <c r="CK885" i="97"/>
  <c r="CJ885" i="97"/>
  <c r="CI885" i="97"/>
  <c r="CH885" i="97"/>
  <c r="CG885" i="97"/>
  <c r="CF885" i="97"/>
  <c r="CE885" i="97"/>
  <c r="CD885" i="97"/>
  <c r="CC885" i="97"/>
  <c r="CB885" i="97"/>
  <c r="CA885" i="97"/>
  <c r="BZ885" i="97"/>
  <c r="BY885" i="97"/>
  <c r="BX885" i="97"/>
  <c r="BW885" i="97"/>
  <c r="BV885" i="97"/>
  <c r="BU885" i="97"/>
  <c r="BT885" i="97"/>
  <c r="BS885" i="97"/>
  <c r="BR885" i="97"/>
  <c r="BQ885" i="97"/>
  <c r="BP885" i="97"/>
  <c r="BO885" i="97"/>
  <c r="BN885" i="97"/>
  <c r="BM885" i="97"/>
  <c r="BL885" i="97"/>
  <c r="BK885" i="97"/>
  <c r="BJ885" i="97"/>
  <c r="BI885" i="97"/>
  <c r="BH885" i="97"/>
  <c r="BG885" i="97"/>
  <c r="BF885" i="97"/>
  <c r="BE885" i="97"/>
  <c r="BD885" i="97"/>
  <c r="BC885" i="97"/>
  <c r="BB885" i="97"/>
  <c r="BA885" i="97"/>
  <c r="AZ885" i="97"/>
  <c r="AY885" i="97"/>
  <c r="AX885" i="97"/>
  <c r="AW885" i="97"/>
  <c r="AV885" i="97"/>
  <c r="AU885" i="97"/>
  <c r="AT885" i="97"/>
  <c r="AS885" i="97"/>
  <c r="AR885" i="97"/>
  <c r="AQ885" i="97"/>
  <c r="AP885" i="97"/>
  <c r="AO885" i="97"/>
  <c r="AN885" i="97"/>
  <c r="AM885" i="97"/>
  <c r="AL885" i="97"/>
  <c r="AK885" i="97"/>
  <c r="AJ885" i="97"/>
  <c r="AI885" i="97"/>
  <c r="AH885" i="97"/>
  <c r="AG885" i="97"/>
  <c r="AF885" i="97"/>
  <c r="AE885" i="97"/>
  <c r="AD885" i="97"/>
  <c r="AC885" i="97"/>
  <c r="AB885" i="97"/>
  <c r="AA885" i="97"/>
  <c r="Z885" i="97"/>
  <c r="Y885" i="97"/>
  <c r="X885" i="97"/>
  <c r="A885" i="97"/>
  <c r="MT884" i="97"/>
  <c r="MS884" i="97"/>
  <c r="MR884" i="97"/>
  <c r="MQ884" i="97"/>
  <c r="MP884" i="97"/>
  <c r="MO884" i="97"/>
  <c r="MN884" i="97"/>
  <c r="MM884" i="97"/>
  <c r="ML884" i="97"/>
  <c r="MK884" i="97"/>
  <c r="MJ884" i="97"/>
  <c r="MI884" i="97"/>
  <c r="MH884" i="97"/>
  <c r="MG884" i="97"/>
  <c r="MF884" i="97"/>
  <c r="ME884" i="97"/>
  <c r="MD884" i="97"/>
  <c r="MC884" i="97"/>
  <c r="MB884" i="97"/>
  <c r="MA884" i="97"/>
  <c r="LZ884" i="97"/>
  <c r="LY884" i="97"/>
  <c r="LX884" i="97"/>
  <c r="LW884" i="97"/>
  <c r="LV884" i="97"/>
  <c r="LU884" i="97"/>
  <c r="LT884" i="97"/>
  <c r="LS884" i="97"/>
  <c r="LR884" i="97"/>
  <c r="LQ884" i="97"/>
  <c r="LP884" i="97"/>
  <c r="LO884" i="97"/>
  <c r="LN884" i="97"/>
  <c r="LM884" i="97"/>
  <c r="LL884" i="97"/>
  <c r="LK884" i="97"/>
  <c r="LJ884" i="97"/>
  <c r="LI884" i="97"/>
  <c r="LH884" i="97"/>
  <c r="LG884" i="97"/>
  <c r="LF884" i="97"/>
  <c r="LE884" i="97"/>
  <c r="LD884" i="97"/>
  <c r="LC884" i="97"/>
  <c r="LB884" i="97"/>
  <c r="LA884" i="97"/>
  <c r="KZ884" i="97"/>
  <c r="KY884" i="97"/>
  <c r="KX884" i="97"/>
  <c r="KW884" i="97"/>
  <c r="KV884" i="97"/>
  <c r="KU884" i="97"/>
  <c r="KT884" i="97"/>
  <c r="KS884" i="97"/>
  <c r="KR884" i="97"/>
  <c r="KQ884" i="97"/>
  <c r="KP884" i="97"/>
  <c r="KO884" i="97"/>
  <c r="KN884" i="97"/>
  <c r="KM884" i="97"/>
  <c r="KL884" i="97"/>
  <c r="KK884" i="97"/>
  <c r="KJ884" i="97"/>
  <c r="KI884" i="97"/>
  <c r="KH884" i="97"/>
  <c r="KG884" i="97"/>
  <c r="KF884" i="97"/>
  <c r="KE884" i="97"/>
  <c r="KD884" i="97"/>
  <c r="KC884" i="97"/>
  <c r="KB884" i="97"/>
  <c r="KA884" i="97"/>
  <c r="JZ884" i="97"/>
  <c r="JY884" i="97"/>
  <c r="JX884" i="97"/>
  <c r="JW884" i="97"/>
  <c r="JV884" i="97"/>
  <c r="JU884" i="97"/>
  <c r="JT884" i="97"/>
  <c r="JS884" i="97"/>
  <c r="JR884" i="97"/>
  <c r="JQ884" i="97"/>
  <c r="JP884" i="97"/>
  <c r="JO884" i="97"/>
  <c r="JN884" i="97"/>
  <c r="JM884" i="97"/>
  <c r="JL884" i="97"/>
  <c r="JK884" i="97"/>
  <c r="JJ884" i="97"/>
  <c r="JI884" i="97"/>
  <c r="JH884" i="97"/>
  <c r="JG884" i="97"/>
  <c r="JF884" i="97"/>
  <c r="JE884" i="97"/>
  <c r="JD884" i="97"/>
  <c r="JC884" i="97"/>
  <c r="JB884" i="97"/>
  <c r="JA884" i="97"/>
  <c r="IZ884" i="97"/>
  <c r="IY884" i="97"/>
  <c r="IX884" i="97"/>
  <c r="IW884" i="97"/>
  <c r="IV884" i="97"/>
  <c r="IU884" i="97"/>
  <c r="IT884" i="97"/>
  <c r="IS884" i="97"/>
  <c r="IR884" i="97"/>
  <c r="IQ884" i="97"/>
  <c r="IP884" i="97"/>
  <c r="IO884" i="97"/>
  <c r="IN884" i="97"/>
  <c r="IM884" i="97"/>
  <c r="IL884" i="97"/>
  <c r="IK884" i="97"/>
  <c r="IJ884" i="97"/>
  <c r="II884" i="97"/>
  <c r="IH884" i="97"/>
  <c r="IG884" i="97"/>
  <c r="IF884" i="97"/>
  <c r="IE884" i="97"/>
  <c r="ID884" i="97"/>
  <c r="IC884" i="97"/>
  <c r="IB884" i="97"/>
  <c r="IA884" i="97"/>
  <c r="HZ884" i="97"/>
  <c r="HY884" i="97"/>
  <c r="HX884" i="97"/>
  <c r="HW884" i="97"/>
  <c r="HV884" i="97"/>
  <c r="HU884" i="97"/>
  <c r="HT884" i="97"/>
  <c r="HS884" i="97"/>
  <c r="HR884" i="97"/>
  <c r="HQ884" i="97"/>
  <c r="HP884" i="97"/>
  <c r="HO884" i="97"/>
  <c r="HN884" i="97"/>
  <c r="HM884" i="97"/>
  <c r="HL884" i="97"/>
  <c r="HK884" i="97"/>
  <c r="HJ884" i="97"/>
  <c r="HI884" i="97"/>
  <c r="HH884" i="97"/>
  <c r="HG884" i="97"/>
  <c r="HF884" i="97"/>
  <c r="HE884" i="97"/>
  <c r="HD884" i="97"/>
  <c r="HC884" i="97"/>
  <c r="HB884" i="97"/>
  <c r="HA884" i="97"/>
  <c r="GZ884" i="97"/>
  <c r="GY884" i="97"/>
  <c r="GX884" i="97"/>
  <c r="GW884" i="97"/>
  <c r="GV884" i="97"/>
  <c r="GU884" i="97"/>
  <c r="GT884" i="97"/>
  <c r="GS884" i="97"/>
  <c r="GR884" i="97"/>
  <c r="GQ884" i="97"/>
  <c r="GP884" i="97"/>
  <c r="GO884" i="97"/>
  <c r="GN884" i="97"/>
  <c r="GM884" i="97"/>
  <c r="GL884" i="97"/>
  <c r="GK884" i="97"/>
  <c r="GJ884" i="97"/>
  <c r="GI884" i="97"/>
  <c r="GH884" i="97"/>
  <c r="GG884" i="97"/>
  <c r="GF884" i="97"/>
  <c r="GE884" i="97"/>
  <c r="GD884" i="97"/>
  <c r="GC884" i="97"/>
  <c r="GB884" i="97"/>
  <c r="GA884" i="97"/>
  <c r="FZ884" i="97"/>
  <c r="FY884" i="97"/>
  <c r="FX884" i="97"/>
  <c r="FW884" i="97"/>
  <c r="FV884" i="97"/>
  <c r="FU884" i="97"/>
  <c r="FT884" i="97"/>
  <c r="FS884" i="97"/>
  <c r="FR884" i="97"/>
  <c r="FQ884" i="97"/>
  <c r="FP884" i="97"/>
  <c r="FO884" i="97"/>
  <c r="FN884" i="97"/>
  <c r="FM884" i="97"/>
  <c r="FL884" i="97"/>
  <c r="FK884" i="97"/>
  <c r="FJ884" i="97"/>
  <c r="FI884" i="97"/>
  <c r="FH884" i="97"/>
  <c r="FG884" i="97"/>
  <c r="FF884" i="97"/>
  <c r="FE884" i="97"/>
  <c r="FD884" i="97"/>
  <c r="FC884" i="97"/>
  <c r="FB884" i="97"/>
  <c r="FA884" i="97"/>
  <c r="EZ884" i="97"/>
  <c r="EY884" i="97"/>
  <c r="EX884" i="97"/>
  <c r="EW884" i="97"/>
  <c r="EV884" i="97"/>
  <c r="EU884" i="97"/>
  <c r="ET884" i="97"/>
  <c r="ES884" i="97"/>
  <c r="ER884" i="97"/>
  <c r="EQ884" i="97"/>
  <c r="EP884" i="97"/>
  <c r="EO884" i="97"/>
  <c r="EN884" i="97"/>
  <c r="EM884" i="97"/>
  <c r="EL884" i="97"/>
  <c r="EK884" i="97"/>
  <c r="EJ884" i="97"/>
  <c r="EI884" i="97"/>
  <c r="EH884" i="97"/>
  <c r="EG884" i="97"/>
  <c r="EF884" i="97"/>
  <c r="EE884" i="97"/>
  <c r="ED884" i="97"/>
  <c r="EC884" i="97"/>
  <c r="EB884" i="97"/>
  <c r="EA884" i="97"/>
  <c r="DZ884" i="97"/>
  <c r="DY884" i="97"/>
  <c r="DX884" i="97"/>
  <c r="DW884" i="97"/>
  <c r="DV884" i="97"/>
  <c r="DU884" i="97"/>
  <c r="DT884" i="97"/>
  <c r="DS884" i="97"/>
  <c r="DR884" i="97"/>
  <c r="DQ884" i="97"/>
  <c r="DP884" i="97"/>
  <c r="DO884" i="97"/>
  <c r="DN884" i="97"/>
  <c r="DM884" i="97"/>
  <c r="DL884" i="97"/>
  <c r="DK884" i="97"/>
  <c r="DJ884" i="97"/>
  <c r="DI884" i="97"/>
  <c r="DH884" i="97"/>
  <c r="DG884" i="97"/>
  <c r="DF884" i="97"/>
  <c r="DE884" i="97"/>
  <c r="DD884" i="97"/>
  <c r="DC884" i="97"/>
  <c r="DB884" i="97"/>
  <c r="DA884" i="97"/>
  <c r="CZ884" i="97"/>
  <c r="CY884" i="97"/>
  <c r="CX884" i="97"/>
  <c r="CW884" i="97"/>
  <c r="CV884" i="97"/>
  <c r="CU884" i="97"/>
  <c r="CT884" i="97"/>
  <c r="CS884" i="97"/>
  <c r="CR884" i="97"/>
  <c r="CQ884" i="97"/>
  <c r="CP884" i="97"/>
  <c r="CO884" i="97"/>
  <c r="CN884" i="97"/>
  <c r="CM884" i="97"/>
  <c r="CL884" i="97"/>
  <c r="CK884" i="97"/>
  <c r="CJ884" i="97"/>
  <c r="CI884" i="97"/>
  <c r="CH884" i="97"/>
  <c r="CG884" i="97"/>
  <c r="CF884" i="97"/>
  <c r="CE884" i="97"/>
  <c r="CD884" i="97"/>
  <c r="CC884" i="97"/>
  <c r="CB884" i="97"/>
  <c r="CA884" i="97"/>
  <c r="BZ884" i="97"/>
  <c r="BY884" i="97"/>
  <c r="BX884" i="97"/>
  <c r="BW884" i="97"/>
  <c r="BV884" i="97"/>
  <c r="BU884" i="97"/>
  <c r="BT884" i="97"/>
  <c r="BS884" i="97"/>
  <c r="BR884" i="97"/>
  <c r="BQ884" i="97"/>
  <c r="BP884" i="97"/>
  <c r="BO884" i="97"/>
  <c r="BN884" i="97"/>
  <c r="BM884" i="97"/>
  <c r="BL884" i="97"/>
  <c r="BK884" i="97"/>
  <c r="BJ884" i="97"/>
  <c r="BI884" i="97"/>
  <c r="BH884" i="97"/>
  <c r="BG884" i="97"/>
  <c r="BF884" i="97"/>
  <c r="BE884" i="97"/>
  <c r="BD884" i="97"/>
  <c r="BC884" i="97"/>
  <c r="BB884" i="97"/>
  <c r="BA884" i="97"/>
  <c r="AZ884" i="97"/>
  <c r="AY884" i="97"/>
  <c r="AX884" i="97"/>
  <c r="AW884" i="97"/>
  <c r="AV884" i="97"/>
  <c r="AU884" i="97"/>
  <c r="AT884" i="97"/>
  <c r="AS884" i="97"/>
  <c r="AR884" i="97"/>
  <c r="AQ884" i="97"/>
  <c r="AP884" i="97"/>
  <c r="AO884" i="97"/>
  <c r="AN884" i="97"/>
  <c r="AM884" i="97"/>
  <c r="AL884" i="97"/>
  <c r="AK884" i="97"/>
  <c r="AJ884" i="97"/>
  <c r="AI884" i="97"/>
  <c r="AH884" i="97"/>
  <c r="AG884" i="97"/>
  <c r="AF884" i="97"/>
  <c r="AE884" i="97"/>
  <c r="AD884" i="97"/>
  <c r="AC884" i="97"/>
  <c r="AB884" i="97"/>
  <c r="AA884" i="97"/>
  <c r="Z884" i="97"/>
  <c r="Y884" i="97"/>
  <c r="X884" i="97"/>
  <c r="A884" i="97"/>
  <c r="MT883" i="97"/>
  <c r="MS883" i="97"/>
  <c r="MR883" i="97"/>
  <c r="MQ883" i="97"/>
  <c r="MP883" i="97"/>
  <c r="MO883" i="97"/>
  <c r="MN883" i="97"/>
  <c r="MM883" i="97"/>
  <c r="ML883" i="97"/>
  <c r="MK883" i="97"/>
  <c r="MJ883" i="97"/>
  <c r="MI883" i="97"/>
  <c r="MH883" i="97"/>
  <c r="MG883" i="97"/>
  <c r="MF883" i="97"/>
  <c r="ME883" i="97"/>
  <c r="MD883" i="97"/>
  <c r="MC883" i="97"/>
  <c r="MB883" i="97"/>
  <c r="MA883" i="97"/>
  <c r="LZ883" i="97"/>
  <c r="LY883" i="97"/>
  <c r="LX883" i="97"/>
  <c r="LW883" i="97"/>
  <c r="LV883" i="97"/>
  <c r="LU883" i="97"/>
  <c r="LT883" i="97"/>
  <c r="LS883" i="97"/>
  <c r="LR883" i="97"/>
  <c r="LQ883" i="97"/>
  <c r="LP883" i="97"/>
  <c r="LO883" i="97"/>
  <c r="LN883" i="97"/>
  <c r="LM883" i="97"/>
  <c r="LL883" i="97"/>
  <c r="LK883" i="97"/>
  <c r="LJ883" i="97"/>
  <c r="LI883" i="97"/>
  <c r="LH883" i="97"/>
  <c r="LG883" i="97"/>
  <c r="LF883" i="97"/>
  <c r="LE883" i="97"/>
  <c r="LD883" i="97"/>
  <c r="LC883" i="97"/>
  <c r="LB883" i="97"/>
  <c r="LA883" i="97"/>
  <c r="KZ883" i="97"/>
  <c r="KY883" i="97"/>
  <c r="KX883" i="97"/>
  <c r="KW883" i="97"/>
  <c r="KV883" i="97"/>
  <c r="KU883" i="97"/>
  <c r="KT883" i="97"/>
  <c r="KS883" i="97"/>
  <c r="KR883" i="97"/>
  <c r="KQ883" i="97"/>
  <c r="KP883" i="97"/>
  <c r="KO883" i="97"/>
  <c r="KN883" i="97"/>
  <c r="KM883" i="97"/>
  <c r="KL883" i="97"/>
  <c r="KK883" i="97"/>
  <c r="KJ883" i="97"/>
  <c r="KI883" i="97"/>
  <c r="KH883" i="97"/>
  <c r="KG883" i="97"/>
  <c r="KF883" i="97"/>
  <c r="KE883" i="97"/>
  <c r="KD883" i="97"/>
  <c r="KC883" i="97"/>
  <c r="KB883" i="97"/>
  <c r="KA883" i="97"/>
  <c r="JZ883" i="97"/>
  <c r="JY883" i="97"/>
  <c r="JX883" i="97"/>
  <c r="JW883" i="97"/>
  <c r="JV883" i="97"/>
  <c r="JU883" i="97"/>
  <c r="JT883" i="97"/>
  <c r="JS883" i="97"/>
  <c r="JR883" i="97"/>
  <c r="JQ883" i="97"/>
  <c r="JP883" i="97"/>
  <c r="JO883" i="97"/>
  <c r="JN883" i="97"/>
  <c r="JM883" i="97"/>
  <c r="JL883" i="97"/>
  <c r="JK883" i="97"/>
  <c r="JJ883" i="97"/>
  <c r="JI883" i="97"/>
  <c r="JH883" i="97"/>
  <c r="JG883" i="97"/>
  <c r="JF883" i="97"/>
  <c r="JE883" i="97"/>
  <c r="JD883" i="97"/>
  <c r="JC883" i="97"/>
  <c r="JB883" i="97"/>
  <c r="JA883" i="97"/>
  <c r="IZ883" i="97"/>
  <c r="IY883" i="97"/>
  <c r="IX883" i="97"/>
  <c r="IW883" i="97"/>
  <c r="IV883" i="97"/>
  <c r="IU883" i="97"/>
  <c r="IT883" i="97"/>
  <c r="IS883" i="97"/>
  <c r="IR883" i="97"/>
  <c r="IQ883" i="97"/>
  <c r="IP883" i="97"/>
  <c r="IO883" i="97"/>
  <c r="IN883" i="97"/>
  <c r="IM883" i="97"/>
  <c r="IL883" i="97"/>
  <c r="IK883" i="97"/>
  <c r="IJ883" i="97"/>
  <c r="II883" i="97"/>
  <c r="IH883" i="97"/>
  <c r="IG883" i="97"/>
  <c r="IF883" i="97"/>
  <c r="IE883" i="97"/>
  <c r="ID883" i="97"/>
  <c r="IC883" i="97"/>
  <c r="IB883" i="97"/>
  <c r="IA883" i="97"/>
  <c r="HZ883" i="97"/>
  <c r="HY883" i="97"/>
  <c r="HX883" i="97"/>
  <c r="HW883" i="97"/>
  <c r="HV883" i="97"/>
  <c r="HU883" i="97"/>
  <c r="HT883" i="97"/>
  <c r="HS883" i="97"/>
  <c r="HR883" i="97"/>
  <c r="HQ883" i="97"/>
  <c r="HP883" i="97"/>
  <c r="HO883" i="97"/>
  <c r="HN883" i="97"/>
  <c r="HM883" i="97"/>
  <c r="HL883" i="97"/>
  <c r="HK883" i="97"/>
  <c r="HJ883" i="97"/>
  <c r="HI883" i="97"/>
  <c r="HH883" i="97"/>
  <c r="HG883" i="97"/>
  <c r="HF883" i="97"/>
  <c r="HE883" i="97"/>
  <c r="HD883" i="97"/>
  <c r="HC883" i="97"/>
  <c r="HB883" i="97"/>
  <c r="HA883" i="97"/>
  <c r="GZ883" i="97"/>
  <c r="GY883" i="97"/>
  <c r="GX883" i="97"/>
  <c r="GW883" i="97"/>
  <c r="GV883" i="97"/>
  <c r="GU883" i="97"/>
  <c r="GT883" i="97"/>
  <c r="GS883" i="97"/>
  <c r="GR883" i="97"/>
  <c r="GQ883" i="97"/>
  <c r="GP883" i="97"/>
  <c r="GO883" i="97"/>
  <c r="GN883" i="97"/>
  <c r="GM883" i="97"/>
  <c r="GL883" i="97"/>
  <c r="GK883" i="97"/>
  <c r="GJ883" i="97"/>
  <c r="GI883" i="97"/>
  <c r="GH883" i="97"/>
  <c r="GG883" i="97"/>
  <c r="GF883" i="97"/>
  <c r="GE883" i="97"/>
  <c r="GD883" i="97"/>
  <c r="GC883" i="97"/>
  <c r="GB883" i="97"/>
  <c r="GA883" i="97"/>
  <c r="FZ883" i="97"/>
  <c r="FY883" i="97"/>
  <c r="FX883" i="97"/>
  <c r="FW883" i="97"/>
  <c r="FV883" i="97"/>
  <c r="FU883" i="97"/>
  <c r="FT883" i="97"/>
  <c r="FS883" i="97"/>
  <c r="FR883" i="97"/>
  <c r="FQ883" i="97"/>
  <c r="FP883" i="97"/>
  <c r="FO883" i="97"/>
  <c r="FN883" i="97"/>
  <c r="FM883" i="97"/>
  <c r="FL883" i="97"/>
  <c r="FK883" i="97"/>
  <c r="FJ883" i="97"/>
  <c r="FI883" i="97"/>
  <c r="FH883" i="97"/>
  <c r="FG883" i="97"/>
  <c r="FF883" i="97"/>
  <c r="FE883" i="97"/>
  <c r="FD883" i="97"/>
  <c r="FC883" i="97"/>
  <c r="FB883" i="97"/>
  <c r="FA883" i="97"/>
  <c r="EZ883" i="97"/>
  <c r="EY883" i="97"/>
  <c r="EX883" i="97"/>
  <c r="EW883" i="97"/>
  <c r="EV883" i="97"/>
  <c r="EU883" i="97"/>
  <c r="ET883" i="97"/>
  <c r="ES883" i="97"/>
  <c r="ER883" i="97"/>
  <c r="EQ883" i="97"/>
  <c r="EP883" i="97"/>
  <c r="EO883" i="97"/>
  <c r="EN883" i="97"/>
  <c r="EM883" i="97"/>
  <c r="EL883" i="97"/>
  <c r="EK883" i="97"/>
  <c r="EJ883" i="97"/>
  <c r="EI883" i="97"/>
  <c r="EH883" i="97"/>
  <c r="EG883" i="97"/>
  <c r="EF883" i="97"/>
  <c r="EE883" i="97"/>
  <c r="ED883" i="97"/>
  <c r="EC883" i="97"/>
  <c r="EB883" i="97"/>
  <c r="EA883" i="97"/>
  <c r="DZ883" i="97"/>
  <c r="DY883" i="97"/>
  <c r="DX883" i="97"/>
  <c r="DW883" i="97"/>
  <c r="DV883" i="97"/>
  <c r="DU883" i="97"/>
  <c r="DT883" i="97"/>
  <c r="DS883" i="97"/>
  <c r="DR883" i="97"/>
  <c r="DQ883" i="97"/>
  <c r="DP883" i="97"/>
  <c r="DO883" i="97"/>
  <c r="DN883" i="97"/>
  <c r="DM883" i="97"/>
  <c r="DL883" i="97"/>
  <c r="DK883" i="97"/>
  <c r="DJ883" i="97"/>
  <c r="DI883" i="97"/>
  <c r="DH883" i="97"/>
  <c r="DG883" i="97"/>
  <c r="DF883" i="97"/>
  <c r="DE883" i="97"/>
  <c r="DD883" i="97"/>
  <c r="DC883" i="97"/>
  <c r="DB883" i="97"/>
  <c r="DA883" i="97"/>
  <c r="CZ883" i="97"/>
  <c r="CY883" i="97"/>
  <c r="CX883" i="97"/>
  <c r="CW883" i="97"/>
  <c r="CV883" i="97"/>
  <c r="CU883" i="97"/>
  <c r="CT883" i="97"/>
  <c r="CS883" i="97"/>
  <c r="CR883" i="97"/>
  <c r="CQ883" i="97"/>
  <c r="CP883" i="97"/>
  <c r="CO883" i="97"/>
  <c r="CN883" i="97"/>
  <c r="CM883" i="97"/>
  <c r="CL883" i="97"/>
  <c r="CK883" i="97"/>
  <c r="CJ883" i="97"/>
  <c r="CI883" i="97"/>
  <c r="CH883" i="97"/>
  <c r="CG883" i="97"/>
  <c r="CF883" i="97"/>
  <c r="CE883" i="97"/>
  <c r="CD883" i="97"/>
  <c r="CC883" i="97"/>
  <c r="CB883" i="97"/>
  <c r="CA883" i="97"/>
  <c r="BZ883" i="97"/>
  <c r="BY883" i="97"/>
  <c r="BX883" i="97"/>
  <c r="BW883" i="97"/>
  <c r="BV883" i="97"/>
  <c r="BU883" i="97"/>
  <c r="BT883" i="97"/>
  <c r="BS883" i="97"/>
  <c r="BR883" i="97"/>
  <c r="BQ883" i="97"/>
  <c r="BP883" i="97"/>
  <c r="BO883" i="97"/>
  <c r="BN883" i="97"/>
  <c r="BM883" i="97"/>
  <c r="BL883" i="97"/>
  <c r="BK883" i="97"/>
  <c r="BJ883" i="97"/>
  <c r="BI883" i="97"/>
  <c r="BH883" i="97"/>
  <c r="BG883" i="97"/>
  <c r="BF883" i="97"/>
  <c r="BE883" i="97"/>
  <c r="BD883" i="97"/>
  <c r="BC883" i="97"/>
  <c r="BB883" i="97"/>
  <c r="BA883" i="97"/>
  <c r="AZ883" i="97"/>
  <c r="AY883" i="97"/>
  <c r="AX883" i="97"/>
  <c r="AW883" i="97"/>
  <c r="AV883" i="97"/>
  <c r="AU883" i="97"/>
  <c r="AT883" i="97"/>
  <c r="AS883" i="97"/>
  <c r="AR883" i="97"/>
  <c r="AQ883" i="97"/>
  <c r="AP883" i="97"/>
  <c r="AO883" i="97"/>
  <c r="AN883" i="97"/>
  <c r="AM883" i="97"/>
  <c r="AL883" i="97"/>
  <c r="AK883" i="97"/>
  <c r="AJ883" i="97"/>
  <c r="AI883" i="97"/>
  <c r="AH883" i="97"/>
  <c r="AG883" i="97"/>
  <c r="AF883" i="97"/>
  <c r="AE883" i="97"/>
  <c r="AD883" i="97"/>
  <c r="AC883" i="97"/>
  <c r="AB883" i="97"/>
  <c r="AA883" i="97"/>
  <c r="Z883" i="97"/>
  <c r="Y883" i="97"/>
  <c r="X883" i="97"/>
  <c r="A883" i="97"/>
  <c r="MT882" i="97"/>
  <c r="MS882" i="97"/>
  <c r="MR882" i="97"/>
  <c r="MQ882" i="97"/>
  <c r="MP882" i="97"/>
  <c r="MO882" i="97"/>
  <c r="MN882" i="97"/>
  <c r="MM882" i="97"/>
  <c r="ML882" i="97"/>
  <c r="MK882" i="97"/>
  <c r="MJ882" i="97"/>
  <c r="MI882" i="97"/>
  <c r="MH882" i="97"/>
  <c r="MG882" i="97"/>
  <c r="MF882" i="97"/>
  <c r="ME882" i="97"/>
  <c r="MD882" i="97"/>
  <c r="MC882" i="97"/>
  <c r="MB882" i="97"/>
  <c r="MA882" i="97"/>
  <c r="LZ882" i="97"/>
  <c r="LY882" i="97"/>
  <c r="LX882" i="97"/>
  <c r="LW882" i="97"/>
  <c r="LV882" i="97"/>
  <c r="LU882" i="97"/>
  <c r="LT882" i="97"/>
  <c r="LS882" i="97"/>
  <c r="LR882" i="97"/>
  <c r="LQ882" i="97"/>
  <c r="LP882" i="97"/>
  <c r="LO882" i="97"/>
  <c r="LN882" i="97"/>
  <c r="LM882" i="97"/>
  <c r="LL882" i="97"/>
  <c r="LK882" i="97"/>
  <c r="LJ882" i="97"/>
  <c r="LI882" i="97"/>
  <c r="LH882" i="97"/>
  <c r="LG882" i="97"/>
  <c r="LF882" i="97"/>
  <c r="LE882" i="97"/>
  <c r="LD882" i="97"/>
  <c r="LC882" i="97"/>
  <c r="LB882" i="97"/>
  <c r="LA882" i="97"/>
  <c r="KZ882" i="97"/>
  <c r="KY882" i="97"/>
  <c r="KX882" i="97"/>
  <c r="KW882" i="97"/>
  <c r="KV882" i="97"/>
  <c r="KU882" i="97"/>
  <c r="KT882" i="97"/>
  <c r="KS882" i="97"/>
  <c r="KR882" i="97"/>
  <c r="KQ882" i="97"/>
  <c r="KP882" i="97"/>
  <c r="KO882" i="97"/>
  <c r="KN882" i="97"/>
  <c r="KM882" i="97"/>
  <c r="KL882" i="97"/>
  <c r="KK882" i="97"/>
  <c r="KJ882" i="97"/>
  <c r="KI882" i="97"/>
  <c r="KH882" i="97"/>
  <c r="KG882" i="97"/>
  <c r="KF882" i="97"/>
  <c r="KE882" i="97"/>
  <c r="KD882" i="97"/>
  <c r="KC882" i="97"/>
  <c r="KB882" i="97"/>
  <c r="KA882" i="97"/>
  <c r="JZ882" i="97"/>
  <c r="JY882" i="97"/>
  <c r="JX882" i="97"/>
  <c r="JW882" i="97"/>
  <c r="JV882" i="97"/>
  <c r="JU882" i="97"/>
  <c r="JT882" i="97"/>
  <c r="JS882" i="97"/>
  <c r="JR882" i="97"/>
  <c r="JQ882" i="97"/>
  <c r="JP882" i="97"/>
  <c r="JO882" i="97"/>
  <c r="JN882" i="97"/>
  <c r="JM882" i="97"/>
  <c r="JL882" i="97"/>
  <c r="JK882" i="97"/>
  <c r="JJ882" i="97"/>
  <c r="JI882" i="97"/>
  <c r="JH882" i="97"/>
  <c r="JG882" i="97"/>
  <c r="JF882" i="97"/>
  <c r="JE882" i="97"/>
  <c r="JD882" i="97"/>
  <c r="JC882" i="97"/>
  <c r="JB882" i="97"/>
  <c r="JA882" i="97"/>
  <c r="IZ882" i="97"/>
  <c r="IY882" i="97"/>
  <c r="IX882" i="97"/>
  <c r="IW882" i="97"/>
  <c r="IV882" i="97"/>
  <c r="IU882" i="97"/>
  <c r="IT882" i="97"/>
  <c r="IS882" i="97"/>
  <c r="IR882" i="97"/>
  <c r="IQ882" i="97"/>
  <c r="IP882" i="97"/>
  <c r="IO882" i="97"/>
  <c r="IN882" i="97"/>
  <c r="IM882" i="97"/>
  <c r="IL882" i="97"/>
  <c r="IK882" i="97"/>
  <c r="IJ882" i="97"/>
  <c r="II882" i="97"/>
  <c r="IH882" i="97"/>
  <c r="IG882" i="97"/>
  <c r="IF882" i="97"/>
  <c r="IE882" i="97"/>
  <c r="ID882" i="97"/>
  <c r="IC882" i="97"/>
  <c r="IB882" i="97"/>
  <c r="IA882" i="97"/>
  <c r="HZ882" i="97"/>
  <c r="HY882" i="97"/>
  <c r="HX882" i="97"/>
  <c r="HW882" i="97"/>
  <c r="HV882" i="97"/>
  <c r="HU882" i="97"/>
  <c r="HT882" i="97"/>
  <c r="HS882" i="97"/>
  <c r="HR882" i="97"/>
  <c r="HQ882" i="97"/>
  <c r="HP882" i="97"/>
  <c r="HO882" i="97"/>
  <c r="HN882" i="97"/>
  <c r="HM882" i="97"/>
  <c r="HL882" i="97"/>
  <c r="HK882" i="97"/>
  <c r="HJ882" i="97"/>
  <c r="HI882" i="97"/>
  <c r="HH882" i="97"/>
  <c r="HG882" i="97"/>
  <c r="HF882" i="97"/>
  <c r="HE882" i="97"/>
  <c r="HD882" i="97"/>
  <c r="HC882" i="97"/>
  <c r="HB882" i="97"/>
  <c r="HA882" i="97"/>
  <c r="GZ882" i="97"/>
  <c r="GY882" i="97"/>
  <c r="GX882" i="97"/>
  <c r="GW882" i="97"/>
  <c r="GV882" i="97"/>
  <c r="GU882" i="97"/>
  <c r="GT882" i="97"/>
  <c r="GS882" i="97"/>
  <c r="GR882" i="97"/>
  <c r="GQ882" i="97"/>
  <c r="GP882" i="97"/>
  <c r="GO882" i="97"/>
  <c r="GN882" i="97"/>
  <c r="GM882" i="97"/>
  <c r="GL882" i="97"/>
  <c r="GK882" i="97"/>
  <c r="GJ882" i="97"/>
  <c r="GI882" i="97"/>
  <c r="GH882" i="97"/>
  <c r="GG882" i="97"/>
  <c r="GF882" i="97"/>
  <c r="GE882" i="97"/>
  <c r="GD882" i="97"/>
  <c r="GC882" i="97"/>
  <c r="GB882" i="97"/>
  <c r="GA882" i="97"/>
  <c r="FZ882" i="97"/>
  <c r="FY882" i="97"/>
  <c r="FX882" i="97"/>
  <c r="FW882" i="97"/>
  <c r="FV882" i="97"/>
  <c r="FU882" i="97"/>
  <c r="FT882" i="97"/>
  <c r="FS882" i="97"/>
  <c r="FR882" i="97"/>
  <c r="FQ882" i="97"/>
  <c r="FP882" i="97"/>
  <c r="FO882" i="97"/>
  <c r="FN882" i="97"/>
  <c r="FM882" i="97"/>
  <c r="FL882" i="97"/>
  <c r="FK882" i="97"/>
  <c r="FJ882" i="97"/>
  <c r="FI882" i="97"/>
  <c r="FH882" i="97"/>
  <c r="FG882" i="97"/>
  <c r="FF882" i="97"/>
  <c r="FE882" i="97"/>
  <c r="FD882" i="97"/>
  <c r="FC882" i="97"/>
  <c r="FB882" i="97"/>
  <c r="FA882" i="97"/>
  <c r="EZ882" i="97"/>
  <c r="EY882" i="97"/>
  <c r="EX882" i="97"/>
  <c r="EW882" i="97"/>
  <c r="EV882" i="97"/>
  <c r="EU882" i="97"/>
  <c r="ET882" i="97"/>
  <c r="ES882" i="97"/>
  <c r="ER882" i="97"/>
  <c r="EQ882" i="97"/>
  <c r="EP882" i="97"/>
  <c r="EO882" i="97"/>
  <c r="EN882" i="97"/>
  <c r="EM882" i="97"/>
  <c r="EL882" i="97"/>
  <c r="EK882" i="97"/>
  <c r="EJ882" i="97"/>
  <c r="EI882" i="97"/>
  <c r="EH882" i="97"/>
  <c r="EG882" i="97"/>
  <c r="EF882" i="97"/>
  <c r="EE882" i="97"/>
  <c r="ED882" i="97"/>
  <c r="EC882" i="97"/>
  <c r="EB882" i="97"/>
  <c r="EA882" i="97"/>
  <c r="DZ882" i="97"/>
  <c r="DY882" i="97"/>
  <c r="DX882" i="97"/>
  <c r="DW882" i="97"/>
  <c r="DV882" i="97"/>
  <c r="DU882" i="97"/>
  <c r="DT882" i="97"/>
  <c r="DS882" i="97"/>
  <c r="DR882" i="97"/>
  <c r="DQ882" i="97"/>
  <c r="DP882" i="97"/>
  <c r="DO882" i="97"/>
  <c r="DN882" i="97"/>
  <c r="DM882" i="97"/>
  <c r="DL882" i="97"/>
  <c r="DK882" i="97"/>
  <c r="DJ882" i="97"/>
  <c r="DI882" i="97"/>
  <c r="DH882" i="97"/>
  <c r="DG882" i="97"/>
  <c r="DF882" i="97"/>
  <c r="DE882" i="97"/>
  <c r="DD882" i="97"/>
  <c r="DC882" i="97"/>
  <c r="DB882" i="97"/>
  <c r="DA882" i="97"/>
  <c r="CZ882" i="97"/>
  <c r="CY882" i="97"/>
  <c r="CX882" i="97"/>
  <c r="CW882" i="97"/>
  <c r="CV882" i="97"/>
  <c r="CU882" i="97"/>
  <c r="CT882" i="97"/>
  <c r="CS882" i="97"/>
  <c r="CR882" i="97"/>
  <c r="CQ882" i="97"/>
  <c r="CP882" i="97"/>
  <c r="CO882" i="97"/>
  <c r="CN882" i="97"/>
  <c r="CM882" i="97"/>
  <c r="CL882" i="97"/>
  <c r="CK882" i="97"/>
  <c r="CJ882" i="97"/>
  <c r="CI882" i="97"/>
  <c r="CH882" i="97"/>
  <c r="CG882" i="97"/>
  <c r="CF882" i="97"/>
  <c r="CE882" i="97"/>
  <c r="CD882" i="97"/>
  <c r="CC882" i="97"/>
  <c r="CB882" i="97"/>
  <c r="CA882" i="97"/>
  <c r="BZ882" i="97"/>
  <c r="BY882" i="97"/>
  <c r="BX882" i="97"/>
  <c r="BW882" i="97"/>
  <c r="BV882" i="97"/>
  <c r="BU882" i="97"/>
  <c r="BT882" i="97"/>
  <c r="BS882" i="97"/>
  <c r="BR882" i="97"/>
  <c r="BQ882" i="97"/>
  <c r="BP882" i="97"/>
  <c r="BO882" i="97"/>
  <c r="BN882" i="97"/>
  <c r="BM882" i="97"/>
  <c r="BL882" i="97"/>
  <c r="BK882" i="97"/>
  <c r="BJ882" i="97"/>
  <c r="BI882" i="97"/>
  <c r="BH882" i="97"/>
  <c r="BG882" i="97"/>
  <c r="BF882" i="97"/>
  <c r="BE882" i="97"/>
  <c r="BD882" i="97"/>
  <c r="BC882" i="97"/>
  <c r="BB882" i="97"/>
  <c r="BA882" i="97"/>
  <c r="AZ882" i="97"/>
  <c r="AY882" i="97"/>
  <c r="AX882" i="97"/>
  <c r="AW882" i="97"/>
  <c r="AV882" i="97"/>
  <c r="AU882" i="97"/>
  <c r="AT882" i="97"/>
  <c r="AS882" i="97"/>
  <c r="AR882" i="97"/>
  <c r="AQ882" i="97"/>
  <c r="AP882" i="97"/>
  <c r="AO882" i="97"/>
  <c r="AN882" i="97"/>
  <c r="AM882" i="97"/>
  <c r="AL882" i="97"/>
  <c r="AK882" i="97"/>
  <c r="AJ882" i="97"/>
  <c r="AI882" i="97"/>
  <c r="AH882" i="97"/>
  <c r="AG882" i="97"/>
  <c r="AF882" i="97"/>
  <c r="AE882" i="97"/>
  <c r="AD882" i="97"/>
  <c r="AC882" i="97"/>
  <c r="AB882" i="97"/>
  <c r="AA882" i="97"/>
  <c r="Z882" i="97"/>
  <c r="Y882" i="97"/>
  <c r="X882" i="97"/>
  <c r="A882" i="97"/>
  <c r="MT881" i="97"/>
  <c r="MS881" i="97"/>
  <c r="MR881" i="97"/>
  <c r="MQ881" i="97"/>
  <c r="MP881" i="97"/>
  <c r="MO881" i="97"/>
  <c r="MN881" i="97"/>
  <c r="MM881" i="97"/>
  <c r="ML881" i="97"/>
  <c r="MK881" i="97"/>
  <c r="MJ881" i="97"/>
  <c r="MI881" i="97"/>
  <c r="MH881" i="97"/>
  <c r="MG881" i="97"/>
  <c r="MF881" i="97"/>
  <c r="ME881" i="97"/>
  <c r="MD881" i="97"/>
  <c r="MC881" i="97"/>
  <c r="MB881" i="97"/>
  <c r="MA881" i="97"/>
  <c r="LZ881" i="97"/>
  <c r="LY881" i="97"/>
  <c r="LX881" i="97"/>
  <c r="LW881" i="97"/>
  <c r="LV881" i="97"/>
  <c r="LU881" i="97"/>
  <c r="LT881" i="97"/>
  <c r="LS881" i="97"/>
  <c r="LR881" i="97"/>
  <c r="LQ881" i="97"/>
  <c r="LP881" i="97"/>
  <c r="LO881" i="97"/>
  <c r="LN881" i="97"/>
  <c r="LM881" i="97"/>
  <c r="LL881" i="97"/>
  <c r="LK881" i="97"/>
  <c r="LJ881" i="97"/>
  <c r="LI881" i="97"/>
  <c r="LH881" i="97"/>
  <c r="LG881" i="97"/>
  <c r="LF881" i="97"/>
  <c r="LE881" i="97"/>
  <c r="LD881" i="97"/>
  <c r="LC881" i="97"/>
  <c r="LB881" i="97"/>
  <c r="LA881" i="97"/>
  <c r="KZ881" i="97"/>
  <c r="KY881" i="97"/>
  <c r="KX881" i="97"/>
  <c r="KW881" i="97"/>
  <c r="KV881" i="97"/>
  <c r="KU881" i="97"/>
  <c r="KT881" i="97"/>
  <c r="KS881" i="97"/>
  <c r="KR881" i="97"/>
  <c r="KQ881" i="97"/>
  <c r="KP881" i="97"/>
  <c r="KO881" i="97"/>
  <c r="KN881" i="97"/>
  <c r="KM881" i="97"/>
  <c r="KL881" i="97"/>
  <c r="KK881" i="97"/>
  <c r="KJ881" i="97"/>
  <c r="KI881" i="97"/>
  <c r="KH881" i="97"/>
  <c r="KG881" i="97"/>
  <c r="KF881" i="97"/>
  <c r="KE881" i="97"/>
  <c r="KD881" i="97"/>
  <c r="KC881" i="97"/>
  <c r="KB881" i="97"/>
  <c r="KA881" i="97"/>
  <c r="JZ881" i="97"/>
  <c r="JY881" i="97"/>
  <c r="JX881" i="97"/>
  <c r="JW881" i="97"/>
  <c r="JV881" i="97"/>
  <c r="JU881" i="97"/>
  <c r="JT881" i="97"/>
  <c r="JS881" i="97"/>
  <c r="JR881" i="97"/>
  <c r="JQ881" i="97"/>
  <c r="JP881" i="97"/>
  <c r="JO881" i="97"/>
  <c r="JN881" i="97"/>
  <c r="JM881" i="97"/>
  <c r="JL881" i="97"/>
  <c r="JK881" i="97"/>
  <c r="JJ881" i="97"/>
  <c r="JI881" i="97"/>
  <c r="JH881" i="97"/>
  <c r="JG881" i="97"/>
  <c r="JF881" i="97"/>
  <c r="JE881" i="97"/>
  <c r="JD881" i="97"/>
  <c r="JC881" i="97"/>
  <c r="JB881" i="97"/>
  <c r="JA881" i="97"/>
  <c r="IZ881" i="97"/>
  <c r="IY881" i="97"/>
  <c r="IX881" i="97"/>
  <c r="IW881" i="97"/>
  <c r="IV881" i="97"/>
  <c r="IU881" i="97"/>
  <c r="IT881" i="97"/>
  <c r="IS881" i="97"/>
  <c r="IR881" i="97"/>
  <c r="IQ881" i="97"/>
  <c r="IP881" i="97"/>
  <c r="IO881" i="97"/>
  <c r="IN881" i="97"/>
  <c r="IM881" i="97"/>
  <c r="IL881" i="97"/>
  <c r="IK881" i="97"/>
  <c r="IJ881" i="97"/>
  <c r="II881" i="97"/>
  <c r="IH881" i="97"/>
  <c r="IG881" i="97"/>
  <c r="IF881" i="97"/>
  <c r="IE881" i="97"/>
  <c r="ID881" i="97"/>
  <c r="IC881" i="97"/>
  <c r="IB881" i="97"/>
  <c r="IA881" i="97"/>
  <c r="HZ881" i="97"/>
  <c r="HY881" i="97"/>
  <c r="HX881" i="97"/>
  <c r="HW881" i="97"/>
  <c r="HV881" i="97"/>
  <c r="HU881" i="97"/>
  <c r="HT881" i="97"/>
  <c r="HS881" i="97"/>
  <c r="HR881" i="97"/>
  <c r="HQ881" i="97"/>
  <c r="HP881" i="97"/>
  <c r="HO881" i="97"/>
  <c r="HN881" i="97"/>
  <c r="HM881" i="97"/>
  <c r="HL881" i="97"/>
  <c r="HK881" i="97"/>
  <c r="HJ881" i="97"/>
  <c r="HI881" i="97"/>
  <c r="HH881" i="97"/>
  <c r="HG881" i="97"/>
  <c r="HF881" i="97"/>
  <c r="HE881" i="97"/>
  <c r="HD881" i="97"/>
  <c r="HC881" i="97"/>
  <c r="HB881" i="97"/>
  <c r="HA881" i="97"/>
  <c r="GZ881" i="97"/>
  <c r="GY881" i="97"/>
  <c r="GX881" i="97"/>
  <c r="GW881" i="97"/>
  <c r="GV881" i="97"/>
  <c r="GU881" i="97"/>
  <c r="GT881" i="97"/>
  <c r="GS881" i="97"/>
  <c r="GR881" i="97"/>
  <c r="GQ881" i="97"/>
  <c r="GP881" i="97"/>
  <c r="GO881" i="97"/>
  <c r="GN881" i="97"/>
  <c r="GM881" i="97"/>
  <c r="GL881" i="97"/>
  <c r="GK881" i="97"/>
  <c r="GJ881" i="97"/>
  <c r="GI881" i="97"/>
  <c r="GH881" i="97"/>
  <c r="GG881" i="97"/>
  <c r="GF881" i="97"/>
  <c r="GE881" i="97"/>
  <c r="GD881" i="97"/>
  <c r="GC881" i="97"/>
  <c r="GB881" i="97"/>
  <c r="GA881" i="97"/>
  <c r="FZ881" i="97"/>
  <c r="FY881" i="97"/>
  <c r="FX881" i="97"/>
  <c r="FW881" i="97"/>
  <c r="FV881" i="97"/>
  <c r="FU881" i="97"/>
  <c r="FT881" i="97"/>
  <c r="FS881" i="97"/>
  <c r="FR881" i="97"/>
  <c r="FQ881" i="97"/>
  <c r="FP881" i="97"/>
  <c r="FO881" i="97"/>
  <c r="FN881" i="97"/>
  <c r="FM881" i="97"/>
  <c r="FL881" i="97"/>
  <c r="FK881" i="97"/>
  <c r="FJ881" i="97"/>
  <c r="FI881" i="97"/>
  <c r="FH881" i="97"/>
  <c r="FG881" i="97"/>
  <c r="FF881" i="97"/>
  <c r="FE881" i="97"/>
  <c r="FD881" i="97"/>
  <c r="FC881" i="97"/>
  <c r="FB881" i="97"/>
  <c r="FA881" i="97"/>
  <c r="EZ881" i="97"/>
  <c r="EY881" i="97"/>
  <c r="EX881" i="97"/>
  <c r="EW881" i="97"/>
  <c r="EV881" i="97"/>
  <c r="EU881" i="97"/>
  <c r="ET881" i="97"/>
  <c r="ES881" i="97"/>
  <c r="ER881" i="97"/>
  <c r="EQ881" i="97"/>
  <c r="EP881" i="97"/>
  <c r="EO881" i="97"/>
  <c r="EN881" i="97"/>
  <c r="EM881" i="97"/>
  <c r="EL881" i="97"/>
  <c r="EK881" i="97"/>
  <c r="EJ881" i="97"/>
  <c r="EI881" i="97"/>
  <c r="EH881" i="97"/>
  <c r="EG881" i="97"/>
  <c r="EF881" i="97"/>
  <c r="EE881" i="97"/>
  <c r="ED881" i="97"/>
  <c r="EC881" i="97"/>
  <c r="EB881" i="97"/>
  <c r="EA881" i="97"/>
  <c r="DZ881" i="97"/>
  <c r="DY881" i="97"/>
  <c r="DX881" i="97"/>
  <c r="DW881" i="97"/>
  <c r="DV881" i="97"/>
  <c r="DU881" i="97"/>
  <c r="DT881" i="97"/>
  <c r="DS881" i="97"/>
  <c r="DR881" i="97"/>
  <c r="DQ881" i="97"/>
  <c r="DP881" i="97"/>
  <c r="DO881" i="97"/>
  <c r="DN881" i="97"/>
  <c r="DM881" i="97"/>
  <c r="DL881" i="97"/>
  <c r="DK881" i="97"/>
  <c r="DJ881" i="97"/>
  <c r="DI881" i="97"/>
  <c r="DH881" i="97"/>
  <c r="DG881" i="97"/>
  <c r="DF881" i="97"/>
  <c r="DE881" i="97"/>
  <c r="DD881" i="97"/>
  <c r="DC881" i="97"/>
  <c r="DB881" i="97"/>
  <c r="DA881" i="97"/>
  <c r="CZ881" i="97"/>
  <c r="CY881" i="97"/>
  <c r="CX881" i="97"/>
  <c r="CW881" i="97"/>
  <c r="CV881" i="97"/>
  <c r="CU881" i="97"/>
  <c r="CT881" i="97"/>
  <c r="CS881" i="97"/>
  <c r="CR881" i="97"/>
  <c r="CQ881" i="97"/>
  <c r="CP881" i="97"/>
  <c r="CO881" i="97"/>
  <c r="CN881" i="97"/>
  <c r="CM881" i="97"/>
  <c r="CL881" i="97"/>
  <c r="CK881" i="97"/>
  <c r="CJ881" i="97"/>
  <c r="CI881" i="97"/>
  <c r="CH881" i="97"/>
  <c r="CG881" i="97"/>
  <c r="CF881" i="97"/>
  <c r="CE881" i="97"/>
  <c r="CD881" i="97"/>
  <c r="CC881" i="97"/>
  <c r="CB881" i="97"/>
  <c r="CA881" i="97"/>
  <c r="BZ881" i="97"/>
  <c r="BY881" i="97"/>
  <c r="BX881" i="97"/>
  <c r="BW881" i="97"/>
  <c r="BV881" i="97"/>
  <c r="BU881" i="97"/>
  <c r="BT881" i="97"/>
  <c r="BS881" i="97"/>
  <c r="BR881" i="97"/>
  <c r="BQ881" i="97"/>
  <c r="BP881" i="97"/>
  <c r="BO881" i="97"/>
  <c r="BN881" i="97"/>
  <c r="BM881" i="97"/>
  <c r="BL881" i="97"/>
  <c r="BK881" i="97"/>
  <c r="BJ881" i="97"/>
  <c r="BI881" i="97"/>
  <c r="BH881" i="97"/>
  <c r="BG881" i="97"/>
  <c r="BF881" i="97"/>
  <c r="BE881" i="97"/>
  <c r="BD881" i="97"/>
  <c r="BC881" i="97"/>
  <c r="BB881" i="97"/>
  <c r="BA881" i="97"/>
  <c r="AZ881" i="97"/>
  <c r="AY881" i="97"/>
  <c r="AX881" i="97"/>
  <c r="AW881" i="97"/>
  <c r="AV881" i="97"/>
  <c r="AU881" i="97"/>
  <c r="AT881" i="97"/>
  <c r="AS881" i="97"/>
  <c r="AR881" i="97"/>
  <c r="AQ881" i="97"/>
  <c r="AP881" i="97"/>
  <c r="AO881" i="97"/>
  <c r="AN881" i="97"/>
  <c r="AM881" i="97"/>
  <c r="AL881" i="97"/>
  <c r="AK881" i="97"/>
  <c r="AJ881" i="97"/>
  <c r="AI881" i="97"/>
  <c r="AH881" i="97"/>
  <c r="AG881" i="97"/>
  <c r="AF881" i="97"/>
  <c r="AE881" i="97"/>
  <c r="AD881" i="97"/>
  <c r="AC881" i="97"/>
  <c r="AB881" i="97"/>
  <c r="AA881" i="97"/>
  <c r="Z881" i="97"/>
  <c r="Y881" i="97"/>
  <c r="X881" i="97"/>
  <c r="A881" i="97"/>
  <c r="MT880" i="97"/>
  <c r="MS880" i="97"/>
  <c r="MR880" i="97"/>
  <c r="MQ880" i="97"/>
  <c r="MP880" i="97"/>
  <c r="MO880" i="97"/>
  <c r="MN880" i="97"/>
  <c r="MM880" i="97"/>
  <c r="ML880" i="97"/>
  <c r="MK880" i="97"/>
  <c r="MJ880" i="97"/>
  <c r="MI880" i="97"/>
  <c r="MH880" i="97"/>
  <c r="MG880" i="97"/>
  <c r="MF880" i="97"/>
  <c r="ME880" i="97"/>
  <c r="MD880" i="97"/>
  <c r="MC880" i="97"/>
  <c r="MB880" i="97"/>
  <c r="MA880" i="97"/>
  <c r="LZ880" i="97"/>
  <c r="LY880" i="97"/>
  <c r="LX880" i="97"/>
  <c r="LW880" i="97"/>
  <c r="LV880" i="97"/>
  <c r="LU880" i="97"/>
  <c r="LT880" i="97"/>
  <c r="LS880" i="97"/>
  <c r="LR880" i="97"/>
  <c r="LQ880" i="97"/>
  <c r="LP880" i="97"/>
  <c r="LO880" i="97"/>
  <c r="LN880" i="97"/>
  <c r="LM880" i="97"/>
  <c r="LL880" i="97"/>
  <c r="LK880" i="97"/>
  <c r="LJ880" i="97"/>
  <c r="LI880" i="97"/>
  <c r="LH880" i="97"/>
  <c r="LG880" i="97"/>
  <c r="LF880" i="97"/>
  <c r="LE880" i="97"/>
  <c r="LD880" i="97"/>
  <c r="LC880" i="97"/>
  <c r="LB880" i="97"/>
  <c r="LA880" i="97"/>
  <c r="KZ880" i="97"/>
  <c r="KY880" i="97"/>
  <c r="KX880" i="97"/>
  <c r="KW880" i="97"/>
  <c r="KV880" i="97"/>
  <c r="KU880" i="97"/>
  <c r="KT880" i="97"/>
  <c r="KS880" i="97"/>
  <c r="KR880" i="97"/>
  <c r="KQ880" i="97"/>
  <c r="KP880" i="97"/>
  <c r="KO880" i="97"/>
  <c r="KN880" i="97"/>
  <c r="KM880" i="97"/>
  <c r="KL880" i="97"/>
  <c r="KK880" i="97"/>
  <c r="KJ880" i="97"/>
  <c r="KI880" i="97"/>
  <c r="KH880" i="97"/>
  <c r="KG880" i="97"/>
  <c r="KF880" i="97"/>
  <c r="KE880" i="97"/>
  <c r="KD880" i="97"/>
  <c r="KC880" i="97"/>
  <c r="KB880" i="97"/>
  <c r="KA880" i="97"/>
  <c r="JZ880" i="97"/>
  <c r="JY880" i="97"/>
  <c r="JX880" i="97"/>
  <c r="JW880" i="97"/>
  <c r="JV880" i="97"/>
  <c r="JU880" i="97"/>
  <c r="JT880" i="97"/>
  <c r="JS880" i="97"/>
  <c r="JR880" i="97"/>
  <c r="JQ880" i="97"/>
  <c r="JP880" i="97"/>
  <c r="JO880" i="97"/>
  <c r="JN880" i="97"/>
  <c r="JM880" i="97"/>
  <c r="JL880" i="97"/>
  <c r="JK880" i="97"/>
  <c r="JJ880" i="97"/>
  <c r="JI880" i="97"/>
  <c r="JH880" i="97"/>
  <c r="JG880" i="97"/>
  <c r="JF880" i="97"/>
  <c r="JE880" i="97"/>
  <c r="JD880" i="97"/>
  <c r="JC880" i="97"/>
  <c r="JB880" i="97"/>
  <c r="JA880" i="97"/>
  <c r="IZ880" i="97"/>
  <c r="IY880" i="97"/>
  <c r="IX880" i="97"/>
  <c r="IW880" i="97"/>
  <c r="IV880" i="97"/>
  <c r="IU880" i="97"/>
  <c r="IT880" i="97"/>
  <c r="IS880" i="97"/>
  <c r="IR880" i="97"/>
  <c r="IQ880" i="97"/>
  <c r="IP880" i="97"/>
  <c r="IO880" i="97"/>
  <c r="IN880" i="97"/>
  <c r="IM880" i="97"/>
  <c r="IL880" i="97"/>
  <c r="IK880" i="97"/>
  <c r="IJ880" i="97"/>
  <c r="II880" i="97"/>
  <c r="IH880" i="97"/>
  <c r="IG880" i="97"/>
  <c r="IF880" i="97"/>
  <c r="IE880" i="97"/>
  <c r="ID880" i="97"/>
  <c r="IC880" i="97"/>
  <c r="IB880" i="97"/>
  <c r="IA880" i="97"/>
  <c r="HZ880" i="97"/>
  <c r="HY880" i="97"/>
  <c r="HX880" i="97"/>
  <c r="HW880" i="97"/>
  <c r="HV880" i="97"/>
  <c r="HU880" i="97"/>
  <c r="HT880" i="97"/>
  <c r="HS880" i="97"/>
  <c r="HR880" i="97"/>
  <c r="HQ880" i="97"/>
  <c r="HP880" i="97"/>
  <c r="HO880" i="97"/>
  <c r="HN880" i="97"/>
  <c r="HM880" i="97"/>
  <c r="HL880" i="97"/>
  <c r="HK880" i="97"/>
  <c r="HJ880" i="97"/>
  <c r="HI880" i="97"/>
  <c r="HH880" i="97"/>
  <c r="HG880" i="97"/>
  <c r="HF880" i="97"/>
  <c r="HE880" i="97"/>
  <c r="HD880" i="97"/>
  <c r="HC880" i="97"/>
  <c r="HB880" i="97"/>
  <c r="HA880" i="97"/>
  <c r="GZ880" i="97"/>
  <c r="GY880" i="97"/>
  <c r="GX880" i="97"/>
  <c r="GW880" i="97"/>
  <c r="GV880" i="97"/>
  <c r="GU880" i="97"/>
  <c r="GT880" i="97"/>
  <c r="GS880" i="97"/>
  <c r="GR880" i="97"/>
  <c r="GQ880" i="97"/>
  <c r="GP880" i="97"/>
  <c r="GO880" i="97"/>
  <c r="GN880" i="97"/>
  <c r="GM880" i="97"/>
  <c r="GL880" i="97"/>
  <c r="GK880" i="97"/>
  <c r="GJ880" i="97"/>
  <c r="GI880" i="97"/>
  <c r="GH880" i="97"/>
  <c r="GG880" i="97"/>
  <c r="GF880" i="97"/>
  <c r="GE880" i="97"/>
  <c r="GD880" i="97"/>
  <c r="GC880" i="97"/>
  <c r="GB880" i="97"/>
  <c r="GA880" i="97"/>
  <c r="FZ880" i="97"/>
  <c r="FY880" i="97"/>
  <c r="FX880" i="97"/>
  <c r="FW880" i="97"/>
  <c r="FV880" i="97"/>
  <c r="FU880" i="97"/>
  <c r="FT880" i="97"/>
  <c r="FS880" i="97"/>
  <c r="FR880" i="97"/>
  <c r="FQ880" i="97"/>
  <c r="FP880" i="97"/>
  <c r="FO880" i="97"/>
  <c r="FN880" i="97"/>
  <c r="FM880" i="97"/>
  <c r="FL880" i="97"/>
  <c r="FK880" i="97"/>
  <c r="FJ880" i="97"/>
  <c r="FI880" i="97"/>
  <c r="FH880" i="97"/>
  <c r="FG880" i="97"/>
  <c r="FF880" i="97"/>
  <c r="FE880" i="97"/>
  <c r="FD880" i="97"/>
  <c r="FC880" i="97"/>
  <c r="FB880" i="97"/>
  <c r="FA880" i="97"/>
  <c r="EZ880" i="97"/>
  <c r="EY880" i="97"/>
  <c r="EX880" i="97"/>
  <c r="EW880" i="97"/>
  <c r="EV880" i="97"/>
  <c r="EU880" i="97"/>
  <c r="ET880" i="97"/>
  <c r="ES880" i="97"/>
  <c r="ER880" i="97"/>
  <c r="EQ880" i="97"/>
  <c r="EP880" i="97"/>
  <c r="EO880" i="97"/>
  <c r="EN880" i="97"/>
  <c r="EM880" i="97"/>
  <c r="EL880" i="97"/>
  <c r="EK880" i="97"/>
  <c r="EJ880" i="97"/>
  <c r="EI880" i="97"/>
  <c r="EH880" i="97"/>
  <c r="EG880" i="97"/>
  <c r="EF880" i="97"/>
  <c r="EE880" i="97"/>
  <c r="ED880" i="97"/>
  <c r="EC880" i="97"/>
  <c r="EB880" i="97"/>
  <c r="EA880" i="97"/>
  <c r="DZ880" i="97"/>
  <c r="DY880" i="97"/>
  <c r="DX880" i="97"/>
  <c r="DW880" i="97"/>
  <c r="DV880" i="97"/>
  <c r="DU880" i="97"/>
  <c r="DT880" i="97"/>
  <c r="DS880" i="97"/>
  <c r="DR880" i="97"/>
  <c r="DQ880" i="97"/>
  <c r="DP880" i="97"/>
  <c r="DO880" i="97"/>
  <c r="DN880" i="97"/>
  <c r="DM880" i="97"/>
  <c r="DL880" i="97"/>
  <c r="DK880" i="97"/>
  <c r="DJ880" i="97"/>
  <c r="DI880" i="97"/>
  <c r="DH880" i="97"/>
  <c r="DG880" i="97"/>
  <c r="DF880" i="97"/>
  <c r="DE880" i="97"/>
  <c r="DD880" i="97"/>
  <c r="DC880" i="97"/>
  <c r="DB880" i="97"/>
  <c r="DA880" i="97"/>
  <c r="CZ880" i="97"/>
  <c r="CY880" i="97"/>
  <c r="CX880" i="97"/>
  <c r="CW880" i="97"/>
  <c r="CV880" i="97"/>
  <c r="CU880" i="97"/>
  <c r="CT880" i="97"/>
  <c r="CS880" i="97"/>
  <c r="CR880" i="97"/>
  <c r="CQ880" i="97"/>
  <c r="CP880" i="97"/>
  <c r="CO880" i="97"/>
  <c r="CN880" i="97"/>
  <c r="CM880" i="97"/>
  <c r="CL880" i="97"/>
  <c r="CK880" i="97"/>
  <c r="CJ880" i="97"/>
  <c r="CI880" i="97"/>
  <c r="CH880" i="97"/>
  <c r="CG880" i="97"/>
  <c r="CF880" i="97"/>
  <c r="CE880" i="97"/>
  <c r="CD880" i="97"/>
  <c r="CC880" i="97"/>
  <c r="CB880" i="97"/>
  <c r="CA880" i="97"/>
  <c r="BZ880" i="97"/>
  <c r="BY880" i="97"/>
  <c r="BX880" i="97"/>
  <c r="BW880" i="97"/>
  <c r="BV880" i="97"/>
  <c r="BU880" i="97"/>
  <c r="BT880" i="97"/>
  <c r="BS880" i="97"/>
  <c r="BR880" i="97"/>
  <c r="BQ880" i="97"/>
  <c r="BP880" i="97"/>
  <c r="BO880" i="97"/>
  <c r="BN880" i="97"/>
  <c r="BM880" i="97"/>
  <c r="BL880" i="97"/>
  <c r="BK880" i="97"/>
  <c r="BJ880" i="97"/>
  <c r="BI880" i="97"/>
  <c r="BH880" i="97"/>
  <c r="BG880" i="97"/>
  <c r="BF880" i="97"/>
  <c r="BE880" i="97"/>
  <c r="BD880" i="97"/>
  <c r="BC880" i="97"/>
  <c r="BB880" i="97"/>
  <c r="BA880" i="97"/>
  <c r="AZ880" i="97"/>
  <c r="AY880" i="97"/>
  <c r="AX880" i="97"/>
  <c r="AW880" i="97"/>
  <c r="AV880" i="97"/>
  <c r="AU880" i="97"/>
  <c r="AT880" i="97"/>
  <c r="AS880" i="97"/>
  <c r="AR880" i="97"/>
  <c r="AQ880" i="97"/>
  <c r="AP880" i="97"/>
  <c r="AO880" i="97"/>
  <c r="AN880" i="97"/>
  <c r="AM880" i="97"/>
  <c r="AL880" i="97"/>
  <c r="AK880" i="97"/>
  <c r="AJ880" i="97"/>
  <c r="AI880" i="97"/>
  <c r="AH880" i="97"/>
  <c r="AG880" i="97"/>
  <c r="AF880" i="97"/>
  <c r="AE880" i="97"/>
  <c r="AD880" i="97"/>
  <c r="AC880" i="97"/>
  <c r="AB880" i="97"/>
  <c r="AA880" i="97"/>
  <c r="Z880" i="97"/>
  <c r="Y880" i="97"/>
  <c r="X880" i="97"/>
  <c r="A880" i="97"/>
  <c r="MT879" i="97"/>
  <c r="MS879" i="97"/>
  <c r="MR879" i="97"/>
  <c r="MQ879" i="97"/>
  <c r="MP879" i="97"/>
  <c r="MO879" i="97"/>
  <c r="MN879" i="97"/>
  <c r="MM879" i="97"/>
  <c r="ML879" i="97"/>
  <c r="MK879" i="97"/>
  <c r="MJ879" i="97"/>
  <c r="MI879" i="97"/>
  <c r="MH879" i="97"/>
  <c r="MG879" i="97"/>
  <c r="MF879" i="97"/>
  <c r="ME879" i="97"/>
  <c r="MD879" i="97"/>
  <c r="MC879" i="97"/>
  <c r="MB879" i="97"/>
  <c r="MA879" i="97"/>
  <c r="LZ879" i="97"/>
  <c r="LY879" i="97"/>
  <c r="LX879" i="97"/>
  <c r="LW879" i="97"/>
  <c r="LV879" i="97"/>
  <c r="LU879" i="97"/>
  <c r="LT879" i="97"/>
  <c r="LS879" i="97"/>
  <c r="LR879" i="97"/>
  <c r="LQ879" i="97"/>
  <c r="LP879" i="97"/>
  <c r="LO879" i="97"/>
  <c r="LN879" i="97"/>
  <c r="LM879" i="97"/>
  <c r="LL879" i="97"/>
  <c r="LK879" i="97"/>
  <c r="LJ879" i="97"/>
  <c r="LI879" i="97"/>
  <c r="LH879" i="97"/>
  <c r="LG879" i="97"/>
  <c r="LF879" i="97"/>
  <c r="LE879" i="97"/>
  <c r="LD879" i="97"/>
  <c r="LC879" i="97"/>
  <c r="LB879" i="97"/>
  <c r="LA879" i="97"/>
  <c r="KZ879" i="97"/>
  <c r="KY879" i="97"/>
  <c r="KX879" i="97"/>
  <c r="KW879" i="97"/>
  <c r="KV879" i="97"/>
  <c r="KU879" i="97"/>
  <c r="KT879" i="97"/>
  <c r="KS879" i="97"/>
  <c r="KR879" i="97"/>
  <c r="KQ879" i="97"/>
  <c r="KP879" i="97"/>
  <c r="KO879" i="97"/>
  <c r="KN879" i="97"/>
  <c r="KM879" i="97"/>
  <c r="KL879" i="97"/>
  <c r="KK879" i="97"/>
  <c r="KJ879" i="97"/>
  <c r="KI879" i="97"/>
  <c r="KH879" i="97"/>
  <c r="KG879" i="97"/>
  <c r="KF879" i="97"/>
  <c r="KE879" i="97"/>
  <c r="KD879" i="97"/>
  <c r="KC879" i="97"/>
  <c r="KB879" i="97"/>
  <c r="KA879" i="97"/>
  <c r="JZ879" i="97"/>
  <c r="JY879" i="97"/>
  <c r="JX879" i="97"/>
  <c r="JW879" i="97"/>
  <c r="JV879" i="97"/>
  <c r="JU879" i="97"/>
  <c r="JT879" i="97"/>
  <c r="JS879" i="97"/>
  <c r="JR879" i="97"/>
  <c r="JQ879" i="97"/>
  <c r="JP879" i="97"/>
  <c r="JO879" i="97"/>
  <c r="JN879" i="97"/>
  <c r="JM879" i="97"/>
  <c r="JL879" i="97"/>
  <c r="JK879" i="97"/>
  <c r="JJ879" i="97"/>
  <c r="JI879" i="97"/>
  <c r="JH879" i="97"/>
  <c r="JG879" i="97"/>
  <c r="JF879" i="97"/>
  <c r="JE879" i="97"/>
  <c r="JD879" i="97"/>
  <c r="JC879" i="97"/>
  <c r="JB879" i="97"/>
  <c r="JA879" i="97"/>
  <c r="IZ879" i="97"/>
  <c r="IY879" i="97"/>
  <c r="IX879" i="97"/>
  <c r="IW879" i="97"/>
  <c r="IV879" i="97"/>
  <c r="IU879" i="97"/>
  <c r="IT879" i="97"/>
  <c r="IS879" i="97"/>
  <c r="IR879" i="97"/>
  <c r="IQ879" i="97"/>
  <c r="IP879" i="97"/>
  <c r="IO879" i="97"/>
  <c r="IN879" i="97"/>
  <c r="IM879" i="97"/>
  <c r="IL879" i="97"/>
  <c r="IK879" i="97"/>
  <c r="IJ879" i="97"/>
  <c r="II879" i="97"/>
  <c r="IH879" i="97"/>
  <c r="IG879" i="97"/>
  <c r="IF879" i="97"/>
  <c r="IE879" i="97"/>
  <c r="ID879" i="97"/>
  <c r="IC879" i="97"/>
  <c r="IB879" i="97"/>
  <c r="IA879" i="97"/>
  <c r="HZ879" i="97"/>
  <c r="HY879" i="97"/>
  <c r="HX879" i="97"/>
  <c r="HW879" i="97"/>
  <c r="HV879" i="97"/>
  <c r="HU879" i="97"/>
  <c r="HT879" i="97"/>
  <c r="HS879" i="97"/>
  <c r="HR879" i="97"/>
  <c r="HQ879" i="97"/>
  <c r="HP879" i="97"/>
  <c r="HO879" i="97"/>
  <c r="HN879" i="97"/>
  <c r="HM879" i="97"/>
  <c r="HL879" i="97"/>
  <c r="HK879" i="97"/>
  <c r="HJ879" i="97"/>
  <c r="HI879" i="97"/>
  <c r="HH879" i="97"/>
  <c r="HG879" i="97"/>
  <c r="HF879" i="97"/>
  <c r="HE879" i="97"/>
  <c r="HD879" i="97"/>
  <c r="HC879" i="97"/>
  <c r="HB879" i="97"/>
  <c r="HA879" i="97"/>
  <c r="GZ879" i="97"/>
  <c r="GY879" i="97"/>
  <c r="GX879" i="97"/>
  <c r="GW879" i="97"/>
  <c r="GV879" i="97"/>
  <c r="GU879" i="97"/>
  <c r="GT879" i="97"/>
  <c r="GS879" i="97"/>
  <c r="GR879" i="97"/>
  <c r="GQ879" i="97"/>
  <c r="GP879" i="97"/>
  <c r="GO879" i="97"/>
  <c r="GN879" i="97"/>
  <c r="GM879" i="97"/>
  <c r="GL879" i="97"/>
  <c r="GK879" i="97"/>
  <c r="GJ879" i="97"/>
  <c r="GI879" i="97"/>
  <c r="GH879" i="97"/>
  <c r="GG879" i="97"/>
  <c r="GF879" i="97"/>
  <c r="GE879" i="97"/>
  <c r="GD879" i="97"/>
  <c r="GC879" i="97"/>
  <c r="GB879" i="97"/>
  <c r="GA879" i="97"/>
  <c r="FZ879" i="97"/>
  <c r="FY879" i="97"/>
  <c r="FX879" i="97"/>
  <c r="FW879" i="97"/>
  <c r="FV879" i="97"/>
  <c r="FU879" i="97"/>
  <c r="FT879" i="97"/>
  <c r="FS879" i="97"/>
  <c r="FR879" i="97"/>
  <c r="FQ879" i="97"/>
  <c r="FP879" i="97"/>
  <c r="FO879" i="97"/>
  <c r="FN879" i="97"/>
  <c r="FM879" i="97"/>
  <c r="FL879" i="97"/>
  <c r="FK879" i="97"/>
  <c r="FJ879" i="97"/>
  <c r="FI879" i="97"/>
  <c r="FH879" i="97"/>
  <c r="FG879" i="97"/>
  <c r="FF879" i="97"/>
  <c r="FE879" i="97"/>
  <c r="FD879" i="97"/>
  <c r="FC879" i="97"/>
  <c r="FB879" i="97"/>
  <c r="FA879" i="97"/>
  <c r="EZ879" i="97"/>
  <c r="EY879" i="97"/>
  <c r="EX879" i="97"/>
  <c r="EW879" i="97"/>
  <c r="EV879" i="97"/>
  <c r="EU879" i="97"/>
  <c r="ET879" i="97"/>
  <c r="ES879" i="97"/>
  <c r="ER879" i="97"/>
  <c r="EQ879" i="97"/>
  <c r="EP879" i="97"/>
  <c r="EO879" i="97"/>
  <c r="EN879" i="97"/>
  <c r="EM879" i="97"/>
  <c r="EL879" i="97"/>
  <c r="EK879" i="97"/>
  <c r="EJ879" i="97"/>
  <c r="EI879" i="97"/>
  <c r="EH879" i="97"/>
  <c r="EG879" i="97"/>
  <c r="EF879" i="97"/>
  <c r="EE879" i="97"/>
  <c r="ED879" i="97"/>
  <c r="EC879" i="97"/>
  <c r="EB879" i="97"/>
  <c r="EA879" i="97"/>
  <c r="DZ879" i="97"/>
  <c r="DY879" i="97"/>
  <c r="DX879" i="97"/>
  <c r="DW879" i="97"/>
  <c r="DV879" i="97"/>
  <c r="DU879" i="97"/>
  <c r="DT879" i="97"/>
  <c r="DS879" i="97"/>
  <c r="DR879" i="97"/>
  <c r="DQ879" i="97"/>
  <c r="DP879" i="97"/>
  <c r="DO879" i="97"/>
  <c r="DN879" i="97"/>
  <c r="DM879" i="97"/>
  <c r="DL879" i="97"/>
  <c r="DK879" i="97"/>
  <c r="DJ879" i="97"/>
  <c r="DI879" i="97"/>
  <c r="DH879" i="97"/>
  <c r="DG879" i="97"/>
  <c r="DF879" i="97"/>
  <c r="DE879" i="97"/>
  <c r="DD879" i="97"/>
  <c r="DC879" i="97"/>
  <c r="DB879" i="97"/>
  <c r="DA879" i="97"/>
  <c r="CZ879" i="97"/>
  <c r="CY879" i="97"/>
  <c r="CX879" i="97"/>
  <c r="CW879" i="97"/>
  <c r="CV879" i="97"/>
  <c r="CU879" i="97"/>
  <c r="CT879" i="97"/>
  <c r="CS879" i="97"/>
  <c r="CR879" i="97"/>
  <c r="CQ879" i="97"/>
  <c r="CP879" i="97"/>
  <c r="CO879" i="97"/>
  <c r="CN879" i="97"/>
  <c r="CM879" i="97"/>
  <c r="CL879" i="97"/>
  <c r="CK879" i="97"/>
  <c r="CJ879" i="97"/>
  <c r="CI879" i="97"/>
  <c r="CH879" i="97"/>
  <c r="CG879" i="97"/>
  <c r="CF879" i="97"/>
  <c r="CE879" i="97"/>
  <c r="CD879" i="97"/>
  <c r="CC879" i="97"/>
  <c r="CB879" i="97"/>
  <c r="CA879" i="97"/>
  <c r="BZ879" i="97"/>
  <c r="BY879" i="97"/>
  <c r="BX879" i="97"/>
  <c r="BW879" i="97"/>
  <c r="BV879" i="97"/>
  <c r="BU879" i="97"/>
  <c r="BT879" i="97"/>
  <c r="BS879" i="97"/>
  <c r="BR879" i="97"/>
  <c r="BQ879" i="97"/>
  <c r="BP879" i="97"/>
  <c r="BO879" i="97"/>
  <c r="BN879" i="97"/>
  <c r="BM879" i="97"/>
  <c r="BL879" i="97"/>
  <c r="BK879" i="97"/>
  <c r="BJ879" i="97"/>
  <c r="BI879" i="97"/>
  <c r="BH879" i="97"/>
  <c r="BG879" i="97"/>
  <c r="BF879" i="97"/>
  <c r="BE879" i="97"/>
  <c r="BD879" i="97"/>
  <c r="BC879" i="97"/>
  <c r="BB879" i="97"/>
  <c r="BA879" i="97"/>
  <c r="AZ879" i="97"/>
  <c r="AY879" i="97"/>
  <c r="AX879" i="97"/>
  <c r="AW879" i="97"/>
  <c r="AV879" i="97"/>
  <c r="AU879" i="97"/>
  <c r="AT879" i="97"/>
  <c r="AS879" i="97"/>
  <c r="AR879" i="97"/>
  <c r="AQ879" i="97"/>
  <c r="AP879" i="97"/>
  <c r="AO879" i="97"/>
  <c r="AN879" i="97"/>
  <c r="AM879" i="97"/>
  <c r="AL879" i="97"/>
  <c r="AK879" i="97"/>
  <c r="AJ879" i="97"/>
  <c r="AI879" i="97"/>
  <c r="AH879" i="97"/>
  <c r="AG879" i="97"/>
  <c r="AF879" i="97"/>
  <c r="AE879" i="97"/>
  <c r="AD879" i="97"/>
  <c r="AC879" i="97"/>
  <c r="AB879" i="97"/>
  <c r="AA879" i="97"/>
  <c r="Z879" i="97"/>
  <c r="Y879" i="97"/>
  <c r="X879" i="97"/>
  <c r="A879" i="97"/>
  <c r="MT878" i="97"/>
  <c r="MS878" i="97"/>
  <c r="MR878" i="97"/>
  <c r="MQ878" i="97"/>
  <c r="MP878" i="97"/>
  <c r="MO878" i="97"/>
  <c r="MN878" i="97"/>
  <c r="MM878" i="97"/>
  <c r="ML878" i="97"/>
  <c r="MK878" i="97"/>
  <c r="MJ878" i="97"/>
  <c r="MI878" i="97"/>
  <c r="MH878" i="97"/>
  <c r="MG878" i="97"/>
  <c r="MF878" i="97"/>
  <c r="ME878" i="97"/>
  <c r="MD878" i="97"/>
  <c r="MC878" i="97"/>
  <c r="MB878" i="97"/>
  <c r="MA878" i="97"/>
  <c r="LZ878" i="97"/>
  <c r="LY878" i="97"/>
  <c r="LX878" i="97"/>
  <c r="LW878" i="97"/>
  <c r="LV878" i="97"/>
  <c r="LU878" i="97"/>
  <c r="LT878" i="97"/>
  <c r="LS878" i="97"/>
  <c r="LR878" i="97"/>
  <c r="LQ878" i="97"/>
  <c r="LP878" i="97"/>
  <c r="LO878" i="97"/>
  <c r="LN878" i="97"/>
  <c r="LM878" i="97"/>
  <c r="LL878" i="97"/>
  <c r="LK878" i="97"/>
  <c r="LJ878" i="97"/>
  <c r="LI878" i="97"/>
  <c r="LH878" i="97"/>
  <c r="LG878" i="97"/>
  <c r="LF878" i="97"/>
  <c r="LE878" i="97"/>
  <c r="LD878" i="97"/>
  <c r="LC878" i="97"/>
  <c r="LB878" i="97"/>
  <c r="LA878" i="97"/>
  <c r="KZ878" i="97"/>
  <c r="KY878" i="97"/>
  <c r="KX878" i="97"/>
  <c r="KW878" i="97"/>
  <c r="KV878" i="97"/>
  <c r="KU878" i="97"/>
  <c r="KT878" i="97"/>
  <c r="KS878" i="97"/>
  <c r="KR878" i="97"/>
  <c r="KQ878" i="97"/>
  <c r="KP878" i="97"/>
  <c r="KO878" i="97"/>
  <c r="KN878" i="97"/>
  <c r="KM878" i="97"/>
  <c r="KL878" i="97"/>
  <c r="KK878" i="97"/>
  <c r="KJ878" i="97"/>
  <c r="KI878" i="97"/>
  <c r="KH878" i="97"/>
  <c r="KG878" i="97"/>
  <c r="KF878" i="97"/>
  <c r="KE878" i="97"/>
  <c r="KD878" i="97"/>
  <c r="KC878" i="97"/>
  <c r="KB878" i="97"/>
  <c r="KA878" i="97"/>
  <c r="JZ878" i="97"/>
  <c r="JY878" i="97"/>
  <c r="JX878" i="97"/>
  <c r="JW878" i="97"/>
  <c r="JV878" i="97"/>
  <c r="JU878" i="97"/>
  <c r="JT878" i="97"/>
  <c r="JS878" i="97"/>
  <c r="JR878" i="97"/>
  <c r="JQ878" i="97"/>
  <c r="JP878" i="97"/>
  <c r="JO878" i="97"/>
  <c r="JN878" i="97"/>
  <c r="JM878" i="97"/>
  <c r="JL878" i="97"/>
  <c r="JK878" i="97"/>
  <c r="JJ878" i="97"/>
  <c r="JI878" i="97"/>
  <c r="JH878" i="97"/>
  <c r="JG878" i="97"/>
  <c r="JF878" i="97"/>
  <c r="JE878" i="97"/>
  <c r="JD878" i="97"/>
  <c r="JC878" i="97"/>
  <c r="JB878" i="97"/>
  <c r="JA878" i="97"/>
  <c r="IZ878" i="97"/>
  <c r="IY878" i="97"/>
  <c r="IX878" i="97"/>
  <c r="IW878" i="97"/>
  <c r="IV878" i="97"/>
  <c r="IU878" i="97"/>
  <c r="IT878" i="97"/>
  <c r="IS878" i="97"/>
  <c r="IR878" i="97"/>
  <c r="IQ878" i="97"/>
  <c r="IP878" i="97"/>
  <c r="IO878" i="97"/>
  <c r="IN878" i="97"/>
  <c r="IM878" i="97"/>
  <c r="IL878" i="97"/>
  <c r="IK878" i="97"/>
  <c r="IJ878" i="97"/>
  <c r="II878" i="97"/>
  <c r="IH878" i="97"/>
  <c r="IG878" i="97"/>
  <c r="IF878" i="97"/>
  <c r="IE878" i="97"/>
  <c r="ID878" i="97"/>
  <c r="IC878" i="97"/>
  <c r="IB878" i="97"/>
  <c r="IA878" i="97"/>
  <c r="HZ878" i="97"/>
  <c r="HY878" i="97"/>
  <c r="HX878" i="97"/>
  <c r="HW878" i="97"/>
  <c r="HV878" i="97"/>
  <c r="HU878" i="97"/>
  <c r="HT878" i="97"/>
  <c r="HS878" i="97"/>
  <c r="HR878" i="97"/>
  <c r="HQ878" i="97"/>
  <c r="HP878" i="97"/>
  <c r="HO878" i="97"/>
  <c r="HN878" i="97"/>
  <c r="HM878" i="97"/>
  <c r="HL878" i="97"/>
  <c r="HK878" i="97"/>
  <c r="HJ878" i="97"/>
  <c r="HI878" i="97"/>
  <c r="HH878" i="97"/>
  <c r="HG878" i="97"/>
  <c r="HF878" i="97"/>
  <c r="HE878" i="97"/>
  <c r="HD878" i="97"/>
  <c r="HC878" i="97"/>
  <c r="HB878" i="97"/>
  <c r="HA878" i="97"/>
  <c r="GZ878" i="97"/>
  <c r="GY878" i="97"/>
  <c r="GX878" i="97"/>
  <c r="GW878" i="97"/>
  <c r="GV878" i="97"/>
  <c r="GU878" i="97"/>
  <c r="GT878" i="97"/>
  <c r="GS878" i="97"/>
  <c r="GR878" i="97"/>
  <c r="GQ878" i="97"/>
  <c r="GP878" i="97"/>
  <c r="GO878" i="97"/>
  <c r="GN878" i="97"/>
  <c r="GM878" i="97"/>
  <c r="GL878" i="97"/>
  <c r="GK878" i="97"/>
  <c r="GJ878" i="97"/>
  <c r="GI878" i="97"/>
  <c r="GH878" i="97"/>
  <c r="GG878" i="97"/>
  <c r="GF878" i="97"/>
  <c r="GE878" i="97"/>
  <c r="GD878" i="97"/>
  <c r="GC878" i="97"/>
  <c r="GB878" i="97"/>
  <c r="GA878" i="97"/>
  <c r="FZ878" i="97"/>
  <c r="FY878" i="97"/>
  <c r="FX878" i="97"/>
  <c r="FW878" i="97"/>
  <c r="FV878" i="97"/>
  <c r="FU878" i="97"/>
  <c r="FT878" i="97"/>
  <c r="FS878" i="97"/>
  <c r="FR878" i="97"/>
  <c r="FQ878" i="97"/>
  <c r="FP878" i="97"/>
  <c r="FO878" i="97"/>
  <c r="FN878" i="97"/>
  <c r="FM878" i="97"/>
  <c r="FL878" i="97"/>
  <c r="FK878" i="97"/>
  <c r="FJ878" i="97"/>
  <c r="FI878" i="97"/>
  <c r="FH878" i="97"/>
  <c r="FG878" i="97"/>
  <c r="FF878" i="97"/>
  <c r="FE878" i="97"/>
  <c r="FD878" i="97"/>
  <c r="FC878" i="97"/>
  <c r="FB878" i="97"/>
  <c r="FA878" i="97"/>
  <c r="EZ878" i="97"/>
  <c r="EY878" i="97"/>
  <c r="EX878" i="97"/>
  <c r="EW878" i="97"/>
  <c r="EV878" i="97"/>
  <c r="EU878" i="97"/>
  <c r="ET878" i="97"/>
  <c r="ES878" i="97"/>
  <c r="ER878" i="97"/>
  <c r="EQ878" i="97"/>
  <c r="EP878" i="97"/>
  <c r="EO878" i="97"/>
  <c r="EN878" i="97"/>
  <c r="EM878" i="97"/>
  <c r="EL878" i="97"/>
  <c r="EK878" i="97"/>
  <c r="EJ878" i="97"/>
  <c r="EI878" i="97"/>
  <c r="EH878" i="97"/>
  <c r="EG878" i="97"/>
  <c r="EF878" i="97"/>
  <c r="EE878" i="97"/>
  <c r="ED878" i="97"/>
  <c r="EC878" i="97"/>
  <c r="EB878" i="97"/>
  <c r="EA878" i="97"/>
  <c r="DZ878" i="97"/>
  <c r="DY878" i="97"/>
  <c r="DX878" i="97"/>
  <c r="DW878" i="97"/>
  <c r="DV878" i="97"/>
  <c r="DU878" i="97"/>
  <c r="DT878" i="97"/>
  <c r="DS878" i="97"/>
  <c r="DR878" i="97"/>
  <c r="DQ878" i="97"/>
  <c r="DP878" i="97"/>
  <c r="DO878" i="97"/>
  <c r="DN878" i="97"/>
  <c r="DM878" i="97"/>
  <c r="DL878" i="97"/>
  <c r="DK878" i="97"/>
  <c r="DJ878" i="97"/>
  <c r="DI878" i="97"/>
  <c r="DH878" i="97"/>
  <c r="DG878" i="97"/>
  <c r="DF878" i="97"/>
  <c r="DE878" i="97"/>
  <c r="DD878" i="97"/>
  <c r="DC878" i="97"/>
  <c r="DB878" i="97"/>
  <c r="DA878" i="97"/>
  <c r="CZ878" i="97"/>
  <c r="CY878" i="97"/>
  <c r="CX878" i="97"/>
  <c r="CW878" i="97"/>
  <c r="CV878" i="97"/>
  <c r="CU878" i="97"/>
  <c r="CT878" i="97"/>
  <c r="CS878" i="97"/>
  <c r="CR878" i="97"/>
  <c r="CQ878" i="97"/>
  <c r="CP878" i="97"/>
  <c r="CO878" i="97"/>
  <c r="CN878" i="97"/>
  <c r="CM878" i="97"/>
  <c r="CL878" i="97"/>
  <c r="CK878" i="97"/>
  <c r="CJ878" i="97"/>
  <c r="CI878" i="97"/>
  <c r="CH878" i="97"/>
  <c r="CG878" i="97"/>
  <c r="CF878" i="97"/>
  <c r="CE878" i="97"/>
  <c r="CD878" i="97"/>
  <c r="CC878" i="97"/>
  <c r="CB878" i="97"/>
  <c r="CA878" i="97"/>
  <c r="BZ878" i="97"/>
  <c r="BY878" i="97"/>
  <c r="BX878" i="97"/>
  <c r="BW878" i="97"/>
  <c r="BV878" i="97"/>
  <c r="BU878" i="97"/>
  <c r="BT878" i="97"/>
  <c r="BS878" i="97"/>
  <c r="BR878" i="97"/>
  <c r="BQ878" i="97"/>
  <c r="BP878" i="97"/>
  <c r="BO878" i="97"/>
  <c r="BN878" i="97"/>
  <c r="BM878" i="97"/>
  <c r="BL878" i="97"/>
  <c r="BK878" i="97"/>
  <c r="BJ878" i="97"/>
  <c r="BI878" i="97"/>
  <c r="BH878" i="97"/>
  <c r="BG878" i="97"/>
  <c r="BF878" i="97"/>
  <c r="BE878" i="97"/>
  <c r="BD878" i="97"/>
  <c r="BC878" i="97"/>
  <c r="BB878" i="97"/>
  <c r="BA878" i="97"/>
  <c r="AZ878" i="97"/>
  <c r="AY878" i="97"/>
  <c r="AX878" i="97"/>
  <c r="AW878" i="97"/>
  <c r="AV878" i="97"/>
  <c r="AU878" i="97"/>
  <c r="AT878" i="97"/>
  <c r="AS878" i="97"/>
  <c r="AR878" i="97"/>
  <c r="AQ878" i="97"/>
  <c r="AP878" i="97"/>
  <c r="AO878" i="97"/>
  <c r="AN878" i="97"/>
  <c r="AM878" i="97"/>
  <c r="AL878" i="97"/>
  <c r="AK878" i="97"/>
  <c r="AJ878" i="97"/>
  <c r="AI878" i="97"/>
  <c r="AH878" i="97"/>
  <c r="AG878" i="97"/>
  <c r="AF878" i="97"/>
  <c r="AE878" i="97"/>
  <c r="AD878" i="97"/>
  <c r="AC878" i="97"/>
  <c r="AB878" i="97"/>
  <c r="AA878" i="97"/>
  <c r="Z878" i="97"/>
  <c r="Y878" i="97"/>
  <c r="X878" i="97"/>
  <c r="A878" i="97"/>
  <c r="MT877" i="97"/>
  <c r="MS877" i="97"/>
  <c r="MR877" i="97"/>
  <c r="MQ877" i="97"/>
  <c r="MP877" i="97"/>
  <c r="MO877" i="97"/>
  <c r="MN877" i="97"/>
  <c r="MM877" i="97"/>
  <c r="ML877" i="97"/>
  <c r="MK877" i="97"/>
  <c r="MJ877" i="97"/>
  <c r="MI877" i="97"/>
  <c r="MH877" i="97"/>
  <c r="MG877" i="97"/>
  <c r="MF877" i="97"/>
  <c r="ME877" i="97"/>
  <c r="MD877" i="97"/>
  <c r="MC877" i="97"/>
  <c r="MB877" i="97"/>
  <c r="MA877" i="97"/>
  <c r="LZ877" i="97"/>
  <c r="LY877" i="97"/>
  <c r="LX877" i="97"/>
  <c r="LW877" i="97"/>
  <c r="LV877" i="97"/>
  <c r="LU877" i="97"/>
  <c r="LT877" i="97"/>
  <c r="LS877" i="97"/>
  <c r="LR877" i="97"/>
  <c r="LQ877" i="97"/>
  <c r="LP877" i="97"/>
  <c r="LO877" i="97"/>
  <c r="LN877" i="97"/>
  <c r="LM877" i="97"/>
  <c r="LL877" i="97"/>
  <c r="LK877" i="97"/>
  <c r="LJ877" i="97"/>
  <c r="LI877" i="97"/>
  <c r="LH877" i="97"/>
  <c r="LG877" i="97"/>
  <c r="LF877" i="97"/>
  <c r="LE877" i="97"/>
  <c r="LD877" i="97"/>
  <c r="LC877" i="97"/>
  <c r="LB877" i="97"/>
  <c r="LA877" i="97"/>
  <c r="KZ877" i="97"/>
  <c r="KY877" i="97"/>
  <c r="KX877" i="97"/>
  <c r="KW877" i="97"/>
  <c r="KV877" i="97"/>
  <c r="KU877" i="97"/>
  <c r="KT877" i="97"/>
  <c r="KS877" i="97"/>
  <c r="KR877" i="97"/>
  <c r="KQ877" i="97"/>
  <c r="KP877" i="97"/>
  <c r="KO877" i="97"/>
  <c r="KN877" i="97"/>
  <c r="KM877" i="97"/>
  <c r="KL877" i="97"/>
  <c r="KK877" i="97"/>
  <c r="KJ877" i="97"/>
  <c r="KI877" i="97"/>
  <c r="KH877" i="97"/>
  <c r="KG877" i="97"/>
  <c r="KF877" i="97"/>
  <c r="KE877" i="97"/>
  <c r="KD877" i="97"/>
  <c r="KC877" i="97"/>
  <c r="KB877" i="97"/>
  <c r="KA877" i="97"/>
  <c r="JZ877" i="97"/>
  <c r="JY877" i="97"/>
  <c r="JX877" i="97"/>
  <c r="JW877" i="97"/>
  <c r="JV877" i="97"/>
  <c r="JU877" i="97"/>
  <c r="JT877" i="97"/>
  <c r="JS877" i="97"/>
  <c r="JR877" i="97"/>
  <c r="JQ877" i="97"/>
  <c r="JP877" i="97"/>
  <c r="JO877" i="97"/>
  <c r="JN877" i="97"/>
  <c r="JM877" i="97"/>
  <c r="JL877" i="97"/>
  <c r="JK877" i="97"/>
  <c r="JJ877" i="97"/>
  <c r="JI877" i="97"/>
  <c r="JH877" i="97"/>
  <c r="JG877" i="97"/>
  <c r="JF877" i="97"/>
  <c r="JE877" i="97"/>
  <c r="JD877" i="97"/>
  <c r="JC877" i="97"/>
  <c r="JB877" i="97"/>
  <c r="JA877" i="97"/>
  <c r="IZ877" i="97"/>
  <c r="IY877" i="97"/>
  <c r="IX877" i="97"/>
  <c r="IW877" i="97"/>
  <c r="IV877" i="97"/>
  <c r="IU877" i="97"/>
  <c r="IT877" i="97"/>
  <c r="IS877" i="97"/>
  <c r="IR877" i="97"/>
  <c r="IQ877" i="97"/>
  <c r="IP877" i="97"/>
  <c r="IO877" i="97"/>
  <c r="IN877" i="97"/>
  <c r="IM877" i="97"/>
  <c r="IL877" i="97"/>
  <c r="IK877" i="97"/>
  <c r="IJ877" i="97"/>
  <c r="II877" i="97"/>
  <c r="IH877" i="97"/>
  <c r="IG877" i="97"/>
  <c r="IF877" i="97"/>
  <c r="IE877" i="97"/>
  <c r="ID877" i="97"/>
  <c r="IC877" i="97"/>
  <c r="IB877" i="97"/>
  <c r="IA877" i="97"/>
  <c r="HZ877" i="97"/>
  <c r="HY877" i="97"/>
  <c r="HX877" i="97"/>
  <c r="HW877" i="97"/>
  <c r="HV877" i="97"/>
  <c r="HU877" i="97"/>
  <c r="HT877" i="97"/>
  <c r="HS877" i="97"/>
  <c r="HR877" i="97"/>
  <c r="HQ877" i="97"/>
  <c r="HP877" i="97"/>
  <c r="HO877" i="97"/>
  <c r="HN877" i="97"/>
  <c r="HM877" i="97"/>
  <c r="HL877" i="97"/>
  <c r="HK877" i="97"/>
  <c r="HJ877" i="97"/>
  <c r="HI877" i="97"/>
  <c r="HH877" i="97"/>
  <c r="HG877" i="97"/>
  <c r="HF877" i="97"/>
  <c r="HE877" i="97"/>
  <c r="HD877" i="97"/>
  <c r="HC877" i="97"/>
  <c r="HB877" i="97"/>
  <c r="HA877" i="97"/>
  <c r="GZ877" i="97"/>
  <c r="GY877" i="97"/>
  <c r="GX877" i="97"/>
  <c r="GW877" i="97"/>
  <c r="GV877" i="97"/>
  <c r="GU877" i="97"/>
  <c r="GT877" i="97"/>
  <c r="GS877" i="97"/>
  <c r="GR877" i="97"/>
  <c r="GQ877" i="97"/>
  <c r="GP877" i="97"/>
  <c r="GO877" i="97"/>
  <c r="GN877" i="97"/>
  <c r="GM877" i="97"/>
  <c r="GL877" i="97"/>
  <c r="GK877" i="97"/>
  <c r="GJ877" i="97"/>
  <c r="GI877" i="97"/>
  <c r="GH877" i="97"/>
  <c r="GG877" i="97"/>
  <c r="GF877" i="97"/>
  <c r="GE877" i="97"/>
  <c r="GD877" i="97"/>
  <c r="GC877" i="97"/>
  <c r="GB877" i="97"/>
  <c r="GA877" i="97"/>
  <c r="FZ877" i="97"/>
  <c r="FY877" i="97"/>
  <c r="FX877" i="97"/>
  <c r="FW877" i="97"/>
  <c r="FV877" i="97"/>
  <c r="FU877" i="97"/>
  <c r="FT877" i="97"/>
  <c r="FS877" i="97"/>
  <c r="FR877" i="97"/>
  <c r="FQ877" i="97"/>
  <c r="FP877" i="97"/>
  <c r="FO877" i="97"/>
  <c r="FN877" i="97"/>
  <c r="FM877" i="97"/>
  <c r="FL877" i="97"/>
  <c r="FK877" i="97"/>
  <c r="FJ877" i="97"/>
  <c r="FI877" i="97"/>
  <c r="FH877" i="97"/>
  <c r="FG877" i="97"/>
  <c r="FF877" i="97"/>
  <c r="FE877" i="97"/>
  <c r="FD877" i="97"/>
  <c r="FC877" i="97"/>
  <c r="FB877" i="97"/>
  <c r="FA877" i="97"/>
  <c r="EZ877" i="97"/>
  <c r="EY877" i="97"/>
  <c r="EX877" i="97"/>
  <c r="EW877" i="97"/>
  <c r="EV877" i="97"/>
  <c r="EU877" i="97"/>
  <c r="ET877" i="97"/>
  <c r="ES877" i="97"/>
  <c r="ER877" i="97"/>
  <c r="EQ877" i="97"/>
  <c r="EP877" i="97"/>
  <c r="EO877" i="97"/>
  <c r="EN877" i="97"/>
  <c r="EM877" i="97"/>
  <c r="EL877" i="97"/>
  <c r="EK877" i="97"/>
  <c r="EJ877" i="97"/>
  <c r="EI877" i="97"/>
  <c r="EH877" i="97"/>
  <c r="EG877" i="97"/>
  <c r="EF877" i="97"/>
  <c r="EE877" i="97"/>
  <c r="ED877" i="97"/>
  <c r="EC877" i="97"/>
  <c r="EB877" i="97"/>
  <c r="EA877" i="97"/>
  <c r="DZ877" i="97"/>
  <c r="DY877" i="97"/>
  <c r="DX877" i="97"/>
  <c r="DW877" i="97"/>
  <c r="DV877" i="97"/>
  <c r="DU877" i="97"/>
  <c r="DT877" i="97"/>
  <c r="DS877" i="97"/>
  <c r="DR877" i="97"/>
  <c r="DQ877" i="97"/>
  <c r="DP877" i="97"/>
  <c r="DO877" i="97"/>
  <c r="DN877" i="97"/>
  <c r="DM877" i="97"/>
  <c r="DL877" i="97"/>
  <c r="DK877" i="97"/>
  <c r="DJ877" i="97"/>
  <c r="DI877" i="97"/>
  <c r="DH877" i="97"/>
  <c r="DG877" i="97"/>
  <c r="DF877" i="97"/>
  <c r="DE877" i="97"/>
  <c r="DD877" i="97"/>
  <c r="DC877" i="97"/>
  <c r="DB877" i="97"/>
  <c r="DA877" i="97"/>
  <c r="CZ877" i="97"/>
  <c r="CY877" i="97"/>
  <c r="CX877" i="97"/>
  <c r="CW877" i="97"/>
  <c r="CV877" i="97"/>
  <c r="CU877" i="97"/>
  <c r="CT877" i="97"/>
  <c r="CS877" i="97"/>
  <c r="CR877" i="97"/>
  <c r="CQ877" i="97"/>
  <c r="CP877" i="97"/>
  <c r="CO877" i="97"/>
  <c r="CN877" i="97"/>
  <c r="CM877" i="97"/>
  <c r="CL877" i="97"/>
  <c r="CK877" i="97"/>
  <c r="CJ877" i="97"/>
  <c r="CI877" i="97"/>
  <c r="CH877" i="97"/>
  <c r="CG877" i="97"/>
  <c r="CF877" i="97"/>
  <c r="CE877" i="97"/>
  <c r="CD877" i="97"/>
  <c r="CC877" i="97"/>
  <c r="CB877" i="97"/>
  <c r="CA877" i="97"/>
  <c r="BZ877" i="97"/>
  <c r="BY877" i="97"/>
  <c r="BX877" i="97"/>
  <c r="BW877" i="97"/>
  <c r="BV877" i="97"/>
  <c r="BU877" i="97"/>
  <c r="BT877" i="97"/>
  <c r="BS877" i="97"/>
  <c r="BR877" i="97"/>
  <c r="BQ877" i="97"/>
  <c r="BP877" i="97"/>
  <c r="BO877" i="97"/>
  <c r="BN877" i="97"/>
  <c r="BM877" i="97"/>
  <c r="BL877" i="97"/>
  <c r="BK877" i="97"/>
  <c r="BJ877" i="97"/>
  <c r="BI877" i="97"/>
  <c r="BH877" i="97"/>
  <c r="BG877" i="97"/>
  <c r="BF877" i="97"/>
  <c r="BE877" i="97"/>
  <c r="BD877" i="97"/>
  <c r="BC877" i="97"/>
  <c r="BB877" i="97"/>
  <c r="BA877" i="97"/>
  <c r="AZ877" i="97"/>
  <c r="AY877" i="97"/>
  <c r="AX877" i="97"/>
  <c r="AW877" i="97"/>
  <c r="AV877" i="97"/>
  <c r="AU877" i="97"/>
  <c r="AT877" i="97"/>
  <c r="AS877" i="97"/>
  <c r="AR877" i="97"/>
  <c r="AQ877" i="97"/>
  <c r="AP877" i="97"/>
  <c r="AO877" i="97"/>
  <c r="AN877" i="97"/>
  <c r="AM877" i="97"/>
  <c r="AL877" i="97"/>
  <c r="AK877" i="97"/>
  <c r="AJ877" i="97"/>
  <c r="AI877" i="97"/>
  <c r="AH877" i="97"/>
  <c r="AG877" i="97"/>
  <c r="AF877" i="97"/>
  <c r="AE877" i="97"/>
  <c r="AD877" i="97"/>
  <c r="AC877" i="97"/>
  <c r="AB877" i="97"/>
  <c r="AA877" i="97"/>
  <c r="Z877" i="97"/>
  <c r="Y877" i="97"/>
  <c r="X877" i="97"/>
  <c r="A877" i="97"/>
  <c r="MT876" i="97"/>
  <c r="MS876" i="97"/>
  <c r="MR876" i="97"/>
  <c r="MQ876" i="97"/>
  <c r="MP876" i="97"/>
  <c r="MO876" i="97"/>
  <c r="MN876" i="97"/>
  <c r="MM876" i="97"/>
  <c r="ML876" i="97"/>
  <c r="MK876" i="97"/>
  <c r="MJ876" i="97"/>
  <c r="MI876" i="97"/>
  <c r="MH876" i="97"/>
  <c r="MG876" i="97"/>
  <c r="MF876" i="97"/>
  <c r="ME876" i="97"/>
  <c r="MD876" i="97"/>
  <c r="MC876" i="97"/>
  <c r="MB876" i="97"/>
  <c r="MA876" i="97"/>
  <c r="LZ876" i="97"/>
  <c r="LY876" i="97"/>
  <c r="LX876" i="97"/>
  <c r="LW876" i="97"/>
  <c r="LV876" i="97"/>
  <c r="LU876" i="97"/>
  <c r="LT876" i="97"/>
  <c r="LS876" i="97"/>
  <c r="LR876" i="97"/>
  <c r="LQ876" i="97"/>
  <c r="LP876" i="97"/>
  <c r="LO876" i="97"/>
  <c r="LN876" i="97"/>
  <c r="LM876" i="97"/>
  <c r="LL876" i="97"/>
  <c r="LK876" i="97"/>
  <c r="LJ876" i="97"/>
  <c r="LI876" i="97"/>
  <c r="LH876" i="97"/>
  <c r="LG876" i="97"/>
  <c r="LF876" i="97"/>
  <c r="LE876" i="97"/>
  <c r="LD876" i="97"/>
  <c r="LC876" i="97"/>
  <c r="LB876" i="97"/>
  <c r="LA876" i="97"/>
  <c r="KZ876" i="97"/>
  <c r="KY876" i="97"/>
  <c r="KX876" i="97"/>
  <c r="KW876" i="97"/>
  <c r="KV876" i="97"/>
  <c r="KU876" i="97"/>
  <c r="KT876" i="97"/>
  <c r="KS876" i="97"/>
  <c r="KR876" i="97"/>
  <c r="KQ876" i="97"/>
  <c r="KP876" i="97"/>
  <c r="KO876" i="97"/>
  <c r="KN876" i="97"/>
  <c r="KM876" i="97"/>
  <c r="KL876" i="97"/>
  <c r="KK876" i="97"/>
  <c r="KJ876" i="97"/>
  <c r="KI876" i="97"/>
  <c r="KH876" i="97"/>
  <c r="KG876" i="97"/>
  <c r="KF876" i="97"/>
  <c r="KE876" i="97"/>
  <c r="KD876" i="97"/>
  <c r="KC876" i="97"/>
  <c r="KB876" i="97"/>
  <c r="KA876" i="97"/>
  <c r="JZ876" i="97"/>
  <c r="JY876" i="97"/>
  <c r="JX876" i="97"/>
  <c r="JW876" i="97"/>
  <c r="JV876" i="97"/>
  <c r="JU876" i="97"/>
  <c r="JT876" i="97"/>
  <c r="JS876" i="97"/>
  <c r="JR876" i="97"/>
  <c r="JQ876" i="97"/>
  <c r="JP876" i="97"/>
  <c r="JO876" i="97"/>
  <c r="JN876" i="97"/>
  <c r="JM876" i="97"/>
  <c r="JL876" i="97"/>
  <c r="JK876" i="97"/>
  <c r="JJ876" i="97"/>
  <c r="JI876" i="97"/>
  <c r="JH876" i="97"/>
  <c r="JG876" i="97"/>
  <c r="JF876" i="97"/>
  <c r="JE876" i="97"/>
  <c r="JD876" i="97"/>
  <c r="JC876" i="97"/>
  <c r="JB876" i="97"/>
  <c r="JA876" i="97"/>
  <c r="IZ876" i="97"/>
  <c r="IY876" i="97"/>
  <c r="IX876" i="97"/>
  <c r="IW876" i="97"/>
  <c r="IV876" i="97"/>
  <c r="IU876" i="97"/>
  <c r="IT876" i="97"/>
  <c r="IS876" i="97"/>
  <c r="IR876" i="97"/>
  <c r="IQ876" i="97"/>
  <c r="IP876" i="97"/>
  <c r="IO876" i="97"/>
  <c r="IN876" i="97"/>
  <c r="IM876" i="97"/>
  <c r="IL876" i="97"/>
  <c r="IK876" i="97"/>
  <c r="IJ876" i="97"/>
  <c r="II876" i="97"/>
  <c r="IH876" i="97"/>
  <c r="IG876" i="97"/>
  <c r="IF876" i="97"/>
  <c r="IE876" i="97"/>
  <c r="ID876" i="97"/>
  <c r="IC876" i="97"/>
  <c r="IB876" i="97"/>
  <c r="IA876" i="97"/>
  <c r="HZ876" i="97"/>
  <c r="HY876" i="97"/>
  <c r="HX876" i="97"/>
  <c r="HW876" i="97"/>
  <c r="HV876" i="97"/>
  <c r="HU876" i="97"/>
  <c r="HT876" i="97"/>
  <c r="HS876" i="97"/>
  <c r="HR876" i="97"/>
  <c r="HQ876" i="97"/>
  <c r="HP876" i="97"/>
  <c r="HO876" i="97"/>
  <c r="HN876" i="97"/>
  <c r="HM876" i="97"/>
  <c r="HL876" i="97"/>
  <c r="HK876" i="97"/>
  <c r="HJ876" i="97"/>
  <c r="HI876" i="97"/>
  <c r="HH876" i="97"/>
  <c r="HG876" i="97"/>
  <c r="HF876" i="97"/>
  <c r="HE876" i="97"/>
  <c r="HD876" i="97"/>
  <c r="HC876" i="97"/>
  <c r="HB876" i="97"/>
  <c r="HA876" i="97"/>
  <c r="GZ876" i="97"/>
  <c r="GY876" i="97"/>
  <c r="GX876" i="97"/>
  <c r="GW876" i="97"/>
  <c r="GV876" i="97"/>
  <c r="GU876" i="97"/>
  <c r="GT876" i="97"/>
  <c r="GS876" i="97"/>
  <c r="GR876" i="97"/>
  <c r="GQ876" i="97"/>
  <c r="GP876" i="97"/>
  <c r="GO876" i="97"/>
  <c r="GN876" i="97"/>
  <c r="GM876" i="97"/>
  <c r="GL876" i="97"/>
  <c r="GK876" i="97"/>
  <c r="GJ876" i="97"/>
  <c r="GI876" i="97"/>
  <c r="GH876" i="97"/>
  <c r="GG876" i="97"/>
  <c r="GF876" i="97"/>
  <c r="GE876" i="97"/>
  <c r="GD876" i="97"/>
  <c r="GC876" i="97"/>
  <c r="GB876" i="97"/>
  <c r="GA876" i="97"/>
  <c r="FZ876" i="97"/>
  <c r="FY876" i="97"/>
  <c r="FX876" i="97"/>
  <c r="FW876" i="97"/>
  <c r="FV876" i="97"/>
  <c r="FU876" i="97"/>
  <c r="FT876" i="97"/>
  <c r="FS876" i="97"/>
  <c r="FR876" i="97"/>
  <c r="FQ876" i="97"/>
  <c r="FP876" i="97"/>
  <c r="FO876" i="97"/>
  <c r="FN876" i="97"/>
  <c r="FM876" i="97"/>
  <c r="FL876" i="97"/>
  <c r="FK876" i="97"/>
  <c r="FJ876" i="97"/>
  <c r="FI876" i="97"/>
  <c r="FH876" i="97"/>
  <c r="FG876" i="97"/>
  <c r="FF876" i="97"/>
  <c r="FE876" i="97"/>
  <c r="FD876" i="97"/>
  <c r="FC876" i="97"/>
  <c r="FB876" i="97"/>
  <c r="FA876" i="97"/>
  <c r="EZ876" i="97"/>
  <c r="EY876" i="97"/>
  <c r="EX876" i="97"/>
  <c r="EW876" i="97"/>
  <c r="EV876" i="97"/>
  <c r="EU876" i="97"/>
  <c r="ET876" i="97"/>
  <c r="ES876" i="97"/>
  <c r="ER876" i="97"/>
  <c r="EQ876" i="97"/>
  <c r="EP876" i="97"/>
  <c r="EO876" i="97"/>
  <c r="EN876" i="97"/>
  <c r="EM876" i="97"/>
  <c r="EL876" i="97"/>
  <c r="EK876" i="97"/>
  <c r="EJ876" i="97"/>
  <c r="EI876" i="97"/>
  <c r="EH876" i="97"/>
  <c r="EG876" i="97"/>
  <c r="EF876" i="97"/>
  <c r="EE876" i="97"/>
  <c r="ED876" i="97"/>
  <c r="EC876" i="97"/>
  <c r="EB876" i="97"/>
  <c r="EA876" i="97"/>
  <c r="DZ876" i="97"/>
  <c r="DY876" i="97"/>
  <c r="DX876" i="97"/>
  <c r="DW876" i="97"/>
  <c r="DV876" i="97"/>
  <c r="DU876" i="97"/>
  <c r="DT876" i="97"/>
  <c r="DS876" i="97"/>
  <c r="DR876" i="97"/>
  <c r="DQ876" i="97"/>
  <c r="DP876" i="97"/>
  <c r="DO876" i="97"/>
  <c r="DN876" i="97"/>
  <c r="DM876" i="97"/>
  <c r="DL876" i="97"/>
  <c r="DK876" i="97"/>
  <c r="DJ876" i="97"/>
  <c r="DI876" i="97"/>
  <c r="DH876" i="97"/>
  <c r="DG876" i="97"/>
  <c r="DF876" i="97"/>
  <c r="DE876" i="97"/>
  <c r="DD876" i="97"/>
  <c r="DC876" i="97"/>
  <c r="DB876" i="97"/>
  <c r="DA876" i="97"/>
  <c r="CZ876" i="97"/>
  <c r="CY876" i="97"/>
  <c r="CX876" i="97"/>
  <c r="CW876" i="97"/>
  <c r="CV876" i="97"/>
  <c r="CU876" i="97"/>
  <c r="CT876" i="97"/>
  <c r="CS876" i="97"/>
  <c r="CR876" i="97"/>
  <c r="CQ876" i="97"/>
  <c r="CP876" i="97"/>
  <c r="CO876" i="97"/>
  <c r="CN876" i="97"/>
  <c r="CM876" i="97"/>
  <c r="CL876" i="97"/>
  <c r="CK876" i="97"/>
  <c r="CJ876" i="97"/>
  <c r="CI876" i="97"/>
  <c r="CH876" i="97"/>
  <c r="CG876" i="97"/>
  <c r="CF876" i="97"/>
  <c r="CE876" i="97"/>
  <c r="CD876" i="97"/>
  <c r="CC876" i="97"/>
  <c r="CB876" i="97"/>
  <c r="CA876" i="97"/>
  <c r="BZ876" i="97"/>
  <c r="BY876" i="97"/>
  <c r="BX876" i="97"/>
  <c r="BW876" i="97"/>
  <c r="BV876" i="97"/>
  <c r="BU876" i="97"/>
  <c r="BT876" i="97"/>
  <c r="BS876" i="97"/>
  <c r="BR876" i="97"/>
  <c r="BQ876" i="97"/>
  <c r="BP876" i="97"/>
  <c r="BO876" i="97"/>
  <c r="BN876" i="97"/>
  <c r="BM876" i="97"/>
  <c r="BL876" i="97"/>
  <c r="BK876" i="97"/>
  <c r="BJ876" i="97"/>
  <c r="BI876" i="97"/>
  <c r="BH876" i="97"/>
  <c r="BG876" i="97"/>
  <c r="BF876" i="97"/>
  <c r="BE876" i="97"/>
  <c r="BD876" i="97"/>
  <c r="BC876" i="97"/>
  <c r="BB876" i="97"/>
  <c r="BA876" i="97"/>
  <c r="AZ876" i="97"/>
  <c r="AY876" i="97"/>
  <c r="AX876" i="97"/>
  <c r="AW876" i="97"/>
  <c r="AV876" i="97"/>
  <c r="AU876" i="97"/>
  <c r="AT876" i="97"/>
  <c r="AS876" i="97"/>
  <c r="AR876" i="97"/>
  <c r="AQ876" i="97"/>
  <c r="AP876" i="97"/>
  <c r="AO876" i="97"/>
  <c r="AN876" i="97"/>
  <c r="AM876" i="97"/>
  <c r="AL876" i="97"/>
  <c r="AK876" i="97"/>
  <c r="AJ876" i="97"/>
  <c r="AI876" i="97"/>
  <c r="AH876" i="97"/>
  <c r="AG876" i="97"/>
  <c r="AF876" i="97"/>
  <c r="AE876" i="97"/>
  <c r="AD876" i="97"/>
  <c r="AC876" i="97"/>
  <c r="AB876" i="97"/>
  <c r="AA876" i="97"/>
  <c r="Z876" i="97"/>
  <c r="Y876" i="97"/>
  <c r="X876" i="97"/>
  <c r="A876" i="97"/>
  <c r="MT875" i="97"/>
  <c r="MS875" i="97"/>
  <c r="MR875" i="97"/>
  <c r="MQ875" i="97"/>
  <c r="MP875" i="97"/>
  <c r="MO875" i="97"/>
  <c r="MN875" i="97"/>
  <c r="MM875" i="97"/>
  <c r="ML875" i="97"/>
  <c r="MK875" i="97"/>
  <c r="MJ875" i="97"/>
  <c r="MI875" i="97"/>
  <c r="MH875" i="97"/>
  <c r="MG875" i="97"/>
  <c r="MF875" i="97"/>
  <c r="ME875" i="97"/>
  <c r="MD875" i="97"/>
  <c r="MC875" i="97"/>
  <c r="MB875" i="97"/>
  <c r="MA875" i="97"/>
  <c r="LZ875" i="97"/>
  <c r="LY875" i="97"/>
  <c r="LX875" i="97"/>
  <c r="LW875" i="97"/>
  <c r="LV875" i="97"/>
  <c r="LU875" i="97"/>
  <c r="LT875" i="97"/>
  <c r="LS875" i="97"/>
  <c r="LR875" i="97"/>
  <c r="LQ875" i="97"/>
  <c r="LP875" i="97"/>
  <c r="LO875" i="97"/>
  <c r="LN875" i="97"/>
  <c r="LM875" i="97"/>
  <c r="LL875" i="97"/>
  <c r="LK875" i="97"/>
  <c r="LJ875" i="97"/>
  <c r="LI875" i="97"/>
  <c r="LH875" i="97"/>
  <c r="LG875" i="97"/>
  <c r="LF875" i="97"/>
  <c r="LE875" i="97"/>
  <c r="LD875" i="97"/>
  <c r="LC875" i="97"/>
  <c r="LB875" i="97"/>
  <c r="LA875" i="97"/>
  <c r="KZ875" i="97"/>
  <c r="KY875" i="97"/>
  <c r="KX875" i="97"/>
  <c r="KW875" i="97"/>
  <c r="KV875" i="97"/>
  <c r="KU875" i="97"/>
  <c r="KT875" i="97"/>
  <c r="KS875" i="97"/>
  <c r="KR875" i="97"/>
  <c r="KQ875" i="97"/>
  <c r="KP875" i="97"/>
  <c r="KO875" i="97"/>
  <c r="KN875" i="97"/>
  <c r="KM875" i="97"/>
  <c r="KL875" i="97"/>
  <c r="KK875" i="97"/>
  <c r="KJ875" i="97"/>
  <c r="KI875" i="97"/>
  <c r="KH875" i="97"/>
  <c r="KG875" i="97"/>
  <c r="KF875" i="97"/>
  <c r="KE875" i="97"/>
  <c r="KD875" i="97"/>
  <c r="KC875" i="97"/>
  <c r="KB875" i="97"/>
  <c r="KA875" i="97"/>
  <c r="JZ875" i="97"/>
  <c r="JY875" i="97"/>
  <c r="JX875" i="97"/>
  <c r="JW875" i="97"/>
  <c r="JV875" i="97"/>
  <c r="JU875" i="97"/>
  <c r="JT875" i="97"/>
  <c r="JS875" i="97"/>
  <c r="JR875" i="97"/>
  <c r="JQ875" i="97"/>
  <c r="JP875" i="97"/>
  <c r="JO875" i="97"/>
  <c r="JN875" i="97"/>
  <c r="JM875" i="97"/>
  <c r="JL875" i="97"/>
  <c r="JK875" i="97"/>
  <c r="JJ875" i="97"/>
  <c r="JI875" i="97"/>
  <c r="JH875" i="97"/>
  <c r="JG875" i="97"/>
  <c r="JF875" i="97"/>
  <c r="JE875" i="97"/>
  <c r="JD875" i="97"/>
  <c r="JC875" i="97"/>
  <c r="JB875" i="97"/>
  <c r="JA875" i="97"/>
  <c r="IZ875" i="97"/>
  <c r="IY875" i="97"/>
  <c r="IX875" i="97"/>
  <c r="IW875" i="97"/>
  <c r="IV875" i="97"/>
  <c r="IU875" i="97"/>
  <c r="IT875" i="97"/>
  <c r="IS875" i="97"/>
  <c r="IR875" i="97"/>
  <c r="IQ875" i="97"/>
  <c r="IP875" i="97"/>
  <c r="IO875" i="97"/>
  <c r="IN875" i="97"/>
  <c r="IM875" i="97"/>
  <c r="IL875" i="97"/>
  <c r="IK875" i="97"/>
  <c r="IJ875" i="97"/>
  <c r="II875" i="97"/>
  <c r="IH875" i="97"/>
  <c r="IG875" i="97"/>
  <c r="IF875" i="97"/>
  <c r="IE875" i="97"/>
  <c r="ID875" i="97"/>
  <c r="IC875" i="97"/>
  <c r="IB875" i="97"/>
  <c r="IA875" i="97"/>
  <c r="HZ875" i="97"/>
  <c r="HY875" i="97"/>
  <c r="HX875" i="97"/>
  <c r="HW875" i="97"/>
  <c r="HV875" i="97"/>
  <c r="HU875" i="97"/>
  <c r="HT875" i="97"/>
  <c r="HS875" i="97"/>
  <c r="HR875" i="97"/>
  <c r="HQ875" i="97"/>
  <c r="HP875" i="97"/>
  <c r="HO875" i="97"/>
  <c r="HN875" i="97"/>
  <c r="HM875" i="97"/>
  <c r="HL875" i="97"/>
  <c r="HK875" i="97"/>
  <c r="HJ875" i="97"/>
  <c r="HI875" i="97"/>
  <c r="HH875" i="97"/>
  <c r="HG875" i="97"/>
  <c r="HF875" i="97"/>
  <c r="HE875" i="97"/>
  <c r="HD875" i="97"/>
  <c r="HC875" i="97"/>
  <c r="HB875" i="97"/>
  <c r="HA875" i="97"/>
  <c r="GZ875" i="97"/>
  <c r="GY875" i="97"/>
  <c r="GX875" i="97"/>
  <c r="GW875" i="97"/>
  <c r="GV875" i="97"/>
  <c r="GU875" i="97"/>
  <c r="GT875" i="97"/>
  <c r="GS875" i="97"/>
  <c r="GR875" i="97"/>
  <c r="GQ875" i="97"/>
  <c r="GP875" i="97"/>
  <c r="GO875" i="97"/>
  <c r="GN875" i="97"/>
  <c r="GM875" i="97"/>
  <c r="GL875" i="97"/>
  <c r="GK875" i="97"/>
  <c r="GJ875" i="97"/>
  <c r="GI875" i="97"/>
  <c r="GH875" i="97"/>
  <c r="GG875" i="97"/>
  <c r="GF875" i="97"/>
  <c r="GE875" i="97"/>
  <c r="GD875" i="97"/>
  <c r="GC875" i="97"/>
  <c r="GB875" i="97"/>
  <c r="GA875" i="97"/>
  <c r="FZ875" i="97"/>
  <c r="FY875" i="97"/>
  <c r="FX875" i="97"/>
  <c r="FW875" i="97"/>
  <c r="FV875" i="97"/>
  <c r="FU875" i="97"/>
  <c r="FT875" i="97"/>
  <c r="FS875" i="97"/>
  <c r="FR875" i="97"/>
  <c r="FQ875" i="97"/>
  <c r="FP875" i="97"/>
  <c r="FO875" i="97"/>
  <c r="FN875" i="97"/>
  <c r="FM875" i="97"/>
  <c r="FL875" i="97"/>
  <c r="FK875" i="97"/>
  <c r="FJ875" i="97"/>
  <c r="FI875" i="97"/>
  <c r="FH875" i="97"/>
  <c r="FG875" i="97"/>
  <c r="FF875" i="97"/>
  <c r="FE875" i="97"/>
  <c r="FD875" i="97"/>
  <c r="FC875" i="97"/>
  <c r="FB875" i="97"/>
  <c r="FA875" i="97"/>
  <c r="EZ875" i="97"/>
  <c r="EY875" i="97"/>
  <c r="EX875" i="97"/>
  <c r="EW875" i="97"/>
  <c r="EV875" i="97"/>
  <c r="EU875" i="97"/>
  <c r="ET875" i="97"/>
  <c r="ES875" i="97"/>
  <c r="ER875" i="97"/>
  <c r="EQ875" i="97"/>
  <c r="EP875" i="97"/>
  <c r="EO875" i="97"/>
  <c r="EN875" i="97"/>
  <c r="EM875" i="97"/>
  <c r="EL875" i="97"/>
  <c r="EK875" i="97"/>
  <c r="EJ875" i="97"/>
  <c r="EI875" i="97"/>
  <c r="EH875" i="97"/>
  <c r="EG875" i="97"/>
  <c r="EF875" i="97"/>
  <c r="EE875" i="97"/>
  <c r="ED875" i="97"/>
  <c r="EC875" i="97"/>
  <c r="EB875" i="97"/>
  <c r="EA875" i="97"/>
  <c r="DZ875" i="97"/>
  <c r="DY875" i="97"/>
  <c r="DX875" i="97"/>
  <c r="DW875" i="97"/>
  <c r="DV875" i="97"/>
  <c r="DU875" i="97"/>
  <c r="DT875" i="97"/>
  <c r="DS875" i="97"/>
  <c r="DR875" i="97"/>
  <c r="DQ875" i="97"/>
  <c r="DP875" i="97"/>
  <c r="DO875" i="97"/>
  <c r="DN875" i="97"/>
  <c r="DM875" i="97"/>
  <c r="DL875" i="97"/>
  <c r="DK875" i="97"/>
  <c r="DJ875" i="97"/>
  <c r="DI875" i="97"/>
  <c r="DH875" i="97"/>
  <c r="DG875" i="97"/>
  <c r="DF875" i="97"/>
  <c r="DE875" i="97"/>
  <c r="DD875" i="97"/>
  <c r="DC875" i="97"/>
  <c r="DB875" i="97"/>
  <c r="DA875" i="97"/>
  <c r="CZ875" i="97"/>
  <c r="CY875" i="97"/>
  <c r="CX875" i="97"/>
  <c r="CW875" i="97"/>
  <c r="CV875" i="97"/>
  <c r="CU875" i="97"/>
  <c r="CT875" i="97"/>
  <c r="CS875" i="97"/>
  <c r="CR875" i="97"/>
  <c r="CQ875" i="97"/>
  <c r="CP875" i="97"/>
  <c r="CO875" i="97"/>
  <c r="CN875" i="97"/>
  <c r="CM875" i="97"/>
  <c r="CL875" i="97"/>
  <c r="CK875" i="97"/>
  <c r="CJ875" i="97"/>
  <c r="CI875" i="97"/>
  <c r="CH875" i="97"/>
  <c r="CG875" i="97"/>
  <c r="CF875" i="97"/>
  <c r="CE875" i="97"/>
  <c r="CD875" i="97"/>
  <c r="CC875" i="97"/>
  <c r="CB875" i="97"/>
  <c r="CA875" i="97"/>
  <c r="BZ875" i="97"/>
  <c r="BY875" i="97"/>
  <c r="BX875" i="97"/>
  <c r="BW875" i="97"/>
  <c r="BV875" i="97"/>
  <c r="BU875" i="97"/>
  <c r="BT875" i="97"/>
  <c r="BS875" i="97"/>
  <c r="BR875" i="97"/>
  <c r="BQ875" i="97"/>
  <c r="BP875" i="97"/>
  <c r="BO875" i="97"/>
  <c r="BN875" i="97"/>
  <c r="BM875" i="97"/>
  <c r="BL875" i="97"/>
  <c r="BK875" i="97"/>
  <c r="BJ875" i="97"/>
  <c r="BI875" i="97"/>
  <c r="BH875" i="97"/>
  <c r="BG875" i="97"/>
  <c r="BF875" i="97"/>
  <c r="BE875" i="97"/>
  <c r="BD875" i="97"/>
  <c r="BC875" i="97"/>
  <c r="BB875" i="97"/>
  <c r="BA875" i="97"/>
  <c r="AZ875" i="97"/>
  <c r="AY875" i="97"/>
  <c r="AX875" i="97"/>
  <c r="AW875" i="97"/>
  <c r="AV875" i="97"/>
  <c r="AU875" i="97"/>
  <c r="AT875" i="97"/>
  <c r="AS875" i="97"/>
  <c r="AR875" i="97"/>
  <c r="AQ875" i="97"/>
  <c r="AP875" i="97"/>
  <c r="AO875" i="97"/>
  <c r="AN875" i="97"/>
  <c r="AM875" i="97"/>
  <c r="AL875" i="97"/>
  <c r="AK875" i="97"/>
  <c r="AJ875" i="97"/>
  <c r="AI875" i="97"/>
  <c r="AH875" i="97"/>
  <c r="AG875" i="97"/>
  <c r="AF875" i="97"/>
  <c r="AE875" i="97"/>
  <c r="AD875" i="97"/>
  <c r="AC875" i="97"/>
  <c r="AB875" i="97"/>
  <c r="AA875" i="97"/>
  <c r="Z875" i="97"/>
  <c r="Y875" i="97"/>
  <c r="X875" i="97"/>
  <c r="A875" i="97"/>
  <c r="MT874" i="97"/>
  <c r="MS874" i="97"/>
  <c r="MR874" i="97"/>
  <c r="MQ874" i="97"/>
  <c r="MP874" i="97"/>
  <c r="MO874" i="97"/>
  <c r="MN874" i="97"/>
  <c r="MM874" i="97"/>
  <c r="ML874" i="97"/>
  <c r="MK874" i="97"/>
  <c r="MJ874" i="97"/>
  <c r="MI874" i="97"/>
  <c r="MH874" i="97"/>
  <c r="MG874" i="97"/>
  <c r="MF874" i="97"/>
  <c r="ME874" i="97"/>
  <c r="MD874" i="97"/>
  <c r="MC874" i="97"/>
  <c r="MB874" i="97"/>
  <c r="MA874" i="97"/>
  <c r="LZ874" i="97"/>
  <c r="LY874" i="97"/>
  <c r="LX874" i="97"/>
  <c r="LW874" i="97"/>
  <c r="LV874" i="97"/>
  <c r="LU874" i="97"/>
  <c r="LT874" i="97"/>
  <c r="LS874" i="97"/>
  <c r="LR874" i="97"/>
  <c r="LQ874" i="97"/>
  <c r="LP874" i="97"/>
  <c r="LO874" i="97"/>
  <c r="LN874" i="97"/>
  <c r="LM874" i="97"/>
  <c r="LL874" i="97"/>
  <c r="LK874" i="97"/>
  <c r="LJ874" i="97"/>
  <c r="LI874" i="97"/>
  <c r="LH874" i="97"/>
  <c r="LG874" i="97"/>
  <c r="LF874" i="97"/>
  <c r="LE874" i="97"/>
  <c r="LD874" i="97"/>
  <c r="LC874" i="97"/>
  <c r="LB874" i="97"/>
  <c r="LA874" i="97"/>
  <c r="KZ874" i="97"/>
  <c r="KY874" i="97"/>
  <c r="KX874" i="97"/>
  <c r="KW874" i="97"/>
  <c r="KV874" i="97"/>
  <c r="KU874" i="97"/>
  <c r="KT874" i="97"/>
  <c r="KS874" i="97"/>
  <c r="KR874" i="97"/>
  <c r="KQ874" i="97"/>
  <c r="KP874" i="97"/>
  <c r="KO874" i="97"/>
  <c r="KN874" i="97"/>
  <c r="KM874" i="97"/>
  <c r="KL874" i="97"/>
  <c r="KK874" i="97"/>
  <c r="KJ874" i="97"/>
  <c r="KI874" i="97"/>
  <c r="KH874" i="97"/>
  <c r="KG874" i="97"/>
  <c r="KF874" i="97"/>
  <c r="KE874" i="97"/>
  <c r="KD874" i="97"/>
  <c r="KC874" i="97"/>
  <c r="KB874" i="97"/>
  <c r="KA874" i="97"/>
  <c r="JZ874" i="97"/>
  <c r="JY874" i="97"/>
  <c r="JX874" i="97"/>
  <c r="JW874" i="97"/>
  <c r="JV874" i="97"/>
  <c r="JU874" i="97"/>
  <c r="JT874" i="97"/>
  <c r="JS874" i="97"/>
  <c r="JR874" i="97"/>
  <c r="JQ874" i="97"/>
  <c r="JP874" i="97"/>
  <c r="JO874" i="97"/>
  <c r="JN874" i="97"/>
  <c r="JM874" i="97"/>
  <c r="JL874" i="97"/>
  <c r="JK874" i="97"/>
  <c r="JJ874" i="97"/>
  <c r="JI874" i="97"/>
  <c r="JH874" i="97"/>
  <c r="JG874" i="97"/>
  <c r="JF874" i="97"/>
  <c r="JE874" i="97"/>
  <c r="JD874" i="97"/>
  <c r="JC874" i="97"/>
  <c r="JB874" i="97"/>
  <c r="JA874" i="97"/>
  <c r="IZ874" i="97"/>
  <c r="IY874" i="97"/>
  <c r="IX874" i="97"/>
  <c r="IW874" i="97"/>
  <c r="IV874" i="97"/>
  <c r="IU874" i="97"/>
  <c r="IT874" i="97"/>
  <c r="IS874" i="97"/>
  <c r="IR874" i="97"/>
  <c r="IQ874" i="97"/>
  <c r="IP874" i="97"/>
  <c r="IO874" i="97"/>
  <c r="IN874" i="97"/>
  <c r="IM874" i="97"/>
  <c r="IL874" i="97"/>
  <c r="IK874" i="97"/>
  <c r="IJ874" i="97"/>
  <c r="II874" i="97"/>
  <c r="IH874" i="97"/>
  <c r="IG874" i="97"/>
  <c r="IF874" i="97"/>
  <c r="IE874" i="97"/>
  <c r="ID874" i="97"/>
  <c r="IC874" i="97"/>
  <c r="IB874" i="97"/>
  <c r="IA874" i="97"/>
  <c r="HZ874" i="97"/>
  <c r="HY874" i="97"/>
  <c r="HX874" i="97"/>
  <c r="HW874" i="97"/>
  <c r="HV874" i="97"/>
  <c r="HU874" i="97"/>
  <c r="HT874" i="97"/>
  <c r="HS874" i="97"/>
  <c r="HR874" i="97"/>
  <c r="HQ874" i="97"/>
  <c r="HP874" i="97"/>
  <c r="HO874" i="97"/>
  <c r="HN874" i="97"/>
  <c r="HM874" i="97"/>
  <c r="HL874" i="97"/>
  <c r="HK874" i="97"/>
  <c r="HJ874" i="97"/>
  <c r="HI874" i="97"/>
  <c r="HH874" i="97"/>
  <c r="HG874" i="97"/>
  <c r="HF874" i="97"/>
  <c r="HE874" i="97"/>
  <c r="HD874" i="97"/>
  <c r="HC874" i="97"/>
  <c r="HB874" i="97"/>
  <c r="HA874" i="97"/>
  <c r="GZ874" i="97"/>
  <c r="GY874" i="97"/>
  <c r="GX874" i="97"/>
  <c r="GW874" i="97"/>
  <c r="GV874" i="97"/>
  <c r="GU874" i="97"/>
  <c r="GT874" i="97"/>
  <c r="GS874" i="97"/>
  <c r="GR874" i="97"/>
  <c r="GQ874" i="97"/>
  <c r="GP874" i="97"/>
  <c r="GO874" i="97"/>
  <c r="GN874" i="97"/>
  <c r="GM874" i="97"/>
  <c r="GL874" i="97"/>
  <c r="GK874" i="97"/>
  <c r="GJ874" i="97"/>
  <c r="GI874" i="97"/>
  <c r="GH874" i="97"/>
  <c r="GG874" i="97"/>
  <c r="GF874" i="97"/>
  <c r="GE874" i="97"/>
  <c r="GD874" i="97"/>
  <c r="GC874" i="97"/>
  <c r="GB874" i="97"/>
  <c r="GA874" i="97"/>
  <c r="FZ874" i="97"/>
  <c r="FY874" i="97"/>
  <c r="FX874" i="97"/>
  <c r="FW874" i="97"/>
  <c r="FV874" i="97"/>
  <c r="FU874" i="97"/>
  <c r="FT874" i="97"/>
  <c r="FS874" i="97"/>
  <c r="FR874" i="97"/>
  <c r="FQ874" i="97"/>
  <c r="FP874" i="97"/>
  <c r="FO874" i="97"/>
  <c r="FN874" i="97"/>
  <c r="FM874" i="97"/>
  <c r="FL874" i="97"/>
  <c r="FK874" i="97"/>
  <c r="FJ874" i="97"/>
  <c r="FI874" i="97"/>
  <c r="FH874" i="97"/>
  <c r="FG874" i="97"/>
  <c r="FF874" i="97"/>
  <c r="FE874" i="97"/>
  <c r="FD874" i="97"/>
  <c r="FC874" i="97"/>
  <c r="FB874" i="97"/>
  <c r="FA874" i="97"/>
  <c r="EZ874" i="97"/>
  <c r="EY874" i="97"/>
  <c r="EX874" i="97"/>
  <c r="EW874" i="97"/>
  <c r="EV874" i="97"/>
  <c r="EU874" i="97"/>
  <c r="ET874" i="97"/>
  <c r="ES874" i="97"/>
  <c r="ER874" i="97"/>
  <c r="EQ874" i="97"/>
  <c r="EP874" i="97"/>
  <c r="EO874" i="97"/>
  <c r="EN874" i="97"/>
  <c r="EM874" i="97"/>
  <c r="EL874" i="97"/>
  <c r="EK874" i="97"/>
  <c r="EJ874" i="97"/>
  <c r="EI874" i="97"/>
  <c r="EH874" i="97"/>
  <c r="EG874" i="97"/>
  <c r="EF874" i="97"/>
  <c r="EE874" i="97"/>
  <c r="ED874" i="97"/>
  <c r="EC874" i="97"/>
  <c r="EB874" i="97"/>
  <c r="EA874" i="97"/>
  <c r="DZ874" i="97"/>
  <c r="DY874" i="97"/>
  <c r="DX874" i="97"/>
  <c r="DW874" i="97"/>
  <c r="DV874" i="97"/>
  <c r="DU874" i="97"/>
  <c r="DT874" i="97"/>
  <c r="DS874" i="97"/>
  <c r="DR874" i="97"/>
  <c r="DQ874" i="97"/>
  <c r="DP874" i="97"/>
  <c r="DO874" i="97"/>
  <c r="DN874" i="97"/>
  <c r="DM874" i="97"/>
  <c r="DL874" i="97"/>
  <c r="DK874" i="97"/>
  <c r="DJ874" i="97"/>
  <c r="DI874" i="97"/>
  <c r="DH874" i="97"/>
  <c r="DG874" i="97"/>
  <c r="DF874" i="97"/>
  <c r="DE874" i="97"/>
  <c r="DD874" i="97"/>
  <c r="DC874" i="97"/>
  <c r="DB874" i="97"/>
  <c r="DA874" i="97"/>
  <c r="CZ874" i="97"/>
  <c r="CY874" i="97"/>
  <c r="CX874" i="97"/>
  <c r="CW874" i="97"/>
  <c r="CV874" i="97"/>
  <c r="CU874" i="97"/>
  <c r="CT874" i="97"/>
  <c r="CS874" i="97"/>
  <c r="CR874" i="97"/>
  <c r="CQ874" i="97"/>
  <c r="CP874" i="97"/>
  <c r="CO874" i="97"/>
  <c r="CN874" i="97"/>
  <c r="CM874" i="97"/>
  <c r="CL874" i="97"/>
  <c r="CK874" i="97"/>
  <c r="CJ874" i="97"/>
  <c r="CI874" i="97"/>
  <c r="CH874" i="97"/>
  <c r="CG874" i="97"/>
  <c r="CF874" i="97"/>
  <c r="CE874" i="97"/>
  <c r="CD874" i="97"/>
  <c r="CC874" i="97"/>
  <c r="CB874" i="97"/>
  <c r="CA874" i="97"/>
  <c r="BZ874" i="97"/>
  <c r="BY874" i="97"/>
  <c r="BX874" i="97"/>
  <c r="BW874" i="97"/>
  <c r="BV874" i="97"/>
  <c r="BU874" i="97"/>
  <c r="BT874" i="97"/>
  <c r="BS874" i="97"/>
  <c r="BR874" i="97"/>
  <c r="BQ874" i="97"/>
  <c r="BP874" i="97"/>
  <c r="BO874" i="97"/>
  <c r="BN874" i="97"/>
  <c r="BM874" i="97"/>
  <c r="BL874" i="97"/>
  <c r="BK874" i="97"/>
  <c r="BJ874" i="97"/>
  <c r="BI874" i="97"/>
  <c r="BH874" i="97"/>
  <c r="BG874" i="97"/>
  <c r="BF874" i="97"/>
  <c r="BE874" i="97"/>
  <c r="BD874" i="97"/>
  <c r="BC874" i="97"/>
  <c r="BB874" i="97"/>
  <c r="BA874" i="97"/>
  <c r="AZ874" i="97"/>
  <c r="AY874" i="97"/>
  <c r="AX874" i="97"/>
  <c r="AW874" i="97"/>
  <c r="AV874" i="97"/>
  <c r="AU874" i="97"/>
  <c r="AT874" i="97"/>
  <c r="AS874" i="97"/>
  <c r="AR874" i="97"/>
  <c r="AQ874" i="97"/>
  <c r="AP874" i="97"/>
  <c r="AO874" i="97"/>
  <c r="AN874" i="97"/>
  <c r="AM874" i="97"/>
  <c r="AL874" i="97"/>
  <c r="AK874" i="97"/>
  <c r="AJ874" i="97"/>
  <c r="AI874" i="97"/>
  <c r="AH874" i="97"/>
  <c r="AG874" i="97"/>
  <c r="AF874" i="97"/>
  <c r="AE874" i="97"/>
  <c r="AD874" i="97"/>
  <c r="AC874" i="97"/>
  <c r="AB874" i="97"/>
  <c r="AA874" i="97"/>
  <c r="Z874" i="97"/>
  <c r="Y874" i="97"/>
  <c r="X874" i="97"/>
  <c r="A874" i="97"/>
  <c r="MT873" i="97"/>
  <c r="MS873" i="97"/>
  <c r="MR873" i="97"/>
  <c r="MQ873" i="97"/>
  <c r="MP873" i="97"/>
  <c r="MO873" i="97"/>
  <c r="MN873" i="97"/>
  <c r="MM873" i="97"/>
  <c r="ML873" i="97"/>
  <c r="MK873" i="97"/>
  <c r="MJ873" i="97"/>
  <c r="MI873" i="97"/>
  <c r="MH873" i="97"/>
  <c r="MG873" i="97"/>
  <c r="MF873" i="97"/>
  <c r="ME873" i="97"/>
  <c r="MD873" i="97"/>
  <c r="MC873" i="97"/>
  <c r="MB873" i="97"/>
  <c r="MA873" i="97"/>
  <c r="LZ873" i="97"/>
  <c r="LY873" i="97"/>
  <c r="LX873" i="97"/>
  <c r="LW873" i="97"/>
  <c r="LV873" i="97"/>
  <c r="LU873" i="97"/>
  <c r="LT873" i="97"/>
  <c r="LS873" i="97"/>
  <c r="LR873" i="97"/>
  <c r="LQ873" i="97"/>
  <c r="LP873" i="97"/>
  <c r="LO873" i="97"/>
  <c r="LN873" i="97"/>
  <c r="LM873" i="97"/>
  <c r="LL873" i="97"/>
  <c r="LK873" i="97"/>
  <c r="LJ873" i="97"/>
  <c r="LI873" i="97"/>
  <c r="LH873" i="97"/>
  <c r="LG873" i="97"/>
  <c r="LF873" i="97"/>
  <c r="LE873" i="97"/>
  <c r="LD873" i="97"/>
  <c r="LC873" i="97"/>
  <c r="LB873" i="97"/>
  <c r="LA873" i="97"/>
  <c r="KZ873" i="97"/>
  <c r="KY873" i="97"/>
  <c r="KX873" i="97"/>
  <c r="KW873" i="97"/>
  <c r="KV873" i="97"/>
  <c r="KU873" i="97"/>
  <c r="KT873" i="97"/>
  <c r="KS873" i="97"/>
  <c r="KR873" i="97"/>
  <c r="KQ873" i="97"/>
  <c r="KP873" i="97"/>
  <c r="KO873" i="97"/>
  <c r="KN873" i="97"/>
  <c r="KM873" i="97"/>
  <c r="KL873" i="97"/>
  <c r="KK873" i="97"/>
  <c r="KJ873" i="97"/>
  <c r="KI873" i="97"/>
  <c r="KH873" i="97"/>
  <c r="KG873" i="97"/>
  <c r="KF873" i="97"/>
  <c r="KE873" i="97"/>
  <c r="KD873" i="97"/>
  <c r="KC873" i="97"/>
  <c r="KB873" i="97"/>
  <c r="KA873" i="97"/>
  <c r="JZ873" i="97"/>
  <c r="JY873" i="97"/>
  <c r="JX873" i="97"/>
  <c r="JW873" i="97"/>
  <c r="JV873" i="97"/>
  <c r="JU873" i="97"/>
  <c r="JT873" i="97"/>
  <c r="JS873" i="97"/>
  <c r="JR873" i="97"/>
  <c r="JQ873" i="97"/>
  <c r="JP873" i="97"/>
  <c r="JO873" i="97"/>
  <c r="JN873" i="97"/>
  <c r="JM873" i="97"/>
  <c r="JL873" i="97"/>
  <c r="JK873" i="97"/>
  <c r="JJ873" i="97"/>
  <c r="JI873" i="97"/>
  <c r="JH873" i="97"/>
  <c r="JG873" i="97"/>
  <c r="JF873" i="97"/>
  <c r="JE873" i="97"/>
  <c r="JD873" i="97"/>
  <c r="JC873" i="97"/>
  <c r="JB873" i="97"/>
  <c r="JA873" i="97"/>
  <c r="IZ873" i="97"/>
  <c r="IY873" i="97"/>
  <c r="IX873" i="97"/>
  <c r="IW873" i="97"/>
  <c r="IV873" i="97"/>
  <c r="IU873" i="97"/>
  <c r="IT873" i="97"/>
  <c r="IS873" i="97"/>
  <c r="IR873" i="97"/>
  <c r="IQ873" i="97"/>
  <c r="IP873" i="97"/>
  <c r="IO873" i="97"/>
  <c r="IN873" i="97"/>
  <c r="IM873" i="97"/>
  <c r="IL873" i="97"/>
  <c r="IK873" i="97"/>
  <c r="IJ873" i="97"/>
  <c r="II873" i="97"/>
  <c r="IH873" i="97"/>
  <c r="IG873" i="97"/>
  <c r="IF873" i="97"/>
  <c r="IE873" i="97"/>
  <c r="ID873" i="97"/>
  <c r="IC873" i="97"/>
  <c r="IB873" i="97"/>
  <c r="IA873" i="97"/>
  <c r="HZ873" i="97"/>
  <c r="HY873" i="97"/>
  <c r="HX873" i="97"/>
  <c r="HW873" i="97"/>
  <c r="HV873" i="97"/>
  <c r="HU873" i="97"/>
  <c r="HT873" i="97"/>
  <c r="HS873" i="97"/>
  <c r="HR873" i="97"/>
  <c r="HQ873" i="97"/>
  <c r="HP873" i="97"/>
  <c r="HO873" i="97"/>
  <c r="HN873" i="97"/>
  <c r="HM873" i="97"/>
  <c r="HL873" i="97"/>
  <c r="HK873" i="97"/>
  <c r="HJ873" i="97"/>
  <c r="HI873" i="97"/>
  <c r="HH873" i="97"/>
  <c r="HG873" i="97"/>
  <c r="HF873" i="97"/>
  <c r="HE873" i="97"/>
  <c r="HD873" i="97"/>
  <c r="HC873" i="97"/>
  <c r="HB873" i="97"/>
  <c r="HA873" i="97"/>
  <c r="GZ873" i="97"/>
  <c r="GY873" i="97"/>
  <c r="GX873" i="97"/>
  <c r="GW873" i="97"/>
  <c r="GV873" i="97"/>
  <c r="GU873" i="97"/>
  <c r="GT873" i="97"/>
  <c r="GS873" i="97"/>
  <c r="GR873" i="97"/>
  <c r="GQ873" i="97"/>
  <c r="GP873" i="97"/>
  <c r="GO873" i="97"/>
  <c r="GN873" i="97"/>
  <c r="GM873" i="97"/>
  <c r="GL873" i="97"/>
  <c r="GK873" i="97"/>
  <c r="GJ873" i="97"/>
  <c r="GI873" i="97"/>
  <c r="GH873" i="97"/>
  <c r="GG873" i="97"/>
  <c r="GF873" i="97"/>
  <c r="GE873" i="97"/>
  <c r="GD873" i="97"/>
  <c r="GC873" i="97"/>
  <c r="GB873" i="97"/>
  <c r="GA873" i="97"/>
  <c r="FZ873" i="97"/>
  <c r="FY873" i="97"/>
  <c r="FX873" i="97"/>
  <c r="FW873" i="97"/>
  <c r="FV873" i="97"/>
  <c r="FU873" i="97"/>
  <c r="FT873" i="97"/>
  <c r="FS873" i="97"/>
  <c r="FR873" i="97"/>
  <c r="FQ873" i="97"/>
  <c r="FP873" i="97"/>
  <c r="FO873" i="97"/>
  <c r="FN873" i="97"/>
  <c r="FM873" i="97"/>
  <c r="FL873" i="97"/>
  <c r="FK873" i="97"/>
  <c r="FJ873" i="97"/>
  <c r="FI873" i="97"/>
  <c r="FH873" i="97"/>
  <c r="FG873" i="97"/>
  <c r="FF873" i="97"/>
  <c r="FE873" i="97"/>
  <c r="FD873" i="97"/>
  <c r="FC873" i="97"/>
  <c r="FB873" i="97"/>
  <c r="FA873" i="97"/>
  <c r="EZ873" i="97"/>
  <c r="EY873" i="97"/>
  <c r="EX873" i="97"/>
  <c r="EW873" i="97"/>
  <c r="EV873" i="97"/>
  <c r="EU873" i="97"/>
  <c r="ET873" i="97"/>
  <c r="ES873" i="97"/>
  <c r="ER873" i="97"/>
  <c r="EQ873" i="97"/>
  <c r="EP873" i="97"/>
  <c r="EO873" i="97"/>
  <c r="EN873" i="97"/>
  <c r="EM873" i="97"/>
  <c r="EL873" i="97"/>
  <c r="EK873" i="97"/>
  <c r="EJ873" i="97"/>
  <c r="EI873" i="97"/>
  <c r="EH873" i="97"/>
  <c r="EG873" i="97"/>
  <c r="EF873" i="97"/>
  <c r="EE873" i="97"/>
  <c r="ED873" i="97"/>
  <c r="EC873" i="97"/>
  <c r="EB873" i="97"/>
  <c r="EA873" i="97"/>
  <c r="DZ873" i="97"/>
  <c r="DY873" i="97"/>
  <c r="DX873" i="97"/>
  <c r="DW873" i="97"/>
  <c r="DV873" i="97"/>
  <c r="DU873" i="97"/>
  <c r="DT873" i="97"/>
  <c r="DS873" i="97"/>
  <c r="DR873" i="97"/>
  <c r="DQ873" i="97"/>
  <c r="DP873" i="97"/>
  <c r="DO873" i="97"/>
  <c r="DN873" i="97"/>
  <c r="DM873" i="97"/>
  <c r="DL873" i="97"/>
  <c r="DK873" i="97"/>
  <c r="DJ873" i="97"/>
  <c r="DI873" i="97"/>
  <c r="DH873" i="97"/>
  <c r="DG873" i="97"/>
  <c r="DF873" i="97"/>
  <c r="DE873" i="97"/>
  <c r="DD873" i="97"/>
  <c r="DC873" i="97"/>
  <c r="DB873" i="97"/>
  <c r="DA873" i="97"/>
  <c r="CZ873" i="97"/>
  <c r="CY873" i="97"/>
  <c r="CX873" i="97"/>
  <c r="CW873" i="97"/>
  <c r="CV873" i="97"/>
  <c r="CU873" i="97"/>
  <c r="CT873" i="97"/>
  <c r="CS873" i="97"/>
  <c r="CR873" i="97"/>
  <c r="CQ873" i="97"/>
  <c r="CP873" i="97"/>
  <c r="CO873" i="97"/>
  <c r="CN873" i="97"/>
  <c r="CM873" i="97"/>
  <c r="CL873" i="97"/>
  <c r="CK873" i="97"/>
  <c r="CJ873" i="97"/>
  <c r="CI873" i="97"/>
  <c r="CH873" i="97"/>
  <c r="CG873" i="97"/>
  <c r="CF873" i="97"/>
  <c r="CE873" i="97"/>
  <c r="CD873" i="97"/>
  <c r="CC873" i="97"/>
  <c r="CB873" i="97"/>
  <c r="CA873" i="97"/>
  <c r="BZ873" i="97"/>
  <c r="BY873" i="97"/>
  <c r="BX873" i="97"/>
  <c r="BW873" i="97"/>
  <c r="BV873" i="97"/>
  <c r="BU873" i="97"/>
  <c r="BT873" i="97"/>
  <c r="BS873" i="97"/>
  <c r="BR873" i="97"/>
  <c r="BQ873" i="97"/>
  <c r="BP873" i="97"/>
  <c r="BO873" i="97"/>
  <c r="BN873" i="97"/>
  <c r="BM873" i="97"/>
  <c r="BL873" i="97"/>
  <c r="BK873" i="97"/>
  <c r="BJ873" i="97"/>
  <c r="BI873" i="97"/>
  <c r="BH873" i="97"/>
  <c r="BG873" i="97"/>
  <c r="BF873" i="97"/>
  <c r="BE873" i="97"/>
  <c r="BD873" i="97"/>
  <c r="BC873" i="97"/>
  <c r="BB873" i="97"/>
  <c r="BA873" i="97"/>
  <c r="AZ873" i="97"/>
  <c r="AY873" i="97"/>
  <c r="AX873" i="97"/>
  <c r="AW873" i="97"/>
  <c r="AV873" i="97"/>
  <c r="AU873" i="97"/>
  <c r="AT873" i="97"/>
  <c r="AS873" i="97"/>
  <c r="AR873" i="97"/>
  <c r="AQ873" i="97"/>
  <c r="AP873" i="97"/>
  <c r="AO873" i="97"/>
  <c r="AN873" i="97"/>
  <c r="AM873" i="97"/>
  <c r="AL873" i="97"/>
  <c r="AK873" i="97"/>
  <c r="AJ873" i="97"/>
  <c r="AI873" i="97"/>
  <c r="AH873" i="97"/>
  <c r="AG873" i="97"/>
  <c r="AF873" i="97"/>
  <c r="AE873" i="97"/>
  <c r="AD873" i="97"/>
  <c r="AC873" i="97"/>
  <c r="AB873" i="97"/>
  <c r="AA873" i="97"/>
  <c r="Z873" i="97"/>
  <c r="Y873" i="97"/>
  <c r="X873" i="97"/>
  <c r="A873" i="97"/>
  <c r="MT872" i="97"/>
  <c r="MS872" i="97"/>
  <c r="MR872" i="97"/>
  <c r="MQ872" i="97"/>
  <c r="MP872" i="97"/>
  <c r="MO872" i="97"/>
  <c r="MN872" i="97"/>
  <c r="MM872" i="97"/>
  <c r="ML872" i="97"/>
  <c r="MK872" i="97"/>
  <c r="MJ872" i="97"/>
  <c r="MI872" i="97"/>
  <c r="MH872" i="97"/>
  <c r="MG872" i="97"/>
  <c r="MF872" i="97"/>
  <c r="ME872" i="97"/>
  <c r="MD872" i="97"/>
  <c r="MC872" i="97"/>
  <c r="MB872" i="97"/>
  <c r="MA872" i="97"/>
  <c r="LZ872" i="97"/>
  <c r="LY872" i="97"/>
  <c r="LX872" i="97"/>
  <c r="LW872" i="97"/>
  <c r="LV872" i="97"/>
  <c r="LU872" i="97"/>
  <c r="LT872" i="97"/>
  <c r="LS872" i="97"/>
  <c r="LR872" i="97"/>
  <c r="LQ872" i="97"/>
  <c r="LP872" i="97"/>
  <c r="LO872" i="97"/>
  <c r="LN872" i="97"/>
  <c r="LM872" i="97"/>
  <c r="LL872" i="97"/>
  <c r="LK872" i="97"/>
  <c r="LJ872" i="97"/>
  <c r="LI872" i="97"/>
  <c r="LH872" i="97"/>
  <c r="LG872" i="97"/>
  <c r="LF872" i="97"/>
  <c r="LE872" i="97"/>
  <c r="LD872" i="97"/>
  <c r="LC872" i="97"/>
  <c r="LB872" i="97"/>
  <c r="LA872" i="97"/>
  <c r="KZ872" i="97"/>
  <c r="KY872" i="97"/>
  <c r="KX872" i="97"/>
  <c r="KW872" i="97"/>
  <c r="KV872" i="97"/>
  <c r="KU872" i="97"/>
  <c r="KT872" i="97"/>
  <c r="KS872" i="97"/>
  <c r="KR872" i="97"/>
  <c r="KQ872" i="97"/>
  <c r="KP872" i="97"/>
  <c r="KO872" i="97"/>
  <c r="KN872" i="97"/>
  <c r="KM872" i="97"/>
  <c r="KL872" i="97"/>
  <c r="KK872" i="97"/>
  <c r="KJ872" i="97"/>
  <c r="KI872" i="97"/>
  <c r="KH872" i="97"/>
  <c r="KG872" i="97"/>
  <c r="KF872" i="97"/>
  <c r="KE872" i="97"/>
  <c r="KD872" i="97"/>
  <c r="KC872" i="97"/>
  <c r="KB872" i="97"/>
  <c r="KA872" i="97"/>
  <c r="JZ872" i="97"/>
  <c r="JY872" i="97"/>
  <c r="JX872" i="97"/>
  <c r="JW872" i="97"/>
  <c r="JV872" i="97"/>
  <c r="JU872" i="97"/>
  <c r="JT872" i="97"/>
  <c r="JS872" i="97"/>
  <c r="JR872" i="97"/>
  <c r="JQ872" i="97"/>
  <c r="JP872" i="97"/>
  <c r="JO872" i="97"/>
  <c r="JN872" i="97"/>
  <c r="JM872" i="97"/>
  <c r="JL872" i="97"/>
  <c r="JK872" i="97"/>
  <c r="JJ872" i="97"/>
  <c r="JI872" i="97"/>
  <c r="JH872" i="97"/>
  <c r="JG872" i="97"/>
  <c r="JF872" i="97"/>
  <c r="JE872" i="97"/>
  <c r="JD872" i="97"/>
  <c r="JC872" i="97"/>
  <c r="JB872" i="97"/>
  <c r="JA872" i="97"/>
  <c r="IZ872" i="97"/>
  <c r="IY872" i="97"/>
  <c r="IX872" i="97"/>
  <c r="IW872" i="97"/>
  <c r="IV872" i="97"/>
  <c r="IU872" i="97"/>
  <c r="IT872" i="97"/>
  <c r="IS872" i="97"/>
  <c r="IR872" i="97"/>
  <c r="IQ872" i="97"/>
  <c r="IP872" i="97"/>
  <c r="IO872" i="97"/>
  <c r="IN872" i="97"/>
  <c r="IM872" i="97"/>
  <c r="IL872" i="97"/>
  <c r="IK872" i="97"/>
  <c r="IJ872" i="97"/>
  <c r="II872" i="97"/>
  <c r="IH872" i="97"/>
  <c r="IG872" i="97"/>
  <c r="IF872" i="97"/>
  <c r="IE872" i="97"/>
  <c r="ID872" i="97"/>
  <c r="IC872" i="97"/>
  <c r="IB872" i="97"/>
  <c r="IA872" i="97"/>
  <c r="HZ872" i="97"/>
  <c r="HY872" i="97"/>
  <c r="HX872" i="97"/>
  <c r="HW872" i="97"/>
  <c r="HV872" i="97"/>
  <c r="HU872" i="97"/>
  <c r="HT872" i="97"/>
  <c r="HS872" i="97"/>
  <c r="HR872" i="97"/>
  <c r="HQ872" i="97"/>
  <c r="HP872" i="97"/>
  <c r="HO872" i="97"/>
  <c r="HN872" i="97"/>
  <c r="HM872" i="97"/>
  <c r="HL872" i="97"/>
  <c r="HK872" i="97"/>
  <c r="HJ872" i="97"/>
  <c r="HI872" i="97"/>
  <c r="HH872" i="97"/>
  <c r="HG872" i="97"/>
  <c r="HF872" i="97"/>
  <c r="HE872" i="97"/>
  <c r="HD872" i="97"/>
  <c r="HC872" i="97"/>
  <c r="HB872" i="97"/>
  <c r="HA872" i="97"/>
  <c r="GZ872" i="97"/>
  <c r="GY872" i="97"/>
  <c r="GX872" i="97"/>
  <c r="GW872" i="97"/>
  <c r="GV872" i="97"/>
  <c r="GU872" i="97"/>
  <c r="GT872" i="97"/>
  <c r="GS872" i="97"/>
  <c r="GR872" i="97"/>
  <c r="GQ872" i="97"/>
  <c r="GP872" i="97"/>
  <c r="GO872" i="97"/>
  <c r="GN872" i="97"/>
  <c r="GM872" i="97"/>
  <c r="GL872" i="97"/>
  <c r="GK872" i="97"/>
  <c r="GJ872" i="97"/>
  <c r="GI872" i="97"/>
  <c r="GH872" i="97"/>
  <c r="GG872" i="97"/>
  <c r="GF872" i="97"/>
  <c r="GE872" i="97"/>
  <c r="GD872" i="97"/>
  <c r="GC872" i="97"/>
  <c r="GB872" i="97"/>
  <c r="GA872" i="97"/>
  <c r="FZ872" i="97"/>
  <c r="FY872" i="97"/>
  <c r="FX872" i="97"/>
  <c r="FW872" i="97"/>
  <c r="FV872" i="97"/>
  <c r="FU872" i="97"/>
  <c r="FT872" i="97"/>
  <c r="FS872" i="97"/>
  <c r="FR872" i="97"/>
  <c r="FQ872" i="97"/>
  <c r="FP872" i="97"/>
  <c r="FO872" i="97"/>
  <c r="FN872" i="97"/>
  <c r="FM872" i="97"/>
  <c r="FL872" i="97"/>
  <c r="FK872" i="97"/>
  <c r="FJ872" i="97"/>
  <c r="FI872" i="97"/>
  <c r="FH872" i="97"/>
  <c r="FG872" i="97"/>
  <c r="FF872" i="97"/>
  <c r="FE872" i="97"/>
  <c r="FD872" i="97"/>
  <c r="FC872" i="97"/>
  <c r="FB872" i="97"/>
  <c r="FA872" i="97"/>
  <c r="EZ872" i="97"/>
  <c r="EY872" i="97"/>
  <c r="EX872" i="97"/>
  <c r="EW872" i="97"/>
  <c r="EV872" i="97"/>
  <c r="EU872" i="97"/>
  <c r="ET872" i="97"/>
  <c r="ES872" i="97"/>
  <c r="ER872" i="97"/>
  <c r="EQ872" i="97"/>
  <c r="EP872" i="97"/>
  <c r="EO872" i="97"/>
  <c r="EN872" i="97"/>
  <c r="EM872" i="97"/>
  <c r="EL872" i="97"/>
  <c r="EK872" i="97"/>
  <c r="EJ872" i="97"/>
  <c r="EI872" i="97"/>
  <c r="EH872" i="97"/>
  <c r="EG872" i="97"/>
  <c r="EF872" i="97"/>
  <c r="EE872" i="97"/>
  <c r="ED872" i="97"/>
  <c r="EC872" i="97"/>
  <c r="EB872" i="97"/>
  <c r="EA872" i="97"/>
  <c r="DZ872" i="97"/>
  <c r="DY872" i="97"/>
  <c r="DX872" i="97"/>
  <c r="DW872" i="97"/>
  <c r="DV872" i="97"/>
  <c r="DU872" i="97"/>
  <c r="DT872" i="97"/>
  <c r="DS872" i="97"/>
  <c r="DR872" i="97"/>
  <c r="DQ872" i="97"/>
  <c r="DP872" i="97"/>
  <c r="DO872" i="97"/>
  <c r="DN872" i="97"/>
  <c r="DM872" i="97"/>
  <c r="DL872" i="97"/>
  <c r="DK872" i="97"/>
  <c r="DJ872" i="97"/>
  <c r="DI872" i="97"/>
  <c r="DH872" i="97"/>
  <c r="DG872" i="97"/>
  <c r="DF872" i="97"/>
  <c r="DE872" i="97"/>
  <c r="DD872" i="97"/>
  <c r="DC872" i="97"/>
  <c r="DB872" i="97"/>
  <c r="DA872" i="97"/>
  <c r="CZ872" i="97"/>
  <c r="CY872" i="97"/>
  <c r="CX872" i="97"/>
  <c r="CW872" i="97"/>
  <c r="CV872" i="97"/>
  <c r="CU872" i="97"/>
  <c r="CT872" i="97"/>
  <c r="CS872" i="97"/>
  <c r="CR872" i="97"/>
  <c r="CQ872" i="97"/>
  <c r="CP872" i="97"/>
  <c r="CO872" i="97"/>
  <c r="CN872" i="97"/>
  <c r="CM872" i="97"/>
  <c r="CL872" i="97"/>
  <c r="CK872" i="97"/>
  <c r="CJ872" i="97"/>
  <c r="CI872" i="97"/>
  <c r="CH872" i="97"/>
  <c r="CG872" i="97"/>
  <c r="CF872" i="97"/>
  <c r="CE872" i="97"/>
  <c r="CD872" i="97"/>
  <c r="CC872" i="97"/>
  <c r="CB872" i="97"/>
  <c r="CA872" i="97"/>
  <c r="BZ872" i="97"/>
  <c r="BY872" i="97"/>
  <c r="BX872" i="97"/>
  <c r="BW872" i="97"/>
  <c r="BV872" i="97"/>
  <c r="BU872" i="97"/>
  <c r="BT872" i="97"/>
  <c r="BS872" i="97"/>
  <c r="BR872" i="97"/>
  <c r="BQ872" i="97"/>
  <c r="BP872" i="97"/>
  <c r="BO872" i="97"/>
  <c r="BN872" i="97"/>
  <c r="BM872" i="97"/>
  <c r="BL872" i="97"/>
  <c r="BK872" i="97"/>
  <c r="BJ872" i="97"/>
  <c r="BI872" i="97"/>
  <c r="BH872" i="97"/>
  <c r="BG872" i="97"/>
  <c r="BF872" i="97"/>
  <c r="BE872" i="97"/>
  <c r="BD872" i="97"/>
  <c r="BC872" i="97"/>
  <c r="BB872" i="97"/>
  <c r="BA872" i="97"/>
  <c r="AZ872" i="97"/>
  <c r="AY872" i="97"/>
  <c r="AX872" i="97"/>
  <c r="AW872" i="97"/>
  <c r="AV872" i="97"/>
  <c r="AU872" i="97"/>
  <c r="AT872" i="97"/>
  <c r="AS872" i="97"/>
  <c r="AR872" i="97"/>
  <c r="AQ872" i="97"/>
  <c r="AP872" i="97"/>
  <c r="AO872" i="97"/>
  <c r="AN872" i="97"/>
  <c r="AM872" i="97"/>
  <c r="AL872" i="97"/>
  <c r="AK872" i="97"/>
  <c r="AJ872" i="97"/>
  <c r="AI872" i="97"/>
  <c r="AH872" i="97"/>
  <c r="AG872" i="97"/>
  <c r="AF872" i="97"/>
  <c r="AE872" i="97"/>
  <c r="AD872" i="97"/>
  <c r="AC872" i="97"/>
  <c r="AB872" i="97"/>
  <c r="AA872" i="97"/>
  <c r="Z872" i="97"/>
  <c r="Y872" i="97"/>
  <c r="X872" i="97"/>
  <c r="A872" i="97"/>
  <c r="MT871" i="97"/>
  <c r="MS871" i="97"/>
  <c r="MR871" i="97"/>
  <c r="MQ871" i="97"/>
  <c r="MP871" i="97"/>
  <c r="MO871" i="97"/>
  <c r="MN871" i="97"/>
  <c r="MM871" i="97"/>
  <c r="ML871" i="97"/>
  <c r="MK871" i="97"/>
  <c r="MJ871" i="97"/>
  <c r="MI871" i="97"/>
  <c r="MH871" i="97"/>
  <c r="MG871" i="97"/>
  <c r="MF871" i="97"/>
  <c r="ME871" i="97"/>
  <c r="MD871" i="97"/>
  <c r="MC871" i="97"/>
  <c r="MB871" i="97"/>
  <c r="MA871" i="97"/>
  <c r="LZ871" i="97"/>
  <c r="LY871" i="97"/>
  <c r="LX871" i="97"/>
  <c r="LW871" i="97"/>
  <c r="LV871" i="97"/>
  <c r="LU871" i="97"/>
  <c r="LT871" i="97"/>
  <c r="LS871" i="97"/>
  <c r="LR871" i="97"/>
  <c r="LQ871" i="97"/>
  <c r="LP871" i="97"/>
  <c r="LO871" i="97"/>
  <c r="LN871" i="97"/>
  <c r="LM871" i="97"/>
  <c r="LL871" i="97"/>
  <c r="LK871" i="97"/>
  <c r="LJ871" i="97"/>
  <c r="LI871" i="97"/>
  <c r="LH871" i="97"/>
  <c r="LG871" i="97"/>
  <c r="LF871" i="97"/>
  <c r="LE871" i="97"/>
  <c r="LD871" i="97"/>
  <c r="LC871" i="97"/>
  <c r="LB871" i="97"/>
  <c r="LA871" i="97"/>
  <c r="KZ871" i="97"/>
  <c r="KY871" i="97"/>
  <c r="KX871" i="97"/>
  <c r="KW871" i="97"/>
  <c r="KV871" i="97"/>
  <c r="KU871" i="97"/>
  <c r="KT871" i="97"/>
  <c r="KS871" i="97"/>
  <c r="KR871" i="97"/>
  <c r="KQ871" i="97"/>
  <c r="KP871" i="97"/>
  <c r="KO871" i="97"/>
  <c r="KN871" i="97"/>
  <c r="KM871" i="97"/>
  <c r="KL871" i="97"/>
  <c r="KK871" i="97"/>
  <c r="KJ871" i="97"/>
  <c r="KI871" i="97"/>
  <c r="KH871" i="97"/>
  <c r="KG871" i="97"/>
  <c r="KF871" i="97"/>
  <c r="KE871" i="97"/>
  <c r="KD871" i="97"/>
  <c r="KC871" i="97"/>
  <c r="KB871" i="97"/>
  <c r="KA871" i="97"/>
  <c r="JZ871" i="97"/>
  <c r="JY871" i="97"/>
  <c r="JX871" i="97"/>
  <c r="JW871" i="97"/>
  <c r="JV871" i="97"/>
  <c r="JU871" i="97"/>
  <c r="JT871" i="97"/>
  <c r="JS871" i="97"/>
  <c r="JR871" i="97"/>
  <c r="JQ871" i="97"/>
  <c r="JP871" i="97"/>
  <c r="JO871" i="97"/>
  <c r="JN871" i="97"/>
  <c r="JM871" i="97"/>
  <c r="JL871" i="97"/>
  <c r="JK871" i="97"/>
  <c r="JJ871" i="97"/>
  <c r="JI871" i="97"/>
  <c r="JH871" i="97"/>
  <c r="JG871" i="97"/>
  <c r="JF871" i="97"/>
  <c r="JE871" i="97"/>
  <c r="JD871" i="97"/>
  <c r="JC871" i="97"/>
  <c r="JB871" i="97"/>
  <c r="JA871" i="97"/>
  <c r="IZ871" i="97"/>
  <c r="IY871" i="97"/>
  <c r="IX871" i="97"/>
  <c r="IW871" i="97"/>
  <c r="IV871" i="97"/>
  <c r="IU871" i="97"/>
  <c r="IT871" i="97"/>
  <c r="IS871" i="97"/>
  <c r="IR871" i="97"/>
  <c r="IQ871" i="97"/>
  <c r="IP871" i="97"/>
  <c r="IO871" i="97"/>
  <c r="IN871" i="97"/>
  <c r="IM871" i="97"/>
  <c r="IL871" i="97"/>
  <c r="IK871" i="97"/>
  <c r="IJ871" i="97"/>
  <c r="II871" i="97"/>
  <c r="IH871" i="97"/>
  <c r="IG871" i="97"/>
  <c r="IF871" i="97"/>
  <c r="IE871" i="97"/>
  <c r="ID871" i="97"/>
  <c r="IC871" i="97"/>
  <c r="IB871" i="97"/>
  <c r="IA871" i="97"/>
  <c r="HZ871" i="97"/>
  <c r="HY871" i="97"/>
  <c r="HX871" i="97"/>
  <c r="HW871" i="97"/>
  <c r="HV871" i="97"/>
  <c r="HU871" i="97"/>
  <c r="HT871" i="97"/>
  <c r="HS871" i="97"/>
  <c r="HR871" i="97"/>
  <c r="HQ871" i="97"/>
  <c r="HP871" i="97"/>
  <c r="HO871" i="97"/>
  <c r="HN871" i="97"/>
  <c r="HM871" i="97"/>
  <c r="HL871" i="97"/>
  <c r="HK871" i="97"/>
  <c r="HJ871" i="97"/>
  <c r="HI871" i="97"/>
  <c r="HH871" i="97"/>
  <c r="HG871" i="97"/>
  <c r="HF871" i="97"/>
  <c r="HE871" i="97"/>
  <c r="HD871" i="97"/>
  <c r="HC871" i="97"/>
  <c r="HB871" i="97"/>
  <c r="HA871" i="97"/>
  <c r="GZ871" i="97"/>
  <c r="GY871" i="97"/>
  <c r="GX871" i="97"/>
  <c r="GW871" i="97"/>
  <c r="GV871" i="97"/>
  <c r="GU871" i="97"/>
  <c r="GT871" i="97"/>
  <c r="GS871" i="97"/>
  <c r="GR871" i="97"/>
  <c r="GQ871" i="97"/>
  <c r="GP871" i="97"/>
  <c r="GO871" i="97"/>
  <c r="GN871" i="97"/>
  <c r="GM871" i="97"/>
  <c r="GL871" i="97"/>
  <c r="GK871" i="97"/>
  <c r="GJ871" i="97"/>
  <c r="GI871" i="97"/>
  <c r="GH871" i="97"/>
  <c r="GG871" i="97"/>
  <c r="GF871" i="97"/>
  <c r="GE871" i="97"/>
  <c r="GD871" i="97"/>
  <c r="GC871" i="97"/>
  <c r="GB871" i="97"/>
  <c r="GA871" i="97"/>
  <c r="FZ871" i="97"/>
  <c r="FY871" i="97"/>
  <c r="FX871" i="97"/>
  <c r="FW871" i="97"/>
  <c r="FV871" i="97"/>
  <c r="FU871" i="97"/>
  <c r="FT871" i="97"/>
  <c r="FS871" i="97"/>
  <c r="FR871" i="97"/>
  <c r="FQ871" i="97"/>
  <c r="FP871" i="97"/>
  <c r="FO871" i="97"/>
  <c r="FN871" i="97"/>
  <c r="FM871" i="97"/>
  <c r="FL871" i="97"/>
  <c r="FK871" i="97"/>
  <c r="FJ871" i="97"/>
  <c r="FI871" i="97"/>
  <c r="FH871" i="97"/>
  <c r="FG871" i="97"/>
  <c r="FF871" i="97"/>
  <c r="FE871" i="97"/>
  <c r="FD871" i="97"/>
  <c r="FC871" i="97"/>
  <c r="FB871" i="97"/>
  <c r="FA871" i="97"/>
  <c r="EZ871" i="97"/>
  <c r="EY871" i="97"/>
  <c r="EX871" i="97"/>
  <c r="EW871" i="97"/>
  <c r="EV871" i="97"/>
  <c r="EU871" i="97"/>
  <c r="ET871" i="97"/>
  <c r="ES871" i="97"/>
  <c r="ER871" i="97"/>
  <c r="EQ871" i="97"/>
  <c r="EP871" i="97"/>
  <c r="EO871" i="97"/>
  <c r="EN871" i="97"/>
  <c r="EM871" i="97"/>
  <c r="EL871" i="97"/>
  <c r="EK871" i="97"/>
  <c r="EJ871" i="97"/>
  <c r="EI871" i="97"/>
  <c r="EH871" i="97"/>
  <c r="EG871" i="97"/>
  <c r="EF871" i="97"/>
  <c r="EE871" i="97"/>
  <c r="ED871" i="97"/>
  <c r="EC871" i="97"/>
  <c r="EB871" i="97"/>
  <c r="EA871" i="97"/>
  <c r="DZ871" i="97"/>
  <c r="DY871" i="97"/>
  <c r="DX871" i="97"/>
  <c r="DW871" i="97"/>
  <c r="DV871" i="97"/>
  <c r="DU871" i="97"/>
  <c r="DT871" i="97"/>
  <c r="DS871" i="97"/>
  <c r="DR871" i="97"/>
  <c r="DQ871" i="97"/>
  <c r="DP871" i="97"/>
  <c r="DO871" i="97"/>
  <c r="DN871" i="97"/>
  <c r="DM871" i="97"/>
  <c r="DL871" i="97"/>
  <c r="DK871" i="97"/>
  <c r="DJ871" i="97"/>
  <c r="DI871" i="97"/>
  <c r="DH871" i="97"/>
  <c r="DG871" i="97"/>
  <c r="DF871" i="97"/>
  <c r="DE871" i="97"/>
  <c r="DD871" i="97"/>
  <c r="DC871" i="97"/>
  <c r="DB871" i="97"/>
  <c r="DA871" i="97"/>
  <c r="CZ871" i="97"/>
  <c r="CY871" i="97"/>
  <c r="CX871" i="97"/>
  <c r="CW871" i="97"/>
  <c r="CV871" i="97"/>
  <c r="CU871" i="97"/>
  <c r="CT871" i="97"/>
  <c r="CS871" i="97"/>
  <c r="CR871" i="97"/>
  <c r="CQ871" i="97"/>
  <c r="CP871" i="97"/>
  <c r="CO871" i="97"/>
  <c r="CN871" i="97"/>
  <c r="CM871" i="97"/>
  <c r="CL871" i="97"/>
  <c r="CK871" i="97"/>
  <c r="CJ871" i="97"/>
  <c r="CI871" i="97"/>
  <c r="CH871" i="97"/>
  <c r="CG871" i="97"/>
  <c r="CF871" i="97"/>
  <c r="CE871" i="97"/>
  <c r="CD871" i="97"/>
  <c r="CC871" i="97"/>
  <c r="CB871" i="97"/>
  <c r="CA871" i="97"/>
  <c r="BZ871" i="97"/>
  <c r="BY871" i="97"/>
  <c r="BX871" i="97"/>
  <c r="BW871" i="97"/>
  <c r="BV871" i="97"/>
  <c r="BU871" i="97"/>
  <c r="BT871" i="97"/>
  <c r="BS871" i="97"/>
  <c r="BR871" i="97"/>
  <c r="BQ871" i="97"/>
  <c r="BP871" i="97"/>
  <c r="BO871" i="97"/>
  <c r="BN871" i="97"/>
  <c r="BM871" i="97"/>
  <c r="BL871" i="97"/>
  <c r="BK871" i="97"/>
  <c r="BJ871" i="97"/>
  <c r="BI871" i="97"/>
  <c r="BH871" i="97"/>
  <c r="BG871" i="97"/>
  <c r="BF871" i="97"/>
  <c r="BE871" i="97"/>
  <c r="BD871" i="97"/>
  <c r="BC871" i="97"/>
  <c r="BB871" i="97"/>
  <c r="BA871" i="97"/>
  <c r="AZ871" i="97"/>
  <c r="AY871" i="97"/>
  <c r="AX871" i="97"/>
  <c r="AW871" i="97"/>
  <c r="AV871" i="97"/>
  <c r="AU871" i="97"/>
  <c r="AT871" i="97"/>
  <c r="AS871" i="97"/>
  <c r="AR871" i="97"/>
  <c r="AQ871" i="97"/>
  <c r="AP871" i="97"/>
  <c r="AO871" i="97"/>
  <c r="AN871" i="97"/>
  <c r="AM871" i="97"/>
  <c r="AL871" i="97"/>
  <c r="AK871" i="97"/>
  <c r="AJ871" i="97"/>
  <c r="AI871" i="97"/>
  <c r="AH871" i="97"/>
  <c r="AG871" i="97"/>
  <c r="AF871" i="97"/>
  <c r="AE871" i="97"/>
  <c r="AD871" i="97"/>
  <c r="AC871" i="97"/>
  <c r="AB871" i="97"/>
  <c r="AA871" i="97"/>
  <c r="Z871" i="97"/>
  <c r="Y871" i="97"/>
  <c r="X871" i="97"/>
  <c r="A871" i="97"/>
  <c r="MT870" i="97"/>
  <c r="MS870" i="97"/>
  <c r="MR870" i="97"/>
  <c r="MQ870" i="97"/>
  <c r="MP870" i="97"/>
  <c r="MO870" i="97"/>
  <c r="MN870" i="97"/>
  <c r="MM870" i="97"/>
  <c r="ML870" i="97"/>
  <c r="MK870" i="97"/>
  <c r="MJ870" i="97"/>
  <c r="MI870" i="97"/>
  <c r="MH870" i="97"/>
  <c r="MG870" i="97"/>
  <c r="MF870" i="97"/>
  <c r="ME870" i="97"/>
  <c r="MD870" i="97"/>
  <c r="MC870" i="97"/>
  <c r="MB870" i="97"/>
  <c r="MA870" i="97"/>
  <c r="LZ870" i="97"/>
  <c r="LY870" i="97"/>
  <c r="LX870" i="97"/>
  <c r="LW870" i="97"/>
  <c r="LV870" i="97"/>
  <c r="LU870" i="97"/>
  <c r="LT870" i="97"/>
  <c r="LS870" i="97"/>
  <c r="LR870" i="97"/>
  <c r="LQ870" i="97"/>
  <c r="LP870" i="97"/>
  <c r="LO870" i="97"/>
  <c r="LN870" i="97"/>
  <c r="LM870" i="97"/>
  <c r="LL870" i="97"/>
  <c r="LK870" i="97"/>
  <c r="LJ870" i="97"/>
  <c r="LI870" i="97"/>
  <c r="LH870" i="97"/>
  <c r="LG870" i="97"/>
  <c r="LF870" i="97"/>
  <c r="LE870" i="97"/>
  <c r="LD870" i="97"/>
  <c r="LC870" i="97"/>
  <c r="LB870" i="97"/>
  <c r="LA870" i="97"/>
  <c r="KZ870" i="97"/>
  <c r="KY870" i="97"/>
  <c r="KX870" i="97"/>
  <c r="KW870" i="97"/>
  <c r="KV870" i="97"/>
  <c r="KU870" i="97"/>
  <c r="KT870" i="97"/>
  <c r="KS870" i="97"/>
  <c r="KR870" i="97"/>
  <c r="KQ870" i="97"/>
  <c r="KP870" i="97"/>
  <c r="KO870" i="97"/>
  <c r="KN870" i="97"/>
  <c r="KM870" i="97"/>
  <c r="KL870" i="97"/>
  <c r="KK870" i="97"/>
  <c r="KJ870" i="97"/>
  <c r="KI870" i="97"/>
  <c r="KH870" i="97"/>
  <c r="KG870" i="97"/>
  <c r="KF870" i="97"/>
  <c r="KE870" i="97"/>
  <c r="KD870" i="97"/>
  <c r="KC870" i="97"/>
  <c r="KB870" i="97"/>
  <c r="KA870" i="97"/>
  <c r="JZ870" i="97"/>
  <c r="JY870" i="97"/>
  <c r="JX870" i="97"/>
  <c r="JW870" i="97"/>
  <c r="JV870" i="97"/>
  <c r="JU870" i="97"/>
  <c r="JT870" i="97"/>
  <c r="JS870" i="97"/>
  <c r="JR870" i="97"/>
  <c r="JQ870" i="97"/>
  <c r="JP870" i="97"/>
  <c r="JO870" i="97"/>
  <c r="JN870" i="97"/>
  <c r="JM870" i="97"/>
  <c r="JL870" i="97"/>
  <c r="JK870" i="97"/>
  <c r="JJ870" i="97"/>
  <c r="JI870" i="97"/>
  <c r="JH870" i="97"/>
  <c r="JG870" i="97"/>
  <c r="JF870" i="97"/>
  <c r="JE870" i="97"/>
  <c r="JD870" i="97"/>
  <c r="JC870" i="97"/>
  <c r="JB870" i="97"/>
  <c r="JA870" i="97"/>
  <c r="IZ870" i="97"/>
  <c r="IY870" i="97"/>
  <c r="IX870" i="97"/>
  <c r="IW870" i="97"/>
  <c r="IV870" i="97"/>
  <c r="IU870" i="97"/>
  <c r="IT870" i="97"/>
  <c r="IS870" i="97"/>
  <c r="IR870" i="97"/>
  <c r="IQ870" i="97"/>
  <c r="IP870" i="97"/>
  <c r="IO870" i="97"/>
  <c r="IN870" i="97"/>
  <c r="IM870" i="97"/>
  <c r="IL870" i="97"/>
  <c r="IK870" i="97"/>
  <c r="IJ870" i="97"/>
  <c r="II870" i="97"/>
  <c r="IH870" i="97"/>
  <c r="IG870" i="97"/>
  <c r="IF870" i="97"/>
  <c r="IE870" i="97"/>
  <c r="ID870" i="97"/>
  <c r="IC870" i="97"/>
  <c r="IB870" i="97"/>
  <c r="IA870" i="97"/>
  <c r="HZ870" i="97"/>
  <c r="HY870" i="97"/>
  <c r="HX870" i="97"/>
  <c r="HW870" i="97"/>
  <c r="HV870" i="97"/>
  <c r="HU870" i="97"/>
  <c r="HT870" i="97"/>
  <c r="HS870" i="97"/>
  <c r="HR870" i="97"/>
  <c r="HQ870" i="97"/>
  <c r="HP870" i="97"/>
  <c r="HO870" i="97"/>
  <c r="HN870" i="97"/>
  <c r="HM870" i="97"/>
  <c r="HL870" i="97"/>
  <c r="HK870" i="97"/>
  <c r="HJ870" i="97"/>
  <c r="HI870" i="97"/>
  <c r="HH870" i="97"/>
  <c r="HG870" i="97"/>
  <c r="HF870" i="97"/>
  <c r="HE870" i="97"/>
  <c r="HD870" i="97"/>
  <c r="HC870" i="97"/>
  <c r="HB870" i="97"/>
  <c r="HA870" i="97"/>
  <c r="GZ870" i="97"/>
  <c r="GY870" i="97"/>
  <c r="GX870" i="97"/>
  <c r="GW870" i="97"/>
  <c r="GV870" i="97"/>
  <c r="GU870" i="97"/>
  <c r="GT870" i="97"/>
  <c r="GS870" i="97"/>
  <c r="GR870" i="97"/>
  <c r="GQ870" i="97"/>
  <c r="GP870" i="97"/>
  <c r="GO870" i="97"/>
  <c r="GN870" i="97"/>
  <c r="GM870" i="97"/>
  <c r="GL870" i="97"/>
  <c r="GK870" i="97"/>
  <c r="GJ870" i="97"/>
  <c r="GI870" i="97"/>
  <c r="GH870" i="97"/>
  <c r="GG870" i="97"/>
  <c r="GF870" i="97"/>
  <c r="GE870" i="97"/>
  <c r="GD870" i="97"/>
  <c r="GC870" i="97"/>
  <c r="GB870" i="97"/>
  <c r="GA870" i="97"/>
  <c r="FZ870" i="97"/>
  <c r="FY870" i="97"/>
  <c r="FX870" i="97"/>
  <c r="FW870" i="97"/>
  <c r="FV870" i="97"/>
  <c r="FU870" i="97"/>
  <c r="FT870" i="97"/>
  <c r="FS870" i="97"/>
  <c r="FR870" i="97"/>
  <c r="FQ870" i="97"/>
  <c r="FP870" i="97"/>
  <c r="FO870" i="97"/>
  <c r="FN870" i="97"/>
  <c r="FM870" i="97"/>
  <c r="FL870" i="97"/>
  <c r="FK870" i="97"/>
  <c r="FJ870" i="97"/>
  <c r="FI870" i="97"/>
  <c r="FH870" i="97"/>
  <c r="FG870" i="97"/>
  <c r="FF870" i="97"/>
  <c r="FE870" i="97"/>
  <c r="FD870" i="97"/>
  <c r="FC870" i="97"/>
  <c r="FB870" i="97"/>
  <c r="FA870" i="97"/>
  <c r="EZ870" i="97"/>
  <c r="EY870" i="97"/>
  <c r="EX870" i="97"/>
  <c r="EW870" i="97"/>
  <c r="EV870" i="97"/>
  <c r="EU870" i="97"/>
  <c r="ET870" i="97"/>
  <c r="ES870" i="97"/>
  <c r="ER870" i="97"/>
  <c r="EQ870" i="97"/>
  <c r="EP870" i="97"/>
  <c r="EO870" i="97"/>
  <c r="EN870" i="97"/>
  <c r="EM870" i="97"/>
  <c r="EL870" i="97"/>
  <c r="EK870" i="97"/>
  <c r="EJ870" i="97"/>
  <c r="EI870" i="97"/>
  <c r="EH870" i="97"/>
  <c r="EG870" i="97"/>
  <c r="EF870" i="97"/>
  <c r="EE870" i="97"/>
  <c r="ED870" i="97"/>
  <c r="EC870" i="97"/>
  <c r="EB870" i="97"/>
  <c r="EA870" i="97"/>
  <c r="DZ870" i="97"/>
  <c r="DY870" i="97"/>
  <c r="DX870" i="97"/>
  <c r="DW870" i="97"/>
  <c r="DV870" i="97"/>
  <c r="DU870" i="97"/>
  <c r="DT870" i="97"/>
  <c r="DS870" i="97"/>
  <c r="DR870" i="97"/>
  <c r="DQ870" i="97"/>
  <c r="DP870" i="97"/>
  <c r="DO870" i="97"/>
  <c r="DN870" i="97"/>
  <c r="DM870" i="97"/>
  <c r="DL870" i="97"/>
  <c r="DK870" i="97"/>
  <c r="DJ870" i="97"/>
  <c r="DI870" i="97"/>
  <c r="DH870" i="97"/>
  <c r="DG870" i="97"/>
  <c r="DF870" i="97"/>
  <c r="DE870" i="97"/>
  <c r="DD870" i="97"/>
  <c r="DC870" i="97"/>
  <c r="DB870" i="97"/>
  <c r="DA870" i="97"/>
  <c r="CZ870" i="97"/>
  <c r="CY870" i="97"/>
  <c r="CX870" i="97"/>
  <c r="CW870" i="97"/>
  <c r="CV870" i="97"/>
  <c r="CU870" i="97"/>
  <c r="CT870" i="97"/>
  <c r="CS870" i="97"/>
  <c r="CR870" i="97"/>
  <c r="CQ870" i="97"/>
  <c r="CP870" i="97"/>
  <c r="CO870" i="97"/>
  <c r="CN870" i="97"/>
  <c r="CM870" i="97"/>
  <c r="CL870" i="97"/>
  <c r="CK870" i="97"/>
  <c r="CJ870" i="97"/>
  <c r="CI870" i="97"/>
  <c r="CH870" i="97"/>
  <c r="CG870" i="97"/>
  <c r="CF870" i="97"/>
  <c r="CE870" i="97"/>
  <c r="CD870" i="97"/>
  <c r="CC870" i="97"/>
  <c r="CB870" i="97"/>
  <c r="CA870" i="97"/>
  <c r="BZ870" i="97"/>
  <c r="BY870" i="97"/>
  <c r="BX870" i="97"/>
  <c r="BW870" i="97"/>
  <c r="BV870" i="97"/>
  <c r="BU870" i="97"/>
  <c r="BT870" i="97"/>
  <c r="BS870" i="97"/>
  <c r="BR870" i="97"/>
  <c r="BQ870" i="97"/>
  <c r="BP870" i="97"/>
  <c r="BO870" i="97"/>
  <c r="BN870" i="97"/>
  <c r="BM870" i="97"/>
  <c r="BL870" i="97"/>
  <c r="BK870" i="97"/>
  <c r="BJ870" i="97"/>
  <c r="BI870" i="97"/>
  <c r="BH870" i="97"/>
  <c r="BG870" i="97"/>
  <c r="BF870" i="97"/>
  <c r="BE870" i="97"/>
  <c r="BD870" i="97"/>
  <c r="BC870" i="97"/>
  <c r="BB870" i="97"/>
  <c r="BA870" i="97"/>
  <c r="AZ870" i="97"/>
  <c r="AY870" i="97"/>
  <c r="AX870" i="97"/>
  <c r="AW870" i="97"/>
  <c r="AV870" i="97"/>
  <c r="AU870" i="97"/>
  <c r="AT870" i="97"/>
  <c r="AS870" i="97"/>
  <c r="AR870" i="97"/>
  <c r="AQ870" i="97"/>
  <c r="AP870" i="97"/>
  <c r="AO870" i="97"/>
  <c r="AN870" i="97"/>
  <c r="AM870" i="97"/>
  <c r="AL870" i="97"/>
  <c r="AK870" i="97"/>
  <c r="AJ870" i="97"/>
  <c r="AI870" i="97"/>
  <c r="AH870" i="97"/>
  <c r="AG870" i="97"/>
  <c r="AF870" i="97"/>
  <c r="AE870" i="97"/>
  <c r="AD870" i="97"/>
  <c r="AC870" i="97"/>
  <c r="AB870" i="97"/>
  <c r="AA870" i="97"/>
  <c r="Z870" i="97"/>
  <c r="Y870" i="97"/>
  <c r="X870" i="97"/>
  <c r="A870" i="97"/>
  <c r="MT869" i="97"/>
  <c r="MS869" i="97"/>
  <c r="MR869" i="97"/>
  <c r="MQ869" i="97"/>
  <c r="MP869" i="97"/>
  <c r="MO869" i="97"/>
  <c r="MN869" i="97"/>
  <c r="MM869" i="97"/>
  <c r="ML869" i="97"/>
  <c r="MK869" i="97"/>
  <c r="MJ869" i="97"/>
  <c r="MI869" i="97"/>
  <c r="MH869" i="97"/>
  <c r="MG869" i="97"/>
  <c r="MF869" i="97"/>
  <c r="ME869" i="97"/>
  <c r="MD869" i="97"/>
  <c r="MC869" i="97"/>
  <c r="MB869" i="97"/>
  <c r="MA869" i="97"/>
  <c r="LZ869" i="97"/>
  <c r="LY869" i="97"/>
  <c r="LX869" i="97"/>
  <c r="LW869" i="97"/>
  <c r="LV869" i="97"/>
  <c r="LU869" i="97"/>
  <c r="LT869" i="97"/>
  <c r="LS869" i="97"/>
  <c r="LR869" i="97"/>
  <c r="LQ869" i="97"/>
  <c r="LP869" i="97"/>
  <c r="LO869" i="97"/>
  <c r="LN869" i="97"/>
  <c r="LM869" i="97"/>
  <c r="LL869" i="97"/>
  <c r="LK869" i="97"/>
  <c r="LJ869" i="97"/>
  <c r="LI869" i="97"/>
  <c r="LH869" i="97"/>
  <c r="LG869" i="97"/>
  <c r="LF869" i="97"/>
  <c r="LE869" i="97"/>
  <c r="LD869" i="97"/>
  <c r="LC869" i="97"/>
  <c r="LB869" i="97"/>
  <c r="LA869" i="97"/>
  <c r="KZ869" i="97"/>
  <c r="KY869" i="97"/>
  <c r="KX869" i="97"/>
  <c r="KW869" i="97"/>
  <c r="KV869" i="97"/>
  <c r="KU869" i="97"/>
  <c r="KT869" i="97"/>
  <c r="KS869" i="97"/>
  <c r="KR869" i="97"/>
  <c r="KQ869" i="97"/>
  <c r="KP869" i="97"/>
  <c r="KO869" i="97"/>
  <c r="KN869" i="97"/>
  <c r="KM869" i="97"/>
  <c r="KL869" i="97"/>
  <c r="KK869" i="97"/>
  <c r="KJ869" i="97"/>
  <c r="KI869" i="97"/>
  <c r="KH869" i="97"/>
  <c r="KG869" i="97"/>
  <c r="KF869" i="97"/>
  <c r="KE869" i="97"/>
  <c r="KD869" i="97"/>
  <c r="KC869" i="97"/>
  <c r="KB869" i="97"/>
  <c r="KA869" i="97"/>
  <c r="JZ869" i="97"/>
  <c r="JY869" i="97"/>
  <c r="JX869" i="97"/>
  <c r="JW869" i="97"/>
  <c r="JV869" i="97"/>
  <c r="JU869" i="97"/>
  <c r="JT869" i="97"/>
  <c r="JS869" i="97"/>
  <c r="JR869" i="97"/>
  <c r="JQ869" i="97"/>
  <c r="JP869" i="97"/>
  <c r="JO869" i="97"/>
  <c r="JN869" i="97"/>
  <c r="JM869" i="97"/>
  <c r="JL869" i="97"/>
  <c r="JK869" i="97"/>
  <c r="JJ869" i="97"/>
  <c r="JI869" i="97"/>
  <c r="JH869" i="97"/>
  <c r="JG869" i="97"/>
  <c r="JF869" i="97"/>
  <c r="JE869" i="97"/>
  <c r="JD869" i="97"/>
  <c r="JC869" i="97"/>
  <c r="JB869" i="97"/>
  <c r="JA869" i="97"/>
  <c r="IZ869" i="97"/>
  <c r="IY869" i="97"/>
  <c r="IX869" i="97"/>
  <c r="IW869" i="97"/>
  <c r="IV869" i="97"/>
  <c r="IU869" i="97"/>
  <c r="IT869" i="97"/>
  <c r="IS869" i="97"/>
  <c r="IR869" i="97"/>
  <c r="IQ869" i="97"/>
  <c r="IP869" i="97"/>
  <c r="IO869" i="97"/>
  <c r="IN869" i="97"/>
  <c r="IM869" i="97"/>
  <c r="IL869" i="97"/>
  <c r="IK869" i="97"/>
  <c r="IJ869" i="97"/>
  <c r="II869" i="97"/>
  <c r="IH869" i="97"/>
  <c r="IG869" i="97"/>
  <c r="IF869" i="97"/>
  <c r="IE869" i="97"/>
  <c r="ID869" i="97"/>
  <c r="IC869" i="97"/>
  <c r="IB869" i="97"/>
  <c r="IA869" i="97"/>
  <c r="HZ869" i="97"/>
  <c r="HY869" i="97"/>
  <c r="HX869" i="97"/>
  <c r="HW869" i="97"/>
  <c r="HV869" i="97"/>
  <c r="HU869" i="97"/>
  <c r="HT869" i="97"/>
  <c r="HS869" i="97"/>
  <c r="HR869" i="97"/>
  <c r="HQ869" i="97"/>
  <c r="HP869" i="97"/>
  <c r="HO869" i="97"/>
  <c r="HN869" i="97"/>
  <c r="HM869" i="97"/>
  <c r="HL869" i="97"/>
  <c r="HK869" i="97"/>
  <c r="HJ869" i="97"/>
  <c r="HI869" i="97"/>
  <c r="HH869" i="97"/>
  <c r="HG869" i="97"/>
  <c r="HF869" i="97"/>
  <c r="HE869" i="97"/>
  <c r="HD869" i="97"/>
  <c r="HC869" i="97"/>
  <c r="HB869" i="97"/>
  <c r="HA869" i="97"/>
  <c r="GZ869" i="97"/>
  <c r="GY869" i="97"/>
  <c r="GX869" i="97"/>
  <c r="GW869" i="97"/>
  <c r="GV869" i="97"/>
  <c r="GU869" i="97"/>
  <c r="GT869" i="97"/>
  <c r="GS869" i="97"/>
  <c r="GR869" i="97"/>
  <c r="GQ869" i="97"/>
  <c r="GP869" i="97"/>
  <c r="GO869" i="97"/>
  <c r="GN869" i="97"/>
  <c r="GM869" i="97"/>
  <c r="GL869" i="97"/>
  <c r="GK869" i="97"/>
  <c r="GJ869" i="97"/>
  <c r="GI869" i="97"/>
  <c r="GH869" i="97"/>
  <c r="GG869" i="97"/>
  <c r="GF869" i="97"/>
  <c r="GE869" i="97"/>
  <c r="GD869" i="97"/>
  <c r="GC869" i="97"/>
  <c r="GB869" i="97"/>
  <c r="GA869" i="97"/>
  <c r="FZ869" i="97"/>
  <c r="FY869" i="97"/>
  <c r="FX869" i="97"/>
  <c r="FW869" i="97"/>
  <c r="FV869" i="97"/>
  <c r="FU869" i="97"/>
  <c r="FT869" i="97"/>
  <c r="FS869" i="97"/>
  <c r="FR869" i="97"/>
  <c r="FQ869" i="97"/>
  <c r="FP869" i="97"/>
  <c r="FO869" i="97"/>
  <c r="FN869" i="97"/>
  <c r="FM869" i="97"/>
  <c r="FL869" i="97"/>
  <c r="FK869" i="97"/>
  <c r="FJ869" i="97"/>
  <c r="FI869" i="97"/>
  <c r="FH869" i="97"/>
  <c r="FG869" i="97"/>
  <c r="FF869" i="97"/>
  <c r="FE869" i="97"/>
  <c r="FD869" i="97"/>
  <c r="FC869" i="97"/>
  <c r="FB869" i="97"/>
  <c r="FA869" i="97"/>
  <c r="EZ869" i="97"/>
  <c r="EY869" i="97"/>
  <c r="EX869" i="97"/>
  <c r="EW869" i="97"/>
  <c r="EV869" i="97"/>
  <c r="EU869" i="97"/>
  <c r="ET869" i="97"/>
  <c r="ES869" i="97"/>
  <c r="ER869" i="97"/>
  <c r="EQ869" i="97"/>
  <c r="EP869" i="97"/>
  <c r="EO869" i="97"/>
  <c r="EN869" i="97"/>
  <c r="EM869" i="97"/>
  <c r="EL869" i="97"/>
  <c r="EK869" i="97"/>
  <c r="EJ869" i="97"/>
  <c r="EI869" i="97"/>
  <c r="EH869" i="97"/>
  <c r="EG869" i="97"/>
  <c r="EF869" i="97"/>
  <c r="EE869" i="97"/>
  <c r="ED869" i="97"/>
  <c r="EC869" i="97"/>
  <c r="EB869" i="97"/>
  <c r="EA869" i="97"/>
  <c r="DZ869" i="97"/>
  <c r="DY869" i="97"/>
  <c r="DX869" i="97"/>
  <c r="DW869" i="97"/>
  <c r="DV869" i="97"/>
  <c r="DU869" i="97"/>
  <c r="DT869" i="97"/>
  <c r="DS869" i="97"/>
  <c r="DR869" i="97"/>
  <c r="DQ869" i="97"/>
  <c r="DP869" i="97"/>
  <c r="DO869" i="97"/>
  <c r="DN869" i="97"/>
  <c r="DM869" i="97"/>
  <c r="DL869" i="97"/>
  <c r="DK869" i="97"/>
  <c r="DJ869" i="97"/>
  <c r="DI869" i="97"/>
  <c r="DH869" i="97"/>
  <c r="DG869" i="97"/>
  <c r="DF869" i="97"/>
  <c r="DE869" i="97"/>
  <c r="DD869" i="97"/>
  <c r="DC869" i="97"/>
  <c r="DB869" i="97"/>
  <c r="DA869" i="97"/>
  <c r="CZ869" i="97"/>
  <c r="CY869" i="97"/>
  <c r="CX869" i="97"/>
  <c r="CW869" i="97"/>
  <c r="CV869" i="97"/>
  <c r="CU869" i="97"/>
  <c r="CT869" i="97"/>
  <c r="CS869" i="97"/>
  <c r="CR869" i="97"/>
  <c r="CQ869" i="97"/>
  <c r="CP869" i="97"/>
  <c r="CO869" i="97"/>
  <c r="CN869" i="97"/>
  <c r="CM869" i="97"/>
  <c r="CL869" i="97"/>
  <c r="CK869" i="97"/>
  <c r="CJ869" i="97"/>
  <c r="CI869" i="97"/>
  <c r="CH869" i="97"/>
  <c r="CG869" i="97"/>
  <c r="CF869" i="97"/>
  <c r="CE869" i="97"/>
  <c r="CD869" i="97"/>
  <c r="CC869" i="97"/>
  <c r="CB869" i="97"/>
  <c r="CA869" i="97"/>
  <c r="BZ869" i="97"/>
  <c r="BY869" i="97"/>
  <c r="BX869" i="97"/>
  <c r="BW869" i="97"/>
  <c r="BV869" i="97"/>
  <c r="BU869" i="97"/>
  <c r="BT869" i="97"/>
  <c r="BS869" i="97"/>
  <c r="BR869" i="97"/>
  <c r="BQ869" i="97"/>
  <c r="BP869" i="97"/>
  <c r="BO869" i="97"/>
  <c r="BN869" i="97"/>
  <c r="BM869" i="97"/>
  <c r="BL869" i="97"/>
  <c r="BK869" i="97"/>
  <c r="BJ869" i="97"/>
  <c r="BI869" i="97"/>
  <c r="BH869" i="97"/>
  <c r="BG869" i="97"/>
  <c r="BF869" i="97"/>
  <c r="BE869" i="97"/>
  <c r="BD869" i="97"/>
  <c r="BC869" i="97"/>
  <c r="BB869" i="97"/>
  <c r="BA869" i="97"/>
  <c r="AZ869" i="97"/>
  <c r="AY869" i="97"/>
  <c r="AX869" i="97"/>
  <c r="AW869" i="97"/>
  <c r="AV869" i="97"/>
  <c r="AU869" i="97"/>
  <c r="AT869" i="97"/>
  <c r="AS869" i="97"/>
  <c r="AR869" i="97"/>
  <c r="AQ869" i="97"/>
  <c r="AP869" i="97"/>
  <c r="AO869" i="97"/>
  <c r="AN869" i="97"/>
  <c r="AM869" i="97"/>
  <c r="AL869" i="97"/>
  <c r="AK869" i="97"/>
  <c r="AJ869" i="97"/>
  <c r="AI869" i="97"/>
  <c r="AH869" i="97"/>
  <c r="AG869" i="97"/>
  <c r="AF869" i="97"/>
  <c r="AE869" i="97"/>
  <c r="AD869" i="97"/>
  <c r="AC869" i="97"/>
  <c r="AB869" i="97"/>
  <c r="AA869" i="97"/>
  <c r="Z869" i="97"/>
  <c r="Y869" i="97"/>
  <c r="X869" i="97"/>
  <c r="A869" i="97"/>
  <c r="MT868" i="97"/>
  <c r="MS868" i="97"/>
  <c r="MR868" i="97"/>
  <c r="MQ868" i="97"/>
  <c r="MP868" i="97"/>
  <c r="MO868" i="97"/>
  <c r="MN868" i="97"/>
  <c r="MM868" i="97"/>
  <c r="ML868" i="97"/>
  <c r="MK868" i="97"/>
  <c r="MJ868" i="97"/>
  <c r="MI868" i="97"/>
  <c r="MH868" i="97"/>
  <c r="MG868" i="97"/>
  <c r="MF868" i="97"/>
  <c r="ME868" i="97"/>
  <c r="MD868" i="97"/>
  <c r="MC868" i="97"/>
  <c r="MB868" i="97"/>
  <c r="MA868" i="97"/>
  <c r="LZ868" i="97"/>
  <c r="LY868" i="97"/>
  <c r="LX868" i="97"/>
  <c r="LW868" i="97"/>
  <c r="LV868" i="97"/>
  <c r="LU868" i="97"/>
  <c r="LT868" i="97"/>
  <c r="LS868" i="97"/>
  <c r="LR868" i="97"/>
  <c r="LQ868" i="97"/>
  <c r="LP868" i="97"/>
  <c r="LO868" i="97"/>
  <c r="LN868" i="97"/>
  <c r="LM868" i="97"/>
  <c r="LL868" i="97"/>
  <c r="LK868" i="97"/>
  <c r="LJ868" i="97"/>
  <c r="LI868" i="97"/>
  <c r="LH868" i="97"/>
  <c r="LG868" i="97"/>
  <c r="LF868" i="97"/>
  <c r="LE868" i="97"/>
  <c r="LD868" i="97"/>
  <c r="LC868" i="97"/>
  <c r="LB868" i="97"/>
  <c r="LA868" i="97"/>
  <c r="KZ868" i="97"/>
  <c r="KY868" i="97"/>
  <c r="KX868" i="97"/>
  <c r="KW868" i="97"/>
  <c r="KV868" i="97"/>
  <c r="KU868" i="97"/>
  <c r="KT868" i="97"/>
  <c r="KS868" i="97"/>
  <c r="KR868" i="97"/>
  <c r="KQ868" i="97"/>
  <c r="KP868" i="97"/>
  <c r="KO868" i="97"/>
  <c r="KN868" i="97"/>
  <c r="KM868" i="97"/>
  <c r="KL868" i="97"/>
  <c r="KK868" i="97"/>
  <c r="KJ868" i="97"/>
  <c r="KI868" i="97"/>
  <c r="KH868" i="97"/>
  <c r="KG868" i="97"/>
  <c r="KF868" i="97"/>
  <c r="KE868" i="97"/>
  <c r="KD868" i="97"/>
  <c r="KC868" i="97"/>
  <c r="KB868" i="97"/>
  <c r="KA868" i="97"/>
  <c r="JZ868" i="97"/>
  <c r="JY868" i="97"/>
  <c r="JX868" i="97"/>
  <c r="JW868" i="97"/>
  <c r="JV868" i="97"/>
  <c r="JU868" i="97"/>
  <c r="JT868" i="97"/>
  <c r="JS868" i="97"/>
  <c r="JR868" i="97"/>
  <c r="JQ868" i="97"/>
  <c r="JP868" i="97"/>
  <c r="JO868" i="97"/>
  <c r="JN868" i="97"/>
  <c r="JM868" i="97"/>
  <c r="JL868" i="97"/>
  <c r="JK868" i="97"/>
  <c r="JJ868" i="97"/>
  <c r="JI868" i="97"/>
  <c r="JH868" i="97"/>
  <c r="JG868" i="97"/>
  <c r="JF868" i="97"/>
  <c r="JE868" i="97"/>
  <c r="JD868" i="97"/>
  <c r="JC868" i="97"/>
  <c r="JB868" i="97"/>
  <c r="JA868" i="97"/>
  <c r="IZ868" i="97"/>
  <c r="IY868" i="97"/>
  <c r="IX868" i="97"/>
  <c r="IW868" i="97"/>
  <c r="IV868" i="97"/>
  <c r="IU868" i="97"/>
  <c r="IT868" i="97"/>
  <c r="IS868" i="97"/>
  <c r="IR868" i="97"/>
  <c r="IQ868" i="97"/>
  <c r="IP868" i="97"/>
  <c r="IO868" i="97"/>
  <c r="IN868" i="97"/>
  <c r="IM868" i="97"/>
  <c r="IL868" i="97"/>
  <c r="IK868" i="97"/>
  <c r="IJ868" i="97"/>
  <c r="II868" i="97"/>
  <c r="IH868" i="97"/>
  <c r="IG868" i="97"/>
  <c r="IF868" i="97"/>
  <c r="IE868" i="97"/>
  <c r="ID868" i="97"/>
  <c r="IC868" i="97"/>
  <c r="IB868" i="97"/>
  <c r="IA868" i="97"/>
  <c r="HZ868" i="97"/>
  <c r="HY868" i="97"/>
  <c r="HX868" i="97"/>
  <c r="HW868" i="97"/>
  <c r="HV868" i="97"/>
  <c r="HU868" i="97"/>
  <c r="HT868" i="97"/>
  <c r="HS868" i="97"/>
  <c r="HR868" i="97"/>
  <c r="HQ868" i="97"/>
  <c r="HP868" i="97"/>
  <c r="HO868" i="97"/>
  <c r="HN868" i="97"/>
  <c r="HM868" i="97"/>
  <c r="HL868" i="97"/>
  <c r="HK868" i="97"/>
  <c r="HJ868" i="97"/>
  <c r="HI868" i="97"/>
  <c r="HH868" i="97"/>
  <c r="HG868" i="97"/>
  <c r="HF868" i="97"/>
  <c r="HE868" i="97"/>
  <c r="HD868" i="97"/>
  <c r="HC868" i="97"/>
  <c r="HB868" i="97"/>
  <c r="HA868" i="97"/>
  <c r="GZ868" i="97"/>
  <c r="GY868" i="97"/>
  <c r="GX868" i="97"/>
  <c r="GW868" i="97"/>
  <c r="GV868" i="97"/>
  <c r="GU868" i="97"/>
  <c r="GT868" i="97"/>
  <c r="GS868" i="97"/>
  <c r="GR868" i="97"/>
  <c r="GQ868" i="97"/>
  <c r="GP868" i="97"/>
  <c r="GO868" i="97"/>
  <c r="GN868" i="97"/>
  <c r="GM868" i="97"/>
  <c r="GL868" i="97"/>
  <c r="GK868" i="97"/>
  <c r="GJ868" i="97"/>
  <c r="GI868" i="97"/>
  <c r="GH868" i="97"/>
  <c r="GG868" i="97"/>
  <c r="GF868" i="97"/>
  <c r="GE868" i="97"/>
  <c r="GD868" i="97"/>
  <c r="GC868" i="97"/>
  <c r="GB868" i="97"/>
  <c r="GA868" i="97"/>
  <c r="FZ868" i="97"/>
  <c r="FY868" i="97"/>
  <c r="FX868" i="97"/>
  <c r="FW868" i="97"/>
  <c r="FV868" i="97"/>
  <c r="FU868" i="97"/>
  <c r="FT868" i="97"/>
  <c r="FS868" i="97"/>
  <c r="FR868" i="97"/>
  <c r="FQ868" i="97"/>
  <c r="FP868" i="97"/>
  <c r="FO868" i="97"/>
  <c r="FN868" i="97"/>
  <c r="FM868" i="97"/>
  <c r="FL868" i="97"/>
  <c r="FK868" i="97"/>
  <c r="FJ868" i="97"/>
  <c r="FI868" i="97"/>
  <c r="FH868" i="97"/>
  <c r="FG868" i="97"/>
  <c r="FF868" i="97"/>
  <c r="FE868" i="97"/>
  <c r="FD868" i="97"/>
  <c r="FC868" i="97"/>
  <c r="FB868" i="97"/>
  <c r="FA868" i="97"/>
  <c r="EZ868" i="97"/>
  <c r="EY868" i="97"/>
  <c r="EX868" i="97"/>
  <c r="EW868" i="97"/>
  <c r="EV868" i="97"/>
  <c r="EU868" i="97"/>
  <c r="ET868" i="97"/>
  <c r="ES868" i="97"/>
  <c r="ER868" i="97"/>
  <c r="EQ868" i="97"/>
  <c r="EP868" i="97"/>
  <c r="EO868" i="97"/>
  <c r="EN868" i="97"/>
  <c r="EM868" i="97"/>
  <c r="EL868" i="97"/>
  <c r="EK868" i="97"/>
  <c r="EJ868" i="97"/>
  <c r="EI868" i="97"/>
  <c r="EH868" i="97"/>
  <c r="EG868" i="97"/>
  <c r="EF868" i="97"/>
  <c r="EE868" i="97"/>
  <c r="ED868" i="97"/>
  <c r="EC868" i="97"/>
  <c r="EB868" i="97"/>
  <c r="EA868" i="97"/>
  <c r="DZ868" i="97"/>
  <c r="DY868" i="97"/>
  <c r="DX868" i="97"/>
  <c r="DW868" i="97"/>
  <c r="DV868" i="97"/>
  <c r="DU868" i="97"/>
  <c r="DT868" i="97"/>
  <c r="DS868" i="97"/>
  <c r="DR868" i="97"/>
  <c r="DQ868" i="97"/>
  <c r="DP868" i="97"/>
  <c r="DO868" i="97"/>
  <c r="DN868" i="97"/>
  <c r="DM868" i="97"/>
  <c r="DL868" i="97"/>
  <c r="DK868" i="97"/>
  <c r="DJ868" i="97"/>
  <c r="DI868" i="97"/>
  <c r="DH868" i="97"/>
  <c r="DG868" i="97"/>
  <c r="DF868" i="97"/>
  <c r="DE868" i="97"/>
  <c r="DD868" i="97"/>
  <c r="DC868" i="97"/>
  <c r="DB868" i="97"/>
  <c r="DA868" i="97"/>
  <c r="CZ868" i="97"/>
  <c r="CY868" i="97"/>
  <c r="CX868" i="97"/>
  <c r="CW868" i="97"/>
  <c r="CV868" i="97"/>
  <c r="CU868" i="97"/>
  <c r="CT868" i="97"/>
  <c r="CS868" i="97"/>
  <c r="CR868" i="97"/>
  <c r="CQ868" i="97"/>
  <c r="CP868" i="97"/>
  <c r="CO868" i="97"/>
  <c r="CN868" i="97"/>
  <c r="CM868" i="97"/>
  <c r="CL868" i="97"/>
  <c r="CK868" i="97"/>
  <c r="CJ868" i="97"/>
  <c r="CI868" i="97"/>
  <c r="CH868" i="97"/>
  <c r="CG868" i="97"/>
  <c r="CF868" i="97"/>
  <c r="CE868" i="97"/>
  <c r="CD868" i="97"/>
  <c r="CC868" i="97"/>
  <c r="CB868" i="97"/>
  <c r="CA868" i="97"/>
  <c r="BZ868" i="97"/>
  <c r="BY868" i="97"/>
  <c r="BX868" i="97"/>
  <c r="BW868" i="97"/>
  <c r="BV868" i="97"/>
  <c r="BU868" i="97"/>
  <c r="BT868" i="97"/>
  <c r="BS868" i="97"/>
  <c r="BR868" i="97"/>
  <c r="BQ868" i="97"/>
  <c r="BP868" i="97"/>
  <c r="BO868" i="97"/>
  <c r="BN868" i="97"/>
  <c r="BM868" i="97"/>
  <c r="BL868" i="97"/>
  <c r="BK868" i="97"/>
  <c r="BJ868" i="97"/>
  <c r="BI868" i="97"/>
  <c r="BH868" i="97"/>
  <c r="BG868" i="97"/>
  <c r="BF868" i="97"/>
  <c r="BE868" i="97"/>
  <c r="BD868" i="97"/>
  <c r="BC868" i="97"/>
  <c r="BB868" i="97"/>
  <c r="BA868" i="97"/>
  <c r="AZ868" i="97"/>
  <c r="AY868" i="97"/>
  <c r="AX868" i="97"/>
  <c r="AW868" i="97"/>
  <c r="AV868" i="97"/>
  <c r="AU868" i="97"/>
  <c r="AT868" i="97"/>
  <c r="AS868" i="97"/>
  <c r="AR868" i="97"/>
  <c r="AQ868" i="97"/>
  <c r="AP868" i="97"/>
  <c r="AO868" i="97"/>
  <c r="AN868" i="97"/>
  <c r="AM868" i="97"/>
  <c r="AL868" i="97"/>
  <c r="AK868" i="97"/>
  <c r="AJ868" i="97"/>
  <c r="AI868" i="97"/>
  <c r="AH868" i="97"/>
  <c r="AG868" i="97"/>
  <c r="AF868" i="97"/>
  <c r="AE868" i="97"/>
  <c r="AD868" i="97"/>
  <c r="AC868" i="97"/>
  <c r="AB868" i="97"/>
  <c r="AA868" i="97"/>
  <c r="Z868" i="97"/>
  <c r="Y868" i="97"/>
  <c r="X868" i="97"/>
  <c r="A868" i="97"/>
  <c r="MT867" i="97"/>
  <c r="MS867" i="97"/>
  <c r="MR867" i="97"/>
  <c r="MQ867" i="97"/>
  <c r="MP867" i="97"/>
  <c r="MO867" i="97"/>
  <c r="MN867" i="97"/>
  <c r="MM867" i="97"/>
  <c r="ML867" i="97"/>
  <c r="MK867" i="97"/>
  <c r="MJ867" i="97"/>
  <c r="MI867" i="97"/>
  <c r="MH867" i="97"/>
  <c r="MG867" i="97"/>
  <c r="MF867" i="97"/>
  <c r="ME867" i="97"/>
  <c r="MD867" i="97"/>
  <c r="MC867" i="97"/>
  <c r="MB867" i="97"/>
  <c r="MA867" i="97"/>
  <c r="LZ867" i="97"/>
  <c r="LY867" i="97"/>
  <c r="LX867" i="97"/>
  <c r="LW867" i="97"/>
  <c r="LV867" i="97"/>
  <c r="LU867" i="97"/>
  <c r="LT867" i="97"/>
  <c r="LS867" i="97"/>
  <c r="LR867" i="97"/>
  <c r="LQ867" i="97"/>
  <c r="LP867" i="97"/>
  <c r="LO867" i="97"/>
  <c r="LN867" i="97"/>
  <c r="LM867" i="97"/>
  <c r="LL867" i="97"/>
  <c r="LK867" i="97"/>
  <c r="LJ867" i="97"/>
  <c r="LI867" i="97"/>
  <c r="LH867" i="97"/>
  <c r="LG867" i="97"/>
  <c r="LF867" i="97"/>
  <c r="LE867" i="97"/>
  <c r="LD867" i="97"/>
  <c r="LC867" i="97"/>
  <c r="LB867" i="97"/>
  <c r="LA867" i="97"/>
  <c r="KZ867" i="97"/>
  <c r="KY867" i="97"/>
  <c r="KX867" i="97"/>
  <c r="KW867" i="97"/>
  <c r="KV867" i="97"/>
  <c r="KU867" i="97"/>
  <c r="KT867" i="97"/>
  <c r="KS867" i="97"/>
  <c r="KR867" i="97"/>
  <c r="KQ867" i="97"/>
  <c r="KP867" i="97"/>
  <c r="KO867" i="97"/>
  <c r="KN867" i="97"/>
  <c r="KM867" i="97"/>
  <c r="KL867" i="97"/>
  <c r="KK867" i="97"/>
  <c r="KJ867" i="97"/>
  <c r="KI867" i="97"/>
  <c r="KH867" i="97"/>
  <c r="KG867" i="97"/>
  <c r="KF867" i="97"/>
  <c r="KE867" i="97"/>
  <c r="KD867" i="97"/>
  <c r="KC867" i="97"/>
  <c r="KB867" i="97"/>
  <c r="KA867" i="97"/>
  <c r="JZ867" i="97"/>
  <c r="JY867" i="97"/>
  <c r="JX867" i="97"/>
  <c r="JW867" i="97"/>
  <c r="JV867" i="97"/>
  <c r="JU867" i="97"/>
  <c r="JT867" i="97"/>
  <c r="JS867" i="97"/>
  <c r="JR867" i="97"/>
  <c r="JQ867" i="97"/>
  <c r="JP867" i="97"/>
  <c r="JO867" i="97"/>
  <c r="JN867" i="97"/>
  <c r="JM867" i="97"/>
  <c r="JL867" i="97"/>
  <c r="JK867" i="97"/>
  <c r="JJ867" i="97"/>
  <c r="JI867" i="97"/>
  <c r="JH867" i="97"/>
  <c r="JG867" i="97"/>
  <c r="JF867" i="97"/>
  <c r="JE867" i="97"/>
  <c r="JD867" i="97"/>
  <c r="JC867" i="97"/>
  <c r="JB867" i="97"/>
  <c r="JA867" i="97"/>
  <c r="IZ867" i="97"/>
  <c r="IY867" i="97"/>
  <c r="IX867" i="97"/>
  <c r="IW867" i="97"/>
  <c r="IV867" i="97"/>
  <c r="IU867" i="97"/>
  <c r="IT867" i="97"/>
  <c r="IS867" i="97"/>
  <c r="IR867" i="97"/>
  <c r="IQ867" i="97"/>
  <c r="IP867" i="97"/>
  <c r="IO867" i="97"/>
  <c r="IN867" i="97"/>
  <c r="IM867" i="97"/>
  <c r="IL867" i="97"/>
  <c r="IK867" i="97"/>
  <c r="IJ867" i="97"/>
  <c r="II867" i="97"/>
  <c r="IH867" i="97"/>
  <c r="IG867" i="97"/>
  <c r="IF867" i="97"/>
  <c r="IE867" i="97"/>
  <c r="ID867" i="97"/>
  <c r="IC867" i="97"/>
  <c r="IB867" i="97"/>
  <c r="IA867" i="97"/>
  <c r="HZ867" i="97"/>
  <c r="HY867" i="97"/>
  <c r="HX867" i="97"/>
  <c r="HW867" i="97"/>
  <c r="HV867" i="97"/>
  <c r="HU867" i="97"/>
  <c r="HT867" i="97"/>
  <c r="HS867" i="97"/>
  <c r="HR867" i="97"/>
  <c r="HQ867" i="97"/>
  <c r="HP867" i="97"/>
  <c r="HO867" i="97"/>
  <c r="HN867" i="97"/>
  <c r="HM867" i="97"/>
  <c r="HL867" i="97"/>
  <c r="HK867" i="97"/>
  <c r="HJ867" i="97"/>
  <c r="HI867" i="97"/>
  <c r="HH867" i="97"/>
  <c r="HG867" i="97"/>
  <c r="HF867" i="97"/>
  <c r="HE867" i="97"/>
  <c r="HD867" i="97"/>
  <c r="HC867" i="97"/>
  <c r="HB867" i="97"/>
  <c r="HA867" i="97"/>
  <c r="GZ867" i="97"/>
  <c r="GY867" i="97"/>
  <c r="GX867" i="97"/>
  <c r="GW867" i="97"/>
  <c r="GV867" i="97"/>
  <c r="GU867" i="97"/>
  <c r="GT867" i="97"/>
  <c r="GS867" i="97"/>
  <c r="GR867" i="97"/>
  <c r="GQ867" i="97"/>
  <c r="GP867" i="97"/>
  <c r="GO867" i="97"/>
  <c r="GN867" i="97"/>
  <c r="GM867" i="97"/>
  <c r="GL867" i="97"/>
  <c r="GK867" i="97"/>
  <c r="GJ867" i="97"/>
  <c r="GI867" i="97"/>
  <c r="GH867" i="97"/>
  <c r="GG867" i="97"/>
  <c r="GF867" i="97"/>
  <c r="GE867" i="97"/>
  <c r="GD867" i="97"/>
  <c r="GC867" i="97"/>
  <c r="GB867" i="97"/>
  <c r="GA867" i="97"/>
  <c r="FZ867" i="97"/>
  <c r="FY867" i="97"/>
  <c r="FX867" i="97"/>
  <c r="FW867" i="97"/>
  <c r="FV867" i="97"/>
  <c r="FU867" i="97"/>
  <c r="FT867" i="97"/>
  <c r="FS867" i="97"/>
  <c r="FR867" i="97"/>
  <c r="FQ867" i="97"/>
  <c r="FP867" i="97"/>
  <c r="FO867" i="97"/>
  <c r="FN867" i="97"/>
  <c r="FM867" i="97"/>
  <c r="FL867" i="97"/>
  <c r="FK867" i="97"/>
  <c r="FJ867" i="97"/>
  <c r="FI867" i="97"/>
  <c r="FH867" i="97"/>
  <c r="FG867" i="97"/>
  <c r="FF867" i="97"/>
  <c r="FE867" i="97"/>
  <c r="FD867" i="97"/>
  <c r="FC867" i="97"/>
  <c r="FB867" i="97"/>
  <c r="FA867" i="97"/>
  <c r="EZ867" i="97"/>
  <c r="EY867" i="97"/>
  <c r="EX867" i="97"/>
  <c r="EW867" i="97"/>
  <c r="EV867" i="97"/>
  <c r="EU867" i="97"/>
  <c r="ET867" i="97"/>
  <c r="ES867" i="97"/>
  <c r="ER867" i="97"/>
  <c r="EQ867" i="97"/>
  <c r="EP867" i="97"/>
  <c r="EO867" i="97"/>
  <c r="EN867" i="97"/>
  <c r="EM867" i="97"/>
  <c r="EL867" i="97"/>
  <c r="EK867" i="97"/>
  <c r="EJ867" i="97"/>
  <c r="EI867" i="97"/>
  <c r="EH867" i="97"/>
  <c r="EG867" i="97"/>
  <c r="EF867" i="97"/>
  <c r="EE867" i="97"/>
  <c r="ED867" i="97"/>
  <c r="EC867" i="97"/>
  <c r="EB867" i="97"/>
  <c r="EA867" i="97"/>
  <c r="DZ867" i="97"/>
  <c r="DY867" i="97"/>
  <c r="DX867" i="97"/>
  <c r="DW867" i="97"/>
  <c r="DV867" i="97"/>
  <c r="DU867" i="97"/>
  <c r="DT867" i="97"/>
  <c r="DS867" i="97"/>
  <c r="DR867" i="97"/>
  <c r="DQ867" i="97"/>
  <c r="DP867" i="97"/>
  <c r="DO867" i="97"/>
  <c r="DN867" i="97"/>
  <c r="DM867" i="97"/>
  <c r="DL867" i="97"/>
  <c r="DK867" i="97"/>
  <c r="DJ867" i="97"/>
  <c r="DI867" i="97"/>
  <c r="DH867" i="97"/>
  <c r="DG867" i="97"/>
  <c r="DF867" i="97"/>
  <c r="DE867" i="97"/>
  <c r="DD867" i="97"/>
  <c r="DC867" i="97"/>
  <c r="DB867" i="97"/>
  <c r="DA867" i="97"/>
  <c r="CZ867" i="97"/>
  <c r="CY867" i="97"/>
  <c r="CX867" i="97"/>
  <c r="CW867" i="97"/>
  <c r="CV867" i="97"/>
  <c r="CU867" i="97"/>
  <c r="CT867" i="97"/>
  <c r="CS867" i="97"/>
  <c r="CR867" i="97"/>
  <c r="CQ867" i="97"/>
  <c r="CP867" i="97"/>
  <c r="CO867" i="97"/>
  <c r="CN867" i="97"/>
  <c r="CM867" i="97"/>
  <c r="CL867" i="97"/>
  <c r="CK867" i="97"/>
  <c r="CJ867" i="97"/>
  <c r="CI867" i="97"/>
  <c r="CH867" i="97"/>
  <c r="CG867" i="97"/>
  <c r="CF867" i="97"/>
  <c r="CE867" i="97"/>
  <c r="CD867" i="97"/>
  <c r="CC867" i="97"/>
  <c r="CB867" i="97"/>
  <c r="CA867" i="97"/>
  <c r="BZ867" i="97"/>
  <c r="BY867" i="97"/>
  <c r="BX867" i="97"/>
  <c r="BW867" i="97"/>
  <c r="BV867" i="97"/>
  <c r="BU867" i="97"/>
  <c r="BT867" i="97"/>
  <c r="BS867" i="97"/>
  <c r="BR867" i="97"/>
  <c r="BQ867" i="97"/>
  <c r="BP867" i="97"/>
  <c r="BO867" i="97"/>
  <c r="BN867" i="97"/>
  <c r="BM867" i="97"/>
  <c r="BL867" i="97"/>
  <c r="BK867" i="97"/>
  <c r="BJ867" i="97"/>
  <c r="BI867" i="97"/>
  <c r="BH867" i="97"/>
  <c r="BG867" i="97"/>
  <c r="BF867" i="97"/>
  <c r="BE867" i="97"/>
  <c r="BD867" i="97"/>
  <c r="BC867" i="97"/>
  <c r="BB867" i="97"/>
  <c r="BA867" i="97"/>
  <c r="AZ867" i="97"/>
  <c r="AY867" i="97"/>
  <c r="AX867" i="97"/>
  <c r="AW867" i="97"/>
  <c r="AV867" i="97"/>
  <c r="AU867" i="97"/>
  <c r="AT867" i="97"/>
  <c r="AS867" i="97"/>
  <c r="AR867" i="97"/>
  <c r="AQ867" i="97"/>
  <c r="AP867" i="97"/>
  <c r="AO867" i="97"/>
  <c r="AN867" i="97"/>
  <c r="AM867" i="97"/>
  <c r="AL867" i="97"/>
  <c r="AK867" i="97"/>
  <c r="AJ867" i="97"/>
  <c r="AI867" i="97"/>
  <c r="AH867" i="97"/>
  <c r="AG867" i="97"/>
  <c r="AF867" i="97"/>
  <c r="AE867" i="97"/>
  <c r="AD867" i="97"/>
  <c r="AC867" i="97"/>
  <c r="AB867" i="97"/>
  <c r="AA867" i="97"/>
  <c r="Z867" i="97"/>
  <c r="Y867" i="97"/>
  <c r="X867" i="97"/>
  <c r="A867" i="97"/>
  <c r="MT866" i="97"/>
  <c r="MS866" i="97"/>
  <c r="MR866" i="97"/>
  <c r="MQ866" i="97"/>
  <c r="MP866" i="97"/>
  <c r="MO866" i="97"/>
  <c r="MN866" i="97"/>
  <c r="MM866" i="97"/>
  <c r="ML866" i="97"/>
  <c r="MK866" i="97"/>
  <c r="MJ866" i="97"/>
  <c r="MI866" i="97"/>
  <c r="MH866" i="97"/>
  <c r="MG866" i="97"/>
  <c r="MF866" i="97"/>
  <c r="ME866" i="97"/>
  <c r="MD866" i="97"/>
  <c r="MC866" i="97"/>
  <c r="MB866" i="97"/>
  <c r="MA866" i="97"/>
  <c r="LZ866" i="97"/>
  <c r="LY866" i="97"/>
  <c r="LX866" i="97"/>
  <c r="LW866" i="97"/>
  <c r="LV866" i="97"/>
  <c r="LU866" i="97"/>
  <c r="LT866" i="97"/>
  <c r="LS866" i="97"/>
  <c r="LR866" i="97"/>
  <c r="LQ866" i="97"/>
  <c r="LP866" i="97"/>
  <c r="LO866" i="97"/>
  <c r="LN866" i="97"/>
  <c r="LM866" i="97"/>
  <c r="LL866" i="97"/>
  <c r="LK866" i="97"/>
  <c r="LJ866" i="97"/>
  <c r="LI866" i="97"/>
  <c r="LH866" i="97"/>
  <c r="LG866" i="97"/>
  <c r="LF866" i="97"/>
  <c r="LE866" i="97"/>
  <c r="LD866" i="97"/>
  <c r="LC866" i="97"/>
  <c r="LB866" i="97"/>
  <c r="LA866" i="97"/>
  <c r="KZ866" i="97"/>
  <c r="KY866" i="97"/>
  <c r="KX866" i="97"/>
  <c r="KW866" i="97"/>
  <c r="KV866" i="97"/>
  <c r="KU866" i="97"/>
  <c r="KT866" i="97"/>
  <c r="KS866" i="97"/>
  <c r="KR866" i="97"/>
  <c r="KQ866" i="97"/>
  <c r="KP866" i="97"/>
  <c r="KO866" i="97"/>
  <c r="KN866" i="97"/>
  <c r="KM866" i="97"/>
  <c r="KL866" i="97"/>
  <c r="KK866" i="97"/>
  <c r="KJ866" i="97"/>
  <c r="KI866" i="97"/>
  <c r="KH866" i="97"/>
  <c r="KG866" i="97"/>
  <c r="KF866" i="97"/>
  <c r="KE866" i="97"/>
  <c r="KD866" i="97"/>
  <c r="KC866" i="97"/>
  <c r="KB866" i="97"/>
  <c r="KA866" i="97"/>
  <c r="JZ866" i="97"/>
  <c r="JY866" i="97"/>
  <c r="JX866" i="97"/>
  <c r="JW866" i="97"/>
  <c r="JV866" i="97"/>
  <c r="JU866" i="97"/>
  <c r="JT866" i="97"/>
  <c r="JS866" i="97"/>
  <c r="JR866" i="97"/>
  <c r="JQ866" i="97"/>
  <c r="JP866" i="97"/>
  <c r="JO866" i="97"/>
  <c r="JN866" i="97"/>
  <c r="JM866" i="97"/>
  <c r="JL866" i="97"/>
  <c r="JK866" i="97"/>
  <c r="JJ866" i="97"/>
  <c r="JI866" i="97"/>
  <c r="JH866" i="97"/>
  <c r="JG866" i="97"/>
  <c r="JF866" i="97"/>
  <c r="JE866" i="97"/>
  <c r="JD866" i="97"/>
  <c r="JC866" i="97"/>
  <c r="JB866" i="97"/>
  <c r="JA866" i="97"/>
  <c r="IZ866" i="97"/>
  <c r="IY866" i="97"/>
  <c r="IX866" i="97"/>
  <c r="IW866" i="97"/>
  <c r="IV866" i="97"/>
  <c r="IU866" i="97"/>
  <c r="IT866" i="97"/>
  <c r="IS866" i="97"/>
  <c r="IR866" i="97"/>
  <c r="IQ866" i="97"/>
  <c r="IP866" i="97"/>
  <c r="IO866" i="97"/>
  <c r="IN866" i="97"/>
  <c r="IM866" i="97"/>
  <c r="IL866" i="97"/>
  <c r="IK866" i="97"/>
  <c r="IJ866" i="97"/>
  <c r="II866" i="97"/>
  <c r="IH866" i="97"/>
  <c r="IG866" i="97"/>
  <c r="IF866" i="97"/>
  <c r="IE866" i="97"/>
  <c r="ID866" i="97"/>
  <c r="IC866" i="97"/>
  <c r="IB866" i="97"/>
  <c r="IA866" i="97"/>
  <c r="HZ866" i="97"/>
  <c r="HY866" i="97"/>
  <c r="HX866" i="97"/>
  <c r="HW866" i="97"/>
  <c r="HV866" i="97"/>
  <c r="HU866" i="97"/>
  <c r="HT866" i="97"/>
  <c r="HS866" i="97"/>
  <c r="HR866" i="97"/>
  <c r="HQ866" i="97"/>
  <c r="HP866" i="97"/>
  <c r="HO866" i="97"/>
  <c r="HN866" i="97"/>
  <c r="HM866" i="97"/>
  <c r="HL866" i="97"/>
  <c r="HK866" i="97"/>
  <c r="HJ866" i="97"/>
  <c r="HI866" i="97"/>
  <c r="HH866" i="97"/>
  <c r="HG866" i="97"/>
  <c r="HF866" i="97"/>
  <c r="HE866" i="97"/>
  <c r="HD866" i="97"/>
  <c r="HC866" i="97"/>
  <c r="HB866" i="97"/>
  <c r="HA866" i="97"/>
  <c r="GZ866" i="97"/>
  <c r="GY866" i="97"/>
  <c r="GX866" i="97"/>
  <c r="GW866" i="97"/>
  <c r="GV866" i="97"/>
  <c r="GU866" i="97"/>
  <c r="GT866" i="97"/>
  <c r="GS866" i="97"/>
  <c r="GR866" i="97"/>
  <c r="GQ866" i="97"/>
  <c r="GP866" i="97"/>
  <c r="GO866" i="97"/>
  <c r="GN866" i="97"/>
  <c r="GM866" i="97"/>
  <c r="GL866" i="97"/>
  <c r="GK866" i="97"/>
  <c r="GJ866" i="97"/>
  <c r="GI866" i="97"/>
  <c r="GH866" i="97"/>
  <c r="GG866" i="97"/>
  <c r="GF866" i="97"/>
  <c r="GE866" i="97"/>
  <c r="GD866" i="97"/>
  <c r="GC866" i="97"/>
  <c r="GB866" i="97"/>
  <c r="GA866" i="97"/>
  <c r="FZ866" i="97"/>
  <c r="FY866" i="97"/>
  <c r="FX866" i="97"/>
  <c r="FW866" i="97"/>
  <c r="FV866" i="97"/>
  <c r="FU866" i="97"/>
  <c r="FT866" i="97"/>
  <c r="FS866" i="97"/>
  <c r="FR866" i="97"/>
  <c r="FQ866" i="97"/>
  <c r="FP866" i="97"/>
  <c r="FO866" i="97"/>
  <c r="FN866" i="97"/>
  <c r="FM866" i="97"/>
  <c r="FL866" i="97"/>
  <c r="FK866" i="97"/>
  <c r="FJ866" i="97"/>
  <c r="FI866" i="97"/>
  <c r="FH866" i="97"/>
  <c r="FG866" i="97"/>
  <c r="FF866" i="97"/>
  <c r="FE866" i="97"/>
  <c r="FD866" i="97"/>
  <c r="FC866" i="97"/>
  <c r="FB866" i="97"/>
  <c r="FA866" i="97"/>
  <c r="EZ866" i="97"/>
  <c r="EY866" i="97"/>
  <c r="EX866" i="97"/>
  <c r="EW866" i="97"/>
  <c r="EV866" i="97"/>
  <c r="EU866" i="97"/>
  <c r="ET866" i="97"/>
  <c r="ES866" i="97"/>
  <c r="ER866" i="97"/>
  <c r="EQ866" i="97"/>
  <c r="EP866" i="97"/>
  <c r="EO866" i="97"/>
  <c r="EN866" i="97"/>
  <c r="EM866" i="97"/>
  <c r="EL866" i="97"/>
  <c r="EK866" i="97"/>
  <c r="EJ866" i="97"/>
  <c r="EI866" i="97"/>
  <c r="EH866" i="97"/>
  <c r="EG866" i="97"/>
  <c r="EF866" i="97"/>
  <c r="EE866" i="97"/>
  <c r="ED866" i="97"/>
  <c r="EC866" i="97"/>
  <c r="EB866" i="97"/>
  <c r="EA866" i="97"/>
  <c r="DZ866" i="97"/>
  <c r="DY866" i="97"/>
  <c r="DX866" i="97"/>
  <c r="DW866" i="97"/>
  <c r="DV866" i="97"/>
  <c r="DU866" i="97"/>
  <c r="DT866" i="97"/>
  <c r="DS866" i="97"/>
  <c r="DR866" i="97"/>
  <c r="DQ866" i="97"/>
  <c r="DP866" i="97"/>
  <c r="DO866" i="97"/>
  <c r="DN866" i="97"/>
  <c r="DM866" i="97"/>
  <c r="DL866" i="97"/>
  <c r="DK866" i="97"/>
  <c r="DJ866" i="97"/>
  <c r="DI866" i="97"/>
  <c r="DH866" i="97"/>
  <c r="DG866" i="97"/>
  <c r="DF866" i="97"/>
  <c r="DE866" i="97"/>
  <c r="DD866" i="97"/>
  <c r="DC866" i="97"/>
  <c r="DB866" i="97"/>
  <c r="DA866" i="97"/>
  <c r="CZ866" i="97"/>
  <c r="CY866" i="97"/>
  <c r="CX866" i="97"/>
  <c r="CW866" i="97"/>
  <c r="CV866" i="97"/>
  <c r="CU866" i="97"/>
  <c r="CT866" i="97"/>
  <c r="CS866" i="97"/>
  <c r="CR866" i="97"/>
  <c r="CQ866" i="97"/>
  <c r="CP866" i="97"/>
  <c r="CO866" i="97"/>
  <c r="CN866" i="97"/>
  <c r="CM866" i="97"/>
  <c r="CL866" i="97"/>
  <c r="CK866" i="97"/>
  <c r="CJ866" i="97"/>
  <c r="CI866" i="97"/>
  <c r="CH866" i="97"/>
  <c r="CG866" i="97"/>
  <c r="CF866" i="97"/>
  <c r="CE866" i="97"/>
  <c r="CD866" i="97"/>
  <c r="CC866" i="97"/>
  <c r="CB866" i="97"/>
  <c r="CA866" i="97"/>
  <c r="BZ866" i="97"/>
  <c r="BY866" i="97"/>
  <c r="BX866" i="97"/>
  <c r="BW866" i="97"/>
  <c r="BV866" i="97"/>
  <c r="BU866" i="97"/>
  <c r="BT866" i="97"/>
  <c r="BS866" i="97"/>
  <c r="BR866" i="97"/>
  <c r="BQ866" i="97"/>
  <c r="BP866" i="97"/>
  <c r="BO866" i="97"/>
  <c r="BN866" i="97"/>
  <c r="BM866" i="97"/>
  <c r="BL866" i="97"/>
  <c r="BK866" i="97"/>
  <c r="BJ866" i="97"/>
  <c r="BI866" i="97"/>
  <c r="BH866" i="97"/>
  <c r="BG866" i="97"/>
  <c r="BF866" i="97"/>
  <c r="BE866" i="97"/>
  <c r="BD866" i="97"/>
  <c r="BC866" i="97"/>
  <c r="BB866" i="97"/>
  <c r="BA866" i="97"/>
  <c r="AZ866" i="97"/>
  <c r="AY866" i="97"/>
  <c r="AX866" i="97"/>
  <c r="AW866" i="97"/>
  <c r="AV866" i="97"/>
  <c r="AU866" i="97"/>
  <c r="AT866" i="97"/>
  <c r="AS866" i="97"/>
  <c r="AR866" i="97"/>
  <c r="AQ866" i="97"/>
  <c r="AP866" i="97"/>
  <c r="AO866" i="97"/>
  <c r="AN866" i="97"/>
  <c r="AM866" i="97"/>
  <c r="AL866" i="97"/>
  <c r="AK866" i="97"/>
  <c r="AJ866" i="97"/>
  <c r="AI866" i="97"/>
  <c r="AH866" i="97"/>
  <c r="AG866" i="97"/>
  <c r="AF866" i="97"/>
  <c r="AE866" i="97"/>
  <c r="AD866" i="97"/>
  <c r="AC866" i="97"/>
  <c r="AB866" i="97"/>
  <c r="AA866" i="97"/>
  <c r="Z866" i="97"/>
  <c r="Y866" i="97"/>
  <c r="X866" i="97"/>
  <c r="A866" i="97"/>
  <c r="MT865" i="97"/>
  <c r="MS865" i="97"/>
  <c r="MR865" i="97"/>
  <c r="MQ865" i="97"/>
  <c r="MP865" i="97"/>
  <c r="MO865" i="97"/>
  <c r="MN865" i="97"/>
  <c r="MM865" i="97"/>
  <c r="ML865" i="97"/>
  <c r="MK865" i="97"/>
  <c r="MJ865" i="97"/>
  <c r="MI865" i="97"/>
  <c r="MH865" i="97"/>
  <c r="MG865" i="97"/>
  <c r="MF865" i="97"/>
  <c r="ME865" i="97"/>
  <c r="MD865" i="97"/>
  <c r="MC865" i="97"/>
  <c r="MB865" i="97"/>
  <c r="MA865" i="97"/>
  <c r="LZ865" i="97"/>
  <c r="LY865" i="97"/>
  <c r="LX865" i="97"/>
  <c r="LW865" i="97"/>
  <c r="LV865" i="97"/>
  <c r="LU865" i="97"/>
  <c r="LT865" i="97"/>
  <c r="LS865" i="97"/>
  <c r="LR865" i="97"/>
  <c r="LQ865" i="97"/>
  <c r="LP865" i="97"/>
  <c r="LO865" i="97"/>
  <c r="LN865" i="97"/>
  <c r="LM865" i="97"/>
  <c r="LL865" i="97"/>
  <c r="LK865" i="97"/>
  <c r="LJ865" i="97"/>
  <c r="LI865" i="97"/>
  <c r="LH865" i="97"/>
  <c r="LG865" i="97"/>
  <c r="LF865" i="97"/>
  <c r="LE865" i="97"/>
  <c r="LD865" i="97"/>
  <c r="LC865" i="97"/>
  <c r="LB865" i="97"/>
  <c r="LA865" i="97"/>
  <c r="KZ865" i="97"/>
  <c r="KY865" i="97"/>
  <c r="KX865" i="97"/>
  <c r="KW865" i="97"/>
  <c r="KV865" i="97"/>
  <c r="KU865" i="97"/>
  <c r="KT865" i="97"/>
  <c r="KS865" i="97"/>
  <c r="KR865" i="97"/>
  <c r="KQ865" i="97"/>
  <c r="KP865" i="97"/>
  <c r="KO865" i="97"/>
  <c r="KN865" i="97"/>
  <c r="KM865" i="97"/>
  <c r="KL865" i="97"/>
  <c r="KK865" i="97"/>
  <c r="KJ865" i="97"/>
  <c r="KI865" i="97"/>
  <c r="KH865" i="97"/>
  <c r="KG865" i="97"/>
  <c r="KF865" i="97"/>
  <c r="KE865" i="97"/>
  <c r="KD865" i="97"/>
  <c r="KC865" i="97"/>
  <c r="KB865" i="97"/>
  <c r="KA865" i="97"/>
  <c r="JZ865" i="97"/>
  <c r="JY865" i="97"/>
  <c r="JX865" i="97"/>
  <c r="JW865" i="97"/>
  <c r="JV865" i="97"/>
  <c r="JU865" i="97"/>
  <c r="JT865" i="97"/>
  <c r="JS865" i="97"/>
  <c r="JR865" i="97"/>
  <c r="JQ865" i="97"/>
  <c r="JP865" i="97"/>
  <c r="JO865" i="97"/>
  <c r="JN865" i="97"/>
  <c r="JM865" i="97"/>
  <c r="JL865" i="97"/>
  <c r="JK865" i="97"/>
  <c r="JJ865" i="97"/>
  <c r="JI865" i="97"/>
  <c r="JH865" i="97"/>
  <c r="JG865" i="97"/>
  <c r="JF865" i="97"/>
  <c r="JE865" i="97"/>
  <c r="JD865" i="97"/>
  <c r="JC865" i="97"/>
  <c r="JB865" i="97"/>
  <c r="JA865" i="97"/>
  <c r="IZ865" i="97"/>
  <c r="IY865" i="97"/>
  <c r="IX865" i="97"/>
  <c r="IW865" i="97"/>
  <c r="IV865" i="97"/>
  <c r="IU865" i="97"/>
  <c r="IT865" i="97"/>
  <c r="IS865" i="97"/>
  <c r="IR865" i="97"/>
  <c r="IQ865" i="97"/>
  <c r="IP865" i="97"/>
  <c r="IO865" i="97"/>
  <c r="IN865" i="97"/>
  <c r="IM865" i="97"/>
  <c r="IL865" i="97"/>
  <c r="IK865" i="97"/>
  <c r="IJ865" i="97"/>
  <c r="II865" i="97"/>
  <c r="IH865" i="97"/>
  <c r="IG865" i="97"/>
  <c r="IF865" i="97"/>
  <c r="IE865" i="97"/>
  <c r="ID865" i="97"/>
  <c r="IC865" i="97"/>
  <c r="IB865" i="97"/>
  <c r="IA865" i="97"/>
  <c r="HZ865" i="97"/>
  <c r="HY865" i="97"/>
  <c r="HX865" i="97"/>
  <c r="HW865" i="97"/>
  <c r="HV865" i="97"/>
  <c r="HU865" i="97"/>
  <c r="HT865" i="97"/>
  <c r="HS865" i="97"/>
  <c r="HR865" i="97"/>
  <c r="HQ865" i="97"/>
  <c r="HP865" i="97"/>
  <c r="HO865" i="97"/>
  <c r="HN865" i="97"/>
  <c r="HM865" i="97"/>
  <c r="HL865" i="97"/>
  <c r="HK865" i="97"/>
  <c r="HJ865" i="97"/>
  <c r="HI865" i="97"/>
  <c r="HH865" i="97"/>
  <c r="HG865" i="97"/>
  <c r="HF865" i="97"/>
  <c r="HE865" i="97"/>
  <c r="HD865" i="97"/>
  <c r="HC865" i="97"/>
  <c r="HB865" i="97"/>
  <c r="HA865" i="97"/>
  <c r="GZ865" i="97"/>
  <c r="GY865" i="97"/>
  <c r="GX865" i="97"/>
  <c r="GW865" i="97"/>
  <c r="GV865" i="97"/>
  <c r="GU865" i="97"/>
  <c r="GT865" i="97"/>
  <c r="GS865" i="97"/>
  <c r="GR865" i="97"/>
  <c r="GQ865" i="97"/>
  <c r="GP865" i="97"/>
  <c r="GO865" i="97"/>
  <c r="GN865" i="97"/>
  <c r="GM865" i="97"/>
  <c r="GL865" i="97"/>
  <c r="GK865" i="97"/>
  <c r="GJ865" i="97"/>
  <c r="GI865" i="97"/>
  <c r="GH865" i="97"/>
  <c r="GG865" i="97"/>
  <c r="GF865" i="97"/>
  <c r="GE865" i="97"/>
  <c r="GD865" i="97"/>
  <c r="GC865" i="97"/>
  <c r="GB865" i="97"/>
  <c r="GA865" i="97"/>
  <c r="FZ865" i="97"/>
  <c r="FY865" i="97"/>
  <c r="FX865" i="97"/>
  <c r="FW865" i="97"/>
  <c r="FV865" i="97"/>
  <c r="FU865" i="97"/>
  <c r="FT865" i="97"/>
  <c r="FS865" i="97"/>
  <c r="FR865" i="97"/>
  <c r="FQ865" i="97"/>
  <c r="FP865" i="97"/>
  <c r="FO865" i="97"/>
  <c r="FN865" i="97"/>
  <c r="FM865" i="97"/>
  <c r="FL865" i="97"/>
  <c r="FK865" i="97"/>
  <c r="FJ865" i="97"/>
  <c r="FI865" i="97"/>
  <c r="FH865" i="97"/>
  <c r="FG865" i="97"/>
  <c r="FF865" i="97"/>
  <c r="FE865" i="97"/>
  <c r="FD865" i="97"/>
  <c r="FC865" i="97"/>
  <c r="FB865" i="97"/>
  <c r="FA865" i="97"/>
  <c r="EZ865" i="97"/>
  <c r="EY865" i="97"/>
  <c r="EX865" i="97"/>
  <c r="EW865" i="97"/>
  <c r="EV865" i="97"/>
  <c r="EU865" i="97"/>
  <c r="ET865" i="97"/>
  <c r="ES865" i="97"/>
  <c r="ER865" i="97"/>
  <c r="EQ865" i="97"/>
  <c r="EP865" i="97"/>
  <c r="EO865" i="97"/>
  <c r="EN865" i="97"/>
  <c r="EM865" i="97"/>
  <c r="EL865" i="97"/>
  <c r="EK865" i="97"/>
  <c r="EJ865" i="97"/>
  <c r="EI865" i="97"/>
  <c r="EH865" i="97"/>
  <c r="EG865" i="97"/>
  <c r="EF865" i="97"/>
  <c r="EE865" i="97"/>
  <c r="ED865" i="97"/>
  <c r="EC865" i="97"/>
  <c r="EB865" i="97"/>
  <c r="EA865" i="97"/>
  <c r="DZ865" i="97"/>
  <c r="DY865" i="97"/>
  <c r="DX865" i="97"/>
  <c r="DW865" i="97"/>
  <c r="DV865" i="97"/>
  <c r="DU865" i="97"/>
  <c r="DT865" i="97"/>
  <c r="DS865" i="97"/>
  <c r="DR865" i="97"/>
  <c r="DQ865" i="97"/>
  <c r="DP865" i="97"/>
  <c r="DO865" i="97"/>
  <c r="DN865" i="97"/>
  <c r="DM865" i="97"/>
  <c r="DL865" i="97"/>
  <c r="DK865" i="97"/>
  <c r="DJ865" i="97"/>
  <c r="DI865" i="97"/>
  <c r="DH865" i="97"/>
  <c r="DG865" i="97"/>
  <c r="DF865" i="97"/>
  <c r="DE865" i="97"/>
  <c r="DD865" i="97"/>
  <c r="DC865" i="97"/>
  <c r="DB865" i="97"/>
  <c r="DA865" i="97"/>
  <c r="CZ865" i="97"/>
  <c r="CY865" i="97"/>
  <c r="CX865" i="97"/>
  <c r="CW865" i="97"/>
  <c r="CV865" i="97"/>
  <c r="CU865" i="97"/>
  <c r="CT865" i="97"/>
  <c r="CS865" i="97"/>
  <c r="CR865" i="97"/>
  <c r="CQ865" i="97"/>
  <c r="CP865" i="97"/>
  <c r="CO865" i="97"/>
  <c r="CN865" i="97"/>
  <c r="CM865" i="97"/>
  <c r="CL865" i="97"/>
  <c r="CK865" i="97"/>
  <c r="CJ865" i="97"/>
  <c r="CI865" i="97"/>
  <c r="CH865" i="97"/>
  <c r="CG865" i="97"/>
  <c r="CF865" i="97"/>
  <c r="CE865" i="97"/>
  <c r="CD865" i="97"/>
  <c r="CC865" i="97"/>
  <c r="CB865" i="97"/>
  <c r="CA865" i="97"/>
  <c r="BZ865" i="97"/>
  <c r="BY865" i="97"/>
  <c r="BX865" i="97"/>
  <c r="BW865" i="97"/>
  <c r="BV865" i="97"/>
  <c r="BU865" i="97"/>
  <c r="BT865" i="97"/>
  <c r="BS865" i="97"/>
  <c r="BR865" i="97"/>
  <c r="BQ865" i="97"/>
  <c r="BP865" i="97"/>
  <c r="BO865" i="97"/>
  <c r="BN865" i="97"/>
  <c r="BM865" i="97"/>
  <c r="BL865" i="97"/>
  <c r="BK865" i="97"/>
  <c r="BJ865" i="97"/>
  <c r="BI865" i="97"/>
  <c r="BH865" i="97"/>
  <c r="BG865" i="97"/>
  <c r="BF865" i="97"/>
  <c r="BE865" i="97"/>
  <c r="BD865" i="97"/>
  <c r="BC865" i="97"/>
  <c r="BB865" i="97"/>
  <c r="BA865" i="97"/>
  <c r="AZ865" i="97"/>
  <c r="AY865" i="97"/>
  <c r="AX865" i="97"/>
  <c r="AW865" i="97"/>
  <c r="AV865" i="97"/>
  <c r="AU865" i="97"/>
  <c r="AT865" i="97"/>
  <c r="AS865" i="97"/>
  <c r="AR865" i="97"/>
  <c r="AQ865" i="97"/>
  <c r="AP865" i="97"/>
  <c r="AO865" i="97"/>
  <c r="AN865" i="97"/>
  <c r="AM865" i="97"/>
  <c r="AL865" i="97"/>
  <c r="AK865" i="97"/>
  <c r="AJ865" i="97"/>
  <c r="AI865" i="97"/>
  <c r="AH865" i="97"/>
  <c r="AG865" i="97"/>
  <c r="AF865" i="97"/>
  <c r="AE865" i="97"/>
  <c r="AD865" i="97"/>
  <c r="AC865" i="97"/>
  <c r="AB865" i="97"/>
  <c r="AA865" i="97"/>
  <c r="Z865" i="97"/>
  <c r="Y865" i="97"/>
  <c r="X865" i="97"/>
  <c r="A865" i="97"/>
  <c r="MT864" i="97"/>
  <c r="MS864" i="97"/>
  <c r="MR864" i="97"/>
  <c r="MQ864" i="97"/>
  <c r="MP864" i="97"/>
  <c r="MO864" i="97"/>
  <c r="MN864" i="97"/>
  <c r="MM864" i="97"/>
  <c r="ML864" i="97"/>
  <c r="MK864" i="97"/>
  <c r="MJ864" i="97"/>
  <c r="MI864" i="97"/>
  <c r="MH864" i="97"/>
  <c r="MG864" i="97"/>
  <c r="MF864" i="97"/>
  <c r="ME864" i="97"/>
  <c r="MD864" i="97"/>
  <c r="MC864" i="97"/>
  <c r="MB864" i="97"/>
  <c r="MA864" i="97"/>
  <c r="LZ864" i="97"/>
  <c r="LY864" i="97"/>
  <c r="LX864" i="97"/>
  <c r="LW864" i="97"/>
  <c r="LV864" i="97"/>
  <c r="LU864" i="97"/>
  <c r="LT864" i="97"/>
  <c r="LS864" i="97"/>
  <c r="LR864" i="97"/>
  <c r="LQ864" i="97"/>
  <c r="LP864" i="97"/>
  <c r="LO864" i="97"/>
  <c r="LN864" i="97"/>
  <c r="LM864" i="97"/>
  <c r="LL864" i="97"/>
  <c r="LK864" i="97"/>
  <c r="LJ864" i="97"/>
  <c r="LI864" i="97"/>
  <c r="LH864" i="97"/>
  <c r="LG864" i="97"/>
  <c r="LF864" i="97"/>
  <c r="LE864" i="97"/>
  <c r="LD864" i="97"/>
  <c r="LC864" i="97"/>
  <c r="LB864" i="97"/>
  <c r="LA864" i="97"/>
  <c r="KZ864" i="97"/>
  <c r="KY864" i="97"/>
  <c r="KX864" i="97"/>
  <c r="KW864" i="97"/>
  <c r="KV864" i="97"/>
  <c r="KU864" i="97"/>
  <c r="KT864" i="97"/>
  <c r="KS864" i="97"/>
  <c r="KR864" i="97"/>
  <c r="KQ864" i="97"/>
  <c r="KP864" i="97"/>
  <c r="KO864" i="97"/>
  <c r="KN864" i="97"/>
  <c r="KM864" i="97"/>
  <c r="KL864" i="97"/>
  <c r="KK864" i="97"/>
  <c r="KJ864" i="97"/>
  <c r="KI864" i="97"/>
  <c r="KH864" i="97"/>
  <c r="KG864" i="97"/>
  <c r="KF864" i="97"/>
  <c r="KE864" i="97"/>
  <c r="KD864" i="97"/>
  <c r="KC864" i="97"/>
  <c r="KB864" i="97"/>
  <c r="KA864" i="97"/>
  <c r="JZ864" i="97"/>
  <c r="JY864" i="97"/>
  <c r="JX864" i="97"/>
  <c r="JW864" i="97"/>
  <c r="JV864" i="97"/>
  <c r="JU864" i="97"/>
  <c r="JT864" i="97"/>
  <c r="JS864" i="97"/>
  <c r="JR864" i="97"/>
  <c r="JQ864" i="97"/>
  <c r="JP864" i="97"/>
  <c r="JO864" i="97"/>
  <c r="JN864" i="97"/>
  <c r="JM864" i="97"/>
  <c r="JL864" i="97"/>
  <c r="JK864" i="97"/>
  <c r="JJ864" i="97"/>
  <c r="JI864" i="97"/>
  <c r="JH864" i="97"/>
  <c r="JG864" i="97"/>
  <c r="JF864" i="97"/>
  <c r="JE864" i="97"/>
  <c r="JD864" i="97"/>
  <c r="JC864" i="97"/>
  <c r="JB864" i="97"/>
  <c r="JA864" i="97"/>
  <c r="IZ864" i="97"/>
  <c r="IY864" i="97"/>
  <c r="IX864" i="97"/>
  <c r="IW864" i="97"/>
  <c r="IV864" i="97"/>
  <c r="IU864" i="97"/>
  <c r="IT864" i="97"/>
  <c r="IS864" i="97"/>
  <c r="IR864" i="97"/>
  <c r="IQ864" i="97"/>
  <c r="IP864" i="97"/>
  <c r="IO864" i="97"/>
  <c r="IN864" i="97"/>
  <c r="IM864" i="97"/>
  <c r="IL864" i="97"/>
  <c r="IK864" i="97"/>
  <c r="IJ864" i="97"/>
  <c r="II864" i="97"/>
  <c r="IH864" i="97"/>
  <c r="IG864" i="97"/>
  <c r="IF864" i="97"/>
  <c r="IE864" i="97"/>
  <c r="ID864" i="97"/>
  <c r="IC864" i="97"/>
  <c r="IB864" i="97"/>
  <c r="IA864" i="97"/>
  <c r="HZ864" i="97"/>
  <c r="HY864" i="97"/>
  <c r="HX864" i="97"/>
  <c r="HW864" i="97"/>
  <c r="HV864" i="97"/>
  <c r="HU864" i="97"/>
  <c r="HT864" i="97"/>
  <c r="HS864" i="97"/>
  <c r="HR864" i="97"/>
  <c r="HQ864" i="97"/>
  <c r="HP864" i="97"/>
  <c r="HO864" i="97"/>
  <c r="HN864" i="97"/>
  <c r="HM864" i="97"/>
  <c r="HL864" i="97"/>
  <c r="HK864" i="97"/>
  <c r="HJ864" i="97"/>
  <c r="HI864" i="97"/>
  <c r="HH864" i="97"/>
  <c r="HG864" i="97"/>
  <c r="HF864" i="97"/>
  <c r="HE864" i="97"/>
  <c r="HD864" i="97"/>
  <c r="HC864" i="97"/>
  <c r="HB864" i="97"/>
  <c r="HA864" i="97"/>
  <c r="GZ864" i="97"/>
  <c r="GY864" i="97"/>
  <c r="GX864" i="97"/>
  <c r="GW864" i="97"/>
  <c r="GV864" i="97"/>
  <c r="GU864" i="97"/>
  <c r="GT864" i="97"/>
  <c r="GS864" i="97"/>
  <c r="GR864" i="97"/>
  <c r="GQ864" i="97"/>
  <c r="GP864" i="97"/>
  <c r="GO864" i="97"/>
  <c r="GN864" i="97"/>
  <c r="GM864" i="97"/>
  <c r="GL864" i="97"/>
  <c r="GK864" i="97"/>
  <c r="GJ864" i="97"/>
  <c r="GI864" i="97"/>
  <c r="GH864" i="97"/>
  <c r="GG864" i="97"/>
  <c r="GF864" i="97"/>
  <c r="GE864" i="97"/>
  <c r="GD864" i="97"/>
  <c r="GC864" i="97"/>
  <c r="GB864" i="97"/>
  <c r="GA864" i="97"/>
  <c r="FZ864" i="97"/>
  <c r="FY864" i="97"/>
  <c r="FX864" i="97"/>
  <c r="FW864" i="97"/>
  <c r="FV864" i="97"/>
  <c r="FU864" i="97"/>
  <c r="FT864" i="97"/>
  <c r="FS864" i="97"/>
  <c r="FR864" i="97"/>
  <c r="FQ864" i="97"/>
  <c r="FP864" i="97"/>
  <c r="FO864" i="97"/>
  <c r="FN864" i="97"/>
  <c r="FM864" i="97"/>
  <c r="FL864" i="97"/>
  <c r="FK864" i="97"/>
  <c r="FJ864" i="97"/>
  <c r="FI864" i="97"/>
  <c r="FH864" i="97"/>
  <c r="FG864" i="97"/>
  <c r="FF864" i="97"/>
  <c r="FE864" i="97"/>
  <c r="FD864" i="97"/>
  <c r="FC864" i="97"/>
  <c r="FB864" i="97"/>
  <c r="FA864" i="97"/>
  <c r="EZ864" i="97"/>
  <c r="EY864" i="97"/>
  <c r="EX864" i="97"/>
  <c r="EW864" i="97"/>
  <c r="EV864" i="97"/>
  <c r="EU864" i="97"/>
  <c r="ET864" i="97"/>
  <c r="ES864" i="97"/>
  <c r="ER864" i="97"/>
  <c r="EQ864" i="97"/>
  <c r="EP864" i="97"/>
  <c r="EO864" i="97"/>
  <c r="EN864" i="97"/>
  <c r="EM864" i="97"/>
  <c r="EL864" i="97"/>
  <c r="EK864" i="97"/>
  <c r="EJ864" i="97"/>
  <c r="EI864" i="97"/>
  <c r="EH864" i="97"/>
  <c r="EG864" i="97"/>
  <c r="EF864" i="97"/>
  <c r="EE864" i="97"/>
  <c r="ED864" i="97"/>
  <c r="EC864" i="97"/>
  <c r="EB864" i="97"/>
  <c r="EA864" i="97"/>
  <c r="DZ864" i="97"/>
  <c r="DY864" i="97"/>
  <c r="DX864" i="97"/>
  <c r="DW864" i="97"/>
  <c r="DV864" i="97"/>
  <c r="DU864" i="97"/>
  <c r="DT864" i="97"/>
  <c r="DS864" i="97"/>
  <c r="DR864" i="97"/>
  <c r="DQ864" i="97"/>
  <c r="DP864" i="97"/>
  <c r="DO864" i="97"/>
  <c r="DN864" i="97"/>
  <c r="DM864" i="97"/>
  <c r="DL864" i="97"/>
  <c r="DK864" i="97"/>
  <c r="DJ864" i="97"/>
  <c r="DI864" i="97"/>
  <c r="DH864" i="97"/>
  <c r="DG864" i="97"/>
  <c r="DF864" i="97"/>
  <c r="DE864" i="97"/>
  <c r="DD864" i="97"/>
  <c r="DC864" i="97"/>
  <c r="DB864" i="97"/>
  <c r="DA864" i="97"/>
  <c r="CZ864" i="97"/>
  <c r="CY864" i="97"/>
  <c r="CX864" i="97"/>
  <c r="CW864" i="97"/>
  <c r="CV864" i="97"/>
  <c r="CU864" i="97"/>
  <c r="CT864" i="97"/>
  <c r="CS864" i="97"/>
  <c r="CR864" i="97"/>
  <c r="CQ864" i="97"/>
  <c r="CP864" i="97"/>
  <c r="CO864" i="97"/>
  <c r="CN864" i="97"/>
  <c r="CM864" i="97"/>
  <c r="CL864" i="97"/>
  <c r="CK864" i="97"/>
  <c r="CJ864" i="97"/>
  <c r="CI864" i="97"/>
  <c r="CH864" i="97"/>
  <c r="CG864" i="97"/>
  <c r="CF864" i="97"/>
  <c r="CE864" i="97"/>
  <c r="CD864" i="97"/>
  <c r="CC864" i="97"/>
  <c r="CB864" i="97"/>
  <c r="CA864" i="97"/>
  <c r="BZ864" i="97"/>
  <c r="BY864" i="97"/>
  <c r="BX864" i="97"/>
  <c r="BW864" i="97"/>
  <c r="BV864" i="97"/>
  <c r="BU864" i="97"/>
  <c r="BT864" i="97"/>
  <c r="BS864" i="97"/>
  <c r="BR864" i="97"/>
  <c r="BQ864" i="97"/>
  <c r="BP864" i="97"/>
  <c r="BO864" i="97"/>
  <c r="BN864" i="97"/>
  <c r="BM864" i="97"/>
  <c r="BL864" i="97"/>
  <c r="BK864" i="97"/>
  <c r="BJ864" i="97"/>
  <c r="BI864" i="97"/>
  <c r="BH864" i="97"/>
  <c r="BG864" i="97"/>
  <c r="BF864" i="97"/>
  <c r="BE864" i="97"/>
  <c r="BD864" i="97"/>
  <c r="BC864" i="97"/>
  <c r="BB864" i="97"/>
  <c r="BA864" i="97"/>
  <c r="AZ864" i="97"/>
  <c r="AY864" i="97"/>
  <c r="AX864" i="97"/>
  <c r="AW864" i="97"/>
  <c r="AV864" i="97"/>
  <c r="AU864" i="97"/>
  <c r="AT864" i="97"/>
  <c r="AS864" i="97"/>
  <c r="AR864" i="97"/>
  <c r="AQ864" i="97"/>
  <c r="AP864" i="97"/>
  <c r="AO864" i="97"/>
  <c r="AN864" i="97"/>
  <c r="AM864" i="97"/>
  <c r="AL864" i="97"/>
  <c r="AK864" i="97"/>
  <c r="AJ864" i="97"/>
  <c r="AI864" i="97"/>
  <c r="AH864" i="97"/>
  <c r="AG864" i="97"/>
  <c r="AF864" i="97"/>
  <c r="AE864" i="97"/>
  <c r="AD864" i="97"/>
  <c r="AC864" i="97"/>
  <c r="AB864" i="97"/>
  <c r="AA864" i="97"/>
  <c r="Z864" i="97"/>
  <c r="Y864" i="97"/>
  <c r="X864" i="97"/>
  <c r="A864" i="97"/>
  <c r="MT863" i="97"/>
  <c r="MS863" i="97"/>
  <c r="MR863" i="97"/>
  <c r="MQ863" i="97"/>
  <c r="MP863" i="97"/>
  <c r="MO863" i="97"/>
  <c r="MN863" i="97"/>
  <c r="MM863" i="97"/>
  <c r="ML863" i="97"/>
  <c r="MK863" i="97"/>
  <c r="MJ863" i="97"/>
  <c r="MI863" i="97"/>
  <c r="MH863" i="97"/>
  <c r="MG863" i="97"/>
  <c r="MF863" i="97"/>
  <c r="ME863" i="97"/>
  <c r="MD863" i="97"/>
  <c r="MC863" i="97"/>
  <c r="MB863" i="97"/>
  <c r="MA863" i="97"/>
  <c r="LZ863" i="97"/>
  <c r="LY863" i="97"/>
  <c r="LX863" i="97"/>
  <c r="LW863" i="97"/>
  <c r="LV863" i="97"/>
  <c r="LU863" i="97"/>
  <c r="LT863" i="97"/>
  <c r="LS863" i="97"/>
  <c r="LR863" i="97"/>
  <c r="LQ863" i="97"/>
  <c r="LP863" i="97"/>
  <c r="LO863" i="97"/>
  <c r="LN863" i="97"/>
  <c r="LM863" i="97"/>
  <c r="LL863" i="97"/>
  <c r="LK863" i="97"/>
  <c r="LJ863" i="97"/>
  <c r="LI863" i="97"/>
  <c r="LH863" i="97"/>
  <c r="LG863" i="97"/>
  <c r="LF863" i="97"/>
  <c r="LE863" i="97"/>
  <c r="LD863" i="97"/>
  <c r="LC863" i="97"/>
  <c r="LB863" i="97"/>
  <c r="LA863" i="97"/>
  <c r="KZ863" i="97"/>
  <c r="KY863" i="97"/>
  <c r="KX863" i="97"/>
  <c r="KW863" i="97"/>
  <c r="KV863" i="97"/>
  <c r="KU863" i="97"/>
  <c r="KT863" i="97"/>
  <c r="KS863" i="97"/>
  <c r="KR863" i="97"/>
  <c r="KQ863" i="97"/>
  <c r="KP863" i="97"/>
  <c r="KO863" i="97"/>
  <c r="KN863" i="97"/>
  <c r="KM863" i="97"/>
  <c r="KL863" i="97"/>
  <c r="KK863" i="97"/>
  <c r="KJ863" i="97"/>
  <c r="KI863" i="97"/>
  <c r="KH863" i="97"/>
  <c r="KG863" i="97"/>
  <c r="KF863" i="97"/>
  <c r="KE863" i="97"/>
  <c r="KD863" i="97"/>
  <c r="KC863" i="97"/>
  <c r="KB863" i="97"/>
  <c r="KA863" i="97"/>
  <c r="JZ863" i="97"/>
  <c r="JY863" i="97"/>
  <c r="JX863" i="97"/>
  <c r="JW863" i="97"/>
  <c r="JV863" i="97"/>
  <c r="JU863" i="97"/>
  <c r="JT863" i="97"/>
  <c r="JS863" i="97"/>
  <c r="JR863" i="97"/>
  <c r="JQ863" i="97"/>
  <c r="JP863" i="97"/>
  <c r="JO863" i="97"/>
  <c r="JN863" i="97"/>
  <c r="JM863" i="97"/>
  <c r="JL863" i="97"/>
  <c r="JK863" i="97"/>
  <c r="JJ863" i="97"/>
  <c r="JI863" i="97"/>
  <c r="JH863" i="97"/>
  <c r="JG863" i="97"/>
  <c r="JF863" i="97"/>
  <c r="JE863" i="97"/>
  <c r="JD863" i="97"/>
  <c r="JC863" i="97"/>
  <c r="JB863" i="97"/>
  <c r="JA863" i="97"/>
  <c r="IZ863" i="97"/>
  <c r="IY863" i="97"/>
  <c r="IX863" i="97"/>
  <c r="IW863" i="97"/>
  <c r="IV863" i="97"/>
  <c r="IU863" i="97"/>
  <c r="IT863" i="97"/>
  <c r="IS863" i="97"/>
  <c r="IR863" i="97"/>
  <c r="IQ863" i="97"/>
  <c r="IP863" i="97"/>
  <c r="IO863" i="97"/>
  <c r="IN863" i="97"/>
  <c r="IM863" i="97"/>
  <c r="IL863" i="97"/>
  <c r="IK863" i="97"/>
  <c r="IJ863" i="97"/>
  <c r="II863" i="97"/>
  <c r="IH863" i="97"/>
  <c r="IG863" i="97"/>
  <c r="IF863" i="97"/>
  <c r="IE863" i="97"/>
  <c r="ID863" i="97"/>
  <c r="IC863" i="97"/>
  <c r="IB863" i="97"/>
  <c r="IA863" i="97"/>
  <c r="HZ863" i="97"/>
  <c r="HY863" i="97"/>
  <c r="HX863" i="97"/>
  <c r="HW863" i="97"/>
  <c r="HV863" i="97"/>
  <c r="HU863" i="97"/>
  <c r="HT863" i="97"/>
  <c r="HS863" i="97"/>
  <c r="HR863" i="97"/>
  <c r="HQ863" i="97"/>
  <c r="HP863" i="97"/>
  <c r="HO863" i="97"/>
  <c r="HN863" i="97"/>
  <c r="HM863" i="97"/>
  <c r="HL863" i="97"/>
  <c r="HK863" i="97"/>
  <c r="HJ863" i="97"/>
  <c r="HI863" i="97"/>
  <c r="HH863" i="97"/>
  <c r="HG863" i="97"/>
  <c r="HF863" i="97"/>
  <c r="HE863" i="97"/>
  <c r="HD863" i="97"/>
  <c r="HC863" i="97"/>
  <c r="HB863" i="97"/>
  <c r="HA863" i="97"/>
  <c r="GZ863" i="97"/>
  <c r="GY863" i="97"/>
  <c r="GX863" i="97"/>
  <c r="GW863" i="97"/>
  <c r="GV863" i="97"/>
  <c r="GU863" i="97"/>
  <c r="GT863" i="97"/>
  <c r="GS863" i="97"/>
  <c r="GR863" i="97"/>
  <c r="GQ863" i="97"/>
  <c r="GP863" i="97"/>
  <c r="GO863" i="97"/>
  <c r="GN863" i="97"/>
  <c r="GM863" i="97"/>
  <c r="GL863" i="97"/>
  <c r="GK863" i="97"/>
  <c r="GJ863" i="97"/>
  <c r="GI863" i="97"/>
  <c r="GH863" i="97"/>
  <c r="GG863" i="97"/>
  <c r="GF863" i="97"/>
  <c r="GE863" i="97"/>
  <c r="GD863" i="97"/>
  <c r="GC863" i="97"/>
  <c r="GB863" i="97"/>
  <c r="GA863" i="97"/>
  <c r="FZ863" i="97"/>
  <c r="FY863" i="97"/>
  <c r="FX863" i="97"/>
  <c r="FW863" i="97"/>
  <c r="FV863" i="97"/>
  <c r="FU863" i="97"/>
  <c r="FT863" i="97"/>
  <c r="FS863" i="97"/>
  <c r="FR863" i="97"/>
  <c r="FQ863" i="97"/>
  <c r="FP863" i="97"/>
  <c r="FO863" i="97"/>
  <c r="FN863" i="97"/>
  <c r="FM863" i="97"/>
  <c r="FL863" i="97"/>
  <c r="FK863" i="97"/>
  <c r="FJ863" i="97"/>
  <c r="FI863" i="97"/>
  <c r="FH863" i="97"/>
  <c r="FG863" i="97"/>
  <c r="FF863" i="97"/>
  <c r="FE863" i="97"/>
  <c r="FD863" i="97"/>
  <c r="FC863" i="97"/>
  <c r="FB863" i="97"/>
  <c r="FA863" i="97"/>
  <c r="EZ863" i="97"/>
  <c r="EY863" i="97"/>
  <c r="EX863" i="97"/>
  <c r="EW863" i="97"/>
  <c r="EV863" i="97"/>
  <c r="EU863" i="97"/>
  <c r="ET863" i="97"/>
  <c r="ES863" i="97"/>
  <c r="ER863" i="97"/>
  <c r="EQ863" i="97"/>
  <c r="EP863" i="97"/>
  <c r="EO863" i="97"/>
  <c r="EN863" i="97"/>
  <c r="EM863" i="97"/>
  <c r="EL863" i="97"/>
  <c r="EK863" i="97"/>
  <c r="EJ863" i="97"/>
  <c r="EI863" i="97"/>
  <c r="EH863" i="97"/>
  <c r="EG863" i="97"/>
  <c r="EF863" i="97"/>
  <c r="EE863" i="97"/>
  <c r="ED863" i="97"/>
  <c r="EC863" i="97"/>
  <c r="EB863" i="97"/>
  <c r="EA863" i="97"/>
  <c r="DZ863" i="97"/>
  <c r="DY863" i="97"/>
  <c r="DX863" i="97"/>
  <c r="DW863" i="97"/>
  <c r="DV863" i="97"/>
  <c r="DU863" i="97"/>
  <c r="DT863" i="97"/>
  <c r="DS863" i="97"/>
  <c r="DR863" i="97"/>
  <c r="DQ863" i="97"/>
  <c r="DP863" i="97"/>
  <c r="DO863" i="97"/>
  <c r="DN863" i="97"/>
  <c r="DM863" i="97"/>
  <c r="DL863" i="97"/>
  <c r="DK863" i="97"/>
  <c r="DJ863" i="97"/>
  <c r="DI863" i="97"/>
  <c r="DH863" i="97"/>
  <c r="DG863" i="97"/>
  <c r="DF863" i="97"/>
  <c r="DE863" i="97"/>
  <c r="DD863" i="97"/>
  <c r="DC863" i="97"/>
  <c r="DB863" i="97"/>
  <c r="DA863" i="97"/>
  <c r="CZ863" i="97"/>
  <c r="CY863" i="97"/>
  <c r="CX863" i="97"/>
  <c r="CW863" i="97"/>
  <c r="CV863" i="97"/>
  <c r="CU863" i="97"/>
  <c r="CT863" i="97"/>
  <c r="CS863" i="97"/>
  <c r="CR863" i="97"/>
  <c r="CQ863" i="97"/>
  <c r="CP863" i="97"/>
  <c r="CO863" i="97"/>
  <c r="CN863" i="97"/>
  <c r="CM863" i="97"/>
  <c r="CL863" i="97"/>
  <c r="CK863" i="97"/>
  <c r="CJ863" i="97"/>
  <c r="CI863" i="97"/>
  <c r="CH863" i="97"/>
  <c r="CG863" i="97"/>
  <c r="CF863" i="97"/>
  <c r="CE863" i="97"/>
  <c r="CD863" i="97"/>
  <c r="CC863" i="97"/>
  <c r="CB863" i="97"/>
  <c r="CA863" i="97"/>
  <c r="BZ863" i="97"/>
  <c r="BY863" i="97"/>
  <c r="BX863" i="97"/>
  <c r="BW863" i="97"/>
  <c r="BV863" i="97"/>
  <c r="BU863" i="97"/>
  <c r="BT863" i="97"/>
  <c r="BS863" i="97"/>
  <c r="BR863" i="97"/>
  <c r="BQ863" i="97"/>
  <c r="BP863" i="97"/>
  <c r="BO863" i="97"/>
  <c r="BN863" i="97"/>
  <c r="BM863" i="97"/>
  <c r="BL863" i="97"/>
  <c r="BK863" i="97"/>
  <c r="BJ863" i="97"/>
  <c r="BI863" i="97"/>
  <c r="BH863" i="97"/>
  <c r="BG863" i="97"/>
  <c r="BF863" i="97"/>
  <c r="BE863" i="97"/>
  <c r="BD863" i="97"/>
  <c r="BC863" i="97"/>
  <c r="BB863" i="97"/>
  <c r="BA863" i="97"/>
  <c r="AZ863" i="97"/>
  <c r="AY863" i="97"/>
  <c r="AX863" i="97"/>
  <c r="AW863" i="97"/>
  <c r="AV863" i="97"/>
  <c r="AU863" i="97"/>
  <c r="AT863" i="97"/>
  <c r="AS863" i="97"/>
  <c r="AR863" i="97"/>
  <c r="AQ863" i="97"/>
  <c r="AP863" i="97"/>
  <c r="AO863" i="97"/>
  <c r="AN863" i="97"/>
  <c r="AM863" i="97"/>
  <c r="AL863" i="97"/>
  <c r="AK863" i="97"/>
  <c r="AJ863" i="97"/>
  <c r="AI863" i="97"/>
  <c r="AH863" i="97"/>
  <c r="AG863" i="97"/>
  <c r="AF863" i="97"/>
  <c r="AE863" i="97"/>
  <c r="AD863" i="97"/>
  <c r="AC863" i="97"/>
  <c r="AB863" i="97"/>
  <c r="AA863" i="97"/>
  <c r="Z863" i="97"/>
  <c r="Y863" i="97"/>
  <c r="X863" i="97"/>
  <c r="A863" i="97"/>
  <c r="MT862" i="97"/>
  <c r="MS862" i="97"/>
  <c r="MR862" i="97"/>
  <c r="MQ862" i="97"/>
  <c r="MP862" i="97"/>
  <c r="MO862" i="97"/>
  <c r="MN862" i="97"/>
  <c r="MM862" i="97"/>
  <c r="ML862" i="97"/>
  <c r="MK862" i="97"/>
  <c r="MJ862" i="97"/>
  <c r="MI862" i="97"/>
  <c r="MH862" i="97"/>
  <c r="MG862" i="97"/>
  <c r="MF862" i="97"/>
  <c r="ME862" i="97"/>
  <c r="MD862" i="97"/>
  <c r="MC862" i="97"/>
  <c r="MB862" i="97"/>
  <c r="MA862" i="97"/>
  <c r="LZ862" i="97"/>
  <c r="LY862" i="97"/>
  <c r="LX862" i="97"/>
  <c r="LW862" i="97"/>
  <c r="LV862" i="97"/>
  <c r="LU862" i="97"/>
  <c r="LT862" i="97"/>
  <c r="LS862" i="97"/>
  <c r="LR862" i="97"/>
  <c r="LQ862" i="97"/>
  <c r="LP862" i="97"/>
  <c r="LO862" i="97"/>
  <c r="LN862" i="97"/>
  <c r="LM862" i="97"/>
  <c r="LL862" i="97"/>
  <c r="LK862" i="97"/>
  <c r="LJ862" i="97"/>
  <c r="LI862" i="97"/>
  <c r="LH862" i="97"/>
  <c r="LG862" i="97"/>
  <c r="LF862" i="97"/>
  <c r="LE862" i="97"/>
  <c r="LD862" i="97"/>
  <c r="LC862" i="97"/>
  <c r="LB862" i="97"/>
  <c r="LA862" i="97"/>
  <c r="KZ862" i="97"/>
  <c r="KY862" i="97"/>
  <c r="KX862" i="97"/>
  <c r="KW862" i="97"/>
  <c r="KV862" i="97"/>
  <c r="KU862" i="97"/>
  <c r="KT862" i="97"/>
  <c r="KS862" i="97"/>
  <c r="KR862" i="97"/>
  <c r="KQ862" i="97"/>
  <c r="KP862" i="97"/>
  <c r="KO862" i="97"/>
  <c r="KN862" i="97"/>
  <c r="KM862" i="97"/>
  <c r="KL862" i="97"/>
  <c r="KK862" i="97"/>
  <c r="KJ862" i="97"/>
  <c r="KI862" i="97"/>
  <c r="KH862" i="97"/>
  <c r="KG862" i="97"/>
  <c r="KF862" i="97"/>
  <c r="KE862" i="97"/>
  <c r="KD862" i="97"/>
  <c r="KC862" i="97"/>
  <c r="KB862" i="97"/>
  <c r="KA862" i="97"/>
  <c r="JZ862" i="97"/>
  <c r="JY862" i="97"/>
  <c r="JX862" i="97"/>
  <c r="JW862" i="97"/>
  <c r="JV862" i="97"/>
  <c r="JU862" i="97"/>
  <c r="JT862" i="97"/>
  <c r="JS862" i="97"/>
  <c r="JR862" i="97"/>
  <c r="JQ862" i="97"/>
  <c r="JP862" i="97"/>
  <c r="JO862" i="97"/>
  <c r="JN862" i="97"/>
  <c r="JM862" i="97"/>
  <c r="JL862" i="97"/>
  <c r="JK862" i="97"/>
  <c r="JJ862" i="97"/>
  <c r="JI862" i="97"/>
  <c r="JH862" i="97"/>
  <c r="JG862" i="97"/>
  <c r="JF862" i="97"/>
  <c r="JE862" i="97"/>
  <c r="JD862" i="97"/>
  <c r="JC862" i="97"/>
  <c r="JB862" i="97"/>
  <c r="JA862" i="97"/>
  <c r="IZ862" i="97"/>
  <c r="IY862" i="97"/>
  <c r="IX862" i="97"/>
  <c r="IW862" i="97"/>
  <c r="IV862" i="97"/>
  <c r="IU862" i="97"/>
  <c r="IT862" i="97"/>
  <c r="IS862" i="97"/>
  <c r="IR862" i="97"/>
  <c r="IQ862" i="97"/>
  <c r="IP862" i="97"/>
  <c r="IO862" i="97"/>
  <c r="IN862" i="97"/>
  <c r="IM862" i="97"/>
  <c r="IL862" i="97"/>
  <c r="IK862" i="97"/>
  <c r="IJ862" i="97"/>
  <c r="II862" i="97"/>
  <c r="IH862" i="97"/>
  <c r="IG862" i="97"/>
  <c r="IF862" i="97"/>
  <c r="IE862" i="97"/>
  <c r="ID862" i="97"/>
  <c r="IC862" i="97"/>
  <c r="IB862" i="97"/>
  <c r="IA862" i="97"/>
  <c r="HZ862" i="97"/>
  <c r="HY862" i="97"/>
  <c r="HX862" i="97"/>
  <c r="HW862" i="97"/>
  <c r="HV862" i="97"/>
  <c r="HU862" i="97"/>
  <c r="HT862" i="97"/>
  <c r="HS862" i="97"/>
  <c r="HR862" i="97"/>
  <c r="HQ862" i="97"/>
  <c r="HP862" i="97"/>
  <c r="HO862" i="97"/>
  <c r="HN862" i="97"/>
  <c r="HM862" i="97"/>
  <c r="HL862" i="97"/>
  <c r="HK862" i="97"/>
  <c r="HJ862" i="97"/>
  <c r="HI862" i="97"/>
  <c r="HH862" i="97"/>
  <c r="HG862" i="97"/>
  <c r="HF862" i="97"/>
  <c r="HE862" i="97"/>
  <c r="HD862" i="97"/>
  <c r="HC862" i="97"/>
  <c r="HB862" i="97"/>
  <c r="HA862" i="97"/>
  <c r="GZ862" i="97"/>
  <c r="GY862" i="97"/>
  <c r="GX862" i="97"/>
  <c r="GW862" i="97"/>
  <c r="GV862" i="97"/>
  <c r="GU862" i="97"/>
  <c r="GT862" i="97"/>
  <c r="GS862" i="97"/>
  <c r="GR862" i="97"/>
  <c r="GQ862" i="97"/>
  <c r="GP862" i="97"/>
  <c r="GO862" i="97"/>
  <c r="GN862" i="97"/>
  <c r="GM862" i="97"/>
  <c r="GL862" i="97"/>
  <c r="GK862" i="97"/>
  <c r="GJ862" i="97"/>
  <c r="GI862" i="97"/>
  <c r="GH862" i="97"/>
  <c r="GG862" i="97"/>
  <c r="GF862" i="97"/>
  <c r="GE862" i="97"/>
  <c r="GD862" i="97"/>
  <c r="GC862" i="97"/>
  <c r="GB862" i="97"/>
  <c r="GA862" i="97"/>
  <c r="FZ862" i="97"/>
  <c r="FY862" i="97"/>
  <c r="FX862" i="97"/>
  <c r="FW862" i="97"/>
  <c r="FV862" i="97"/>
  <c r="FU862" i="97"/>
  <c r="FT862" i="97"/>
  <c r="FS862" i="97"/>
  <c r="FR862" i="97"/>
  <c r="FQ862" i="97"/>
  <c r="FP862" i="97"/>
  <c r="FO862" i="97"/>
  <c r="FN862" i="97"/>
  <c r="FM862" i="97"/>
  <c r="FL862" i="97"/>
  <c r="FK862" i="97"/>
  <c r="FJ862" i="97"/>
  <c r="FI862" i="97"/>
  <c r="FH862" i="97"/>
  <c r="FG862" i="97"/>
  <c r="FF862" i="97"/>
  <c r="FE862" i="97"/>
  <c r="FD862" i="97"/>
  <c r="FC862" i="97"/>
  <c r="FB862" i="97"/>
  <c r="FA862" i="97"/>
  <c r="EZ862" i="97"/>
  <c r="EY862" i="97"/>
  <c r="EX862" i="97"/>
  <c r="EW862" i="97"/>
  <c r="EV862" i="97"/>
  <c r="EU862" i="97"/>
  <c r="ET862" i="97"/>
  <c r="ES862" i="97"/>
  <c r="ER862" i="97"/>
  <c r="EQ862" i="97"/>
  <c r="EP862" i="97"/>
  <c r="EO862" i="97"/>
  <c r="EN862" i="97"/>
  <c r="EM862" i="97"/>
  <c r="EL862" i="97"/>
  <c r="EK862" i="97"/>
  <c r="EJ862" i="97"/>
  <c r="EI862" i="97"/>
  <c r="EH862" i="97"/>
  <c r="EG862" i="97"/>
  <c r="EF862" i="97"/>
  <c r="EE862" i="97"/>
  <c r="ED862" i="97"/>
  <c r="EC862" i="97"/>
  <c r="EB862" i="97"/>
  <c r="EA862" i="97"/>
  <c r="DZ862" i="97"/>
  <c r="DY862" i="97"/>
  <c r="DX862" i="97"/>
  <c r="DW862" i="97"/>
  <c r="DV862" i="97"/>
  <c r="DU862" i="97"/>
  <c r="DT862" i="97"/>
  <c r="DS862" i="97"/>
  <c r="DR862" i="97"/>
  <c r="DQ862" i="97"/>
  <c r="DP862" i="97"/>
  <c r="DO862" i="97"/>
  <c r="DN862" i="97"/>
  <c r="DM862" i="97"/>
  <c r="DL862" i="97"/>
  <c r="DK862" i="97"/>
  <c r="DJ862" i="97"/>
  <c r="DI862" i="97"/>
  <c r="DH862" i="97"/>
  <c r="DG862" i="97"/>
  <c r="DF862" i="97"/>
  <c r="DE862" i="97"/>
  <c r="DD862" i="97"/>
  <c r="DC862" i="97"/>
  <c r="DB862" i="97"/>
  <c r="DA862" i="97"/>
  <c r="CZ862" i="97"/>
  <c r="CY862" i="97"/>
  <c r="CX862" i="97"/>
  <c r="CW862" i="97"/>
  <c r="CV862" i="97"/>
  <c r="CU862" i="97"/>
  <c r="CT862" i="97"/>
  <c r="CS862" i="97"/>
  <c r="CR862" i="97"/>
  <c r="CQ862" i="97"/>
  <c r="CP862" i="97"/>
  <c r="CO862" i="97"/>
  <c r="CN862" i="97"/>
  <c r="CM862" i="97"/>
  <c r="CL862" i="97"/>
  <c r="CK862" i="97"/>
  <c r="CJ862" i="97"/>
  <c r="CI862" i="97"/>
  <c r="CH862" i="97"/>
  <c r="CG862" i="97"/>
  <c r="CF862" i="97"/>
  <c r="CE862" i="97"/>
  <c r="CD862" i="97"/>
  <c r="CC862" i="97"/>
  <c r="CB862" i="97"/>
  <c r="CA862" i="97"/>
  <c r="BZ862" i="97"/>
  <c r="BY862" i="97"/>
  <c r="BX862" i="97"/>
  <c r="BW862" i="97"/>
  <c r="BV862" i="97"/>
  <c r="BU862" i="97"/>
  <c r="BT862" i="97"/>
  <c r="BS862" i="97"/>
  <c r="BR862" i="97"/>
  <c r="BQ862" i="97"/>
  <c r="BP862" i="97"/>
  <c r="BO862" i="97"/>
  <c r="BN862" i="97"/>
  <c r="BM862" i="97"/>
  <c r="BL862" i="97"/>
  <c r="BK862" i="97"/>
  <c r="BJ862" i="97"/>
  <c r="BI862" i="97"/>
  <c r="BH862" i="97"/>
  <c r="BG862" i="97"/>
  <c r="BF862" i="97"/>
  <c r="BE862" i="97"/>
  <c r="BD862" i="97"/>
  <c r="BC862" i="97"/>
  <c r="BB862" i="97"/>
  <c r="BA862" i="97"/>
  <c r="AZ862" i="97"/>
  <c r="AY862" i="97"/>
  <c r="AX862" i="97"/>
  <c r="AW862" i="97"/>
  <c r="AV862" i="97"/>
  <c r="AU862" i="97"/>
  <c r="AT862" i="97"/>
  <c r="AS862" i="97"/>
  <c r="AR862" i="97"/>
  <c r="AQ862" i="97"/>
  <c r="AP862" i="97"/>
  <c r="AO862" i="97"/>
  <c r="AN862" i="97"/>
  <c r="AM862" i="97"/>
  <c r="AL862" i="97"/>
  <c r="AK862" i="97"/>
  <c r="AJ862" i="97"/>
  <c r="AI862" i="97"/>
  <c r="AH862" i="97"/>
  <c r="AG862" i="97"/>
  <c r="AF862" i="97"/>
  <c r="AE862" i="97"/>
  <c r="AD862" i="97"/>
  <c r="AC862" i="97"/>
  <c r="AB862" i="97"/>
  <c r="AA862" i="97"/>
  <c r="Z862" i="97"/>
  <c r="Y862" i="97"/>
  <c r="X862" i="97"/>
  <c r="A862" i="97"/>
  <c r="MT861" i="97"/>
  <c r="MS861" i="97"/>
  <c r="MR861" i="97"/>
  <c r="MQ861" i="97"/>
  <c r="MP861" i="97"/>
  <c r="MO861" i="97"/>
  <c r="MN861" i="97"/>
  <c r="MM861" i="97"/>
  <c r="ML861" i="97"/>
  <c r="MK861" i="97"/>
  <c r="MJ861" i="97"/>
  <c r="MI861" i="97"/>
  <c r="MH861" i="97"/>
  <c r="MG861" i="97"/>
  <c r="MF861" i="97"/>
  <c r="ME861" i="97"/>
  <c r="MD861" i="97"/>
  <c r="MC861" i="97"/>
  <c r="MB861" i="97"/>
  <c r="MA861" i="97"/>
  <c r="LZ861" i="97"/>
  <c r="LY861" i="97"/>
  <c r="LX861" i="97"/>
  <c r="LW861" i="97"/>
  <c r="LV861" i="97"/>
  <c r="LU861" i="97"/>
  <c r="LT861" i="97"/>
  <c r="LS861" i="97"/>
  <c r="LR861" i="97"/>
  <c r="LQ861" i="97"/>
  <c r="LP861" i="97"/>
  <c r="LO861" i="97"/>
  <c r="LN861" i="97"/>
  <c r="LM861" i="97"/>
  <c r="LL861" i="97"/>
  <c r="LK861" i="97"/>
  <c r="LJ861" i="97"/>
  <c r="LI861" i="97"/>
  <c r="LH861" i="97"/>
  <c r="LG861" i="97"/>
  <c r="LF861" i="97"/>
  <c r="LE861" i="97"/>
  <c r="LD861" i="97"/>
  <c r="LC861" i="97"/>
  <c r="LB861" i="97"/>
  <c r="LA861" i="97"/>
  <c r="KZ861" i="97"/>
  <c r="KY861" i="97"/>
  <c r="KX861" i="97"/>
  <c r="KW861" i="97"/>
  <c r="KV861" i="97"/>
  <c r="KU861" i="97"/>
  <c r="KT861" i="97"/>
  <c r="KS861" i="97"/>
  <c r="KR861" i="97"/>
  <c r="KQ861" i="97"/>
  <c r="KP861" i="97"/>
  <c r="KO861" i="97"/>
  <c r="KN861" i="97"/>
  <c r="KM861" i="97"/>
  <c r="KL861" i="97"/>
  <c r="KK861" i="97"/>
  <c r="KJ861" i="97"/>
  <c r="KI861" i="97"/>
  <c r="KH861" i="97"/>
  <c r="KG861" i="97"/>
  <c r="KF861" i="97"/>
  <c r="KE861" i="97"/>
  <c r="KD861" i="97"/>
  <c r="KC861" i="97"/>
  <c r="KB861" i="97"/>
  <c r="KA861" i="97"/>
  <c r="JZ861" i="97"/>
  <c r="JY861" i="97"/>
  <c r="JX861" i="97"/>
  <c r="JW861" i="97"/>
  <c r="JV861" i="97"/>
  <c r="JU861" i="97"/>
  <c r="JT861" i="97"/>
  <c r="JS861" i="97"/>
  <c r="JR861" i="97"/>
  <c r="JQ861" i="97"/>
  <c r="JP861" i="97"/>
  <c r="JO861" i="97"/>
  <c r="JN861" i="97"/>
  <c r="JM861" i="97"/>
  <c r="JL861" i="97"/>
  <c r="JK861" i="97"/>
  <c r="JJ861" i="97"/>
  <c r="JI861" i="97"/>
  <c r="JH861" i="97"/>
  <c r="JG861" i="97"/>
  <c r="JF861" i="97"/>
  <c r="JE861" i="97"/>
  <c r="JD861" i="97"/>
  <c r="JC861" i="97"/>
  <c r="JB861" i="97"/>
  <c r="JA861" i="97"/>
  <c r="IZ861" i="97"/>
  <c r="IY861" i="97"/>
  <c r="IX861" i="97"/>
  <c r="IW861" i="97"/>
  <c r="IV861" i="97"/>
  <c r="IU861" i="97"/>
  <c r="IT861" i="97"/>
  <c r="IS861" i="97"/>
  <c r="IR861" i="97"/>
  <c r="IQ861" i="97"/>
  <c r="IP861" i="97"/>
  <c r="IO861" i="97"/>
  <c r="IN861" i="97"/>
  <c r="IM861" i="97"/>
  <c r="IL861" i="97"/>
  <c r="IK861" i="97"/>
  <c r="IJ861" i="97"/>
  <c r="II861" i="97"/>
  <c r="IH861" i="97"/>
  <c r="IG861" i="97"/>
  <c r="IF861" i="97"/>
  <c r="IE861" i="97"/>
  <c r="ID861" i="97"/>
  <c r="IC861" i="97"/>
  <c r="IB861" i="97"/>
  <c r="IA861" i="97"/>
  <c r="HZ861" i="97"/>
  <c r="HY861" i="97"/>
  <c r="HX861" i="97"/>
  <c r="HW861" i="97"/>
  <c r="HV861" i="97"/>
  <c r="HU861" i="97"/>
  <c r="HT861" i="97"/>
  <c r="HS861" i="97"/>
  <c r="HR861" i="97"/>
  <c r="HQ861" i="97"/>
  <c r="HP861" i="97"/>
  <c r="HO861" i="97"/>
  <c r="HN861" i="97"/>
  <c r="HM861" i="97"/>
  <c r="HL861" i="97"/>
  <c r="HK861" i="97"/>
  <c r="HJ861" i="97"/>
  <c r="HI861" i="97"/>
  <c r="HH861" i="97"/>
  <c r="HG861" i="97"/>
  <c r="HF861" i="97"/>
  <c r="HE861" i="97"/>
  <c r="HD861" i="97"/>
  <c r="HC861" i="97"/>
  <c r="HB861" i="97"/>
  <c r="HA861" i="97"/>
  <c r="GZ861" i="97"/>
  <c r="GY861" i="97"/>
  <c r="GX861" i="97"/>
  <c r="GW861" i="97"/>
  <c r="GV861" i="97"/>
  <c r="GU861" i="97"/>
  <c r="GT861" i="97"/>
  <c r="GS861" i="97"/>
  <c r="GR861" i="97"/>
  <c r="GQ861" i="97"/>
  <c r="GP861" i="97"/>
  <c r="GO861" i="97"/>
  <c r="GN861" i="97"/>
  <c r="GM861" i="97"/>
  <c r="GL861" i="97"/>
  <c r="GK861" i="97"/>
  <c r="GJ861" i="97"/>
  <c r="GI861" i="97"/>
  <c r="GH861" i="97"/>
  <c r="GG861" i="97"/>
  <c r="GF861" i="97"/>
  <c r="GE861" i="97"/>
  <c r="GD861" i="97"/>
  <c r="GC861" i="97"/>
  <c r="GB861" i="97"/>
  <c r="GA861" i="97"/>
  <c r="FZ861" i="97"/>
  <c r="FY861" i="97"/>
  <c r="FX861" i="97"/>
  <c r="FW861" i="97"/>
  <c r="FV861" i="97"/>
  <c r="FU861" i="97"/>
  <c r="FT861" i="97"/>
  <c r="FS861" i="97"/>
  <c r="FR861" i="97"/>
  <c r="FQ861" i="97"/>
  <c r="FP861" i="97"/>
  <c r="FO861" i="97"/>
  <c r="FN861" i="97"/>
  <c r="FM861" i="97"/>
  <c r="FL861" i="97"/>
  <c r="FK861" i="97"/>
  <c r="FJ861" i="97"/>
  <c r="FI861" i="97"/>
  <c r="FH861" i="97"/>
  <c r="FG861" i="97"/>
  <c r="FF861" i="97"/>
  <c r="FE861" i="97"/>
  <c r="FD861" i="97"/>
  <c r="FC861" i="97"/>
  <c r="FB861" i="97"/>
  <c r="FA861" i="97"/>
  <c r="EZ861" i="97"/>
  <c r="EY861" i="97"/>
  <c r="EX861" i="97"/>
  <c r="EW861" i="97"/>
  <c r="EV861" i="97"/>
  <c r="EU861" i="97"/>
  <c r="ET861" i="97"/>
  <c r="ES861" i="97"/>
  <c r="ER861" i="97"/>
  <c r="EQ861" i="97"/>
  <c r="EP861" i="97"/>
  <c r="EO861" i="97"/>
  <c r="EN861" i="97"/>
  <c r="EM861" i="97"/>
  <c r="EL861" i="97"/>
  <c r="EK861" i="97"/>
  <c r="EJ861" i="97"/>
  <c r="EI861" i="97"/>
  <c r="EH861" i="97"/>
  <c r="EG861" i="97"/>
  <c r="EF861" i="97"/>
  <c r="EE861" i="97"/>
  <c r="ED861" i="97"/>
  <c r="EC861" i="97"/>
  <c r="EB861" i="97"/>
  <c r="EA861" i="97"/>
  <c r="DZ861" i="97"/>
  <c r="DY861" i="97"/>
  <c r="DX861" i="97"/>
  <c r="DW861" i="97"/>
  <c r="DV861" i="97"/>
  <c r="DU861" i="97"/>
  <c r="DT861" i="97"/>
  <c r="DS861" i="97"/>
  <c r="DR861" i="97"/>
  <c r="DQ861" i="97"/>
  <c r="DP861" i="97"/>
  <c r="DO861" i="97"/>
  <c r="DN861" i="97"/>
  <c r="DM861" i="97"/>
  <c r="DL861" i="97"/>
  <c r="DK861" i="97"/>
  <c r="DJ861" i="97"/>
  <c r="DI861" i="97"/>
  <c r="DH861" i="97"/>
  <c r="DG861" i="97"/>
  <c r="DF861" i="97"/>
  <c r="DE861" i="97"/>
  <c r="DD861" i="97"/>
  <c r="DC861" i="97"/>
  <c r="DB861" i="97"/>
  <c r="DA861" i="97"/>
  <c r="CZ861" i="97"/>
  <c r="CY861" i="97"/>
  <c r="CX861" i="97"/>
  <c r="CW861" i="97"/>
  <c r="CV861" i="97"/>
  <c r="CU861" i="97"/>
  <c r="CT861" i="97"/>
  <c r="CS861" i="97"/>
  <c r="CR861" i="97"/>
  <c r="CQ861" i="97"/>
  <c r="CP861" i="97"/>
  <c r="CO861" i="97"/>
  <c r="CN861" i="97"/>
  <c r="CM861" i="97"/>
  <c r="CL861" i="97"/>
  <c r="CK861" i="97"/>
  <c r="CJ861" i="97"/>
  <c r="CI861" i="97"/>
  <c r="CH861" i="97"/>
  <c r="CG861" i="97"/>
  <c r="CF861" i="97"/>
  <c r="CE861" i="97"/>
  <c r="CD861" i="97"/>
  <c r="CC861" i="97"/>
  <c r="CB861" i="97"/>
  <c r="CA861" i="97"/>
  <c r="BZ861" i="97"/>
  <c r="BY861" i="97"/>
  <c r="BX861" i="97"/>
  <c r="BW861" i="97"/>
  <c r="BV861" i="97"/>
  <c r="BU861" i="97"/>
  <c r="BT861" i="97"/>
  <c r="BS861" i="97"/>
  <c r="BR861" i="97"/>
  <c r="BQ861" i="97"/>
  <c r="BP861" i="97"/>
  <c r="BO861" i="97"/>
  <c r="BN861" i="97"/>
  <c r="BM861" i="97"/>
  <c r="BL861" i="97"/>
  <c r="BK861" i="97"/>
  <c r="BJ861" i="97"/>
  <c r="BI861" i="97"/>
  <c r="BH861" i="97"/>
  <c r="BG861" i="97"/>
  <c r="BF861" i="97"/>
  <c r="BE861" i="97"/>
  <c r="BD861" i="97"/>
  <c r="BC861" i="97"/>
  <c r="BB861" i="97"/>
  <c r="BA861" i="97"/>
  <c r="AZ861" i="97"/>
  <c r="AY861" i="97"/>
  <c r="AX861" i="97"/>
  <c r="AW861" i="97"/>
  <c r="AV861" i="97"/>
  <c r="AU861" i="97"/>
  <c r="AT861" i="97"/>
  <c r="AS861" i="97"/>
  <c r="AR861" i="97"/>
  <c r="AQ861" i="97"/>
  <c r="AP861" i="97"/>
  <c r="AO861" i="97"/>
  <c r="AN861" i="97"/>
  <c r="AM861" i="97"/>
  <c r="AL861" i="97"/>
  <c r="AK861" i="97"/>
  <c r="AJ861" i="97"/>
  <c r="AI861" i="97"/>
  <c r="AH861" i="97"/>
  <c r="AG861" i="97"/>
  <c r="AF861" i="97"/>
  <c r="AE861" i="97"/>
  <c r="AD861" i="97"/>
  <c r="AC861" i="97"/>
  <c r="AB861" i="97"/>
  <c r="AA861" i="97"/>
  <c r="Z861" i="97"/>
  <c r="Y861" i="97"/>
  <c r="X861" i="97"/>
  <c r="A861" i="97"/>
  <c r="MT860" i="97"/>
  <c r="MS860" i="97"/>
  <c r="MR860" i="97"/>
  <c r="MQ860" i="97"/>
  <c r="MP860" i="97"/>
  <c r="MO860" i="97"/>
  <c r="MN860" i="97"/>
  <c r="MM860" i="97"/>
  <c r="ML860" i="97"/>
  <c r="MK860" i="97"/>
  <c r="MJ860" i="97"/>
  <c r="MI860" i="97"/>
  <c r="MH860" i="97"/>
  <c r="MG860" i="97"/>
  <c r="MF860" i="97"/>
  <c r="ME860" i="97"/>
  <c r="MD860" i="97"/>
  <c r="MC860" i="97"/>
  <c r="MB860" i="97"/>
  <c r="MA860" i="97"/>
  <c r="LZ860" i="97"/>
  <c r="LY860" i="97"/>
  <c r="LX860" i="97"/>
  <c r="LW860" i="97"/>
  <c r="LV860" i="97"/>
  <c r="LU860" i="97"/>
  <c r="LT860" i="97"/>
  <c r="LS860" i="97"/>
  <c r="LR860" i="97"/>
  <c r="LQ860" i="97"/>
  <c r="LP860" i="97"/>
  <c r="LO860" i="97"/>
  <c r="LN860" i="97"/>
  <c r="LM860" i="97"/>
  <c r="LL860" i="97"/>
  <c r="LK860" i="97"/>
  <c r="LJ860" i="97"/>
  <c r="LI860" i="97"/>
  <c r="LH860" i="97"/>
  <c r="LG860" i="97"/>
  <c r="LF860" i="97"/>
  <c r="LE860" i="97"/>
  <c r="LD860" i="97"/>
  <c r="LC860" i="97"/>
  <c r="LB860" i="97"/>
  <c r="LA860" i="97"/>
  <c r="KZ860" i="97"/>
  <c r="KY860" i="97"/>
  <c r="KX860" i="97"/>
  <c r="KW860" i="97"/>
  <c r="KV860" i="97"/>
  <c r="KU860" i="97"/>
  <c r="KT860" i="97"/>
  <c r="KS860" i="97"/>
  <c r="KR860" i="97"/>
  <c r="KQ860" i="97"/>
  <c r="KP860" i="97"/>
  <c r="KO860" i="97"/>
  <c r="KN860" i="97"/>
  <c r="KM860" i="97"/>
  <c r="KL860" i="97"/>
  <c r="KK860" i="97"/>
  <c r="KJ860" i="97"/>
  <c r="KI860" i="97"/>
  <c r="KH860" i="97"/>
  <c r="KG860" i="97"/>
  <c r="KF860" i="97"/>
  <c r="KE860" i="97"/>
  <c r="KD860" i="97"/>
  <c r="KC860" i="97"/>
  <c r="KB860" i="97"/>
  <c r="KA860" i="97"/>
  <c r="JZ860" i="97"/>
  <c r="JY860" i="97"/>
  <c r="JX860" i="97"/>
  <c r="JW860" i="97"/>
  <c r="JV860" i="97"/>
  <c r="JU860" i="97"/>
  <c r="JT860" i="97"/>
  <c r="JS860" i="97"/>
  <c r="JR860" i="97"/>
  <c r="JQ860" i="97"/>
  <c r="JP860" i="97"/>
  <c r="JO860" i="97"/>
  <c r="JN860" i="97"/>
  <c r="JM860" i="97"/>
  <c r="JL860" i="97"/>
  <c r="JK860" i="97"/>
  <c r="JJ860" i="97"/>
  <c r="JI860" i="97"/>
  <c r="JH860" i="97"/>
  <c r="JG860" i="97"/>
  <c r="JF860" i="97"/>
  <c r="JE860" i="97"/>
  <c r="JD860" i="97"/>
  <c r="JC860" i="97"/>
  <c r="JB860" i="97"/>
  <c r="JA860" i="97"/>
  <c r="IZ860" i="97"/>
  <c r="IY860" i="97"/>
  <c r="IX860" i="97"/>
  <c r="IW860" i="97"/>
  <c r="IV860" i="97"/>
  <c r="IU860" i="97"/>
  <c r="IT860" i="97"/>
  <c r="IS860" i="97"/>
  <c r="IR860" i="97"/>
  <c r="IQ860" i="97"/>
  <c r="IP860" i="97"/>
  <c r="IO860" i="97"/>
  <c r="IN860" i="97"/>
  <c r="IM860" i="97"/>
  <c r="IL860" i="97"/>
  <c r="IK860" i="97"/>
  <c r="IJ860" i="97"/>
  <c r="II860" i="97"/>
  <c r="IH860" i="97"/>
  <c r="IG860" i="97"/>
  <c r="IF860" i="97"/>
  <c r="IE860" i="97"/>
  <c r="ID860" i="97"/>
  <c r="IC860" i="97"/>
  <c r="IB860" i="97"/>
  <c r="IA860" i="97"/>
  <c r="HZ860" i="97"/>
  <c r="HY860" i="97"/>
  <c r="HX860" i="97"/>
  <c r="HW860" i="97"/>
  <c r="HV860" i="97"/>
  <c r="HU860" i="97"/>
  <c r="HT860" i="97"/>
  <c r="HS860" i="97"/>
  <c r="HR860" i="97"/>
  <c r="HQ860" i="97"/>
  <c r="HP860" i="97"/>
  <c r="HO860" i="97"/>
  <c r="HN860" i="97"/>
  <c r="HM860" i="97"/>
  <c r="HL860" i="97"/>
  <c r="HK860" i="97"/>
  <c r="HJ860" i="97"/>
  <c r="HI860" i="97"/>
  <c r="HH860" i="97"/>
  <c r="HG860" i="97"/>
  <c r="HF860" i="97"/>
  <c r="HE860" i="97"/>
  <c r="HD860" i="97"/>
  <c r="HC860" i="97"/>
  <c r="HB860" i="97"/>
  <c r="HA860" i="97"/>
  <c r="GZ860" i="97"/>
  <c r="GY860" i="97"/>
  <c r="GX860" i="97"/>
  <c r="GW860" i="97"/>
  <c r="GV860" i="97"/>
  <c r="GU860" i="97"/>
  <c r="GT860" i="97"/>
  <c r="GS860" i="97"/>
  <c r="GR860" i="97"/>
  <c r="GQ860" i="97"/>
  <c r="GP860" i="97"/>
  <c r="GO860" i="97"/>
  <c r="GN860" i="97"/>
  <c r="GM860" i="97"/>
  <c r="GL860" i="97"/>
  <c r="GK860" i="97"/>
  <c r="GJ860" i="97"/>
  <c r="GI860" i="97"/>
  <c r="GH860" i="97"/>
  <c r="GG860" i="97"/>
  <c r="GF860" i="97"/>
  <c r="GE860" i="97"/>
  <c r="GD860" i="97"/>
  <c r="GC860" i="97"/>
  <c r="GB860" i="97"/>
  <c r="GA860" i="97"/>
  <c r="FZ860" i="97"/>
  <c r="FY860" i="97"/>
  <c r="FX860" i="97"/>
  <c r="FW860" i="97"/>
  <c r="FV860" i="97"/>
  <c r="FU860" i="97"/>
  <c r="FT860" i="97"/>
  <c r="FS860" i="97"/>
  <c r="FR860" i="97"/>
  <c r="FQ860" i="97"/>
  <c r="FP860" i="97"/>
  <c r="FO860" i="97"/>
  <c r="FN860" i="97"/>
  <c r="FM860" i="97"/>
  <c r="FL860" i="97"/>
  <c r="FK860" i="97"/>
  <c r="FJ860" i="97"/>
  <c r="FI860" i="97"/>
  <c r="FH860" i="97"/>
  <c r="FG860" i="97"/>
  <c r="FF860" i="97"/>
  <c r="FE860" i="97"/>
  <c r="FD860" i="97"/>
  <c r="FC860" i="97"/>
  <c r="FB860" i="97"/>
  <c r="FA860" i="97"/>
  <c r="EZ860" i="97"/>
  <c r="EY860" i="97"/>
  <c r="EX860" i="97"/>
  <c r="EW860" i="97"/>
  <c r="EV860" i="97"/>
  <c r="EU860" i="97"/>
  <c r="ET860" i="97"/>
  <c r="ES860" i="97"/>
  <c r="ER860" i="97"/>
  <c r="EQ860" i="97"/>
  <c r="EP860" i="97"/>
  <c r="EO860" i="97"/>
  <c r="EN860" i="97"/>
  <c r="EM860" i="97"/>
  <c r="EL860" i="97"/>
  <c r="EK860" i="97"/>
  <c r="EJ860" i="97"/>
  <c r="EI860" i="97"/>
  <c r="EH860" i="97"/>
  <c r="EG860" i="97"/>
  <c r="EF860" i="97"/>
  <c r="EE860" i="97"/>
  <c r="ED860" i="97"/>
  <c r="EC860" i="97"/>
  <c r="EB860" i="97"/>
  <c r="EA860" i="97"/>
  <c r="DZ860" i="97"/>
  <c r="DY860" i="97"/>
  <c r="DX860" i="97"/>
  <c r="DW860" i="97"/>
  <c r="DV860" i="97"/>
  <c r="DU860" i="97"/>
  <c r="DT860" i="97"/>
  <c r="DS860" i="97"/>
  <c r="DR860" i="97"/>
  <c r="DQ860" i="97"/>
  <c r="DP860" i="97"/>
  <c r="DO860" i="97"/>
  <c r="DN860" i="97"/>
  <c r="DM860" i="97"/>
  <c r="DL860" i="97"/>
  <c r="DK860" i="97"/>
  <c r="DJ860" i="97"/>
  <c r="DI860" i="97"/>
  <c r="DH860" i="97"/>
  <c r="DG860" i="97"/>
  <c r="DF860" i="97"/>
  <c r="DE860" i="97"/>
  <c r="DD860" i="97"/>
  <c r="DC860" i="97"/>
  <c r="DB860" i="97"/>
  <c r="DA860" i="97"/>
  <c r="CZ860" i="97"/>
  <c r="CY860" i="97"/>
  <c r="CX860" i="97"/>
  <c r="CW860" i="97"/>
  <c r="CV860" i="97"/>
  <c r="CU860" i="97"/>
  <c r="CT860" i="97"/>
  <c r="CS860" i="97"/>
  <c r="CR860" i="97"/>
  <c r="CQ860" i="97"/>
  <c r="CP860" i="97"/>
  <c r="CO860" i="97"/>
  <c r="CN860" i="97"/>
  <c r="CM860" i="97"/>
  <c r="CL860" i="97"/>
  <c r="CK860" i="97"/>
  <c r="CJ860" i="97"/>
  <c r="CI860" i="97"/>
  <c r="CH860" i="97"/>
  <c r="CG860" i="97"/>
  <c r="CF860" i="97"/>
  <c r="CE860" i="97"/>
  <c r="CD860" i="97"/>
  <c r="CC860" i="97"/>
  <c r="CB860" i="97"/>
  <c r="CA860" i="97"/>
  <c r="BZ860" i="97"/>
  <c r="BY860" i="97"/>
  <c r="BX860" i="97"/>
  <c r="BW860" i="97"/>
  <c r="BV860" i="97"/>
  <c r="BU860" i="97"/>
  <c r="BT860" i="97"/>
  <c r="BS860" i="97"/>
  <c r="BR860" i="97"/>
  <c r="BQ860" i="97"/>
  <c r="BP860" i="97"/>
  <c r="BO860" i="97"/>
  <c r="BN860" i="97"/>
  <c r="BM860" i="97"/>
  <c r="BL860" i="97"/>
  <c r="BK860" i="97"/>
  <c r="BJ860" i="97"/>
  <c r="BI860" i="97"/>
  <c r="BH860" i="97"/>
  <c r="BG860" i="97"/>
  <c r="BF860" i="97"/>
  <c r="BE860" i="97"/>
  <c r="BD860" i="97"/>
  <c r="BC860" i="97"/>
  <c r="BB860" i="97"/>
  <c r="BA860" i="97"/>
  <c r="AZ860" i="97"/>
  <c r="AY860" i="97"/>
  <c r="AX860" i="97"/>
  <c r="AW860" i="97"/>
  <c r="AV860" i="97"/>
  <c r="AU860" i="97"/>
  <c r="AT860" i="97"/>
  <c r="AS860" i="97"/>
  <c r="AR860" i="97"/>
  <c r="AQ860" i="97"/>
  <c r="AP860" i="97"/>
  <c r="AO860" i="97"/>
  <c r="AN860" i="97"/>
  <c r="AM860" i="97"/>
  <c r="AL860" i="97"/>
  <c r="AK860" i="97"/>
  <c r="AJ860" i="97"/>
  <c r="AI860" i="97"/>
  <c r="AH860" i="97"/>
  <c r="AG860" i="97"/>
  <c r="AF860" i="97"/>
  <c r="AE860" i="97"/>
  <c r="AD860" i="97"/>
  <c r="AC860" i="97"/>
  <c r="AB860" i="97"/>
  <c r="AA860" i="97"/>
  <c r="Z860" i="97"/>
  <c r="Y860" i="97"/>
  <c r="X860" i="97"/>
  <c r="A860" i="97"/>
  <c r="MT859" i="97"/>
  <c r="MS859" i="97"/>
  <c r="MR859" i="97"/>
  <c r="MQ859" i="97"/>
  <c r="MP859" i="97"/>
  <c r="MO859" i="97"/>
  <c r="MN859" i="97"/>
  <c r="MM859" i="97"/>
  <c r="ML859" i="97"/>
  <c r="MK859" i="97"/>
  <c r="MJ859" i="97"/>
  <c r="MI859" i="97"/>
  <c r="MH859" i="97"/>
  <c r="MG859" i="97"/>
  <c r="MF859" i="97"/>
  <c r="ME859" i="97"/>
  <c r="MD859" i="97"/>
  <c r="MC859" i="97"/>
  <c r="MB859" i="97"/>
  <c r="MA859" i="97"/>
  <c r="LZ859" i="97"/>
  <c r="LY859" i="97"/>
  <c r="LX859" i="97"/>
  <c r="LW859" i="97"/>
  <c r="LV859" i="97"/>
  <c r="LU859" i="97"/>
  <c r="LT859" i="97"/>
  <c r="LS859" i="97"/>
  <c r="LR859" i="97"/>
  <c r="LQ859" i="97"/>
  <c r="LP859" i="97"/>
  <c r="LO859" i="97"/>
  <c r="LN859" i="97"/>
  <c r="LM859" i="97"/>
  <c r="LL859" i="97"/>
  <c r="LK859" i="97"/>
  <c r="LJ859" i="97"/>
  <c r="LI859" i="97"/>
  <c r="LH859" i="97"/>
  <c r="LG859" i="97"/>
  <c r="LF859" i="97"/>
  <c r="LE859" i="97"/>
  <c r="LD859" i="97"/>
  <c r="LC859" i="97"/>
  <c r="LB859" i="97"/>
  <c r="LA859" i="97"/>
  <c r="KZ859" i="97"/>
  <c r="KY859" i="97"/>
  <c r="KX859" i="97"/>
  <c r="KW859" i="97"/>
  <c r="KV859" i="97"/>
  <c r="KU859" i="97"/>
  <c r="KT859" i="97"/>
  <c r="KS859" i="97"/>
  <c r="KR859" i="97"/>
  <c r="KQ859" i="97"/>
  <c r="KP859" i="97"/>
  <c r="KO859" i="97"/>
  <c r="KN859" i="97"/>
  <c r="KM859" i="97"/>
  <c r="KL859" i="97"/>
  <c r="KK859" i="97"/>
  <c r="KJ859" i="97"/>
  <c r="KI859" i="97"/>
  <c r="KH859" i="97"/>
  <c r="KG859" i="97"/>
  <c r="KF859" i="97"/>
  <c r="KE859" i="97"/>
  <c r="KD859" i="97"/>
  <c r="KC859" i="97"/>
  <c r="KB859" i="97"/>
  <c r="KA859" i="97"/>
  <c r="JZ859" i="97"/>
  <c r="JY859" i="97"/>
  <c r="JX859" i="97"/>
  <c r="JW859" i="97"/>
  <c r="JV859" i="97"/>
  <c r="JU859" i="97"/>
  <c r="JT859" i="97"/>
  <c r="JS859" i="97"/>
  <c r="JR859" i="97"/>
  <c r="JQ859" i="97"/>
  <c r="JP859" i="97"/>
  <c r="JO859" i="97"/>
  <c r="JN859" i="97"/>
  <c r="JM859" i="97"/>
  <c r="JL859" i="97"/>
  <c r="JK859" i="97"/>
  <c r="JJ859" i="97"/>
  <c r="JI859" i="97"/>
  <c r="JH859" i="97"/>
  <c r="JG859" i="97"/>
  <c r="JF859" i="97"/>
  <c r="JE859" i="97"/>
  <c r="JD859" i="97"/>
  <c r="JC859" i="97"/>
  <c r="JB859" i="97"/>
  <c r="JA859" i="97"/>
  <c r="IZ859" i="97"/>
  <c r="IY859" i="97"/>
  <c r="IX859" i="97"/>
  <c r="IW859" i="97"/>
  <c r="IV859" i="97"/>
  <c r="IU859" i="97"/>
  <c r="IT859" i="97"/>
  <c r="IS859" i="97"/>
  <c r="IR859" i="97"/>
  <c r="IQ859" i="97"/>
  <c r="IP859" i="97"/>
  <c r="IO859" i="97"/>
  <c r="IN859" i="97"/>
  <c r="IM859" i="97"/>
  <c r="IL859" i="97"/>
  <c r="IK859" i="97"/>
  <c r="IJ859" i="97"/>
  <c r="II859" i="97"/>
  <c r="IH859" i="97"/>
  <c r="IG859" i="97"/>
  <c r="IF859" i="97"/>
  <c r="IE859" i="97"/>
  <c r="ID859" i="97"/>
  <c r="IC859" i="97"/>
  <c r="IB859" i="97"/>
  <c r="IA859" i="97"/>
  <c r="HZ859" i="97"/>
  <c r="HY859" i="97"/>
  <c r="HX859" i="97"/>
  <c r="HW859" i="97"/>
  <c r="HV859" i="97"/>
  <c r="HU859" i="97"/>
  <c r="HT859" i="97"/>
  <c r="HS859" i="97"/>
  <c r="HR859" i="97"/>
  <c r="HQ859" i="97"/>
  <c r="HP859" i="97"/>
  <c r="HO859" i="97"/>
  <c r="HN859" i="97"/>
  <c r="HM859" i="97"/>
  <c r="HL859" i="97"/>
  <c r="HK859" i="97"/>
  <c r="HJ859" i="97"/>
  <c r="HI859" i="97"/>
  <c r="HH859" i="97"/>
  <c r="HG859" i="97"/>
  <c r="HF859" i="97"/>
  <c r="HE859" i="97"/>
  <c r="HD859" i="97"/>
  <c r="HC859" i="97"/>
  <c r="HB859" i="97"/>
  <c r="HA859" i="97"/>
  <c r="GZ859" i="97"/>
  <c r="GY859" i="97"/>
  <c r="GX859" i="97"/>
  <c r="GW859" i="97"/>
  <c r="GV859" i="97"/>
  <c r="GU859" i="97"/>
  <c r="GT859" i="97"/>
  <c r="GS859" i="97"/>
  <c r="GR859" i="97"/>
  <c r="GQ859" i="97"/>
  <c r="GP859" i="97"/>
  <c r="GO859" i="97"/>
  <c r="GN859" i="97"/>
  <c r="GM859" i="97"/>
  <c r="GL859" i="97"/>
  <c r="GK859" i="97"/>
  <c r="GJ859" i="97"/>
  <c r="GI859" i="97"/>
  <c r="GH859" i="97"/>
  <c r="GG859" i="97"/>
  <c r="GF859" i="97"/>
  <c r="GE859" i="97"/>
  <c r="GD859" i="97"/>
  <c r="GC859" i="97"/>
  <c r="GB859" i="97"/>
  <c r="GA859" i="97"/>
  <c r="FZ859" i="97"/>
  <c r="FY859" i="97"/>
  <c r="FX859" i="97"/>
  <c r="FW859" i="97"/>
  <c r="FV859" i="97"/>
  <c r="FU859" i="97"/>
  <c r="FT859" i="97"/>
  <c r="FS859" i="97"/>
  <c r="FR859" i="97"/>
  <c r="FQ859" i="97"/>
  <c r="FP859" i="97"/>
  <c r="FO859" i="97"/>
  <c r="FN859" i="97"/>
  <c r="FM859" i="97"/>
  <c r="FL859" i="97"/>
  <c r="FK859" i="97"/>
  <c r="FJ859" i="97"/>
  <c r="FI859" i="97"/>
  <c r="FH859" i="97"/>
  <c r="FG859" i="97"/>
  <c r="FF859" i="97"/>
  <c r="FE859" i="97"/>
  <c r="FD859" i="97"/>
  <c r="FC859" i="97"/>
  <c r="FB859" i="97"/>
  <c r="FA859" i="97"/>
  <c r="EZ859" i="97"/>
  <c r="EY859" i="97"/>
  <c r="EX859" i="97"/>
  <c r="EW859" i="97"/>
  <c r="EV859" i="97"/>
  <c r="EU859" i="97"/>
  <c r="ET859" i="97"/>
  <c r="ES859" i="97"/>
  <c r="ER859" i="97"/>
  <c r="EQ859" i="97"/>
  <c r="EP859" i="97"/>
  <c r="EO859" i="97"/>
  <c r="EN859" i="97"/>
  <c r="EM859" i="97"/>
  <c r="EL859" i="97"/>
  <c r="EK859" i="97"/>
  <c r="EJ859" i="97"/>
  <c r="EI859" i="97"/>
  <c r="EH859" i="97"/>
  <c r="EG859" i="97"/>
  <c r="EF859" i="97"/>
  <c r="EE859" i="97"/>
  <c r="ED859" i="97"/>
  <c r="EC859" i="97"/>
  <c r="EB859" i="97"/>
  <c r="EA859" i="97"/>
  <c r="DZ859" i="97"/>
  <c r="DY859" i="97"/>
  <c r="DX859" i="97"/>
  <c r="DW859" i="97"/>
  <c r="DV859" i="97"/>
  <c r="DU859" i="97"/>
  <c r="DT859" i="97"/>
  <c r="DS859" i="97"/>
  <c r="DR859" i="97"/>
  <c r="DQ859" i="97"/>
  <c r="DP859" i="97"/>
  <c r="DO859" i="97"/>
  <c r="DN859" i="97"/>
  <c r="DM859" i="97"/>
  <c r="DL859" i="97"/>
  <c r="DK859" i="97"/>
  <c r="DJ859" i="97"/>
  <c r="DI859" i="97"/>
  <c r="DH859" i="97"/>
  <c r="DG859" i="97"/>
  <c r="DF859" i="97"/>
  <c r="DE859" i="97"/>
  <c r="DD859" i="97"/>
  <c r="DC859" i="97"/>
  <c r="DB859" i="97"/>
  <c r="DA859" i="97"/>
  <c r="CZ859" i="97"/>
  <c r="CY859" i="97"/>
  <c r="CX859" i="97"/>
  <c r="CW859" i="97"/>
  <c r="CV859" i="97"/>
  <c r="CU859" i="97"/>
  <c r="CT859" i="97"/>
  <c r="CS859" i="97"/>
  <c r="CR859" i="97"/>
  <c r="CQ859" i="97"/>
  <c r="CP859" i="97"/>
  <c r="CO859" i="97"/>
  <c r="CN859" i="97"/>
  <c r="CM859" i="97"/>
  <c r="CL859" i="97"/>
  <c r="CK859" i="97"/>
  <c r="CJ859" i="97"/>
  <c r="CI859" i="97"/>
  <c r="CH859" i="97"/>
  <c r="CG859" i="97"/>
  <c r="CF859" i="97"/>
  <c r="CE859" i="97"/>
  <c r="CD859" i="97"/>
  <c r="CC859" i="97"/>
  <c r="CB859" i="97"/>
  <c r="CA859" i="97"/>
  <c r="BZ859" i="97"/>
  <c r="BY859" i="97"/>
  <c r="BX859" i="97"/>
  <c r="BW859" i="97"/>
  <c r="BV859" i="97"/>
  <c r="BU859" i="97"/>
  <c r="BT859" i="97"/>
  <c r="BS859" i="97"/>
  <c r="BR859" i="97"/>
  <c r="BQ859" i="97"/>
  <c r="BP859" i="97"/>
  <c r="BO859" i="97"/>
  <c r="BN859" i="97"/>
  <c r="BM859" i="97"/>
  <c r="BL859" i="97"/>
  <c r="BK859" i="97"/>
  <c r="BJ859" i="97"/>
  <c r="BI859" i="97"/>
  <c r="BH859" i="97"/>
  <c r="BG859" i="97"/>
  <c r="BF859" i="97"/>
  <c r="BE859" i="97"/>
  <c r="BD859" i="97"/>
  <c r="BC859" i="97"/>
  <c r="BB859" i="97"/>
  <c r="BA859" i="97"/>
  <c r="AZ859" i="97"/>
  <c r="AY859" i="97"/>
  <c r="AX859" i="97"/>
  <c r="AW859" i="97"/>
  <c r="AV859" i="97"/>
  <c r="AU859" i="97"/>
  <c r="AT859" i="97"/>
  <c r="AS859" i="97"/>
  <c r="AR859" i="97"/>
  <c r="AQ859" i="97"/>
  <c r="AP859" i="97"/>
  <c r="AO859" i="97"/>
  <c r="AN859" i="97"/>
  <c r="AM859" i="97"/>
  <c r="AL859" i="97"/>
  <c r="AK859" i="97"/>
  <c r="AJ859" i="97"/>
  <c r="AI859" i="97"/>
  <c r="AH859" i="97"/>
  <c r="AG859" i="97"/>
  <c r="AF859" i="97"/>
  <c r="AE859" i="97"/>
  <c r="AD859" i="97"/>
  <c r="AC859" i="97"/>
  <c r="AB859" i="97"/>
  <c r="AA859" i="97"/>
  <c r="Z859" i="97"/>
  <c r="Y859" i="97"/>
  <c r="X859" i="97"/>
  <c r="A859" i="97"/>
  <c r="MT858" i="97"/>
  <c r="MS858" i="97"/>
  <c r="MR858" i="97"/>
  <c r="MQ858" i="97"/>
  <c r="MP858" i="97"/>
  <c r="MO858" i="97"/>
  <c r="MN858" i="97"/>
  <c r="MM858" i="97"/>
  <c r="ML858" i="97"/>
  <c r="MK858" i="97"/>
  <c r="MJ858" i="97"/>
  <c r="MI858" i="97"/>
  <c r="MH858" i="97"/>
  <c r="MG858" i="97"/>
  <c r="MF858" i="97"/>
  <c r="ME858" i="97"/>
  <c r="MD858" i="97"/>
  <c r="MC858" i="97"/>
  <c r="MB858" i="97"/>
  <c r="MA858" i="97"/>
  <c r="LZ858" i="97"/>
  <c r="LY858" i="97"/>
  <c r="LX858" i="97"/>
  <c r="LW858" i="97"/>
  <c r="LV858" i="97"/>
  <c r="LU858" i="97"/>
  <c r="LT858" i="97"/>
  <c r="LS858" i="97"/>
  <c r="LR858" i="97"/>
  <c r="LQ858" i="97"/>
  <c r="LP858" i="97"/>
  <c r="LO858" i="97"/>
  <c r="LN858" i="97"/>
  <c r="LM858" i="97"/>
  <c r="LL858" i="97"/>
  <c r="LK858" i="97"/>
  <c r="LJ858" i="97"/>
  <c r="LI858" i="97"/>
  <c r="LH858" i="97"/>
  <c r="LG858" i="97"/>
  <c r="LF858" i="97"/>
  <c r="LE858" i="97"/>
  <c r="LD858" i="97"/>
  <c r="LC858" i="97"/>
  <c r="LB858" i="97"/>
  <c r="LA858" i="97"/>
  <c r="KZ858" i="97"/>
  <c r="KY858" i="97"/>
  <c r="KX858" i="97"/>
  <c r="KW858" i="97"/>
  <c r="KV858" i="97"/>
  <c r="KU858" i="97"/>
  <c r="KT858" i="97"/>
  <c r="KS858" i="97"/>
  <c r="KR858" i="97"/>
  <c r="KQ858" i="97"/>
  <c r="KP858" i="97"/>
  <c r="KO858" i="97"/>
  <c r="KN858" i="97"/>
  <c r="KM858" i="97"/>
  <c r="KL858" i="97"/>
  <c r="KK858" i="97"/>
  <c r="KJ858" i="97"/>
  <c r="KI858" i="97"/>
  <c r="KH858" i="97"/>
  <c r="KG858" i="97"/>
  <c r="KF858" i="97"/>
  <c r="KE858" i="97"/>
  <c r="KD858" i="97"/>
  <c r="KC858" i="97"/>
  <c r="KB858" i="97"/>
  <c r="KA858" i="97"/>
  <c r="JZ858" i="97"/>
  <c r="JY858" i="97"/>
  <c r="JX858" i="97"/>
  <c r="JW858" i="97"/>
  <c r="JV858" i="97"/>
  <c r="JU858" i="97"/>
  <c r="JT858" i="97"/>
  <c r="JS858" i="97"/>
  <c r="JR858" i="97"/>
  <c r="JQ858" i="97"/>
  <c r="JP858" i="97"/>
  <c r="JO858" i="97"/>
  <c r="JN858" i="97"/>
  <c r="JM858" i="97"/>
  <c r="JL858" i="97"/>
  <c r="JK858" i="97"/>
  <c r="JJ858" i="97"/>
  <c r="JI858" i="97"/>
  <c r="JH858" i="97"/>
  <c r="JG858" i="97"/>
  <c r="JF858" i="97"/>
  <c r="JE858" i="97"/>
  <c r="JD858" i="97"/>
  <c r="JC858" i="97"/>
  <c r="JB858" i="97"/>
  <c r="JA858" i="97"/>
  <c r="IZ858" i="97"/>
  <c r="IY858" i="97"/>
  <c r="IX858" i="97"/>
  <c r="IW858" i="97"/>
  <c r="IV858" i="97"/>
  <c r="IU858" i="97"/>
  <c r="IT858" i="97"/>
  <c r="IS858" i="97"/>
  <c r="IR858" i="97"/>
  <c r="IQ858" i="97"/>
  <c r="IP858" i="97"/>
  <c r="IO858" i="97"/>
  <c r="IN858" i="97"/>
  <c r="IM858" i="97"/>
  <c r="IL858" i="97"/>
  <c r="IK858" i="97"/>
  <c r="IJ858" i="97"/>
  <c r="II858" i="97"/>
  <c r="IH858" i="97"/>
  <c r="IG858" i="97"/>
  <c r="IF858" i="97"/>
  <c r="IE858" i="97"/>
  <c r="ID858" i="97"/>
  <c r="IC858" i="97"/>
  <c r="IB858" i="97"/>
  <c r="IA858" i="97"/>
  <c r="HZ858" i="97"/>
  <c r="HY858" i="97"/>
  <c r="HX858" i="97"/>
  <c r="HW858" i="97"/>
  <c r="HV858" i="97"/>
  <c r="HU858" i="97"/>
  <c r="HT858" i="97"/>
  <c r="HS858" i="97"/>
  <c r="HR858" i="97"/>
  <c r="HQ858" i="97"/>
  <c r="HP858" i="97"/>
  <c r="HO858" i="97"/>
  <c r="HN858" i="97"/>
  <c r="HM858" i="97"/>
  <c r="HL858" i="97"/>
  <c r="HK858" i="97"/>
  <c r="HJ858" i="97"/>
  <c r="HI858" i="97"/>
  <c r="HH858" i="97"/>
  <c r="HG858" i="97"/>
  <c r="HF858" i="97"/>
  <c r="HE858" i="97"/>
  <c r="HD858" i="97"/>
  <c r="HC858" i="97"/>
  <c r="HB858" i="97"/>
  <c r="HA858" i="97"/>
  <c r="GZ858" i="97"/>
  <c r="GY858" i="97"/>
  <c r="GX858" i="97"/>
  <c r="GW858" i="97"/>
  <c r="GV858" i="97"/>
  <c r="GU858" i="97"/>
  <c r="GT858" i="97"/>
  <c r="GS858" i="97"/>
  <c r="GR858" i="97"/>
  <c r="GQ858" i="97"/>
  <c r="GP858" i="97"/>
  <c r="GO858" i="97"/>
  <c r="GN858" i="97"/>
  <c r="GM858" i="97"/>
  <c r="GL858" i="97"/>
  <c r="GK858" i="97"/>
  <c r="GJ858" i="97"/>
  <c r="GI858" i="97"/>
  <c r="GH858" i="97"/>
  <c r="GG858" i="97"/>
  <c r="GF858" i="97"/>
  <c r="GE858" i="97"/>
  <c r="GD858" i="97"/>
  <c r="GC858" i="97"/>
  <c r="GB858" i="97"/>
  <c r="GA858" i="97"/>
  <c r="FZ858" i="97"/>
  <c r="FY858" i="97"/>
  <c r="FX858" i="97"/>
  <c r="FW858" i="97"/>
  <c r="FV858" i="97"/>
  <c r="FU858" i="97"/>
  <c r="FT858" i="97"/>
  <c r="FS858" i="97"/>
  <c r="FR858" i="97"/>
  <c r="FQ858" i="97"/>
  <c r="FP858" i="97"/>
  <c r="FO858" i="97"/>
  <c r="FN858" i="97"/>
  <c r="FM858" i="97"/>
  <c r="FL858" i="97"/>
  <c r="FK858" i="97"/>
  <c r="FJ858" i="97"/>
  <c r="FI858" i="97"/>
  <c r="FH858" i="97"/>
  <c r="FG858" i="97"/>
  <c r="FF858" i="97"/>
  <c r="FE858" i="97"/>
  <c r="FD858" i="97"/>
  <c r="FC858" i="97"/>
  <c r="FB858" i="97"/>
  <c r="FA858" i="97"/>
  <c r="EZ858" i="97"/>
  <c r="EY858" i="97"/>
  <c r="EX858" i="97"/>
  <c r="EW858" i="97"/>
  <c r="EV858" i="97"/>
  <c r="EU858" i="97"/>
  <c r="ET858" i="97"/>
  <c r="ES858" i="97"/>
  <c r="ER858" i="97"/>
  <c r="EQ858" i="97"/>
  <c r="EP858" i="97"/>
  <c r="EO858" i="97"/>
  <c r="EN858" i="97"/>
  <c r="EM858" i="97"/>
  <c r="EL858" i="97"/>
  <c r="EK858" i="97"/>
  <c r="EJ858" i="97"/>
  <c r="EI858" i="97"/>
  <c r="EH858" i="97"/>
  <c r="EG858" i="97"/>
  <c r="EF858" i="97"/>
  <c r="EE858" i="97"/>
  <c r="ED858" i="97"/>
  <c r="EC858" i="97"/>
  <c r="EB858" i="97"/>
  <c r="EA858" i="97"/>
  <c r="DZ858" i="97"/>
  <c r="DY858" i="97"/>
  <c r="DX858" i="97"/>
  <c r="DW858" i="97"/>
  <c r="DV858" i="97"/>
  <c r="DU858" i="97"/>
  <c r="DT858" i="97"/>
  <c r="DS858" i="97"/>
  <c r="DR858" i="97"/>
  <c r="DQ858" i="97"/>
  <c r="DP858" i="97"/>
  <c r="DO858" i="97"/>
  <c r="DN858" i="97"/>
  <c r="DM858" i="97"/>
  <c r="DL858" i="97"/>
  <c r="DK858" i="97"/>
  <c r="DJ858" i="97"/>
  <c r="DI858" i="97"/>
  <c r="DH858" i="97"/>
  <c r="DG858" i="97"/>
  <c r="DF858" i="97"/>
  <c r="DE858" i="97"/>
  <c r="DD858" i="97"/>
  <c r="DC858" i="97"/>
  <c r="DB858" i="97"/>
  <c r="DA858" i="97"/>
  <c r="CZ858" i="97"/>
  <c r="CY858" i="97"/>
  <c r="CX858" i="97"/>
  <c r="CW858" i="97"/>
  <c r="CV858" i="97"/>
  <c r="CU858" i="97"/>
  <c r="CT858" i="97"/>
  <c r="CS858" i="97"/>
  <c r="CR858" i="97"/>
  <c r="CQ858" i="97"/>
  <c r="CP858" i="97"/>
  <c r="CO858" i="97"/>
  <c r="CN858" i="97"/>
  <c r="CM858" i="97"/>
  <c r="CL858" i="97"/>
  <c r="CK858" i="97"/>
  <c r="CJ858" i="97"/>
  <c r="CI858" i="97"/>
  <c r="CH858" i="97"/>
  <c r="CG858" i="97"/>
  <c r="CF858" i="97"/>
  <c r="CE858" i="97"/>
  <c r="CD858" i="97"/>
  <c r="CC858" i="97"/>
  <c r="CB858" i="97"/>
  <c r="CA858" i="97"/>
  <c r="BZ858" i="97"/>
  <c r="BY858" i="97"/>
  <c r="BX858" i="97"/>
  <c r="BW858" i="97"/>
  <c r="BV858" i="97"/>
  <c r="BU858" i="97"/>
  <c r="BT858" i="97"/>
  <c r="BS858" i="97"/>
  <c r="BR858" i="97"/>
  <c r="BQ858" i="97"/>
  <c r="BP858" i="97"/>
  <c r="BO858" i="97"/>
  <c r="BN858" i="97"/>
  <c r="BM858" i="97"/>
  <c r="BL858" i="97"/>
  <c r="BK858" i="97"/>
  <c r="BJ858" i="97"/>
  <c r="BI858" i="97"/>
  <c r="BH858" i="97"/>
  <c r="BG858" i="97"/>
  <c r="BF858" i="97"/>
  <c r="BE858" i="97"/>
  <c r="BD858" i="97"/>
  <c r="BC858" i="97"/>
  <c r="BB858" i="97"/>
  <c r="BA858" i="97"/>
  <c r="AZ858" i="97"/>
  <c r="AY858" i="97"/>
  <c r="AX858" i="97"/>
  <c r="AW858" i="97"/>
  <c r="AV858" i="97"/>
  <c r="AU858" i="97"/>
  <c r="AT858" i="97"/>
  <c r="AS858" i="97"/>
  <c r="AR858" i="97"/>
  <c r="AQ858" i="97"/>
  <c r="AP858" i="97"/>
  <c r="AO858" i="97"/>
  <c r="AN858" i="97"/>
  <c r="AM858" i="97"/>
  <c r="AL858" i="97"/>
  <c r="AK858" i="97"/>
  <c r="AJ858" i="97"/>
  <c r="AI858" i="97"/>
  <c r="AH858" i="97"/>
  <c r="AG858" i="97"/>
  <c r="AF858" i="97"/>
  <c r="AE858" i="97"/>
  <c r="AD858" i="97"/>
  <c r="AC858" i="97"/>
  <c r="AB858" i="97"/>
  <c r="AA858" i="97"/>
  <c r="Z858" i="97"/>
  <c r="Y858" i="97"/>
  <c r="X858" i="97"/>
  <c r="A858" i="97"/>
  <c r="MT857" i="97"/>
  <c r="MS857" i="97"/>
  <c r="MR857" i="97"/>
  <c r="MQ857" i="97"/>
  <c r="MP857" i="97"/>
  <c r="MO857" i="97"/>
  <c r="MN857" i="97"/>
  <c r="MM857" i="97"/>
  <c r="ML857" i="97"/>
  <c r="MK857" i="97"/>
  <c r="MJ857" i="97"/>
  <c r="MI857" i="97"/>
  <c r="MH857" i="97"/>
  <c r="MG857" i="97"/>
  <c r="MF857" i="97"/>
  <c r="ME857" i="97"/>
  <c r="MD857" i="97"/>
  <c r="MC857" i="97"/>
  <c r="MB857" i="97"/>
  <c r="MA857" i="97"/>
  <c r="LZ857" i="97"/>
  <c r="LY857" i="97"/>
  <c r="LX857" i="97"/>
  <c r="LW857" i="97"/>
  <c r="LV857" i="97"/>
  <c r="LU857" i="97"/>
  <c r="LT857" i="97"/>
  <c r="LS857" i="97"/>
  <c r="LR857" i="97"/>
  <c r="LQ857" i="97"/>
  <c r="LP857" i="97"/>
  <c r="LO857" i="97"/>
  <c r="LN857" i="97"/>
  <c r="LM857" i="97"/>
  <c r="LL857" i="97"/>
  <c r="LK857" i="97"/>
  <c r="LJ857" i="97"/>
  <c r="LI857" i="97"/>
  <c r="LH857" i="97"/>
  <c r="LG857" i="97"/>
  <c r="LF857" i="97"/>
  <c r="LE857" i="97"/>
  <c r="LD857" i="97"/>
  <c r="LC857" i="97"/>
  <c r="LB857" i="97"/>
  <c r="LA857" i="97"/>
  <c r="KZ857" i="97"/>
  <c r="KY857" i="97"/>
  <c r="KX857" i="97"/>
  <c r="KW857" i="97"/>
  <c r="KV857" i="97"/>
  <c r="KU857" i="97"/>
  <c r="KT857" i="97"/>
  <c r="KS857" i="97"/>
  <c r="KR857" i="97"/>
  <c r="KQ857" i="97"/>
  <c r="KP857" i="97"/>
  <c r="KO857" i="97"/>
  <c r="KN857" i="97"/>
  <c r="KM857" i="97"/>
  <c r="KL857" i="97"/>
  <c r="KK857" i="97"/>
  <c r="KJ857" i="97"/>
  <c r="KI857" i="97"/>
  <c r="KH857" i="97"/>
  <c r="KG857" i="97"/>
  <c r="KF857" i="97"/>
  <c r="KE857" i="97"/>
  <c r="KD857" i="97"/>
  <c r="KC857" i="97"/>
  <c r="KB857" i="97"/>
  <c r="KA857" i="97"/>
  <c r="JZ857" i="97"/>
  <c r="JY857" i="97"/>
  <c r="JX857" i="97"/>
  <c r="JW857" i="97"/>
  <c r="JV857" i="97"/>
  <c r="JU857" i="97"/>
  <c r="JT857" i="97"/>
  <c r="JS857" i="97"/>
  <c r="JR857" i="97"/>
  <c r="JQ857" i="97"/>
  <c r="JP857" i="97"/>
  <c r="JO857" i="97"/>
  <c r="JN857" i="97"/>
  <c r="JM857" i="97"/>
  <c r="JL857" i="97"/>
  <c r="JK857" i="97"/>
  <c r="JJ857" i="97"/>
  <c r="JI857" i="97"/>
  <c r="JH857" i="97"/>
  <c r="JG857" i="97"/>
  <c r="JF857" i="97"/>
  <c r="JE857" i="97"/>
  <c r="JD857" i="97"/>
  <c r="JC857" i="97"/>
  <c r="JB857" i="97"/>
  <c r="JA857" i="97"/>
  <c r="IZ857" i="97"/>
  <c r="IY857" i="97"/>
  <c r="IX857" i="97"/>
  <c r="IW857" i="97"/>
  <c r="IV857" i="97"/>
  <c r="IU857" i="97"/>
  <c r="IT857" i="97"/>
  <c r="IS857" i="97"/>
  <c r="IR857" i="97"/>
  <c r="IQ857" i="97"/>
  <c r="IP857" i="97"/>
  <c r="IO857" i="97"/>
  <c r="IN857" i="97"/>
  <c r="IM857" i="97"/>
  <c r="IL857" i="97"/>
  <c r="IK857" i="97"/>
  <c r="IJ857" i="97"/>
  <c r="II857" i="97"/>
  <c r="IH857" i="97"/>
  <c r="IG857" i="97"/>
  <c r="IF857" i="97"/>
  <c r="IE857" i="97"/>
  <c r="ID857" i="97"/>
  <c r="IC857" i="97"/>
  <c r="IB857" i="97"/>
  <c r="IA857" i="97"/>
  <c r="HZ857" i="97"/>
  <c r="HY857" i="97"/>
  <c r="HX857" i="97"/>
  <c r="HW857" i="97"/>
  <c r="HV857" i="97"/>
  <c r="HU857" i="97"/>
  <c r="HT857" i="97"/>
  <c r="HS857" i="97"/>
  <c r="HR857" i="97"/>
  <c r="HQ857" i="97"/>
  <c r="HP857" i="97"/>
  <c r="HO857" i="97"/>
  <c r="HN857" i="97"/>
  <c r="HM857" i="97"/>
  <c r="HL857" i="97"/>
  <c r="HK857" i="97"/>
  <c r="HJ857" i="97"/>
  <c r="HI857" i="97"/>
  <c r="HH857" i="97"/>
  <c r="HG857" i="97"/>
  <c r="HF857" i="97"/>
  <c r="HE857" i="97"/>
  <c r="HD857" i="97"/>
  <c r="HC857" i="97"/>
  <c r="HB857" i="97"/>
  <c r="HA857" i="97"/>
  <c r="GZ857" i="97"/>
  <c r="GY857" i="97"/>
  <c r="GX857" i="97"/>
  <c r="GW857" i="97"/>
  <c r="GV857" i="97"/>
  <c r="GU857" i="97"/>
  <c r="GT857" i="97"/>
  <c r="GS857" i="97"/>
  <c r="GR857" i="97"/>
  <c r="GQ857" i="97"/>
  <c r="GP857" i="97"/>
  <c r="GO857" i="97"/>
  <c r="GN857" i="97"/>
  <c r="GM857" i="97"/>
  <c r="GL857" i="97"/>
  <c r="GK857" i="97"/>
  <c r="GJ857" i="97"/>
  <c r="GI857" i="97"/>
  <c r="GH857" i="97"/>
  <c r="GG857" i="97"/>
  <c r="GF857" i="97"/>
  <c r="GE857" i="97"/>
  <c r="GD857" i="97"/>
  <c r="GC857" i="97"/>
  <c r="GB857" i="97"/>
  <c r="GA857" i="97"/>
  <c r="FZ857" i="97"/>
  <c r="FY857" i="97"/>
  <c r="FX857" i="97"/>
  <c r="FW857" i="97"/>
  <c r="FV857" i="97"/>
  <c r="FU857" i="97"/>
  <c r="FT857" i="97"/>
  <c r="FS857" i="97"/>
  <c r="FR857" i="97"/>
  <c r="FQ857" i="97"/>
  <c r="FP857" i="97"/>
  <c r="FO857" i="97"/>
  <c r="FN857" i="97"/>
  <c r="FM857" i="97"/>
  <c r="FL857" i="97"/>
  <c r="FK857" i="97"/>
  <c r="FJ857" i="97"/>
  <c r="FI857" i="97"/>
  <c r="FH857" i="97"/>
  <c r="FG857" i="97"/>
  <c r="FF857" i="97"/>
  <c r="FE857" i="97"/>
  <c r="FD857" i="97"/>
  <c r="FC857" i="97"/>
  <c r="FB857" i="97"/>
  <c r="FA857" i="97"/>
  <c r="EZ857" i="97"/>
  <c r="EY857" i="97"/>
  <c r="EX857" i="97"/>
  <c r="EW857" i="97"/>
  <c r="EV857" i="97"/>
  <c r="EU857" i="97"/>
  <c r="ET857" i="97"/>
  <c r="ES857" i="97"/>
  <c r="ER857" i="97"/>
  <c r="EQ857" i="97"/>
  <c r="EP857" i="97"/>
  <c r="EO857" i="97"/>
  <c r="EN857" i="97"/>
  <c r="EM857" i="97"/>
  <c r="EL857" i="97"/>
  <c r="EK857" i="97"/>
  <c r="EJ857" i="97"/>
  <c r="EI857" i="97"/>
  <c r="EH857" i="97"/>
  <c r="EG857" i="97"/>
  <c r="EF857" i="97"/>
  <c r="EE857" i="97"/>
  <c r="ED857" i="97"/>
  <c r="EC857" i="97"/>
  <c r="EB857" i="97"/>
  <c r="EA857" i="97"/>
  <c r="DZ857" i="97"/>
  <c r="DY857" i="97"/>
  <c r="DX857" i="97"/>
  <c r="DW857" i="97"/>
  <c r="DV857" i="97"/>
  <c r="DU857" i="97"/>
  <c r="DT857" i="97"/>
  <c r="DS857" i="97"/>
  <c r="DR857" i="97"/>
  <c r="DQ857" i="97"/>
  <c r="DP857" i="97"/>
  <c r="DO857" i="97"/>
  <c r="DN857" i="97"/>
  <c r="DM857" i="97"/>
  <c r="DL857" i="97"/>
  <c r="DK857" i="97"/>
  <c r="DJ857" i="97"/>
  <c r="DI857" i="97"/>
  <c r="DH857" i="97"/>
  <c r="DG857" i="97"/>
  <c r="DF857" i="97"/>
  <c r="DE857" i="97"/>
  <c r="DD857" i="97"/>
  <c r="DC857" i="97"/>
  <c r="DB857" i="97"/>
  <c r="DA857" i="97"/>
  <c r="CZ857" i="97"/>
  <c r="CY857" i="97"/>
  <c r="CX857" i="97"/>
  <c r="CW857" i="97"/>
  <c r="CV857" i="97"/>
  <c r="CU857" i="97"/>
  <c r="CT857" i="97"/>
  <c r="CS857" i="97"/>
  <c r="CR857" i="97"/>
  <c r="CQ857" i="97"/>
  <c r="CP857" i="97"/>
  <c r="CO857" i="97"/>
  <c r="CN857" i="97"/>
  <c r="CM857" i="97"/>
  <c r="CL857" i="97"/>
  <c r="CK857" i="97"/>
  <c r="CJ857" i="97"/>
  <c r="CI857" i="97"/>
  <c r="CH857" i="97"/>
  <c r="CG857" i="97"/>
  <c r="CF857" i="97"/>
  <c r="CE857" i="97"/>
  <c r="CD857" i="97"/>
  <c r="CC857" i="97"/>
  <c r="CB857" i="97"/>
  <c r="CA857" i="97"/>
  <c r="BZ857" i="97"/>
  <c r="BY857" i="97"/>
  <c r="BX857" i="97"/>
  <c r="BW857" i="97"/>
  <c r="BV857" i="97"/>
  <c r="BU857" i="97"/>
  <c r="BT857" i="97"/>
  <c r="BS857" i="97"/>
  <c r="BR857" i="97"/>
  <c r="BQ857" i="97"/>
  <c r="BP857" i="97"/>
  <c r="BO857" i="97"/>
  <c r="BN857" i="97"/>
  <c r="BM857" i="97"/>
  <c r="BL857" i="97"/>
  <c r="BK857" i="97"/>
  <c r="BJ857" i="97"/>
  <c r="BI857" i="97"/>
  <c r="BH857" i="97"/>
  <c r="BG857" i="97"/>
  <c r="BF857" i="97"/>
  <c r="BE857" i="97"/>
  <c r="BD857" i="97"/>
  <c r="BC857" i="97"/>
  <c r="BB857" i="97"/>
  <c r="BA857" i="97"/>
  <c r="AZ857" i="97"/>
  <c r="AY857" i="97"/>
  <c r="AX857" i="97"/>
  <c r="AW857" i="97"/>
  <c r="AV857" i="97"/>
  <c r="AU857" i="97"/>
  <c r="AT857" i="97"/>
  <c r="AS857" i="97"/>
  <c r="AR857" i="97"/>
  <c r="AQ857" i="97"/>
  <c r="AP857" i="97"/>
  <c r="AO857" i="97"/>
  <c r="AN857" i="97"/>
  <c r="AM857" i="97"/>
  <c r="AL857" i="97"/>
  <c r="AK857" i="97"/>
  <c r="AJ857" i="97"/>
  <c r="AI857" i="97"/>
  <c r="AH857" i="97"/>
  <c r="AG857" i="97"/>
  <c r="AF857" i="97"/>
  <c r="AE857" i="97"/>
  <c r="AD857" i="97"/>
  <c r="AC857" i="97"/>
  <c r="AB857" i="97"/>
  <c r="AA857" i="97"/>
  <c r="Z857" i="97"/>
  <c r="Y857" i="97"/>
  <c r="X857" i="97"/>
  <c r="L857" i="97"/>
  <c r="M857" i="97" s="1"/>
  <c r="A857" i="97"/>
  <c r="MT856" i="97"/>
  <c r="MS856" i="97"/>
  <c r="MR856" i="97"/>
  <c r="MQ856" i="97"/>
  <c r="MP856" i="97"/>
  <c r="MO856" i="97"/>
  <c r="MN856" i="97"/>
  <c r="MM856" i="97"/>
  <c r="ML856" i="97"/>
  <c r="MK856" i="97"/>
  <c r="MJ856" i="97"/>
  <c r="MI856" i="97"/>
  <c r="MH856" i="97"/>
  <c r="MG856" i="97"/>
  <c r="MF856" i="97"/>
  <c r="ME856" i="97"/>
  <c r="MD856" i="97"/>
  <c r="MC856" i="97"/>
  <c r="MB856" i="97"/>
  <c r="MA856" i="97"/>
  <c r="LZ856" i="97"/>
  <c r="LY856" i="97"/>
  <c r="LX856" i="97"/>
  <c r="LW856" i="97"/>
  <c r="LV856" i="97"/>
  <c r="LU856" i="97"/>
  <c r="LT856" i="97"/>
  <c r="LS856" i="97"/>
  <c r="LR856" i="97"/>
  <c r="LQ856" i="97"/>
  <c r="LP856" i="97"/>
  <c r="LO856" i="97"/>
  <c r="LN856" i="97"/>
  <c r="LM856" i="97"/>
  <c r="LL856" i="97"/>
  <c r="LK856" i="97"/>
  <c r="LJ856" i="97"/>
  <c r="LI856" i="97"/>
  <c r="LH856" i="97"/>
  <c r="LG856" i="97"/>
  <c r="LF856" i="97"/>
  <c r="LE856" i="97"/>
  <c r="LD856" i="97"/>
  <c r="LC856" i="97"/>
  <c r="LB856" i="97"/>
  <c r="LA856" i="97"/>
  <c r="KZ856" i="97"/>
  <c r="KY856" i="97"/>
  <c r="KX856" i="97"/>
  <c r="KW856" i="97"/>
  <c r="KV856" i="97"/>
  <c r="KU856" i="97"/>
  <c r="KT856" i="97"/>
  <c r="KS856" i="97"/>
  <c r="KR856" i="97"/>
  <c r="KQ856" i="97"/>
  <c r="KP856" i="97"/>
  <c r="KO856" i="97"/>
  <c r="KN856" i="97"/>
  <c r="KM856" i="97"/>
  <c r="KL856" i="97"/>
  <c r="KK856" i="97"/>
  <c r="KJ856" i="97"/>
  <c r="KI856" i="97"/>
  <c r="KH856" i="97"/>
  <c r="KG856" i="97"/>
  <c r="KF856" i="97"/>
  <c r="KE856" i="97"/>
  <c r="KD856" i="97"/>
  <c r="KC856" i="97"/>
  <c r="KB856" i="97"/>
  <c r="KA856" i="97"/>
  <c r="JZ856" i="97"/>
  <c r="JY856" i="97"/>
  <c r="JX856" i="97"/>
  <c r="JW856" i="97"/>
  <c r="JV856" i="97"/>
  <c r="JU856" i="97"/>
  <c r="JT856" i="97"/>
  <c r="JS856" i="97"/>
  <c r="JR856" i="97"/>
  <c r="JQ856" i="97"/>
  <c r="JP856" i="97"/>
  <c r="JO856" i="97"/>
  <c r="JN856" i="97"/>
  <c r="JM856" i="97"/>
  <c r="JL856" i="97"/>
  <c r="JK856" i="97"/>
  <c r="JJ856" i="97"/>
  <c r="JI856" i="97"/>
  <c r="JH856" i="97"/>
  <c r="JG856" i="97"/>
  <c r="JF856" i="97"/>
  <c r="JE856" i="97"/>
  <c r="JD856" i="97"/>
  <c r="JC856" i="97"/>
  <c r="JB856" i="97"/>
  <c r="JA856" i="97"/>
  <c r="IZ856" i="97"/>
  <c r="IY856" i="97"/>
  <c r="IX856" i="97"/>
  <c r="IW856" i="97"/>
  <c r="IV856" i="97"/>
  <c r="IU856" i="97"/>
  <c r="IT856" i="97"/>
  <c r="IS856" i="97"/>
  <c r="IR856" i="97"/>
  <c r="IQ856" i="97"/>
  <c r="IP856" i="97"/>
  <c r="IO856" i="97"/>
  <c r="IN856" i="97"/>
  <c r="IM856" i="97"/>
  <c r="IL856" i="97"/>
  <c r="IK856" i="97"/>
  <c r="IJ856" i="97"/>
  <c r="II856" i="97"/>
  <c r="IH856" i="97"/>
  <c r="IG856" i="97"/>
  <c r="IF856" i="97"/>
  <c r="IE856" i="97"/>
  <c r="ID856" i="97"/>
  <c r="IC856" i="97"/>
  <c r="IB856" i="97"/>
  <c r="IA856" i="97"/>
  <c r="HZ856" i="97"/>
  <c r="HY856" i="97"/>
  <c r="HX856" i="97"/>
  <c r="HW856" i="97"/>
  <c r="HV856" i="97"/>
  <c r="HU856" i="97"/>
  <c r="HT856" i="97"/>
  <c r="HS856" i="97"/>
  <c r="HR856" i="97"/>
  <c r="HQ856" i="97"/>
  <c r="HP856" i="97"/>
  <c r="HO856" i="97"/>
  <c r="HN856" i="97"/>
  <c r="HM856" i="97"/>
  <c r="HL856" i="97"/>
  <c r="HK856" i="97"/>
  <c r="HJ856" i="97"/>
  <c r="HI856" i="97"/>
  <c r="HH856" i="97"/>
  <c r="HG856" i="97"/>
  <c r="HF856" i="97"/>
  <c r="HE856" i="97"/>
  <c r="HD856" i="97"/>
  <c r="HC856" i="97"/>
  <c r="HB856" i="97"/>
  <c r="HA856" i="97"/>
  <c r="GZ856" i="97"/>
  <c r="GY856" i="97"/>
  <c r="GX856" i="97"/>
  <c r="GW856" i="97"/>
  <c r="GV856" i="97"/>
  <c r="GU856" i="97"/>
  <c r="GT856" i="97"/>
  <c r="GS856" i="97"/>
  <c r="GR856" i="97"/>
  <c r="GQ856" i="97"/>
  <c r="GP856" i="97"/>
  <c r="GO856" i="97"/>
  <c r="GN856" i="97"/>
  <c r="GM856" i="97"/>
  <c r="GL856" i="97"/>
  <c r="GK856" i="97"/>
  <c r="GJ856" i="97"/>
  <c r="GI856" i="97"/>
  <c r="GH856" i="97"/>
  <c r="GG856" i="97"/>
  <c r="GF856" i="97"/>
  <c r="GE856" i="97"/>
  <c r="GD856" i="97"/>
  <c r="GC856" i="97"/>
  <c r="GB856" i="97"/>
  <c r="GA856" i="97"/>
  <c r="FZ856" i="97"/>
  <c r="FY856" i="97"/>
  <c r="FX856" i="97"/>
  <c r="FW856" i="97"/>
  <c r="FV856" i="97"/>
  <c r="FU856" i="97"/>
  <c r="FT856" i="97"/>
  <c r="FS856" i="97"/>
  <c r="FR856" i="97"/>
  <c r="FQ856" i="97"/>
  <c r="FP856" i="97"/>
  <c r="FO856" i="97"/>
  <c r="FN856" i="97"/>
  <c r="FM856" i="97"/>
  <c r="FL856" i="97"/>
  <c r="FK856" i="97"/>
  <c r="FJ856" i="97"/>
  <c r="FI856" i="97"/>
  <c r="FH856" i="97"/>
  <c r="FG856" i="97"/>
  <c r="FF856" i="97"/>
  <c r="FE856" i="97"/>
  <c r="FD856" i="97"/>
  <c r="FC856" i="97"/>
  <c r="FB856" i="97"/>
  <c r="FA856" i="97"/>
  <c r="EZ856" i="97"/>
  <c r="EY856" i="97"/>
  <c r="EX856" i="97"/>
  <c r="EW856" i="97"/>
  <c r="EV856" i="97"/>
  <c r="EU856" i="97"/>
  <c r="ET856" i="97"/>
  <c r="ES856" i="97"/>
  <c r="ER856" i="97"/>
  <c r="EQ856" i="97"/>
  <c r="EP856" i="97"/>
  <c r="EO856" i="97"/>
  <c r="EN856" i="97"/>
  <c r="EM856" i="97"/>
  <c r="EL856" i="97"/>
  <c r="EK856" i="97"/>
  <c r="EJ856" i="97"/>
  <c r="EI856" i="97"/>
  <c r="EH856" i="97"/>
  <c r="EG856" i="97"/>
  <c r="EF856" i="97"/>
  <c r="EE856" i="97"/>
  <c r="ED856" i="97"/>
  <c r="EC856" i="97"/>
  <c r="EB856" i="97"/>
  <c r="EA856" i="97"/>
  <c r="DZ856" i="97"/>
  <c r="DY856" i="97"/>
  <c r="DX856" i="97"/>
  <c r="DW856" i="97"/>
  <c r="DV856" i="97"/>
  <c r="DU856" i="97"/>
  <c r="DT856" i="97"/>
  <c r="DS856" i="97"/>
  <c r="DR856" i="97"/>
  <c r="DQ856" i="97"/>
  <c r="DP856" i="97"/>
  <c r="DO856" i="97"/>
  <c r="DN856" i="97"/>
  <c r="DM856" i="97"/>
  <c r="DL856" i="97"/>
  <c r="DK856" i="97"/>
  <c r="DJ856" i="97"/>
  <c r="DI856" i="97"/>
  <c r="DH856" i="97"/>
  <c r="DG856" i="97"/>
  <c r="DF856" i="97"/>
  <c r="DE856" i="97"/>
  <c r="DD856" i="97"/>
  <c r="DC856" i="97"/>
  <c r="DB856" i="97"/>
  <c r="DA856" i="97"/>
  <c r="CZ856" i="97"/>
  <c r="CY856" i="97"/>
  <c r="CX856" i="97"/>
  <c r="CW856" i="97"/>
  <c r="CV856" i="97"/>
  <c r="CU856" i="97"/>
  <c r="CT856" i="97"/>
  <c r="CS856" i="97"/>
  <c r="CR856" i="97"/>
  <c r="CQ856" i="97"/>
  <c r="CP856" i="97"/>
  <c r="CO856" i="97"/>
  <c r="CN856" i="97"/>
  <c r="CM856" i="97"/>
  <c r="CL856" i="97"/>
  <c r="CK856" i="97"/>
  <c r="CJ856" i="97"/>
  <c r="CI856" i="97"/>
  <c r="CH856" i="97"/>
  <c r="CG856" i="97"/>
  <c r="CF856" i="97"/>
  <c r="CE856" i="97"/>
  <c r="CD856" i="97"/>
  <c r="CC856" i="97"/>
  <c r="CB856" i="97"/>
  <c r="CA856" i="97"/>
  <c r="BZ856" i="97"/>
  <c r="BY856" i="97"/>
  <c r="BX856" i="97"/>
  <c r="BW856" i="97"/>
  <c r="BV856" i="97"/>
  <c r="BU856" i="97"/>
  <c r="BT856" i="97"/>
  <c r="BS856" i="97"/>
  <c r="BR856" i="97"/>
  <c r="BQ856" i="97"/>
  <c r="BP856" i="97"/>
  <c r="BO856" i="97"/>
  <c r="BN856" i="97"/>
  <c r="BM856" i="97"/>
  <c r="BL856" i="97"/>
  <c r="BK856" i="97"/>
  <c r="BJ856" i="97"/>
  <c r="BI856" i="97"/>
  <c r="BH856" i="97"/>
  <c r="BG856" i="97"/>
  <c r="BF856" i="97"/>
  <c r="BE856" i="97"/>
  <c r="BD856" i="97"/>
  <c r="BC856" i="97"/>
  <c r="BB856" i="97"/>
  <c r="BA856" i="97"/>
  <c r="AZ856" i="97"/>
  <c r="AY856" i="97"/>
  <c r="AX856" i="97"/>
  <c r="AW856" i="97"/>
  <c r="AV856" i="97"/>
  <c r="AU856" i="97"/>
  <c r="AT856" i="97"/>
  <c r="AS856" i="97"/>
  <c r="AR856" i="97"/>
  <c r="AQ856" i="97"/>
  <c r="AP856" i="97"/>
  <c r="AO856" i="97"/>
  <c r="AN856" i="97"/>
  <c r="AM856" i="97"/>
  <c r="AL856" i="97"/>
  <c r="AK856" i="97"/>
  <c r="AJ856" i="97"/>
  <c r="AI856" i="97"/>
  <c r="AH856" i="97"/>
  <c r="AG856" i="97"/>
  <c r="AF856" i="97"/>
  <c r="AE856" i="97"/>
  <c r="AD856" i="97"/>
  <c r="AC856" i="97"/>
  <c r="AB856" i="97"/>
  <c r="AA856" i="97"/>
  <c r="Z856" i="97"/>
  <c r="Y856" i="97"/>
  <c r="X856" i="97"/>
  <c r="L856" i="97"/>
  <c r="M856" i="97" s="1"/>
  <c r="A856" i="97"/>
  <c r="MT855" i="97"/>
  <c r="MS855" i="97"/>
  <c r="MR855" i="97"/>
  <c r="MQ855" i="97"/>
  <c r="MP855" i="97"/>
  <c r="MO855" i="97"/>
  <c r="MN855" i="97"/>
  <c r="MM855" i="97"/>
  <c r="ML855" i="97"/>
  <c r="MK855" i="97"/>
  <c r="MJ855" i="97"/>
  <c r="MI855" i="97"/>
  <c r="MH855" i="97"/>
  <c r="MG855" i="97"/>
  <c r="MF855" i="97"/>
  <c r="ME855" i="97"/>
  <c r="MD855" i="97"/>
  <c r="MC855" i="97"/>
  <c r="MB855" i="97"/>
  <c r="MA855" i="97"/>
  <c r="LZ855" i="97"/>
  <c r="LY855" i="97"/>
  <c r="LX855" i="97"/>
  <c r="LW855" i="97"/>
  <c r="LV855" i="97"/>
  <c r="LU855" i="97"/>
  <c r="LT855" i="97"/>
  <c r="LS855" i="97"/>
  <c r="LR855" i="97"/>
  <c r="LQ855" i="97"/>
  <c r="LP855" i="97"/>
  <c r="LO855" i="97"/>
  <c r="LN855" i="97"/>
  <c r="LM855" i="97"/>
  <c r="LL855" i="97"/>
  <c r="LK855" i="97"/>
  <c r="LJ855" i="97"/>
  <c r="LI855" i="97"/>
  <c r="LH855" i="97"/>
  <c r="LG855" i="97"/>
  <c r="LF855" i="97"/>
  <c r="LE855" i="97"/>
  <c r="LD855" i="97"/>
  <c r="LC855" i="97"/>
  <c r="LB855" i="97"/>
  <c r="LA855" i="97"/>
  <c r="KZ855" i="97"/>
  <c r="KY855" i="97"/>
  <c r="KX855" i="97"/>
  <c r="KW855" i="97"/>
  <c r="KV855" i="97"/>
  <c r="KU855" i="97"/>
  <c r="KT855" i="97"/>
  <c r="KS855" i="97"/>
  <c r="KR855" i="97"/>
  <c r="KQ855" i="97"/>
  <c r="KP855" i="97"/>
  <c r="KO855" i="97"/>
  <c r="KN855" i="97"/>
  <c r="KM855" i="97"/>
  <c r="KL855" i="97"/>
  <c r="KK855" i="97"/>
  <c r="KJ855" i="97"/>
  <c r="KI855" i="97"/>
  <c r="KH855" i="97"/>
  <c r="KG855" i="97"/>
  <c r="KF855" i="97"/>
  <c r="KE855" i="97"/>
  <c r="KD855" i="97"/>
  <c r="KC855" i="97"/>
  <c r="KB855" i="97"/>
  <c r="KA855" i="97"/>
  <c r="JZ855" i="97"/>
  <c r="JY855" i="97"/>
  <c r="JX855" i="97"/>
  <c r="JW855" i="97"/>
  <c r="JV855" i="97"/>
  <c r="JU855" i="97"/>
  <c r="JT855" i="97"/>
  <c r="JS855" i="97"/>
  <c r="JR855" i="97"/>
  <c r="JQ855" i="97"/>
  <c r="JP855" i="97"/>
  <c r="JO855" i="97"/>
  <c r="JN855" i="97"/>
  <c r="JM855" i="97"/>
  <c r="JL855" i="97"/>
  <c r="JK855" i="97"/>
  <c r="JJ855" i="97"/>
  <c r="JI855" i="97"/>
  <c r="JH855" i="97"/>
  <c r="JG855" i="97"/>
  <c r="JF855" i="97"/>
  <c r="JE855" i="97"/>
  <c r="JD855" i="97"/>
  <c r="JC855" i="97"/>
  <c r="JB855" i="97"/>
  <c r="JA855" i="97"/>
  <c r="IZ855" i="97"/>
  <c r="IY855" i="97"/>
  <c r="IX855" i="97"/>
  <c r="IW855" i="97"/>
  <c r="IV855" i="97"/>
  <c r="IU855" i="97"/>
  <c r="IT855" i="97"/>
  <c r="IS855" i="97"/>
  <c r="IR855" i="97"/>
  <c r="IQ855" i="97"/>
  <c r="IP855" i="97"/>
  <c r="IO855" i="97"/>
  <c r="IN855" i="97"/>
  <c r="IM855" i="97"/>
  <c r="IL855" i="97"/>
  <c r="IK855" i="97"/>
  <c r="IJ855" i="97"/>
  <c r="II855" i="97"/>
  <c r="IH855" i="97"/>
  <c r="IG855" i="97"/>
  <c r="IF855" i="97"/>
  <c r="IE855" i="97"/>
  <c r="ID855" i="97"/>
  <c r="IC855" i="97"/>
  <c r="IB855" i="97"/>
  <c r="IA855" i="97"/>
  <c r="HZ855" i="97"/>
  <c r="HY855" i="97"/>
  <c r="HX855" i="97"/>
  <c r="HW855" i="97"/>
  <c r="HV855" i="97"/>
  <c r="HU855" i="97"/>
  <c r="HT855" i="97"/>
  <c r="HS855" i="97"/>
  <c r="HR855" i="97"/>
  <c r="HQ855" i="97"/>
  <c r="HP855" i="97"/>
  <c r="HO855" i="97"/>
  <c r="HN855" i="97"/>
  <c r="HM855" i="97"/>
  <c r="HL855" i="97"/>
  <c r="HK855" i="97"/>
  <c r="HJ855" i="97"/>
  <c r="HI855" i="97"/>
  <c r="HH855" i="97"/>
  <c r="HG855" i="97"/>
  <c r="HF855" i="97"/>
  <c r="HE855" i="97"/>
  <c r="HD855" i="97"/>
  <c r="HC855" i="97"/>
  <c r="HB855" i="97"/>
  <c r="HA855" i="97"/>
  <c r="GZ855" i="97"/>
  <c r="GY855" i="97"/>
  <c r="GX855" i="97"/>
  <c r="GW855" i="97"/>
  <c r="GV855" i="97"/>
  <c r="GU855" i="97"/>
  <c r="GT855" i="97"/>
  <c r="GS855" i="97"/>
  <c r="GR855" i="97"/>
  <c r="GQ855" i="97"/>
  <c r="GP855" i="97"/>
  <c r="GO855" i="97"/>
  <c r="GN855" i="97"/>
  <c r="GM855" i="97"/>
  <c r="GL855" i="97"/>
  <c r="GK855" i="97"/>
  <c r="GJ855" i="97"/>
  <c r="GI855" i="97"/>
  <c r="GH855" i="97"/>
  <c r="GG855" i="97"/>
  <c r="GF855" i="97"/>
  <c r="GE855" i="97"/>
  <c r="GD855" i="97"/>
  <c r="GC855" i="97"/>
  <c r="GB855" i="97"/>
  <c r="GA855" i="97"/>
  <c r="FZ855" i="97"/>
  <c r="FY855" i="97"/>
  <c r="FX855" i="97"/>
  <c r="FW855" i="97"/>
  <c r="FV855" i="97"/>
  <c r="FU855" i="97"/>
  <c r="FT855" i="97"/>
  <c r="FS855" i="97"/>
  <c r="FR855" i="97"/>
  <c r="FQ855" i="97"/>
  <c r="FP855" i="97"/>
  <c r="FO855" i="97"/>
  <c r="FN855" i="97"/>
  <c r="FM855" i="97"/>
  <c r="FL855" i="97"/>
  <c r="FK855" i="97"/>
  <c r="FJ855" i="97"/>
  <c r="FI855" i="97"/>
  <c r="FH855" i="97"/>
  <c r="FG855" i="97"/>
  <c r="FF855" i="97"/>
  <c r="FE855" i="97"/>
  <c r="FD855" i="97"/>
  <c r="FC855" i="97"/>
  <c r="FB855" i="97"/>
  <c r="FA855" i="97"/>
  <c r="EZ855" i="97"/>
  <c r="EY855" i="97"/>
  <c r="EX855" i="97"/>
  <c r="EW855" i="97"/>
  <c r="EV855" i="97"/>
  <c r="EU855" i="97"/>
  <c r="ET855" i="97"/>
  <c r="ES855" i="97"/>
  <c r="ER855" i="97"/>
  <c r="EQ855" i="97"/>
  <c r="EP855" i="97"/>
  <c r="EO855" i="97"/>
  <c r="EN855" i="97"/>
  <c r="EM855" i="97"/>
  <c r="EL855" i="97"/>
  <c r="EK855" i="97"/>
  <c r="EJ855" i="97"/>
  <c r="EI855" i="97"/>
  <c r="EH855" i="97"/>
  <c r="EG855" i="97"/>
  <c r="EF855" i="97"/>
  <c r="EE855" i="97"/>
  <c r="ED855" i="97"/>
  <c r="EC855" i="97"/>
  <c r="EB855" i="97"/>
  <c r="EA855" i="97"/>
  <c r="DZ855" i="97"/>
  <c r="DY855" i="97"/>
  <c r="DX855" i="97"/>
  <c r="DW855" i="97"/>
  <c r="DV855" i="97"/>
  <c r="DU855" i="97"/>
  <c r="DT855" i="97"/>
  <c r="DS855" i="97"/>
  <c r="DR855" i="97"/>
  <c r="DQ855" i="97"/>
  <c r="DP855" i="97"/>
  <c r="DO855" i="97"/>
  <c r="DN855" i="97"/>
  <c r="DM855" i="97"/>
  <c r="DL855" i="97"/>
  <c r="DK855" i="97"/>
  <c r="DJ855" i="97"/>
  <c r="DI855" i="97"/>
  <c r="DH855" i="97"/>
  <c r="DG855" i="97"/>
  <c r="DF855" i="97"/>
  <c r="DE855" i="97"/>
  <c r="DD855" i="97"/>
  <c r="DC855" i="97"/>
  <c r="DB855" i="97"/>
  <c r="DA855" i="97"/>
  <c r="CZ855" i="97"/>
  <c r="CY855" i="97"/>
  <c r="CX855" i="97"/>
  <c r="CW855" i="97"/>
  <c r="CV855" i="97"/>
  <c r="CU855" i="97"/>
  <c r="CT855" i="97"/>
  <c r="CS855" i="97"/>
  <c r="CR855" i="97"/>
  <c r="CQ855" i="97"/>
  <c r="CP855" i="97"/>
  <c r="CO855" i="97"/>
  <c r="CN855" i="97"/>
  <c r="CM855" i="97"/>
  <c r="CL855" i="97"/>
  <c r="CK855" i="97"/>
  <c r="CJ855" i="97"/>
  <c r="CI855" i="97"/>
  <c r="CH855" i="97"/>
  <c r="CG855" i="97"/>
  <c r="CF855" i="97"/>
  <c r="CE855" i="97"/>
  <c r="CD855" i="97"/>
  <c r="CC855" i="97"/>
  <c r="CB855" i="97"/>
  <c r="CA855" i="97"/>
  <c r="BZ855" i="97"/>
  <c r="BY855" i="97"/>
  <c r="BX855" i="97"/>
  <c r="BW855" i="97"/>
  <c r="BV855" i="97"/>
  <c r="BU855" i="97"/>
  <c r="BT855" i="97"/>
  <c r="BS855" i="97"/>
  <c r="BR855" i="97"/>
  <c r="BQ855" i="97"/>
  <c r="BP855" i="97"/>
  <c r="BO855" i="97"/>
  <c r="BN855" i="97"/>
  <c r="BM855" i="97"/>
  <c r="BL855" i="97"/>
  <c r="BK855" i="97"/>
  <c r="BJ855" i="97"/>
  <c r="BI855" i="97"/>
  <c r="BH855" i="97"/>
  <c r="BG855" i="97"/>
  <c r="BF855" i="97"/>
  <c r="BE855" i="97"/>
  <c r="BD855" i="97"/>
  <c r="BC855" i="97"/>
  <c r="BB855" i="97"/>
  <c r="BA855" i="97"/>
  <c r="AZ855" i="97"/>
  <c r="AY855" i="97"/>
  <c r="AX855" i="97"/>
  <c r="AW855" i="97"/>
  <c r="AV855" i="97"/>
  <c r="AU855" i="97"/>
  <c r="AT855" i="97"/>
  <c r="AS855" i="97"/>
  <c r="AR855" i="97"/>
  <c r="AQ855" i="97"/>
  <c r="AP855" i="97"/>
  <c r="AO855" i="97"/>
  <c r="AN855" i="97"/>
  <c r="AM855" i="97"/>
  <c r="AL855" i="97"/>
  <c r="AK855" i="97"/>
  <c r="AJ855" i="97"/>
  <c r="AI855" i="97"/>
  <c r="AH855" i="97"/>
  <c r="AG855" i="97"/>
  <c r="AF855" i="97"/>
  <c r="AE855" i="97"/>
  <c r="AD855" i="97"/>
  <c r="AC855" i="97"/>
  <c r="AB855" i="97"/>
  <c r="AA855" i="97"/>
  <c r="Z855" i="97"/>
  <c r="Y855" i="97"/>
  <c r="X855" i="97"/>
  <c r="L855" i="97"/>
  <c r="M855" i="97" s="1"/>
  <c r="A855" i="97"/>
  <c r="MT854" i="97"/>
  <c r="MS854" i="97"/>
  <c r="MR854" i="97"/>
  <c r="MQ854" i="97"/>
  <c r="MP854" i="97"/>
  <c r="MO854" i="97"/>
  <c r="MN854" i="97"/>
  <c r="MM854" i="97"/>
  <c r="ML854" i="97"/>
  <c r="MK854" i="97"/>
  <c r="MJ854" i="97"/>
  <c r="MI854" i="97"/>
  <c r="MH854" i="97"/>
  <c r="MG854" i="97"/>
  <c r="MF854" i="97"/>
  <c r="ME854" i="97"/>
  <c r="MD854" i="97"/>
  <c r="MC854" i="97"/>
  <c r="MB854" i="97"/>
  <c r="MA854" i="97"/>
  <c r="LZ854" i="97"/>
  <c r="LY854" i="97"/>
  <c r="LX854" i="97"/>
  <c r="LW854" i="97"/>
  <c r="LV854" i="97"/>
  <c r="LU854" i="97"/>
  <c r="LT854" i="97"/>
  <c r="LS854" i="97"/>
  <c r="LR854" i="97"/>
  <c r="LQ854" i="97"/>
  <c r="LP854" i="97"/>
  <c r="LO854" i="97"/>
  <c r="LN854" i="97"/>
  <c r="LM854" i="97"/>
  <c r="LL854" i="97"/>
  <c r="LK854" i="97"/>
  <c r="LJ854" i="97"/>
  <c r="LI854" i="97"/>
  <c r="LH854" i="97"/>
  <c r="LG854" i="97"/>
  <c r="LF854" i="97"/>
  <c r="LE854" i="97"/>
  <c r="LD854" i="97"/>
  <c r="LC854" i="97"/>
  <c r="LB854" i="97"/>
  <c r="LA854" i="97"/>
  <c r="KZ854" i="97"/>
  <c r="KY854" i="97"/>
  <c r="KX854" i="97"/>
  <c r="KW854" i="97"/>
  <c r="KV854" i="97"/>
  <c r="KU854" i="97"/>
  <c r="KT854" i="97"/>
  <c r="KS854" i="97"/>
  <c r="KR854" i="97"/>
  <c r="KQ854" i="97"/>
  <c r="KP854" i="97"/>
  <c r="KO854" i="97"/>
  <c r="KN854" i="97"/>
  <c r="KM854" i="97"/>
  <c r="KL854" i="97"/>
  <c r="KK854" i="97"/>
  <c r="KJ854" i="97"/>
  <c r="KI854" i="97"/>
  <c r="KH854" i="97"/>
  <c r="KG854" i="97"/>
  <c r="KF854" i="97"/>
  <c r="KE854" i="97"/>
  <c r="KD854" i="97"/>
  <c r="KC854" i="97"/>
  <c r="KB854" i="97"/>
  <c r="KA854" i="97"/>
  <c r="JZ854" i="97"/>
  <c r="JY854" i="97"/>
  <c r="JX854" i="97"/>
  <c r="JW854" i="97"/>
  <c r="JV854" i="97"/>
  <c r="JU854" i="97"/>
  <c r="JT854" i="97"/>
  <c r="JS854" i="97"/>
  <c r="JR854" i="97"/>
  <c r="JQ854" i="97"/>
  <c r="JP854" i="97"/>
  <c r="JO854" i="97"/>
  <c r="JN854" i="97"/>
  <c r="JM854" i="97"/>
  <c r="JL854" i="97"/>
  <c r="JK854" i="97"/>
  <c r="JJ854" i="97"/>
  <c r="JI854" i="97"/>
  <c r="JH854" i="97"/>
  <c r="JG854" i="97"/>
  <c r="JF854" i="97"/>
  <c r="JE854" i="97"/>
  <c r="JD854" i="97"/>
  <c r="JC854" i="97"/>
  <c r="JB854" i="97"/>
  <c r="JA854" i="97"/>
  <c r="IZ854" i="97"/>
  <c r="IY854" i="97"/>
  <c r="IX854" i="97"/>
  <c r="IW854" i="97"/>
  <c r="IV854" i="97"/>
  <c r="IU854" i="97"/>
  <c r="IT854" i="97"/>
  <c r="IS854" i="97"/>
  <c r="IR854" i="97"/>
  <c r="IQ854" i="97"/>
  <c r="IP854" i="97"/>
  <c r="IO854" i="97"/>
  <c r="IN854" i="97"/>
  <c r="IM854" i="97"/>
  <c r="IL854" i="97"/>
  <c r="IK854" i="97"/>
  <c r="IJ854" i="97"/>
  <c r="II854" i="97"/>
  <c r="IH854" i="97"/>
  <c r="IG854" i="97"/>
  <c r="IF854" i="97"/>
  <c r="IE854" i="97"/>
  <c r="ID854" i="97"/>
  <c r="IC854" i="97"/>
  <c r="IB854" i="97"/>
  <c r="IA854" i="97"/>
  <c r="HZ854" i="97"/>
  <c r="HY854" i="97"/>
  <c r="HX854" i="97"/>
  <c r="HW854" i="97"/>
  <c r="HV854" i="97"/>
  <c r="HU854" i="97"/>
  <c r="HT854" i="97"/>
  <c r="HS854" i="97"/>
  <c r="HR854" i="97"/>
  <c r="HQ854" i="97"/>
  <c r="HP854" i="97"/>
  <c r="HO854" i="97"/>
  <c r="HN854" i="97"/>
  <c r="HM854" i="97"/>
  <c r="HL854" i="97"/>
  <c r="HK854" i="97"/>
  <c r="HJ854" i="97"/>
  <c r="HI854" i="97"/>
  <c r="HH854" i="97"/>
  <c r="HG854" i="97"/>
  <c r="HF854" i="97"/>
  <c r="HE854" i="97"/>
  <c r="HD854" i="97"/>
  <c r="HC854" i="97"/>
  <c r="HB854" i="97"/>
  <c r="HA854" i="97"/>
  <c r="GZ854" i="97"/>
  <c r="GY854" i="97"/>
  <c r="GX854" i="97"/>
  <c r="GW854" i="97"/>
  <c r="GV854" i="97"/>
  <c r="GU854" i="97"/>
  <c r="GT854" i="97"/>
  <c r="GS854" i="97"/>
  <c r="GR854" i="97"/>
  <c r="GQ854" i="97"/>
  <c r="GP854" i="97"/>
  <c r="GO854" i="97"/>
  <c r="GN854" i="97"/>
  <c r="GM854" i="97"/>
  <c r="GL854" i="97"/>
  <c r="GK854" i="97"/>
  <c r="GJ854" i="97"/>
  <c r="GI854" i="97"/>
  <c r="GH854" i="97"/>
  <c r="GG854" i="97"/>
  <c r="GF854" i="97"/>
  <c r="GE854" i="97"/>
  <c r="GD854" i="97"/>
  <c r="GC854" i="97"/>
  <c r="GB854" i="97"/>
  <c r="GA854" i="97"/>
  <c r="FZ854" i="97"/>
  <c r="FY854" i="97"/>
  <c r="FX854" i="97"/>
  <c r="FW854" i="97"/>
  <c r="FV854" i="97"/>
  <c r="FU854" i="97"/>
  <c r="FT854" i="97"/>
  <c r="FS854" i="97"/>
  <c r="FR854" i="97"/>
  <c r="FQ854" i="97"/>
  <c r="FP854" i="97"/>
  <c r="FO854" i="97"/>
  <c r="FN854" i="97"/>
  <c r="FM854" i="97"/>
  <c r="FL854" i="97"/>
  <c r="FK854" i="97"/>
  <c r="FJ854" i="97"/>
  <c r="FI854" i="97"/>
  <c r="FH854" i="97"/>
  <c r="FG854" i="97"/>
  <c r="FF854" i="97"/>
  <c r="FE854" i="97"/>
  <c r="FD854" i="97"/>
  <c r="FC854" i="97"/>
  <c r="FB854" i="97"/>
  <c r="FA854" i="97"/>
  <c r="EZ854" i="97"/>
  <c r="EY854" i="97"/>
  <c r="EX854" i="97"/>
  <c r="EW854" i="97"/>
  <c r="EV854" i="97"/>
  <c r="EU854" i="97"/>
  <c r="ET854" i="97"/>
  <c r="ES854" i="97"/>
  <c r="ER854" i="97"/>
  <c r="EQ854" i="97"/>
  <c r="EP854" i="97"/>
  <c r="EO854" i="97"/>
  <c r="EN854" i="97"/>
  <c r="EM854" i="97"/>
  <c r="EL854" i="97"/>
  <c r="EK854" i="97"/>
  <c r="EJ854" i="97"/>
  <c r="EI854" i="97"/>
  <c r="EH854" i="97"/>
  <c r="EG854" i="97"/>
  <c r="EF854" i="97"/>
  <c r="EE854" i="97"/>
  <c r="ED854" i="97"/>
  <c r="EC854" i="97"/>
  <c r="EB854" i="97"/>
  <c r="EA854" i="97"/>
  <c r="DZ854" i="97"/>
  <c r="DY854" i="97"/>
  <c r="DX854" i="97"/>
  <c r="DW854" i="97"/>
  <c r="DV854" i="97"/>
  <c r="DU854" i="97"/>
  <c r="DT854" i="97"/>
  <c r="DS854" i="97"/>
  <c r="DR854" i="97"/>
  <c r="DQ854" i="97"/>
  <c r="DP854" i="97"/>
  <c r="DO854" i="97"/>
  <c r="DN854" i="97"/>
  <c r="DM854" i="97"/>
  <c r="DL854" i="97"/>
  <c r="DK854" i="97"/>
  <c r="DJ854" i="97"/>
  <c r="DI854" i="97"/>
  <c r="DH854" i="97"/>
  <c r="DG854" i="97"/>
  <c r="DF854" i="97"/>
  <c r="DE854" i="97"/>
  <c r="DD854" i="97"/>
  <c r="DC854" i="97"/>
  <c r="DB854" i="97"/>
  <c r="DA854" i="97"/>
  <c r="CZ854" i="97"/>
  <c r="CY854" i="97"/>
  <c r="CX854" i="97"/>
  <c r="CW854" i="97"/>
  <c r="CV854" i="97"/>
  <c r="CU854" i="97"/>
  <c r="CT854" i="97"/>
  <c r="CS854" i="97"/>
  <c r="CR854" i="97"/>
  <c r="CQ854" i="97"/>
  <c r="CP854" i="97"/>
  <c r="CO854" i="97"/>
  <c r="CN854" i="97"/>
  <c r="CM854" i="97"/>
  <c r="CL854" i="97"/>
  <c r="CK854" i="97"/>
  <c r="CJ854" i="97"/>
  <c r="CI854" i="97"/>
  <c r="CH854" i="97"/>
  <c r="CG854" i="97"/>
  <c r="CF854" i="97"/>
  <c r="CE854" i="97"/>
  <c r="CD854" i="97"/>
  <c r="CC854" i="97"/>
  <c r="CB854" i="97"/>
  <c r="CA854" i="97"/>
  <c r="BZ854" i="97"/>
  <c r="BY854" i="97"/>
  <c r="BX854" i="97"/>
  <c r="BW854" i="97"/>
  <c r="BV854" i="97"/>
  <c r="BU854" i="97"/>
  <c r="BT854" i="97"/>
  <c r="BS854" i="97"/>
  <c r="BR854" i="97"/>
  <c r="BQ854" i="97"/>
  <c r="BP854" i="97"/>
  <c r="BO854" i="97"/>
  <c r="BN854" i="97"/>
  <c r="BM854" i="97"/>
  <c r="BL854" i="97"/>
  <c r="BK854" i="97"/>
  <c r="BJ854" i="97"/>
  <c r="BI854" i="97"/>
  <c r="BH854" i="97"/>
  <c r="BG854" i="97"/>
  <c r="BF854" i="97"/>
  <c r="BE854" i="97"/>
  <c r="BD854" i="97"/>
  <c r="BC854" i="97"/>
  <c r="BB854" i="97"/>
  <c r="BA854" i="97"/>
  <c r="AZ854" i="97"/>
  <c r="AY854" i="97"/>
  <c r="AX854" i="97"/>
  <c r="AW854" i="97"/>
  <c r="AV854" i="97"/>
  <c r="AU854" i="97"/>
  <c r="AT854" i="97"/>
  <c r="AS854" i="97"/>
  <c r="AR854" i="97"/>
  <c r="AQ854" i="97"/>
  <c r="AP854" i="97"/>
  <c r="AO854" i="97"/>
  <c r="AN854" i="97"/>
  <c r="AM854" i="97"/>
  <c r="AL854" i="97"/>
  <c r="AK854" i="97"/>
  <c r="AJ854" i="97"/>
  <c r="AI854" i="97"/>
  <c r="AH854" i="97"/>
  <c r="AG854" i="97"/>
  <c r="AF854" i="97"/>
  <c r="AE854" i="97"/>
  <c r="AD854" i="97"/>
  <c r="AC854" i="97"/>
  <c r="AB854" i="97"/>
  <c r="AA854" i="97"/>
  <c r="Z854" i="97"/>
  <c r="Y854" i="97"/>
  <c r="X854" i="97"/>
  <c r="L854" i="97"/>
  <c r="M854" i="97" s="1"/>
  <c r="A854" i="97"/>
  <c r="MT853" i="97"/>
  <c r="MS853" i="97"/>
  <c r="MR853" i="97"/>
  <c r="MQ853" i="97"/>
  <c r="MP853" i="97"/>
  <c r="MO853" i="97"/>
  <c r="MN853" i="97"/>
  <c r="MM853" i="97"/>
  <c r="ML853" i="97"/>
  <c r="MK853" i="97"/>
  <c r="MJ853" i="97"/>
  <c r="MI853" i="97"/>
  <c r="MH853" i="97"/>
  <c r="MG853" i="97"/>
  <c r="MF853" i="97"/>
  <c r="ME853" i="97"/>
  <c r="MD853" i="97"/>
  <c r="MC853" i="97"/>
  <c r="MB853" i="97"/>
  <c r="MA853" i="97"/>
  <c r="LZ853" i="97"/>
  <c r="LY853" i="97"/>
  <c r="LX853" i="97"/>
  <c r="LW853" i="97"/>
  <c r="LV853" i="97"/>
  <c r="LU853" i="97"/>
  <c r="LT853" i="97"/>
  <c r="LS853" i="97"/>
  <c r="LR853" i="97"/>
  <c r="LQ853" i="97"/>
  <c r="LP853" i="97"/>
  <c r="LO853" i="97"/>
  <c r="LN853" i="97"/>
  <c r="LM853" i="97"/>
  <c r="LL853" i="97"/>
  <c r="LK853" i="97"/>
  <c r="LJ853" i="97"/>
  <c r="LI853" i="97"/>
  <c r="LH853" i="97"/>
  <c r="LG853" i="97"/>
  <c r="LF853" i="97"/>
  <c r="LE853" i="97"/>
  <c r="LD853" i="97"/>
  <c r="LC853" i="97"/>
  <c r="LB853" i="97"/>
  <c r="LA853" i="97"/>
  <c r="KZ853" i="97"/>
  <c r="KY853" i="97"/>
  <c r="KX853" i="97"/>
  <c r="KW853" i="97"/>
  <c r="KV853" i="97"/>
  <c r="KU853" i="97"/>
  <c r="KT853" i="97"/>
  <c r="KS853" i="97"/>
  <c r="KR853" i="97"/>
  <c r="KQ853" i="97"/>
  <c r="KP853" i="97"/>
  <c r="KO853" i="97"/>
  <c r="KN853" i="97"/>
  <c r="KM853" i="97"/>
  <c r="KL853" i="97"/>
  <c r="KK853" i="97"/>
  <c r="KJ853" i="97"/>
  <c r="KI853" i="97"/>
  <c r="KH853" i="97"/>
  <c r="KG853" i="97"/>
  <c r="KF853" i="97"/>
  <c r="KE853" i="97"/>
  <c r="KD853" i="97"/>
  <c r="KC853" i="97"/>
  <c r="KB853" i="97"/>
  <c r="KA853" i="97"/>
  <c r="JZ853" i="97"/>
  <c r="JY853" i="97"/>
  <c r="JX853" i="97"/>
  <c r="JW853" i="97"/>
  <c r="JV853" i="97"/>
  <c r="JU853" i="97"/>
  <c r="JT853" i="97"/>
  <c r="JS853" i="97"/>
  <c r="JR853" i="97"/>
  <c r="JQ853" i="97"/>
  <c r="JP853" i="97"/>
  <c r="JO853" i="97"/>
  <c r="JN853" i="97"/>
  <c r="JM853" i="97"/>
  <c r="JL853" i="97"/>
  <c r="JK853" i="97"/>
  <c r="JJ853" i="97"/>
  <c r="JI853" i="97"/>
  <c r="JH853" i="97"/>
  <c r="JG853" i="97"/>
  <c r="JF853" i="97"/>
  <c r="JE853" i="97"/>
  <c r="JD853" i="97"/>
  <c r="JC853" i="97"/>
  <c r="JB853" i="97"/>
  <c r="JA853" i="97"/>
  <c r="IZ853" i="97"/>
  <c r="IY853" i="97"/>
  <c r="IX853" i="97"/>
  <c r="IW853" i="97"/>
  <c r="IV853" i="97"/>
  <c r="IU853" i="97"/>
  <c r="IT853" i="97"/>
  <c r="IS853" i="97"/>
  <c r="IR853" i="97"/>
  <c r="IQ853" i="97"/>
  <c r="IP853" i="97"/>
  <c r="IO853" i="97"/>
  <c r="IN853" i="97"/>
  <c r="IM853" i="97"/>
  <c r="IL853" i="97"/>
  <c r="IK853" i="97"/>
  <c r="IJ853" i="97"/>
  <c r="II853" i="97"/>
  <c r="IH853" i="97"/>
  <c r="IG853" i="97"/>
  <c r="IF853" i="97"/>
  <c r="IE853" i="97"/>
  <c r="ID853" i="97"/>
  <c r="IC853" i="97"/>
  <c r="IB853" i="97"/>
  <c r="IA853" i="97"/>
  <c r="HZ853" i="97"/>
  <c r="HY853" i="97"/>
  <c r="HX853" i="97"/>
  <c r="HW853" i="97"/>
  <c r="HV853" i="97"/>
  <c r="HU853" i="97"/>
  <c r="HT853" i="97"/>
  <c r="HS853" i="97"/>
  <c r="HR853" i="97"/>
  <c r="HQ853" i="97"/>
  <c r="HP853" i="97"/>
  <c r="HO853" i="97"/>
  <c r="HN853" i="97"/>
  <c r="HM853" i="97"/>
  <c r="HL853" i="97"/>
  <c r="HK853" i="97"/>
  <c r="HJ853" i="97"/>
  <c r="HI853" i="97"/>
  <c r="HH853" i="97"/>
  <c r="HG853" i="97"/>
  <c r="HF853" i="97"/>
  <c r="HE853" i="97"/>
  <c r="HD853" i="97"/>
  <c r="HC853" i="97"/>
  <c r="HB853" i="97"/>
  <c r="HA853" i="97"/>
  <c r="GZ853" i="97"/>
  <c r="GY853" i="97"/>
  <c r="GX853" i="97"/>
  <c r="GW853" i="97"/>
  <c r="GV853" i="97"/>
  <c r="GU853" i="97"/>
  <c r="GT853" i="97"/>
  <c r="GS853" i="97"/>
  <c r="GR853" i="97"/>
  <c r="GQ853" i="97"/>
  <c r="GP853" i="97"/>
  <c r="GO853" i="97"/>
  <c r="GN853" i="97"/>
  <c r="GM853" i="97"/>
  <c r="GL853" i="97"/>
  <c r="GK853" i="97"/>
  <c r="GJ853" i="97"/>
  <c r="GI853" i="97"/>
  <c r="GH853" i="97"/>
  <c r="GG853" i="97"/>
  <c r="GF853" i="97"/>
  <c r="GE853" i="97"/>
  <c r="GD853" i="97"/>
  <c r="GC853" i="97"/>
  <c r="GB853" i="97"/>
  <c r="GA853" i="97"/>
  <c r="FZ853" i="97"/>
  <c r="FY853" i="97"/>
  <c r="FX853" i="97"/>
  <c r="FW853" i="97"/>
  <c r="FV853" i="97"/>
  <c r="FU853" i="97"/>
  <c r="FT853" i="97"/>
  <c r="FS853" i="97"/>
  <c r="FR853" i="97"/>
  <c r="FQ853" i="97"/>
  <c r="FP853" i="97"/>
  <c r="FO853" i="97"/>
  <c r="FN853" i="97"/>
  <c r="FM853" i="97"/>
  <c r="FL853" i="97"/>
  <c r="FK853" i="97"/>
  <c r="FJ853" i="97"/>
  <c r="FI853" i="97"/>
  <c r="FH853" i="97"/>
  <c r="FG853" i="97"/>
  <c r="FF853" i="97"/>
  <c r="FE853" i="97"/>
  <c r="FD853" i="97"/>
  <c r="FC853" i="97"/>
  <c r="FB853" i="97"/>
  <c r="FA853" i="97"/>
  <c r="EZ853" i="97"/>
  <c r="EY853" i="97"/>
  <c r="EX853" i="97"/>
  <c r="EW853" i="97"/>
  <c r="EV853" i="97"/>
  <c r="EU853" i="97"/>
  <c r="ET853" i="97"/>
  <c r="ES853" i="97"/>
  <c r="ER853" i="97"/>
  <c r="EQ853" i="97"/>
  <c r="EP853" i="97"/>
  <c r="EO853" i="97"/>
  <c r="EN853" i="97"/>
  <c r="EM853" i="97"/>
  <c r="EL853" i="97"/>
  <c r="EK853" i="97"/>
  <c r="EJ853" i="97"/>
  <c r="EI853" i="97"/>
  <c r="EH853" i="97"/>
  <c r="EG853" i="97"/>
  <c r="EF853" i="97"/>
  <c r="EE853" i="97"/>
  <c r="ED853" i="97"/>
  <c r="EC853" i="97"/>
  <c r="EB853" i="97"/>
  <c r="EA853" i="97"/>
  <c r="DZ853" i="97"/>
  <c r="DY853" i="97"/>
  <c r="DX853" i="97"/>
  <c r="DW853" i="97"/>
  <c r="DV853" i="97"/>
  <c r="DU853" i="97"/>
  <c r="DT853" i="97"/>
  <c r="DS853" i="97"/>
  <c r="DR853" i="97"/>
  <c r="DQ853" i="97"/>
  <c r="DP853" i="97"/>
  <c r="DO853" i="97"/>
  <c r="DN853" i="97"/>
  <c r="DM853" i="97"/>
  <c r="DL853" i="97"/>
  <c r="DK853" i="97"/>
  <c r="DJ853" i="97"/>
  <c r="DI853" i="97"/>
  <c r="DH853" i="97"/>
  <c r="DG853" i="97"/>
  <c r="DF853" i="97"/>
  <c r="DE853" i="97"/>
  <c r="DD853" i="97"/>
  <c r="DC853" i="97"/>
  <c r="DB853" i="97"/>
  <c r="DA853" i="97"/>
  <c r="CZ853" i="97"/>
  <c r="CY853" i="97"/>
  <c r="CX853" i="97"/>
  <c r="CW853" i="97"/>
  <c r="CV853" i="97"/>
  <c r="CU853" i="97"/>
  <c r="CT853" i="97"/>
  <c r="CS853" i="97"/>
  <c r="CR853" i="97"/>
  <c r="CQ853" i="97"/>
  <c r="CP853" i="97"/>
  <c r="CO853" i="97"/>
  <c r="CN853" i="97"/>
  <c r="CM853" i="97"/>
  <c r="CL853" i="97"/>
  <c r="CK853" i="97"/>
  <c r="CJ853" i="97"/>
  <c r="CI853" i="97"/>
  <c r="CH853" i="97"/>
  <c r="CG853" i="97"/>
  <c r="CF853" i="97"/>
  <c r="CE853" i="97"/>
  <c r="CD853" i="97"/>
  <c r="CC853" i="97"/>
  <c r="CB853" i="97"/>
  <c r="CA853" i="97"/>
  <c r="BZ853" i="97"/>
  <c r="BY853" i="97"/>
  <c r="BX853" i="97"/>
  <c r="BW853" i="97"/>
  <c r="BV853" i="97"/>
  <c r="BU853" i="97"/>
  <c r="BT853" i="97"/>
  <c r="BS853" i="97"/>
  <c r="BR853" i="97"/>
  <c r="BQ853" i="97"/>
  <c r="BP853" i="97"/>
  <c r="BO853" i="97"/>
  <c r="BN853" i="97"/>
  <c r="BM853" i="97"/>
  <c r="BL853" i="97"/>
  <c r="BK853" i="97"/>
  <c r="BJ853" i="97"/>
  <c r="BI853" i="97"/>
  <c r="BH853" i="97"/>
  <c r="BG853" i="97"/>
  <c r="BF853" i="97"/>
  <c r="BE853" i="97"/>
  <c r="BD853" i="97"/>
  <c r="BC853" i="97"/>
  <c r="BB853" i="97"/>
  <c r="BA853" i="97"/>
  <c r="AZ853" i="97"/>
  <c r="AY853" i="97"/>
  <c r="AX853" i="97"/>
  <c r="AW853" i="97"/>
  <c r="AV853" i="97"/>
  <c r="AU853" i="97"/>
  <c r="AT853" i="97"/>
  <c r="AS853" i="97"/>
  <c r="AR853" i="97"/>
  <c r="AQ853" i="97"/>
  <c r="AP853" i="97"/>
  <c r="AO853" i="97"/>
  <c r="AN853" i="97"/>
  <c r="AM853" i="97"/>
  <c r="AL853" i="97"/>
  <c r="AK853" i="97"/>
  <c r="AJ853" i="97"/>
  <c r="AI853" i="97"/>
  <c r="AH853" i="97"/>
  <c r="AG853" i="97"/>
  <c r="AF853" i="97"/>
  <c r="AE853" i="97"/>
  <c r="AD853" i="97"/>
  <c r="AC853" i="97"/>
  <c r="AB853" i="97"/>
  <c r="AA853" i="97"/>
  <c r="Z853" i="97"/>
  <c r="Y853" i="97"/>
  <c r="X853" i="97"/>
  <c r="L853" i="97"/>
  <c r="M853" i="97" s="1"/>
  <c r="A853" i="97"/>
  <c r="MT852" i="97"/>
  <c r="MS852" i="97"/>
  <c r="MR852" i="97"/>
  <c r="MQ852" i="97"/>
  <c r="MP852" i="97"/>
  <c r="MO852" i="97"/>
  <c r="MN852" i="97"/>
  <c r="MM852" i="97"/>
  <c r="ML852" i="97"/>
  <c r="MK852" i="97"/>
  <c r="MJ852" i="97"/>
  <c r="MI852" i="97"/>
  <c r="MH852" i="97"/>
  <c r="MG852" i="97"/>
  <c r="MF852" i="97"/>
  <c r="ME852" i="97"/>
  <c r="MD852" i="97"/>
  <c r="MC852" i="97"/>
  <c r="MB852" i="97"/>
  <c r="MA852" i="97"/>
  <c r="LZ852" i="97"/>
  <c r="LY852" i="97"/>
  <c r="LX852" i="97"/>
  <c r="LW852" i="97"/>
  <c r="LV852" i="97"/>
  <c r="LU852" i="97"/>
  <c r="LT852" i="97"/>
  <c r="LS852" i="97"/>
  <c r="LR852" i="97"/>
  <c r="LQ852" i="97"/>
  <c r="LP852" i="97"/>
  <c r="LO852" i="97"/>
  <c r="LN852" i="97"/>
  <c r="LM852" i="97"/>
  <c r="LL852" i="97"/>
  <c r="LK852" i="97"/>
  <c r="LJ852" i="97"/>
  <c r="LI852" i="97"/>
  <c r="LH852" i="97"/>
  <c r="LG852" i="97"/>
  <c r="LF852" i="97"/>
  <c r="LE852" i="97"/>
  <c r="LD852" i="97"/>
  <c r="LC852" i="97"/>
  <c r="LB852" i="97"/>
  <c r="LA852" i="97"/>
  <c r="KZ852" i="97"/>
  <c r="KY852" i="97"/>
  <c r="KX852" i="97"/>
  <c r="KW852" i="97"/>
  <c r="KV852" i="97"/>
  <c r="KU852" i="97"/>
  <c r="KT852" i="97"/>
  <c r="KS852" i="97"/>
  <c r="KR852" i="97"/>
  <c r="KQ852" i="97"/>
  <c r="KP852" i="97"/>
  <c r="KO852" i="97"/>
  <c r="KN852" i="97"/>
  <c r="KM852" i="97"/>
  <c r="KL852" i="97"/>
  <c r="KK852" i="97"/>
  <c r="KJ852" i="97"/>
  <c r="KI852" i="97"/>
  <c r="KH852" i="97"/>
  <c r="KG852" i="97"/>
  <c r="KF852" i="97"/>
  <c r="KE852" i="97"/>
  <c r="KD852" i="97"/>
  <c r="KC852" i="97"/>
  <c r="KB852" i="97"/>
  <c r="KA852" i="97"/>
  <c r="JZ852" i="97"/>
  <c r="JY852" i="97"/>
  <c r="JX852" i="97"/>
  <c r="JW852" i="97"/>
  <c r="JV852" i="97"/>
  <c r="JU852" i="97"/>
  <c r="JT852" i="97"/>
  <c r="JS852" i="97"/>
  <c r="JR852" i="97"/>
  <c r="JQ852" i="97"/>
  <c r="JP852" i="97"/>
  <c r="JO852" i="97"/>
  <c r="JN852" i="97"/>
  <c r="JM852" i="97"/>
  <c r="JL852" i="97"/>
  <c r="JK852" i="97"/>
  <c r="JJ852" i="97"/>
  <c r="JI852" i="97"/>
  <c r="JH852" i="97"/>
  <c r="JG852" i="97"/>
  <c r="JF852" i="97"/>
  <c r="JE852" i="97"/>
  <c r="JD852" i="97"/>
  <c r="JC852" i="97"/>
  <c r="JB852" i="97"/>
  <c r="JA852" i="97"/>
  <c r="IZ852" i="97"/>
  <c r="IY852" i="97"/>
  <c r="IX852" i="97"/>
  <c r="IW852" i="97"/>
  <c r="IV852" i="97"/>
  <c r="IU852" i="97"/>
  <c r="IT852" i="97"/>
  <c r="IS852" i="97"/>
  <c r="IR852" i="97"/>
  <c r="IQ852" i="97"/>
  <c r="IP852" i="97"/>
  <c r="IO852" i="97"/>
  <c r="IN852" i="97"/>
  <c r="IM852" i="97"/>
  <c r="IL852" i="97"/>
  <c r="IK852" i="97"/>
  <c r="IJ852" i="97"/>
  <c r="II852" i="97"/>
  <c r="IH852" i="97"/>
  <c r="IG852" i="97"/>
  <c r="IF852" i="97"/>
  <c r="IE852" i="97"/>
  <c r="ID852" i="97"/>
  <c r="IC852" i="97"/>
  <c r="IB852" i="97"/>
  <c r="IA852" i="97"/>
  <c r="HZ852" i="97"/>
  <c r="HY852" i="97"/>
  <c r="HX852" i="97"/>
  <c r="HW852" i="97"/>
  <c r="HV852" i="97"/>
  <c r="HU852" i="97"/>
  <c r="HT852" i="97"/>
  <c r="HS852" i="97"/>
  <c r="HR852" i="97"/>
  <c r="HQ852" i="97"/>
  <c r="HP852" i="97"/>
  <c r="HO852" i="97"/>
  <c r="HN852" i="97"/>
  <c r="HM852" i="97"/>
  <c r="HL852" i="97"/>
  <c r="HK852" i="97"/>
  <c r="HJ852" i="97"/>
  <c r="HI852" i="97"/>
  <c r="HH852" i="97"/>
  <c r="HG852" i="97"/>
  <c r="HF852" i="97"/>
  <c r="HE852" i="97"/>
  <c r="HD852" i="97"/>
  <c r="HC852" i="97"/>
  <c r="HB852" i="97"/>
  <c r="HA852" i="97"/>
  <c r="GZ852" i="97"/>
  <c r="GY852" i="97"/>
  <c r="GX852" i="97"/>
  <c r="GW852" i="97"/>
  <c r="GV852" i="97"/>
  <c r="GU852" i="97"/>
  <c r="GT852" i="97"/>
  <c r="GS852" i="97"/>
  <c r="GR852" i="97"/>
  <c r="GQ852" i="97"/>
  <c r="GP852" i="97"/>
  <c r="GO852" i="97"/>
  <c r="GN852" i="97"/>
  <c r="GM852" i="97"/>
  <c r="GL852" i="97"/>
  <c r="GK852" i="97"/>
  <c r="GJ852" i="97"/>
  <c r="GI852" i="97"/>
  <c r="GH852" i="97"/>
  <c r="GG852" i="97"/>
  <c r="GF852" i="97"/>
  <c r="GE852" i="97"/>
  <c r="GD852" i="97"/>
  <c r="GC852" i="97"/>
  <c r="GB852" i="97"/>
  <c r="GA852" i="97"/>
  <c r="FZ852" i="97"/>
  <c r="FY852" i="97"/>
  <c r="FX852" i="97"/>
  <c r="FW852" i="97"/>
  <c r="FV852" i="97"/>
  <c r="FU852" i="97"/>
  <c r="FT852" i="97"/>
  <c r="FS852" i="97"/>
  <c r="FR852" i="97"/>
  <c r="FQ852" i="97"/>
  <c r="FP852" i="97"/>
  <c r="FO852" i="97"/>
  <c r="FN852" i="97"/>
  <c r="FM852" i="97"/>
  <c r="FL852" i="97"/>
  <c r="FK852" i="97"/>
  <c r="FJ852" i="97"/>
  <c r="FI852" i="97"/>
  <c r="FH852" i="97"/>
  <c r="FG852" i="97"/>
  <c r="FF852" i="97"/>
  <c r="FE852" i="97"/>
  <c r="FD852" i="97"/>
  <c r="FC852" i="97"/>
  <c r="FB852" i="97"/>
  <c r="FA852" i="97"/>
  <c r="EZ852" i="97"/>
  <c r="EY852" i="97"/>
  <c r="EX852" i="97"/>
  <c r="EW852" i="97"/>
  <c r="EV852" i="97"/>
  <c r="EU852" i="97"/>
  <c r="ET852" i="97"/>
  <c r="ES852" i="97"/>
  <c r="ER852" i="97"/>
  <c r="EQ852" i="97"/>
  <c r="EP852" i="97"/>
  <c r="EO852" i="97"/>
  <c r="EN852" i="97"/>
  <c r="EM852" i="97"/>
  <c r="EL852" i="97"/>
  <c r="EK852" i="97"/>
  <c r="EJ852" i="97"/>
  <c r="EI852" i="97"/>
  <c r="EH852" i="97"/>
  <c r="EG852" i="97"/>
  <c r="EF852" i="97"/>
  <c r="EE852" i="97"/>
  <c r="ED852" i="97"/>
  <c r="EC852" i="97"/>
  <c r="EB852" i="97"/>
  <c r="EA852" i="97"/>
  <c r="DZ852" i="97"/>
  <c r="DY852" i="97"/>
  <c r="DX852" i="97"/>
  <c r="DW852" i="97"/>
  <c r="DV852" i="97"/>
  <c r="DU852" i="97"/>
  <c r="DT852" i="97"/>
  <c r="DS852" i="97"/>
  <c r="DR852" i="97"/>
  <c r="DQ852" i="97"/>
  <c r="DP852" i="97"/>
  <c r="DO852" i="97"/>
  <c r="DN852" i="97"/>
  <c r="DM852" i="97"/>
  <c r="DL852" i="97"/>
  <c r="DK852" i="97"/>
  <c r="DJ852" i="97"/>
  <c r="DI852" i="97"/>
  <c r="DH852" i="97"/>
  <c r="DG852" i="97"/>
  <c r="DF852" i="97"/>
  <c r="DE852" i="97"/>
  <c r="DD852" i="97"/>
  <c r="DC852" i="97"/>
  <c r="DB852" i="97"/>
  <c r="DA852" i="97"/>
  <c r="CZ852" i="97"/>
  <c r="CY852" i="97"/>
  <c r="CX852" i="97"/>
  <c r="CW852" i="97"/>
  <c r="CV852" i="97"/>
  <c r="CU852" i="97"/>
  <c r="CT852" i="97"/>
  <c r="CS852" i="97"/>
  <c r="CR852" i="97"/>
  <c r="CQ852" i="97"/>
  <c r="CP852" i="97"/>
  <c r="CO852" i="97"/>
  <c r="CN852" i="97"/>
  <c r="CM852" i="97"/>
  <c r="CL852" i="97"/>
  <c r="CK852" i="97"/>
  <c r="CJ852" i="97"/>
  <c r="CI852" i="97"/>
  <c r="CH852" i="97"/>
  <c r="CG852" i="97"/>
  <c r="CF852" i="97"/>
  <c r="CE852" i="97"/>
  <c r="CD852" i="97"/>
  <c r="CC852" i="97"/>
  <c r="CB852" i="97"/>
  <c r="CA852" i="97"/>
  <c r="BZ852" i="97"/>
  <c r="BY852" i="97"/>
  <c r="BX852" i="97"/>
  <c r="BW852" i="97"/>
  <c r="BV852" i="97"/>
  <c r="BU852" i="97"/>
  <c r="BT852" i="97"/>
  <c r="BS852" i="97"/>
  <c r="BR852" i="97"/>
  <c r="BQ852" i="97"/>
  <c r="BP852" i="97"/>
  <c r="BO852" i="97"/>
  <c r="BN852" i="97"/>
  <c r="BM852" i="97"/>
  <c r="BL852" i="97"/>
  <c r="BK852" i="97"/>
  <c r="BJ852" i="97"/>
  <c r="BI852" i="97"/>
  <c r="BH852" i="97"/>
  <c r="BG852" i="97"/>
  <c r="BF852" i="97"/>
  <c r="BE852" i="97"/>
  <c r="BD852" i="97"/>
  <c r="BC852" i="97"/>
  <c r="BB852" i="97"/>
  <c r="BA852" i="97"/>
  <c r="AZ852" i="97"/>
  <c r="AY852" i="97"/>
  <c r="AX852" i="97"/>
  <c r="AW852" i="97"/>
  <c r="AV852" i="97"/>
  <c r="AU852" i="97"/>
  <c r="AT852" i="97"/>
  <c r="AS852" i="97"/>
  <c r="AR852" i="97"/>
  <c r="AQ852" i="97"/>
  <c r="AP852" i="97"/>
  <c r="AO852" i="97"/>
  <c r="AN852" i="97"/>
  <c r="AM852" i="97"/>
  <c r="AL852" i="97"/>
  <c r="AK852" i="97"/>
  <c r="AJ852" i="97"/>
  <c r="AI852" i="97"/>
  <c r="AH852" i="97"/>
  <c r="AG852" i="97"/>
  <c r="AF852" i="97"/>
  <c r="AE852" i="97"/>
  <c r="AD852" i="97"/>
  <c r="AC852" i="97"/>
  <c r="AB852" i="97"/>
  <c r="AA852" i="97"/>
  <c r="Z852" i="97"/>
  <c r="Y852" i="97"/>
  <c r="X852" i="97"/>
  <c r="L852" i="97"/>
  <c r="M852" i="97" s="1"/>
  <c r="A852" i="97"/>
  <c r="MT851" i="97"/>
  <c r="MS851" i="97"/>
  <c r="MR851" i="97"/>
  <c r="MQ851" i="97"/>
  <c r="MP851" i="97"/>
  <c r="MO851" i="97"/>
  <c r="MN851" i="97"/>
  <c r="MM851" i="97"/>
  <c r="ML851" i="97"/>
  <c r="MK851" i="97"/>
  <c r="MJ851" i="97"/>
  <c r="MI851" i="97"/>
  <c r="MH851" i="97"/>
  <c r="MG851" i="97"/>
  <c r="MF851" i="97"/>
  <c r="ME851" i="97"/>
  <c r="MD851" i="97"/>
  <c r="MC851" i="97"/>
  <c r="MB851" i="97"/>
  <c r="MA851" i="97"/>
  <c r="LZ851" i="97"/>
  <c r="LY851" i="97"/>
  <c r="LX851" i="97"/>
  <c r="LW851" i="97"/>
  <c r="LV851" i="97"/>
  <c r="LU851" i="97"/>
  <c r="LT851" i="97"/>
  <c r="LS851" i="97"/>
  <c r="LR851" i="97"/>
  <c r="LQ851" i="97"/>
  <c r="LP851" i="97"/>
  <c r="LO851" i="97"/>
  <c r="LN851" i="97"/>
  <c r="LM851" i="97"/>
  <c r="LL851" i="97"/>
  <c r="LK851" i="97"/>
  <c r="LJ851" i="97"/>
  <c r="LI851" i="97"/>
  <c r="LH851" i="97"/>
  <c r="LG851" i="97"/>
  <c r="LF851" i="97"/>
  <c r="LE851" i="97"/>
  <c r="LD851" i="97"/>
  <c r="LC851" i="97"/>
  <c r="LB851" i="97"/>
  <c r="LA851" i="97"/>
  <c r="KZ851" i="97"/>
  <c r="KY851" i="97"/>
  <c r="KX851" i="97"/>
  <c r="KW851" i="97"/>
  <c r="KV851" i="97"/>
  <c r="KU851" i="97"/>
  <c r="KT851" i="97"/>
  <c r="KS851" i="97"/>
  <c r="KR851" i="97"/>
  <c r="KQ851" i="97"/>
  <c r="KP851" i="97"/>
  <c r="KO851" i="97"/>
  <c r="KN851" i="97"/>
  <c r="KM851" i="97"/>
  <c r="KL851" i="97"/>
  <c r="KK851" i="97"/>
  <c r="KJ851" i="97"/>
  <c r="KI851" i="97"/>
  <c r="KH851" i="97"/>
  <c r="KG851" i="97"/>
  <c r="KF851" i="97"/>
  <c r="KE851" i="97"/>
  <c r="KD851" i="97"/>
  <c r="KC851" i="97"/>
  <c r="KB851" i="97"/>
  <c r="KA851" i="97"/>
  <c r="JZ851" i="97"/>
  <c r="JY851" i="97"/>
  <c r="JX851" i="97"/>
  <c r="JW851" i="97"/>
  <c r="JV851" i="97"/>
  <c r="JU851" i="97"/>
  <c r="JT851" i="97"/>
  <c r="JS851" i="97"/>
  <c r="JR851" i="97"/>
  <c r="JQ851" i="97"/>
  <c r="JP851" i="97"/>
  <c r="JO851" i="97"/>
  <c r="JN851" i="97"/>
  <c r="JM851" i="97"/>
  <c r="JL851" i="97"/>
  <c r="JK851" i="97"/>
  <c r="JJ851" i="97"/>
  <c r="JI851" i="97"/>
  <c r="JH851" i="97"/>
  <c r="JG851" i="97"/>
  <c r="JF851" i="97"/>
  <c r="JE851" i="97"/>
  <c r="JD851" i="97"/>
  <c r="JC851" i="97"/>
  <c r="JB851" i="97"/>
  <c r="JA851" i="97"/>
  <c r="IZ851" i="97"/>
  <c r="IY851" i="97"/>
  <c r="IX851" i="97"/>
  <c r="IW851" i="97"/>
  <c r="IV851" i="97"/>
  <c r="IU851" i="97"/>
  <c r="IT851" i="97"/>
  <c r="IS851" i="97"/>
  <c r="IR851" i="97"/>
  <c r="IQ851" i="97"/>
  <c r="IP851" i="97"/>
  <c r="IO851" i="97"/>
  <c r="IN851" i="97"/>
  <c r="IM851" i="97"/>
  <c r="IL851" i="97"/>
  <c r="IK851" i="97"/>
  <c r="IJ851" i="97"/>
  <c r="II851" i="97"/>
  <c r="IH851" i="97"/>
  <c r="IG851" i="97"/>
  <c r="IF851" i="97"/>
  <c r="IE851" i="97"/>
  <c r="ID851" i="97"/>
  <c r="IC851" i="97"/>
  <c r="IB851" i="97"/>
  <c r="IA851" i="97"/>
  <c r="HZ851" i="97"/>
  <c r="HY851" i="97"/>
  <c r="HX851" i="97"/>
  <c r="HW851" i="97"/>
  <c r="HV851" i="97"/>
  <c r="HU851" i="97"/>
  <c r="HT851" i="97"/>
  <c r="HS851" i="97"/>
  <c r="HR851" i="97"/>
  <c r="HQ851" i="97"/>
  <c r="HP851" i="97"/>
  <c r="HO851" i="97"/>
  <c r="HN851" i="97"/>
  <c r="HM851" i="97"/>
  <c r="HL851" i="97"/>
  <c r="HK851" i="97"/>
  <c r="HJ851" i="97"/>
  <c r="HI851" i="97"/>
  <c r="HH851" i="97"/>
  <c r="HG851" i="97"/>
  <c r="HF851" i="97"/>
  <c r="HE851" i="97"/>
  <c r="HD851" i="97"/>
  <c r="HC851" i="97"/>
  <c r="HB851" i="97"/>
  <c r="HA851" i="97"/>
  <c r="GZ851" i="97"/>
  <c r="GY851" i="97"/>
  <c r="GX851" i="97"/>
  <c r="GW851" i="97"/>
  <c r="GV851" i="97"/>
  <c r="GU851" i="97"/>
  <c r="GT851" i="97"/>
  <c r="GS851" i="97"/>
  <c r="GR851" i="97"/>
  <c r="GQ851" i="97"/>
  <c r="GP851" i="97"/>
  <c r="GO851" i="97"/>
  <c r="GN851" i="97"/>
  <c r="GM851" i="97"/>
  <c r="GL851" i="97"/>
  <c r="GK851" i="97"/>
  <c r="GJ851" i="97"/>
  <c r="GI851" i="97"/>
  <c r="GH851" i="97"/>
  <c r="GG851" i="97"/>
  <c r="GF851" i="97"/>
  <c r="GE851" i="97"/>
  <c r="GD851" i="97"/>
  <c r="GC851" i="97"/>
  <c r="GB851" i="97"/>
  <c r="GA851" i="97"/>
  <c r="FZ851" i="97"/>
  <c r="FY851" i="97"/>
  <c r="FX851" i="97"/>
  <c r="FW851" i="97"/>
  <c r="FV851" i="97"/>
  <c r="FU851" i="97"/>
  <c r="FT851" i="97"/>
  <c r="FS851" i="97"/>
  <c r="FR851" i="97"/>
  <c r="FQ851" i="97"/>
  <c r="FP851" i="97"/>
  <c r="FO851" i="97"/>
  <c r="FN851" i="97"/>
  <c r="FM851" i="97"/>
  <c r="FL851" i="97"/>
  <c r="FK851" i="97"/>
  <c r="FJ851" i="97"/>
  <c r="FI851" i="97"/>
  <c r="FH851" i="97"/>
  <c r="FG851" i="97"/>
  <c r="FF851" i="97"/>
  <c r="FE851" i="97"/>
  <c r="FD851" i="97"/>
  <c r="FC851" i="97"/>
  <c r="FB851" i="97"/>
  <c r="FA851" i="97"/>
  <c r="EZ851" i="97"/>
  <c r="EY851" i="97"/>
  <c r="EX851" i="97"/>
  <c r="EW851" i="97"/>
  <c r="EV851" i="97"/>
  <c r="EU851" i="97"/>
  <c r="ET851" i="97"/>
  <c r="ES851" i="97"/>
  <c r="ER851" i="97"/>
  <c r="EQ851" i="97"/>
  <c r="EP851" i="97"/>
  <c r="EO851" i="97"/>
  <c r="EN851" i="97"/>
  <c r="EM851" i="97"/>
  <c r="EL851" i="97"/>
  <c r="EK851" i="97"/>
  <c r="EJ851" i="97"/>
  <c r="EI851" i="97"/>
  <c r="EH851" i="97"/>
  <c r="EG851" i="97"/>
  <c r="EF851" i="97"/>
  <c r="EE851" i="97"/>
  <c r="ED851" i="97"/>
  <c r="EC851" i="97"/>
  <c r="EB851" i="97"/>
  <c r="EA851" i="97"/>
  <c r="DZ851" i="97"/>
  <c r="DY851" i="97"/>
  <c r="DX851" i="97"/>
  <c r="DW851" i="97"/>
  <c r="DV851" i="97"/>
  <c r="DU851" i="97"/>
  <c r="DT851" i="97"/>
  <c r="DS851" i="97"/>
  <c r="DR851" i="97"/>
  <c r="DQ851" i="97"/>
  <c r="DP851" i="97"/>
  <c r="DO851" i="97"/>
  <c r="DN851" i="97"/>
  <c r="DM851" i="97"/>
  <c r="DL851" i="97"/>
  <c r="DK851" i="97"/>
  <c r="DJ851" i="97"/>
  <c r="DI851" i="97"/>
  <c r="DH851" i="97"/>
  <c r="DG851" i="97"/>
  <c r="DF851" i="97"/>
  <c r="DE851" i="97"/>
  <c r="DD851" i="97"/>
  <c r="DC851" i="97"/>
  <c r="DB851" i="97"/>
  <c r="DA851" i="97"/>
  <c r="CZ851" i="97"/>
  <c r="CY851" i="97"/>
  <c r="CX851" i="97"/>
  <c r="CW851" i="97"/>
  <c r="CV851" i="97"/>
  <c r="CU851" i="97"/>
  <c r="CT851" i="97"/>
  <c r="CS851" i="97"/>
  <c r="CR851" i="97"/>
  <c r="CQ851" i="97"/>
  <c r="CP851" i="97"/>
  <c r="CO851" i="97"/>
  <c r="CN851" i="97"/>
  <c r="CM851" i="97"/>
  <c r="CL851" i="97"/>
  <c r="CK851" i="97"/>
  <c r="CJ851" i="97"/>
  <c r="CI851" i="97"/>
  <c r="CH851" i="97"/>
  <c r="CG851" i="97"/>
  <c r="CF851" i="97"/>
  <c r="CE851" i="97"/>
  <c r="CD851" i="97"/>
  <c r="CC851" i="97"/>
  <c r="CB851" i="97"/>
  <c r="CA851" i="97"/>
  <c r="BZ851" i="97"/>
  <c r="BY851" i="97"/>
  <c r="BX851" i="97"/>
  <c r="BW851" i="97"/>
  <c r="BV851" i="97"/>
  <c r="BU851" i="97"/>
  <c r="BT851" i="97"/>
  <c r="BS851" i="97"/>
  <c r="BR851" i="97"/>
  <c r="BQ851" i="97"/>
  <c r="BP851" i="97"/>
  <c r="BO851" i="97"/>
  <c r="BN851" i="97"/>
  <c r="BM851" i="97"/>
  <c r="BL851" i="97"/>
  <c r="BK851" i="97"/>
  <c r="BJ851" i="97"/>
  <c r="BI851" i="97"/>
  <c r="BH851" i="97"/>
  <c r="BG851" i="97"/>
  <c r="BF851" i="97"/>
  <c r="BE851" i="97"/>
  <c r="BD851" i="97"/>
  <c r="BC851" i="97"/>
  <c r="BB851" i="97"/>
  <c r="BA851" i="97"/>
  <c r="AZ851" i="97"/>
  <c r="AY851" i="97"/>
  <c r="AX851" i="97"/>
  <c r="AW851" i="97"/>
  <c r="AV851" i="97"/>
  <c r="AU851" i="97"/>
  <c r="AT851" i="97"/>
  <c r="AS851" i="97"/>
  <c r="AR851" i="97"/>
  <c r="AQ851" i="97"/>
  <c r="AP851" i="97"/>
  <c r="AO851" i="97"/>
  <c r="AN851" i="97"/>
  <c r="AM851" i="97"/>
  <c r="AL851" i="97"/>
  <c r="AK851" i="97"/>
  <c r="AJ851" i="97"/>
  <c r="AI851" i="97"/>
  <c r="AH851" i="97"/>
  <c r="AG851" i="97"/>
  <c r="AF851" i="97"/>
  <c r="AE851" i="97"/>
  <c r="AD851" i="97"/>
  <c r="AC851" i="97"/>
  <c r="AB851" i="97"/>
  <c r="AA851" i="97"/>
  <c r="Z851" i="97"/>
  <c r="Y851" i="97"/>
  <c r="X851" i="97"/>
  <c r="L851" i="97"/>
  <c r="M851" i="97" s="1"/>
  <c r="A851" i="97"/>
  <c r="L846" i="97"/>
  <c r="T844" i="97"/>
  <c r="A842" i="97"/>
  <c r="T842" i="97" s="1"/>
  <c r="D787" i="97"/>
  <c r="B787" i="97"/>
  <c r="A784" i="97"/>
  <c r="D781" i="97"/>
  <c r="B781" i="97"/>
  <c r="A778" i="97"/>
  <c r="B775" i="97"/>
  <c r="A772" i="97"/>
  <c r="B769" i="97"/>
  <c r="A766" i="97"/>
  <c r="B764" i="97"/>
  <c r="A761" i="97"/>
  <c r="B758" i="97"/>
  <c r="A755" i="97"/>
  <c r="D752" i="97"/>
  <c r="B752" i="97"/>
  <c r="A749" i="97"/>
  <c r="D746" i="97"/>
  <c r="B746" i="97"/>
  <c r="A743" i="97"/>
  <c r="D741" i="97"/>
  <c r="B741" i="97"/>
  <c r="A738" i="97"/>
  <c r="D735" i="97"/>
  <c r="B735" i="97"/>
  <c r="A732" i="97"/>
  <c r="D729" i="97"/>
  <c r="B729" i="97"/>
  <c r="A726" i="97"/>
  <c r="D724" i="97"/>
  <c r="B724" i="97"/>
  <c r="A721" i="97"/>
  <c r="D719" i="97"/>
  <c r="B719" i="97"/>
  <c r="A716" i="97"/>
  <c r="S698" i="97"/>
  <c r="S694" i="97"/>
  <c r="U696" i="97" s="1"/>
  <c r="J691" i="97"/>
  <c r="O688" i="97"/>
  <c r="J688" i="97"/>
  <c r="W684" i="97"/>
  <c r="W664" i="97"/>
  <c r="V662" i="97"/>
  <c r="P662" i="97"/>
  <c r="P666" i="97" s="1"/>
  <c r="J662" i="97"/>
  <c r="J666" i="97" s="1"/>
  <c r="W654" i="97"/>
  <c r="W653" i="97"/>
  <c r="V647" i="97"/>
  <c r="S647" i="97"/>
  <c r="P647" i="97"/>
  <c r="M647" i="97"/>
  <c r="J647" i="97"/>
  <c r="G647" i="97"/>
  <c r="U646" i="97"/>
  <c r="A646" i="97"/>
  <c r="W644" i="97"/>
  <c r="O644" i="97"/>
  <c r="V642" i="97"/>
  <c r="V638" i="97"/>
  <c r="S638" i="97"/>
  <c r="P638" i="97"/>
  <c r="M638" i="97"/>
  <c r="J638" i="97"/>
  <c r="G638" i="97"/>
  <c r="U637" i="97"/>
  <c r="A637" i="97"/>
  <c r="AF634" i="97"/>
  <c r="J634" i="97"/>
  <c r="AF633" i="97"/>
  <c r="J633" i="97"/>
  <c r="W631" i="97"/>
  <c r="O631" i="97"/>
  <c r="AC630" i="97"/>
  <c r="AA630" i="97"/>
  <c r="V630" i="97"/>
  <c r="S630" i="97"/>
  <c r="P630" i="97"/>
  <c r="M630" i="97"/>
  <c r="J630" i="97"/>
  <c r="G630" i="97"/>
  <c r="AC629" i="97"/>
  <c r="AB629" i="97"/>
  <c r="AA629" i="97"/>
  <c r="F629" i="97"/>
  <c r="AC628" i="97"/>
  <c r="AG628" i="97" s="1"/>
  <c r="AB628" i="97"/>
  <c r="AA628" i="97"/>
  <c r="F628" i="97"/>
  <c r="AC627" i="97"/>
  <c r="AA627" i="97"/>
  <c r="F627" i="97"/>
  <c r="AC626" i="97"/>
  <c r="AB626" i="97"/>
  <c r="AA626" i="97"/>
  <c r="AC625" i="97"/>
  <c r="AB625" i="97"/>
  <c r="AA625" i="97"/>
  <c r="F625" i="97"/>
  <c r="W624" i="97"/>
  <c r="O624" i="97"/>
  <c r="E624" i="97"/>
  <c r="E630" i="97" s="1"/>
  <c r="V623" i="97"/>
  <c r="S623" i="97"/>
  <c r="G623" i="97"/>
  <c r="U622" i="97"/>
  <c r="A622" i="97"/>
  <c r="W618" i="97"/>
  <c r="O618" i="97"/>
  <c r="V617" i="97"/>
  <c r="S617" i="97"/>
  <c r="G617" i="97"/>
  <c r="U616" i="97"/>
  <c r="A616" i="97"/>
  <c r="U615" i="97"/>
  <c r="A615" i="97"/>
  <c r="F614" i="97"/>
  <c r="F613" i="97"/>
  <c r="B609" i="97"/>
  <c r="B608" i="97"/>
  <c r="W607" i="97"/>
  <c r="O607" i="97"/>
  <c r="V606" i="97"/>
  <c r="S606" i="97"/>
  <c r="G606" i="97"/>
  <c r="U605" i="97"/>
  <c r="A605" i="97"/>
  <c r="W599" i="97"/>
  <c r="O599" i="97"/>
  <c r="V597" i="97"/>
  <c r="V595" i="97"/>
  <c r="S595" i="97"/>
  <c r="P595" i="97"/>
  <c r="M595" i="97"/>
  <c r="J595" i="97"/>
  <c r="G595" i="97"/>
  <c r="W590" i="97"/>
  <c r="O590" i="97"/>
  <c r="V589" i="97"/>
  <c r="S589" i="97"/>
  <c r="P589" i="97"/>
  <c r="M589" i="97"/>
  <c r="J589" i="97"/>
  <c r="U588" i="97"/>
  <c r="A588" i="97"/>
  <c r="W577" i="97"/>
  <c r="O577" i="97"/>
  <c r="V576" i="97"/>
  <c r="S576" i="97"/>
  <c r="P576" i="97"/>
  <c r="M576" i="97"/>
  <c r="J576" i="97"/>
  <c r="G576" i="97"/>
  <c r="U575" i="97"/>
  <c r="A575" i="97"/>
  <c r="U574" i="97"/>
  <c r="A574" i="97"/>
  <c r="W563" i="97"/>
  <c r="O563" i="97"/>
  <c r="W557" i="97"/>
  <c r="O557" i="97"/>
  <c r="W554" i="97"/>
  <c r="W548" i="97"/>
  <c r="O548" i="97"/>
  <c r="V544" i="97"/>
  <c r="S544" i="97"/>
  <c r="P544" i="97"/>
  <c r="M544" i="97"/>
  <c r="F543" i="97"/>
  <c r="D543" i="97"/>
  <c r="F542" i="97"/>
  <c r="D542" i="97"/>
  <c r="F541" i="97"/>
  <c r="D541" i="97"/>
  <c r="W540" i="97"/>
  <c r="O540" i="97"/>
  <c r="V539" i="97"/>
  <c r="S539" i="97"/>
  <c r="P539" i="97"/>
  <c r="M539" i="97"/>
  <c r="J539" i="97"/>
  <c r="G539" i="97"/>
  <c r="W532" i="97"/>
  <c r="O532" i="97"/>
  <c r="V531" i="97"/>
  <c r="S531" i="97"/>
  <c r="P531" i="97"/>
  <c r="M531" i="97"/>
  <c r="J531" i="97"/>
  <c r="G531" i="97"/>
  <c r="F529" i="97"/>
  <c r="W528" i="97"/>
  <c r="O528" i="97"/>
  <c r="V527" i="97"/>
  <c r="S527" i="97"/>
  <c r="M527" i="97"/>
  <c r="G527" i="97"/>
  <c r="F523" i="97"/>
  <c r="W522" i="97"/>
  <c r="O522" i="97"/>
  <c r="V521" i="97"/>
  <c r="S521" i="97"/>
  <c r="P521" i="97"/>
  <c r="M521" i="97"/>
  <c r="J521" i="97"/>
  <c r="G521" i="97"/>
  <c r="U520" i="97"/>
  <c r="A520" i="97"/>
  <c r="U519" i="97"/>
  <c r="A519" i="97"/>
  <c r="U518" i="97"/>
  <c r="A518" i="97"/>
  <c r="W511" i="97"/>
  <c r="O511" i="97"/>
  <c r="V509" i="97"/>
  <c r="D509" i="97"/>
  <c r="A505" i="97"/>
  <c r="W505" i="97" s="1"/>
  <c r="S471" i="97"/>
  <c r="L467" i="97"/>
  <c r="S453" i="97"/>
  <c r="S438" i="97"/>
  <c r="L438" i="97"/>
  <c r="L429" i="97"/>
  <c r="O249" i="97"/>
  <c r="A247" i="97"/>
  <c r="P114" i="97"/>
  <c r="P112" i="97"/>
  <c r="P111" i="97"/>
  <c r="I95" i="97"/>
  <c r="O34" i="97"/>
  <c r="A26" i="97"/>
  <c r="A2" i="97"/>
  <c r="S436" i="97" s="1"/>
  <c r="P1781" i="97" l="1"/>
  <c r="P1778" i="97"/>
  <c r="AD626" i="97"/>
  <c r="AB889" i="97"/>
  <c r="O896" i="97" s="1"/>
  <c r="AN889" i="97"/>
  <c r="L899" i="97" s="1"/>
  <c r="AZ889" i="97"/>
  <c r="N901" i="97" s="1"/>
  <c r="BH889" i="97"/>
  <c r="L904" i="97" s="1"/>
  <c r="BT889" i="97"/>
  <c r="N938" i="97" s="1"/>
  <c r="CF889" i="97"/>
  <c r="K935" i="97" s="1"/>
  <c r="CR889" i="97"/>
  <c r="M933" i="97" s="1"/>
  <c r="DD889" i="97"/>
  <c r="O949" i="97" s="1"/>
  <c r="DP889" i="97"/>
  <c r="L946" i="97" s="1"/>
  <c r="EB889" i="97"/>
  <c r="N944" i="97" s="1"/>
  <c r="EF889" i="97"/>
  <c r="M906" i="97" s="1"/>
  <c r="ER889" i="97"/>
  <c r="O998" i="97" s="1"/>
  <c r="FD889" i="97"/>
  <c r="L1001" i="97" s="1"/>
  <c r="FP889" i="97"/>
  <c r="N1003" i="97" s="1"/>
  <c r="GJ889" i="97"/>
  <c r="N953" i="97" s="1"/>
  <c r="GR889" i="97"/>
  <c r="HD889" i="97"/>
  <c r="N957" i="97" s="1"/>
  <c r="V649" i="97"/>
  <c r="AD889" i="97"/>
  <c r="L897" i="97" s="1"/>
  <c r="AH889" i="97"/>
  <c r="K898" i="97" s="1"/>
  <c r="AL889" i="97"/>
  <c r="O898" i="97" s="1"/>
  <c r="AT889" i="97"/>
  <c r="M900" i="97" s="1"/>
  <c r="AX889" i="97"/>
  <c r="L901" i="97" s="1"/>
  <c r="BB889" i="97"/>
  <c r="K902" i="97" s="1"/>
  <c r="BJ889" i="97"/>
  <c r="N904" i="97" s="1"/>
  <c r="BN889" i="97"/>
  <c r="M939" i="97" s="1"/>
  <c r="BR889" i="97"/>
  <c r="L938" i="97" s="1"/>
  <c r="BZ889" i="97"/>
  <c r="O937" i="97" s="1"/>
  <c r="CD889" i="97"/>
  <c r="N936" i="97" s="1"/>
  <c r="CH889" i="97"/>
  <c r="M935" i="97" s="1"/>
  <c r="CP889" i="97"/>
  <c r="K933" i="97" s="1"/>
  <c r="CT889" i="97"/>
  <c r="O933" i="97" s="1"/>
  <c r="CX889" i="97"/>
  <c r="N950" i="97" s="1"/>
  <c r="DF889" i="97"/>
  <c r="L948" i="97" s="1"/>
  <c r="DJ889" i="97"/>
  <c r="K947" i="97" s="1"/>
  <c r="DN889" i="97"/>
  <c r="O947" i="97" s="1"/>
  <c r="DV889" i="97"/>
  <c r="M945" i="97" s="1"/>
  <c r="DZ889" i="97"/>
  <c r="L944" i="97" s="1"/>
  <c r="ED889" i="97"/>
  <c r="K906" i="97" s="1"/>
  <c r="EL889" i="97"/>
  <c r="N997" i="97" s="1"/>
  <c r="EP889" i="97"/>
  <c r="M998" i="97" s="1"/>
  <c r="ET889" i="97"/>
  <c r="L999" i="97" s="1"/>
  <c r="FB889" i="97"/>
  <c r="O1000" i="97" s="1"/>
  <c r="FF889" i="97"/>
  <c r="N1001" i="97" s="1"/>
  <c r="FJ889" i="97"/>
  <c r="M1002" i="97" s="1"/>
  <c r="FR889" i="97"/>
  <c r="K1005" i="97" s="1"/>
  <c r="FV889" i="97"/>
  <c r="O1005" i="97" s="1"/>
  <c r="FZ889" i="97"/>
  <c r="M1949" i="97"/>
  <c r="X889" i="97"/>
  <c r="K896" i="97" s="1"/>
  <c r="AJ889" i="97"/>
  <c r="M898" i="97" s="1"/>
  <c r="AV889" i="97"/>
  <c r="O900" i="97" s="1"/>
  <c r="BL889" i="97"/>
  <c r="K939" i="97" s="1"/>
  <c r="CB889" i="97"/>
  <c r="L936" i="97" s="1"/>
  <c r="CN889" i="97"/>
  <c r="N934" i="97" s="1"/>
  <c r="CZ889" i="97"/>
  <c r="K949" i="97" s="1"/>
  <c r="DL889" i="97"/>
  <c r="M947" i="97" s="1"/>
  <c r="DX889" i="97"/>
  <c r="O945" i="97" s="1"/>
  <c r="EN889" i="97"/>
  <c r="K998" i="97" s="1"/>
  <c r="EZ889" i="97"/>
  <c r="M1000" i="97" s="1"/>
  <c r="FL889" i="97"/>
  <c r="O1002" i="97" s="1"/>
  <c r="FT889" i="97"/>
  <c r="M1005" i="97" s="1"/>
  <c r="GB889" i="97"/>
  <c r="K1007" i="97" s="1"/>
  <c r="GN889" i="97"/>
  <c r="M954" i="97" s="1"/>
  <c r="GZ889" i="97"/>
  <c r="O956" i="97" s="1"/>
  <c r="HH889" i="97"/>
  <c r="Z889" i="97"/>
  <c r="M896" i="97" s="1"/>
  <c r="AP889" i="97"/>
  <c r="N899" i="97" s="1"/>
  <c r="BF889" i="97"/>
  <c r="O902" i="97" s="1"/>
  <c r="BV889" i="97"/>
  <c r="K937" i="97" s="1"/>
  <c r="CL889" i="97"/>
  <c r="L934" i="97" s="1"/>
  <c r="DB889" i="97"/>
  <c r="M949" i="97" s="1"/>
  <c r="DR889" i="97"/>
  <c r="N946" i="97" s="1"/>
  <c r="EH889" i="97"/>
  <c r="O906" i="97" s="1"/>
  <c r="EX889" i="97"/>
  <c r="K1000" i="97" s="1"/>
  <c r="FN889" i="97"/>
  <c r="L1003" i="97" s="1"/>
  <c r="GD889" i="97"/>
  <c r="M1007" i="97" s="1"/>
  <c r="L63" i="97"/>
  <c r="AF889" i="97"/>
  <c r="N897" i="97" s="1"/>
  <c r="AR889" i="97"/>
  <c r="K900" i="97" s="1"/>
  <c r="BD889" i="97"/>
  <c r="M902" i="97" s="1"/>
  <c r="BP889" i="97"/>
  <c r="O939" i="97" s="1"/>
  <c r="BX889" i="97"/>
  <c r="M937" i="97" s="1"/>
  <c r="CJ889" i="97"/>
  <c r="O935" i="97" s="1"/>
  <c r="CV889" i="97"/>
  <c r="L950" i="97" s="1"/>
  <c r="DH889" i="97"/>
  <c r="N948" i="97" s="1"/>
  <c r="DT889" i="97"/>
  <c r="K945" i="97" s="1"/>
  <c r="EJ889" i="97"/>
  <c r="L997" i="97" s="1"/>
  <c r="EV889" i="97"/>
  <c r="N999" i="97" s="1"/>
  <c r="FH889" i="97"/>
  <c r="K1002" i="97" s="1"/>
  <c r="FX889" i="97"/>
  <c r="GF889" i="97"/>
  <c r="O1007" i="97" s="1"/>
  <c r="GV889" i="97"/>
  <c r="K956" i="97" s="1"/>
  <c r="HL889" i="97"/>
  <c r="L959" i="97" s="1"/>
  <c r="P1780" i="97"/>
  <c r="H95" i="97"/>
  <c r="D544" i="97"/>
  <c r="A630" i="97"/>
  <c r="P649" i="97"/>
  <c r="P665" i="97" s="1"/>
  <c r="P667" i="97" s="1"/>
  <c r="P669" i="97" s="1"/>
  <c r="F540" i="97"/>
  <c r="S649" i="97"/>
  <c r="M649" i="97"/>
  <c r="M665" i="97" s="1"/>
  <c r="M667" i="97" s="1"/>
  <c r="M669" i="97" s="1"/>
  <c r="E543" i="97"/>
  <c r="R1183" i="97"/>
  <c r="S1183" i="97" s="1"/>
  <c r="R1213" i="97"/>
  <c r="S1213" i="97" s="1"/>
  <c r="J2147" i="97"/>
  <c r="D1110" i="97"/>
  <c r="R1151" i="97"/>
  <c r="S1151" i="97" s="1"/>
  <c r="A889" i="97"/>
  <c r="A846" i="97" s="1"/>
  <c r="AG889" i="97"/>
  <c r="O897" i="97" s="1"/>
  <c r="BA889" i="97"/>
  <c r="O901" i="97" s="1"/>
  <c r="BM889" i="97"/>
  <c r="L939" i="97" s="1"/>
  <c r="BU889" i="97"/>
  <c r="O938" i="97" s="1"/>
  <c r="CK889" i="97"/>
  <c r="K934" i="97" s="1"/>
  <c r="DA889" i="97"/>
  <c r="L949" i="97" s="1"/>
  <c r="DM889" i="97"/>
  <c r="N947" i="97" s="1"/>
  <c r="DY889" i="97"/>
  <c r="K944" i="97" s="1"/>
  <c r="EO889" i="97"/>
  <c r="L998" i="97" s="1"/>
  <c r="FE889" i="97"/>
  <c r="M1001" i="97" s="1"/>
  <c r="FQ889" i="97"/>
  <c r="O1003" i="97" s="1"/>
  <c r="GC889" i="97"/>
  <c r="L1007" i="97" s="1"/>
  <c r="GO889" i="97"/>
  <c r="N954" i="97" s="1"/>
  <c r="HI889" i="97"/>
  <c r="HU889" i="97"/>
  <c r="IW889" i="97"/>
  <c r="N983" i="97" s="1"/>
  <c r="JQ889" i="97"/>
  <c r="N979" i="97" s="1"/>
  <c r="N990" i="97" s="1"/>
  <c r="KO889" i="97"/>
  <c r="M972" i="97" s="1"/>
  <c r="LI889" i="97"/>
  <c r="MK889" i="97"/>
  <c r="AC889" i="97"/>
  <c r="K897" i="97" s="1"/>
  <c r="AO889" i="97"/>
  <c r="M899" i="97" s="1"/>
  <c r="AW889" i="97"/>
  <c r="K901" i="97" s="1"/>
  <c r="BI889" i="97"/>
  <c r="M904" i="97" s="1"/>
  <c r="BY889" i="97"/>
  <c r="N937" i="97" s="1"/>
  <c r="CG889" i="97"/>
  <c r="L935" i="97" s="1"/>
  <c r="CS889" i="97"/>
  <c r="N933" i="97" s="1"/>
  <c r="DE889" i="97"/>
  <c r="K948" i="97" s="1"/>
  <c r="DQ889" i="97"/>
  <c r="M946" i="97" s="1"/>
  <c r="EC889" i="97"/>
  <c r="O944" i="97" s="1"/>
  <c r="EK889" i="97"/>
  <c r="M997" i="97" s="1"/>
  <c r="EW889" i="97"/>
  <c r="O999" i="97" s="1"/>
  <c r="FI889" i="97"/>
  <c r="L1002" i="97" s="1"/>
  <c r="FU889" i="97"/>
  <c r="N1005" i="97" s="1"/>
  <c r="GG889" i="97"/>
  <c r="K953" i="97" s="1"/>
  <c r="GW889" i="97"/>
  <c r="L956" i="97" s="1"/>
  <c r="HE889" i="97"/>
  <c r="O957" i="97" s="1"/>
  <c r="HQ889" i="97"/>
  <c r="L960" i="97" s="1"/>
  <c r="IG889" i="97"/>
  <c r="M976" i="97" s="1"/>
  <c r="IS889" i="97"/>
  <c r="O982" i="97" s="1"/>
  <c r="JI889" i="97"/>
  <c r="K978" i="97" s="1"/>
  <c r="JY889" i="97"/>
  <c r="L970" i="97" s="1"/>
  <c r="KG889" i="97"/>
  <c r="O969" i="97" s="1"/>
  <c r="KW889" i="97"/>
  <c r="K973" i="97" s="1"/>
  <c r="LM889" i="97"/>
  <c r="LY889" i="97"/>
  <c r="MO889" i="97"/>
  <c r="HR889" i="97"/>
  <c r="M960" i="97" s="1"/>
  <c r="HZ889" i="97"/>
  <c r="IL889" i="97"/>
  <c r="M977" i="97" s="1"/>
  <c r="IX889" i="97"/>
  <c r="O983" i="97" s="1"/>
  <c r="JF889" i="97"/>
  <c r="M981" i="97" s="1"/>
  <c r="JR889" i="97"/>
  <c r="O979" i="97" s="1"/>
  <c r="O990" i="97" s="1"/>
  <c r="KD889" i="97"/>
  <c r="L969" i="97" s="1"/>
  <c r="KL889" i="97"/>
  <c r="O971" i="97" s="1"/>
  <c r="KX889" i="97"/>
  <c r="L973" i="97" s="1"/>
  <c r="LJ889" i="97"/>
  <c r="LR889" i="97"/>
  <c r="MD889" i="97"/>
  <c r="MP889" i="97"/>
  <c r="HY889" i="97"/>
  <c r="IO889" i="97"/>
  <c r="K982" i="97" s="1"/>
  <c r="JE889" i="97"/>
  <c r="L981" i="97" s="1"/>
  <c r="JU889" i="97"/>
  <c r="M968" i="97" s="1"/>
  <c r="KK889" i="97"/>
  <c r="N971" i="97" s="1"/>
  <c r="LA889" i="97"/>
  <c r="O973" i="97" s="1"/>
  <c r="LQ889" i="97"/>
  <c r="MG889" i="97"/>
  <c r="Y889" i="97"/>
  <c r="L896" i="97" s="1"/>
  <c r="AK889" i="97"/>
  <c r="N898" i="97" s="1"/>
  <c r="AS889" i="97"/>
  <c r="L900" i="97" s="1"/>
  <c r="BE889" i="97"/>
  <c r="N902" i="97" s="1"/>
  <c r="BQ889" i="97"/>
  <c r="K938" i="97" s="1"/>
  <c r="CC889" i="97"/>
  <c r="M936" i="97" s="1"/>
  <c r="CO889" i="97"/>
  <c r="O934" i="97" s="1"/>
  <c r="CW889" i="97"/>
  <c r="M950" i="97" s="1"/>
  <c r="DI889" i="97"/>
  <c r="O948" i="97" s="1"/>
  <c r="DU889" i="97"/>
  <c r="L945" i="97" s="1"/>
  <c r="EG889" i="97"/>
  <c r="N906" i="97" s="1"/>
  <c r="ES889" i="97"/>
  <c r="K999" i="97" s="1"/>
  <c r="FA889" i="97"/>
  <c r="N1000" i="97" s="1"/>
  <c r="FM889" i="97"/>
  <c r="K1003" i="97" s="1"/>
  <c r="FY889" i="97"/>
  <c r="GK889" i="97"/>
  <c r="O953" i="97" s="1"/>
  <c r="GS889" i="97"/>
  <c r="HA889" i="97"/>
  <c r="K957" i="97" s="1"/>
  <c r="HM889" i="97"/>
  <c r="M959" i="97" s="1"/>
  <c r="IC889" i="97"/>
  <c r="IK889" i="97"/>
  <c r="L977" i="97" s="1"/>
  <c r="JA889" i="97"/>
  <c r="M980" i="97" s="1"/>
  <c r="JM889" i="97"/>
  <c r="O978" i="97" s="1"/>
  <c r="O989" i="97" s="1"/>
  <c r="KC889" i="97"/>
  <c r="K969" i="97" s="1"/>
  <c r="KS889" i="97"/>
  <c r="L974" i="97" s="1"/>
  <c r="LE889" i="97"/>
  <c r="N975" i="97" s="1"/>
  <c r="LU889" i="97"/>
  <c r="MC889" i="97"/>
  <c r="MS889" i="97"/>
  <c r="HV889" i="97"/>
  <c r="IH889" i="97"/>
  <c r="N976" i="97" s="1"/>
  <c r="IP889" i="97"/>
  <c r="L982" i="97" s="1"/>
  <c r="JB889" i="97"/>
  <c r="N980" i="97" s="1"/>
  <c r="JN889" i="97"/>
  <c r="K979" i="97" s="1"/>
  <c r="JV889" i="97"/>
  <c r="N968" i="97" s="1"/>
  <c r="KH889" i="97"/>
  <c r="K971" i="97" s="1"/>
  <c r="KT889" i="97"/>
  <c r="M974" i="97" s="1"/>
  <c r="LB889" i="97"/>
  <c r="K975" i="97" s="1"/>
  <c r="LN889" i="97"/>
  <c r="LZ889" i="97"/>
  <c r="MH889" i="97"/>
  <c r="MT889" i="97"/>
  <c r="AA889" i="97"/>
  <c r="N896" i="97" s="1"/>
  <c r="AE889" i="97"/>
  <c r="M897" i="97" s="1"/>
  <c r="AI889" i="97"/>
  <c r="L898" i="97" s="1"/>
  <c r="AM889" i="97"/>
  <c r="K899" i="97" s="1"/>
  <c r="AQ889" i="97"/>
  <c r="O899" i="97" s="1"/>
  <c r="AU889" i="97"/>
  <c r="N900" i="97" s="1"/>
  <c r="AY889" i="97"/>
  <c r="M901" i="97" s="1"/>
  <c r="BC889" i="97"/>
  <c r="L902" i="97" s="1"/>
  <c r="BG889" i="97"/>
  <c r="K904" i="97" s="1"/>
  <c r="BK889" i="97"/>
  <c r="O904" i="97" s="1"/>
  <c r="BO889" i="97"/>
  <c r="N939" i="97" s="1"/>
  <c r="BS889" i="97"/>
  <c r="M938" i="97" s="1"/>
  <c r="BW889" i="97"/>
  <c r="L937" i="97" s="1"/>
  <c r="CA889" i="97"/>
  <c r="K936" i="97" s="1"/>
  <c r="CE889" i="97"/>
  <c r="O936" i="97" s="1"/>
  <c r="CI889" i="97"/>
  <c r="N935" i="97" s="1"/>
  <c r="CM889" i="97"/>
  <c r="M934" i="97" s="1"/>
  <c r="CQ889" i="97"/>
  <c r="L933" i="97" s="1"/>
  <c r="CU889" i="97"/>
  <c r="K950" i="97" s="1"/>
  <c r="CY889" i="97"/>
  <c r="O950" i="97" s="1"/>
  <c r="DC889" i="97"/>
  <c r="N949" i="97" s="1"/>
  <c r="DG889" i="97"/>
  <c r="M948" i="97" s="1"/>
  <c r="DK889" i="97"/>
  <c r="L947" i="97" s="1"/>
  <c r="DO889" i="97"/>
  <c r="K946" i="97" s="1"/>
  <c r="DS889" i="97"/>
  <c r="O946" i="97" s="1"/>
  <c r="DW889" i="97"/>
  <c r="N945" i="97" s="1"/>
  <c r="EA889" i="97"/>
  <c r="M944" i="97" s="1"/>
  <c r="EE889" i="97"/>
  <c r="L906" i="97" s="1"/>
  <c r="EI889" i="97"/>
  <c r="K997" i="97" s="1"/>
  <c r="EM889" i="97"/>
  <c r="O997" i="97" s="1"/>
  <c r="EQ889" i="97"/>
  <c r="N998" i="97" s="1"/>
  <c r="EU889" i="97"/>
  <c r="M999" i="97" s="1"/>
  <c r="EY889" i="97"/>
  <c r="L1000" i="97" s="1"/>
  <c r="FC889" i="97"/>
  <c r="K1001" i="97" s="1"/>
  <c r="FG889" i="97"/>
  <c r="O1001" i="97" s="1"/>
  <c r="FK889" i="97"/>
  <c r="N1002" i="97" s="1"/>
  <c r="FO889" i="97"/>
  <c r="M1003" i="97" s="1"/>
  <c r="FS889" i="97"/>
  <c r="L1005" i="97" s="1"/>
  <c r="FW889" i="97"/>
  <c r="GA889" i="97"/>
  <c r="GE889" i="97"/>
  <c r="N1007" i="97" s="1"/>
  <c r="GI889" i="97"/>
  <c r="M953" i="97" s="1"/>
  <c r="GM889" i="97"/>
  <c r="L954" i="97" s="1"/>
  <c r="GQ889" i="97"/>
  <c r="GU889" i="97"/>
  <c r="GY889" i="97"/>
  <c r="N956" i="97" s="1"/>
  <c r="HC889" i="97"/>
  <c r="M957" i="97" s="1"/>
  <c r="HG889" i="97"/>
  <c r="HK889" i="97"/>
  <c r="K959" i="97" s="1"/>
  <c r="HO889" i="97"/>
  <c r="O959" i="97" s="1"/>
  <c r="HS889" i="97"/>
  <c r="N960" i="97" s="1"/>
  <c r="HW889" i="97"/>
  <c r="IA889" i="97"/>
  <c r="IE889" i="97"/>
  <c r="K976" i="97" s="1"/>
  <c r="II889" i="97"/>
  <c r="O976" i="97" s="1"/>
  <c r="IM889" i="97"/>
  <c r="N977" i="97" s="1"/>
  <c r="IQ889" i="97"/>
  <c r="M982" i="97" s="1"/>
  <c r="IU889" i="97"/>
  <c r="L983" i="97" s="1"/>
  <c r="IY889" i="97"/>
  <c r="K980" i="97" s="1"/>
  <c r="JC889" i="97"/>
  <c r="O980" i="97" s="1"/>
  <c r="JG889" i="97"/>
  <c r="N981" i="97" s="1"/>
  <c r="JK889" i="97"/>
  <c r="M978" i="97" s="1"/>
  <c r="M989" i="97" s="1"/>
  <c r="JO889" i="97"/>
  <c r="L979" i="97" s="1"/>
  <c r="L990" i="97" s="1"/>
  <c r="JS889" i="97"/>
  <c r="K968" i="97" s="1"/>
  <c r="JW889" i="97"/>
  <c r="O968" i="97" s="1"/>
  <c r="KA889" i="97"/>
  <c r="N970" i="97" s="1"/>
  <c r="KE889" i="97"/>
  <c r="M969" i="97" s="1"/>
  <c r="KI889" i="97"/>
  <c r="L971" i="97" s="1"/>
  <c r="KM889" i="97"/>
  <c r="K972" i="97" s="1"/>
  <c r="KQ889" i="97"/>
  <c r="O972" i="97" s="1"/>
  <c r="KU889" i="97"/>
  <c r="N974" i="97" s="1"/>
  <c r="KY889" i="97"/>
  <c r="M973" i="97" s="1"/>
  <c r="LC889" i="97"/>
  <c r="L975" i="97" s="1"/>
  <c r="LG889" i="97"/>
  <c r="LK889" i="97"/>
  <c r="LO889" i="97"/>
  <c r="LS889" i="97"/>
  <c r="LW889" i="97"/>
  <c r="MA889" i="97"/>
  <c r="ME889" i="97"/>
  <c r="MI889" i="97"/>
  <c r="MM889" i="97"/>
  <c r="MQ889" i="97"/>
  <c r="GH889" i="97"/>
  <c r="L953" i="97" s="1"/>
  <c r="GL889" i="97"/>
  <c r="K954" i="97" s="1"/>
  <c r="GP889" i="97"/>
  <c r="O954" i="97" s="1"/>
  <c r="GT889" i="97"/>
  <c r="GX889" i="97"/>
  <c r="M956" i="97" s="1"/>
  <c r="HB889" i="97"/>
  <c r="L957" i="97" s="1"/>
  <c r="HF889" i="97"/>
  <c r="HJ889" i="97"/>
  <c r="HN889" i="97"/>
  <c r="N959" i="97" s="1"/>
  <c r="ID889" i="97"/>
  <c r="IT889" i="97"/>
  <c r="K983" i="97" s="1"/>
  <c r="JJ889" i="97"/>
  <c r="L978" i="97" s="1"/>
  <c r="L989" i="97" s="1"/>
  <c r="JZ889" i="97"/>
  <c r="M970" i="97" s="1"/>
  <c r="KP889" i="97"/>
  <c r="N972" i="97" s="1"/>
  <c r="LF889" i="97"/>
  <c r="O975" i="97" s="1"/>
  <c r="LV889" i="97"/>
  <c r="ML889" i="97"/>
  <c r="HT889" i="97"/>
  <c r="O960" i="97" s="1"/>
  <c r="IF889" i="97"/>
  <c r="L976" i="97" s="1"/>
  <c r="IR889" i="97"/>
  <c r="N982" i="97" s="1"/>
  <c r="JD889" i="97"/>
  <c r="K981" i="97" s="1"/>
  <c r="JP889" i="97"/>
  <c r="M979" i="97" s="1"/>
  <c r="M990" i="97" s="1"/>
  <c r="KB889" i="97"/>
  <c r="O970" i="97" s="1"/>
  <c r="KN889" i="97"/>
  <c r="L972" i="97" s="1"/>
  <c r="KZ889" i="97"/>
  <c r="N973" i="97" s="1"/>
  <c r="LL889" i="97"/>
  <c r="LX889" i="97"/>
  <c r="MJ889" i="97"/>
  <c r="HX889" i="97"/>
  <c r="IJ889" i="97"/>
  <c r="K977" i="97" s="1"/>
  <c r="IV889" i="97"/>
  <c r="M983" i="97" s="1"/>
  <c r="JL889" i="97"/>
  <c r="N978" i="97" s="1"/>
  <c r="N989" i="97" s="1"/>
  <c r="JX889" i="97"/>
  <c r="K970" i="97" s="1"/>
  <c r="KJ889" i="97"/>
  <c r="M971" i="97" s="1"/>
  <c r="KV889" i="97"/>
  <c r="O974" i="97" s="1"/>
  <c r="LD889" i="97"/>
  <c r="M975" i="97" s="1"/>
  <c r="LT889" i="97"/>
  <c r="MF889" i="97"/>
  <c r="MR889" i="97"/>
  <c r="HP889" i="97"/>
  <c r="K960" i="97" s="1"/>
  <c r="IB889" i="97"/>
  <c r="IN889" i="97"/>
  <c r="O977" i="97" s="1"/>
  <c r="IZ889" i="97"/>
  <c r="L980" i="97" s="1"/>
  <c r="JH889" i="97"/>
  <c r="O981" i="97" s="1"/>
  <c r="JT889" i="97"/>
  <c r="L968" i="97" s="1"/>
  <c r="KF889" i="97"/>
  <c r="N969" i="97" s="1"/>
  <c r="KR889" i="97"/>
  <c r="K974" i="97" s="1"/>
  <c r="LH889" i="97"/>
  <c r="LP889" i="97"/>
  <c r="MB889" i="97"/>
  <c r="MN889" i="97"/>
  <c r="E542" i="97"/>
  <c r="AD625" i="97"/>
  <c r="AD627" i="97" s="1"/>
  <c r="E541" i="97"/>
  <c r="AD628" i="97"/>
  <c r="AD629" i="97"/>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P906" i="97" l="1"/>
  <c r="Q1007" i="97" s="1"/>
  <c r="AD630" i="97"/>
  <c r="P937" i="97"/>
  <c r="N955" i="97"/>
  <c r="P1000" i="97"/>
  <c r="M993" i="97"/>
  <c r="P974" i="97"/>
  <c r="O988" i="97"/>
  <c r="M994" i="97"/>
  <c r="K958" i="97"/>
  <c r="P954" i="97"/>
  <c r="P904" i="97"/>
  <c r="Q1005" i="97" s="1"/>
  <c r="N961" i="97"/>
  <c r="M958" i="97"/>
  <c r="L955" i="97"/>
  <c r="M961" i="97"/>
  <c r="P1002" i="97"/>
  <c r="P900" i="97"/>
  <c r="O958" i="97"/>
  <c r="P947" i="97"/>
  <c r="N1004" i="97"/>
  <c r="N1006" i="97" s="1"/>
  <c r="N1008" i="97" s="1"/>
  <c r="P945" i="97"/>
  <c r="P1005" i="97"/>
  <c r="P939" i="97"/>
  <c r="M940" i="97"/>
  <c r="O940" i="97"/>
  <c r="L993" i="97"/>
  <c r="P935" i="97"/>
  <c r="P949" i="97"/>
  <c r="N993" i="97"/>
  <c r="P1001" i="97"/>
  <c r="O1004" i="97"/>
  <c r="O1006" i="97" s="1"/>
  <c r="O1008" i="97" s="1"/>
  <c r="N951" i="97"/>
  <c r="P936" i="97"/>
  <c r="K903" i="97"/>
  <c r="K905" i="97" s="1"/>
  <c r="P998" i="97"/>
  <c r="P959" i="97"/>
  <c r="O955" i="97"/>
  <c r="P999" i="97"/>
  <c r="P956" i="97"/>
  <c r="P1007" i="97"/>
  <c r="E1110" i="97"/>
  <c r="O993" i="97"/>
  <c r="L987" i="97"/>
  <c r="P983" i="97"/>
  <c r="K987" i="97"/>
  <c r="P976" i="97"/>
  <c r="L940" i="97"/>
  <c r="L988" i="97"/>
  <c r="M955" i="97"/>
  <c r="P938" i="97"/>
  <c r="L903" i="97"/>
  <c r="L905" i="97" s="1"/>
  <c r="L907" i="97" s="1"/>
  <c r="O994" i="97"/>
  <c r="O965" i="97"/>
  <c r="O992" i="97"/>
  <c r="M987" i="97"/>
  <c r="P953" i="97"/>
  <c r="M1004" i="97"/>
  <c r="M1006" i="97" s="1"/>
  <c r="M1008" i="97" s="1"/>
  <c r="N940" i="97"/>
  <c r="P901" i="97"/>
  <c r="L1004" i="97"/>
  <c r="L1006" i="97" s="1"/>
  <c r="L1008" i="97" s="1"/>
  <c r="N958" i="97"/>
  <c r="P933" i="97"/>
  <c r="O991" i="97"/>
  <c r="O967" i="97"/>
  <c r="K1004" i="97"/>
  <c r="P997" i="97"/>
  <c r="N903" i="97"/>
  <c r="N905" i="97" s="1"/>
  <c r="N907" i="97" s="1"/>
  <c r="P971" i="97"/>
  <c r="K994" i="97"/>
  <c r="P969" i="97"/>
  <c r="K965" i="97"/>
  <c r="K992" i="97"/>
  <c r="O903" i="97"/>
  <c r="O905" i="97" s="1"/>
  <c r="O907" i="97" s="1"/>
  <c r="O1011" i="97" s="1"/>
  <c r="P982" i="97"/>
  <c r="L965" i="97"/>
  <c r="L992" i="97"/>
  <c r="M988" i="97"/>
  <c r="O951" i="97"/>
  <c r="P934" i="97"/>
  <c r="L951" i="97"/>
  <c r="K940" i="97"/>
  <c r="Q1076" i="97"/>
  <c r="P1076" i="97"/>
  <c r="P972" i="97"/>
  <c r="L991" i="97"/>
  <c r="L967" i="97"/>
  <c r="K993" i="97"/>
  <c r="P970" i="97"/>
  <c r="P981" i="97"/>
  <c r="L994" i="97"/>
  <c r="K991" i="97"/>
  <c r="K967" i="97"/>
  <c r="P968" i="97"/>
  <c r="N988" i="97"/>
  <c r="L958" i="97"/>
  <c r="K955" i="97"/>
  <c r="P946" i="97"/>
  <c r="P899" i="97"/>
  <c r="N991" i="97"/>
  <c r="N967" i="97"/>
  <c r="N987" i="97"/>
  <c r="N994" i="97"/>
  <c r="O961" i="97"/>
  <c r="K989" i="97"/>
  <c r="P989" i="97" s="1"/>
  <c r="P978" i="97"/>
  <c r="P897" i="97"/>
  <c r="Q1077" i="97"/>
  <c r="P1077" i="97"/>
  <c r="K951" i="97"/>
  <c r="P944" i="97"/>
  <c r="P902" i="97"/>
  <c r="N992" i="97"/>
  <c r="N965" i="97"/>
  <c r="P977" i="97"/>
  <c r="K988" i="97"/>
  <c r="P960" i="97"/>
  <c r="M992" i="97"/>
  <c r="M965" i="97"/>
  <c r="P980" i="97"/>
  <c r="O987" i="97"/>
  <c r="M951" i="97"/>
  <c r="P950" i="97"/>
  <c r="P975" i="97"/>
  <c r="P979" i="97"/>
  <c r="K990" i="97"/>
  <c r="P990" i="97" s="1"/>
  <c r="L961" i="97"/>
  <c r="P957" i="97"/>
  <c r="P1003" i="97"/>
  <c r="M967" i="97"/>
  <c r="M991" i="97"/>
  <c r="Q1078" i="97"/>
  <c r="P1078" i="97"/>
  <c r="P973" i="97"/>
  <c r="P948" i="97"/>
  <c r="P896" i="97"/>
  <c r="K961" i="97"/>
  <c r="M903" i="97"/>
  <c r="M905" i="97" s="1"/>
  <c r="M907" i="97" s="1"/>
  <c r="M1011" i="97" s="1"/>
  <c r="P898" i="97"/>
  <c r="E544" i="97"/>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N1011" i="97" l="1"/>
  <c r="L1011" i="97"/>
  <c r="N913" i="97"/>
  <c r="M919" i="97"/>
  <c r="M928" i="97"/>
  <c r="M922" i="97"/>
  <c r="O913" i="97"/>
  <c r="L910" i="97"/>
  <c r="N925" i="97"/>
  <c r="L925" i="97"/>
  <c r="O925" i="97"/>
  <c r="N916" i="97"/>
  <c r="M925" i="97"/>
  <c r="M910" i="97"/>
  <c r="O910" i="97"/>
  <c r="O922" i="97"/>
  <c r="N928" i="97"/>
  <c r="L919" i="97"/>
  <c r="M913" i="97"/>
  <c r="L913" i="97"/>
  <c r="O916" i="97"/>
  <c r="N919" i="97"/>
  <c r="N910" i="97"/>
  <c r="O928" i="97"/>
  <c r="Q1001" i="97"/>
  <c r="L916" i="97"/>
  <c r="M916" i="97"/>
  <c r="L922" i="97"/>
  <c r="L928" i="97"/>
  <c r="O919" i="97"/>
  <c r="N922" i="97"/>
  <c r="P993" i="97"/>
  <c r="P988" i="97"/>
  <c r="P958" i="97"/>
  <c r="P940" i="97"/>
  <c r="P994" i="97"/>
  <c r="P951" i="97"/>
  <c r="P991" i="97"/>
  <c r="KS49" i="75"/>
  <c r="L134" i="75" s="1"/>
  <c r="F1110" i="97"/>
  <c r="Q999" i="97"/>
  <c r="Q998" i="97"/>
  <c r="P955" i="97"/>
  <c r="P992" i="97"/>
  <c r="Q1002" i="97"/>
  <c r="P965" i="97"/>
  <c r="P987" i="97"/>
  <c r="P961" i="97"/>
  <c r="P905" i="97"/>
  <c r="K907" i="97"/>
  <c r="Q997" i="97"/>
  <c r="Q1003" i="97"/>
  <c r="Q1000" i="97"/>
  <c r="P967" i="97"/>
  <c r="K1006" i="97"/>
  <c r="P1004" i="97"/>
  <c r="P903" i="97"/>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H189" i="66"/>
  <c r="H192" i="66" l="1"/>
  <c r="H216" i="97" s="1"/>
  <c r="H213" i="97"/>
  <c r="K910" i="97"/>
  <c r="K913" i="97"/>
  <c r="K922" i="97"/>
  <c r="K916" i="97"/>
  <c r="K928" i="97"/>
  <c r="K919" i="97"/>
  <c r="K925" i="97"/>
  <c r="L153" i="75"/>
  <c r="F1303" i="97" s="1"/>
  <c r="I1303" i="97" s="1"/>
  <c r="O153" i="75"/>
  <c r="F1306" i="97" s="1"/>
  <c r="I1306" i="97" s="1"/>
  <c r="M154" i="75"/>
  <c r="K1304" i="97" s="1"/>
  <c r="M1304" i="97" s="1"/>
  <c r="L154" i="75"/>
  <c r="K1303" i="97" s="1"/>
  <c r="N1303" i="97" s="1"/>
  <c r="O154" i="75"/>
  <c r="K1306" i="97" s="1"/>
  <c r="N1306" i="97" s="1"/>
  <c r="N154" i="75"/>
  <c r="K1305" i="97" s="1"/>
  <c r="G1110" i="97"/>
  <c r="K1011" i="97"/>
  <c r="P907" i="97"/>
  <c r="P1080" i="97"/>
  <c r="Q1079" i="97"/>
  <c r="Q1080" i="97" s="1"/>
  <c r="P1079" i="97"/>
  <c r="K1008" i="97"/>
  <c r="P1008" i="97" s="1"/>
  <c r="P1006" i="97"/>
  <c r="K154" i="75"/>
  <c r="K1302" i="97" s="1"/>
  <c r="M153" i="75"/>
  <c r="F1304" i="97" s="1"/>
  <c r="K153" i="75"/>
  <c r="F1302" i="97" s="1"/>
  <c r="N153" i="75"/>
  <c r="F1305" i="97" s="1"/>
  <c r="I71" i="66"/>
  <c r="N369" i="73"/>
  <c r="N379" i="73"/>
  <c r="N396" i="73"/>
  <c r="H1306" i="97" l="1"/>
  <c r="P910" i="97"/>
  <c r="P916" i="97"/>
  <c r="P928" i="97"/>
  <c r="P913" i="97"/>
  <c r="P922" i="97"/>
  <c r="P925" i="97"/>
  <c r="P919" i="97"/>
  <c r="H1303" i="97"/>
  <c r="M1306" i="97"/>
  <c r="N1304" i="97"/>
  <c r="M1303" i="97"/>
  <c r="F1307" i="97"/>
  <c r="H1302" i="97"/>
  <c r="I1302" i="97"/>
  <c r="H1304" i="97"/>
  <c r="I1304" i="97"/>
  <c r="M1305" i="97"/>
  <c r="N1305" i="97"/>
  <c r="K1307" i="97"/>
  <c r="M1302" i="97"/>
  <c r="N1302" i="97"/>
  <c r="H1305" i="97"/>
  <c r="I1305" i="97"/>
  <c r="H1110" i="97"/>
  <c r="K1073" i="97"/>
  <c r="K1072" i="97"/>
  <c r="K1074" i="97"/>
  <c r="J890" i="97"/>
  <c r="J889" i="97"/>
  <c r="B31" i="74"/>
  <c r="B1127" i="97" s="1"/>
  <c r="N920" i="97" l="1"/>
  <c r="N921" i="97" s="1"/>
  <c r="P920" i="97"/>
  <c r="P921" i="97" s="1"/>
  <c r="M920" i="97"/>
  <c r="M921" i="97" s="1"/>
  <c r="L920" i="97"/>
  <c r="L921" i="97" s="1"/>
  <c r="K920" i="97"/>
  <c r="K921" i="97" s="1"/>
  <c r="O920" i="97"/>
  <c r="O921" i="97" s="1"/>
  <c r="N929" i="97"/>
  <c r="N930" i="97" s="1"/>
  <c r="P929" i="97"/>
  <c r="P930" i="97" s="1"/>
  <c r="M929" i="97"/>
  <c r="M930" i="97" s="1"/>
  <c r="L929" i="97"/>
  <c r="L930" i="97" s="1"/>
  <c r="O929" i="97"/>
  <c r="O930" i="97" s="1"/>
  <c r="K929" i="97"/>
  <c r="K930" i="97" s="1"/>
  <c r="N914" i="97"/>
  <c r="N915" i="97" s="1"/>
  <c r="P914" i="97"/>
  <c r="P915" i="97" s="1"/>
  <c r="O914" i="97"/>
  <c r="O915" i="97" s="1"/>
  <c r="L914" i="97"/>
  <c r="L915" i="97" s="1"/>
  <c r="M914" i="97"/>
  <c r="M915" i="97" s="1"/>
  <c r="K914" i="97"/>
  <c r="K915" i="97" s="1"/>
  <c r="N926" i="97"/>
  <c r="N927" i="97" s="1"/>
  <c r="P926" i="97"/>
  <c r="P927" i="97" s="1"/>
  <c r="O926" i="97"/>
  <c r="O927" i="97" s="1"/>
  <c r="K926" i="97"/>
  <c r="K927" i="97" s="1"/>
  <c r="M926" i="97"/>
  <c r="M927" i="97" s="1"/>
  <c r="L926" i="97"/>
  <c r="L927" i="97" s="1"/>
  <c r="N917" i="97"/>
  <c r="N918" i="97" s="1"/>
  <c r="P917" i="97"/>
  <c r="P918" i="97" s="1"/>
  <c r="O917" i="97"/>
  <c r="O918" i="97" s="1"/>
  <c r="K917" i="97"/>
  <c r="K918" i="97" s="1"/>
  <c r="M917" i="97"/>
  <c r="M918" i="97" s="1"/>
  <c r="L917" i="97"/>
  <c r="L918" i="97" s="1"/>
  <c r="N923" i="97"/>
  <c r="N924" i="97" s="1"/>
  <c r="P923" i="97"/>
  <c r="P924" i="97" s="1"/>
  <c r="M923" i="97"/>
  <c r="M924" i="97" s="1"/>
  <c r="K923" i="97"/>
  <c r="K924" i="97" s="1"/>
  <c r="L923" i="97"/>
  <c r="L924" i="97" s="1"/>
  <c r="O923" i="97"/>
  <c r="O924" i="97" s="1"/>
  <c r="N911" i="97"/>
  <c r="N912" i="97" s="1"/>
  <c r="P911" i="97"/>
  <c r="P912" i="97" s="1"/>
  <c r="L911" i="97"/>
  <c r="L912" i="97" s="1"/>
  <c r="K911" i="97"/>
  <c r="K912" i="97" s="1"/>
  <c r="O911" i="97"/>
  <c r="O912" i="97" s="1"/>
  <c r="M911" i="97"/>
  <c r="M912" i="97" s="1"/>
  <c r="N1307" i="97"/>
  <c r="I1307" i="97"/>
  <c r="I1110" i="97"/>
  <c r="N437" i="73"/>
  <c r="N434" i="73"/>
  <c r="N431" i="73"/>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O247" i="72"/>
  <c r="P247" i="72"/>
  <c r="Q249" i="72"/>
  <c r="Q250" i="72"/>
  <c r="Q248" i="72"/>
  <c r="Q201" i="72"/>
  <c r="O199" i="72"/>
  <c r="P199" i="72"/>
  <c r="J1110" i="97" l="1"/>
  <c r="O165" i="72"/>
  <c r="O1884" i="97" s="1"/>
  <c r="L1884" i="97" l="1"/>
  <c r="Q1884" i="97"/>
  <c r="K1110" i="97"/>
  <c r="Q147" i="72"/>
  <c r="B1142" i="97" l="1"/>
  <c r="Q166" i="72"/>
  <c r="P165" i="72"/>
  <c r="P163" i="72" s="1"/>
  <c r="L165" i="72"/>
  <c r="C1142" i="97" l="1"/>
  <c r="Q165" i="72"/>
  <c r="O163" i="72"/>
  <c r="L163" i="72" l="1"/>
  <c r="O1882" i="97"/>
  <c r="L1882" i="97" s="1"/>
  <c r="D1142" i="97"/>
  <c r="P40" i="72"/>
  <c r="P1759" i="97" s="1"/>
  <c r="P35" i="72"/>
  <c r="P1754" i="97" s="1"/>
  <c r="Q18" i="72"/>
  <c r="E29" i="72"/>
  <c r="F29" i="72"/>
  <c r="F1748" i="97" s="1"/>
  <c r="F28" i="72"/>
  <c r="F1747" i="97" s="1"/>
  <c r="E1142" i="97" l="1"/>
  <c r="P36" i="72"/>
  <c r="P1755" i="97" s="1"/>
  <c r="S191" i="78"/>
  <c r="U193" i="78" s="1"/>
  <c r="M56" i="72"/>
  <c r="S195" i="78"/>
  <c r="F1142" i="97" l="1"/>
  <c r="P39" i="72"/>
  <c r="G1142" i="97" l="1"/>
  <c r="H58" i="72"/>
  <c r="I58" i="72"/>
  <c r="J58" i="72"/>
  <c r="K58" i="72"/>
  <c r="G58" i="72"/>
  <c r="H1142" i="97" l="1"/>
  <c r="J358" i="72"/>
  <c r="I1142" i="97" l="1"/>
  <c r="H147" i="72"/>
  <c r="J1142" i="97" l="1"/>
  <c r="N209" i="72"/>
  <c r="K1142" i="97" l="1"/>
  <c r="N436" i="73"/>
  <c r="N433" i="73"/>
  <c r="N430" i="73"/>
  <c r="I436" i="73"/>
  <c r="I433" i="73"/>
  <c r="I430" i="73"/>
  <c r="AG434" i="73"/>
  <c r="AF434" i="73" s="1"/>
  <c r="AE434" i="73" s="1"/>
  <c r="AD434" i="73" s="1"/>
  <c r="AC434" i="73" s="1"/>
  <c r="AB434" i="73" s="1"/>
  <c r="AA434" i="73" s="1"/>
  <c r="Z434" i="73" s="1"/>
  <c r="AG432" i="73"/>
  <c r="AF432" i="73" s="1"/>
  <c r="AE432" i="73" s="1"/>
  <c r="AD432" i="73" s="1"/>
  <c r="AC432" i="73" s="1"/>
  <c r="AB432" i="73" s="1"/>
  <c r="AA432" i="73" s="1"/>
  <c r="Z432" i="73" s="1"/>
  <c r="G75" i="73"/>
  <c r="J75" i="73" s="1"/>
  <c r="B1174" i="97" l="1"/>
  <c r="Q174" i="72"/>
  <c r="Q175" i="72"/>
  <c r="C1174" i="97" l="1"/>
  <c r="Q176" i="72"/>
  <c r="D1174" i="97" l="1"/>
  <c r="J5" i="87"/>
  <c r="G5" i="87"/>
  <c r="E1174" i="97" l="1"/>
  <c r="E40" i="95"/>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F1174" i="97" l="1"/>
  <c r="C41" i="95"/>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G1174" i="97" l="1"/>
  <c r="B64" i="96"/>
  <c r="G51" i="96"/>
  <c r="G50" i="96"/>
  <c r="G49" i="96"/>
  <c r="G48" i="96"/>
  <c r="G47" i="96"/>
  <c r="G46" i="96"/>
  <c r="G45" i="96"/>
  <c r="G44" i="96"/>
  <c r="G43" i="96"/>
  <c r="G42" i="96"/>
  <c r="G41" i="96"/>
  <c r="G40" i="96"/>
  <c r="G39" i="96"/>
  <c r="G38" i="96"/>
  <c r="G37" i="96"/>
  <c r="G36" i="96"/>
  <c r="G35" i="96"/>
  <c r="G34" i="96"/>
  <c r="G33" i="96"/>
  <c r="D64" i="96"/>
  <c r="J20" i="96"/>
  <c r="I58" i="96"/>
  <c r="K64" i="96" s="1"/>
  <c r="K69" i="96" s="1"/>
  <c r="F58" i="89"/>
  <c r="C48" i="90" s="1"/>
  <c r="E27" i="89"/>
  <c r="B33" i="84"/>
  <c r="C33" i="84"/>
  <c r="A24" i="83"/>
  <c r="A20" i="83"/>
  <c r="A13" i="83"/>
  <c r="A12" i="83"/>
  <c r="H39" i="96" l="1"/>
  <c r="G2166" i="97"/>
  <c r="H2166" i="97" s="1"/>
  <c r="H47" i="96"/>
  <c r="G2174" i="97"/>
  <c r="H2174" i="97" s="1"/>
  <c r="H51" i="96"/>
  <c r="G2178" i="97"/>
  <c r="H2178" i="97" s="1"/>
  <c r="H38" i="96"/>
  <c r="G2165" i="97"/>
  <c r="H2165" i="97" s="1"/>
  <c r="H46" i="96"/>
  <c r="G2173" i="97"/>
  <c r="H2173" i="97" s="1"/>
  <c r="H35" i="96"/>
  <c r="G2162" i="97"/>
  <c r="H2162" i="97" s="1"/>
  <c r="H43" i="96"/>
  <c r="G2170" i="97"/>
  <c r="H2170" i="97" s="1"/>
  <c r="H36" i="96"/>
  <c r="G2163" i="97"/>
  <c r="H2163" i="97" s="1"/>
  <c r="H40" i="96"/>
  <c r="G2167" i="97"/>
  <c r="H2167" i="97" s="1"/>
  <c r="H44" i="96"/>
  <c r="G2171" i="97"/>
  <c r="H2171" i="97" s="1"/>
  <c r="H48" i="96"/>
  <c r="G2175" i="97"/>
  <c r="H2175" i="97" s="1"/>
  <c r="H34" i="96"/>
  <c r="G2161" i="97"/>
  <c r="H2161" i="97" s="1"/>
  <c r="H42" i="96"/>
  <c r="G2169" i="97"/>
  <c r="H2169" i="97" s="1"/>
  <c r="H50" i="96"/>
  <c r="G2177" i="97"/>
  <c r="H2177" i="97" s="1"/>
  <c r="H33" i="96"/>
  <c r="H52" i="96" s="1"/>
  <c r="G2160" i="97"/>
  <c r="H2160" i="97" s="1"/>
  <c r="H37" i="96"/>
  <c r="G2164" i="97"/>
  <c r="H2164" i="97" s="1"/>
  <c r="H41" i="96"/>
  <c r="G2168" i="97"/>
  <c r="H2168" i="97" s="1"/>
  <c r="H45" i="96"/>
  <c r="G2172" i="97"/>
  <c r="H2172" i="97" s="1"/>
  <c r="H49" i="96"/>
  <c r="G2176" i="97"/>
  <c r="H2176" i="97" s="1"/>
  <c r="H1174" i="97"/>
  <c r="J51" i="96"/>
  <c r="J50" i="96"/>
  <c r="J49" i="96"/>
  <c r="J48" i="96"/>
  <c r="J47" i="96"/>
  <c r="J46" i="96"/>
  <c r="J45" i="96"/>
  <c r="J44" i="96"/>
  <c r="J43" i="96"/>
  <c r="J42" i="96"/>
  <c r="J41" i="96"/>
  <c r="J40" i="96"/>
  <c r="J39" i="96"/>
  <c r="J38" i="96"/>
  <c r="J37" i="96"/>
  <c r="J36" i="96"/>
  <c r="J35" i="96"/>
  <c r="J34" i="96"/>
  <c r="J33" i="96"/>
  <c r="K39" i="96" l="1"/>
  <c r="J2166" i="97"/>
  <c r="K2166" i="97" s="1"/>
  <c r="K51" i="96"/>
  <c r="J2178" i="97"/>
  <c r="K2178" i="97" s="1"/>
  <c r="K36" i="96"/>
  <c r="J2163" i="97"/>
  <c r="K2163" i="97" s="1"/>
  <c r="K40" i="96"/>
  <c r="J2167" i="97"/>
  <c r="K2167" i="97" s="1"/>
  <c r="K44" i="96"/>
  <c r="J2171" i="97"/>
  <c r="K2171" i="97" s="1"/>
  <c r="K48" i="96"/>
  <c r="J2175" i="97"/>
  <c r="K2175" i="97" s="1"/>
  <c r="K35" i="96"/>
  <c r="J2162" i="97"/>
  <c r="K2162" i="97" s="1"/>
  <c r="K47" i="96"/>
  <c r="J2174" i="97"/>
  <c r="K2174" i="97" s="1"/>
  <c r="K33" i="96"/>
  <c r="K52" i="96" s="1"/>
  <c r="K54" i="96" s="1"/>
  <c r="K68" i="96" s="1"/>
  <c r="K70" i="96" s="1"/>
  <c r="J2160" i="97"/>
  <c r="K2160" i="97" s="1"/>
  <c r="K2179" i="97" s="1"/>
  <c r="K2181" i="97" s="1"/>
  <c r="K2195" i="97" s="1"/>
  <c r="K2197" i="97" s="1"/>
  <c r="K41" i="96"/>
  <c r="J2168" i="97"/>
  <c r="K2168" i="97" s="1"/>
  <c r="K49" i="96"/>
  <c r="J2176" i="97"/>
  <c r="K2176" i="97" s="1"/>
  <c r="K43" i="96"/>
  <c r="J2170" i="97"/>
  <c r="K2170" i="97" s="1"/>
  <c r="K45" i="96"/>
  <c r="J2172" i="97"/>
  <c r="K2172" i="97" s="1"/>
  <c r="C2185" i="97"/>
  <c r="H2179" i="97"/>
  <c r="K34" i="96"/>
  <c r="J2161" i="97"/>
  <c r="K2161" i="97" s="1"/>
  <c r="K38" i="96"/>
  <c r="J2165" i="97"/>
  <c r="K2165" i="97" s="1"/>
  <c r="K42" i="96"/>
  <c r="J2169" i="97"/>
  <c r="K2169" i="97" s="1"/>
  <c r="K46" i="96"/>
  <c r="J2173" i="97"/>
  <c r="K2173" i="97" s="1"/>
  <c r="K50" i="96"/>
  <c r="J2177" i="97"/>
  <c r="K2177" i="97" s="1"/>
  <c r="K37" i="96"/>
  <c r="J2164" i="97"/>
  <c r="K2164" i="97" s="1"/>
  <c r="I1174" i="97"/>
  <c r="P38" i="72"/>
  <c r="P1757" i="97" s="1"/>
  <c r="P37" i="72"/>
  <c r="P1756" i="97" s="1"/>
  <c r="B2191" i="97" l="1"/>
  <c r="D2185" i="97"/>
  <c r="J1174" i="97"/>
  <c r="M32" i="72"/>
  <c r="M1751" i="97" s="1"/>
  <c r="I2185" i="97" l="1"/>
  <c r="K2191" i="97" s="1"/>
  <c r="K2196" i="97" s="1"/>
  <c r="D2191" i="97"/>
  <c r="K1174" i="97"/>
  <c r="B1204" i="97" s="1"/>
  <c r="C1204" i="97" s="1"/>
  <c r="D1204" i="97" s="1"/>
  <c r="E1204" i="97" s="1"/>
  <c r="F1204" i="97" s="1"/>
  <c r="H220" i="72"/>
  <c r="J269" i="72"/>
  <c r="J330" i="72"/>
  <c r="J108" i="72"/>
  <c r="P33" i="72"/>
  <c r="P1752" i="97" s="1"/>
  <c r="J84" i="72"/>
  <c r="J1803" i="97" s="1"/>
  <c r="A3" i="73"/>
  <c r="H3" i="73" s="1"/>
  <c r="P131" i="72" l="1"/>
  <c r="P1850" i="97" s="1"/>
  <c r="P124" i="72"/>
  <c r="P1843" i="97" s="1"/>
  <c r="K1841" i="97" s="1"/>
  <c r="P88" i="72"/>
  <c r="P1807" i="97" s="1"/>
  <c r="O88" i="72"/>
  <c r="O1807" i="97" s="1"/>
  <c r="O124" i="72"/>
  <c r="O1843" i="97" s="1"/>
  <c r="O131" i="72"/>
  <c r="O1850" i="97" s="1"/>
  <c r="I1841" i="97" l="1"/>
  <c r="O108" i="72"/>
  <c r="O1827" i="97" s="1"/>
  <c r="L248" i="73"/>
  <c r="S127" i="78" l="1"/>
  <c r="P127" i="78"/>
  <c r="S86" i="78"/>
  <c r="P86" i="78"/>
  <c r="M86" i="78"/>
  <c r="J86" i="78"/>
  <c r="G86" i="78"/>
  <c r="S73" i="78"/>
  <c r="P73" i="78"/>
  <c r="M73" i="78"/>
  <c r="J73" i="78"/>
  <c r="G73" i="78"/>
  <c r="S135" i="78"/>
  <c r="G135" i="78"/>
  <c r="S103" i="78"/>
  <c r="G103" i="78"/>
  <c r="G127" i="78"/>
  <c r="F123" i="78" s="1"/>
  <c r="F626" i="97" s="1"/>
  <c r="J127" i="78"/>
  <c r="M127" i="78"/>
  <c r="S41" i="78"/>
  <c r="P41" i="78"/>
  <c r="M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J680" i="97" l="1"/>
  <c r="L11" i="95" l="1"/>
  <c r="D5" i="87"/>
  <c r="A5" i="87"/>
  <c r="Q205" i="72" l="1"/>
  <c r="K271"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01" i="72"/>
  <c r="Q301" i="72"/>
  <c r="Q223" i="72" l="1"/>
  <c r="Q222" i="72"/>
  <c r="V171" i="72" l="1"/>
  <c r="V170" i="72"/>
  <c r="F25" i="72" l="1"/>
  <c r="F1744" i="97" s="1"/>
  <c r="F22" i="72"/>
  <c r="F1741" i="97" s="1"/>
  <c r="F18" i="72"/>
  <c r="F1737" i="97" s="1"/>
  <c r="F19" i="72"/>
  <c r="F1738" i="97" s="1"/>
  <c r="D3" i="93"/>
  <c r="M95" i="73" l="1"/>
  <c r="K95" i="73"/>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4"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P220" i="72" l="1"/>
  <c r="O220" i="72"/>
  <c r="O1939" i="97" s="1"/>
  <c r="K221" i="72"/>
  <c r="Q170" i="72"/>
  <c r="Q171" i="72"/>
  <c r="E121" i="78" l="1"/>
  <c r="AF131" i="78" l="1"/>
  <c r="AF130" i="78"/>
  <c r="AC127" i="78"/>
  <c r="AC126" i="78"/>
  <c r="AC125" i="78"/>
  <c r="AG125" i="78" s="1"/>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H87" i="66" l="1"/>
  <c r="H111" i="97" s="1"/>
  <c r="P87" i="66"/>
  <c r="H88" i="66"/>
  <c r="H112" i="97" s="1"/>
  <c r="P88" i="66"/>
  <c r="H90" i="66"/>
  <c r="H114" i="97" s="1"/>
  <c r="P90" i="66"/>
  <c r="N88" i="66" l="1"/>
  <c r="N112" i="97" s="1"/>
  <c r="J40" i="66" l="1"/>
  <c r="I794" i="97" l="1"/>
  <c r="A708" i="97"/>
  <c r="A436" i="97"/>
  <c r="A3" i="97"/>
  <c r="J64" i="97"/>
  <c r="P1282" i="97"/>
  <c r="A2" i="68"/>
  <c r="A1" i="77"/>
  <c r="A2" i="78"/>
  <c r="D4" i="96"/>
  <c r="D4" i="93"/>
  <c r="I3" i="76"/>
  <c r="P42" i="73"/>
  <c r="F111" i="78"/>
  <c r="F110" i="78"/>
  <c r="J48" i="75"/>
  <c r="J888" i="97" s="1"/>
  <c r="L888" i="97" s="1"/>
  <c r="M888" i="97" s="1"/>
  <c r="J47" i="75"/>
  <c r="J887" i="97" s="1"/>
  <c r="L887" i="97" s="1"/>
  <c r="M887" i="97" s="1"/>
  <c r="J46" i="75"/>
  <c r="J886" i="97" s="1"/>
  <c r="L886" i="97" s="1"/>
  <c r="M886" i="97" s="1"/>
  <c r="J45" i="75"/>
  <c r="J885" i="97" s="1"/>
  <c r="L885" i="97" s="1"/>
  <c r="M885" i="97" s="1"/>
  <c r="J44" i="75"/>
  <c r="J884" i="97" s="1"/>
  <c r="L884" i="97" s="1"/>
  <c r="M884" i="97" s="1"/>
  <c r="J43" i="75"/>
  <c r="J883" i="97" s="1"/>
  <c r="L883" i="97" s="1"/>
  <c r="M883" i="97" s="1"/>
  <c r="J42" i="75"/>
  <c r="J882" i="97" s="1"/>
  <c r="L882" i="97" s="1"/>
  <c r="M882" i="97" s="1"/>
  <c r="J41" i="75"/>
  <c r="J881" i="97" s="1"/>
  <c r="L881" i="97" s="1"/>
  <c r="M881" i="97" s="1"/>
  <c r="J40" i="75"/>
  <c r="J880" i="97" s="1"/>
  <c r="L880" i="97" s="1"/>
  <c r="M880" i="97" s="1"/>
  <c r="J39" i="75"/>
  <c r="J879" i="97" s="1"/>
  <c r="L879" i="97" s="1"/>
  <c r="M879" i="97" s="1"/>
  <c r="J38" i="75"/>
  <c r="J878" i="97" s="1"/>
  <c r="L878" i="97" s="1"/>
  <c r="M878" i="97" s="1"/>
  <c r="J37" i="75"/>
  <c r="J877" i="97" s="1"/>
  <c r="L877" i="97" s="1"/>
  <c r="M877" i="97" s="1"/>
  <c r="J36" i="75"/>
  <c r="J876" i="97" s="1"/>
  <c r="L876" i="97" s="1"/>
  <c r="M876" i="97" s="1"/>
  <c r="J35" i="75"/>
  <c r="J875" i="97" s="1"/>
  <c r="L875" i="97" s="1"/>
  <c r="M875" i="97" s="1"/>
  <c r="J34" i="75"/>
  <c r="J874" i="97" s="1"/>
  <c r="L874" i="97" s="1"/>
  <c r="M874" i="97" s="1"/>
  <c r="J33" i="75"/>
  <c r="J873" i="97" s="1"/>
  <c r="L873" i="97" s="1"/>
  <c r="M873" i="97" s="1"/>
  <c r="J32" i="75"/>
  <c r="J872" i="97" s="1"/>
  <c r="L872" i="97" s="1"/>
  <c r="M872" i="97" s="1"/>
  <c r="J31" i="75"/>
  <c r="J871" i="97" s="1"/>
  <c r="L871" i="97" s="1"/>
  <c r="M871" i="97" s="1"/>
  <c r="J30" i="75"/>
  <c r="J870" i="97" s="1"/>
  <c r="L870" i="97" s="1"/>
  <c r="M870" i="97" s="1"/>
  <c r="J29" i="75"/>
  <c r="J869" i="97" s="1"/>
  <c r="L869" i="97" s="1"/>
  <c r="M869" i="97" s="1"/>
  <c r="J28" i="75"/>
  <c r="J868" i="97" s="1"/>
  <c r="L868" i="97" s="1"/>
  <c r="M868" i="97" s="1"/>
  <c r="J27" i="75"/>
  <c r="J867" i="97" s="1"/>
  <c r="L867" i="97" s="1"/>
  <c r="M867" i="97" s="1"/>
  <c r="J26" i="75"/>
  <c r="J866" i="97" s="1"/>
  <c r="L866" i="97" s="1"/>
  <c r="M866" i="97" s="1"/>
  <c r="J25" i="75"/>
  <c r="J865" i="97" s="1"/>
  <c r="L865" i="97" s="1"/>
  <c r="M865" i="97" s="1"/>
  <c r="J24" i="75"/>
  <c r="J864" i="97" s="1"/>
  <c r="L864" i="97" s="1"/>
  <c r="M864" i="97" s="1"/>
  <c r="J862" i="97"/>
  <c r="L862" i="97" s="1"/>
  <c r="M862" i="97" s="1"/>
  <c r="M12" i="75"/>
  <c r="M11" i="75"/>
  <c r="F20" i="78"/>
  <c r="M128" i="72"/>
  <c r="I86" i="72"/>
  <c r="H165" i="73"/>
  <c r="I165" i="73"/>
  <c r="K165" i="73"/>
  <c r="J165" i="73"/>
  <c r="F165" i="73"/>
  <c r="M241" i="73"/>
  <c r="Q248" i="75"/>
  <c r="L53" i="75"/>
  <c r="S145" i="75"/>
  <c r="S102" i="75"/>
  <c r="R1" i="73"/>
  <c r="C9" i="74"/>
  <c r="Q90" i="72"/>
  <c r="Q89" i="72"/>
  <c r="L89"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40" i="68"/>
  <c r="P474" i="97" s="1"/>
  <c r="P41" i="68"/>
  <c r="B3" i="76"/>
  <c r="C4" i="74"/>
  <c r="B6" i="72"/>
  <c r="L6" i="75"/>
  <c r="D6" i="78"/>
  <c r="L4" i="68"/>
  <c r="O4" i="67"/>
  <c r="E26" i="72"/>
  <c r="E1745" i="97" s="1"/>
  <c r="P257" i="72"/>
  <c r="O257" i="72"/>
  <c r="O1976" i="97" s="1"/>
  <c r="P261" i="72"/>
  <c r="O261" i="72"/>
  <c r="O1980" i="97" s="1"/>
  <c r="F27" i="72"/>
  <c r="F1746" i="97" s="1"/>
  <c r="F26" i="72"/>
  <c r="F1745" i="97" s="1"/>
  <c r="F24" i="72"/>
  <c r="F1743" i="97" s="1"/>
  <c r="F23" i="72"/>
  <c r="F1742" i="97" s="1"/>
  <c r="F21" i="72"/>
  <c r="F1740" i="97" s="1"/>
  <c r="F20" i="72"/>
  <c r="F1739" i="97" s="1"/>
  <c r="F17" i="72"/>
  <c r="F1736" i="97" s="1"/>
  <c r="P16" i="72"/>
  <c r="P14"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2" i="95" s="1"/>
  <c r="E9" i="89"/>
  <c r="H7" i="92" s="1"/>
  <c r="E50" i="89"/>
  <c r="G49" i="89"/>
  <c r="E49" i="89"/>
  <c r="F30" i="89"/>
  <c r="D63" i="90" s="1"/>
  <c r="D56" i="92" s="1"/>
  <c r="E24" i="89"/>
  <c r="E23" i="89"/>
  <c r="E21" i="89"/>
  <c r="E17" i="89"/>
  <c r="C31" i="90" s="1"/>
  <c r="E16" i="89"/>
  <c r="C30" i="90" s="1"/>
  <c r="F48" i="92" s="1"/>
  <c r="E13" i="89"/>
  <c r="E11" i="89"/>
  <c r="C25" i="90" s="1"/>
  <c r="E47" i="89"/>
  <c r="E22" i="89"/>
  <c r="E20" i="89"/>
  <c r="E19" i="89"/>
  <c r="C139" i="90" s="1"/>
  <c r="E12" i="89"/>
  <c r="C23" i="90" s="1"/>
  <c r="E10" i="89"/>
  <c r="C15" i="90" s="1"/>
  <c r="E8" i="89"/>
  <c r="C19" i="90" s="1"/>
  <c r="C144" i="90" s="1"/>
  <c r="E7" i="89"/>
  <c r="C18" i="90" s="1"/>
  <c r="C143" i="90" s="1"/>
  <c r="D54" i="86"/>
  <c r="E54" i="86"/>
  <c r="F54" i="86"/>
  <c r="G54" i="86"/>
  <c r="H54" i="86"/>
  <c r="H49" i="86"/>
  <c r="E6" i="86"/>
  <c r="K5" i="86" s="1"/>
  <c r="E5" i="86"/>
  <c r="E4" i="86"/>
  <c r="G49" i="86"/>
  <c r="F49" i="86"/>
  <c r="E49" i="86"/>
  <c r="D49" i="86"/>
  <c r="O67" i="85"/>
  <c r="F77" i="89"/>
  <c r="E185" i="90" s="1"/>
  <c r="F75" i="89"/>
  <c r="E173" i="90" s="1"/>
  <c r="F73" i="89"/>
  <c r="E168" i="90" s="1"/>
  <c r="Q67" i="85"/>
  <c r="N67" i="85"/>
  <c r="L67" i="85"/>
  <c r="F103" i="92"/>
  <c r="E97" i="90"/>
  <c r="E93" i="90"/>
  <c r="F39" i="89"/>
  <c r="D80" i="90" s="1"/>
  <c r="H4" i="86"/>
  <c r="D56" i="86" s="1"/>
  <c r="E28" i="89"/>
  <c r="O6" i="86"/>
  <c r="C30" i="84"/>
  <c r="C32" i="84"/>
  <c r="B32" i="84"/>
  <c r="C31" i="84"/>
  <c r="B31" i="84"/>
  <c r="C25" i="84"/>
  <c r="B25" i="84"/>
  <c r="M11" i="84"/>
  <c r="G132" i="90" s="1"/>
  <c r="E16" i="84"/>
  <c r="F19" i="85" s="1"/>
  <c r="C16" i="84"/>
  <c r="C14" i="84"/>
  <c r="F17" i="85" s="1"/>
  <c r="E11" i="84"/>
  <c r="E58" i="90" s="1"/>
  <c r="C11" i="84"/>
  <c r="C58" i="90" s="1"/>
  <c r="H12" i="84"/>
  <c r="C12" i="84"/>
  <c r="K11" i="84"/>
  <c r="D132" i="90" s="1"/>
  <c r="H11" i="84"/>
  <c r="C132" i="90" s="1"/>
  <c r="K10" i="84"/>
  <c r="C148" i="90" s="1"/>
  <c r="H10" i="84"/>
  <c r="C146" i="90" s="1"/>
  <c r="C10" i="84"/>
  <c r="C56" i="90" s="1"/>
  <c r="H9" i="84"/>
  <c r="E5" i="89" s="1"/>
  <c r="D14" i="84"/>
  <c r="G7" i="74"/>
  <c r="F101" i="92"/>
  <c r="F95" i="92"/>
  <c r="I65" i="92"/>
  <c r="E186" i="90"/>
  <c r="E82" i="90"/>
  <c r="B1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294" i="72"/>
  <c r="O294" i="72"/>
  <c r="O2013" i="97" s="1"/>
  <c r="Q341" i="72"/>
  <c r="Q334" i="72"/>
  <c r="L321" i="72"/>
  <c r="Q135" i="72"/>
  <c r="Q136" i="72"/>
  <c r="Q134" i="72"/>
  <c r="Q138" i="72"/>
  <c r="Q178" i="72"/>
  <c r="L178" i="72"/>
  <c r="M315" i="72"/>
  <c r="J315" i="72"/>
  <c r="R296" i="72"/>
  <c r="L296" i="72"/>
  <c r="P269" i="72"/>
  <c r="G277" i="72"/>
  <c r="P98" i="72"/>
  <c r="O98" i="72"/>
  <c r="O1817" i="97" s="1"/>
  <c r="B105" i="78"/>
  <c r="R41" i="81"/>
  <c r="Q41" i="81"/>
  <c r="P41" i="81"/>
  <c r="O41" i="81"/>
  <c r="N41" i="81"/>
  <c r="R40" i="81"/>
  <c r="Q40" i="81"/>
  <c r="P40" i="81"/>
  <c r="O40" i="81"/>
  <c r="N40" i="81"/>
  <c r="R39" i="81"/>
  <c r="Q39" i="81"/>
  <c r="P39" i="81"/>
  <c r="O39" i="81"/>
  <c r="N39" i="81"/>
  <c r="R38" i="81"/>
  <c r="Q38" i="81"/>
  <c r="P38" i="81"/>
  <c r="O38" i="81"/>
  <c r="N38" i="81"/>
  <c r="V18" i="78"/>
  <c r="T4" i="75"/>
  <c r="G271"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D39" i="78"/>
  <c r="D38" i="78"/>
  <c r="N324" i="73"/>
  <c r="N322" i="73"/>
  <c r="M322" i="73" s="1"/>
  <c r="L322" i="73" s="1"/>
  <c r="N321"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332" i="72"/>
  <c r="M399" i="73"/>
  <c r="A36" i="74"/>
  <c r="A68" i="74" s="1"/>
  <c r="A99" i="74" s="1"/>
  <c r="A129" i="74" s="1"/>
  <c r="A35" i="74"/>
  <c r="A67" i="74" s="1"/>
  <c r="A98" i="74" s="1"/>
  <c r="A128" i="74" s="1"/>
  <c r="A34" i="74"/>
  <c r="A66" i="74" s="1"/>
  <c r="A97" i="74" s="1"/>
  <c r="A127" i="74" s="1"/>
  <c r="O185" i="78"/>
  <c r="O10" i="66"/>
  <c r="A2" i="79"/>
  <c r="F26" i="78"/>
  <c r="G74" i="73"/>
  <c r="J74" i="73" s="1"/>
  <c r="P350" i="72"/>
  <c r="O350" i="72"/>
  <c r="O2069" i="97" s="1"/>
  <c r="L2069" i="97" s="1"/>
  <c r="R330" i="72"/>
  <c r="P330" i="72"/>
  <c r="O330" i="72"/>
  <c r="S296" i="72"/>
  <c r="Q231" i="72"/>
  <c r="Q230" i="72"/>
  <c r="O70" i="72"/>
  <c r="P67" i="72" s="1"/>
  <c r="J70" i="72"/>
  <c r="P63" i="72" s="1"/>
  <c r="F70" i="72"/>
  <c r="AG326" i="73"/>
  <c r="AF326" i="73" s="1"/>
  <c r="AE326" i="73" s="1"/>
  <c r="AD326" i="73" s="1"/>
  <c r="AC326" i="73" s="1"/>
  <c r="AB326" i="73" s="1"/>
  <c r="AA326" i="73" s="1"/>
  <c r="Z326" i="73" s="1"/>
  <c r="AG323" i="73"/>
  <c r="AF323" i="73" s="1"/>
  <c r="AE323" i="73" s="1"/>
  <c r="AD323" i="73" s="1"/>
  <c r="AC323" i="73" s="1"/>
  <c r="AB323" i="73" s="1"/>
  <c r="AA323" i="73" s="1"/>
  <c r="Z323" i="73" s="1"/>
  <c r="AG321" i="73"/>
  <c r="AF321" i="73" s="1"/>
  <c r="AE321" i="73" s="1"/>
  <c r="AD321" i="73" s="1"/>
  <c r="AC321" i="73" s="1"/>
  <c r="AB321" i="73" s="1"/>
  <c r="AA321" i="73" s="1"/>
  <c r="Z321" i="73" s="1"/>
  <c r="A69" i="74"/>
  <c r="A100" i="74" s="1"/>
  <c r="A130" i="74" s="1"/>
  <c r="A61" i="74"/>
  <c r="A93" i="74" s="1"/>
  <c r="A123" i="74" s="1"/>
  <c r="A60" i="74"/>
  <c r="A92" i="74" s="1"/>
  <c r="A122" i="74" s="1"/>
  <c r="A59" i="74"/>
  <c r="A91" i="74" s="1"/>
  <c r="A121" i="74" s="1"/>
  <c r="A58" i="74"/>
  <c r="A90" i="74" s="1"/>
  <c r="A120" i="74" s="1"/>
  <c r="C14" i="74"/>
  <c r="N12" i="74"/>
  <c r="N4" i="74"/>
  <c r="F244" i="75"/>
  <c r="C59" i="84" s="1"/>
  <c r="L237" i="75"/>
  <c r="C60" i="84" s="1"/>
  <c r="E60" i="84" s="1"/>
  <c r="F233" i="75"/>
  <c r="L228" i="75"/>
  <c r="F224" i="75"/>
  <c r="L244" i="75"/>
  <c r="C61" i="84" s="1"/>
  <c r="L220" i="75"/>
  <c r="S215" i="75"/>
  <c r="L213" i="75"/>
  <c r="F113" i="74" s="1"/>
  <c r="K213" i="75"/>
  <c r="E113" i="74" s="1"/>
  <c r="J213" i="75"/>
  <c r="D113" i="74" s="1"/>
  <c r="I213" i="75"/>
  <c r="C113" i="74" s="1"/>
  <c r="H213" i="75"/>
  <c r="B113" i="74" s="1"/>
  <c r="S210" i="75"/>
  <c r="L209" i="75"/>
  <c r="F112" i="74" s="1"/>
  <c r="K209" i="75"/>
  <c r="E112" i="74" s="1"/>
  <c r="J209" i="75"/>
  <c r="D112" i="74" s="1"/>
  <c r="I209" i="75"/>
  <c r="C112" i="74" s="1"/>
  <c r="H209" i="75"/>
  <c r="B112" i="74" s="1"/>
  <c r="T206" i="75"/>
  <c r="Q204" i="75"/>
  <c r="K83" i="74" s="1"/>
  <c r="P204" i="75"/>
  <c r="J83" i="74" s="1"/>
  <c r="O204" i="75"/>
  <c r="I83" i="74" s="1"/>
  <c r="N204" i="75"/>
  <c r="H83" i="74" s="1"/>
  <c r="M204" i="75"/>
  <c r="G83" i="74" s="1"/>
  <c r="L204" i="75"/>
  <c r="F83" i="74" s="1"/>
  <c r="K204" i="75"/>
  <c r="E83" i="74" s="1"/>
  <c r="J204" i="75"/>
  <c r="D83" i="74" s="1"/>
  <c r="I204" i="75"/>
  <c r="C83" i="74" s="1"/>
  <c r="H204" i="75"/>
  <c r="B83" i="74" s="1"/>
  <c r="S201" i="75"/>
  <c r="Q200" i="75"/>
  <c r="K82" i="74" s="1"/>
  <c r="P200" i="75"/>
  <c r="J82" i="74" s="1"/>
  <c r="O200" i="75"/>
  <c r="I82" i="74" s="1"/>
  <c r="N200" i="75"/>
  <c r="H82" i="74" s="1"/>
  <c r="M200" i="75"/>
  <c r="G82" i="74" s="1"/>
  <c r="L200" i="75"/>
  <c r="F82" i="74" s="1"/>
  <c r="K200" i="75"/>
  <c r="E82" i="74" s="1"/>
  <c r="J200" i="75"/>
  <c r="D82" i="74" s="1"/>
  <c r="I200" i="75"/>
  <c r="C82" i="74" s="1"/>
  <c r="H200" i="75"/>
  <c r="B82" i="74" s="1"/>
  <c r="T197" i="75"/>
  <c r="Q195" i="75"/>
  <c r="K51" i="74" s="1"/>
  <c r="P195" i="75"/>
  <c r="J51" i="74" s="1"/>
  <c r="O195" i="75"/>
  <c r="I51" i="74" s="1"/>
  <c r="N195" i="75"/>
  <c r="H51" i="74" s="1"/>
  <c r="M195" i="75"/>
  <c r="G51" i="74" s="1"/>
  <c r="L195" i="75"/>
  <c r="F51" i="74" s="1"/>
  <c r="K195" i="75"/>
  <c r="E51" i="74" s="1"/>
  <c r="J195" i="75"/>
  <c r="D51" i="74" s="1"/>
  <c r="I195" i="75"/>
  <c r="C51" i="74" s="1"/>
  <c r="H195" i="75"/>
  <c r="B51" i="74" s="1"/>
  <c r="S192" i="75"/>
  <c r="Q191" i="75"/>
  <c r="K50" i="74" s="1"/>
  <c r="P191" i="75"/>
  <c r="J50" i="74" s="1"/>
  <c r="O191" i="75"/>
  <c r="I50" i="74" s="1"/>
  <c r="N191" i="75"/>
  <c r="H50" i="74" s="1"/>
  <c r="M191" i="75"/>
  <c r="G50" i="74" s="1"/>
  <c r="L191" i="75"/>
  <c r="F50" i="74" s="1"/>
  <c r="K191" i="75"/>
  <c r="E50" i="74" s="1"/>
  <c r="J191" i="75"/>
  <c r="D50" i="74" s="1"/>
  <c r="I191" i="75"/>
  <c r="C50" i="74" s="1"/>
  <c r="H191" i="75"/>
  <c r="B50" i="74" s="1"/>
  <c r="T188" i="75"/>
  <c r="Q186" i="75"/>
  <c r="K19" i="74" s="1"/>
  <c r="P186" i="75"/>
  <c r="J19" i="74" s="1"/>
  <c r="O186" i="75"/>
  <c r="I19" i="74" s="1"/>
  <c r="N186" i="75"/>
  <c r="H19" i="74" s="1"/>
  <c r="M186" i="75"/>
  <c r="G19" i="74" s="1"/>
  <c r="L186" i="75"/>
  <c r="F19" i="74" s="1"/>
  <c r="K186" i="75"/>
  <c r="E19" i="74" s="1"/>
  <c r="J186" i="75"/>
  <c r="D19" i="74" s="1"/>
  <c r="I186" i="75"/>
  <c r="C19" i="74" s="1"/>
  <c r="H186" i="75"/>
  <c r="B19" i="74" s="1"/>
  <c r="S183" i="75"/>
  <c r="Q182" i="75"/>
  <c r="K18" i="74" s="1"/>
  <c r="P182" i="75"/>
  <c r="J18" i="74" s="1"/>
  <c r="O182" i="75"/>
  <c r="I18" i="74" s="1"/>
  <c r="N182" i="75"/>
  <c r="H18" i="74" s="1"/>
  <c r="M182" i="75"/>
  <c r="G18" i="74" s="1"/>
  <c r="L182" i="75"/>
  <c r="F18" i="74" s="1"/>
  <c r="K182" i="75"/>
  <c r="E18" i="74" s="1"/>
  <c r="J182" i="75"/>
  <c r="D18" i="74" s="1"/>
  <c r="I182" i="75"/>
  <c r="C18" i="74" s="1"/>
  <c r="H182" i="75"/>
  <c r="B18" i="74" s="1"/>
  <c r="S179" i="75"/>
  <c r="S178" i="75"/>
  <c r="S176" i="75"/>
  <c r="S156" i="75"/>
  <c r="S146" i="75"/>
  <c r="S126" i="75"/>
  <c r="P123" i="75"/>
  <c r="P122" i="75"/>
  <c r="N55" i="66" s="1"/>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J18" i="75" s="1"/>
  <c r="J858" i="97" s="1"/>
  <c r="L858" i="97" s="1"/>
  <c r="M858" i="97" s="1"/>
  <c r="L22" i="76"/>
  <c r="K22" i="76"/>
  <c r="J859" i="97" s="1"/>
  <c r="L859" i="97" s="1"/>
  <c r="M859" i="97" s="1"/>
  <c r="J22" i="76"/>
  <c r="I22" i="76"/>
  <c r="J188" i="78"/>
  <c r="J185" i="78"/>
  <c r="W181"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W25" i="78"/>
  <c r="O25" i="78"/>
  <c r="V24" i="78"/>
  <c r="W19" i="78"/>
  <c r="O19" i="78"/>
  <c r="U17" i="78"/>
  <c r="A17" i="78"/>
  <c r="U16" i="78"/>
  <c r="A16" i="78"/>
  <c r="U15" i="78"/>
  <c r="A15" i="78"/>
  <c r="W8" i="78"/>
  <c r="O8" i="78"/>
  <c r="V6" i="78"/>
  <c r="S37" i="68"/>
  <c r="L33" i="68"/>
  <c r="L34" i="68" s="1"/>
  <c r="S19" i="68"/>
  <c r="S4" i="68"/>
  <c r="H71" i="66"/>
  <c r="H13" i="84" s="1"/>
  <c r="L39" i="66"/>
  <c r="K28" i="74"/>
  <c r="I90" i="74"/>
  <c r="I1186" i="97" s="1"/>
  <c r="C44" i="90"/>
  <c r="H8" i="84"/>
  <c r="F14" i="85" s="1"/>
  <c r="A3" i="83" s="1"/>
  <c r="C59" i="74"/>
  <c r="G28" i="74"/>
  <c r="H15" i="87" s="1"/>
  <c r="D60" i="74"/>
  <c r="H22" i="87" s="1"/>
  <c r="B41" i="74"/>
  <c r="C11" i="86" s="1"/>
  <c r="C121" i="74"/>
  <c r="K91" i="74"/>
  <c r="F61" i="74"/>
  <c r="K24" i="87" s="1"/>
  <c r="E120" i="74"/>
  <c r="E1216" i="97" s="1"/>
  <c r="O41" i="66"/>
  <c r="A2" i="66"/>
  <c r="N41" i="66"/>
  <c r="A1" i="72"/>
  <c r="A2" i="74"/>
  <c r="N2" i="74" s="1"/>
  <c r="A3" i="79"/>
  <c r="E122" i="74"/>
  <c r="K92" i="74"/>
  <c r="H39" i="87" s="1"/>
  <c r="G92" i="74"/>
  <c r="H35" i="87" s="1"/>
  <c r="C92" i="74"/>
  <c r="H31" i="87" s="1"/>
  <c r="K60" i="74"/>
  <c r="H29" i="87" s="1"/>
  <c r="G60" i="74"/>
  <c r="H25" i="87" s="1"/>
  <c r="C60" i="74"/>
  <c r="H21" i="87" s="1"/>
  <c r="J28" i="74"/>
  <c r="H18" i="87" s="1"/>
  <c r="F28" i="74"/>
  <c r="H14" i="87" s="1"/>
  <c r="B28" i="74"/>
  <c r="H10" i="87" s="1"/>
  <c r="C122" i="74"/>
  <c r="H41" i="87" s="1"/>
  <c r="E92" i="74"/>
  <c r="H33" i="87" s="1"/>
  <c r="I60" i="74"/>
  <c r="H27" i="87" s="1"/>
  <c r="H28" i="74"/>
  <c r="H16" i="87" s="1"/>
  <c r="D28" i="74"/>
  <c r="H12" i="87" s="1"/>
  <c r="D122" i="74"/>
  <c r="H42" i="87" s="1"/>
  <c r="J92" i="74"/>
  <c r="H38" i="87" s="1"/>
  <c r="F92" i="74"/>
  <c r="H34" i="87" s="1"/>
  <c r="B92" i="74"/>
  <c r="H30" i="87" s="1"/>
  <c r="J60" i="74"/>
  <c r="H28" i="87" s="1"/>
  <c r="F60" i="74"/>
  <c r="H24" i="87" s="1"/>
  <c r="B60" i="74"/>
  <c r="H20" i="87" s="1"/>
  <c r="I28" i="74"/>
  <c r="H17" i="87" s="1"/>
  <c r="E28" i="74"/>
  <c r="H13" i="87" s="1"/>
  <c r="I92" i="74"/>
  <c r="E60" i="74"/>
  <c r="H23" i="87" s="1"/>
  <c r="F122" i="74"/>
  <c r="H44" i="87" s="1"/>
  <c r="B122" i="74"/>
  <c r="H40" i="87" s="1"/>
  <c r="H92" i="74"/>
  <c r="H36" i="87" s="1"/>
  <c r="D92" i="74"/>
  <c r="H32" i="87" s="1"/>
  <c r="H60" i="74"/>
  <c r="H26" i="87" s="1"/>
  <c r="C28" i="74"/>
  <c r="C61" i="74"/>
  <c r="C69" i="74" s="1"/>
  <c r="C1165" i="97" s="1"/>
  <c r="K93" i="74"/>
  <c r="E26" i="74"/>
  <c r="E1122" i="97" s="1"/>
  <c r="K29" i="74"/>
  <c r="F90" i="74"/>
  <c r="J29" i="74"/>
  <c r="B123" i="74"/>
  <c r="H27" i="74"/>
  <c r="H29" i="74"/>
  <c r="I61" i="74"/>
  <c r="K27" i="87" s="1"/>
  <c r="K90" i="74"/>
  <c r="K1186" i="97" s="1"/>
  <c r="A1" i="73"/>
  <c r="A2" i="75"/>
  <c r="T2" i="75" s="1"/>
  <c r="W2" i="78"/>
  <c r="S2" i="68"/>
  <c r="A2" i="67"/>
  <c r="A1" i="76"/>
  <c r="B43" i="74"/>
  <c r="B42" i="74"/>
  <c r="C12" i="86" s="1"/>
  <c r="C41" i="74"/>
  <c r="M16" i="75"/>
  <c r="M14" i="75"/>
  <c r="C43" i="74"/>
  <c r="C42" i="74"/>
  <c r="D41" i="74"/>
  <c r="D43" i="74"/>
  <c r="D42" i="74"/>
  <c r="E41" i="74"/>
  <c r="E43" i="74"/>
  <c r="E42" i="74"/>
  <c r="F41" i="74"/>
  <c r="F43" i="74"/>
  <c r="F42" i="74"/>
  <c r="G41" i="74"/>
  <c r="G43" i="74"/>
  <c r="G42" i="74"/>
  <c r="H41" i="74"/>
  <c r="H43" i="74"/>
  <c r="H42" i="74"/>
  <c r="I41" i="74"/>
  <c r="I43" i="74"/>
  <c r="I42" i="74"/>
  <c r="J41" i="74"/>
  <c r="J43" i="74"/>
  <c r="J42" i="74"/>
  <c r="K41" i="74"/>
  <c r="K43" i="74"/>
  <c r="B75" i="74"/>
  <c r="K42" i="74"/>
  <c r="B73" i="74"/>
  <c r="C75" i="74"/>
  <c r="B74" i="74"/>
  <c r="C73" i="74"/>
  <c r="D75" i="74"/>
  <c r="C74" i="74"/>
  <c r="D73" i="74"/>
  <c r="E75" i="74"/>
  <c r="D74" i="74"/>
  <c r="E73" i="74"/>
  <c r="F75" i="74"/>
  <c r="E74" i="74"/>
  <c r="F73" i="74"/>
  <c r="G75" i="74"/>
  <c r="F74" i="74"/>
  <c r="G73" i="74"/>
  <c r="H75" i="74"/>
  <c r="G74" i="74"/>
  <c r="H73" i="74"/>
  <c r="I75" i="74"/>
  <c r="H74" i="74"/>
  <c r="I73" i="74"/>
  <c r="B59" i="82"/>
  <c r="J75" i="74"/>
  <c r="I74" i="74"/>
  <c r="J73" i="74"/>
  <c r="K75" i="74"/>
  <c r="J74" i="74"/>
  <c r="K73" i="74"/>
  <c r="B106" i="74"/>
  <c r="K74" i="74"/>
  <c r="B104" i="74"/>
  <c r="C106" i="74"/>
  <c r="B105" i="74"/>
  <c r="C104" i="74"/>
  <c r="D106" i="74"/>
  <c r="C105" i="74"/>
  <c r="D104" i="74"/>
  <c r="E106" i="74"/>
  <c r="D105" i="74"/>
  <c r="E104" i="74"/>
  <c r="F106" i="74"/>
  <c r="E105" i="74"/>
  <c r="F104" i="74"/>
  <c r="G106" i="74"/>
  <c r="F105" i="74"/>
  <c r="G104" i="74"/>
  <c r="H106" i="74"/>
  <c r="G105" i="74"/>
  <c r="H104" i="74"/>
  <c r="I106" i="74"/>
  <c r="H105" i="74"/>
  <c r="I104" i="74"/>
  <c r="J106" i="74"/>
  <c r="I105" i="74"/>
  <c r="J104" i="74"/>
  <c r="K106" i="74"/>
  <c r="J105" i="74"/>
  <c r="K104" i="74"/>
  <c r="B136" i="74"/>
  <c r="K105" i="74"/>
  <c r="B134" i="74"/>
  <c r="C136" i="74"/>
  <c r="B135" i="74"/>
  <c r="C134" i="74"/>
  <c r="D129" i="74"/>
  <c r="D1225" i="97" s="1"/>
  <c r="D136" i="74"/>
  <c r="C135" i="74"/>
  <c r="D134" i="74"/>
  <c r="E136" i="74"/>
  <c r="D135" i="74"/>
  <c r="E134" i="74"/>
  <c r="F136" i="74"/>
  <c r="E135" i="74"/>
  <c r="F134"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A58" i="26"/>
  <c r="G58" i="26"/>
  <c r="A1" i="25"/>
  <c r="A50" i="25"/>
  <c r="A1" i="26"/>
  <c r="H76" i="74"/>
  <c r="H1172" i="97" s="1"/>
  <c r="I76" i="74"/>
  <c r="I1172" i="97" s="1"/>
  <c r="J76" i="74"/>
  <c r="J1172" i="97" s="1"/>
  <c r="K76" i="74"/>
  <c r="K1172" i="97" s="1"/>
  <c r="L1980" i="97" l="1"/>
  <c r="Q1980" i="97"/>
  <c r="K58" i="74"/>
  <c r="K1154" i="97" s="1"/>
  <c r="J26" i="74"/>
  <c r="J1122" i="97" s="1"/>
  <c r="F58" i="74"/>
  <c r="F1154" i="97" s="1"/>
  <c r="E58" i="74"/>
  <c r="E1154" i="97" s="1"/>
  <c r="G58" i="74"/>
  <c r="G1154" i="97" s="1"/>
  <c r="K26" i="74"/>
  <c r="G90" i="74"/>
  <c r="B35" i="87" s="1"/>
  <c r="B58" i="74"/>
  <c r="B1154" i="97" s="1"/>
  <c r="E90" i="74"/>
  <c r="E1186" i="97" s="1"/>
  <c r="H58" i="74"/>
  <c r="D26" i="74"/>
  <c r="J90" i="74"/>
  <c r="D58" i="74"/>
  <c r="D1154" i="97" s="1"/>
  <c r="C90" i="74"/>
  <c r="C1186" i="97" s="1"/>
  <c r="C58" i="74"/>
  <c r="C1154" i="97" s="1"/>
  <c r="F26" i="74"/>
  <c r="F1122" i="97" s="1"/>
  <c r="F120" i="74"/>
  <c r="F1216" i="97" s="1"/>
  <c r="B90" i="74"/>
  <c r="B1186" i="97" s="1"/>
  <c r="H90" i="74"/>
  <c r="H1186" i="97" s="1"/>
  <c r="C26" i="74"/>
  <c r="I58" i="74"/>
  <c r="I1154" i="97" s="1"/>
  <c r="D90" i="74"/>
  <c r="D1186" i="97" s="1"/>
  <c r="G26" i="74"/>
  <c r="G1122" i="97" s="1"/>
  <c r="C120" i="74"/>
  <c r="C1216" i="97" s="1"/>
  <c r="B26" i="74"/>
  <c r="B1122" i="97" s="1"/>
  <c r="B120" i="74"/>
  <c r="B1216" i="97" s="1"/>
  <c r="J58" i="74"/>
  <c r="J1154" i="97" s="1"/>
  <c r="I26" i="74"/>
  <c r="I1122" i="97" s="1"/>
  <c r="D120" i="74"/>
  <c r="D1216" i="97" s="1"/>
  <c r="H26" i="74"/>
  <c r="H1122" i="97" s="1"/>
  <c r="G1186" i="97"/>
  <c r="F1186" i="97"/>
  <c r="K1122" i="97"/>
  <c r="C1122" i="97"/>
  <c r="O65" i="97"/>
  <c r="P844" i="97"/>
  <c r="N65" i="97"/>
  <c r="P55" i="66"/>
  <c r="O336" i="72"/>
  <c r="E28" i="72"/>
  <c r="J36" i="74"/>
  <c r="J1132" i="97" s="1"/>
  <c r="E36" i="74"/>
  <c r="E1132" i="97" s="1"/>
  <c r="P62" i="72"/>
  <c r="P61" i="72" s="1"/>
  <c r="L395" i="72"/>
  <c r="E67" i="89"/>
  <c r="J860" i="97"/>
  <c r="L860" i="97" s="1"/>
  <c r="M860" i="97" s="1"/>
  <c r="K40" i="87"/>
  <c r="K36" i="74"/>
  <c r="K1132" i="97" s="1"/>
  <c r="H19" i="87"/>
  <c r="K18" i="87"/>
  <c r="K39" i="87"/>
  <c r="K21" i="87"/>
  <c r="I99" i="74"/>
  <c r="I1195" i="97" s="1"/>
  <c r="H37" i="87"/>
  <c r="E129" i="74"/>
  <c r="E1225" i="97" s="1"/>
  <c r="H43" i="87"/>
  <c r="K19" i="87"/>
  <c r="F36" i="74"/>
  <c r="F1132" i="97" s="1"/>
  <c r="K16" i="87"/>
  <c r="C36" i="74"/>
  <c r="C1132" i="97" s="1"/>
  <c r="H11" i="87"/>
  <c r="C34" i="84"/>
  <c r="A68" i="85"/>
  <c r="A22" i="83" s="1"/>
  <c r="D29" i="74"/>
  <c r="D37" i="74" s="1"/>
  <c r="D1133" i="97" s="1"/>
  <c r="C93" i="74"/>
  <c r="K31" i="87" s="1"/>
  <c r="H93" i="74"/>
  <c r="H100" i="74" s="1"/>
  <c r="H1196" i="97" s="1"/>
  <c r="G93" i="74"/>
  <c r="G100" i="74" s="1"/>
  <c r="G1196" i="97" s="1"/>
  <c r="B61" i="74"/>
  <c r="B69" i="74" s="1"/>
  <c r="B1165" i="97" s="1"/>
  <c r="G61" i="74"/>
  <c r="D93" i="74"/>
  <c r="K32" i="87" s="1"/>
  <c r="K61" i="74"/>
  <c r="K69" i="74" s="1"/>
  <c r="K1165" i="97" s="1"/>
  <c r="E29" i="74"/>
  <c r="E37" i="74" s="1"/>
  <c r="E1133" i="97" s="1"/>
  <c r="J37" i="74"/>
  <c r="J1133" i="97" s="1"/>
  <c r="E61" i="74"/>
  <c r="K23" i="87" s="1"/>
  <c r="F29" i="74"/>
  <c r="K14" i="87" s="1"/>
  <c r="G29" i="74"/>
  <c r="G37" i="74" s="1"/>
  <c r="G1133" i="97" s="1"/>
  <c r="J61" i="74"/>
  <c r="K37" i="74"/>
  <c r="K1133" i="97" s="1"/>
  <c r="B29" i="74"/>
  <c r="C29" i="74"/>
  <c r="E123" i="74"/>
  <c r="K43" i="87" s="1"/>
  <c r="I29" i="74"/>
  <c r="K17" i="87" s="1"/>
  <c r="I93" i="74"/>
  <c r="I100" i="74" s="1"/>
  <c r="I1196" i="97" s="1"/>
  <c r="C123" i="74"/>
  <c r="H61" i="74"/>
  <c r="K26" i="87" s="1"/>
  <c r="B93" i="74"/>
  <c r="J93" i="74"/>
  <c r="D123" i="74"/>
  <c r="E93" i="74"/>
  <c r="E100" i="74" s="1"/>
  <c r="E1196" i="97" s="1"/>
  <c r="F123" i="74"/>
  <c r="K44" i="87" s="1"/>
  <c r="D61" i="74"/>
  <c r="D69" i="74" s="1"/>
  <c r="D1165" i="97" s="1"/>
  <c r="F93" i="74"/>
  <c r="K34" i="87" s="1"/>
  <c r="H1" i="95"/>
  <c r="K41" i="66"/>
  <c r="K59" i="74"/>
  <c r="E29" i="87" s="1"/>
  <c r="B37" i="87"/>
  <c r="I69" i="74"/>
  <c r="I1165" i="97" s="1"/>
  <c r="B18" i="87"/>
  <c r="J99" i="74"/>
  <c r="J1195" i="97" s="1"/>
  <c r="B19" i="87"/>
  <c r="F99" i="74"/>
  <c r="F1195" i="97" s="1"/>
  <c r="B34" i="87"/>
  <c r="B11" i="87"/>
  <c r="C128" i="74"/>
  <c r="C1224" i="97" s="1"/>
  <c r="E41" i="87"/>
  <c r="E21" i="87"/>
  <c r="F84" i="92"/>
  <c r="G36" i="74"/>
  <c r="G1132" i="97" s="1"/>
  <c r="B29" i="87"/>
  <c r="H68" i="74"/>
  <c r="H1164" i="97" s="1"/>
  <c r="I36" i="74"/>
  <c r="I1132" i="97" s="1"/>
  <c r="D36" i="74"/>
  <c r="D1132" i="97" s="1"/>
  <c r="C68" i="74"/>
  <c r="C1164" i="97" s="1"/>
  <c r="B43" i="87"/>
  <c r="E130" i="74"/>
  <c r="E1226" i="97" s="1"/>
  <c r="B23" i="87"/>
  <c r="B25" i="87"/>
  <c r="D99" i="74"/>
  <c r="D1195" i="97" s="1"/>
  <c r="B68" i="74"/>
  <c r="B1164" i="97" s="1"/>
  <c r="H36" i="74"/>
  <c r="H1132" i="97" s="1"/>
  <c r="G68" i="74"/>
  <c r="G1164" i="97" s="1"/>
  <c r="B12" i="87"/>
  <c r="B13" i="87"/>
  <c r="H99" i="74"/>
  <c r="H1195" i="97" s="1"/>
  <c r="E39" i="87"/>
  <c r="B39" i="87"/>
  <c r="B129" i="74"/>
  <c r="B1225" i="97" s="1"/>
  <c r="J68" i="74"/>
  <c r="J1164" i="97" s="1"/>
  <c r="E99" i="74"/>
  <c r="E1195" i="97" s="1"/>
  <c r="F69" i="74"/>
  <c r="F1165" i="97" s="1"/>
  <c r="B33" i="87"/>
  <c r="D68" i="74"/>
  <c r="D1164" i="97" s="1"/>
  <c r="E16" i="87"/>
  <c r="B24" i="87"/>
  <c r="Q55" i="73"/>
  <c r="L261" i="72"/>
  <c r="O263" i="72"/>
  <c r="O1982" i="97" s="1"/>
  <c r="Q1982" i="97" s="1"/>
  <c r="P55" i="73"/>
  <c r="B37" i="74"/>
  <c r="B1133" i="97" s="1"/>
  <c r="L46" i="75"/>
  <c r="M46" i="75" s="1"/>
  <c r="L22" i="75"/>
  <c r="M22" i="75" s="1"/>
  <c r="L39" i="75"/>
  <c r="M39" i="75" s="1"/>
  <c r="L47" i="75"/>
  <c r="M47" i="75" s="1"/>
  <c r="L24" i="75"/>
  <c r="M24" i="75" s="1"/>
  <c r="L32" i="75"/>
  <c r="M32" i="75" s="1"/>
  <c r="L25" i="75"/>
  <c r="M25" i="75" s="1"/>
  <c r="L33" i="75"/>
  <c r="M33" i="75" s="1"/>
  <c r="L41" i="75"/>
  <c r="M41" i="75" s="1"/>
  <c r="L26" i="75"/>
  <c r="M26" i="75" s="1"/>
  <c r="L34" i="75"/>
  <c r="M34" i="75" s="1"/>
  <c r="L19" i="75"/>
  <c r="L27" i="75"/>
  <c r="M27" i="75" s="1"/>
  <c r="L35" i="75"/>
  <c r="M35" i="75" s="1"/>
  <c r="L43" i="75"/>
  <c r="M43" i="75" s="1"/>
  <c r="L28" i="75"/>
  <c r="M28" i="75" s="1"/>
  <c r="L36" i="75"/>
  <c r="M36" i="75" s="1"/>
  <c r="L29" i="75"/>
  <c r="M29" i="75" s="1"/>
  <c r="L37" i="75"/>
  <c r="M37" i="75" s="1"/>
  <c r="C32" i="86"/>
  <c r="G32" i="86"/>
  <c r="I11" i="86"/>
  <c r="I12" i="86"/>
  <c r="L30" i="75"/>
  <c r="M30" i="75" s="1"/>
  <c r="L38" i="75"/>
  <c r="M38" i="75" s="1"/>
  <c r="L40" i="75"/>
  <c r="M40" i="75" s="1"/>
  <c r="L48" i="75"/>
  <c r="M48" i="75" s="1"/>
  <c r="L42" i="75"/>
  <c r="M42" i="75" s="1"/>
  <c r="L31" i="75"/>
  <c r="M31" i="75" s="1"/>
  <c r="L44" i="75"/>
  <c r="M44" i="75" s="1"/>
  <c r="L18" i="75"/>
  <c r="M18" i="75" s="1"/>
  <c r="L45" i="75"/>
  <c r="M45" i="75" s="1"/>
  <c r="A123" i="75"/>
  <c r="M230" i="72"/>
  <c r="Q261" i="72"/>
  <c r="C8" i="90"/>
  <c r="B5" i="92" s="1"/>
  <c r="J861" i="97"/>
  <c r="L861" i="97" s="1"/>
  <c r="M861" i="97" s="1"/>
  <c r="J863" i="97"/>
  <c r="L863" i="97" s="1"/>
  <c r="M863" i="97" s="1"/>
  <c r="C21" i="90"/>
  <c r="E31" i="86"/>
  <c r="F16" i="86"/>
  <c r="M146" i="78"/>
  <c r="M162" i="78" s="1"/>
  <c r="M164" i="78" s="1"/>
  <c r="M166" i="78" s="1"/>
  <c r="S146" i="78"/>
  <c r="J177" i="78"/>
  <c r="E38" i="78"/>
  <c r="P146" i="78"/>
  <c r="P162" i="78" s="1"/>
  <c r="P164" i="78" s="1"/>
  <c r="P166" i="78" s="1"/>
  <c r="V146" i="78"/>
  <c r="E39" i="78"/>
  <c r="E40" i="78"/>
  <c r="H1" i="91"/>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13" i="75"/>
  <c r="C1" i="86"/>
  <c r="IR49" i="75"/>
  <c r="N142" i="75" s="1"/>
  <c r="F126" i="78"/>
  <c r="F122" i="78"/>
  <c r="F125" i="78"/>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F1292" i="97"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1291" i="97"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F1291" i="97"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F1289" i="97" s="1"/>
  <c r="JR49" i="75"/>
  <c r="O139" i="75" s="1"/>
  <c r="O150" i="75" s="1"/>
  <c r="K1292" i="97"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F1290" i="97"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M19" i="75"/>
  <c r="EF49" i="75"/>
  <c r="M66" i="75" s="1"/>
  <c r="FX49" i="75"/>
  <c r="GS49" i="75"/>
  <c r="HF49" i="75"/>
  <c r="HS49" i="75"/>
  <c r="N120" i="75" s="1"/>
  <c r="IQ49" i="75"/>
  <c r="M142" i="75" s="1"/>
  <c r="IY49" i="75"/>
  <c r="K140" i="75" s="1"/>
  <c r="JG49" i="75"/>
  <c r="N141" i="75" s="1"/>
  <c r="JO49" i="75"/>
  <c r="L139" i="75" s="1"/>
  <c r="L150" i="75" s="1"/>
  <c r="K1289" i="97" s="1"/>
  <c r="JW49" i="75"/>
  <c r="MJ49" i="75"/>
  <c r="CC49" i="75"/>
  <c r="M96" i="75" s="1"/>
  <c r="DP49" i="75"/>
  <c r="L106" i="75" s="1"/>
  <c r="DT49" i="75"/>
  <c r="K105" i="75" s="1"/>
  <c r="FN49" i="75"/>
  <c r="L163" i="75" s="1"/>
  <c r="CQ49" i="75"/>
  <c r="L93" i="75" s="1"/>
  <c r="CX49" i="75"/>
  <c r="N110" i="75"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K1288" i="97"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A2" i="83"/>
  <c r="F12" i="85"/>
  <c r="E15" i="89"/>
  <c r="A1" i="87"/>
  <c r="A47" i="84"/>
  <c r="C28" i="90"/>
  <c r="G5" i="92" s="1"/>
  <c r="K65" i="82"/>
  <c r="K67" i="74"/>
  <c r="K1163" i="97" s="1"/>
  <c r="E51" i="86"/>
  <c r="B130" i="74"/>
  <c r="B1226" i="97" s="1"/>
  <c r="I59" i="74"/>
  <c r="D27" i="74"/>
  <c r="C91" i="74"/>
  <c r="G91" i="74"/>
  <c r="H35" i="74"/>
  <c r="H1131" i="97" s="1"/>
  <c r="K100" i="74"/>
  <c r="K1196" i="97" s="1"/>
  <c r="I91" i="74"/>
  <c r="E59" i="74"/>
  <c r="E67" i="74" s="1"/>
  <c r="E1163" i="97" s="1"/>
  <c r="I27" i="74"/>
  <c r="F59" i="74"/>
  <c r="E91" i="74"/>
  <c r="H59" i="74"/>
  <c r="K27" i="74"/>
  <c r="K45" i="82" s="1"/>
  <c r="F91" i="74"/>
  <c r="B27" i="74"/>
  <c r="I32" i="86"/>
  <c r="F51" i="86"/>
  <c r="D32" i="86"/>
  <c r="F12" i="86"/>
  <c r="H91" i="74"/>
  <c r="D59" i="74"/>
  <c r="G27" i="74"/>
  <c r="G59" i="74"/>
  <c r="D121" i="74"/>
  <c r="F121" i="74"/>
  <c r="D91" i="74"/>
  <c r="C27" i="74"/>
  <c r="J27" i="74"/>
  <c r="E27" i="74"/>
  <c r="C99" i="74"/>
  <c r="C1195" i="97" s="1"/>
  <c r="E32" i="86"/>
  <c r="F11" i="86"/>
  <c r="J59" i="74"/>
  <c r="F27" i="74"/>
  <c r="J91" i="74"/>
  <c r="B121" i="74"/>
  <c r="E121" i="74"/>
  <c r="B59" i="74"/>
  <c r="B91" i="74"/>
  <c r="K99" i="74"/>
  <c r="K1195" i="97" s="1"/>
  <c r="H52" i="86"/>
  <c r="D31" i="86"/>
  <c r="B36" i="74"/>
  <c r="B1132" i="97" s="1"/>
  <c r="B53" i="82"/>
  <c r="D16" i="86"/>
  <c r="G56" i="86"/>
  <c r="F56" i="86"/>
  <c r="C129" i="74"/>
  <c r="C1225" i="97" s="1"/>
  <c r="K98" i="74"/>
  <c r="K1194" i="97" s="1"/>
  <c r="D52" i="86"/>
  <c r="I68" i="74"/>
  <c r="I1164" i="97" s="1"/>
  <c r="G31" i="86"/>
  <c r="F36" i="86"/>
  <c r="E36" i="86"/>
  <c r="C51" i="86"/>
  <c r="G99" i="74"/>
  <c r="G1195" i="97" s="1"/>
  <c r="H32" i="86"/>
  <c r="F68" i="74"/>
  <c r="F1164" i="97" s="1"/>
  <c r="E68" i="74"/>
  <c r="E1164" i="97" s="1"/>
  <c r="F32" i="86"/>
  <c r="H11" i="86"/>
  <c r="E12" i="86"/>
  <c r="D12" i="86"/>
  <c r="D130" i="74"/>
  <c r="D1226" i="97" s="1"/>
  <c r="E56" i="86"/>
  <c r="I36" i="86"/>
  <c r="F129" i="74"/>
  <c r="F1225" i="97" s="1"/>
  <c r="B99" i="74"/>
  <c r="B1195" i="97" s="1"/>
  <c r="E52" i="86"/>
  <c r="C31" i="86"/>
  <c r="H12" i="86"/>
  <c r="C29" i="84"/>
  <c r="K26" i="84" s="1"/>
  <c r="G36" i="86"/>
  <c r="H56" i="86"/>
  <c r="C56" i="86"/>
  <c r="F15" i="85"/>
  <c r="K68" i="74"/>
  <c r="K1164" i="97" s="1"/>
  <c r="C67" i="74"/>
  <c r="C1163" i="97" s="1"/>
  <c r="C65" i="82"/>
  <c r="D11" i="86"/>
  <c r="C36" i="86"/>
  <c r="H36" i="86"/>
  <c r="D36" i="86"/>
  <c r="G12" i="86"/>
  <c r="C31" i="74"/>
  <c r="C1127" i="97" s="1"/>
  <c r="H16" i="86"/>
  <c r="I16" i="86"/>
  <c r="G51" i="86"/>
  <c r="C52" i="86"/>
  <c r="I31" i="86"/>
  <c r="G52" i="86"/>
  <c r="D51" i="86"/>
  <c r="H51" i="86"/>
  <c r="F31" i="86"/>
  <c r="F52" i="86"/>
  <c r="H31" i="86"/>
  <c r="H37" i="74"/>
  <c r="H1133" i="97" s="1"/>
  <c r="G11" i="86"/>
  <c r="E11" i="86"/>
  <c r="A49" i="75"/>
  <c r="A6" i="75" s="1"/>
  <c r="GD49" i="75"/>
  <c r="M167" i="75" s="1"/>
  <c r="IG49" i="75"/>
  <c r="M136" i="75" s="1"/>
  <c r="JU49" i="75"/>
  <c r="MP49" i="75"/>
  <c r="HG49" i="75"/>
  <c r="IJ49" i="75"/>
  <c r="K137" i="75" s="1"/>
  <c r="IZ49" i="75"/>
  <c r="L140" i="75" s="1"/>
  <c r="JP49" i="75"/>
  <c r="M139" i="75" s="1"/>
  <c r="M150" i="75" s="1"/>
  <c r="K1290" i="97" s="1"/>
  <c r="F124" i="78"/>
  <c r="C55" i="84"/>
  <c r="GM49" i="75"/>
  <c r="L114" i="75" s="1"/>
  <c r="JA49" i="75"/>
  <c r="M140" i="75" s="1"/>
  <c r="JI49" i="75"/>
  <c r="K138" i="75" s="1"/>
  <c r="K149" i="75" s="1"/>
  <c r="F1288" i="97" s="1"/>
  <c r="IL49" i="75"/>
  <c r="M137" i="75" s="1"/>
  <c r="D14" i="74"/>
  <c r="HP49" i="75"/>
  <c r="K120" i="75" s="1"/>
  <c r="IA49" i="75"/>
  <c r="A1" i="89"/>
  <c r="H2" i="91"/>
  <c r="A2" i="90"/>
  <c r="F13" i="85"/>
  <c r="A2" i="84"/>
  <c r="O22" i="86"/>
  <c r="O12" i="86"/>
  <c r="D16" i="83"/>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J89" i="72"/>
  <c r="FQ49" i="75"/>
  <c r="O163" i="75" s="1"/>
  <c r="DU49" i="75"/>
  <c r="L105" i="75" s="1"/>
  <c r="EM49" i="75"/>
  <c r="O157" i="75" s="1"/>
  <c r="EO49" i="75"/>
  <c r="L158" i="75" s="1"/>
  <c r="FO49" i="75"/>
  <c r="M163" i="75" s="1"/>
  <c r="CL49" i="75"/>
  <c r="L94" i="75" s="1"/>
  <c r="L102" i="75"/>
  <c r="EW49" i="75"/>
  <c r="O159" i="75" s="1"/>
  <c r="L145" i="75"/>
  <c r="L350" i="72"/>
  <c r="P59" i="72"/>
  <c r="E27" i="72"/>
  <c r="E1746" i="97" s="1"/>
  <c r="E17" i="72"/>
  <c r="E1736" i="97" s="1"/>
  <c r="P263" i="72"/>
  <c r="J542" i="97" l="1"/>
  <c r="J541" i="97"/>
  <c r="J41" i="78"/>
  <c r="J543" i="97"/>
  <c r="F27" i="95"/>
  <c r="F25" i="95"/>
  <c r="F26" i="95"/>
  <c r="H25" i="95"/>
  <c r="G25" i="95"/>
  <c r="I27" i="95"/>
  <c r="E29" i="95"/>
  <c r="G31" i="95"/>
  <c r="E27" i="95"/>
  <c r="E26" i="95"/>
  <c r="H30" i="95"/>
  <c r="F31" i="95"/>
  <c r="G26" i="95"/>
  <c r="E30" i="95"/>
  <c r="E28" i="95"/>
  <c r="I25" i="95"/>
  <c r="I29" i="95"/>
  <c r="F30" i="95"/>
  <c r="H26" i="95"/>
  <c r="I30" i="95"/>
  <c r="H31" i="95"/>
  <c r="I28" i="95"/>
  <c r="G29" i="95"/>
  <c r="I31" i="95"/>
  <c r="I26" i="95"/>
  <c r="H28" i="95"/>
  <c r="H29" i="95"/>
  <c r="H27" i="95"/>
  <c r="F28" i="95"/>
  <c r="E31" i="95"/>
  <c r="G27" i="95"/>
  <c r="F29" i="95"/>
  <c r="E25" i="95"/>
  <c r="G30" i="95"/>
  <c r="G28" i="95"/>
  <c r="M889" i="97"/>
  <c r="M890" i="97" s="1"/>
  <c r="B28" i="87"/>
  <c r="B20" i="87"/>
  <c r="J1186" i="97"/>
  <c r="D1122" i="97"/>
  <c r="B36" i="87"/>
  <c r="B21" i="87"/>
  <c r="B15" i="87"/>
  <c r="B38" i="87"/>
  <c r="H45" i="82"/>
  <c r="B26" i="87"/>
  <c r="B32" i="87"/>
  <c r="B31" i="87"/>
  <c r="H1154" i="97"/>
  <c r="B30" i="87"/>
  <c r="B16" i="87"/>
  <c r="B22" i="87"/>
  <c r="B40" i="87"/>
  <c r="B42" i="87"/>
  <c r="B40" i="74"/>
  <c r="C10" i="86" s="1"/>
  <c r="B27" i="87"/>
  <c r="B41" i="87"/>
  <c r="B44" i="87"/>
  <c r="B17" i="87"/>
  <c r="B14" i="87"/>
  <c r="F45" i="82"/>
  <c r="B10" i="87"/>
  <c r="C40" i="74"/>
  <c r="C1136" i="97" s="1"/>
  <c r="B1136" i="97"/>
  <c r="H1335" i="97"/>
  <c r="K65" i="97"/>
  <c r="Q1067" i="97"/>
  <c r="N1065" i="97" s="1"/>
  <c r="I1292" i="97"/>
  <c r="H1292" i="97"/>
  <c r="N1289" i="97"/>
  <c r="M1289" i="97"/>
  <c r="F1293" i="97"/>
  <c r="I1288" i="97"/>
  <c r="H1288" i="97"/>
  <c r="N1292" i="97"/>
  <c r="M1292" i="97"/>
  <c r="N1291" i="97"/>
  <c r="M1291" i="97"/>
  <c r="I1290" i="97"/>
  <c r="H1290" i="97"/>
  <c r="I1291" i="97"/>
  <c r="H1291" i="97"/>
  <c r="N1290" i="97"/>
  <c r="M1290" i="97"/>
  <c r="K1293" i="97"/>
  <c r="N1288" i="97"/>
  <c r="M1288" i="97"/>
  <c r="I1289" i="97"/>
  <c r="H1289" i="97"/>
  <c r="C100" i="74"/>
  <c r="C1196" i="97" s="1"/>
  <c r="L129" i="75"/>
  <c r="N128" i="75"/>
  <c r="K128" i="75"/>
  <c r="M129" i="75"/>
  <c r="K129" i="75"/>
  <c r="M128" i="75"/>
  <c r="O128" i="75"/>
  <c r="N129" i="75"/>
  <c r="O129" i="75"/>
  <c r="L128" i="75"/>
  <c r="L20" i="75"/>
  <c r="M20" i="75" s="1"/>
  <c r="C141" i="90"/>
  <c r="F64" i="73"/>
  <c r="P108" i="72"/>
  <c r="P1827" i="97" s="1"/>
  <c r="F130" i="74"/>
  <c r="F1226" i="97" s="1"/>
  <c r="I45" i="82"/>
  <c r="F37" i="74"/>
  <c r="F1133" i="97" s="1"/>
  <c r="C45" i="82"/>
  <c r="G45" i="82"/>
  <c r="H65" i="82"/>
  <c r="H69" i="74"/>
  <c r="H1165" i="97" s="1"/>
  <c r="E69" i="74"/>
  <c r="E1165" i="97" s="1"/>
  <c r="D100" i="74"/>
  <c r="D1196" i="97" s="1"/>
  <c r="I37" i="74"/>
  <c r="I1133" i="97" s="1"/>
  <c r="K22" i="87"/>
  <c r="J100" i="74"/>
  <c r="J1196" i="97" s="1"/>
  <c r="K38" i="87"/>
  <c r="K37" i="87"/>
  <c r="C37" i="74"/>
  <c r="C1133" i="97" s="1"/>
  <c r="K11" i="87"/>
  <c r="K15" i="87"/>
  <c r="K13" i="87"/>
  <c r="K20" i="87"/>
  <c r="K12" i="87"/>
  <c r="B100" i="74"/>
  <c r="B1196" i="97" s="1"/>
  <c r="K30" i="87"/>
  <c r="K10" i="87"/>
  <c r="K29" i="87"/>
  <c r="K35" i="87"/>
  <c r="K33" i="87"/>
  <c r="K36" i="87"/>
  <c r="K42" i="87"/>
  <c r="C130" i="74"/>
  <c r="C1226" i="97" s="1"/>
  <c r="K41" i="87"/>
  <c r="K28" i="87"/>
  <c r="K25" i="87"/>
  <c r="H15" i="84"/>
  <c r="F18" i="85" s="1"/>
  <c r="J69" i="74"/>
  <c r="J1165" i="97" s="1"/>
  <c r="R117" i="74"/>
  <c r="S117" i="74" s="1"/>
  <c r="F100" i="74"/>
  <c r="F1196" i="97" s="1"/>
  <c r="R55" i="74"/>
  <c r="S55" i="74" s="1"/>
  <c r="R87" i="74"/>
  <c r="S87" i="74" s="1"/>
  <c r="G69" i="74"/>
  <c r="G1165" i="97" s="1"/>
  <c r="H95" i="73"/>
  <c r="K122" i="72"/>
  <c r="I122" i="72"/>
  <c r="E65" i="82"/>
  <c r="B45" i="82"/>
  <c r="C75" i="84"/>
  <c r="I75" i="84" s="1"/>
  <c r="I77" i="84" s="1"/>
  <c r="E13" i="87"/>
  <c r="E38" i="87"/>
  <c r="J45" i="82"/>
  <c r="E18" i="87"/>
  <c r="E22" i="87"/>
  <c r="K35" i="74"/>
  <c r="K1131" i="97" s="1"/>
  <c r="E19" i="87"/>
  <c r="E37" i="87"/>
  <c r="E14" i="87"/>
  <c r="E11" i="87"/>
  <c r="E36" i="87"/>
  <c r="E26" i="87"/>
  <c r="E27" i="87"/>
  <c r="E30" i="87"/>
  <c r="E28" i="87"/>
  <c r="E32" i="87"/>
  <c r="E33" i="87"/>
  <c r="E20" i="87"/>
  <c r="E34" i="87"/>
  <c r="E128" i="74"/>
  <c r="E1224" i="97" s="1"/>
  <c r="E43" i="87"/>
  <c r="E44" i="87"/>
  <c r="F65" i="82"/>
  <c r="E24" i="87"/>
  <c r="G98" i="74"/>
  <c r="G1194" i="97" s="1"/>
  <c r="E35" i="87"/>
  <c r="E40" i="87"/>
  <c r="E42" i="87"/>
  <c r="E17" i="87"/>
  <c r="E31" i="87"/>
  <c r="E15" i="87"/>
  <c r="G65" i="82"/>
  <c r="E25" i="87"/>
  <c r="E10" i="87"/>
  <c r="E23" i="87"/>
  <c r="E12" i="87"/>
  <c r="O256" i="72"/>
  <c r="O1975" i="97" s="1"/>
  <c r="Q263"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56" i="72"/>
  <c r="C36" i="84"/>
  <c r="K37" i="84" s="1"/>
  <c r="I65" i="82"/>
  <c r="L23" i="75"/>
  <c r="M23" i="75" s="1"/>
  <c r="L21" i="75"/>
  <c r="M21" i="75" s="1"/>
  <c r="L147" i="75"/>
  <c r="F1282" i="97" s="1"/>
  <c r="K48" i="73"/>
  <c r="F49" i="73"/>
  <c r="D45" i="82"/>
  <c r="K64" i="73"/>
  <c r="E35" i="74"/>
  <c r="E1131" i="97" s="1"/>
  <c r="D35" i="74"/>
  <c r="D1131" i="97" s="1"/>
  <c r="E45" i="82"/>
  <c r="E41" i="78"/>
  <c r="F62" i="73"/>
  <c r="K63" i="73"/>
  <c r="I58" i="84"/>
  <c r="I62" i="84" s="1"/>
  <c r="K58" i="84"/>
  <c r="K62" i="84" s="1"/>
  <c r="G58" i="84"/>
  <c r="G62" i="84" s="1"/>
  <c r="E58" i="84"/>
  <c r="E62" i="84" s="1"/>
  <c r="N147" i="75"/>
  <c r="C62" i="84"/>
  <c r="M63" i="75"/>
  <c r="G32" i="95" s="1"/>
  <c r="O147" i="75"/>
  <c r="P98" i="75"/>
  <c r="O148" i="75"/>
  <c r="K1285" i="97" s="1"/>
  <c r="O115" i="75"/>
  <c r="O121" i="75"/>
  <c r="N148" i="75"/>
  <c r="K51" i="73"/>
  <c r="K63" i="75"/>
  <c r="P56" i="75"/>
  <c r="P106" i="75"/>
  <c r="P66" i="75"/>
  <c r="N118" i="75"/>
  <c r="Q237" i="75"/>
  <c r="F63" i="73"/>
  <c r="F51" i="73"/>
  <c r="P237" i="75"/>
  <c r="P162" i="75"/>
  <c r="P59" i="75"/>
  <c r="L118" i="75"/>
  <c r="O118" i="75"/>
  <c r="P142" i="75"/>
  <c r="M118" i="75"/>
  <c r="P167" i="75"/>
  <c r="P236" i="75"/>
  <c r="P116" i="75"/>
  <c r="L121" i="75"/>
  <c r="P165" i="75"/>
  <c r="P107" i="75"/>
  <c r="O63" i="75"/>
  <c r="I32" i="95" s="1"/>
  <c r="M115" i="75"/>
  <c r="P62" i="75"/>
  <c r="P60" i="75"/>
  <c r="N100" i="75"/>
  <c r="N121" i="75"/>
  <c r="P119" i="75"/>
  <c r="P163" i="75"/>
  <c r="P58" i="75"/>
  <c r="P161" i="75"/>
  <c r="L63" i="75"/>
  <c r="F32" i="95" s="1"/>
  <c r="K118" i="75"/>
  <c r="P61" i="75"/>
  <c r="N115" i="75"/>
  <c r="L111" i="75"/>
  <c r="P141" i="75"/>
  <c r="P64" i="75"/>
  <c r="K115" i="75"/>
  <c r="P95" i="75"/>
  <c r="P57" i="75"/>
  <c r="P160" i="75"/>
  <c r="P109" i="75"/>
  <c r="P96" i="75"/>
  <c r="N63" i="75"/>
  <c r="H32" i="95" s="1"/>
  <c r="P113" i="75"/>
  <c r="K147" i="75"/>
  <c r="F1281" i="97" s="1"/>
  <c r="L164" i="75"/>
  <c r="L166" i="75" s="1"/>
  <c r="L168" i="75" s="1"/>
  <c r="P110" i="75"/>
  <c r="L115" i="75"/>
  <c r="M111" i="75"/>
  <c r="M148" i="75"/>
  <c r="K1283" i="97" s="1"/>
  <c r="O111" i="75"/>
  <c r="P99" i="75"/>
  <c r="L148" i="75"/>
  <c r="L100" i="75"/>
  <c r="Q236" i="75"/>
  <c r="N164" i="75"/>
  <c r="N166" i="75" s="1"/>
  <c r="N168" i="75" s="1"/>
  <c r="M121" i="75"/>
  <c r="P143" i="75"/>
  <c r="M164" i="75"/>
  <c r="M166" i="75" s="1"/>
  <c r="M168" i="75" s="1"/>
  <c r="N111" i="75"/>
  <c r="P157" i="75"/>
  <c r="P117" i="75"/>
  <c r="J98" i="74"/>
  <c r="J1194" i="97" s="1"/>
  <c r="E98" i="74"/>
  <c r="E1194" i="97" s="1"/>
  <c r="K29" i="84"/>
  <c r="C35" i="74"/>
  <c r="C1131" i="97" s="1"/>
  <c r="D128" i="74"/>
  <c r="D1224" i="97" s="1"/>
  <c r="H67" i="74"/>
  <c r="H1163" i="97" s="1"/>
  <c r="C98" i="74"/>
  <c r="C1194" i="97" s="1"/>
  <c r="F35" i="74"/>
  <c r="F1131" i="97" s="1"/>
  <c r="G35" i="74"/>
  <c r="G1131" i="97" s="1"/>
  <c r="J67" i="74"/>
  <c r="J1163" i="97" s="1"/>
  <c r="D67" i="74"/>
  <c r="D1163" i="97" s="1"/>
  <c r="I67" i="74"/>
  <c r="I1163" i="97" s="1"/>
  <c r="D65" i="82"/>
  <c r="H98" i="74"/>
  <c r="H1194" i="97" s="1"/>
  <c r="J65" i="82"/>
  <c r="B98" i="74"/>
  <c r="B1194" i="97" s="1"/>
  <c r="B35" i="74"/>
  <c r="B1131" i="97" s="1"/>
  <c r="B128" i="74"/>
  <c r="B1224" i="97" s="1"/>
  <c r="D98" i="74"/>
  <c r="D1194" i="97" s="1"/>
  <c r="G67" i="74"/>
  <c r="G1163" i="97" s="1"/>
  <c r="I98" i="74"/>
  <c r="I1194" i="97" s="1"/>
  <c r="B65" i="82"/>
  <c r="B67" i="74"/>
  <c r="B1163" i="97" s="1"/>
  <c r="F98" i="74"/>
  <c r="F1194" i="97" s="1"/>
  <c r="F67" i="74"/>
  <c r="F1163" i="97" s="1"/>
  <c r="K33" i="84"/>
  <c r="J35" i="74"/>
  <c r="J1131" i="97" s="1"/>
  <c r="F128" i="74"/>
  <c r="F1224" i="97" s="1"/>
  <c r="I35" i="74"/>
  <c r="I1131" i="97" s="1"/>
  <c r="C53" i="82"/>
  <c r="D31" i="74"/>
  <c r="O100" i="75"/>
  <c r="P158" i="75"/>
  <c r="P140" i="75"/>
  <c r="P97" i="75"/>
  <c r="K100" i="75"/>
  <c r="P137" i="75"/>
  <c r="K148" i="75"/>
  <c r="K1281" i="97" s="1"/>
  <c r="P105" i="75"/>
  <c r="I55" i="84"/>
  <c r="E55" i="84"/>
  <c r="K55" i="84"/>
  <c r="G55" i="84"/>
  <c r="P104" i="75"/>
  <c r="K111" i="75"/>
  <c r="Q238" i="75"/>
  <c r="P238" i="75"/>
  <c r="K164" i="75"/>
  <c r="P159" i="75"/>
  <c r="M100" i="75"/>
  <c r="P94" i="75"/>
  <c r="P120" i="75"/>
  <c r="K121" i="75"/>
  <c r="E14" i="74"/>
  <c r="P138" i="75"/>
  <c r="M147" i="75"/>
  <c r="F1283" i="97" s="1"/>
  <c r="P136" i="75"/>
  <c r="O164" i="75"/>
  <c r="O166" i="75" s="1"/>
  <c r="O168" i="75" s="1"/>
  <c r="P108" i="75"/>
  <c r="P93" i="75"/>
  <c r="P139" i="75"/>
  <c r="P114" i="75"/>
  <c r="J544" i="97" l="1"/>
  <c r="E31" i="74"/>
  <c r="E1127" i="97" s="1"/>
  <c r="D1127" i="97"/>
  <c r="G541" i="97"/>
  <c r="G41" i="78"/>
  <c r="G37" i="78" s="1"/>
  <c r="F38" i="78"/>
  <c r="G543" i="97"/>
  <c r="F40" i="78"/>
  <c r="G542" i="97"/>
  <c r="F39" i="78"/>
  <c r="J31" i="95"/>
  <c r="J28" i="95"/>
  <c r="J26" i="95"/>
  <c r="J30" i="95"/>
  <c r="J27" i="95"/>
  <c r="J25" i="95"/>
  <c r="J29" i="95"/>
  <c r="D40" i="74"/>
  <c r="D1136" i="97" s="1"/>
  <c r="D10" i="86"/>
  <c r="I1281" i="97"/>
  <c r="H1281" i="97"/>
  <c r="F44" i="73"/>
  <c r="I44" i="73" s="1"/>
  <c r="F1284" i="97"/>
  <c r="I1282" i="97"/>
  <c r="H1282" i="97"/>
  <c r="N1293" i="97"/>
  <c r="I1283" i="97"/>
  <c r="H1283" i="97"/>
  <c r="M1281" i="97"/>
  <c r="N1281" i="97"/>
  <c r="N1283" i="97"/>
  <c r="M1283" i="97"/>
  <c r="F45" i="73"/>
  <c r="H45" i="73" s="1"/>
  <c r="F1285" i="97"/>
  <c r="I1293" i="97"/>
  <c r="N1285" i="97"/>
  <c r="M1285" i="97"/>
  <c r="K44" i="73"/>
  <c r="N44" i="73" s="1"/>
  <c r="K1284" i="97"/>
  <c r="K42" i="73"/>
  <c r="K1282" i="97"/>
  <c r="N152" i="75"/>
  <c r="M152" i="75"/>
  <c r="O151" i="75"/>
  <c r="O127" i="75"/>
  <c r="K127" i="75"/>
  <c r="K151" i="75"/>
  <c r="L127" i="75"/>
  <c r="L151" i="75"/>
  <c r="F1296" i="97" s="1"/>
  <c r="M151" i="75"/>
  <c r="M127" i="75"/>
  <c r="N151" i="75"/>
  <c r="N127" i="75"/>
  <c r="O125" i="75"/>
  <c r="O152" i="75"/>
  <c r="K1299" i="97" s="1"/>
  <c r="K152" i="75"/>
  <c r="L125" i="75"/>
  <c r="L152" i="75"/>
  <c r="K125" i="75"/>
  <c r="P129" i="75"/>
  <c r="P128" i="75"/>
  <c r="N125" i="75"/>
  <c r="M125" i="75"/>
  <c r="P131" i="75"/>
  <c r="P130" i="75"/>
  <c r="K62" i="73"/>
  <c r="K35" i="84"/>
  <c r="C77" i="84"/>
  <c r="C80" i="84" s="1"/>
  <c r="E75" i="84"/>
  <c r="E77" i="84" s="1"/>
  <c r="K75" i="84"/>
  <c r="K77" i="84" s="1"/>
  <c r="K65" i="75"/>
  <c r="K67" i="75" s="1"/>
  <c r="E32" i="95"/>
  <c r="E40" i="74"/>
  <c r="E10" i="86"/>
  <c r="G102" i="90"/>
  <c r="G75" i="84"/>
  <c r="G77" i="84" s="1"/>
  <c r="Q58" i="73"/>
  <c r="I51" i="73"/>
  <c r="H63" i="73"/>
  <c r="I49" i="73"/>
  <c r="E22" i="72"/>
  <c r="G62" i="73"/>
  <c r="G1302" i="97" s="1"/>
  <c r="L1302" i="97" s="1"/>
  <c r="Q165" i="75"/>
  <c r="Q167" i="75"/>
  <c r="I62" i="73"/>
  <c r="M49" i="75"/>
  <c r="M50" i="75" s="1"/>
  <c r="Q163" i="75"/>
  <c r="G52" i="73"/>
  <c r="G1292" i="97" s="1"/>
  <c r="L1292" i="97" s="1"/>
  <c r="G42" i="73"/>
  <c r="G1282" i="97" s="1"/>
  <c r="L1282" i="97" s="1"/>
  <c r="G45" i="73"/>
  <c r="G1285" i="97" s="1"/>
  <c r="L1285" i="97" s="1"/>
  <c r="G58" i="73"/>
  <c r="G1298" i="97" s="1"/>
  <c r="L1298" i="97" s="1"/>
  <c r="G57" i="73"/>
  <c r="G1297" i="97" s="1"/>
  <c r="L1297" i="97" s="1"/>
  <c r="G49" i="73"/>
  <c r="G1289" i="97" s="1"/>
  <c r="L1289" i="97" s="1"/>
  <c r="E18" i="72"/>
  <c r="E1737" i="97" s="1"/>
  <c r="G64" i="73"/>
  <c r="G1304" i="97" s="1"/>
  <c r="L1304" i="97" s="1"/>
  <c r="G51" i="73"/>
  <c r="G1291" i="97" s="1"/>
  <c r="L1291" i="97" s="1"/>
  <c r="G50" i="73"/>
  <c r="G1290" i="97" s="1"/>
  <c r="L1290" i="97" s="1"/>
  <c r="G48" i="73"/>
  <c r="G1288" i="97" s="1"/>
  <c r="L1288" i="97" s="1"/>
  <c r="G63" i="73"/>
  <c r="G1303" i="97" s="1"/>
  <c r="L1303" i="97" s="1"/>
  <c r="G44" i="73"/>
  <c r="G1284" i="97" s="1"/>
  <c r="L1284" i="97" s="1"/>
  <c r="G66" i="73"/>
  <c r="G1306" i="97" s="1"/>
  <c r="L1306" i="97" s="1"/>
  <c r="G65" i="73"/>
  <c r="G1305" i="97" s="1"/>
  <c r="L1305" i="97" s="1"/>
  <c r="G55" i="73"/>
  <c r="G1295" i="97" s="1"/>
  <c r="L1295" i="97" s="1"/>
  <c r="G43" i="73"/>
  <c r="G1283" i="97" s="1"/>
  <c r="L1283" i="97" s="1"/>
  <c r="G56" i="73"/>
  <c r="G1296" i="97" s="1"/>
  <c r="L1296" i="97" s="1"/>
  <c r="G41" i="73"/>
  <c r="G1281" i="97" s="1"/>
  <c r="L1281" i="97" s="1"/>
  <c r="P58" i="73"/>
  <c r="G59" i="73"/>
  <c r="G1299" i="97" s="1"/>
  <c r="L1299" i="97" s="1"/>
  <c r="H49" i="73"/>
  <c r="D53" i="82"/>
  <c r="K45" i="73"/>
  <c r="M65" i="75"/>
  <c r="F52" i="73"/>
  <c r="K49" i="73"/>
  <c r="N49" i="73" s="1"/>
  <c r="K65" i="73"/>
  <c r="K66" i="73"/>
  <c r="Q157" i="75"/>
  <c r="H64" i="73"/>
  <c r="Q159" i="75"/>
  <c r="P65" i="66"/>
  <c r="P89" i="97" s="1"/>
  <c r="H51" i="73"/>
  <c r="P63" i="66"/>
  <c r="P87" i="97" s="1"/>
  <c r="H65" i="66"/>
  <c r="H89" i="97" s="1"/>
  <c r="F56" i="89"/>
  <c r="D37" i="90" s="1"/>
  <c r="H63" i="66"/>
  <c r="H87" i="97" s="1"/>
  <c r="I63" i="73"/>
  <c r="Q162" i="75"/>
  <c r="O65" i="75"/>
  <c r="F41" i="73"/>
  <c r="Q160" i="75"/>
  <c r="P118" i="75"/>
  <c r="Q161" i="75"/>
  <c r="P115" i="75"/>
  <c r="K43" i="73"/>
  <c r="P121" i="75"/>
  <c r="H56" i="66" s="1"/>
  <c r="H80" i="97" s="1"/>
  <c r="L65" i="75"/>
  <c r="Q158" i="75"/>
  <c r="K52" i="73"/>
  <c r="N52" i="73" s="1"/>
  <c r="F66" i="73"/>
  <c r="N65" i="75"/>
  <c r="P111" i="75"/>
  <c r="P63" i="75"/>
  <c r="P154" i="75"/>
  <c r="H62" i="73"/>
  <c r="M63" i="73"/>
  <c r="N63" i="73"/>
  <c r="N51" i="73"/>
  <c r="M51" i="73"/>
  <c r="M64" i="73"/>
  <c r="N64" i="73"/>
  <c r="N48" i="73"/>
  <c r="M48" i="73"/>
  <c r="P164" i="75"/>
  <c r="P62" i="66" s="1"/>
  <c r="P86" i="97" s="1"/>
  <c r="K166" i="75"/>
  <c r="P148" i="75"/>
  <c r="K41" i="73"/>
  <c r="F48" i="73"/>
  <c r="P149" i="75"/>
  <c r="F42" i="73"/>
  <c r="P147" i="75"/>
  <c r="K50" i="73"/>
  <c r="P150" i="75"/>
  <c r="F43" i="73"/>
  <c r="F50" i="73"/>
  <c r="N42" i="73"/>
  <c r="M42" i="73"/>
  <c r="F14" i="74"/>
  <c r="P153" i="75"/>
  <c r="F65" i="73"/>
  <c r="P100" i="75"/>
  <c r="F37" i="78" l="1"/>
  <c r="C49" i="78"/>
  <c r="G43" i="78"/>
  <c r="G544" i="97"/>
  <c r="G540" i="97" s="1"/>
  <c r="K59" i="73"/>
  <c r="M44" i="73"/>
  <c r="H44" i="73"/>
  <c r="K73" i="75"/>
  <c r="K85" i="75"/>
  <c r="K70" i="75"/>
  <c r="K76" i="75"/>
  <c r="K79" i="75"/>
  <c r="K82" i="75"/>
  <c r="K88" i="75"/>
  <c r="F10" i="86"/>
  <c r="E1136" i="97"/>
  <c r="K1286" i="97"/>
  <c r="P152" i="75"/>
  <c r="F1286" i="97"/>
  <c r="F57" i="73"/>
  <c r="I57" i="73" s="1"/>
  <c r="F1297" i="97"/>
  <c r="K57" i="73"/>
  <c r="M57" i="73" s="1"/>
  <c r="K1297" i="97"/>
  <c r="I45" i="73"/>
  <c r="I1296" i="97"/>
  <c r="H1296" i="97"/>
  <c r="K58" i="73"/>
  <c r="N58" i="73" s="1"/>
  <c r="K1298" i="97"/>
  <c r="K56" i="73"/>
  <c r="M56" i="73" s="1"/>
  <c r="K1296" i="97"/>
  <c r="F55" i="73"/>
  <c r="H55" i="73" s="1"/>
  <c r="F1295" i="97"/>
  <c r="N1284" i="97"/>
  <c r="M1284" i="97"/>
  <c r="K55" i="73"/>
  <c r="M55" i="73" s="1"/>
  <c r="K1295" i="97"/>
  <c r="F58" i="73"/>
  <c r="I58" i="73" s="1"/>
  <c r="F1298" i="97"/>
  <c r="N1282" i="97"/>
  <c r="M1282" i="97"/>
  <c r="P151" i="75"/>
  <c r="N1299" i="97"/>
  <c r="M1299" i="97"/>
  <c r="F56" i="73"/>
  <c r="F59" i="73"/>
  <c r="I59" i="73" s="1"/>
  <c r="F1299" i="97"/>
  <c r="I1285" i="97"/>
  <c r="H1285" i="97"/>
  <c r="I1284" i="97"/>
  <c r="H1284" i="97"/>
  <c r="H62" i="66"/>
  <c r="H86" i="97" s="1"/>
  <c r="G1611" i="97"/>
  <c r="I86" i="97"/>
  <c r="I62" i="66"/>
  <c r="L371" i="73"/>
  <c r="L1611" i="97"/>
  <c r="C81" i="84"/>
  <c r="P127" i="75"/>
  <c r="P125" i="75"/>
  <c r="O2061" i="97" s="1"/>
  <c r="M62" i="73"/>
  <c r="N62" i="73"/>
  <c r="E53" i="82"/>
  <c r="P46" i="72"/>
  <c r="P1765" i="97" s="1"/>
  <c r="J32" i="95"/>
  <c r="F40" i="74"/>
  <c r="P45" i="72"/>
  <c r="P1764" i="97" s="1"/>
  <c r="G371" i="73"/>
  <c r="F31" i="74"/>
  <c r="F1127" i="97" s="1"/>
  <c r="B15" i="74"/>
  <c r="N66" i="73"/>
  <c r="N65" i="73"/>
  <c r="I66" i="73"/>
  <c r="M43" i="73"/>
  <c r="I52" i="73"/>
  <c r="M45" i="73"/>
  <c r="L43" i="73"/>
  <c r="L51" i="73"/>
  <c r="L52" i="73"/>
  <c r="L50" i="73"/>
  <c r="L64" i="73"/>
  <c r="L65" i="73"/>
  <c r="L66" i="73"/>
  <c r="L49" i="73"/>
  <c r="L56" i="73"/>
  <c r="L59" i="73"/>
  <c r="L44" i="73"/>
  <c r="L57" i="73"/>
  <c r="L62" i="73"/>
  <c r="L42" i="73"/>
  <c r="L63" i="73"/>
  <c r="L58" i="73"/>
  <c r="L55" i="73"/>
  <c r="L41" i="73"/>
  <c r="L48" i="73"/>
  <c r="L45" i="73"/>
  <c r="H176" i="75"/>
  <c r="H1016" i="97" s="1"/>
  <c r="P1016" i="97" s="1"/>
  <c r="I64" i="73"/>
  <c r="L67" i="75"/>
  <c r="O67" i="75"/>
  <c r="M67" i="75"/>
  <c r="N67" i="75"/>
  <c r="N45" i="73"/>
  <c r="H52" i="73"/>
  <c r="M66" i="73"/>
  <c r="M49" i="73"/>
  <c r="M65" i="73"/>
  <c r="K67" i="73"/>
  <c r="H57" i="66"/>
  <c r="H81" i="97" s="1"/>
  <c r="H55" i="66"/>
  <c r="H79" i="97" s="1"/>
  <c r="M52" i="73"/>
  <c r="H66" i="73"/>
  <c r="I41" i="73"/>
  <c r="H41" i="73"/>
  <c r="N43" i="73"/>
  <c r="P65" i="75"/>
  <c r="E13" i="84"/>
  <c r="P64" i="66"/>
  <c r="G14" i="74"/>
  <c r="I43" i="73"/>
  <c r="H43" i="73"/>
  <c r="I42" i="73"/>
  <c r="H42" i="73"/>
  <c r="F46" i="73"/>
  <c r="I48" i="73"/>
  <c r="H48" i="73"/>
  <c r="F53" i="73"/>
  <c r="M41" i="73"/>
  <c r="K46" i="73"/>
  <c r="N41" i="73"/>
  <c r="K168" i="75"/>
  <c r="P168" i="75" s="1"/>
  <c r="P166" i="75"/>
  <c r="H50" i="73"/>
  <c r="I50" i="73"/>
  <c r="N50" i="73"/>
  <c r="N53" i="73" s="1"/>
  <c r="M50" i="73"/>
  <c r="K53" i="73"/>
  <c r="N59" i="73"/>
  <c r="M59" i="73"/>
  <c r="H65" i="73"/>
  <c r="F67" i="73"/>
  <c r="I65" i="73"/>
  <c r="G546" i="97" l="1"/>
  <c r="C552" i="97"/>
  <c r="H18" i="84"/>
  <c r="P176" i="75"/>
  <c r="H57" i="73"/>
  <c r="O342" i="72"/>
  <c r="H58" i="73"/>
  <c r="N56" i="73"/>
  <c r="N88" i="75"/>
  <c r="N79" i="75"/>
  <c r="N76" i="75"/>
  <c r="N70" i="75"/>
  <c r="N73" i="75"/>
  <c r="N82" i="75"/>
  <c r="N85" i="75"/>
  <c r="L70" i="75"/>
  <c r="L79" i="75"/>
  <c r="L76" i="75"/>
  <c r="L88" i="75"/>
  <c r="L82" i="75"/>
  <c r="L73" i="75"/>
  <c r="L85" i="75"/>
  <c r="M85" i="75"/>
  <c r="M73" i="75"/>
  <c r="M70" i="75"/>
  <c r="M88" i="75"/>
  <c r="M82" i="75"/>
  <c r="M76" i="75"/>
  <c r="M79" i="75"/>
  <c r="O76" i="75"/>
  <c r="O82" i="75"/>
  <c r="O73" i="75"/>
  <c r="O70" i="75"/>
  <c r="O88" i="75"/>
  <c r="O85" i="75"/>
  <c r="O79" i="75"/>
  <c r="F15" i="74"/>
  <c r="B1111" i="97"/>
  <c r="G10" i="86"/>
  <c r="F1136" i="97"/>
  <c r="N57" i="73"/>
  <c r="H64" i="66"/>
  <c r="M58" i="73"/>
  <c r="I1286" i="97"/>
  <c r="H59" i="73"/>
  <c r="N1286" i="97"/>
  <c r="K60" i="73"/>
  <c r="K69" i="73" s="1"/>
  <c r="P239" i="75"/>
  <c r="P56" i="66"/>
  <c r="P80" i="97" s="1"/>
  <c r="E109" i="78"/>
  <c r="I109" i="78" s="1"/>
  <c r="E612" i="97"/>
  <c r="I612" i="97" s="1"/>
  <c r="N55" i="73"/>
  <c r="I1299" i="97"/>
  <c r="H1299" i="97"/>
  <c r="I1298" i="97"/>
  <c r="H1298" i="97"/>
  <c r="N1296" i="97"/>
  <c r="M1296" i="97"/>
  <c r="P240" i="75"/>
  <c r="F60" i="73"/>
  <c r="F69" i="73" s="1"/>
  <c r="N1297" i="97"/>
  <c r="M1297" i="97"/>
  <c r="I1297" i="97"/>
  <c r="H1297" i="97"/>
  <c r="Q239" i="75"/>
  <c r="Q240" i="75" s="1"/>
  <c r="Q231" i="75" s="1"/>
  <c r="Q1071" i="97" s="1"/>
  <c r="I55" i="73"/>
  <c r="H56" i="73"/>
  <c r="I56" i="73"/>
  <c r="N1295" i="97"/>
  <c r="M1295" i="97"/>
  <c r="K1300" i="97"/>
  <c r="K1309" i="97" s="1"/>
  <c r="F1300" i="97"/>
  <c r="F1309" i="97" s="1"/>
  <c r="H1295" i="97"/>
  <c r="I1295" i="97"/>
  <c r="N1298" i="97"/>
  <c r="M1298" i="97"/>
  <c r="M670" i="97"/>
  <c r="M671" i="97" s="1"/>
  <c r="M673" i="97" s="1"/>
  <c r="H66" i="66"/>
  <c r="H90" i="97" s="1"/>
  <c r="H88" i="97"/>
  <c r="F48" i="78"/>
  <c r="K1812" i="97"/>
  <c r="O1812" i="97" s="1"/>
  <c r="L1812" i="97"/>
  <c r="P1812" i="97" s="1"/>
  <c r="F551" i="97"/>
  <c r="P670" i="97"/>
  <c r="P671" i="97" s="1"/>
  <c r="P673" i="97" s="1"/>
  <c r="F49" i="78"/>
  <c r="F552" i="97"/>
  <c r="P66" i="66"/>
  <c r="P88" i="97"/>
  <c r="J552" i="97"/>
  <c r="J670" i="97"/>
  <c r="J49" i="78"/>
  <c r="M43" i="72"/>
  <c r="G31" i="74"/>
  <c r="G1127" i="97" s="1"/>
  <c r="F53" i="82"/>
  <c r="G40" i="74"/>
  <c r="C15" i="74"/>
  <c r="C52" i="84"/>
  <c r="G52" i="84" s="1"/>
  <c r="D15" i="74"/>
  <c r="E15" i="74"/>
  <c r="N67" i="73"/>
  <c r="B16" i="74"/>
  <c r="I67" i="73"/>
  <c r="K171" i="75"/>
  <c r="L171" i="75"/>
  <c r="O171" i="75"/>
  <c r="N171" i="75"/>
  <c r="M171" i="75"/>
  <c r="P169" i="66"/>
  <c r="P193" i="97" s="1"/>
  <c r="P67" i="75"/>
  <c r="H7" i="84"/>
  <c r="E47" i="92" s="1"/>
  <c r="N46" i="73"/>
  <c r="P168" i="66"/>
  <c r="P192" i="97" s="1"/>
  <c r="L93" i="72"/>
  <c r="P167" i="66"/>
  <c r="P191" i="97" s="1"/>
  <c r="J93" i="72"/>
  <c r="K93" i="72"/>
  <c r="H16" i="85"/>
  <c r="D33" i="90"/>
  <c r="D55" i="92" s="1"/>
  <c r="I46" i="73"/>
  <c r="M167" i="78"/>
  <c r="M168" i="78" s="1"/>
  <c r="M170" i="78" s="1"/>
  <c r="J167" i="78"/>
  <c r="H14" i="74"/>
  <c r="G15" i="74"/>
  <c r="P167" i="78"/>
  <c r="P168" i="78" s="1"/>
  <c r="P170" i="78" s="1"/>
  <c r="I53" i="73"/>
  <c r="Q232" i="75" l="1"/>
  <c r="G53" i="82"/>
  <c r="J558" i="97"/>
  <c r="J649" i="97" s="1"/>
  <c r="J665" i="97" s="1"/>
  <c r="J667" i="97" s="1"/>
  <c r="J669" i="97" s="1"/>
  <c r="J671" i="97" s="1"/>
  <c r="J673" i="97" s="1"/>
  <c r="J674" i="97" s="1"/>
  <c r="J146" i="78"/>
  <c r="J162" i="78" s="1"/>
  <c r="J18" i="84"/>
  <c r="C40" i="84"/>
  <c r="E1111" i="97"/>
  <c r="F1111" i="97"/>
  <c r="C1111" i="97"/>
  <c r="D1111" i="97"/>
  <c r="G1111" i="97"/>
  <c r="Q1072" i="97"/>
  <c r="N1072" i="97"/>
  <c r="N232" i="75"/>
  <c r="N60" i="73"/>
  <c r="C66" i="84"/>
  <c r="E174" i="90"/>
  <c r="E175" i="90" s="1"/>
  <c r="Q227" i="75"/>
  <c r="N225" i="75" s="1"/>
  <c r="P88" i="75"/>
  <c r="P73" i="75"/>
  <c r="P76" i="75"/>
  <c r="P82" i="75"/>
  <c r="P79" i="75"/>
  <c r="P85" i="75"/>
  <c r="P70" i="75"/>
  <c r="S696" i="97"/>
  <c r="K220" i="72"/>
  <c r="L108" i="72"/>
  <c r="M1762" i="97"/>
  <c r="L330" i="72"/>
  <c r="L98" i="72"/>
  <c r="G16" i="74"/>
  <c r="G1112" i="97" s="1"/>
  <c r="B1112" i="97"/>
  <c r="H10" i="86"/>
  <c r="G1136" i="97"/>
  <c r="I60" i="73"/>
  <c r="N1300" i="97"/>
  <c r="M1309" i="97" s="1"/>
  <c r="B23" i="74"/>
  <c r="F23" i="74" s="1"/>
  <c r="F1119" i="97" s="1"/>
  <c r="I1300" i="97"/>
  <c r="H1309" i="97" s="1"/>
  <c r="P1303" i="97" s="1"/>
  <c r="P70" i="66"/>
  <c r="P48" i="78" s="1"/>
  <c r="P90" i="97"/>
  <c r="P94" i="97" s="1"/>
  <c r="F636" i="97"/>
  <c r="AE628" i="97"/>
  <c r="AE626" i="97"/>
  <c r="E1611" i="97"/>
  <c r="N1611" i="97" s="1"/>
  <c r="M1564" i="97"/>
  <c r="L1564" i="97" s="1"/>
  <c r="M1561" i="97"/>
  <c r="L1561" i="97" s="1"/>
  <c r="O1468" i="97"/>
  <c r="O2062" i="97"/>
  <c r="O2063" i="97" s="1"/>
  <c r="J2036" i="97"/>
  <c r="E558" i="97"/>
  <c r="O2056" i="97"/>
  <c r="O2057" i="97" s="1"/>
  <c r="H1940" i="97"/>
  <c r="AE625" i="97"/>
  <c r="J551" i="97"/>
  <c r="E590" i="97"/>
  <c r="AE629" i="97"/>
  <c r="AE627" i="97"/>
  <c r="AE630" i="97"/>
  <c r="J48" i="78"/>
  <c r="H31" i="74"/>
  <c r="J317" i="72"/>
  <c r="J318" i="72" s="1"/>
  <c r="J319" i="72" s="1"/>
  <c r="S193" i="78"/>
  <c r="M401" i="72"/>
  <c r="E371" i="73"/>
  <c r="N371" i="73" s="1"/>
  <c r="H40" i="74"/>
  <c r="L84" i="72"/>
  <c r="K52" i="84"/>
  <c r="I52" i="84"/>
  <c r="E52" i="84"/>
  <c r="B17" i="74"/>
  <c r="B22" i="74" s="1"/>
  <c r="D16" i="74"/>
  <c r="D1112" i="97" s="1"/>
  <c r="E16" i="74"/>
  <c r="E1112" i="97" s="1"/>
  <c r="C53" i="84"/>
  <c r="I53" i="84" s="1"/>
  <c r="I54" i="84" s="1"/>
  <c r="C16" i="74"/>
  <c r="C1112" i="97" s="1"/>
  <c r="F16" i="74"/>
  <c r="F1112" i="97" s="1"/>
  <c r="J49" i="75"/>
  <c r="J50" i="75"/>
  <c r="P93" i="72"/>
  <c r="O93" i="72"/>
  <c r="AE125" i="78"/>
  <c r="E55" i="78"/>
  <c r="K232" i="75"/>
  <c r="E87" i="78"/>
  <c r="K234" i="75"/>
  <c r="O343" i="72"/>
  <c r="O344" i="72" s="1"/>
  <c r="AE122" i="78"/>
  <c r="K233" i="75"/>
  <c r="AE127" i="78"/>
  <c r="O228" i="73"/>
  <c r="N90" i="66"/>
  <c r="N114" i="97" s="1"/>
  <c r="O337" i="72"/>
  <c r="O338" i="72" s="1"/>
  <c r="AE124" i="78"/>
  <c r="H221" i="72"/>
  <c r="M321" i="73"/>
  <c r="L321" i="73" s="1"/>
  <c r="F133" i="78"/>
  <c r="C13" i="84"/>
  <c r="N87" i="66"/>
  <c r="N111" i="97" s="1"/>
  <c r="AE123" i="78"/>
  <c r="D34" i="90"/>
  <c r="D35" i="90" s="1"/>
  <c r="I64" i="92" s="1"/>
  <c r="M324" i="73"/>
  <c r="L324" i="73" s="1"/>
  <c r="AE126" i="78"/>
  <c r="M69" i="73"/>
  <c r="E26" i="89"/>
  <c r="H69" i="73"/>
  <c r="P63" i="73" s="1"/>
  <c r="J682" i="97" s="1"/>
  <c r="I66" i="84"/>
  <c r="E66" i="84"/>
  <c r="K66" i="84"/>
  <c r="G66" i="84"/>
  <c r="H53" i="82"/>
  <c r="E23" i="74"/>
  <c r="E1119" i="97" s="1"/>
  <c r="I14" i="74"/>
  <c r="H16" i="74"/>
  <c r="H1112" i="97" s="1"/>
  <c r="H15" i="74"/>
  <c r="G17" i="74" l="1"/>
  <c r="G1113" i="97" s="1"/>
  <c r="I31" i="74"/>
  <c r="I1127" i="97" s="1"/>
  <c r="H1127" i="97"/>
  <c r="G558" i="97"/>
  <c r="F55" i="78"/>
  <c r="G146" i="78"/>
  <c r="G148" i="78" s="1"/>
  <c r="L468" i="97"/>
  <c r="L469" i="97" s="1"/>
  <c r="L35" i="68"/>
  <c r="B58" i="78"/>
  <c r="P57" i="78" s="1"/>
  <c r="J164" i="78"/>
  <c r="J166" i="78" s="1"/>
  <c r="J168" i="78" s="1"/>
  <c r="E3" i="86"/>
  <c r="B1118" i="97"/>
  <c r="Q217" i="75"/>
  <c r="G22" i="74"/>
  <c r="H1111" i="97"/>
  <c r="H23" i="74"/>
  <c r="H1119" i="97" s="1"/>
  <c r="B1119" i="97"/>
  <c r="P71" i="75"/>
  <c r="P72" i="75" s="1"/>
  <c r="L71" i="75"/>
  <c r="L72" i="75" s="1"/>
  <c r="M71" i="75"/>
  <c r="M72" i="75" s="1"/>
  <c r="K71" i="75"/>
  <c r="K72" i="75" s="1"/>
  <c r="O71" i="75"/>
  <c r="O72" i="75" s="1"/>
  <c r="N71" i="75"/>
  <c r="N72" i="75" s="1"/>
  <c r="N86" i="75"/>
  <c r="N87" i="75" s="1"/>
  <c r="P86" i="75"/>
  <c r="P87" i="75" s="1"/>
  <c r="L86" i="75"/>
  <c r="L87" i="75" s="1"/>
  <c r="O86" i="75"/>
  <c r="O87" i="75" s="1"/>
  <c r="K86" i="75"/>
  <c r="K87" i="75" s="1"/>
  <c r="M86" i="75"/>
  <c r="M87" i="75" s="1"/>
  <c r="P74" i="75"/>
  <c r="P75" i="75" s="1"/>
  <c r="L74" i="75"/>
  <c r="L75" i="75" s="1"/>
  <c r="M74" i="75"/>
  <c r="M75" i="75" s="1"/>
  <c r="K74" i="75"/>
  <c r="K75" i="75" s="1"/>
  <c r="O74" i="75"/>
  <c r="O75" i="75" s="1"/>
  <c r="N74" i="75"/>
  <c r="N75" i="75" s="1"/>
  <c r="L1803" i="97"/>
  <c r="L1817" i="97"/>
  <c r="L1827" i="97"/>
  <c r="M2120" i="97"/>
  <c r="P77" i="75"/>
  <c r="P78" i="75" s="1"/>
  <c r="O77" i="75"/>
  <c r="O78" i="75" s="1"/>
  <c r="L77" i="75"/>
  <c r="L78" i="75" s="1"/>
  <c r="K77" i="75"/>
  <c r="K78" i="75" s="1"/>
  <c r="N77" i="75"/>
  <c r="N78" i="75" s="1"/>
  <c r="M77" i="75"/>
  <c r="M78" i="75" s="1"/>
  <c r="P80" i="75"/>
  <c r="P81" i="75" s="1"/>
  <c r="O80" i="75"/>
  <c r="O81" i="75" s="1"/>
  <c r="L80" i="75"/>
  <c r="L81" i="75" s="1"/>
  <c r="M80" i="75"/>
  <c r="M81" i="75" s="1"/>
  <c r="K80" i="75"/>
  <c r="K81" i="75" s="1"/>
  <c r="N80" i="75"/>
  <c r="N81" i="75" s="1"/>
  <c r="P89" i="75"/>
  <c r="P90" i="75" s="1"/>
  <c r="K89" i="75"/>
  <c r="K90" i="75" s="1"/>
  <c r="N89" i="75"/>
  <c r="N90" i="75" s="1"/>
  <c r="M89" i="75"/>
  <c r="M90" i="75" s="1"/>
  <c r="L89" i="75"/>
  <c r="L90" i="75" s="1"/>
  <c r="O89" i="75"/>
  <c r="O90" i="75" s="1"/>
  <c r="P83" i="75"/>
  <c r="P84" i="75" s="1"/>
  <c r="K83" i="75"/>
  <c r="K84" i="75" s="1"/>
  <c r="O83" i="75"/>
  <c r="O84" i="75" s="1"/>
  <c r="M83" i="75"/>
  <c r="M84" i="75" s="1"/>
  <c r="L83" i="75"/>
  <c r="L84" i="75" s="1"/>
  <c r="N83" i="75"/>
  <c r="N84" i="75" s="1"/>
  <c r="B20" i="74"/>
  <c r="B1116" i="97" s="1"/>
  <c r="B1113" i="97"/>
  <c r="I10" i="86"/>
  <c r="H1136" i="97"/>
  <c r="I23" i="74"/>
  <c r="I1119" i="97" s="1"/>
  <c r="C23" i="74"/>
  <c r="C1119" i="97" s="1"/>
  <c r="C13" i="86"/>
  <c r="D23" i="74"/>
  <c r="D1119" i="97" s="1"/>
  <c r="G23" i="74"/>
  <c r="G1119" i="97" s="1"/>
  <c r="AF625" i="97"/>
  <c r="M2037" i="97"/>
  <c r="J2037" i="97"/>
  <c r="J2038" i="97" s="1"/>
  <c r="AF628" i="97"/>
  <c r="P551" i="97"/>
  <c r="K13" i="84"/>
  <c r="M318" i="72"/>
  <c r="M319" i="72" s="1"/>
  <c r="G54" i="78"/>
  <c r="F52" i="89"/>
  <c r="A9" i="83"/>
  <c r="I56" i="84"/>
  <c r="I64" i="84" s="1"/>
  <c r="I40" i="74"/>
  <c r="C17" i="74"/>
  <c r="C1113" i="97" s="1"/>
  <c r="C54" i="84"/>
  <c r="C56" i="84" s="1"/>
  <c r="C64" i="84" s="1"/>
  <c r="K6" i="74"/>
  <c r="L4" i="95"/>
  <c r="K8" i="74"/>
  <c r="J4" i="91"/>
  <c r="D17" i="74"/>
  <c r="D1113" i="97" s="1"/>
  <c r="K53" i="84"/>
  <c r="K54" i="84" s="1"/>
  <c r="K56" i="84" s="1"/>
  <c r="K64" i="84" s="1"/>
  <c r="G53" i="84"/>
  <c r="G54" i="84" s="1"/>
  <c r="E17" i="74"/>
  <c r="E1113" i="97" s="1"/>
  <c r="E53" i="84"/>
  <c r="E54" i="84" s="1"/>
  <c r="E56" i="84" s="1"/>
  <c r="E64" i="84" s="1"/>
  <c r="O92" i="72"/>
  <c r="O1811" i="97" s="1"/>
  <c r="F17" i="74"/>
  <c r="F1113" i="97" s="1"/>
  <c r="P92" i="72"/>
  <c r="P1811" i="97" s="1"/>
  <c r="AF125" i="78"/>
  <c r="H19" i="84"/>
  <c r="AF122" i="78"/>
  <c r="D17" i="83"/>
  <c r="F16" i="85"/>
  <c r="J179" i="78"/>
  <c r="G20" i="74"/>
  <c r="G1116" i="97" s="1"/>
  <c r="D13" i="86"/>
  <c r="H17" i="74"/>
  <c r="H1113" i="97" s="1"/>
  <c r="I53" i="82"/>
  <c r="J31" i="74"/>
  <c r="J1127" i="97" s="1"/>
  <c r="J14" i="74"/>
  <c r="I16" i="74"/>
  <c r="I1112" i="97" s="1"/>
  <c r="I15" i="74"/>
  <c r="F13" i="86"/>
  <c r="G13" i="86"/>
  <c r="H13" i="86" l="1"/>
  <c r="I13" i="86"/>
  <c r="C33" i="86"/>
  <c r="J170" i="78"/>
  <c r="J171" i="78" s="1"/>
  <c r="G15" i="82"/>
  <c r="G19" i="82" s="1"/>
  <c r="F58" i="78"/>
  <c r="J58" i="78"/>
  <c r="F57" i="78"/>
  <c r="J57" i="78"/>
  <c r="I495" i="97"/>
  <c r="P45" i="73"/>
  <c r="I61" i="68"/>
  <c r="P1288" i="97"/>
  <c r="P48" i="73"/>
  <c r="P1285" i="97"/>
  <c r="J176" i="78"/>
  <c r="J178" i="78" s="1"/>
  <c r="M178" i="78" s="1"/>
  <c r="B4" i="82"/>
  <c r="C18" i="84"/>
  <c r="D148" i="78"/>
  <c r="F558" i="97"/>
  <c r="G649" i="97"/>
  <c r="B561" i="97"/>
  <c r="G55" i="86"/>
  <c r="H15" i="86"/>
  <c r="F35" i="86"/>
  <c r="H55" i="86"/>
  <c r="G35" i="86"/>
  <c r="E15" i="86"/>
  <c r="G15" i="86"/>
  <c r="C35" i="86"/>
  <c r="O17" i="86"/>
  <c r="E55" i="86"/>
  <c r="E35" i="86"/>
  <c r="F55" i="86"/>
  <c r="D15" i="86"/>
  <c r="D55" i="86"/>
  <c r="I35" i="86"/>
  <c r="C55" i="86"/>
  <c r="I15" i="86"/>
  <c r="C15" i="86"/>
  <c r="D35" i="86"/>
  <c r="O16" i="86"/>
  <c r="F15" i="86"/>
  <c r="H35" i="86"/>
  <c r="G557" i="97"/>
  <c r="H22" i="74"/>
  <c r="H1118" i="97" s="1"/>
  <c r="G1118" i="97"/>
  <c r="F22" i="74"/>
  <c r="E22" i="74"/>
  <c r="Q1057" i="97"/>
  <c r="C68" i="84"/>
  <c r="C70" i="84" s="1"/>
  <c r="Q225" i="75"/>
  <c r="O218" i="75"/>
  <c r="O219" i="75"/>
  <c r="I1111" i="97"/>
  <c r="D22" i="74"/>
  <c r="C22" i="74"/>
  <c r="C20" i="74"/>
  <c r="C1116" i="97" s="1"/>
  <c r="E13" i="86"/>
  <c r="C30" i="86"/>
  <c r="I1136" i="97"/>
  <c r="C20" i="84"/>
  <c r="H20" i="84"/>
  <c r="J40" i="74"/>
  <c r="E127" i="78"/>
  <c r="A127" i="78" s="1"/>
  <c r="O84" i="72"/>
  <c r="O1803" i="97" s="1"/>
  <c r="E20" i="74"/>
  <c r="E1116" i="97" s="1"/>
  <c r="D20" i="74"/>
  <c r="D1116" i="97" s="1"/>
  <c r="G56" i="84"/>
  <c r="G64" i="84" s="1"/>
  <c r="F20" i="74"/>
  <c r="F1116" i="97" s="1"/>
  <c r="P84" i="72"/>
  <c r="P1803" i="97" s="1"/>
  <c r="P2120" i="97" s="1"/>
  <c r="P1725" i="97" s="1"/>
  <c r="J182" i="78"/>
  <c r="J685" i="97" s="1"/>
  <c r="K31" i="74"/>
  <c r="K1127" i="97" s="1"/>
  <c r="J53" i="82"/>
  <c r="K14" i="74"/>
  <c r="J15" i="74"/>
  <c r="J16" i="74"/>
  <c r="J1112" i="97" s="1"/>
  <c r="J23" i="74"/>
  <c r="J1119" i="97" s="1"/>
  <c r="I17" i="74"/>
  <c r="I1113" i="97" s="1"/>
  <c r="H20" i="74"/>
  <c r="H1116" i="97" s="1"/>
  <c r="O19" i="86" l="1"/>
  <c r="O23" i="86" s="1"/>
  <c r="O25" i="86" s="1"/>
  <c r="O31" i="86" s="1"/>
  <c r="D18" i="84"/>
  <c r="K40" i="84"/>
  <c r="C38" i="84"/>
  <c r="C19" i="84"/>
  <c r="J679" i="97"/>
  <c r="J681" i="97" s="1"/>
  <c r="M681" i="97" s="1"/>
  <c r="D651" i="97"/>
  <c r="G651" i="97"/>
  <c r="J561" i="97"/>
  <c r="F560" i="97"/>
  <c r="F561" i="97"/>
  <c r="J560" i="97"/>
  <c r="P560" i="97"/>
  <c r="P485" i="97"/>
  <c r="P486" i="97"/>
  <c r="P51" i="68"/>
  <c r="P52" i="68"/>
  <c r="C72" i="84"/>
  <c r="C76" i="84"/>
  <c r="C73" i="84" s="1"/>
  <c r="J1111" i="97"/>
  <c r="E1118" i="97"/>
  <c r="I22" i="74"/>
  <c r="F634" i="97"/>
  <c r="F633" i="97"/>
  <c r="F131" i="78"/>
  <c r="F130" i="78"/>
  <c r="B21" i="74"/>
  <c r="Q244" i="75"/>
  <c r="P226" i="75"/>
  <c r="F1118" i="97"/>
  <c r="O1059" i="97"/>
  <c r="O1058" i="97"/>
  <c r="Q1065" i="97"/>
  <c r="C1118" i="97"/>
  <c r="D1118" i="97"/>
  <c r="K68" i="84"/>
  <c r="K70" i="84" s="1"/>
  <c r="I68" i="84"/>
  <c r="I70" i="84" s="1"/>
  <c r="E68" i="84"/>
  <c r="E70" i="84" s="1"/>
  <c r="G68" i="84"/>
  <c r="G70" i="84" s="1"/>
  <c r="D30" i="86"/>
  <c r="J1136" i="97"/>
  <c r="K40" i="74"/>
  <c r="I20" i="74"/>
  <c r="I1116" i="97" s="1"/>
  <c r="B46" i="74"/>
  <c r="K15" i="74"/>
  <c r="K16" i="74"/>
  <c r="K1112" i="97" s="1"/>
  <c r="K21" i="74"/>
  <c r="K23" i="74"/>
  <c r="K1119" i="97" s="1"/>
  <c r="D33" i="86"/>
  <c r="B63" i="74"/>
  <c r="B1159" i="97" s="1"/>
  <c r="K53" i="82"/>
  <c r="J17" i="74"/>
  <c r="J1113" i="97" s="1"/>
  <c r="P487" i="97" l="1"/>
  <c r="P53" i="68"/>
  <c r="G76" i="84"/>
  <c r="G73" i="84" s="1"/>
  <c r="G72" i="84"/>
  <c r="K72" i="84"/>
  <c r="K76" i="84"/>
  <c r="K73" i="84" s="1"/>
  <c r="E76" i="84"/>
  <c r="E73" i="84" s="1"/>
  <c r="E72" i="84"/>
  <c r="B1117" i="97"/>
  <c r="D21" i="74"/>
  <c r="F21" i="74"/>
  <c r="C21" i="74"/>
  <c r="E21" i="74"/>
  <c r="G21" i="74"/>
  <c r="H21" i="74"/>
  <c r="I21" i="74"/>
  <c r="I1117" i="97" s="1"/>
  <c r="B39" i="74"/>
  <c r="B1135" i="97" s="1"/>
  <c r="B25" i="74"/>
  <c r="J21" i="74"/>
  <c r="J1117" i="97" s="1"/>
  <c r="J22" i="74"/>
  <c r="K1111" i="97"/>
  <c r="I76" i="84"/>
  <c r="I73" i="84" s="1"/>
  <c r="I72" i="84"/>
  <c r="P1066" i="97"/>
  <c r="Q1084" i="97"/>
  <c r="I1118" i="97"/>
  <c r="K1117" i="97"/>
  <c r="E30" i="86"/>
  <c r="K1136" i="97"/>
  <c r="B72" i="74"/>
  <c r="J20" i="74"/>
  <c r="J1116" i="97" s="1"/>
  <c r="K17" i="74"/>
  <c r="K1113" i="97" s="1"/>
  <c r="C46" i="74"/>
  <c r="B48" i="74"/>
  <c r="B1144" i="97" s="1"/>
  <c r="B47" i="74"/>
  <c r="B53" i="74"/>
  <c r="B55" i="74"/>
  <c r="B1151" i="97" s="1"/>
  <c r="C63" i="74"/>
  <c r="C1159" i="97" s="1"/>
  <c r="B73" i="82"/>
  <c r="E33" i="86"/>
  <c r="I39" i="74" l="1"/>
  <c r="I1135" i="97" s="1"/>
  <c r="K22" i="74"/>
  <c r="K1118" i="97" s="1"/>
  <c r="I25" i="74"/>
  <c r="I38" i="74" s="1"/>
  <c r="I1134" i="97" s="1"/>
  <c r="B1121" i="97"/>
  <c r="B34" i="74"/>
  <c r="B1130" i="97" s="1"/>
  <c r="B44" i="82"/>
  <c r="B38" i="74"/>
  <c r="B1134" i="97" s="1"/>
  <c r="E1117" i="97"/>
  <c r="E25" i="74"/>
  <c r="E39" i="74"/>
  <c r="E1135" i="97" s="1"/>
  <c r="K39" i="74"/>
  <c r="K1135" i="97" s="1"/>
  <c r="G1117" i="97"/>
  <c r="G25" i="74"/>
  <c r="G39" i="74"/>
  <c r="G1135" i="97" s="1"/>
  <c r="J1118" i="97"/>
  <c r="J39" i="74"/>
  <c r="J1135" i="97" s="1"/>
  <c r="C1117" i="97"/>
  <c r="C25" i="74"/>
  <c r="C39" i="74"/>
  <c r="C1135" i="97" s="1"/>
  <c r="D1117" i="97"/>
  <c r="D25" i="74"/>
  <c r="D39" i="74"/>
  <c r="D1135" i="97" s="1"/>
  <c r="B1143" i="97"/>
  <c r="H1117" i="97"/>
  <c r="H39" i="74"/>
  <c r="H1135" i="97" s="1"/>
  <c r="H25" i="74"/>
  <c r="F1117" i="97"/>
  <c r="F39" i="74"/>
  <c r="F1135" i="97" s="1"/>
  <c r="F25" i="74"/>
  <c r="B1149" i="97"/>
  <c r="I1121" i="97"/>
  <c r="I34" i="74"/>
  <c r="I1130" i="97" s="1"/>
  <c r="F30" i="86"/>
  <c r="B1168" i="97"/>
  <c r="C72" i="74"/>
  <c r="J25" i="74"/>
  <c r="C73" i="82"/>
  <c r="D63" i="74"/>
  <c r="D1159" i="97" s="1"/>
  <c r="C48" i="74"/>
  <c r="C1144" i="97" s="1"/>
  <c r="D46" i="74"/>
  <c r="C47" i="74"/>
  <c r="C53" i="74"/>
  <c r="C55" i="74"/>
  <c r="C1151" i="97" s="1"/>
  <c r="B49" i="74"/>
  <c r="B1145" i="97" s="1"/>
  <c r="F33" i="86"/>
  <c r="K20" i="74"/>
  <c r="K1116" i="97" s="1"/>
  <c r="I44" i="82" l="1"/>
  <c r="I51" i="82" s="1"/>
  <c r="F1121" i="97"/>
  <c r="F38" i="74"/>
  <c r="F1134" i="97" s="1"/>
  <c r="F34" i="74"/>
  <c r="F1130" i="97" s="1"/>
  <c r="F44" i="82"/>
  <c r="D44" i="82"/>
  <c r="D1121" i="97"/>
  <c r="D38" i="74"/>
  <c r="D1134" i="97" s="1"/>
  <c r="D34" i="74"/>
  <c r="D1130" i="97" s="1"/>
  <c r="E34" i="74"/>
  <c r="E1130" i="97" s="1"/>
  <c r="E38" i="74"/>
  <c r="E1134" i="97" s="1"/>
  <c r="E1121" i="97"/>
  <c r="E44" i="82"/>
  <c r="B54" i="74"/>
  <c r="C1121" i="97"/>
  <c r="C38" i="74"/>
  <c r="C1134" i="97" s="1"/>
  <c r="C34" i="74"/>
  <c r="C1130" i="97" s="1"/>
  <c r="C44" i="82"/>
  <c r="C1143" i="97"/>
  <c r="G44" i="82"/>
  <c r="G1121" i="97"/>
  <c r="G38" i="74"/>
  <c r="G1134" i="97" s="1"/>
  <c r="G34" i="74"/>
  <c r="G1130" i="97" s="1"/>
  <c r="B51" i="82"/>
  <c r="B46" i="82"/>
  <c r="H38" i="74"/>
  <c r="H1134" i="97" s="1"/>
  <c r="H1121" i="97"/>
  <c r="H44" i="82"/>
  <c r="H34" i="74"/>
  <c r="H1130" i="97" s="1"/>
  <c r="C1149" i="97"/>
  <c r="J1121" i="97"/>
  <c r="J34" i="74"/>
  <c r="J1130" i="97" s="1"/>
  <c r="J38" i="74"/>
  <c r="J1134" i="97" s="1"/>
  <c r="G30" i="86"/>
  <c r="C1168" i="97"/>
  <c r="D72" i="74"/>
  <c r="I46" i="82"/>
  <c r="J44" i="82"/>
  <c r="J46" i="82" s="1"/>
  <c r="E46" i="74"/>
  <c r="D48" i="74"/>
  <c r="D1144" i="97" s="1"/>
  <c r="D47" i="74"/>
  <c r="D53" i="74"/>
  <c r="D55" i="74"/>
  <c r="D1151" i="97" s="1"/>
  <c r="E63" i="74"/>
  <c r="E1159" i="97" s="1"/>
  <c r="D73" i="82"/>
  <c r="G33" i="86"/>
  <c r="K25" i="74"/>
  <c r="B52" i="74"/>
  <c r="B1148" i="97" s="1"/>
  <c r="C49" i="74"/>
  <c r="C1145" i="97" s="1"/>
  <c r="H51" i="82" l="1"/>
  <c r="H46" i="82"/>
  <c r="G51" i="82"/>
  <c r="G46" i="82"/>
  <c r="B1150" i="97"/>
  <c r="B71" i="74"/>
  <c r="B1167" i="97" s="1"/>
  <c r="E46" i="82"/>
  <c r="E51" i="82"/>
  <c r="C46" i="82"/>
  <c r="C51" i="82"/>
  <c r="D46" i="82"/>
  <c r="D51" i="82"/>
  <c r="D1143" i="97"/>
  <c r="C54" i="74"/>
  <c r="F51" i="82"/>
  <c r="F46" i="82"/>
  <c r="D1149" i="97"/>
  <c r="K1121" i="97"/>
  <c r="K34" i="74"/>
  <c r="K1130" i="97" s="1"/>
  <c r="K38" i="74"/>
  <c r="K1134" i="97" s="1"/>
  <c r="H30" i="86"/>
  <c r="D1168" i="97"/>
  <c r="E72" i="74"/>
  <c r="J51" i="82"/>
  <c r="C52" i="74"/>
  <c r="C1148" i="97" s="1"/>
  <c r="E73" i="82"/>
  <c r="F63" i="74"/>
  <c r="F1159" i="97" s="1"/>
  <c r="D49" i="74"/>
  <c r="D1145" i="97" s="1"/>
  <c r="B57" i="74"/>
  <c r="K44" i="82"/>
  <c r="E47" i="74"/>
  <c r="F46" i="74"/>
  <c r="E48" i="74"/>
  <c r="E1144" i="97" s="1"/>
  <c r="E53" i="74"/>
  <c r="E55" i="74"/>
  <c r="E1151" i="97" s="1"/>
  <c r="H33" i="86"/>
  <c r="C1150" i="97" l="1"/>
  <c r="C71" i="74"/>
  <c r="C1167" i="97" s="1"/>
  <c r="E1143" i="97"/>
  <c r="D54" i="74"/>
  <c r="E1149" i="97"/>
  <c r="B1153" i="97"/>
  <c r="B70" i="74"/>
  <c r="B1166" i="97" s="1"/>
  <c r="B66" i="74"/>
  <c r="B1162" i="97" s="1"/>
  <c r="I30" i="86"/>
  <c r="E1168" i="97"/>
  <c r="F72" i="74"/>
  <c r="C57" i="74"/>
  <c r="D52" i="74"/>
  <c r="D1148" i="97" s="1"/>
  <c r="F48" i="74"/>
  <c r="F1144" i="97" s="1"/>
  <c r="F47" i="74"/>
  <c r="G46" i="74"/>
  <c r="F53" i="74"/>
  <c r="F55" i="74"/>
  <c r="F1151" i="97" s="1"/>
  <c r="E49" i="74"/>
  <c r="E1145" i="97" s="1"/>
  <c r="F73" i="82"/>
  <c r="G63" i="74"/>
  <c r="G1159" i="97" s="1"/>
  <c r="K51" i="82"/>
  <c r="K46" i="82"/>
  <c r="B25" i="82" s="1"/>
  <c r="I33" i="86"/>
  <c r="B64" i="82"/>
  <c r="F1143" i="97" l="1"/>
  <c r="D1150" i="97"/>
  <c r="D71" i="74"/>
  <c r="D1167" i="97" s="1"/>
  <c r="E54" i="74"/>
  <c r="F1149" i="97"/>
  <c r="C1153" i="97"/>
  <c r="C66" i="74"/>
  <c r="C1162" i="97" s="1"/>
  <c r="C70" i="74"/>
  <c r="C1166" i="97" s="1"/>
  <c r="C50" i="86"/>
  <c r="F1168" i="97"/>
  <c r="G72" i="74"/>
  <c r="C64" i="82"/>
  <c r="C66" i="82" s="1"/>
  <c r="E52" i="74"/>
  <c r="E1148" i="97"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F49" i="74"/>
  <c r="F1145" i="97" s="1"/>
  <c r="H63" i="74"/>
  <c r="H1159" i="97" s="1"/>
  <c r="G73" i="82"/>
  <c r="B66" i="82"/>
  <c r="B71" i="82"/>
  <c r="C53" i="86"/>
  <c r="D57" i="74"/>
  <c r="G48" i="74"/>
  <c r="G1144" i="97" s="1"/>
  <c r="H46" i="74"/>
  <c r="G47" i="74"/>
  <c r="G53" i="74"/>
  <c r="G55" i="74"/>
  <c r="G1151" i="97" s="1"/>
  <c r="G1143" i="97" l="1"/>
  <c r="F54" i="74"/>
  <c r="E1150" i="97"/>
  <c r="E71" i="74"/>
  <c r="E1167" i="97" s="1"/>
  <c r="G1149" i="97"/>
  <c r="D1153" i="97"/>
  <c r="D66" i="74"/>
  <c r="D1162" i="97" s="1"/>
  <c r="D70" i="74"/>
  <c r="D1166" i="97" s="1"/>
  <c r="D50" i="86"/>
  <c r="G1168" i="97"/>
  <c r="H72" i="74"/>
  <c r="C71" i="82"/>
  <c r="C74" i="82" s="1"/>
  <c r="C75" i="82" s="1"/>
  <c r="C76" i="82" s="1"/>
  <c r="E57" i="74"/>
  <c r="B74" i="82"/>
  <c r="B75" i="82" s="1"/>
  <c r="B55" i="82"/>
  <c r="B56"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63" i="74"/>
  <c r="I1159" i="97" s="1"/>
  <c r="K55" i="82"/>
  <c r="K56" i="82" s="1"/>
  <c r="I55" i="82"/>
  <c r="I56" i="82" s="1"/>
  <c r="G55" i="82"/>
  <c r="G56" i="82" s="1"/>
  <c r="H47" i="74"/>
  <c r="H48" i="74"/>
  <c r="H1144" i="97" s="1"/>
  <c r="I46" i="74"/>
  <c r="H53" i="74"/>
  <c r="H55" i="74"/>
  <c r="H1151" i="97" s="1"/>
  <c r="D53" i="86"/>
  <c r="F52" i="74"/>
  <c r="F1148" i="97" s="1"/>
  <c r="F55" i="82"/>
  <c r="F56" i="82" s="1"/>
  <c r="D55" i="82"/>
  <c r="D56" i="82" s="1"/>
  <c r="H55" i="82"/>
  <c r="H56" i="82" s="1"/>
  <c r="C55" i="82"/>
  <c r="C56" i="82" s="1"/>
  <c r="E55" i="82"/>
  <c r="E56" i="82" s="1"/>
  <c r="G49" i="74"/>
  <c r="G1145" i="97" s="1"/>
  <c r="D64" i="82"/>
  <c r="F1150" i="97" l="1"/>
  <c r="F71" i="74"/>
  <c r="F1167" i="97" s="1"/>
  <c r="G54" i="74"/>
  <c r="H1143" i="97"/>
  <c r="H1149" i="97"/>
  <c r="E1153" i="97"/>
  <c r="E70" i="74"/>
  <c r="E1166" i="97" s="1"/>
  <c r="E66" i="74"/>
  <c r="E1162" i="97" s="1"/>
  <c r="E50" i="86"/>
  <c r="H1168" i="97"/>
  <c r="D57" i="86"/>
  <c r="D58" i="86" s="1"/>
  <c r="D60" i="86" s="1"/>
  <c r="D64" i="86" s="1"/>
  <c r="K21" i="86" s="1"/>
  <c r="I72" i="74"/>
  <c r="E64" i="82"/>
  <c r="E71" i="82" s="1"/>
  <c r="E74" i="82" s="1"/>
  <c r="B76" i="82"/>
  <c r="E53" i="86"/>
  <c r="E57" i="86" s="1"/>
  <c r="E58" i="86" s="1"/>
  <c r="E60" i="86" s="1"/>
  <c r="E64" i="86" s="1"/>
  <c r="K22" i="86" s="1"/>
  <c r="J46" i="74"/>
  <c r="I47" i="74"/>
  <c r="I48" i="74"/>
  <c r="I1144" i="97" s="1"/>
  <c r="I53" i="74"/>
  <c r="I55" i="74"/>
  <c r="I1151" i="97" s="1"/>
  <c r="D71" i="82"/>
  <c r="D74" i="82" s="1"/>
  <c r="D66" i="82"/>
  <c r="B29" i="82"/>
  <c r="G52" i="74"/>
  <c r="G1148" i="97" s="1"/>
  <c r="H49" i="74"/>
  <c r="H1145" i="97" s="1"/>
  <c r="J63" i="74"/>
  <c r="J1159" i="97" s="1"/>
  <c r="I73" i="82"/>
  <c r="F57" i="74"/>
  <c r="G1150" i="97" l="1"/>
  <c r="G71" i="74"/>
  <c r="G1167" i="97" s="1"/>
  <c r="I1143" i="97"/>
  <c r="H54" i="74"/>
  <c r="I1149" i="97"/>
  <c r="F1153" i="97"/>
  <c r="F66" i="74"/>
  <c r="F1162" i="97" s="1"/>
  <c r="F70" i="74"/>
  <c r="F1166" i="97" s="1"/>
  <c r="F50" i="86"/>
  <c r="I1168" i="97"/>
  <c r="J72" i="74"/>
  <c r="E66" i="82"/>
  <c r="J48" i="74"/>
  <c r="J1144" i="97" s="1"/>
  <c r="K46" i="74"/>
  <c r="J47" i="74"/>
  <c r="J53" i="74"/>
  <c r="J55" i="74"/>
  <c r="J1151" i="97" s="1"/>
  <c r="G57" i="74"/>
  <c r="F64" i="82"/>
  <c r="I49" i="74"/>
  <c r="I1145" i="97" s="1"/>
  <c r="J73" i="82"/>
  <c r="K63" i="74"/>
  <c r="K1159" i="97" s="1"/>
  <c r="D75" i="82"/>
  <c r="D76" i="82" s="1"/>
  <c r="E75" i="82"/>
  <c r="E76" i="82" s="1"/>
  <c r="H52" i="74"/>
  <c r="H1148" i="97" s="1"/>
  <c r="F53" i="86"/>
  <c r="F57" i="86" s="1"/>
  <c r="F58" i="86" s="1"/>
  <c r="F60" i="86" s="1"/>
  <c r="F64" i="86" s="1"/>
  <c r="K23" i="86" s="1"/>
  <c r="I54" i="74" l="1"/>
  <c r="J1143" i="97"/>
  <c r="H1150" i="97"/>
  <c r="H71" i="74"/>
  <c r="H1167" i="97" s="1"/>
  <c r="J1149" i="97"/>
  <c r="G1153" i="97"/>
  <c r="G66" i="74"/>
  <c r="G1162" i="97" s="1"/>
  <c r="G70" i="74"/>
  <c r="G1166" i="97" s="1"/>
  <c r="G50" i="86"/>
  <c r="J1168" i="97"/>
  <c r="K72" i="74"/>
  <c r="K1168" i="97" s="1"/>
  <c r="I52" i="74"/>
  <c r="I1148" i="97" s="1"/>
  <c r="F66" i="82"/>
  <c r="F71" i="82"/>
  <c r="F74" i="82" s="1"/>
  <c r="G53" i="86"/>
  <c r="G57" i="86" s="1"/>
  <c r="G58" i="86" s="1"/>
  <c r="G60" i="86" s="1"/>
  <c r="G64" i="86" s="1"/>
  <c r="K24" i="86" s="1"/>
  <c r="G64" i="82"/>
  <c r="G65" i="74"/>
  <c r="G1161" i="97" s="1"/>
  <c r="J49" i="74"/>
  <c r="J1145" i="97" s="1"/>
  <c r="K73" i="82"/>
  <c r="B95" i="74"/>
  <c r="B1191" i="97" s="1"/>
  <c r="B78" i="74"/>
  <c r="K47" i="74"/>
  <c r="K48" i="74"/>
  <c r="K1144" i="97" s="1"/>
  <c r="K53" i="74"/>
  <c r="K55" i="74"/>
  <c r="K1151" i="97" s="1"/>
  <c r="H57" i="74"/>
  <c r="K1143" i="97" l="1"/>
  <c r="J54" i="74"/>
  <c r="I1150" i="97"/>
  <c r="I71" i="74"/>
  <c r="I1167" i="97" s="1"/>
  <c r="K1149" i="97"/>
  <c r="H1153" i="97"/>
  <c r="H66" i="74"/>
  <c r="H1162" i="97" s="1"/>
  <c r="H70" i="74"/>
  <c r="H1166" i="97" s="1"/>
  <c r="B103" i="74"/>
  <c r="B1199" i="97" s="1"/>
  <c r="L100" i="85"/>
  <c r="O8" i="86"/>
  <c r="O14" i="86" s="1"/>
  <c r="O33" i="86" s="1"/>
  <c r="H63" i="86" s="1"/>
  <c r="L70" i="85"/>
  <c r="H50" i="86"/>
  <c r="I57" i="74"/>
  <c r="J52" i="74"/>
  <c r="J1148" i="97" s="1"/>
  <c r="F75" i="82"/>
  <c r="F76" i="82" s="1"/>
  <c r="B79" i="74"/>
  <c r="B80" i="74"/>
  <c r="B1176" i="97" s="1"/>
  <c r="C78" i="74"/>
  <c r="B85" i="74"/>
  <c r="B87" i="74"/>
  <c r="B1183" i="97" s="1"/>
  <c r="H64" i="82"/>
  <c r="H65" i="74"/>
  <c r="H1161" i="97" s="1"/>
  <c r="H53" i="86"/>
  <c r="G66" i="82"/>
  <c r="G71" i="82"/>
  <c r="G74" i="82" s="1"/>
  <c r="K49" i="74"/>
  <c r="K1145" i="97" s="1"/>
  <c r="C95" i="74"/>
  <c r="C1191" i="97" s="1"/>
  <c r="J1150" i="97" l="1"/>
  <c r="J71" i="74"/>
  <c r="J1167" i="97" s="1"/>
  <c r="B1175" i="97"/>
  <c r="K54" i="74"/>
  <c r="B1181" i="97"/>
  <c r="I1153" i="97"/>
  <c r="I70" i="74"/>
  <c r="I1166" i="97" s="1"/>
  <c r="I66" i="74"/>
  <c r="I1162" i="97" s="1"/>
  <c r="H57" i="86"/>
  <c r="H58" i="86" s="1"/>
  <c r="H60" i="86" s="1"/>
  <c r="H64" i="86" s="1"/>
  <c r="K25" i="86" s="1"/>
  <c r="C86" i="90"/>
  <c r="F60" i="89"/>
  <c r="C103" i="74"/>
  <c r="C1199" i="97" s="1"/>
  <c r="I65" i="74"/>
  <c r="I1161" i="97" s="1"/>
  <c r="J57" i="74"/>
  <c r="I64" i="82"/>
  <c r="I66" i="82" s="1"/>
  <c r="K52" i="74"/>
  <c r="K1148" i="97" s="1"/>
  <c r="B81" i="74"/>
  <c r="B1177" i="97" s="1"/>
  <c r="D95" i="74"/>
  <c r="D1191" i="97" s="1"/>
  <c r="H66" i="82"/>
  <c r="H71" i="82"/>
  <c r="H74" i="82" s="1"/>
  <c r="C79" i="74"/>
  <c r="D78" i="74"/>
  <c r="C80" i="74"/>
  <c r="C1176" i="97" s="1"/>
  <c r="C85" i="74"/>
  <c r="C87" i="74"/>
  <c r="C1183" i="97" s="1"/>
  <c r="G75" i="82"/>
  <c r="G76" i="82" s="1"/>
  <c r="B86" i="74" l="1"/>
  <c r="B1182" i="97" s="1"/>
  <c r="C1175" i="97"/>
  <c r="K1150" i="97"/>
  <c r="K71" i="74"/>
  <c r="K1167" i="97" s="1"/>
  <c r="C1181" i="97"/>
  <c r="J1153" i="97"/>
  <c r="J66" i="74"/>
  <c r="J1162" i="97" s="1"/>
  <c r="J70" i="74"/>
  <c r="J1166" i="97" s="1"/>
  <c r="D103" i="74"/>
  <c r="D1199" i="97" s="1"/>
  <c r="I71" i="82"/>
  <c r="I74" i="82" s="1"/>
  <c r="I75" i="82" s="1"/>
  <c r="I76" i="82" s="1"/>
  <c r="J65" i="74"/>
  <c r="J1161" i="97" s="1"/>
  <c r="J64" i="82"/>
  <c r="J66" i="82" s="1"/>
  <c r="E78" i="74"/>
  <c r="D79" i="74"/>
  <c r="D80" i="74"/>
  <c r="D1176" i="97" s="1"/>
  <c r="D85" i="74"/>
  <c r="D87" i="74"/>
  <c r="D1183" i="97" s="1"/>
  <c r="C81" i="74"/>
  <c r="C1177" i="97" s="1"/>
  <c r="E95" i="74"/>
  <c r="E1191" i="97" s="1"/>
  <c r="B84" i="74"/>
  <c r="B1180" i="97" s="1"/>
  <c r="H75" i="82"/>
  <c r="H76" i="82" s="1"/>
  <c r="K57" i="74"/>
  <c r="B102" i="74" l="1"/>
  <c r="B1198" i="97" s="1"/>
  <c r="C86" i="74"/>
  <c r="D1175" i="97"/>
  <c r="D1181" i="97"/>
  <c r="K1153" i="97"/>
  <c r="K66" i="74"/>
  <c r="K1162" i="97" s="1"/>
  <c r="K70" i="74"/>
  <c r="K1166" i="97" s="1"/>
  <c r="E103" i="74"/>
  <c r="E1199" i="97" s="1"/>
  <c r="J71" i="82"/>
  <c r="J74" i="82" s="1"/>
  <c r="J75" i="82" s="1"/>
  <c r="J76" i="82" s="1"/>
  <c r="C84" i="74"/>
  <c r="C1180" i="97" s="1"/>
  <c r="F95" i="74"/>
  <c r="F1191" i="97" s="1"/>
  <c r="K65" i="74"/>
  <c r="K1161" i="97" s="1"/>
  <c r="K64" i="82"/>
  <c r="D81" i="74"/>
  <c r="D1177" i="97" s="1"/>
  <c r="F78" i="74"/>
  <c r="E79" i="74"/>
  <c r="E80" i="74"/>
  <c r="E1176" i="97" s="1"/>
  <c r="E85" i="74"/>
  <c r="E87" i="74"/>
  <c r="E1183" i="97" s="1"/>
  <c r="B89" i="74"/>
  <c r="D86" i="74" l="1"/>
  <c r="E1175" i="97"/>
  <c r="C1182" i="97"/>
  <c r="C102" i="74"/>
  <c r="C1198" i="97" s="1"/>
  <c r="E1181" i="97"/>
  <c r="B1185" i="97"/>
  <c r="B97" i="74"/>
  <c r="B1193" i="97" s="1"/>
  <c r="B101" i="74"/>
  <c r="B1197" i="97" s="1"/>
  <c r="F103" i="74"/>
  <c r="F1199" i="97" s="1"/>
  <c r="B96" i="74"/>
  <c r="B1192" i="97" s="1"/>
  <c r="C89" i="74"/>
  <c r="D84" i="74"/>
  <c r="D1180" i="97" s="1"/>
  <c r="E81" i="74"/>
  <c r="E1177" i="97" s="1"/>
  <c r="K71" i="82"/>
  <c r="K74" i="82" s="1"/>
  <c r="K66" i="82"/>
  <c r="G78" i="74"/>
  <c r="F80" i="74"/>
  <c r="F1176" i="97" s="1"/>
  <c r="F79" i="74"/>
  <c r="F85" i="74"/>
  <c r="F87" i="74"/>
  <c r="F1183" i="97" s="1"/>
  <c r="G95" i="74"/>
  <c r="G1191" i="97" s="1"/>
  <c r="E86" i="74" l="1"/>
  <c r="F1175" i="97"/>
  <c r="D1182" i="97"/>
  <c r="D102" i="74"/>
  <c r="D1198" i="97" s="1"/>
  <c r="F1181" i="97"/>
  <c r="C1185" i="97"/>
  <c r="C101" i="74"/>
  <c r="C1197" i="97" s="1"/>
  <c r="C97" i="74"/>
  <c r="C1193" i="97" s="1"/>
  <c r="G103" i="74"/>
  <c r="G1199" i="97" s="1"/>
  <c r="C96" i="74"/>
  <c r="C1192" i="97" s="1"/>
  <c r="E84" i="74"/>
  <c r="E1180" i="97" s="1"/>
  <c r="G79" i="74"/>
  <c r="G80" i="74"/>
  <c r="G1176" i="97" s="1"/>
  <c r="H78" i="74"/>
  <c r="G85" i="74"/>
  <c r="G87" i="74"/>
  <c r="G1183" i="97" s="1"/>
  <c r="K75" i="82"/>
  <c r="K76" i="82" s="1"/>
  <c r="H95" i="74"/>
  <c r="H1191" i="97" s="1"/>
  <c r="F81" i="74"/>
  <c r="F1177" i="97" s="1"/>
  <c r="D89" i="74"/>
  <c r="F86" i="74" l="1"/>
  <c r="G1175" i="97"/>
  <c r="E1182" i="97"/>
  <c r="E102" i="74"/>
  <c r="E1198" i="97" s="1"/>
  <c r="G1181" i="97"/>
  <c r="D1185" i="97"/>
  <c r="D97" i="74"/>
  <c r="D1193" i="97" s="1"/>
  <c r="D101" i="74"/>
  <c r="D1197" i="97" s="1"/>
  <c r="H103" i="74"/>
  <c r="H1199" i="97" s="1"/>
  <c r="D96" i="74"/>
  <c r="D1192" i="97" s="1"/>
  <c r="E89" i="74"/>
  <c r="F84" i="74"/>
  <c r="F1180" i="97" s="1"/>
  <c r="H80" i="74"/>
  <c r="H1176" i="97" s="1"/>
  <c r="H79" i="74"/>
  <c r="I78" i="74"/>
  <c r="H85" i="74"/>
  <c r="H87" i="74"/>
  <c r="H1183" i="97" s="1"/>
  <c r="G81" i="74"/>
  <c r="G1177" i="97" s="1"/>
  <c r="I95" i="74"/>
  <c r="I1191" i="97" s="1"/>
  <c r="G86" i="74" l="1"/>
  <c r="H1175" i="97"/>
  <c r="F1182" i="97"/>
  <c r="F102" i="74"/>
  <c r="F1198" i="97" s="1"/>
  <c r="H1181" i="97"/>
  <c r="E1185" i="97"/>
  <c r="E101" i="74"/>
  <c r="E1197" i="97" s="1"/>
  <c r="E97" i="74"/>
  <c r="E1193" i="97" s="1"/>
  <c r="I103" i="74"/>
  <c r="I1199" i="97" s="1"/>
  <c r="E96" i="74"/>
  <c r="E1192" i="97" s="1"/>
  <c r="F89" i="74"/>
  <c r="G84" i="74"/>
  <c r="G1180" i="97" s="1"/>
  <c r="I79" i="74"/>
  <c r="J78" i="74"/>
  <c r="I80" i="74"/>
  <c r="I1176" i="97" s="1"/>
  <c r="I85" i="74"/>
  <c r="I87" i="74"/>
  <c r="I1183" i="97" s="1"/>
  <c r="H81" i="74"/>
  <c r="H1177" i="97" s="1"/>
  <c r="J95" i="74"/>
  <c r="J1191" i="97" s="1"/>
  <c r="H86" i="74" l="1"/>
  <c r="I1175" i="97"/>
  <c r="G1182" i="97"/>
  <c r="G102" i="74"/>
  <c r="G1198" i="97" s="1"/>
  <c r="I1181" i="97"/>
  <c r="F1185" i="97"/>
  <c r="F97" i="74"/>
  <c r="F1193" i="97" s="1"/>
  <c r="F101" i="74"/>
  <c r="F1197" i="97" s="1"/>
  <c r="J103" i="74"/>
  <c r="J1199" i="97" s="1"/>
  <c r="F96" i="74"/>
  <c r="F1192" i="97" s="1"/>
  <c r="J80" i="74"/>
  <c r="J1176" i="97" s="1"/>
  <c r="K78" i="74"/>
  <c r="J79" i="74"/>
  <c r="J85" i="74"/>
  <c r="J87" i="74"/>
  <c r="J1183" i="97" s="1"/>
  <c r="I81" i="74"/>
  <c r="I1177" i="97" s="1"/>
  <c r="K95" i="74"/>
  <c r="K1191" i="97" s="1"/>
  <c r="G89" i="74"/>
  <c r="H84" i="74"/>
  <c r="H1180" i="97" s="1"/>
  <c r="J1175" i="97" l="1"/>
  <c r="I86" i="74"/>
  <c r="H1182" i="97"/>
  <c r="H102" i="74"/>
  <c r="H1198" i="97" s="1"/>
  <c r="J1181" i="97"/>
  <c r="G1185" i="97"/>
  <c r="G97" i="74"/>
  <c r="G1193" i="97" s="1"/>
  <c r="G101" i="74"/>
  <c r="G1197" i="97" s="1"/>
  <c r="K103" i="74"/>
  <c r="K1199" i="97" s="1"/>
  <c r="G96" i="74"/>
  <c r="G1192" i="97" s="1"/>
  <c r="H89" i="74"/>
  <c r="J81" i="74"/>
  <c r="J1177" i="97" s="1"/>
  <c r="B125" i="74"/>
  <c r="B1221" i="97" s="1"/>
  <c r="K80" i="74"/>
  <c r="K1176" i="97" s="1"/>
  <c r="B108" i="74"/>
  <c r="K79" i="74"/>
  <c r="K85" i="74"/>
  <c r="K87" i="74"/>
  <c r="K1183" i="97" s="1"/>
  <c r="I84" i="74"/>
  <c r="I1180" i="97" s="1"/>
  <c r="I1182" i="97" l="1"/>
  <c r="I102" i="74"/>
  <c r="I1198" i="97" s="1"/>
  <c r="J86" i="74"/>
  <c r="K1175" i="97"/>
  <c r="K1181" i="97"/>
  <c r="H1185" i="97"/>
  <c r="H97" i="74"/>
  <c r="H1193" i="97" s="1"/>
  <c r="H101" i="74"/>
  <c r="H1197" i="97" s="1"/>
  <c r="B133" i="74"/>
  <c r="B1229" i="97" s="1"/>
  <c r="H96" i="74"/>
  <c r="H1192" i="97" s="1"/>
  <c r="J84" i="74"/>
  <c r="J1180" i="97" s="1"/>
  <c r="K81" i="74"/>
  <c r="K1177" i="97" s="1"/>
  <c r="C125" i="74"/>
  <c r="C1221" i="97" s="1"/>
  <c r="I89" i="74"/>
  <c r="B109" i="74"/>
  <c r="C108" i="74"/>
  <c r="B110" i="74"/>
  <c r="B1206" i="97" s="1"/>
  <c r="B115" i="74"/>
  <c r="B117" i="74"/>
  <c r="B1213" i="97" s="1"/>
  <c r="J1182" i="97" l="1"/>
  <c r="J102" i="74"/>
  <c r="J1198" i="97" s="1"/>
  <c r="B1205" i="97"/>
  <c r="K86" i="74"/>
  <c r="B1211" i="97"/>
  <c r="I1185" i="97"/>
  <c r="I97" i="74"/>
  <c r="I1193" i="97" s="1"/>
  <c r="I101" i="74"/>
  <c r="I1197" i="97" s="1"/>
  <c r="C133" i="74"/>
  <c r="C1229" i="97" s="1"/>
  <c r="I96" i="74"/>
  <c r="I1192" i="97" s="1"/>
  <c r="J89" i="74"/>
  <c r="K84" i="74"/>
  <c r="K1180" i="97" s="1"/>
  <c r="D108" i="74"/>
  <c r="C109" i="74"/>
  <c r="C110" i="74"/>
  <c r="C1206" i="97" s="1"/>
  <c r="C115" i="74"/>
  <c r="C117" i="74"/>
  <c r="C1213" i="97" s="1"/>
  <c r="D125" i="74"/>
  <c r="D1221" i="97" s="1"/>
  <c r="B111" i="74"/>
  <c r="B1207" i="97" s="1"/>
  <c r="B116" i="74" l="1"/>
  <c r="B1212" i="97" s="1"/>
  <c r="C1205" i="97"/>
  <c r="K1182" i="97"/>
  <c r="K102" i="74"/>
  <c r="K1198" i="97" s="1"/>
  <c r="C1211" i="97"/>
  <c r="J1185" i="97"/>
  <c r="J97" i="74"/>
  <c r="J1193" i="97" s="1"/>
  <c r="J101" i="74"/>
  <c r="J1197" i="97" s="1"/>
  <c r="D133" i="74"/>
  <c r="D1229" i="97" s="1"/>
  <c r="K89" i="74"/>
  <c r="J96" i="74"/>
  <c r="J1192" i="97" s="1"/>
  <c r="B114" i="74"/>
  <c r="B1210" i="97" s="1"/>
  <c r="C111" i="74"/>
  <c r="C1207" i="97" s="1"/>
  <c r="E125" i="74"/>
  <c r="E1221" i="97" s="1"/>
  <c r="D109" i="74"/>
  <c r="E108" i="74"/>
  <c r="D110" i="74"/>
  <c r="D1206" i="97" s="1"/>
  <c r="D115" i="74"/>
  <c r="D117" i="74"/>
  <c r="D1213" i="97" s="1"/>
  <c r="B132" i="74" l="1"/>
  <c r="B1228" i="97" s="1"/>
  <c r="C116" i="74"/>
  <c r="D1205" i="97"/>
  <c r="D1211" i="97"/>
  <c r="K1185" i="97"/>
  <c r="K97" i="74"/>
  <c r="K1193" i="97" s="1"/>
  <c r="K101" i="74"/>
  <c r="K1197" i="97" s="1"/>
  <c r="E133" i="74"/>
  <c r="E1229" i="97" s="1"/>
  <c r="K96" i="74"/>
  <c r="K1192" i="97" s="1"/>
  <c r="B119" i="74"/>
  <c r="C114" i="74"/>
  <c r="C1210" i="97" s="1"/>
  <c r="F125" i="74"/>
  <c r="F1221" i="97" s="1"/>
  <c r="F108" i="74"/>
  <c r="E109" i="74"/>
  <c r="E110" i="74"/>
  <c r="E1206" i="97" s="1"/>
  <c r="E115" i="74"/>
  <c r="E117" i="74"/>
  <c r="E1213" i="97" s="1"/>
  <c r="D111" i="74"/>
  <c r="D1207" i="97" s="1"/>
  <c r="D116" i="74" l="1"/>
  <c r="E1205" i="97"/>
  <c r="C1212" i="97"/>
  <c r="C132" i="74"/>
  <c r="C1228" i="97" s="1"/>
  <c r="E1211" i="97"/>
  <c r="B1215" i="97"/>
  <c r="B127" i="74"/>
  <c r="B1223" i="97" s="1"/>
  <c r="B131" i="74"/>
  <c r="B1227" i="97" s="1"/>
  <c r="F133" i="74"/>
  <c r="F1229" i="97" s="1"/>
  <c r="B126" i="74"/>
  <c r="B1222" i="97" s="1"/>
  <c r="C119" i="74"/>
  <c r="E111" i="74"/>
  <c r="E1207" i="97" s="1"/>
  <c r="F110" i="74"/>
  <c r="F1206" i="97" s="1"/>
  <c r="F109" i="74"/>
  <c r="F115" i="74"/>
  <c r="F117" i="74"/>
  <c r="F1213" i="97" s="1"/>
  <c r="D114" i="74"/>
  <c r="D1210" i="97" s="1"/>
  <c r="E116" i="74" l="1"/>
  <c r="F1205" i="97"/>
  <c r="D1212" i="97"/>
  <c r="D132" i="74"/>
  <c r="D1228" i="97" s="1"/>
  <c r="F1211" i="97"/>
  <c r="C1215" i="97"/>
  <c r="C131" i="74"/>
  <c r="C1227" i="97" s="1"/>
  <c r="C127" i="74"/>
  <c r="C1223" i="97" s="1"/>
  <c r="C126" i="74"/>
  <c r="C1222" i="97" s="1"/>
  <c r="E114" i="74"/>
  <c r="E1210" i="97" s="1"/>
  <c r="F111" i="74"/>
  <c r="F1207" i="97" s="1"/>
  <c r="D119" i="74"/>
  <c r="F116" i="74" l="1"/>
  <c r="E1212" i="97"/>
  <c r="E132" i="74"/>
  <c r="E1228" i="97" s="1"/>
  <c r="D1215" i="97"/>
  <c r="D127" i="74"/>
  <c r="D1223" i="97" s="1"/>
  <c r="D131" i="74"/>
  <c r="D1227" i="97" s="1"/>
  <c r="D126" i="74"/>
  <c r="D1222" i="97" s="1"/>
  <c r="E119" i="74"/>
  <c r="F114" i="74"/>
  <c r="F1210" i="97" s="1"/>
  <c r="F1212" i="97" l="1"/>
  <c r="F132" i="74"/>
  <c r="F1228" i="97" s="1"/>
  <c r="E1215" i="97"/>
  <c r="E127" i="74"/>
  <c r="E1223" i="97" s="1"/>
  <c r="E131" i="74"/>
  <c r="E1227" i="97" s="1"/>
  <c r="E126" i="74"/>
  <c r="E1222" i="97" s="1"/>
  <c r="F119" i="74"/>
  <c r="F1215" i="97" l="1"/>
  <c r="F131" i="74"/>
  <c r="F1227" i="97" s="1"/>
  <c r="F127" i="74"/>
  <c r="F1223" i="97" s="1"/>
  <c r="F126" i="74"/>
  <c r="F1222" i="97" s="1"/>
  <c r="E19" i="72" l="1"/>
  <c r="L185" i="72"/>
  <c r="E24" i="72" l="1"/>
  <c r="E25" i="72" l="1"/>
  <c r="E20" i="72" l="1"/>
  <c r="E1739" i="97" s="1"/>
  <c r="O228" i="72"/>
  <c r="O1947" i="97" s="1"/>
  <c r="O2120" i="97" s="1"/>
  <c r="O1725" i="97" s="1"/>
  <c r="P228" i="72"/>
  <c r="P401" i="72" l="1"/>
  <c r="P6" i="72" s="1"/>
  <c r="O401" i="72"/>
  <c r="O6" i="72" s="1"/>
  <c r="E23" i="72"/>
  <c r="E1742" i="97" s="1"/>
  <c r="B38" i="82"/>
  <c r="B5" i="82" s="1"/>
  <c r="B6" i="82" s="1"/>
  <c r="B7" i="82" s="1"/>
  <c r="I491" i="97"/>
  <c r="P45" i="68" l="1"/>
  <c r="C64" i="74" s="1"/>
  <c r="B32" i="74"/>
  <c r="B44" i="74" s="1"/>
  <c r="C135" i="90"/>
  <c r="L65" i="85" s="1"/>
  <c r="D45" i="68"/>
  <c r="D479" i="97" s="1"/>
  <c r="B32" i="82"/>
  <c r="B35" i="82" s="1"/>
  <c r="B36" i="82" s="1"/>
  <c r="I60" i="68"/>
  <c r="C492" i="97" s="1"/>
  <c r="I479" i="97"/>
  <c r="I494" i="97" s="1"/>
  <c r="I496" i="97" s="1"/>
  <c r="E64" i="74" l="1"/>
  <c r="E1160" i="97" s="1"/>
  <c r="B64" i="74"/>
  <c r="B1160" i="97" s="1"/>
  <c r="D64" i="74"/>
  <c r="D1160" i="97" s="1"/>
  <c r="P479" i="97"/>
  <c r="F64" i="74"/>
  <c r="F65" i="74" s="1"/>
  <c r="B1140" i="97"/>
  <c r="C32" i="74"/>
  <c r="D14" i="86" s="1"/>
  <c r="B65" i="74"/>
  <c r="C14" i="86"/>
  <c r="B33" i="74"/>
  <c r="B1128" i="97"/>
  <c r="R21" i="74"/>
  <c r="C1160" i="97"/>
  <c r="C65" i="74"/>
  <c r="G34" i="86"/>
  <c r="J686" i="97"/>
  <c r="J687" i="97" s="1"/>
  <c r="J689" i="97" s="1"/>
  <c r="J692" i="97" s="1"/>
  <c r="I62" i="68"/>
  <c r="P47" i="68" s="1"/>
  <c r="P481" i="97" s="1"/>
  <c r="J183" i="78"/>
  <c r="J184" i="78" s="1"/>
  <c r="J186" i="78" s="1"/>
  <c r="I34" i="86" l="1"/>
  <c r="E65" i="74"/>
  <c r="C44" i="74"/>
  <c r="D32" i="74" s="1"/>
  <c r="E14" i="86" s="1"/>
  <c r="D65" i="74"/>
  <c r="D1161" i="97" s="1"/>
  <c r="H34" i="86"/>
  <c r="F34" i="86"/>
  <c r="F1160" i="97"/>
  <c r="C54" i="86"/>
  <c r="R22" i="74"/>
  <c r="C33" i="74"/>
  <c r="C1128" i="97"/>
  <c r="R1118" i="97" s="1"/>
  <c r="G29" i="86"/>
  <c r="C1161" i="97"/>
  <c r="B1129" i="97"/>
  <c r="S21" i="74"/>
  <c r="C9" i="86"/>
  <c r="F29" i="86"/>
  <c r="B1161" i="97"/>
  <c r="E1161" i="97"/>
  <c r="I29" i="86"/>
  <c r="R1117" i="97"/>
  <c r="F1161" i="97"/>
  <c r="C49" i="86"/>
  <c r="J189" i="78"/>
  <c r="B15" i="82"/>
  <c r="C1140" i="97" l="1"/>
  <c r="H29" i="86"/>
  <c r="H37" i="86" s="1"/>
  <c r="H38" i="86" s="1"/>
  <c r="H40" i="86" s="1"/>
  <c r="H44" i="86" s="1"/>
  <c r="K18" i="86" s="1"/>
  <c r="D44" i="74"/>
  <c r="E32" i="74" s="1"/>
  <c r="E33" i="74" s="1"/>
  <c r="R23" i="74"/>
  <c r="D1128" i="97"/>
  <c r="D33" i="74"/>
  <c r="E9" i="86" s="1"/>
  <c r="E17" i="86" s="1"/>
  <c r="E18" i="86" s="1"/>
  <c r="E20" i="86" s="1"/>
  <c r="E24" i="86" s="1"/>
  <c r="K8" i="86" s="1"/>
  <c r="S22" i="74"/>
  <c r="C1129" i="97"/>
  <c r="S1118" i="97" s="1"/>
  <c r="D9" i="86"/>
  <c r="R1119" i="97"/>
  <c r="I37" i="86"/>
  <c r="I38" i="86" s="1"/>
  <c r="I40" i="86" s="1"/>
  <c r="I44" i="86" s="1"/>
  <c r="K19" i="86" s="1"/>
  <c r="S1117" i="97"/>
  <c r="C57" i="86"/>
  <c r="C58" i="86" s="1"/>
  <c r="C60" i="86" s="1"/>
  <c r="C64" i="86" s="1"/>
  <c r="K20" i="86" s="1"/>
  <c r="D17" i="86"/>
  <c r="D18" i="86" s="1"/>
  <c r="D20" i="86" s="1"/>
  <c r="D24" i="86" s="1"/>
  <c r="K7" i="86" s="1"/>
  <c r="F37" i="86"/>
  <c r="F38" i="86" s="1"/>
  <c r="F40" i="86" s="1"/>
  <c r="F44" i="86" s="1"/>
  <c r="K16" i="86" s="1"/>
  <c r="G37" i="86"/>
  <c r="G38" i="86" s="1"/>
  <c r="G40" i="86" s="1"/>
  <c r="G44" i="86" s="1"/>
  <c r="K17" i="86" s="1"/>
  <c r="J696" i="97"/>
  <c r="C17" i="86"/>
  <c r="C18" i="86" s="1"/>
  <c r="C20" i="86" s="1"/>
  <c r="C24" i="86" s="1"/>
  <c r="K6" i="86" s="1"/>
  <c r="G66" i="86" s="1"/>
  <c r="N92" i="85" s="1"/>
  <c r="D1129" i="97" l="1"/>
  <c r="E44" i="74"/>
  <c r="F32" i="74" s="1"/>
  <c r="F33" i="74" s="1"/>
  <c r="S23" i="74"/>
  <c r="R24" i="74"/>
  <c r="S24" i="74" s="1"/>
  <c r="D1140" i="97"/>
  <c r="F14" i="86"/>
  <c r="E1128" i="97"/>
  <c r="R1120" i="97" s="1"/>
  <c r="S1119" i="97"/>
  <c r="E1129" i="97"/>
  <c r="F9" i="86"/>
  <c r="J698" i="97"/>
  <c r="J700" i="97" s="1"/>
  <c r="E611" i="97" s="1"/>
  <c r="J611" i="97" s="1"/>
  <c r="J197" i="78"/>
  <c r="M195" i="78"/>
  <c r="M698" i="97"/>
  <c r="F44" i="74" l="1"/>
  <c r="G32" i="74" s="1"/>
  <c r="G14" i="86"/>
  <c r="F1128" i="97"/>
  <c r="R25" i="74"/>
  <c r="S25" i="74" s="1"/>
  <c r="E1140" i="97"/>
  <c r="F17" i="86"/>
  <c r="F18" i="86" s="1"/>
  <c r="F20" i="86" s="1"/>
  <c r="F24" i="86" s="1"/>
  <c r="K9" i="86" s="1"/>
  <c r="R1121" i="97"/>
  <c r="R26" i="74"/>
  <c r="H14" i="86"/>
  <c r="G33" i="74"/>
  <c r="G1128" i="97"/>
  <c r="F1129" i="97"/>
  <c r="G9" i="86"/>
  <c r="G17" i="86" s="1"/>
  <c r="G18" i="86" s="1"/>
  <c r="G20" i="86" s="1"/>
  <c r="G24" i="86" s="1"/>
  <c r="K10" i="86" s="1"/>
  <c r="S1120" i="97"/>
  <c r="F1140" i="97"/>
  <c r="G44" i="74"/>
  <c r="H32" i="74" s="1"/>
  <c r="R27" i="74" s="1"/>
  <c r="E108" i="78"/>
  <c r="J108" i="78" s="1"/>
  <c r="I10" i="66"/>
  <c r="M67" i="85"/>
  <c r="L52" i="68"/>
  <c r="I34" i="97"/>
  <c r="C21" i="86"/>
  <c r="L51" i="68"/>
  <c r="S1121" i="97" l="1"/>
  <c r="H9" i="86"/>
  <c r="H17" i="86" s="1"/>
  <c r="H18" i="86" s="1"/>
  <c r="H20" i="86" s="1"/>
  <c r="H24" i="86" s="1"/>
  <c r="K11" i="86" s="1"/>
  <c r="G1129" i="97"/>
  <c r="H33" i="74"/>
  <c r="S27" i="74" s="1"/>
  <c r="I14" i="86"/>
  <c r="H1128" i="97"/>
  <c r="R1123" i="97" s="1"/>
  <c r="R1122" i="97"/>
  <c r="S26" i="74"/>
  <c r="N51" i="68"/>
  <c r="B14" i="82"/>
  <c r="L485" i="97"/>
  <c r="N485" i="97" s="1"/>
  <c r="P67" i="85"/>
  <c r="A67" i="85"/>
  <c r="A21" i="83" s="1"/>
  <c r="C22" i="86"/>
  <c r="C42" i="86" s="1"/>
  <c r="D42" i="86" s="1"/>
  <c r="E42" i="86" s="1"/>
  <c r="D21" i="86"/>
  <c r="C41" i="86"/>
  <c r="D41" i="86" s="1"/>
  <c r="E41" i="86" s="1"/>
  <c r="L486" i="97"/>
  <c r="N486" i="97" s="1"/>
  <c r="N52" i="68"/>
  <c r="G1140" i="97"/>
  <c r="H44" i="74"/>
  <c r="I32" i="74" s="1"/>
  <c r="I1128" i="97" l="1"/>
  <c r="I33" i="74"/>
  <c r="C34" i="86"/>
  <c r="R28" i="74"/>
  <c r="S1122" i="97"/>
  <c r="I9" i="86"/>
  <c r="I17" i="86" s="1"/>
  <c r="I18" i="86" s="1"/>
  <c r="I20" i="86" s="1"/>
  <c r="I24" i="86" s="1"/>
  <c r="K12" i="86" s="1"/>
  <c r="H1129" i="97"/>
  <c r="S1123" i="97" s="1"/>
  <c r="H1140" i="97"/>
  <c r="I44" i="74"/>
  <c r="J32" i="74" s="1"/>
  <c r="R29" i="74" s="1"/>
  <c r="E21" i="86"/>
  <c r="D22" i="86"/>
  <c r="G20" i="82"/>
  <c r="G21" i="82" s="1"/>
  <c r="B20" i="82"/>
  <c r="B21" i="82" s="1"/>
  <c r="D34" i="86" l="1"/>
  <c r="J33" i="74"/>
  <c r="S29" i="74" s="1"/>
  <c r="J1128" i="97"/>
  <c r="R1125" i="97" s="1"/>
  <c r="C29" i="86"/>
  <c r="C37" i="86" s="1"/>
  <c r="C38" i="86" s="1"/>
  <c r="C40" i="86" s="1"/>
  <c r="C44" i="86" s="1"/>
  <c r="K13" i="86" s="1"/>
  <c r="I1129" i="97"/>
  <c r="S28" i="74"/>
  <c r="R1124" i="97"/>
  <c r="F21" i="86"/>
  <c r="E22" i="86"/>
  <c r="I1140" i="97"/>
  <c r="J44" i="74"/>
  <c r="K32" i="74" s="1"/>
  <c r="S1124" i="97" l="1"/>
  <c r="J1129" i="97"/>
  <c r="S1125" i="97" s="1"/>
  <c r="D29" i="86"/>
  <c r="D37" i="86" s="1"/>
  <c r="D38" i="86" s="1"/>
  <c r="D40" i="86" s="1"/>
  <c r="D44" i="86" s="1"/>
  <c r="K14" i="86" s="1"/>
  <c r="E34" i="86"/>
  <c r="K33" i="74"/>
  <c r="K1128" i="97"/>
  <c r="R38" i="74"/>
  <c r="R32" i="74"/>
  <c r="R34" i="74"/>
  <c r="R37" i="74"/>
  <c r="R31" i="74"/>
  <c r="R40" i="74"/>
  <c r="R30" i="74"/>
  <c r="R39" i="74"/>
  <c r="R33" i="74"/>
  <c r="R35" i="74"/>
  <c r="I47" i="68" s="1"/>
  <c r="I481" i="97" s="1"/>
  <c r="R36" i="74"/>
  <c r="G21" i="86"/>
  <c r="F22" i="86"/>
  <c r="J1140" i="97"/>
  <c r="K44" i="74"/>
  <c r="R1126" i="97" l="1"/>
  <c r="R1132" i="97"/>
  <c r="R1127" i="97"/>
  <c r="R1130" i="97"/>
  <c r="R1131" i="97"/>
  <c r="R1136" i="97"/>
  <c r="R1133" i="97"/>
  <c r="R1128" i="97"/>
  <c r="R1129" i="97"/>
  <c r="R1135" i="97"/>
  <c r="R1134" i="97"/>
  <c r="E29" i="86"/>
  <c r="E37" i="86" s="1"/>
  <c r="E38" i="86" s="1"/>
  <c r="E40" i="86" s="1"/>
  <c r="E44" i="86" s="1"/>
  <c r="K15" i="86" s="1"/>
  <c r="K1129" i="97"/>
  <c r="S34" i="74"/>
  <c r="S32" i="74"/>
  <c r="S35" i="74"/>
  <c r="F47" i="68" s="1"/>
  <c r="S37" i="74"/>
  <c r="S30" i="74"/>
  <c r="S38" i="74"/>
  <c r="S40" i="74"/>
  <c r="S31" i="74"/>
  <c r="S33" i="74"/>
  <c r="S39" i="74"/>
  <c r="S36" i="74"/>
  <c r="H21" i="86"/>
  <c r="G22" i="86"/>
  <c r="K1140" i="97"/>
  <c r="B76" i="74"/>
  <c r="L47" i="68" l="1"/>
  <c r="F481" i="97"/>
  <c r="S1131" i="97"/>
  <c r="S1128" i="97"/>
  <c r="S1130" i="97"/>
  <c r="S1132" i="97"/>
  <c r="S1133" i="97"/>
  <c r="S1126" i="97"/>
  <c r="S1136" i="97"/>
  <c r="S1129" i="97"/>
  <c r="S1135" i="97"/>
  <c r="S1134" i="97"/>
  <c r="S1127" i="97"/>
  <c r="I21" i="86"/>
  <c r="I22" i="86" s="1"/>
  <c r="H22" i="86"/>
  <c r="B1172" i="97"/>
  <c r="C76" i="74"/>
  <c r="L481" i="97" l="1"/>
  <c r="F85" i="92"/>
  <c r="F89" i="92" s="1"/>
  <c r="F105" i="92" s="1"/>
  <c r="C1172" i="97"/>
  <c r="D76" i="74"/>
  <c r="D1172" i="97" l="1"/>
  <c r="E76" i="74"/>
  <c r="E1172" i="97" l="1"/>
  <c r="F76" i="74"/>
  <c r="F1172" i="97" l="1"/>
  <c r="G76" i="74"/>
  <c r="G1172" i="9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2159" authorId="0" shapeId="0" xr:uid="{71E01942-5253-48B0-9F59-D70CDA77A19D}">
      <text>
        <r>
          <rPr>
            <b/>
            <sz val="9"/>
            <color indexed="81"/>
            <rFont val="Tahoma"/>
            <family val="2"/>
          </rPr>
          <t>Ryan Fleming:</t>
        </r>
        <r>
          <rPr>
            <sz val="9"/>
            <color indexed="81"/>
            <rFont val="Tahoma"/>
            <family val="2"/>
          </rPr>
          <t xml:space="preserve">
Not HOME designated.
This is Total Units per type (e.g. 1 BR, 1 BA 50% AMI)</t>
        </r>
      </text>
    </comment>
    <comment ref="A2183" authorId="0" shapeId="0" xr:uid="{AD3DFAE0-868C-4CD2-ABE5-65CA32E8489A}">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2184" authorId="0" shapeId="0" xr:uid="{2AC0B817-A8D5-4CD4-828E-A02533798D12}">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4"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5"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sharedStrings.xml><?xml version="1.0" encoding="utf-8"?>
<sst xmlns="http://schemas.openxmlformats.org/spreadsheetml/2006/main" count="20021" uniqueCount="7207">
  <si>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</si>
  <si>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</si>
  <si>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</si>
  <si>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</si>
  <si>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</si>
  <si>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</si>
  <si>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</si>
  <si>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</si>
  <si>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</si>
  <si>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</si>
  <si>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</si>
  <si>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</si>
  <si>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</si>
  <si>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</si>
  <si>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</si>
  <si>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</si>
  <si>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</si>
  <si>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</si>
  <si>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</si>
  <si>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</si>
  <si>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</si>
  <si>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</si>
  <si>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</si>
  <si>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</si>
  <si>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</si>
  <si>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</si>
  <si>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</si>
  <si>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</si>
  <si>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</si>
  <si>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</si>
  <si>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</si>
  <si>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</si>
  <si>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</si>
  <si>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</si>
  <si>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</si>
  <si>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</si>
  <si>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</si>
  <si>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</si>
  <si>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</si>
  <si>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</si>
  <si>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</si>
  <si>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</si>
  <si>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</si>
  <si>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</si>
  <si>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</si>
  <si>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</si>
  <si>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</si>
  <si>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</si>
  <si>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</si>
  <si>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</si>
  <si>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</si>
  <si>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</si>
  <si>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</si>
  <si>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</si>
  <si>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</si>
  <si>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</si>
  <si>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</si>
  <si>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</si>
  <si>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</si>
  <si>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</si>
  <si>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</si>
  <si>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</si>
  <si>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</si>
  <si>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</si>
  <si>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</si>
  <si>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</si>
  <si>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</si>
  <si>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</si>
  <si>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</si>
  <si>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</si>
  <si>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</si>
  <si>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</si>
  <si>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</si>
  <si>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</si>
  <si>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</si>
  <si>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</si>
  <si>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</si>
  <si>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</si>
  <si>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</si>
  <si>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</si>
  <si>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</si>
  <si>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</si>
  <si>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</si>
  <si>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</si>
  <si>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</si>
  <si>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</si>
  <si>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</si>
  <si>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</si>
  <si>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</si>
  <si>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</si>
  <si>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</si>
  <si>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</si>
  <si>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</si>
  <si>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</si>
  <si>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</si>
  <si>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</si>
  <si>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</si>
  <si>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</si>
  <si>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</si>
  <si>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</si>
  <si>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</si>
  <si>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</si>
  <si>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</si>
  <si>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</si>
  <si>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</si>
  <si>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</si>
  <si>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</si>
  <si>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</si>
  <si>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</si>
  <si>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</si>
  <si>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</si>
  <si>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</si>
  <si>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</si>
  <si>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</si>
  <si>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</si>
  <si>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</si>
  <si>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</si>
  <si>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</si>
  <si>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</si>
  <si>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</si>
  <si>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</si>
  <si>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</si>
  <si>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</si>
  <si>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</si>
  <si>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</si>
  <si>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</si>
  <si>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</si>
  <si>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</si>
  <si>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</si>
  <si>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</si>
  <si>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</si>
  <si>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</si>
  <si>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</si>
  <si>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</si>
  <si>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</si>
  <si>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</si>
  <si>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</si>
  <si>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</si>
  <si>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</si>
  <si>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</si>
  <si>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</si>
  <si>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</si>
  <si>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</si>
  <si>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</si>
  <si>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</si>
  <si>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</si>
  <si>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</si>
  <si>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</si>
  <si>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</si>
  <si>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</si>
  <si>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</si>
  <si>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</si>
  <si>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</si>
  <si>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</si>
  <si>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</si>
  <si>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</si>
  <si>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</si>
  <si>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</si>
  <si>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</si>
  <si>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</si>
  <si>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</si>
  <si>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</si>
  <si>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</si>
  <si>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</si>
  <si>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</si>
  <si>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</si>
  <si>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</si>
  <si>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</si>
  <si>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</si>
  <si>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</si>
  <si>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</si>
  <si>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</si>
  <si>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</si>
  <si>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</si>
  <si>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</si>
  <si>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</si>
  <si>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</si>
  <si>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</si>
  <si>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</si>
  <si>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</si>
  <si>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</si>
  <si>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</si>
  <si>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</si>
  <si>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</si>
  <si>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</si>
  <si>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</si>
  <si>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</si>
  <si>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</si>
  <si>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</si>
  <si>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</si>
  <si>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</si>
  <si>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</si>
  <si>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</si>
  <si>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</si>
  <si>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</si>
  <si>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</si>
  <si>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</si>
  <si>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</si>
  <si>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</si>
  <si>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</si>
  <si>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</si>
  <si>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</si>
  <si>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</si>
  <si>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</si>
  <si>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</si>
  <si>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</si>
  <si>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</si>
  <si>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</si>
  <si>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</si>
  <si>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</si>
  <si>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</si>
  <si>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</si>
  <si>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</si>
  <si>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</si>
  <si>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</si>
  <si>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</si>
  <si>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</si>
  <si>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</si>
  <si>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</si>
  <si>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</si>
  <si>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</si>
  <si>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</si>
  <si>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</si>
  <si>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</si>
  <si>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</si>
  <si>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</si>
  <si>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</si>
  <si>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</si>
  <si>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</si>
  <si>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</si>
  <si>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</si>
  <si>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</si>
  <si>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</si>
  <si>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</si>
  <si>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</si>
  <si>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</si>
  <si>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</si>
  <si>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</si>
  <si>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</si>
  <si>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</si>
  <si>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</si>
  <si>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</si>
  <si>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</si>
  <si>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</si>
  <si>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</si>
  <si>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</si>
  <si>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</si>
  <si>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</si>
  <si>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</si>
  <si>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</si>
  <si>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</si>
  <si>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</si>
  <si>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</si>
  <si>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</si>
  <si>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</si>
  <si>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</si>
  <si>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</si>
  <si>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</si>
  <si>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</si>
  <si>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</si>
  <si>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</si>
  <si>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</si>
  <si>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</si>
  <si>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</si>
  <si>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</si>
  <si>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</si>
  <si>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</si>
  <si>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</si>
  <si>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</si>
  <si>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</si>
  <si>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</si>
  <si>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</si>
  <si>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</si>
  <si>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</si>
  <si>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</si>
  <si>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</si>
  <si>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</si>
  <si>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</si>
  <si>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</si>
  <si>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</si>
  <si>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</si>
  <si>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</si>
  <si>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</si>
  <si>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</si>
  <si>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</si>
  <si>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</si>
  <si>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</si>
  <si>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</si>
  <si>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</si>
  <si>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</si>
  <si>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</si>
  <si>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</si>
  <si>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</si>
  <si>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</si>
  <si>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</si>
  <si>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</si>
  <si>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</si>
  <si>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</si>
  <si>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</si>
  <si>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</si>
  <si>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</si>
  <si>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</si>
  <si>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</si>
  <si>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</si>
  <si>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</si>
  <si>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</si>
  <si>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</si>
  <si>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</si>
  <si>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</si>
  <si>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</si>
  <si>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</si>
  <si>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</si>
  <si>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</si>
  <si>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</si>
  <si>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</si>
  <si>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</si>
  <si>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</si>
  <si>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</si>
  <si>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</si>
  <si>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</si>
  <si>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</si>
  <si>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</si>
  <si>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</si>
  <si>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</si>
  <si>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</si>
  <si>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</si>
  <si>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</si>
  <si>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</si>
  <si>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</si>
  <si>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</si>
  <si>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</si>
  <si>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</si>
  <si>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</si>
  <si>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</si>
  <si>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</si>
  <si>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</si>
  <si>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</si>
  <si>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</si>
  <si>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</si>
  <si>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</si>
  <si>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</si>
  <si>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</si>
  <si>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</si>
  <si>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</si>
  <si>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</si>
  <si>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</si>
  <si>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</si>
  <si>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</si>
  <si>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</si>
  <si>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</si>
  <si>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</si>
  <si>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</si>
  <si>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</si>
  <si>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</si>
  <si>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</si>
  <si>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</si>
  <si>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</si>
  <si>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</si>
  <si>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</si>
  <si>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</si>
  <si>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</si>
  <si>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</si>
  <si>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</si>
  <si>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</si>
  <si>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</si>
  <si>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</si>
  <si>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</si>
  <si>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</si>
  <si>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</si>
  <si>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</si>
  <si>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</si>
  <si>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</si>
  <si>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</si>
  <si>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</si>
  <si>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</si>
  <si>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</si>
  <si>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</si>
  <si>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</si>
  <si>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</si>
  <si>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</si>
  <si>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</si>
  <si>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</si>
  <si>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</si>
  <si>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</si>
  <si>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</si>
  <si>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</si>
  <si>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</si>
  <si>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</si>
  <si>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</si>
  <si>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</si>
  <si>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</si>
  <si>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</si>
  <si>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</si>
  <si>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</si>
  <si>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</si>
  <si>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</si>
  <si>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</si>
  <si>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</si>
  <si>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</si>
  <si>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</si>
  <si>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</si>
  <si>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</si>
  <si>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</si>
  <si>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</si>
  <si>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</si>
  <si>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</si>
  <si>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</si>
  <si>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</si>
  <si>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</si>
  <si>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</si>
  <si>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</si>
  <si>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</si>
  <si>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</si>
  <si>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</si>
  <si>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</si>
  <si>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</si>
  <si>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</si>
  <si>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</si>
  <si>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</si>
  <si>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</si>
  <si>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</si>
  <si>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</si>
  <si>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</si>
  <si>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</si>
  <si>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</si>
  <si>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</si>
  <si>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</si>
  <si>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</si>
  <si>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</si>
  <si>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</si>
  <si>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</si>
  <si>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</si>
  <si>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</si>
  <si>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</si>
  <si>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</si>
  <si>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</si>
  <si>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</si>
  <si>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</si>
  <si>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</si>
  <si>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</si>
  <si>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</si>
  <si>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</si>
  <si>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</si>
  <si>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</si>
  <si>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</si>
  <si>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</si>
  <si>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</si>
  <si>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</si>
  <si>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</si>
  <si>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</si>
  <si>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</si>
  <si>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</si>
  <si>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</si>
  <si>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</si>
  <si>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</si>
  <si>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</si>
  <si>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</si>
  <si>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</si>
  <si>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</si>
  <si>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</si>
  <si>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</si>
  <si>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</si>
  <si>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</si>
  <si>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</si>
  <si>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</si>
  <si>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</si>
  <si>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</si>
  <si>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</si>
  <si>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</si>
  <si>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</si>
  <si>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</si>
  <si>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</si>
  <si>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</si>
  <si>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</si>
  <si>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</si>
  <si>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</si>
  <si>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</si>
  <si>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</si>
  <si>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</si>
  <si>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</si>
  <si>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</si>
  <si>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</si>
  <si>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</si>
  <si>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</si>
  <si>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</si>
  <si>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</si>
  <si>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</si>
  <si>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</si>
  <si>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</si>
  <si>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</si>
  <si>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</si>
  <si>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</si>
  <si>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</si>
  <si>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</si>
  <si>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</si>
  <si>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</si>
  <si>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</si>
  <si>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</si>
  <si>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</si>
  <si>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</si>
  <si>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</si>
  <si>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</si>
  <si>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</si>
  <si>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</si>
  <si>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</si>
  <si>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</si>
  <si>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</si>
  <si>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</si>
  <si>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</si>
  <si>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</si>
  <si>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</si>
  <si>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</si>
  <si>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</si>
  <si>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</si>
  <si>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</si>
  <si>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</si>
  <si>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</si>
  <si>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</si>
  <si>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</si>
  <si>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</si>
  <si>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</si>
  <si>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</si>
  <si>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</si>
  <si>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</si>
  <si>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</si>
  <si>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</si>
  <si>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</si>
  <si>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</si>
  <si>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</si>
  <si>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</si>
  <si>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</si>
  <si>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</si>
  <si>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</si>
  <si>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</si>
  <si>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</si>
  <si>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</si>
  <si>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</si>
  <si>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</si>
  <si>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</si>
  <si>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</si>
  <si>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</si>
  <si>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</si>
  <si>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</si>
  <si>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</si>
  <si>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</si>
  <si>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</si>
  <si>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</si>
  <si>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</si>
  <si>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</si>
  <si>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</si>
  <si>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</si>
  <si>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</si>
  <si>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</si>
  <si>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</si>
  <si>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</si>
  <si>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</si>
  <si>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</si>
  <si>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</si>
  <si>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</si>
  <si>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</si>
  <si>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</si>
  <si>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</si>
  <si>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</si>
  <si>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</si>
  <si>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</si>
  <si>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</si>
  <si>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</si>
  <si>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</si>
  <si>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</si>
  <si>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</si>
  <si>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</si>
  <si>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</si>
  <si>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</si>
  <si>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</si>
  <si>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</si>
  <si>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</si>
  <si>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</si>
  <si>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</si>
  <si>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</si>
  <si>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</si>
  <si>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</si>
  <si>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</si>
  <si>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</si>
  <si>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</si>
  <si>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</si>
  <si>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</si>
  <si>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</si>
  <si>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</si>
  <si>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</si>
  <si>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</si>
  <si>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</si>
  <si>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</si>
  <si>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</si>
  <si>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</si>
  <si>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</si>
  <si>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</si>
  <si>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</si>
  <si>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</si>
  <si>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</si>
  <si>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</si>
  <si>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</si>
  <si>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</si>
  <si>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</si>
  <si>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</si>
  <si>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</si>
  <si>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</si>
  <si>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</si>
  <si>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</si>
  <si>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</si>
  <si>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</si>
  <si>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</si>
  <si>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</si>
  <si>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</si>
  <si>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</si>
  <si>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</si>
  <si>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</si>
  <si>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</si>
  <si>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</si>
  <si>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</si>
  <si>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</si>
  <si>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</si>
  <si>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</si>
  <si>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</si>
  <si>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</si>
  <si>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</si>
  <si>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</si>
  <si>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</si>
  <si>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</si>
  <si>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</si>
  <si>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</si>
  <si>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</si>
  <si>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</si>
  <si>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</si>
  <si>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</si>
  <si>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</si>
  <si>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</si>
  <si>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</si>
  <si>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</si>
  <si>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</si>
  <si>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</si>
  <si>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</si>
  <si>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</si>
  <si>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</si>
  <si>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</si>
  <si>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</si>
  <si>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</si>
  <si>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</si>
  <si>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</si>
  <si>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</si>
  <si>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</si>
  <si>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</si>
  <si>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</si>
  <si>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</si>
  <si>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</si>
  <si>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</si>
  <si>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</si>
  <si>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</si>
  <si>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</si>
  <si>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</si>
  <si>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</si>
  <si>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</si>
  <si>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</si>
  <si>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</si>
  <si>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</si>
  <si>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</si>
  <si>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</si>
  <si>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</si>
  <si>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</si>
  <si>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</si>
  <si>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</si>
  <si>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</si>
  <si>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</si>
  <si>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</si>
  <si>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</si>
  <si>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</si>
  <si>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</si>
  <si>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</si>
  <si>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</si>
  <si>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</si>
  <si>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</si>
  <si>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</si>
  <si>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</si>
  <si>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</si>
  <si>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</si>
  <si>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</si>
  <si>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</si>
  <si>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</si>
  <si>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</si>
  <si>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</si>
  <si>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</si>
  <si>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</si>
  <si>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</si>
  <si>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</si>
  <si>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</si>
  <si>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</si>
  <si>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</si>
  <si>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</si>
  <si>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</si>
  <si>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</si>
  <si>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</si>
  <si>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</si>
  <si>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</si>
  <si>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</si>
  <si>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</si>
  <si>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</si>
  <si>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</si>
  <si>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</si>
  <si>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</si>
  <si>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</si>
  <si>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</si>
  <si>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</si>
  <si>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</si>
  <si>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</si>
  <si>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</si>
  <si>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</si>
  <si>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</si>
  <si>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</si>
  <si>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</si>
  <si>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</si>
  <si>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</si>
  <si>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</si>
  <si>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</si>
  <si>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</si>
  <si>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</si>
  <si>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</si>
  <si>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</si>
  <si>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</si>
  <si>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</si>
  <si>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</si>
  <si>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</si>
  <si>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</si>
  <si>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</si>
  <si>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</si>
  <si>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</si>
  <si>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</si>
  <si>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</si>
  <si>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</si>
  <si>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</si>
  <si>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</si>
  <si>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</si>
  <si>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</si>
  <si>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</si>
  <si>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</si>
  <si>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</si>
  <si>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</si>
  <si>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</si>
  <si>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</si>
  <si>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</si>
  <si>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</si>
  <si>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</si>
  <si>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</si>
  <si>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</si>
  <si>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</si>
  <si>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</si>
  <si>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</si>
  <si>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</si>
  <si>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</si>
  <si>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</si>
  <si>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</si>
  <si>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</si>
  <si>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</si>
  <si>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</si>
  <si>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</si>
  <si>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</si>
  <si>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</si>
  <si>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</si>
  <si>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</si>
  <si>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</si>
  <si>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</si>
  <si>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</si>
  <si>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</si>
  <si>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</si>
  <si>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</si>
  <si>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</si>
  <si>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</si>
  <si>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</si>
  <si>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</si>
  <si>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</si>
  <si>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</si>
  <si>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</si>
  <si>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</si>
  <si>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</si>
  <si>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</si>
  <si>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</si>
  <si>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</si>
  <si>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</si>
  <si>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</si>
  <si>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</si>
  <si>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</si>
  <si>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</si>
  <si>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</si>
  <si>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</si>
  <si>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</si>
  <si>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</si>
  <si>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</si>
  <si>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</si>
  <si>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</si>
  <si>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</si>
  <si>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</si>
  <si>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</si>
  <si>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</si>
  <si>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</si>
  <si>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</si>
  <si>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</si>
  <si>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</si>
  <si>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</si>
  <si>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</si>
  <si>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</si>
  <si>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</si>
  <si>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</si>
  <si>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</si>
  <si>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</si>
  <si>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</si>
  <si>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</si>
  <si>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</si>
  <si>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</si>
  <si>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</si>
  <si>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</si>
  <si>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</si>
  <si>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</si>
  <si>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</si>
  <si>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</si>
  <si>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</si>
  <si>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</si>
  <si>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</si>
  <si>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</si>
  <si>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</si>
  <si>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</si>
  <si>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</si>
  <si>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</si>
  <si>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</si>
  <si>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</si>
  <si>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</si>
  <si>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</si>
  <si>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</si>
  <si>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</si>
  <si>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</si>
  <si>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</si>
  <si>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</si>
  <si>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</si>
  <si>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</si>
  <si>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</si>
  <si>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</si>
  <si>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</si>
  <si>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</si>
  <si>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</si>
  <si>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</si>
  <si>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</si>
  <si>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</si>
  <si>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</si>
  <si>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</si>
  <si>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</si>
  <si>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</si>
  <si>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</si>
  <si>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</si>
  <si>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</si>
  <si>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</si>
  <si>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</si>
  <si>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</si>
  <si>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</si>
  <si>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</si>
  <si>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</si>
  <si>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</si>
  <si>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</si>
  <si>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</si>
  <si>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</si>
  <si>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</si>
  <si>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</si>
  <si>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</si>
  <si>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</si>
  <si>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</si>
  <si>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</si>
  <si>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</si>
  <si>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</si>
  <si>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</si>
  <si>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</si>
  <si>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</si>
  <si>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</si>
  <si>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</si>
  <si>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</si>
  <si>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</si>
  <si>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</si>
  <si>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</si>
  <si>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</si>
  <si>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</si>
  <si>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</si>
  <si>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</si>
  <si>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</si>
  <si>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</si>
  <si>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</si>
  <si>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</si>
  <si>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</si>
  <si>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</si>
  <si>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</si>
  <si>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</si>
  <si>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</si>
  <si>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</si>
  <si>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</si>
  <si>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</si>
  <si>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</si>
  <si>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</si>
  <si>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</si>
  <si>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</si>
  <si>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</si>
  <si>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</si>
  <si>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</si>
  <si>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</si>
  <si>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</si>
  <si>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</si>
  <si>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</si>
  <si>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</si>
  <si>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</si>
  <si>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</si>
  <si>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</si>
  <si>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</si>
  <si>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</si>
  <si>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</si>
  <si>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</si>
  <si>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</si>
  <si>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</si>
  <si>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</si>
  <si>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</si>
  <si>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</si>
  <si>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</si>
  <si>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</si>
  <si>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</si>
  <si>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</si>
  <si>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</si>
  <si>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</si>
  <si>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</si>
  <si>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</si>
  <si>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</si>
  <si>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</si>
  <si>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</si>
  <si>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</si>
  <si>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</si>
  <si>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</si>
  <si>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</si>
  <si>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</si>
  <si>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</si>
  <si>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</si>
  <si>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</si>
  <si>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</si>
  <si>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</si>
  <si>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</si>
  <si>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</si>
  <si>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</si>
  <si>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</si>
  <si>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</si>
  <si>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</si>
  <si>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</si>
  <si>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</si>
  <si>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</si>
  <si>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</si>
  <si>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</si>
  <si>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</si>
  <si>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</si>
  <si>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</si>
  <si>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</si>
  <si>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</si>
  <si>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</si>
  <si>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</si>
  <si>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</si>
  <si>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</si>
  <si>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</si>
  <si>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</si>
  <si>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</si>
  <si>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</si>
  <si>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</si>
  <si>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</si>
  <si>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</si>
  <si>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</si>
  <si>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</si>
  <si>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</si>
  <si>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</si>
  <si>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</si>
  <si>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</si>
  <si>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</si>
  <si>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</si>
  <si>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</si>
  <si>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</si>
  <si>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</si>
  <si>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</si>
  <si>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</si>
  <si>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</si>
  <si>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</si>
  <si>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</si>
  <si>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</si>
  <si>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</si>
  <si>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</si>
  <si>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</si>
  <si>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</si>
  <si>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</si>
  <si>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</si>
  <si>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</si>
  <si>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</si>
  <si>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</si>
  <si>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</si>
  <si>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</si>
  <si>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</si>
  <si>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</si>
  <si>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</si>
  <si>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</si>
  <si>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</si>
  <si>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</si>
  <si>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</si>
  <si>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</si>
  <si>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</si>
  <si>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</si>
  <si>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</si>
  <si>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</si>
  <si>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</si>
  <si>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</si>
  <si>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</si>
  <si>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</si>
  <si>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</si>
  <si>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</si>
  <si>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</si>
  <si>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</si>
  <si>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</si>
  <si>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</si>
  <si>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</si>
  <si>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</si>
  <si>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</si>
  <si>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</si>
  <si>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</si>
  <si>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</si>
  <si>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</si>
  <si>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</si>
  <si>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</si>
  <si>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</si>
  <si>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</si>
  <si>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</si>
  <si>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</si>
  <si>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</si>
  <si>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</si>
  <si>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</si>
  <si>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</si>
  <si>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</si>
  <si>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</si>
  <si>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</si>
  <si>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</si>
  <si>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</si>
  <si>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</si>
  <si>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</si>
  <si>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</si>
  <si>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</si>
  <si>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</si>
  <si>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</si>
  <si>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</si>
  <si>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</si>
  <si>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</si>
  <si>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</si>
  <si>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</si>
  <si>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</si>
  <si>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</si>
  <si>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</si>
  <si>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</si>
  <si>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</si>
  <si>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</si>
  <si>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</si>
  <si>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</si>
  <si>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</si>
  <si>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</si>
  <si>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</si>
  <si>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</si>
  <si>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</si>
  <si>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</si>
  <si>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</si>
  <si>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</si>
  <si>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</si>
  <si>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</si>
  <si>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</si>
  <si>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</si>
  <si>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</si>
  <si>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</si>
  <si>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</si>
  <si>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</si>
  <si>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</si>
  <si>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</si>
  <si>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</si>
  <si>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</si>
  <si>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</si>
  <si>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</si>
  <si>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</si>
  <si>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</si>
  <si>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</si>
  <si>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</si>
  <si>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</si>
  <si>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</si>
  <si>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</si>
  <si>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</si>
  <si>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</si>
  <si>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</si>
  <si>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</si>
  <si>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</si>
  <si>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</si>
  <si>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</si>
  <si>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</si>
  <si>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</si>
  <si>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</si>
  <si>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</si>
  <si>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</si>
  <si>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</si>
  <si>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</si>
  <si>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</si>
  <si>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</si>
  <si>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</si>
  <si>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</si>
  <si>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</si>
  <si>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</si>
  <si>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</si>
  <si>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</si>
  <si>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</si>
  <si>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</si>
  <si>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</si>
  <si>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</si>
  <si>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</si>
  <si>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</si>
  <si>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</si>
  <si>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</si>
  <si>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</si>
  <si>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</si>
  <si>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</si>
  <si>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</si>
  <si>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</si>
  <si>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</si>
  <si>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</si>
  <si>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</si>
  <si>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</si>
  <si>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</si>
  <si>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</si>
  <si>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</si>
  <si>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</si>
  <si>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</si>
  <si>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</si>
  <si>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</si>
  <si>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</si>
  <si>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</si>
  <si>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</si>
  <si>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</si>
  <si>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</si>
  <si>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</si>
  <si>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</si>
  <si>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</si>
  <si>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</si>
  <si>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</si>
  <si>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</si>
  <si>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</si>
  <si>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</si>
  <si>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</si>
  <si>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</si>
  <si>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</si>
  <si>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</si>
  <si>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</si>
  <si>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</si>
  <si>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</si>
  <si>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</si>
  <si>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</si>
  <si>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</si>
  <si>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</si>
  <si>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</si>
  <si>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</si>
  <si>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</si>
  <si>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</si>
  <si>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</si>
  <si>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</si>
  <si>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</si>
  <si>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</si>
  <si>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</si>
  <si>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</si>
  <si>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</si>
  <si>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</si>
  <si>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</si>
  <si>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</si>
  <si>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</si>
  <si>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</si>
  <si>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</si>
  <si>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</si>
  <si>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</si>
  <si>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</si>
  <si>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</si>
  <si>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</si>
  <si>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</si>
  <si>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</si>
  <si>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</si>
  <si>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</si>
  <si>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</si>
  <si>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</si>
  <si>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</si>
  <si>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</si>
  <si>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</si>
  <si>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</si>
  <si>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</si>
  <si>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</si>
  <si>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</si>
  <si>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</si>
  <si>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</si>
  <si>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</si>
  <si>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</si>
  <si>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</si>
  <si>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</si>
  <si>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</si>
  <si>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</si>
  <si>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</si>
  <si>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</si>
  <si>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</si>
  <si>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</si>
  <si>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</si>
  <si>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</si>
  <si>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</si>
  <si>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</si>
  <si>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</si>
  <si>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</si>
  <si>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</si>
  <si>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</si>
  <si>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</si>
  <si>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</si>
  <si>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</si>
  <si>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</si>
  <si>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</si>
  <si>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</si>
  <si>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</si>
  <si>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</si>
  <si>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</si>
  <si>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</si>
  <si>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</si>
  <si>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</si>
  <si>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</si>
  <si>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</si>
  <si>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</si>
  <si>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</si>
  <si>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</si>
  <si>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</si>
  <si>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</si>
  <si>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</si>
  <si>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</si>
  <si>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</si>
  <si>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</si>
  <si>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</si>
  <si>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</si>
  <si>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</si>
  <si>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</si>
  <si>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</si>
  <si>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</si>
  <si>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</si>
  <si>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</si>
  <si>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</si>
  <si>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</si>
  <si>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</si>
  <si>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</si>
  <si>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</si>
  <si>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</si>
  <si>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</si>
  <si>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</si>
  <si>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</si>
  <si>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</si>
  <si>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</si>
  <si>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</si>
  <si>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</si>
  <si>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</si>
  <si>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</si>
  <si>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</si>
  <si>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</si>
  <si>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</si>
  <si>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</si>
  <si>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</si>
  <si>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</si>
  <si>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</si>
  <si>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</si>
  <si>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</si>
  <si>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</si>
  <si>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</si>
  <si>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</si>
  <si>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</si>
  <si>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</si>
  <si>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</si>
  <si>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</si>
  <si>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</si>
  <si>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</si>
  <si>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</si>
  <si>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</si>
  <si>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</si>
  <si>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</si>
  <si>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</si>
  <si>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</si>
  <si>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</si>
  <si>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</si>
  <si>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</si>
  <si>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</si>
  <si>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</si>
  <si>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</si>
  <si>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</si>
  <si>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</si>
  <si>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</si>
  <si>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</si>
  <si>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</si>
  <si>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</si>
  <si>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</si>
  <si>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</si>
  <si>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</si>
  <si>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</si>
  <si>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</si>
  <si>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</si>
  <si>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</si>
  <si>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</si>
  <si>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</si>
  <si>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</si>
  <si>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</si>
  <si>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</si>
  <si>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</si>
  <si>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</si>
  <si>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</si>
  <si>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</si>
  <si>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</si>
  <si>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</si>
  <si>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</si>
  <si>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</si>
  <si>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</si>
  <si>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</si>
  <si>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</si>
  <si>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</si>
  <si>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</si>
  <si>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</si>
  <si>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</si>
  <si>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</si>
  <si>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</si>
  <si>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</si>
  <si>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</si>
  <si>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</si>
  <si>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</si>
  <si>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</si>
  <si>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</si>
  <si>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</si>
  <si>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</si>
  <si>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</si>
  <si>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</si>
  <si>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</si>
  <si>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</si>
  <si>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</si>
  <si>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</si>
  <si>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</si>
  <si>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</si>
  <si>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</si>
  <si>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</si>
  <si>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</si>
  <si>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</si>
  <si>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</si>
  <si>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</si>
  <si>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</si>
  <si>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</si>
  <si>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</si>
  <si>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</si>
  <si>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</si>
  <si>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</si>
  <si>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</si>
  <si>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</si>
  <si>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</si>
  <si>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</si>
  <si>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</si>
  <si>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</si>
  <si>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</si>
  <si>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</si>
  <si>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</si>
  <si>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</si>
  <si>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</si>
  <si>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</si>
  <si>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</si>
  <si>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</si>
  <si>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</si>
  <si>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</si>
  <si>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</si>
  <si>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</si>
  <si>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</si>
  <si>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</si>
  <si>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</si>
  <si>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</si>
  <si>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</si>
  <si>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</si>
  <si>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</si>
  <si>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</si>
  <si>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</si>
  <si>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</si>
  <si>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</si>
  <si>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</si>
  <si>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</si>
  <si>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</si>
  <si>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</si>
  <si>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</si>
  <si>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</si>
  <si>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</si>
  <si>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</si>
  <si>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</si>
  <si>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</si>
  <si>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</si>
  <si>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</si>
  <si>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</si>
  <si>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</si>
  <si>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</si>
  <si>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</si>
  <si>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</si>
  <si>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</si>
  <si>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</si>
  <si>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</si>
  <si>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</si>
  <si>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</si>
  <si>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</si>
  <si>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</si>
  <si>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</si>
  <si>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</si>
  <si>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</si>
  <si>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</si>
  <si>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</si>
  <si>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</si>
  <si>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</si>
  <si>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</si>
  <si>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</si>
  <si>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</si>
  <si>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</si>
  <si>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</si>
  <si>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</si>
  <si>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</si>
  <si>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</si>
  <si>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</si>
  <si>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</si>
  <si>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</si>
  <si>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</si>
  <si>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</si>
  <si>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</si>
  <si>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</si>
  <si>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</si>
  <si>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</si>
  <si>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</si>
  <si>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</si>
  <si>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</si>
  <si>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</si>
  <si>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</si>
  <si>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</si>
  <si>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</si>
  <si>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</si>
  <si>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</si>
  <si>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</si>
  <si>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</si>
  <si>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</si>
  <si>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</si>
  <si>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</si>
  <si>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</si>
  <si>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</si>
  <si>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</si>
  <si>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</si>
  <si>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</si>
  <si>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</si>
  <si>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</si>
  <si>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</si>
  <si>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</si>
  <si>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</si>
  <si>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</si>
  <si>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</si>
  <si>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</si>
  <si>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</si>
  <si>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</si>
  <si>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</si>
  <si>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</si>
  <si>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</si>
  <si>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</si>
  <si>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</si>
  <si>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</si>
  <si>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</si>
  <si>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</si>
  <si>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</si>
  <si>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</si>
  <si>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</si>
  <si>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</si>
  <si>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</si>
  <si>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</si>
  <si>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</si>
  <si>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</si>
  <si>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</si>
  <si>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</si>
  <si>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</si>
  <si>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</si>
  <si>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</si>
  <si>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</si>
  <si>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</si>
  <si>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</si>
  <si>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</si>
  <si>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</si>
  <si>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</si>
  <si>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</si>
  <si>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</si>
  <si>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</si>
  <si>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</si>
  <si>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</si>
  <si>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</si>
  <si>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</si>
  <si>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</si>
  <si>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</si>
  <si>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</si>
  <si>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</si>
  <si>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</si>
  <si>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</si>
  <si>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</si>
  <si>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</si>
  <si>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</si>
  <si>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</si>
  <si>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</si>
  <si>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</si>
  <si>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</si>
  <si>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</si>
  <si>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</si>
  <si>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</si>
  <si>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</si>
  <si>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</si>
  <si>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</si>
  <si>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</si>
  <si>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</si>
  <si>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</si>
  <si>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</si>
  <si>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</si>
  <si>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</si>
  <si>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</si>
  <si>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</si>
  <si>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</si>
  <si>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</si>
  <si>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</si>
  <si>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</si>
  <si>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</si>
  <si>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</si>
  <si>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</si>
  <si>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</si>
  <si>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</si>
  <si>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</si>
  <si>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</si>
  <si>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</si>
  <si>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</si>
  <si>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</si>
  <si>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</si>
  <si>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</si>
  <si>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</si>
  <si>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</si>
  <si>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</si>
  <si>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</si>
  <si>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</si>
  <si>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</si>
  <si>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</si>
  <si>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</si>
  <si>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</si>
  <si>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</si>
  <si>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</si>
  <si>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</si>
  <si>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</si>
  <si>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</si>
  <si>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</si>
  <si>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</si>
  <si>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</si>
  <si>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</si>
  <si>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</si>
  <si>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</si>
  <si>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</si>
  <si>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</si>
  <si>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</si>
  <si>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</si>
  <si>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</si>
  <si>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</si>
  <si>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</si>
  <si>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</si>
  <si>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</si>
  <si>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</si>
  <si>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</si>
  <si>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</si>
  <si>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</si>
  <si>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</si>
  <si>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</si>
  <si>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</si>
  <si>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</si>
  <si>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</si>
  <si>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</si>
  <si>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</si>
  <si>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</si>
  <si>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</si>
  <si>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</si>
  <si>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</si>
  <si>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</si>
  <si>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</si>
  <si>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</si>
  <si>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</si>
  <si>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</si>
  <si>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</si>
  <si>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</si>
  <si>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</si>
  <si>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</si>
  <si>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</si>
  <si>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</si>
  <si>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</si>
  <si>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</si>
  <si>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</si>
  <si>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</si>
  <si>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</si>
  <si>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</si>
  <si>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</si>
  <si>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</si>
  <si>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</si>
  <si>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</si>
  <si>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</si>
  <si>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</si>
  <si>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</si>
  <si>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</si>
  <si>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</si>
  <si>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</si>
  <si>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</si>
  <si>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</si>
  <si>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</si>
  <si>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</si>
  <si>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</si>
  <si>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</si>
  <si>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</si>
  <si>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</si>
  <si>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</si>
  <si>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</si>
  <si>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</si>
  <si>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</si>
  <si>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</si>
  <si>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</si>
  <si>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</si>
  <si>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</si>
  <si>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</si>
  <si>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</si>
  <si>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</si>
  <si>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</si>
  <si>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</si>
  <si>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</si>
  <si>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</si>
  <si>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</si>
  <si>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</si>
  <si>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</si>
  <si>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</si>
  <si>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</si>
  <si>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</si>
  <si>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</si>
  <si>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</si>
  <si>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</si>
  <si>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</si>
  <si>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</si>
  <si>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</si>
  <si>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</si>
  <si>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</si>
  <si>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</si>
  <si>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</si>
  <si>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</si>
  <si>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</si>
  <si>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</si>
  <si>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</si>
  <si>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</si>
  <si>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</si>
  <si>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</si>
  <si>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</si>
  <si>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</si>
  <si>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</si>
  <si>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</si>
  <si>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</si>
  <si>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</si>
  <si>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</si>
  <si>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</si>
  <si>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</si>
  <si>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</si>
  <si>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</si>
  <si>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</si>
  <si>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</si>
  <si>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</si>
  <si>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</si>
  <si>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</si>
  <si>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</si>
  <si>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</si>
  <si>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</si>
  <si>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</si>
  <si>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</si>
  <si>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</si>
  <si>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</si>
  <si>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</si>
  <si>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</si>
  <si>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</si>
  <si>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</si>
  <si>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</si>
  <si>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</si>
  <si>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</si>
  <si>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</si>
  <si>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</si>
  <si>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</si>
  <si>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</si>
  <si>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</si>
  <si>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</si>
  <si>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</si>
  <si>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</si>
  <si>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</si>
  <si>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</si>
  <si>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</si>
  <si>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</si>
  <si>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</si>
  <si>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</si>
  <si>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</si>
  <si>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</si>
  <si>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</si>
  <si>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</si>
  <si>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</si>
  <si>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</si>
  <si>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</si>
  <si>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</si>
  <si>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</si>
  <si>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</si>
  <si>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</si>
  <si>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</si>
  <si>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</si>
  <si>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</si>
  <si>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</si>
  <si>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 of Total Residential Units</t>
  </si>
  <si>
    <t>Local PHA</t>
  </si>
  <si>
    <t>Contact</t>
  </si>
  <si>
    <t>State</t>
  </si>
  <si>
    <t>Email</t>
  </si>
  <si>
    <t>Direct line</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</si>
  <si>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</si>
  <si>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</si>
  <si>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</si>
  <si>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</si>
  <si>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</si>
  <si>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</si>
  <si>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</si>
  <si>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</si>
  <si>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</si>
  <si>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</si>
  <si>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</si>
  <si>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</si>
  <si>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</si>
  <si>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</si>
  <si>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</si>
  <si>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</si>
  <si>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</si>
  <si>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</si>
  <si>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</si>
  <si>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</si>
  <si>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</si>
  <si>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</si>
  <si>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</si>
  <si>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</si>
  <si>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</si>
  <si>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</si>
  <si>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</si>
  <si>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</si>
  <si>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</si>
  <si>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</si>
  <si>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</si>
  <si>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</si>
  <si>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</si>
  <si>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</si>
  <si>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</si>
  <si>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</si>
  <si>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</si>
  <si>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</si>
  <si>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</si>
  <si>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</si>
  <si>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</si>
  <si>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</si>
  <si>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</si>
  <si>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</si>
  <si>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</si>
  <si>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</si>
  <si>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</si>
  <si>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</si>
  <si>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</si>
  <si>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</si>
  <si>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</si>
  <si>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</si>
  <si>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</si>
  <si>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</si>
  <si>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</si>
  <si>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</si>
  <si>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</si>
  <si>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</si>
  <si>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</si>
  <si>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</si>
  <si>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</si>
  <si>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</si>
  <si>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</si>
  <si>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</si>
  <si>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</si>
  <si>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</si>
  <si>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</si>
  <si>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</si>
  <si>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</si>
  <si>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</si>
  <si>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</si>
  <si>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</si>
  <si>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</si>
  <si>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</si>
  <si>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</si>
  <si>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</si>
  <si>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</si>
  <si>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</si>
  <si>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</si>
  <si>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</si>
  <si>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</si>
  <si>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</si>
  <si>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</si>
  <si>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</si>
  <si>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</si>
  <si>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</si>
  <si>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</si>
  <si>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</si>
  <si>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</si>
  <si>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</si>
  <si>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</si>
  <si>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</si>
  <si>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</si>
  <si>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</si>
  <si>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</si>
  <si>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</si>
  <si>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</si>
  <si>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</si>
  <si>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</si>
  <si>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</si>
  <si>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</si>
  <si>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</si>
  <si>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</si>
  <si>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</si>
  <si>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</si>
  <si>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</si>
  <si>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</si>
  <si>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</si>
  <si>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</si>
  <si>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</si>
  <si>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</si>
  <si>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</si>
  <si>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</si>
  <si>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</si>
  <si>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</si>
  <si>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</si>
  <si>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</si>
  <si>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</si>
  <si>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</si>
  <si>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</si>
  <si>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</si>
  <si>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</si>
  <si>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</si>
  <si>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</si>
  <si>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</si>
  <si>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</si>
  <si>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</si>
  <si>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</si>
  <si>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</si>
  <si>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</si>
  <si>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</si>
  <si>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</si>
  <si>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</si>
  <si>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</si>
  <si>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</si>
  <si>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</si>
  <si>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</si>
  <si>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</si>
  <si>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</si>
  <si>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</si>
  <si>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</si>
  <si>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</si>
  <si>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</si>
  <si>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</si>
  <si>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</si>
  <si>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</si>
  <si>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</si>
  <si>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</si>
  <si>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</si>
  <si>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</si>
  <si>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</si>
  <si>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</si>
  <si>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</si>
  <si>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</si>
  <si>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</si>
  <si>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</si>
  <si>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</si>
  <si>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</si>
  <si>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</si>
  <si>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</si>
  <si>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</si>
  <si>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</si>
  <si>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</si>
  <si>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</si>
  <si>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</si>
  <si>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</si>
  <si>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</si>
  <si>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</si>
  <si>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</si>
  <si>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</si>
  <si>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</si>
  <si>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</si>
  <si>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</si>
  <si>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</si>
  <si>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</si>
  <si>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</si>
  <si>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</si>
  <si>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</si>
  <si>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</si>
  <si>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</si>
  <si>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</si>
  <si>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</si>
  <si>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</si>
  <si>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</si>
  <si>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</si>
  <si>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</si>
  <si>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</si>
  <si>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</si>
  <si>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</si>
  <si>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</si>
  <si>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</si>
  <si>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</si>
  <si>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</si>
  <si>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</si>
  <si>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</si>
  <si>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</si>
  <si>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</si>
  <si>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</si>
  <si>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</si>
  <si>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</si>
  <si>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</si>
  <si>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</si>
  <si>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</si>
  <si>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</si>
  <si>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</si>
  <si>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</si>
  <si>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</si>
  <si>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</si>
  <si>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</si>
  <si>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</si>
  <si>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</si>
  <si>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</si>
  <si>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</si>
  <si>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</si>
  <si>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</si>
  <si>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</si>
  <si>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</si>
  <si>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</si>
  <si>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</si>
  <si>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</si>
  <si>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</si>
  <si>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</si>
  <si>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</si>
  <si>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</si>
  <si>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</si>
  <si>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</si>
  <si>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</si>
  <si>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</si>
  <si>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</si>
  <si>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</si>
  <si>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</si>
  <si>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</si>
  <si>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</si>
  <si>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</si>
  <si>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</si>
  <si>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</si>
  <si>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</si>
  <si>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</si>
  <si>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</si>
  <si>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</si>
  <si>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</si>
  <si>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</si>
  <si>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</si>
  <si>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</si>
  <si>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</si>
  <si>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</si>
  <si>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</si>
  <si>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</si>
  <si>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</si>
  <si>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</si>
  <si>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</si>
  <si>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</si>
  <si>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</si>
  <si>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</si>
  <si>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</si>
  <si>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</si>
  <si>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</si>
  <si>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</si>
  <si>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</si>
  <si>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</si>
  <si>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</si>
  <si>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</si>
  <si>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</si>
  <si>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</si>
  <si>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</si>
  <si>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</si>
  <si>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</si>
  <si>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</si>
  <si>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</si>
  <si>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</si>
  <si>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</si>
  <si>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</si>
  <si>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</si>
  <si>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</si>
  <si>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</si>
  <si>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</si>
  <si>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</si>
  <si>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</si>
  <si>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</si>
  <si>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</si>
  <si>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</si>
  <si>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</si>
  <si>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</si>
  <si>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</si>
  <si>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</si>
  <si>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</si>
  <si>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</si>
  <si>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</si>
  <si>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</si>
  <si>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</si>
  <si>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</si>
  <si>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</si>
  <si>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</si>
  <si>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</si>
  <si>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</si>
  <si>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</si>
  <si>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</si>
  <si>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</si>
  <si>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</si>
  <si>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</si>
  <si>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</si>
  <si>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</si>
  <si>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</si>
  <si>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</si>
  <si>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</si>
  <si>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</si>
  <si>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</si>
  <si>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</si>
  <si>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</si>
  <si>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</si>
  <si>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</si>
  <si>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</si>
  <si>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</si>
  <si>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</si>
  <si>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</si>
  <si>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</si>
  <si>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</si>
  <si>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</si>
  <si>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</si>
  <si>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</si>
  <si>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</si>
  <si>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</si>
  <si>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</si>
  <si>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</si>
  <si>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</si>
  <si>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</si>
  <si>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</si>
  <si>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</si>
  <si>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</si>
  <si>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</si>
  <si>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</si>
  <si>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</si>
  <si>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</si>
  <si>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</si>
  <si>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</si>
  <si>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</si>
  <si>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</si>
  <si>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</si>
  <si>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</si>
  <si>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</si>
  <si>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</si>
  <si>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</si>
  <si>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</si>
  <si>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</si>
  <si>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</si>
  <si>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</si>
  <si>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</si>
  <si>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</si>
  <si>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</si>
  <si>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</si>
  <si>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</si>
  <si>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</si>
  <si>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</si>
  <si>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</si>
  <si>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</si>
  <si>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</si>
  <si>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</si>
  <si>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</si>
  <si>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</si>
  <si>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</si>
  <si>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</si>
  <si>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</si>
  <si>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</si>
  <si>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</si>
  <si>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</si>
  <si>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</si>
  <si>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</si>
  <si>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</si>
  <si>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</si>
  <si>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</si>
  <si>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</si>
  <si>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</si>
  <si>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</si>
  <si>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</si>
  <si>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</si>
  <si>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</si>
  <si>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</si>
  <si>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</si>
  <si>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</si>
  <si>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</si>
  <si>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</si>
  <si>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</si>
  <si>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</si>
  <si>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</si>
  <si>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</si>
  <si>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</si>
  <si>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</si>
  <si>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</si>
  <si>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</si>
  <si>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</si>
  <si>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</si>
  <si>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</si>
  <si>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</si>
  <si>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</si>
  <si>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</si>
  <si>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</si>
  <si>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</si>
  <si>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</si>
  <si>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</si>
  <si>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</si>
  <si>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</si>
  <si>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</si>
  <si>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</si>
  <si>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</si>
  <si>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</si>
  <si>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</si>
  <si>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</si>
  <si>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</si>
  <si>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</si>
  <si>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</si>
  <si>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</si>
  <si>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</si>
  <si>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</si>
  <si>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</si>
  <si>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</si>
  <si>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</si>
  <si>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</si>
  <si>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</si>
  <si>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</si>
  <si>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</si>
  <si>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</si>
  <si>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</si>
  <si>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</si>
  <si>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</si>
  <si>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</si>
  <si>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</si>
  <si>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</si>
  <si>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</si>
  <si>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</si>
  <si>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</si>
  <si>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</si>
  <si>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</si>
  <si>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</si>
  <si>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</si>
  <si>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</si>
  <si>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</si>
  <si>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</si>
  <si>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</si>
  <si>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</si>
  <si>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</si>
  <si>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</si>
  <si>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</si>
  <si>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</si>
  <si>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</si>
  <si>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</si>
  <si>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</si>
  <si>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</si>
  <si>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</si>
  <si>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</si>
  <si>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</si>
  <si>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</si>
  <si>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</si>
  <si>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</si>
  <si>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</si>
  <si>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</si>
  <si>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</si>
  <si>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</si>
  <si>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</si>
  <si>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</si>
  <si>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</si>
  <si>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</si>
  <si>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</si>
  <si>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</si>
  <si>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</si>
  <si>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</si>
  <si>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</si>
  <si>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</si>
  <si>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</si>
  <si>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</si>
  <si>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</si>
  <si>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</si>
  <si>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</si>
  <si>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</si>
  <si>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</si>
  <si>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</si>
  <si>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</si>
  <si>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</si>
  <si>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</si>
  <si>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</si>
  <si>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</si>
  <si>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</si>
  <si>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</si>
  <si>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</si>
  <si>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</si>
  <si>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</si>
  <si>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</si>
  <si>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</si>
  <si>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</si>
  <si>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</si>
  <si>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</si>
  <si>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</si>
  <si>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</si>
  <si>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</si>
  <si>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</si>
  <si>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</si>
  <si>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</si>
  <si>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</si>
  <si>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</si>
  <si>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</si>
  <si>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</si>
  <si>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</si>
  <si>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</si>
  <si>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</si>
  <si>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</si>
  <si>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</si>
  <si>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</si>
  <si>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</si>
  <si>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</si>
  <si>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</si>
  <si>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</si>
  <si>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</si>
  <si>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</si>
  <si>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</si>
  <si>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</si>
  <si>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</si>
  <si>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</si>
  <si>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</si>
  <si>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</si>
  <si>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</si>
  <si>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</si>
  <si>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</si>
  <si>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</si>
  <si>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</si>
  <si>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</si>
  <si>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</si>
  <si>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</si>
  <si>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</si>
  <si>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</si>
  <si>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</si>
  <si>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</si>
  <si>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</si>
  <si>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</si>
  <si>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</si>
  <si>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</si>
  <si>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</si>
  <si>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</si>
  <si>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</si>
  <si>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</si>
  <si>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</si>
  <si>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</si>
  <si>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</si>
  <si>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</si>
  <si>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</si>
  <si>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</si>
  <si>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</si>
  <si>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</si>
  <si>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</si>
  <si>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</si>
  <si>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</si>
  <si>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</si>
  <si>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</si>
  <si>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</si>
  <si>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</si>
  <si>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</si>
  <si>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</si>
  <si>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</si>
  <si>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</si>
  <si>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</si>
  <si>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</si>
  <si>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</si>
  <si>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</si>
  <si>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</si>
  <si>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</si>
  <si>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</si>
  <si>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</si>
  <si>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</si>
  <si>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</si>
  <si>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</si>
  <si>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</si>
  <si>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</si>
  <si>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</si>
  <si>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</si>
  <si>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</si>
  <si>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</si>
  <si>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</si>
  <si>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</si>
  <si>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</si>
  <si>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</si>
  <si>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</si>
  <si>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</si>
  <si>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</si>
  <si>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</si>
  <si>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</si>
  <si>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</si>
  <si>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</si>
  <si>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</si>
  <si>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</si>
  <si>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</si>
  <si>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</si>
  <si>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</si>
  <si>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</si>
  <si>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</si>
  <si>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</si>
  <si>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</si>
  <si>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</si>
  <si>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</si>
  <si>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</si>
  <si>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</si>
  <si>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</si>
  <si>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</si>
  <si>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</si>
  <si>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</si>
  <si>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</si>
  <si>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</si>
  <si>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</si>
  <si>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</si>
  <si>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</si>
  <si>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</si>
  <si>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</si>
  <si>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</si>
  <si>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</si>
  <si>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</si>
  <si>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</si>
  <si>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</si>
  <si>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</si>
  <si>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</si>
  <si>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</si>
  <si>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</si>
  <si>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</si>
  <si>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</si>
  <si>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</si>
  <si>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</si>
  <si>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</si>
  <si>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</si>
  <si>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</si>
  <si>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</si>
  <si>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</si>
  <si>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</si>
  <si>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</si>
  <si>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</si>
  <si>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</si>
  <si>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</si>
  <si>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</si>
  <si>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</si>
  <si>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</si>
  <si>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</si>
  <si>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</si>
  <si>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</si>
  <si>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</si>
  <si>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</si>
  <si>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</si>
  <si>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</si>
  <si>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</si>
  <si>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</si>
  <si>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</si>
  <si>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</si>
  <si>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</si>
  <si>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</si>
  <si>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</si>
  <si>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</si>
  <si>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</si>
  <si>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</si>
  <si>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</si>
  <si>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</si>
  <si>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</si>
  <si>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</si>
  <si>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</si>
  <si>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</si>
  <si>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</si>
  <si>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</si>
  <si>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</si>
  <si>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</si>
  <si>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</si>
  <si>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</si>
  <si>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</si>
  <si>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</si>
  <si>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</si>
  <si>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</si>
  <si>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</si>
  <si>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</si>
  <si>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</si>
  <si>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</si>
  <si>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</si>
  <si>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</si>
  <si>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</si>
  <si>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</si>
  <si>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</si>
  <si>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</si>
  <si>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</si>
  <si>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</si>
  <si>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</si>
  <si>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</si>
  <si>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</si>
  <si>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</si>
  <si>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</si>
  <si>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</si>
  <si>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</si>
  <si>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</si>
  <si>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</si>
  <si>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</si>
  <si>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</si>
  <si>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</si>
  <si>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</si>
  <si>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</si>
  <si>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</si>
  <si>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</si>
  <si>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</si>
  <si>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</si>
  <si>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</si>
  <si>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</si>
  <si>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</si>
  <si>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</si>
  <si>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</si>
  <si>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</si>
  <si>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</si>
  <si>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</si>
  <si>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</si>
  <si>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</si>
  <si>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</si>
  <si>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</si>
  <si>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</si>
  <si>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</si>
  <si>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</si>
  <si>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</si>
  <si>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</si>
  <si>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</si>
  <si>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</si>
  <si>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</si>
  <si>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</si>
  <si>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</si>
  <si>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</si>
  <si>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</si>
  <si>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</si>
  <si>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</si>
  <si>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</si>
  <si>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</si>
  <si>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</si>
  <si>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</si>
  <si>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</si>
  <si>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</si>
  <si>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</si>
  <si>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</si>
  <si>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</si>
  <si>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</si>
  <si>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</si>
  <si>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</si>
  <si>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</si>
  <si>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</si>
  <si>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</si>
  <si>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</si>
  <si>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</si>
  <si>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</si>
  <si>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</si>
  <si>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</si>
  <si>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</si>
  <si>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</si>
  <si>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</si>
  <si>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</si>
  <si>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</si>
  <si>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</si>
  <si>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</si>
  <si>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</si>
  <si>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</si>
  <si>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</si>
  <si>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</si>
  <si>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</si>
  <si>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</si>
  <si>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</si>
  <si>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</si>
  <si>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</si>
  <si>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</si>
  <si>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</si>
  <si>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</si>
  <si>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</si>
  <si>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</si>
  <si>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</si>
  <si>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</si>
  <si>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</si>
  <si>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</si>
  <si>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</si>
  <si>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</si>
  <si>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</si>
  <si>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</si>
  <si>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</si>
  <si>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</si>
  <si>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</si>
  <si>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</si>
  <si>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</si>
  <si>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</si>
  <si>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</si>
  <si>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</si>
  <si>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</si>
  <si>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</si>
  <si>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</si>
  <si>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</si>
  <si>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</si>
  <si>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</si>
  <si>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</si>
  <si>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</si>
  <si>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</si>
  <si>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</si>
  <si>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</si>
  <si>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</si>
  <si>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</si>
  <si>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</si>
  <si>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</si>
  <si>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</si>
  <si>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</si>
  <si>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</si>
  <si>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</si>
  <si>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</si>
  <si>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</si>
  <si>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</si>
  <si>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</si>
  <si>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</si>
  <si>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</si>
  <si>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</si>
  <si>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</si>
  <si>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</si>
  <si>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</si>
  <si>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</si>
  <si>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</si>
  <si>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</si>
  <si>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</si>
  <si>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</si>
  <si>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</si>
  <si>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</si>
  <si>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</si>
  <si>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</si>
  <si>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</si>
  <si>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Other (specify):</t>
  </si>
  <si>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</si>
  <si>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</si>
  <si>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</si>
  <si>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</si>
  <si>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</si>
  <si>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</si>
  <si>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</si>
  <si>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</si>
  <si>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</si>
  <si>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</si>
  <si>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</si>
  <si>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</si>
  <si>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</si>
  <si>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</si>
  <si>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</si>
  <si>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</si>
  <si>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COST LIMITS</t>
  </si>
  <si>
    <t>1 Bedroom</t>
  </si>
  <si>
    <t>2 Bedroom</t>
  </si>
  <si>
    <t>Unit Type</t>
  </si>
  <si>
    <t>New Construction and</t>
  </si>
  <si>
    <t>3 Bedroom</t>
  </si>
  <si>
    <t>Totals</t>
  </si>
  <si>
    <t>(1 or 2 pts each - see QAP)</t>
  </si>
  <si>
    <t>HISTORIC PRESERVATION</t>
  </si>
  <si>
    <t>Sustainable Communities Site Analysis Packet or Feasibility study?</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</si>
  <si>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</si>
  <si>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</si>
  <si>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</si>
  <si>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</si>
  <si>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r>
      <t xml:space="preserve">Nearest Physical Street Address </t>
    </r>
    <r>
      <rPr>
        <b/>
        <sz val="10"/>
        <color rgb="FFFF0000"/>
        <rFont val="Arial Narrow"/>
        <family val="2"/>
      </rPr>
      <t>*</t>
    </r>
  </si>
  <si>
    <t>Is this Criterion met?</t>
  </si>
  <si>
    <t>Builder Overhead</t>
  </si>
  <si>
    <t>General Requirements*</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</si>
  <si>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</si>
  <si>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</si>
  <si>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</si>
  <si>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</si>
  <si>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</si>
  <si>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</si>
  <si>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</si>
  <si>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</si>
  <si>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</si>
  <si>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</si>
  <si>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</si>
  <si>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</si>
  <si>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</si>
  <si>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</si>
  <si>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</si>
  <si>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</si>
  <si>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</si>
  <si>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</si>
  <si>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</si>
  <si>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</si>
  <si>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</si>
  <si>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</si>
  <si>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</si>
  <si>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</si>
  <si>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</si>
  <si>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</si>
  <si>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</si>
  <si>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</si>
  <si>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Accessory Structures (ie. community bldg, maintenance bldg, etc.) - Rehab</t>
  </si>
  <si>
    <t>XIV.</t>
  </si>
  <si>
    <t>APPLICATION COMPLETENESS</t>
  </si>
  <si>
    <t>STABLE COMMUNITIES</t>
  </si>
  <si>
    <t>Rural Pool</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</si>
  <si>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</si>
  <si>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</si>
  <si>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</si>
  <si>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</si>
  <si>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</si>
  <si>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</si>
  <si>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</si>
  <si>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</si>
  <si>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</si>
  <si>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</si>
  <si>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</si>
  <si>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</si>
  <si>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</si>
  <si>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</si>
  <si>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</si>
  <si>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</si>
  <si>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</si>
  <si>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</si>
  <si>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</si>
  <si>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</si>
  <si>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</si>
  <si>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</si>
  <si>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</si>
  <si>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</si>
  <si>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</si>
  <si>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</si>
  <si>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</si>
  <si>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</si>
  <si>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</si>
  <si>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</si>
  <si>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</si>
  <si>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</si>
  <si>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</si>
  <si>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</si>
  <si>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</si>
  <si>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</si>
  <si>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</si>
  <si>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</si>
  <si>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</si>
  <si>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</si>
  <si>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</si>
  <si>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</si>
  <si>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</si>
  <si>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</si>
  <si>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</si>
  <si>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</si>
  <si>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</si>
  <si>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</si>
  <si>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</si>
  <si>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</si>
  <si>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</si>
  <si>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</si>
  <si>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</si>
  <si>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</si>
  <si>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</si>
  <si>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</si>
  <si>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</si>
  <si>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</si>
  <si>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</si>
  <si>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</si>
  <si>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</si>
  <si>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</si>
  <si>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</si>
  <si>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</si>
  <si>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</si>
  <si>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</si>
  <si>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</si>
  <si>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</si>
  <si>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</si>
  <si>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</si>
  <si>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</si>
  <si>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</si>
  <si>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</si>
  <si>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</si>
  <si>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</si>
  <si>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</si>
  <si>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</si>
  <si>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</si>
  <si>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</si>
  <si>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</si>
  <si>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</si>
  <si>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</si>
  <si>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</si>
  <si>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</si>
  <si>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</si>
  <si>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</si>
  <si>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</si>
  <si>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</si>
  <si>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</si>
  <si>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</si>
  <si>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</si>
  <si>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</si>
  <si>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</si>
  <si>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</si>
  <si>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</si>
  <si>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</si>
  <si>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</si>
  <si>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</si>
  <si>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</si>
  <si>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</si>
  <si>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</si>
  <si>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</si>
  <si>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</si>
  <si>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</si>
  <si>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</si>
  <si>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</si>
  <si>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</si>
  <si>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</si>
  <si>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</si>
  <si>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</si>
  <si>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</si>
  <si>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</si>
  <si>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</si>
  <si>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</si>
  <si>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</si>
  <si>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</si>
  <si>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</si>
  <si>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</si>
  <si>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</si>
  <si>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</si>
  <si>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</si>
  <si>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</si>
  <si>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</si>
  <si>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</si>
  <si>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</si>
  <si>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</si>
  <si>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</si>
  <si>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</si>
  <si>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</si>
  <si>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</si>
  <si>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</si>
  <si>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</si>
  <si>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</si>
  <si>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</si>
  <si>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</si>
  <si>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</si>
  <si>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</si>
  <si>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</si>
  <si>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</si>
  <si>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</si>
  <si>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</si>
  <si>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</si>
  <si>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</si>
  <si>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</si>
  <si>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</si>
  <si>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</si>
  <si>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</si>
  <si>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</si>
  <si>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</si>
  <si>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</si>
  <si>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</si>
  <si>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</si>
  <si>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</si>
  <si>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</si>
  <si>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</si>
  <si>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</si>
  <si>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</si>
  <si>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</si>
  <si>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</si>
  <si>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</si>
  <si>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</si>
  <si>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</si>
  <si>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</si>
  <si>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</si>
  <si>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</si>
  <si>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</si>
  <si>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</si>
  <si>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</si>
  <si>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</si>
  <si>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</si>
  <si>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</si>
  <si>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</si>
  <si>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</si>
  <si>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</si>
  <si>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</si>
  <si>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</si>
  <si>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</si>
  <si>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</si>
  <si>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</si>
  <si>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</si>
  <si>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</si>
  <si>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</si>
  <si>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</si>
  <si>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</si>
  <si>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</si>
  <si>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</si>
  <si>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</si>
  <si>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</si>
  <si>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</si>
  <si>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</si>
  <si>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</si>
  <si>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</si>
  <si>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</si>
  <si>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</si>
  <si>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</si>
  <si>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</si>
  <si>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</si>
  <si>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</si>
  <si>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</si>
  <si>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</si>
  <si>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</si>
  <si>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</si>
  <si>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</si>
  <si>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</si>
  <si>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</si>
  <si>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</si>
  <si>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</si>
  <si>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</si>
  <si>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</si>
  <si>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</si>
  <si>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</si>
  <si>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</si>
  <si>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</si>
  <si>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</si>
  <si>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</si>
  <si>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</si>
  <si>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</si>
  <si>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</si>
  <si>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</si>
  <si>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</si>
  <si>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</si>
  <si>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</si>
  <si>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</si>
  <si>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</si>
  <si>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</si>
  <si>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</si>
  <si>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</si>
  <si>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</si>
  <si>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</si>
  <si>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</si>
  <si>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</si>
  <si>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</si>
  <si>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</si>
  <si>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</si>
  <si>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</si>
  <si>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</si>
  <si>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</si>
  <si>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</si>
  <si>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</si>
  <si>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</si>
  <si>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</si>
  <si>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</si>
  <si>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</si>
  <si>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</si>
  <si>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</si>
  <si>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</si>
  <si>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</si>
  <si>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</si>
  <si>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</si>
  <si>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</si>
  <si>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</si>
  <si>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</si>
  <si>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</si>
  <si>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</si>
  <si>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</si>
  <si>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</si>
  <si>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</si>
  <si>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</si>
  <si>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</si>
  <si>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</si>
  <si>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</si>
  <si>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</si>
  <si>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</si>
  <si>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</si>
  <si>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</si>
  <si>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</si>
  <si>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</si>
  <si>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</si>
  <si>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</si>
  <si>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</si>
  <si>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</si>
  <si>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</si>
  <si>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</si>
  <si>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</si>
  <si>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</si>
  <si>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</si>
  <si>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</si>
  <si>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</si>
  <si>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</si>
  <si>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</si>
  <si>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</si>
  <si>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</si>
  <si>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</si>
  <si>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</si>
  <si>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</si>
  <si>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</si>
  <si>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</si>
  <si>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</si>
  <si>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</si>
  <si>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</si>
  <si>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</si>
  <si>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</si>
  <si>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</si>
  <si>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</si>
  <si>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</si>
  <si>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</si>
  <si>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</si>
  <si>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</si>
  <si>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</si>
  <si>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</si>
  <si>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</si>
  <si>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</si>
  <si>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</si>
  <si>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</si>
  <si>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</si>
  <si>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</si>
  <si>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</si>
  <si>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</si>
  <si>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</si>
  <si>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</si>
  <si>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</si>
  <si>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</si>
  <si>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</si>
  <si>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</si>
  <si>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</si>
  <si>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</si>
  <si>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</si>
  <si>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</si>
  <si>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</si>
  <si>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</si>
  <si>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</si>
  <si>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</si>
  <si>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</si>
  <si>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</si>
  <si>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</si>
  <si>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</si>
  <si>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</si>
  <si>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</si>
  <si>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</si>
  <si>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</si>
  <si>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</si>
  <si>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</si>
  <si>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</si>
  <si>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</si>
  <si>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</si>
  <si>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</si>
  <si>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</si>
  <si>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</si>
  <si>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</si>
  <si>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</si>
  <si>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</si>
  <si>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</si>
  <si>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</si>
  <si>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</si>
  <si>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</si>
  <si>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</si>
  <si>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</si>
  <si>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</si>
  <si>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</si>
  <si>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</si>
  <si>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</si>
  <si>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</si>
  <si>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</si>
  <si>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</si>
  <si>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</si>
  <si>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</si>
  <si>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</si>
  <si>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</si>
  <si>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</si>
  <si>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</si>
  <si>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</si>
  <si>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</si>
  <si>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</si>
  <si>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</si>
  <si>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</si>
  <si>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</si>
  <si>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</si>
  <si>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</si>
  <si>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</si>
  <si>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</si>
  <si>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</si>
  <si>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</si>
  <si>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</si>
  <si>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</si>
  <si>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</si>
  <si>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</si>
  <si>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</si>
  <si>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</si>
  <si>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</si>
  <si>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</si>
  <si>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</si>
  <si>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</si>
  <si>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</si>
  <si>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</si>
  <si>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</si>
  <si>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</si>
  <si>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</si>
  <si>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</si>
  <si>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</si>
  <si>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</si>
  <si>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</si>
  <si>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</si>
  <si>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</si>
  <si>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</si>
  <si>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</si>
  <si>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</si>
  <si>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</si>
  <si>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</si>
  <si>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</si>
  <si>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</si>
  <si>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</si>
  <si>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</si>
  <si>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</si>
  <si>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</si>
  <si>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</si>
  <si>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</si>
  <si>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</si>
  <si>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</si>
  <si>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</si>
  <si>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</si>
  <si>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</si>
  <si>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</si>
  <si>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</si>
  <si>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</si>
  <si>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</si>
  <si>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</si>
  <si>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</si>
  <si>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</si>
  <si>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</si>
  <si>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</si>
  <si>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</si>
  <si>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</si>
  <si>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</si>
  <si>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</si>
  <si>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</si>
  <si>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</si>
  <si>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</si>
  <si>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</si>
  <si>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</si>
  <si>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</si>
  <si>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</si>
  <si>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</si>
  <si>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</si>
  <si>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</si>
  <si>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</si>
  <si>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</si>
  <si>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</si>
  <si>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</si>
  <si>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</si>
  <si>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</si>
  <si>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</si>
  <si>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</si>
  <si>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</si>
  <si>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</si>
  <si>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</si>
  <si>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</si>
  <si>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</si>
  <si>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</si>
  <si>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</si>
  <si>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</si>
  <si>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</si>
  <si>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</si>
  <si>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</si>
  <si>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</si>
  <si>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</si>
  <si>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</si>
  <si>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</si>
  <si>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</si>
  <si>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</si>
  <si>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</si>
  <si>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</si>
  <si>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</si>
  <si>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</si>
  <si>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</si>
  <si>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</si>
  <si>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</si>
  <si>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</si>
  <si>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</si>
  <si>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</si>
  <si>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</si>
  <si>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</si>
  <si>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</si>
  <si>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</si>
  <si>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</si>
  <si>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</si>
  <si>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</si>
  <si>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</si>
  <si>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</si>
  <si>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</si>
  <si>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</si>
  <si>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</si>
  <si>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</si>
  <si>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</si>
  <si>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</si>
  <si>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</si>
  <si>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</si>
  <si>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</si>
  <si>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</si>
  <si>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</si>
  <si>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</si>
  <si>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</si>
  <si>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</si>
  <si>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</si>
  <si>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</si>
  <si>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</si>
  <si>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</si>
  <si>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</si>
  <si>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</si>
  <si>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</si>
  <si>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</si>
  <si>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</si>
  <si>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</si>
  <si>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</si>
  <si>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</si>
  <si>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</si>
  <si>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</si>
  <si>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</si>
  <si>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</si>
  <si>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</si>
  <si>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</si>
  <si>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</si>
  <si>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</si>
  <si>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</si>
  <si>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</si>
  <si>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</si>
  <si>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</si>
  <si>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</si>
  <si>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</si>
  <si>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</si>
  <si>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</si>
  <si>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</si>
  <si>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</si>
  <si>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</si>
  <si>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</si>
  <si>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</si>
  <si>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</si>
  <si>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</si>
  <si>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</si>
  <si>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</si>
  <si>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</si>
  <si>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</si>
  <si>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</si>
  <si>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</si>
  <si>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</si>
  <si>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</si>
  <si>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</si>
  <si>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</si>
  <si>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</si>
  <si>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</si>
  <si>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</si>
  <si>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</si>
  <si>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</si>
  <si>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</si>
  <si>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</si>
  <si>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</si>
  <si>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</si>
  <si>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</si>
  <si>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</si>
  <si>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</si>
  <si>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</si>
  <si>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</si>
  <si>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</si>
  <si>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</si>
  <si>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</si>
  <si>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</si>
  <si>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</si>
  <si>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</si>
  <si>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</si>
  <si>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</si>
  <si>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</si>
  <si>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</si>
  <si>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</si>
  <si>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</si>
  <si>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</si>
  <si>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</si>
  <si>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</si>
  <si>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</si>
  <si>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</si>
  <si>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</si>
  <si>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</si>
  <si>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</si>
  <si>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</si>
  <si>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</si>
  <si>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</si>
  <si>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</si>
  <si>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</si>
  <si>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</si>
  <si>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</si>
  <si>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</si>
  <si>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</si>
  <si>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</si>
  <si>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</si>
  <si>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</si>
  <si>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</si>
  <si>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</si>
  <si>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</si>
  <si>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</si>
  <si>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</si>
  <si>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</si>
  <si>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</si>
  <si>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</si>
  <si>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</si>
  <si>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</si>
  <si>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</si>
  <si>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</si>
  <si>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</si>
  <si>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</si>
  <si>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</si>
  <si>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</si>
  <si>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</si>
  <si>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</si>
  <si>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</si>
  <si>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</si>
  <si>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</si>
  <si>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</si>
  <si>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</si>
  <si>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</si>
  <si>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</si>
  <si>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</si>
  <si>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</si>
  <si>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</si>
  <si>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</si>
  <si>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</si>
  <si>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</si>
  <si>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</si>
  <si>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</si>
  <si>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</si>
  <si>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</si>
  <si>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</si>
  <si>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</si>
  <si>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</si>
  <si>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</si>
  <si>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</si>
  <si>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</si>
  <si>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</si>
  <si>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</si>
  <si>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</si>
  <si>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</si>
  <si>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</si>
  <si>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</si>
  <si>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</si>
  <si>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</si>
  <si>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</si>
  <si>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</si>
  <si>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</si>
  <si>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</si>
  <si>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</si>
  <si>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</si>
  <si>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</si>
  <si>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</si>
  <si>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</si>
  <si>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</si>
  <si>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</si>
  <si>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</si>
  <si>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</si>
  <si>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</si>
  <si>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</si>
  <si>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</si>
  <si>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</si>
  <si>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</si>
  <si>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</si>
  <si>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</si>
  <si>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</si>
  <si>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</si>
  <si>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</si>
  <si>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</si>
  <si>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</si>
  <si>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</si>
  <si>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</si>
  <si>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</si>
  <si>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</si>
  <si>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</si>
  <si>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</si>
  <si>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</si>
  <si>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</si>
  <si>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</si>
  <si>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</si>
  <si>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</si>
  <si>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</si>
  <si>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</si>
  <si>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</si>
  <si>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</si>
  <si>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</si>
  <si>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</si>
  <si>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</si>
  <si>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</si>
  <si>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</si>
  <si>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</si>
  <si>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</si>
  <si>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</si>
  <si>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</si>
  <si>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</si>
  <si>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</si>
  <si>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</si>
  <si>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</si>
  <si>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</si>
  <si>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</si>
  <si>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</si>
  <si>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</si>
  <si>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</si>
  <si>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</si>
  <si>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</si>
  <si>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</si>
  <si>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</si>
  <si>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</si>
  <si>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</si>
  <si>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</si>
  <si>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</si>
  <si>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</si>
  <si>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</si>
  <si>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</si>
  <si>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</si>
  <si>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</si>
  <si>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</si>
  <si>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</si>
  <si>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</si>
  <si>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</si>
  <si>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</si>
  <si>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</si>
  <si>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</si>
  <si>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</si>
  <si>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</si>
  <si>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</si>
  <si>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</si>
  <si>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</si>
  <si>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</si>
  <si>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</si>
  <si>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</si>
  <si>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</si>
  <si>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</si>
  <si>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</si>
  <si>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</si>
  <si>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</si>
  <si>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</si>
  <si>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</si>
  <si>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</si>
  <si>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</si>
  <si>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</si>
  <si>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</si>
  <si>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</si>
  <si>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</si>
  <si>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</si>
  <si>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</si>
  <si>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</si>
  <si>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</si>
  <si>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</si>
  <si>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</si>
  <si>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</si>
  <si>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</si>
  <si>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</si>
  <si>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</si>
  <si>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</si>
  <si>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</si>
  <si>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</si>
  <si>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</si>
  <si>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</si>
  <si>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</si>
  <si>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</si>
  <si>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</si>
  <si>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</si>
  <si>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</si>
  <si>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</si>
  <si>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 To all applicants: in addition to your other comments, please provide methodology for determining applicable construction hard costs.</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</si>
  <si>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</si>
  <si>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</si>
  <si>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</si>
  <si>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</si>
  <si>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</si>
  <si>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</si>
  <si>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</si>
  <si>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</si>
  <si>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</si>
  <si>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Access to Public Transportation</t>
  </si>
  <si>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</si>
  <si>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</si>
  <si>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</si>
  <si>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</si>
  <si>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</si>
  <si>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</si>
  <si>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</si>
  <si>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</si>
  <si>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</si>
  <si>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</si>
  <si>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</si>
  <si>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</si>
  <si>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</si>
  <si>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</si>
  <si>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</si>
  <si>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</si>
  <si>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</si>
  <si>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</si>
  <si>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</si>
  <si>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</si>
  <si>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</si>
  <si>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</si>
  <si>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</si>
  <si>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i.</t>
  </si>
  <si>
    <t>ii.</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</si>
  <si>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</si>
  <si>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</si>
  <si>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</si>
  <si>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</si>
  <si>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</si>
  <si>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</si>
  <si>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</si>
  <si>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</si>
  <si>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</si>
  <si>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</si>
  <si>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</si>
  <si>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</si>
  <si>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</si>
  <si>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</si>
  <si>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</si>
  <si>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</si>
  <si>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</si>
  <si>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</si>
  <si>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</si>
  <si>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</si>
  <si>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</si>
  <si>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</si>
  <si>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</si>
  <si>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</si>
  <si>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</si>
  <si>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</si>
  <si>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</si>
  <si>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</si>
  <si>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</si>
  <si>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Entity Name</t>
  </si>
  <si>
    <t>Project Application Amendments, Post Award Project Concept Amendments, Post Letter of Determination</t>
  </si>
  <si>
    <t>Avg Per "Dwelling" unit hard costs - not including community bldgs and common areas.</t>
  </si>
  <si>
    <t>DCA Use ONLY - Project Nbr:</t>
  </si>
  <si>
    <t>Other - explain in Comments</t>
  </si>
  <si>
    <t>Other 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</si>
  <si>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</si>
  <si>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</si>
  <si>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</si>
  <si>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</si>
  <si>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</si>
  <si>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</si>
  <si>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</si>
  <si>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</si>
  <si>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</si>
  <si>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</si>
  <si>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</si>
  <si>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</si>
  <si>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</si>
  <si>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</si>
  <si>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</si>
  <si>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</si>
  <si>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</si>
  <si>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</si>
  <si>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</si>
  <si>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</si>
  <si>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</si>
  <si>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</si>
  <si>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</si>
  <si>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</si>
  <si>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</si>
  <si>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</si>
  <si>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</si>
  <si>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</si>
  <si>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</si>
  <si>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</si>
  <si>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</si>
  <si>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</si>
  <si>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</si>
  <si>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</si>
  <si>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</si>
  <si>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</si>
  <si>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</si>
  <si>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</si>
  <si>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</si>
  <si>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</si>
  <si>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</si>
  <si>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</si>
  <si>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</si>
  <si>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</si>
  <si>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</si>
  <si>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</si>
  <si>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</si>
  <si>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</si>
  <si>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</si>
  <si>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</si>
  <si>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</si>
  <si>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</si>
  <si>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</si>
  <si>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</si>
  <si>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</si>
  <si>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</si>
  <si>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</si>
  <si>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</si>
  <si>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</si>
  <si>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</si>
  <si>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</si>
  <si>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</si>
  <si>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</si>
  <si>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</si>
  <si>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</si>
  <si>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</si>
  <si>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</si>
  <si>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</si>
  <si>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</si>
  <si>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</si>
  <si>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</si>
  <si>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</si>
  <si>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</si>
  <si>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</si>
  <si>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</si>
  <si>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</si>
  <si>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</si>
  <si>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</si>
  <si>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</si>
  <si>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</si>
  <si>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</si>
  <si>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</si>
  <si>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</si>
  <si>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</si>
  <si>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</si>
  <si>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</si>
  <si>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</si>
  <si>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</si>
  <si>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</si>
  <si>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</si>
  <si>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</si>
  <si>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</si>
  <si>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</si>
  <si>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</si>
  <si>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</si>
  <si>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</si>
  <si>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</si>
  <si>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</si>
  <si>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</si>
  <si>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</si>
  <si>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</si>
  <si>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</si>
  <si>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</si>
  <si>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</si>
  <si>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</si>
  <si>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</si>
  <si>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</si>
  <si>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</si>
  <si>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</si>
  <si>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EXPERIENCE, CAPACITY &amp; PERFORMANCE REQUIREMENTS FOR GENERAL PARTNER AND DEVELOPER ENTITIES</t>
  </si>
  <si>
    <t>If multiple entrances and/or stops: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</si>
  <si>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</si>
  <si>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</si>
  <si>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</si>
  <si>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</si>
  <si>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</si>
  <si>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</si>
  <si>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</si>
  <si>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</si>
  <si>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</si>
  <si>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</si>
  <si>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</si>
  <si>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</si>
  <si>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</si>
  <si>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</si>
  <si>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</si>
  <si>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</si>
  <si>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</si>
  <si>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</si>
  <si>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</si>
  <si>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</si>
  <si>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</si>
  <si>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</si>
  <si>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</si>
  <si>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</si>
  <si>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</si>
  <si>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</si>
  <si>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</si>
  <si>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</si>
  <si>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</si>
  <si>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</si>
  <si>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</si>
  <si>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</si>
  <si>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</si>
  <si>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</si>
  <si>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</si>
  <si>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</si>
  <si>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</si>
  <si>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</si>
  <si>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</si>
  <si>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</si>
  <si>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</si>
  <si>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</si>
  <si>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</si>
  <si>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</si>
  <si>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</si>
  <si>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</si>
  <si>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</si>
  <si>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</si>
  <si>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</si>
  <si>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</si>
  <si>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</si>
  <si>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</si>
  <si>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</si>
  <si>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</si>
  <si>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</si>
  <si>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</si>
  <si>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</si>
  <si>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</si>
  <si>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</si>
  <si>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</si>
  <si>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</si>
  <si>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</si>
  <si>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</si>
  <si>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</si>
  <si>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</si>
  <si>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</si>
  <si>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</si>
  <si>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</si>
  <si>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</si>
  <si>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</si>
  <si>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</si>
  <si>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</si>
  <si>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</si>
  <si>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</si>
  <si>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</si>
  <si>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</si>
  <si>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</si>
  <si>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</si>
  <si>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</si>
  <si>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</si>
  <si>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</si>
  <si>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</si>
  <si>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</si>
  <si>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</si>
  <si>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</si>
  <si>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</si>
  <si>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</si>
  <si>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</si>
  <si>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</si>
  <si>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</si>
  <si>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</si>
  <si>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</si>
  <si>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</si>
  <si>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</si>
  <si>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</si>
  <si>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</si>
  <si>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</si>
  <si>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</si>
  <si>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</si>
  <si>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</si>
  <si>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</si>
  <si>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</si>
  <si>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</si>
  <si>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</si>
  <si>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</si>
  <si>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</si>
  <si>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</si>
  <si>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</si>
  <si>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</si>
  <si>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</si>
  <si>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</si>
  <si>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</si>
  <si>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</si>
  <si>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</si>
  <si>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</si>
  <si>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</si>
  <si>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</si>
  <si>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</si>
  <si>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</si>
  <si>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</si>
  <si>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</si>
  <si>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</si>
  <si>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</si>
  <si>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</si>
  <si>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</si>
  <si>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</si>
  <si>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</si>
  <si>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</si>
  <si>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</si>
  <si>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</si>
  <si>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</si>
  <si>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</si>
  <si>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</si>
  <si>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</si>
  <si>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</si>
  <si>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</si>
  <si>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</si>
  <si>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</si>
  <si>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</si>
  <si>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</si>
  <si>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</si>
  <si>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</si>
  <si>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</si>
  <si>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</si>
  <si>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</si>
  <si>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</si>
  <si>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</si>
  <si>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</si>
  <si>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</si>
  <si>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</si>
  <si>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</si>
  <si>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</si>
  <si>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</si>
  <si>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</si>
  <si>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</si>
  <si>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</si>
  <si>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</si>
  <si>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</si>
  <si>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</si>
  <si>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</si>
  <si>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</si>
  <si>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</si>
  <si>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</si>
  <si>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</si>
  <si>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</si>
  <si>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</si>
  <si>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</si>
  <si>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</si>
  <si>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</si>
  <si>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</si>
  <si>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</si>
  <si>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</si>
  <si>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</si>
  <si>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</si>
  <si>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</si>
  <si>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</si>
  <si>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</si>
  <si>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</si>
  <si>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</si>
  <si>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</si>
  <si>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</si>
  <si>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</si>
  <si>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</si>
  <si>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</si>
  <si>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</si>
  <si>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</si>
  <si>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</si>
  <si>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</si>
  <si>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</si>
  <si>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</si>
  <si>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</si>
  <si>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</si>
  <si>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</si>
  <si>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</si>
  <si>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</si>
  <si>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</si>
  <si>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</si>
  <si>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</si>
  <si>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</si>
  <si>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</si>
  <si>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</si>
  <si>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</si>
  <si>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</si>
  <si>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</si>
  <si>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</si>
  <si>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</si>
  <si>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</si>
  <si>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</si>
  <si>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</si>
  <si>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</si>
  <si>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</si>
  <si>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</si>
  <si>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</si>
  <si>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</si>
  <si>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</si>
  <si>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</si>
  <si>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</si>
  <si>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</si>
  <si>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</si>
  <si>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</si>
  <si>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</si>
  <si>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</si>
  <si>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</si>
  <si>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</si>
  <si>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</si>
  <si>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</si>
  <si>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</si>
  <si>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</si>
  <si>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</si>
  <si>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</si>
  <si>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</si>
  <si>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</si>
  <si>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</si>
  <si>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</si>
  <si>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</si>
  <si>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</si>
  <si>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</si>
  <si>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</si>
  <si>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</si>
  <si>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</si>
  <si>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</si>
  <si>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</si>
  <si>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</si>
  <si>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</si>
  <si>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</si>
  <si>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</si>
  <si>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</si>
  <si>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</si>
  <si>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</si>
  <si>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</si>
  <si>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</si>
  <si>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</si>
  <si>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</si>
  <si>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</si>
  <si>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</si>
  <si>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</si>
  <si>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</si>
  <si>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</si>
  <si>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</si>
  <si>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</si>
  <si>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</si>
  <si>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</si>
  <si>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</si>
  <si>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</si>
  <si>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</si>
  <si>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</si>
  <si>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</si>
  <si>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</si>
  <si>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</si>
  <si>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</si>
  <si>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</si>
  <si>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</si>
  <si>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</si>
  <si>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</si>
  <si>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</si>
  <si>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</si>
  <si>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</si>
  <si>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</si>
  <si>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</si>
  <si>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</si>
  <si>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</si>
  <si>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</si>
  <si>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</si>
  <si>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DCA Utility Region for:</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</si>
  <si>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</si>
  <si>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</si>
  <si>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</si>
  <si>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</si>
  <si>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</si>
  <si>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</si>
  <si>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</si>
  <si>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</si>
  <si>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</si>
  <si>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</si>
  <si>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</si>
  <si>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</si>
  <si>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</si>
  <si>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</si>
  <si>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</si>
  <si>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</si>
  <si>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</si>
  <si>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</si>
  <si>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</si>
  <si>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</si>
  <si>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</si>
  <si>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</si>
  <si>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</si>
  <si>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</si>
  <si>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</si>
  <si>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</si>
  <si>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</si>
  <si>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</si>
  <si>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</si>
  <si>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</si>
  <si>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</si>
  <si>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</si>
  <si>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</si>
  <si>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</si>
  <si>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</si>
  <si>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</si>
  <si>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</si>
  <si>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</si>
  <si>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</si>
  <si>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</si>
  <si>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</si>
  <si>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</si>
  <si>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</si>
  <si>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</si>
  <si>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</si>
  <si>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</si>
  <si>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</si>
  <si>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</si>
  <si>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</si>
  <si>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</si>
  <si>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</si>
  <si>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</si>
  <si>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</si>
  <si>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</si>
  <si>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</si>
  <si>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</si>
  <si>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</si>
  <si>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</si>
  <si>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</si>
  <si>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</si>
  <si>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</si>
  <si>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</si>
  <si>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</si>
  <si>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</si>
  <si>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</si>
  <si>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</si>
  <si>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</si>
  <si>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</si>
  <si>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</si>
  <si>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</si>
  <si>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</si>
  <si>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</si>
  <si>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</si>
  <si>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</si>
  <si>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</si>
  <si>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</si>
  <si>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</si>
  <si>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</si>
  <si>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</si>
  <si>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</si>
  <si>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</si>
  <si>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</si>
  <si>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</si>
  <si>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</si>
  <si>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</si>
  <si>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</si>
  <si>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</si>
  <si>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</si>
  <si>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</si>
  <si>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</si>
  <si>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</si>
  <si>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</si>
  <si>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</si>
  <si>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</si>
  <si>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</si>
  <si>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</si>
  <si>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</si>
  <si>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</si>
  <si>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</si>
  <si>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</si>
  <si>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</si>
  <si>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PHA Area Code / Phone Number</t>
  </si>
  <si>
    <t>Street Addr</t>
  </si>
  <si>
    <t>Disaster Rebuilding</t>
  </si>
  <si>
    <t>If State Designated Boost Selected, indicate Category of Eligibility:</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</si>
  <si>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</si>
  <si>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</si>
  <si>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</si>
  <si>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</si>
  <si>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</si>
  <si>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</si>
  <si>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</si>
  <si>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</si>
  <si>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</si>
  <si>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</si>
  <si>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</si>
  <si>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</si>
  <si>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</si>
  <si>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</si>
  <si>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</si>
  <si>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</si>
  <si>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</si>
  <si>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</si>
  <si>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</si>
  <si>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</si>
  <si>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</si>
  <si>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</si>
  <si>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</si>
  <si>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</si>
  <si>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</si>
  <si>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</si>
  <si>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</si>
  <si>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</si>
  <si>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</si>
  <si>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</si>
  <si>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 xml:space="preserve">PHA Tenants w/ PBRA: </t>
  </si>
  <si>
    <t>Public housing tenants:</t>
  </si>
  <si>
    <t xml:space="preserve">This PHA will contract to provide PBRA to proposed project? </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</si>
  <si>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</si>
  <si>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</si>
  <si>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</si>
  <si>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</si>
  <si>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</si>
  <si>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</si>
  <si>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</si>
  <si>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</si>
  <si>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</si>
  <si>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</si>
  <si>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</si>
  <si>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</si>
  <si>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</si>
  <si>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</si>
  <si>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</si>
  <si>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</si>
  <si>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</si>
  <si>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For items B1-3 below, the stop also rests along a transit line that follows a fixed route and daily schedule?</t>
  </si>
  <si>
    <t>For items B1-4 below, the service serves the public no less than 5 days per week?</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</si>
  <si>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</si>
  <si>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</si>
  <si>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</si>
  <si>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</si>
  <si>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</si>
  <si>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</si>
  <si>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</si>
  <si>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</si>
  <si>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</si>
  <si>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</si>
  <si>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</si>
  <si>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</si>
  <si>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</si>
  <si>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</si>
  <si>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</si>
  <si>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</si>
  <si>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</si>
  <si>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</si>
  <si>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</si>
  <si>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</si>
  <si>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</si>
  <si>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</si>
  <si>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</si>
  <si>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</si>
  <si>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</si>
  <si>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</si>
  <si>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</si>
  <si>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</si>
  <si>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</si>
  <si>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</si>
  <si>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</si>
  <si>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</si>
  <si>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</si>
  <si>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</si>
  <si>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</si>
  <si>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</si>
  <si>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</si>
  <si>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</si>
  <si>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</si>
  <si>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</si>
  <si>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</si>
  <si>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</si>
  <si>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</si>
  <si>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</si>
  <si>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</si>
  <si>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</si>
  <si>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</si>
  <si>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</si>
  <si>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</si>
  <si>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</si>
  <si>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</si>
  <si>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</si>
  <si>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</si>
  <si>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</si>
  <si>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</si>
  <si>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</si>
  <si>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</si>
  <si>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</si>
  <si>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</si>
  <si>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</si>
  <si>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</si>
  <si>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</si>
  <si>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</si>
  <si>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</si>
  <si>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</si>
  <si>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</si>
  <si>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</si>
  <si>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</si>
  <si>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</si>
  <si>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</si>
  <si>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</si>
  <si>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</si>
  <si>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</si>
  <si>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</si>
  <si>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</si>
  <si>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</si>
  <si>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</si>
  <si>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</si>
  <si>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</si>
  <si>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</si>
  <si>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</si>
  <si>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</si>
  <si>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</si>
  <si>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</si>
  <si>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</si>
  <si>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&lt;Select applicable status&gt;</t>
  </si>
  <si>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</si>
  <si>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</si>
  <si>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</si>
  <si>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</si>
  <si>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</si>
  <si>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</si>
  <si>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If No, what was the previous DCA Qualification Determination for the Team?</t>
  </si>
  <si>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</si>
  <si>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</si>
  <si>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</si>
  <si>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</si>
  <si>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</si>
  <si>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</si>
  <si>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</si>
  <si>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</si>
  <si>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</si>
  <si>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</si>
  <si>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</si>
  <si>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</si>
  <si>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</si>
  <si>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</si>
  <si>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</si>
  <si>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</si>
  <si>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</si>
  <si>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</si>
  <si>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</si>
  <si>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</si>
  <si>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</si>
  <si>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</si>
  <si>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</si>
  <si>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</si>
  <si>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</si>
  <si>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</si>
  <si>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</si>
  <si>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</si>
  <si>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</si>
  <si>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</si>
  <si>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</si>
  <si>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</si>
  <si>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</si>
  <si>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</si>
  <si>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</si>
  <si>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</si>
  <si>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</si>
  <si>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</si>
  <si>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</si>
  <si>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</si>
  <si>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</si>
  <si>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</si>
  <si>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</si>
  <si>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</si>
  <si>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</si>
  <si>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</si>
  <si>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</si>
  <si>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</si>
  <si>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</si>
  <si>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</si>
  <si>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</si>
  <si>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</si>
  <si>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</si>
  <si>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</si>
  <si>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</si>
  <si>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</si>
  <si>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</si>
  <si>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</si>
  <si>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</si>
  <si>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Relocation And Displacement Of Tenants</t>
  </si>
  <si>
    <t>OCCUPIED DEVELOPMENTS</t>
  </si>
  <si>
    <t>ii)</t>
  </si>
  <si>
    <t>Entity Type</t>
  </si>
  <si>
    <t xml:space="preserve">c)  </t>
  </si>
  <si>
    <t xml:space="preserve">a) Number of Over Income Tenants </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</si>
  <si>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</si>
  <si>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</si>
  <si>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</si>
  <si>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</si>
  <si>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</si>
  <si>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</si>
  <si>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</si>
  <si>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</si>
  <si>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</si>
  <si>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</si>
  <si>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</si>
  <si>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</si>
  <si>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</si>
  <si>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 xml:space="preserve">Owner commits to submit a plan for resident ownership, acceptable to DCA, at the end of the 15-year Compliance Period.  Only single-family styled units are eligible for these points. </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</si>
  <si>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</si>
  <si>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</si>
  <si>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</si>
  <si>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</si>
  <si>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</si>
  <si>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</si>
  <si>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</si>
  <si>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</si>
  <si>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</si>
  <si>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</si>
  <si>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</si>
  <si>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</si>
  <si>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</si>
  <si>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</si>
  <si>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</si>
  <si>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</si>
  <si>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</si>
  <si>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</si>
  <si>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</si>
  <si>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</si>
  <si>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</si>
  <si>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</si>
  <si>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</si>
  <si>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</si>
  <si>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</si>
  <si>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</si>
  <si>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</si>
  <si>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</si>
  <si>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</si>
  <si>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</si>
  <si>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</si>
  <si>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</si>
  <si>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</si>
  <si>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</si>
  <si>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</si>
  <si>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</si>
  <si>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</si>
  <si>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</si>
  <si>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</si>
  <si>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</si>
  <si>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</si>
  <si>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</si>
  <si>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</si>
  <si>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</si>
  <si>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</si>
  <si>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</si>
  <si>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</si>
  <si>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</si>
  <si>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</si>
  <si>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</si>
  <si>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</si>
  <si>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</si>
  <si>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</si>
  <si>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</si>
  <si>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</si>
  <si>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</si>
  <si>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</si>
  <si>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</si>
  <si>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</si>
  <si>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</si>
  <si>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</si>
  <si>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</si>
  <si>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</si>
  <si>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</si>
  <si>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</si>
  <si>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</si>
  <si>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</si>
  <si>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</si>
  <si>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</si>
  <si>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</si>
  <si>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</si>
  <si>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</si>
  <si>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</si>
  <si>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</si>
  <si>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</si>
  <si>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</si>
  <si>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</si>
  <si>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</si>
  <si>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</si>
  <si>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</si>
  <si>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</si>
  <si>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</si>
  <si>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</si>
  <si>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</si>
  <si>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</si>
  <si>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</si>
  <si>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</si>
  <si>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</si>
  <si>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</si>
  <si>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</si>
  <si>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</si>
  <si>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</si>
  <si>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</si>
  <si>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</si>
  <si>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</si>
  <si>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</si>
  <si>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</si>
  <si>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</si>
  <si>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</si>
  <si>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</si>
  <si>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</si>
  <si>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</si>
  <si>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</si>
  <si>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</si>
  <si>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</si>
  <si>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</si>
  <si>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</si>
  <si>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Agree/Disagree</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</si>
  <si>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</si>
  <si>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</si>
  <si>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</si>
  <si>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</si>
  <si>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</si>
  <si>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</si>
  <si>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</si>
  <si>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</si>
  <si>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</si>
  <si>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</si>
  <si>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</si>
  <si>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</si>
  <si>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</si>
  <si>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Applicant's due diligence has disclosed an adverse financial impact on pending DCA properties near the proposed site?</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</si>
  <si>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</si>
  <si>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</si>
  <si>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</si>
  <si>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Project Name used in previous round:</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</si>
  <si>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</si>
  <si>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</si>
  <si>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</si>
  <si>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</si>
  <si>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</si>
  <si>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</si>
  <si>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</si>
  <si>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</si>
  <si>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</si>
  <si>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</si>
  <si>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</si>
  <si>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</si>
  <si>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</si>
  <si>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</si>
  <si>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</si>
  <si>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</si>
  <si>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</si>
  <si>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</si>
  <si>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</si>
  <si>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</si>
  <si>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</si>
  <si>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</si>
  <si>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</si>
  <si>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</si>
  <si>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</si>
  <si>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</si>
  <si>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</si>
  <si>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</si>
  <si>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</si>
  <si>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</si>
  <si>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</si>
  <si>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</si>
  <si>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</si>
  <si>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</si>
  <si>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</si>
  <si>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</si>
  <si>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</si>
  <si>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</si>
  <si>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</si>
  <si>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</si>
  <si>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</si>
  <si>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</si>
  <si>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</si>
  <si>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</si>
  <si>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</si>
  <si>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</si>
  <si>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</si>
  <si>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</si>
  <si>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</si>
  <si>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</si>
  <si>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</si>
  <si>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</si>
  <si>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</si>
  <si>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</si>
  <si>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</si>
  <si>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</si>
  <si>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</si>
  <si>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</si>
  <si>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</si>
  <si>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</si>
  <si>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</si>
  <si>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</si>
  <si>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</si>
  <si>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</si>
  <si>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</si>
  <si>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</si>
  <si>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</si>
  <si>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</si>
  <si>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</si>
  <si>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</si>
  <si>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</si>
  <si>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</si>
  <si>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</si>
  <si>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</si>
  <si>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</si>
  <si>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</si>
  <si>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</si>
  <si>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</si>
  <si>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</si>
  <si>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</si>
  <si>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</si>
  <si>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</si>
  <si>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</si>
  <si>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</si>
  <si>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</si>
  <si>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</si>
  <si>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</si>
  <si>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</si>
  <si>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</si>
  <si>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</si>
  <si>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</si>
  <si>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</si>
  <si>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</si>
  <si>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</si>
  <si>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</si>
  <si>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</si>
  <si>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</si>
  <si>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</si>
  <si>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</si>
  <si>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</si>
  <si>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</si>
  <si>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</si>
  <si>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</si>
  <si>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</si>
  <si>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</si>
  <si>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</si>
  <si>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</si>
  <si>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</si>
  <si>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</si>
  <si>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</si>
  <si>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</si>
  <si>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</si>
  <si>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</si>
  <si>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</si>
  <si>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</si>
  <si>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</si>
  <si>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</si>
  <si>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</si>
  <si>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</si>
  <si>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</si>
  <si>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</si>
  <si>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</si>
  <si>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</si>
  <si>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</si>
  <si>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</si>
  <si>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</si>
  <si>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</si>
  <si>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</si>
  <si>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</si>
  <si>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</si>
  <si>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</si>
  <si>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</si>
  <si>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</si>
  <si>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</si>
  <si>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</si>
  <si>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</si>
  <si>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</si>
  <si>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</si>
  <si>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</si>
  <si>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</si>
  <si>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</si>
  <si>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</si>
  <si>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</si>
  <si>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</si>
  <si>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</si>
  <si>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</si>
  <si>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</si>
  <si>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</si>
  <si>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</si>
  <si>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</si>
  <si>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</si>
  <si>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</si>
  <si>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</si>
  <si>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</si>
  <si>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</si>
  <si>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</si>
  <si>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</si>
  <si>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</si>
  <si>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</si>
  <si>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</si>
  <si>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</si>
  <si>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</si>
  <si>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</si>
  <si>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</si>
  <si>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</si>
  <si>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</si>
  <si>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</si>
  <si>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</si>
  <si>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</si>
  <si>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</si>
  <si>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</si>
  <si>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</si>
  <si>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</si>
  <si>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</si>
  <si>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</si>
  <si>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</si>
  <si>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</si>
  <si>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</si>
  <si>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</si>
  <si>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</si>
  <si>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</si>
  <si>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</si>
  <si>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</si>
  <si>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</si>
  <si>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</si>
  <si>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</si>
  <si>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</si>
  <si>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</si>
  <si>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</si>
  <si>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</si>
  <si>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</si>
  <si>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</si>
  <si>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</si>
  <si>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</si>
  <si>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</si>
  <si>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</si>
  <si>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</si>
  <si>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</si>
  <si>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</si>
  <si>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</si>
  <si>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</si>
  <si>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</si>
  <si>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</si>
  <si>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</si>
  <si>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</si>
  <si>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</si>
  <si>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</si>
  <si>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</si>
  <si>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</si>
  <si>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</si>
  <si>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</si>
  <si>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</si>
  <si>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</si>
  <si>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</si>
  <si>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</si>
  <si>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</si>
  <si>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</si>
  <si>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</si>
  <si>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</si>
  <si>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</si>
  <si>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</si>
  <si>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</si>
  <si>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</si>
  <si>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</si>
  <si>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</si>
  <si>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</si>
  <si>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</si>
  <si>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</si>
  <si>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</si>
  <si>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</si>
  <si>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</si>
  <si>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</si>
  <si>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</si>
  <si>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</si>
  <si>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</si>
  <si>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</si>
  <si>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</si>
  <si>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</si>
  <si>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</si>
  <si>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</si>
  <si>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</si>
  <si>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</si>
  <si>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</si>
  <si>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</si>
  <si>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</si>
  <si>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</si>
  <si>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</si>
  <si>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</si>
  <si>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</si>
  <si>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</si>
  <si>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</si>
  <si>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</si>
  <si>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</si>
  <si>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</si>
  <si>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</si>
  <si>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</si>
  <si>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</si>
  <si>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</si>
  <si>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</si>
  <si>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</si>
  <si>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</si>
  <si>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</si>
  <si>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</si>
  <si>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</si>
  <si>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</si>
  <si>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</si>
  <si>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</si>
  <si>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</si>
  <si>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</si>
  <si>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</si>
  <si>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</si>
  <si>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</si>
  <si>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</si>
  <si>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</si>
  <si>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</si>
  <si>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</si>
  <si>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</si>
  <si>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</si>
  <si>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</si>
  <si>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</si>
  <si>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</si>
  <si>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</si>
  <si>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</si>
  <si>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</si>
  <si>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</si>
  <si>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</si>
  <si>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</si>
  <si>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</si>
  <si>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</si>
  <si>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</si>
  <si>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</si>
  <si>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</si>
  <si>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</si>
  <si>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</si>
  <si>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</si>
  <si>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</si>
  <si>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</si>
  <si>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</si>
  <si>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</si>
  <si>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</si>
  <si>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</si>
  <si>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</si>
  <si>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</si>
  <si>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</si>
  <si>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</si>
  <si>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</si>
  <si>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</si>
  <si>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</si>
  <si>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</si>
  <si>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</si>
  <si>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</si>
  <si>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</si>
  <si>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</si>
  <si>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</si>
  <si>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</si>
  <si>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</si>
  <si>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</si>
  <si>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</si>
  <si>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</si>
  <si>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</si>
  <si>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</si>
  <si>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</si>
  <si>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</si>
  <si>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</si>
  <si>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</si>
  <si>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</si>
  <si>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</si>
  <si>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</si>
  <si>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</si>
  <si>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</si>
  <si>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</si>
  <si>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</si>
  <si>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</si>
  <si>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</si>
  <si>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</si>
  <si>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</si>
  <si>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</si>
  <si>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</si>
  <si>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</si>
  <si>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</si>
  <si>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</si>
  <si>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</si>
  <si>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</si>
  <si>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</si>
  <si>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</si>
  <si>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</si>
  <si>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</si>
  <si>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</si>
  <si>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</si>
  <si>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</si>
  <si>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</si>
  <si>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</si>
  <si>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</si>
  <si>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</si>
  <si>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</si>
  <si>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</si>
  <si>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</si>
  <si>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</si>
  <si>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</si>
  <si>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</si>
  <si>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</si>
  <si>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</si>
  <si>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</si>
  <si>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</si>
  <si>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</si>
  <si>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</si>
  <si>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</si>
  <si>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</si>
  <si>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</si>
  <si>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</si>
  <si>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</si>
  <si>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</si>
  <si>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</si>
  <si>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</si>
  <si>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</si>
  <si>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</si>
  <si>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</si>
  <si>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</si>
  <si>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</si>
  <si>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</si>
  <si>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</si>
  <si>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</si>
  <si>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</si>
  <si>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</si>
  <si>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</si>
  <si>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</si>
  <si>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</si>
  <si>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</si>
  <si>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</si>
  <si>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</si>
  <si>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</si>
  <si>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</si>
  <si>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</si>
  <si>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</si>
  <si>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</si>
  <si>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</si>
  <si>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</si>
  <si>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</si>
  <si>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</si>
  <si>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</si>
  <si>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</si>
  <si>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</si>
  <si>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</si>
  <si>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</si>
  <si>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</si>
  <si>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</si>
  <si>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</si>
  <si>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</si>
  <si>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</si>
  <si>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</si>
  <si>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</si>
  <si>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</si>
  <si>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</si>
  <si>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</si>
  <si>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</si>
  <si>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</si>
  <si>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</si>
  <si>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</si>
  <si>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</si>
  <si>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</si>
  <si>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</si>
  <si>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</si>
  <si>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</si>
  <si>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</si>
  <si>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</si>
  <si>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</si>
  <si>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</si>
  <si>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</si>
  <si>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</si>
  <si>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</si>
  <si>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</si>
  <si>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</si>
  <si>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</si>
  <si>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</si>
  <si>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</si>
  <si>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</si>
  <si>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</si>
  <si>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</si>
  <si>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</si>
  <si>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</si>
  <si>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</si>
  <si>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</si>
  <si>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</si>
  <si>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</si>
  <si>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</si>
  <si>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</si>
  <si>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</si>
  <si>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</si>
  <si>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</si>
  <si>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</si>
  <si>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</si>
  <si>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</si>
  <si>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</si>
  <si>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</si>
  <si>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</si>
  <si>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</si>
  <si>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</si>
  <si>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</si>
  <si>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</si>
  <si>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</si>
  <si>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</si>
  <si>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</si>
  <si>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</si>
  <si>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</si>
  <si>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</si>
  <si>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</si>
  <si>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</si>
  <si>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</si>
  <si>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</si>
  <si>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</si>
  <si>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</si>
  <si>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</si>
  <si>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</si>
  <si>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</si>
  <si>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</si>
  <si>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</si>
  <si>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</si>
  <si>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</si>
  <si>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</si>
  <si>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</si>
  <si>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</si>
  <si>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</si>
  <si>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</si>
  <si>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</si>
  <si>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</si>
  <si>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</si>
  <si>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</si>
  <si>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</si>
  <si>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</si>
  <si>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</si>
  <si>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</si>
  <si>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</si>
  <si>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</si>
  <si>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</si>
  <si>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</si>
  <si>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</si>
  <si>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</si>
  <si>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</si>
  <si>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</si>
  <si>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</si>
  <si>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</si>
  <si>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</si>
  <si>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</si>
  <si>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</si>
  <si>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</si>
  <si>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</si>
  <si>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</si>
  <si>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</si>
  <si>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</si>
  <si>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</si>
  <si>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</si>
  <si>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</si>
  <si>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</si>
  <si>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</si>
  <si>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</si>
  <si>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</si>
  <si>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</si>
  <si>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</si>
  <si>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</si>
  <si>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</si>
  <si>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</si>
  <si>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</si>
  <si>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</si>
  <si>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</si>
  <si>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</si>
  <si>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</si>
  <si>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</si>
  <si>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</si>
  <si>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</si>
  <si>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</si>
  <si>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</si>
  <si>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</si>
  <si>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</si>
  <si>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</si>
  <si>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</si>
  <si>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</si>
  <si>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</si>
  <si>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</si>
  <si>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</si>
  <si>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</si>
  <si>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</si>
  <si>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</si>
  <si>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</si>
  <si>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</si>
  <si>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</si>
  <si>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</si>
  <si>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</si>
  <si>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</si>
  <si>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</si>
  <si>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</si>
  <si>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</si>
  <si>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</si>
  <si>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</si>
  <si>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</si>
  <si>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</si>
  <si>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</si>
  <si>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</si>
  <si>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</si>
  <si>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</si>
  <si>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</si>
  <si>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</si>
  <si>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</si>
  <si>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</si>
  <si>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</si>
  <si>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</si>
  <si>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</si>
  <si>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</si>
  <si>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</si>
  <si>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</si>
  <si>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</si>
  <si>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</si>
  <si>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</si>
  <si>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</si>
  <si>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</si>
  <si>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</si>
  <si>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</si>
  <si>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</si>
  <si>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</si>
  <si>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</si>
  <si>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</si>
  <si>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</si>
  <si>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</si>
  <si>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</si>
  <si>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</si>
  <si>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</si>
  <si>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</si>
  <si>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</si>
  <si>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</si>
  <si>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</si>
  <si>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</si>
  <si>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</si>
  <si>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</si>
  <si>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</si>
  <si>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</si>
  <si>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</si>
  <si>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</si>
  <si>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</si>
  <si>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</si>
  <si>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</si>
  <si>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</si>
  <si>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</si>
  <si>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</si>
  <si>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</si>
  <si>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</si>
  <si>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</si>
  <si>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</si>
  <si>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</si>
  <si>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</si>
  <si>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</si>
  <si>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</si>
  <si>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</si>
  <si>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</si>
  <si>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</si>
  <si>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</si>
  <si>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</si>
  <si>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</si>
  <si>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</si>
  <si>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</si>
  <si>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</si>
  <si>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</si>
  <si>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</si>
  <si>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</si>
  <si>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</si>
  <si>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</si>
  <si>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</si>
  <si>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</si>
  <si>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</si>
  <si>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</si>
  <si>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</si>
  <si>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</si>
  <si>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</si>
  <si>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</si>
  <si>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</si>
  <si>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</si>
  <si>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</si>
  <si>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</si>
  <si>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</si>
  <si>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</si>
  <si>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</si>
  <si>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</si>
  <si>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</si>
  <si>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</si>
  <si>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</si>
  <si>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</si>
  <si>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</si>
  <si>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</si>
  <si>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</si>
  <si>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</si>
  <si>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</si>
  <si>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</si>
  <si>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</si>
  <si>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</si>
  <si>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</si>
  <si>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</si>
  <si>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</si>
  <si>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</si>
  <si>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</si>
  <si>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</si>
  <si>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</si>
  <si>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</si>
  <si>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</si>
  <si>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</si>
  <si>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</si>
  <si>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</si>
  <si>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</si>
  <si>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</si>
  <si>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</si>
  <si>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</si>
  <si>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</si>
  <si>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</si>
  <si>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</si>
  <si>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</si>
  <si>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</si>
  <si>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</si>
  <si>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</si>
  <si>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</si>
  <si>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</si>
  <si>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</si>
  <si>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</si>
  <si>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</si>
  <si>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</si>
  <si>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</si>
  <si>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</si>
  <si>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</si>
  <si>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</si>
  <si>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</si>
  <si>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</si>
  <si>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</si>
  <si>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</si>
  <si>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</si>
  <si>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</si>
  <si>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</si>
  <si>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</si>
  <si>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</si>
  <si>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</si>
  <si>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</si>
  <si>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</si>
  <si>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</si>
  <si>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</si>
  <si>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</si>
  <si>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</si>
  <si>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</si>
  <si>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</si>
  <si>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</si>
  <si>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</si>
  <si>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</si>
  <si>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</si>
  <si>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</si>
  <si>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</si>
  <si>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</si>
  <si>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</si>
  <si>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</si>
  <si>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</si>
  <si>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</si>
  <si>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</si>
  <si>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</si>
  <si>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</si>
  <si>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</si>
  <si>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</si>
  <si>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</si>
  <si>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</si>
  <si>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</si>
  <si>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</si>
  <si>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</si>
  <si>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</si>
  <si>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</si>
  <si>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</si>
  <si>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</si>
  <si>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</si>
  <si>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</si>
  <si>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</si>
  <si>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</si>
  <si>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</si>
  <si>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</si>
  <si>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</si>
  <si>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</si>
  <si>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</si>
  <si>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</si>
  <si>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</si>
  <si>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</si>
  <si>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</si>
  <si>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</si>
  <si>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</si>
  <si>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</si>
  <si>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</si>
  <si>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</si>
  <si>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</si>
  <si>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</si>
  <si>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</si>
  <si>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</si>
  <si>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</si>
  <si>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</si>
  <si>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</si>
  <si>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</si>
  <si>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</si>
  <si>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</si>
  <si>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</si>
  <si>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</si>
  <si>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</si>
  <si>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</si>
  <si>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</si>
  <si>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</si>
  <si>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</si>
  <si>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</si>
  <si>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</si>
  <si>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</si>
  <si>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</si>
  <si>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</si>
  <si>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</si>
  <si>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</si>
  <si>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</si>
  <si>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</si>
  <si>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</si>
  <si>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</si>
  <si>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</si>
  <si>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</si>
  <si>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</si>
  <si>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</si>
  <si>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</si>
  <si>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</si>
  <si>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</si>
  <si>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</si>
  <si>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</si>
  <si>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</si>
  <si>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</si>
  <si>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</si>
  <si>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</si>
  <si>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</si>
  <si>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</si>
  <si>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</si>
  <si>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</si>
  <si>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</si>
  <si>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</si>
  <si>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</si>
  <si>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</si>
  <si>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</si>
  <si>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</si>
  <si>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</si>
  <si>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</si>
  <si>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</si>
  <si>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</si>
  <si>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</si>
  <si>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</si>
  <si>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</si>
  <si>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</si>
  <si>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</si>
  <si>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</si>
  <si>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</si>
  <si>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</si>
  <si>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</si>
  <si>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</si>
  <si>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</si>
  <si>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</si>
  <si>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</si>
  <si>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</si>
  <si>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</si>
  <si>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</si>
  <si>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</si>
  <si>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</si>
  <si>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</si>
  <si>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</si>
  <si>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</si>
  <si>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</si>
  <si>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</si>
  <si>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</si>
  <si>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</si>
  <si>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</si>
  <si>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</si>
  <si>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</si>
  <si>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</si>
  <si>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</si>
  <si>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</si>
  <si>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</si>
  <si>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</si>
  <si>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</si>
  <si>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</si>
  <si>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</si>
  <si>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</si>
  <si>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</si>
  <si>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</si>
  <si>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</si>
  <si>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</si>
  <si>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</si>
  <si>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</si>
  <si>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</si>
  <si>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</si>
  <si>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</si>
  <si>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</si>
  <si>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</si>
  <si>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</si>
  <si>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</si>
  <si>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</si>
  <si>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</si>
  <si>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</si>
  <si>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</si>
  <si>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</si>
  <si>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</si>
  <si>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</si>
  <si>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</si>
  <si>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</si>
  <si>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</si>
  <si>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</si>
  <si>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</si>
  <si>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</si>
  <si>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</si>
  <si>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</si>
  <si>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</si>
  <si>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</si>
  <si>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</si>
  <si>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</si>
  <si>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</si>
  <si>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</si>
  <si>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</si>
  <si>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</si>
  <si>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</si>
  <si>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</si>
  <si>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</si>
  <si>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</si>
  <si>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</si>
  <si>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</si>
  <si>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</si>
  <si>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</si>
  <si>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</si>
  <si>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</si>
  <si>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</si>
  <si>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</si>
  <si>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</si>
  <si>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</si>
  <si>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</si>
  <si>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</si>
  <si>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</si>
  <si>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</si>
  <si>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</si>
  <si>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</si>
  <si>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</si>
  <si>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</si>
  <si>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</si>
  <si>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</si>
  <si>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</si>
  <si>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</si>
  <si>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</si>
  <si>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</si>
  <si>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</si>
  <si>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</si>
  <si>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</si>
  <si>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</si>
  <si>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</si>
  <si>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</si>
  <si>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</si>
  <si>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</si>
  <si>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</si>
  <si>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</si>
  <si>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</si>
  <si>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</si>
  <si>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</si>
  <si>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</si>
  <si>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</si>
  <si>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</si>
  <si>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</si>
  <si>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</si>
  <si>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</si>
  <si>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</si>
  <si>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</si>
  <si>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</si>
  <si>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</si>
  <si>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</si>
  <si>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</si>
  <si>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</si>
  <si>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</si>
  <si>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</si>
  <si>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</si>
  <si>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</si>
  <si>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</si>
  <si>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</si>
  <si>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</si>
  <si>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</si>
  <si>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</si>
  <si>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</si>
  <si>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</si>
  <si>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</si>
  <si>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</si>
  <si>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</si>
  <si>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</si>
  <si>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</si>
  <si>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</si>
  <si>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</si>
  <si>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</si>
  <si>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</si>
  <si>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</si>
  <si>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</si>
  <si>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</si>
  <si>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</si>
  <si>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</si>
  <si>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</si>
  <si>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</si>
  <si>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</si>
  <si>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</si>
  <si>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</si>
  <si>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</si>
  <si>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</si>
  <si>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</si>
  <si>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</si>
  <si>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</si>
  <si>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</si>
  <si>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</si>
  <si>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</si>
  <si>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</si>
  <si>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</si>
  <si>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</si>
  <si>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</si>
  <si>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</si>
  <si>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</si>
  <si>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</si>
  <si>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</si>
  <si>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</si>
  <si>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</si>
  <si>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</si>
  <si>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</si>
  <si>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</si>
  <si>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</si>
  <si>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</si>
  <si>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</si>
  <si>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</si>
  <si>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</si>
  <si>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</si>
  <si>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</si>
  <si>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</si>
  <si>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</si>
  <si>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</si>
  <si>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</si>
  <si>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</si>
  <si>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</si>
  <si>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</si>
  <si>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</si>
  <si>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</si>
  <si>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</si>
  <si>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</si>
  <si>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</si>
  <si>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</si>
  <si>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</si>
  <si>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</si>
  <si>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</si>
  <si>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</si>
  <si>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</si>
  <si>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</si>
  <si>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</si>
  <si>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</si>
  <si>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</si>
  <si>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</si>
  <si>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</si>
  <si>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</si>
  <si>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</si>
  <si>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</si>
  <si>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</si>
  <si>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</si>
  <si>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</si>
  <si>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</si>
  <si>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</si>
  <si>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</si>
  <si>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</si>
  <si>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</si>
  <si>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</si>
  <si>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</si>
  <si>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</si>
  <si>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</si>
  <si>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</si>
  <si>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</si>
  <si>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</si>
  <si>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</si>
  <si>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</si>
  <si>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</si>
  <si>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</si>
  <si>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</si>
  <si>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</si>
  <si>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</si>
  <si>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</si>
  <si>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</si>
  <si>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</si>
  <si>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</si>
  <si>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</si>
  <si>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</si>
  <si>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</si>
  <si>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</si>
  <si>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</si>
  <si>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</si>
  <si>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</si>
  <si>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</si>
  <si>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</si>
  <si>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</si>
  <si>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</si>
  <si>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</si>
  <si>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</si>
  <si>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</si>
  <si>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</si>
  <si>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</si>
  <si>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</si>
  <si>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</si>
  <si>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</si>
  <si>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</si>
  <si>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</si>
  <si>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</si>
  <si>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</si>
  <si>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</si>
  <si>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</si>
  <si>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</si>
  <si>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</si>
  <si>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</si>
  <si>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</si>
  <si>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</si>
  <si>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</si>
  <si>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</si>
  <si>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</si>
  <si>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</si>
  <si>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</si>
  <si>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</si>
  <si>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</si>
  <si>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</si>
  <si>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</si>
  <si>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</si>
  <si>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</si>
  <si>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</si>
  <si>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</si>
  <si>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</si>
  <si>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</si>
  <si>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</si>
  <si>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</si>
  <si>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</si>
  <si>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</si>
  <si>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</si>
  <si>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</si>
  <si>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</si>
  <si>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</si>
  <si>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</si>
  <si>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</si>
  <si>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</si>
  <si>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</si>
  <si>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</si>
  <si>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</si>
  <si>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</si>
  <si>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</si>
  <si>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</si>
  <si>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</si>
  <si>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</si>
  <si>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</si>
  <si>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</si>
  <si>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</si>
  <si>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</si>
  <si>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</si>
  <si>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</si>
  <si>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</si>
  <si>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</si>
  <si>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</si>
  <si>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</si>
  <si>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</si>
  <si>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</si>
  <si>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</si>
  <si>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</si>
  <si>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</si>
  <si>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</si>
  <si>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</si>
  <si>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</si>
  <si>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</si>
  <si>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</si>
  <si>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</si>
  <si>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</si>
  <si>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</si>
  <si>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</si>
  <si>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</si>
  <si>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</si>
  <si>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</si>
  <si>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</si>
  <si>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</si>
  <si>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</si>
  <si>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</si>
  <si>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</si>
  <si>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</si>
  <si>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</si>
  <si>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</si>
  <si>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</si>
  <si>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</si>
  <si>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</si>
  <si>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</si>
  <si>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</si>
  <si>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</si>
  <si>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</si>
  <si>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</si>
  <si>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</si>
  <si>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</si>
  <si>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</si>
  <si>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</si>
  <si>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</si>
  <si>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</si>
  <si>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</si>
  <si>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</si>
  <si>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</si>
  <si>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</si>
  <si>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</si>
  <si>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</si>
  <si>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</si>
  <si>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</si>
  <si>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</si>
  <si>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</si>
  <si>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</si>
  <si>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</si>
  <si>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</si>
  <si>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</si>
  <si>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</si>
  <si>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</si>
  <si>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</si>
  <si>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</si>
  <si>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</si>
  <si>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</si>
  <si>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</si>
  <si>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</si>
  <si>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</si>
  <si>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</si>
  <si>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</si>
  <si>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</si>
  <si>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</si>
  <si>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</si>
  <si>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</si>
  <si>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</si>
  <si>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</si>
  <si>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</si>
  <si>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</si>
  <si>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</si>
  <si>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</si>
  <si>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</si>
  <si>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</si>
  <si>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</si>
  <si>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</si>
  <si>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</si>
  <si>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</si>
  <si>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</si>
  <si>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</si>
  <si>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</si>
  <si>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</si>
  <si>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</si>
  <si>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</si>
  <si>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</si>
  <si>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</si>
  <si>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</si>
  <si>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</si>
  <si>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</si>
  <si>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</si>
  <si>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</si>
  <si>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</si>
  <si>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</si>
  <si>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</si>
  <si>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</si>
  <si>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</si>
  <si>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</si>
  <si>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</si>
  <si>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</si>
  <si>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</si>
  <si>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</si>
  <si>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</si>
  <si>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</si>
  <si>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</si>
  <si>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</si>
  <si>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</si>
  <si>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</si>
  <si>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</si>
  <si>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</si>
  <si>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</si>
  <si>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</si>
  <si>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</si>
  <si>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</si>
  <si>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</si>
  <si>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</si>
  <si>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</si>
  <si>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</si>
  <si>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</si>
  <si>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</si>
  <si>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</si>
  <si>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</si>
  <si>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</si>
  <si>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</si>
  <si>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</si>
  <si>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</si>
  <si>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</si>
  <si>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</si>
  <si>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</si>
  <si>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</si>
  <si>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</si>
  <si>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</si>
  <si>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</si>
  <si>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</si>
  <si>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</si>
  <si>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</si>
  <si>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</si>
  <si>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</si>
  <si>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</si>
  <si>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</si>
  <si>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</si>
  <si>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</si>
  <si>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</si>
  <si>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</si>
  <si>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</si>
  <si>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</si>
  <si>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</si>
  <si>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</si>
  <si>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</si>
  <si>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</si>
  <si>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</si>
  <si>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</si>
  <si>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</si>
  <si>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</si>
  <si>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</si>
  <si>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</si>
  <si>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</si>
  <si>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</si>
  <si>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</si>
  <si>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</si>
  <si>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</si>
  <si>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</si>
  <si>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</si>
  <si>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</si>
  <si>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</si>
  <si>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</si>
  <si>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</si>
  <si>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</si>
  <si>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</si>
  <si>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</si>
  <si>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</si>
  <si>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</si>
  <si>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</si>
  <si>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</si>
  <si>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</si>
  <si>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</si>
  <si>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</si>
  <si>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</si>
  <si>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</si>
  <si>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</si>
  <si>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</si>
  <si>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</si>
  <si>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</si>
  <si>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</si>
  <si>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</si>
  <si>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</si>
  <si>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</si>
  <si>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</si>
  <si>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</si>
  <si>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</si>
  <si>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</si>
  <si>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</si>
  <si>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</si>
  <si>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</si>
  <si>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</si>
  <si>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</si>
  <si>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</si>
  <si>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</si>
  <si>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</si>
  <si>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</si>
  <si>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</si>
  <si>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</si>
  <si>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</si>
  <si>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</si>
  <si>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</si>
  <si>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</si>
  <si>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</si>
  <si>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</si>
  <si>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</si>
  <si>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</si>
  <si>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</si>
  <si>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</si>
  <si>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</si>
  <si>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</si>
  <si>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</si>
  <si>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</si>
  <si>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</si>
  <si>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</si>
  <si>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</si>
  <si>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</si>
  <si>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</si>
  <si>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</si>
  <si>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</si>
  <si>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</si>
  <si>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</si>
  <si>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</si>
  <si>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</si>
  <si>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</si>
  <si>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</si>
  <si>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</si>
  <si>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</si>
  <si>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</si>
  <si>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</si>
  <si>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</si>
  <si>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</si>
  <si>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</si>
  <si>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</si>
  <si>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</si>
  <si>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</si>
  <si>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</si>
  <si>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</si>
  <si>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</si>
  <si>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</si>
  <si>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</si>
  <si>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</si>
  <si>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</si>
  <si>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</si>
  <si>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</si>
  <si>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</si>
  <si>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</si>
  <si>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</si>
  <si>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</si>
  <si>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</si>
  <si>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</si>
  <si>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</si>
  <si>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</si>
  <si>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</si>
  <si>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</si>
  <si>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</si>
  <si>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</si>
  <si>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</si>
  <si>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</si>
  <si>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</si>
  <si>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</si>
  <si>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</si>
  <si>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</si>
  <si>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</si>
  <si>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</si>
  <si>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</si>
  <si>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</si>
  <si>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</si>
  <si>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</si>
  <si>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</si>
  <si>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</si>
  <si>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</si>
  <si>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</si>
  <si>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</si>
  <si>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</si>
  <si>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</si>
  <si>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</si>
  <si>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</si>
  <si>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</si>
  <si>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</si>
  <si>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</si>
  <si>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</si>
  <si>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</si>
  <si>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</si>
  <si>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</si>
  <si>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</si>
  <si>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</si>
  <si>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</si>
  <si>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</si>
  <si>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</si>
  <si>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</si>
  <si>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</si>
  <si>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</si>
  <si>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</si>
  <si>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</si>
  <si>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</si>
  <si>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</si>
  <si>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</si>
  <si>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</si>
  <si>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</si>
  <si>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</si>
  <si>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</si>
  <si>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</si>
  <si>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</si>
  <si>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</si>
  <si>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</si>
  <si>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</si>
  <si>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</si>
  <si>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</si>
  <si>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</si>
  <si>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</si>
  <si>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</si>
  <si>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</si>
  <si>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</si>
  <si>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</si>
  <si>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</si>
  <si>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</si>
  <si>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</si>
  <si>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</si>
  <si>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</si>
  <si>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</si>
  <si>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</si>
  <si>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</si>
  <si>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</si>
  <si>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</si>
  <si>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</si>
  <si>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</si>
  <si>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</si>
  <si>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</si>
  <si>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</si>
  <si>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</si>
  <si>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</si>
  <si>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</si>
  <si>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</si>
  <si>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</si>
  <si>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</si>
  <si>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</si>
  <si>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</si>
  <si>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</si>
  <si>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</si>
  <si>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</si>
  <si>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</si>
  <si>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</si>
  <si>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</si>
  <si>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</si>
  <si>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</si>
  <si>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</si>
  <si>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</si>
  <si>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</si>
  <si>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</si>
  <si>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</si>
  <si>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</si>
  <si>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</si>
  <si>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</si>
  <si>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</si>
  <si>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</si>
  <si>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</si>
  <si>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</si>
  <si>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</si>
  <si>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</si>
  <si>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</si>
  <si>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</si>
  <si>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</si>
  <si>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</si>
  <si>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</si>
  <si>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</si>
  <si>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</si>
  <si>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</si>
  <si>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</si>
  <si>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</si>
  <si>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</si>
  <si>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</si>
  <si>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</si>
  <si>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</si>
  <si>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</si>
  <si>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</si>
  <si>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</si>
  <si>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</si>
  <si>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</si>
  <si>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</si>
  <si>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</si>
  <si>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</si>
  <si>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</si>
  <si>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</si>
  <si>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</si>
  <si>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</si>
  <si>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</si>
  <si>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</si>
  <si>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</si>
  <si>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</si>
  <si>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</si>
  <si>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</si>
  <si>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</si>
  <si>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</si>
  <si>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</si>
  <si>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</si>
  <si>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</si>
  <si>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</si>
  <si>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</si>
  <si>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</si>
  <si>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</si>
  <si>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</si>
  <si>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</si>
  <si>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</si>
  <si>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</si>
  <si>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</si>
  <si>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</si>
  <si>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</si>
  <si>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</si>
  <si>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</si>
  <si>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</si>
  <si>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</si>
  <si>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</si>
  <si>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</si>
  <si>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</si>
  <si>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</si>
  <si>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</si>
  <si>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</si>
  <si>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</si>
  <si>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</si>
  <si>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</si>
  <si>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</si>
  <si>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</si>
  <si>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</si>
  <si>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</si>
  <si>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</si>
  <si>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</si>
  <si>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</si>
  <si>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</si>
  <si>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</si>
  <si>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</si>
  <si>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</si>
  <si>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</si>
  <si>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</si>
  <si>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</si>
  <si>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</si>
  <si>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</si>
  <si>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</si>
  <si>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</si>
  <si>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</si>
  <si>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</si>
  <si>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</si>
  <si>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</si>
  <si>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</si>
  <si>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</si>
  <si>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</si>
  <si>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</si>
  <si>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</si>
  <si>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</si>
  <si>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</si>
  <si>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</si>
  <si>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</si>
  <si>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</si>
  <si>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</si>
  <si>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</si>
  <si>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</si>
  <si>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</si>
  <si>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</si>
  <si>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</si>
  <si>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</si>
  <si>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</si>
  <si>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</si>
  <si>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</si>
  <si>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</si>
  <si>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</si>
  <si>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</si>
  <si>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</si>
  <si>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</si>
  <si>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</si>
  <si>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</si>
  <si>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</si>
  <si>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</si>
  <si>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</si>
  <si>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</si>
  <si>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</si>
  <si>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</si>
  <si>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</si>
  <si>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</si>
  <si>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</si>
  <si>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</si>
  <si>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</si>
  <si>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</si>
  <si>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</si>
  <si>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</si>
  <si>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</si>
  <si>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</si>
  <si>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</si>
  <si>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</si>
  <si>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</si>
  <si>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</si>
  <si>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</si>
  <si>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</si>
  <si>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</si>
  <si>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</si>
  <si>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</si>
  <si>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</si>
  <si>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</si>
  <si>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</si>
  <si>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</si>
  <si>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</si>
  <si>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</si>
  <si>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</si>
  <si>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</si>
  <si>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</si>
  <si>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</si>
  <si>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</si>
  <si>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</si>
  <si>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</si>
  <si>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</si>
  <si>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</si>
  <si>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</si>
  <si>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</si>
  <si>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</si>
  <si>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</si>
  <si>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</si>
  <si>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</si>
  <si>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</si>
  <si>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</si>
  <si>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</si>
  <si>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</si>
  <si>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</si>
  <si>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</si>
  <si>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</si>
  <si>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</si>
  <si>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</si>
  <si>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</si>
  <si>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</si>
  <si>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</si>
  <si>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</si>
  <si>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</si>
  <si>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</si>
  <si>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</si>
  <si>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</si>
  <si>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</si>
  <si>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</si>
  <si>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</si>
  <si>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</si>
  <si>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</si>
  <si>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</si>
  <si>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</si>
  <si>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</si>
  <si>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</si>
  <si>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</si>
  <si>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</si>
  <si>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</si>
  <si>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</si>
  <si>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</si>
  <si>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</si>
  <si>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</si>
  <si>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</si>
  <si>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</si>
  <si>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</si>
  <si>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</si>
  <si>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</si>
  <si>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</si>
  <si>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</si>
  <si>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</si>
  <si>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</si>
  <si>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</si>
  <si>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</si>
  <si>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</si>
  <si>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</si>
  <si>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</si>
  <si>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</si>
  <si>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</si>
  <si>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</si>
  <si>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</si>
  <si>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</si>
  <si>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</si>
  <si>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</si>
  <si>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</si>
  <si>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</si>
  <si>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</si>
  <si>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</si>
  <si>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</si>
  <si>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</si>
  <si>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</si>
  <si>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</si>
  <si>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</si>
  <si>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</si>
  <si>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</si>
  <si>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</si>
  <si>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</si>
  <si>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</si>
  <si>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</si>
  <si>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</si>
  <si>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</si>
  <si>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</si>
  <si>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</si>
  <si>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</si>
  <si>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</si>
  <si>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</si>
  <si>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</si>
  <si>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</si>
  <si>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</si>
  <si>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</si>
  <si>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</si>
  <si>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</si>
  <si>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</si>
  <si>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</si>
  <si>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</si>
  <si>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</si>
  <si>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</si>
  <si>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</si>
  <si>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</si>
  <si>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</si>
  <si>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</si>
  <si>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</si>
  <si>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</si>
  <si>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</si>
  <si>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</si>
  <si>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</si>
  <si>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</si>
  <si>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</si>
  <si>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</si>
  <si>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</si>
  <si>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</si>
  <si>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</si>
  <si>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</si>
  <si>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</si>
  <si>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</si>
  <si>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</si>
  <si>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</si>
  <si>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</si>
  <si>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</si>
  <si>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</si>
  <si>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</si>
  <si>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</si>
  <si>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</si>
  <si>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</si>
  <si>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</si>
  <si>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</si>
  <si>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</si>
  <si>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</si>
  <si>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</si>
  <si>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</si>
  <si>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</si>
  <si>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</si>
  <si>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</si>
  <si>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</si>
  <si>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</si>
  <si>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</si>
  <si>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</si>
  <si>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</si>
  <si>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</si>
  <si>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</si>
  <si>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</si>
  <si>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</si>
  <si>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</si>
  <si>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</si>
  <si>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</si>
  <si>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</si>
  <si>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</si>
  <si>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</si>
  <si>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</si>
  <si>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</si>
  <si>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</si>
  <si>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</si>
  <si>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</si>
  <si>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</si>
  <si>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</si>
  <si>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</si>
  <si>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</si>
  <si>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</si>
  <si>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</si>
  <si>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</si>
  <si>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</si>
  <si>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</si>
  <si>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</si>
  <si>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</si>
  <si>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</si>
  <si>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</si>
  <si>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</si>
  <si>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</si>
  <si>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</si>
  <si>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</si>
  <si>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</si>
  <si>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</si>
  <si>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</si>
  <si>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</si>
  <si>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</si>
  <si>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</si>
  <si>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</si>
  <si>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</si>
  <si>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</si>
  <si>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</si>
  <si>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</si>
  <si>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</si>
  <si>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</si>
  <si>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</si>
  <si>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</si>
  <si>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</si>
  <si>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</si>
  <si>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</si>
  <si>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</si>
  <si>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</si>
  <si>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</si>
  <si>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</si>
  <si>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</si>
  <si>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</si>
  <si>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</si>
  <si>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</si>
  <si>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</si>
  <si>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</si>
  <si>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</si>
  <si>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</si>
  <si>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</si>
  <si>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</si>
  <si>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</si>
  <si>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</si>
  <si>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</si>
  <si>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</si>
  <si>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</si>
  <si>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</si>
  <si>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</si>
  <si>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</si>
  <si>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</si>
  <si>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</si>
  <si>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</si>
  <si>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</si>
  <si>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</si>
  <si>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</si>
  <si>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</si>
  <si>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</si>
  <si>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</si>
  <si>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</si>
  <si>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</si>
  <si>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</si>
  <si>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</si>
  <si>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</si>
  <si>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</si>
  <si>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</si>
  <si>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</si>
  <si>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</si>
  <si>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</si>
  <si>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</si>
  <si>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</si>
  <si>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</si>
  <si>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</si>
  <si>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</si>
  <si>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</si>
  <si>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</si>
  <si>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</si>
  <si>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</si>
  <si>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</si>
  <si>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</si>
  <si>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</si>
  <si>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</si>
  <si>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</si>
  <si>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</si>
  <si>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</si>
  <si>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</si>
  <si>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</si>
  <si>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</si>
  <si>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</si>
  <si>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</si>
  <si>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</si>
  <si>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</si>
  <si>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</si>
  <si>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</si>
  <si>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</si>
  <si>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</si>
  <si>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</si>
  <si>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</si>
  <si>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</si>
  <si>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</si>
  <si>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</si>
  <si>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</si>
  <si>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</si>
  <si>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</si>
  <si>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</si>
  <si>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</si>
  <si>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</si>
  <si>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</si>
  <si>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</si>
  <si>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</si>
  <si>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</si>
  <si>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</si>
  <si>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</si>
  <si>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</si>
  <si>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</si>
  <si>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</si>
  <si>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</si>
  <si>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</si>
  <si>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</si>
  <si>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</si>
  <si>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</si>
  <si>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</si>
  <si>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</si>
  <si>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</si>
  <si>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</si>
  <si>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</si>
  <si>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</si>
  <si>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</si>
  <si>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</si>
  <si>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</si>
  <si>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</si>
  <si>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</si>
  <si>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</si>
  <si>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</si>
  <si>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</si>
  <si>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</si>
  <si>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</si>
  <si>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</si>
  <si>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</si>
  <si>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</si>
  <si>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</si>
  <si>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</si>
  <si>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</si>
  <si>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</si>
  <si>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</si>
  <si>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</si>
  <si>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</si>
  <si>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</si>
  <si>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</si>
  <si>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</si>
  <si>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</si>
  <si>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</si>
  <si>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</si>
  <si>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</si>
  <si>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</si>
  <si>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</si>
  <si>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</si>
  <si>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</si>
  <si>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</si>
  <si>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</si>
  <si>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</si>
  <si>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</si>
  <si>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</si>
  <si>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</si>
  <si>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</si>
  <si>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</si>
  <si>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</si>
  <si>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</si>
  <si>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</si>
  <si>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</si>
  <si>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</si>
  <si>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</si>
  <si>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</si>
  <si>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</si>
  <si>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</si>
  <si>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</si>
  <si>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</si>
  <si>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</si>
  <si>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</si>
  <si>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</si>
  <si>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</si>
  <si>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</si>
  <si>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</si>
  <si>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</si>
  <si>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</si>
  <si>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</si>
  <si>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</si>
  <si>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</si>
  <si>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</si>
  <si>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</si>
  <si>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</si>
  <si>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</si>
  <si>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</si>
  <si>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</si>
  <si>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</si>
  <si>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</si>
  <si>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</si>
  <si>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</si>
  <si>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</si>
  <si>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</si>
  <si>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</si>
  <si>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</si>
  <si>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</si>
  <si>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</si>
  <si>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</si>
  <si>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</si>
  <si>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</si>
  <si>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</si>
  <si>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</si>
  <si>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</si>
  <si>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</si>
  <si>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</si>
  <si>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</si>
  <si>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</si>
  <si>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</si>
  <si>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</si>
  <si>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</si>
  <si>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</si>
  <si>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</si>
  <si>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</si>
  <si>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</si>
  <si>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</si>
  <si>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</si>
  <si>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</si>
  <si>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</si>
  <si>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</si>
  <si>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</si>
  <si>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Other HOME  -  Source</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</si>
  <si>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</si>
  <si>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</si>
  <si>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</si>
  <si>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</si>
  <si>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</si>
  <si>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</si>
  <si>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</si>
  <si>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</si>
  <si>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</si>
  <si>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</si>
  <si>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r>
      <t xml:space="preserve">Number of Public Housing 
Units </t>
    </r>
    <r>
      <rPr>
        <sz val="10"/>
        <color rgb="FFFF0000"/>
        <rFont val="Arial Narrow"/>
        <family val="2"/>
      </rPr>
      <t>reserved 
for and rented to</t>
    </r>
    <r>
      <rPr>
        <sz val="10"/>
        <rFont val="Arial Narrow"/>
        <family val="2"/>
      </rPr>
      <t>:</t>
    </r>
  </si>
  <si>
    <t>Will proposed project reduce public housing waiting lists?</t>
  </si>
  <si>
    <t>Nbr of Households on Waiting List:</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</si>
  <si>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</si>
  <si>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</si>
  <si>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</si>
  <si>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</si>
  <si>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</si>
  <si>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</si>
  <si>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</si>
  <si>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</si>
  <si>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GEOGRAPHIC POOL</t>
  </si>
  <si>
    <t>HUD Rental Assistance Demonstration (RAD) Program</t>
  </si>
  <si>
    <t>ADDITIONAL 9% CREDIT DEDUCTION</t>
  </si>
  <si>
    <t>Project Teams with Developments awarded 9% Credits under a competitive round governed by the Plan that later request and are awarded additional 9% Credits will receive a two-point deduction on all applications submitted in a subsequent competitive round for 9% Credits</t>
  </si>
  <si>
    <t>HUD Rental Assistance Demonstration (RAD)</t>
  </si>
  <si>
    <t>Other Metro</t>
  </si>
  <si>
    <t>(New Supply)</t>
  </si>
  <si>
    <t>Per Project Maximum</t>
  </si>
  <si>
    <t>Bond/4% Credit Processing Fee</t>
  </si>
  <si>
    <t>Community Service Facility</t>
  </si>
  <si>
    <t>Adjusted Basis included in Eligible Basis</t>
  </si>
  <si>
    <t>Does the market study support the unit mix and target population that are included in the application?</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</si>
  <si>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</si>
  <si>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t>Is the proposed market area appropriately sized and does not overstimate demand?</t>
  </si>
  <si>
    <t>I1)</t>
  </si>
  <si>
    <t>The development's stabilized occupancy rate, as specified by the analyst, will be:</t>
  </si>
  <si>
    <t>Radon gas?</t>
  </si>
  <si>
    <t>Asbestos?</t>
  </si>
  <si>
    <t>Historic preservation?</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</si>
  <si>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2021</t>
    </r>
    <r>
      <rPr>
        <sz val="8"/>
        <rFont val="Arial"/>
        <family val="2"/>
      </rPr>
      <t>?</t>
    </r>
  </si>
  <si>
    <t>Does zoning of the development site conform to the proposed Conceptual Site Development Plan?</t>
  </si>
  <si>
    <t>Application must include a letter from the appropriate authorized utility authorities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</si>
  <si>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</si>
  <si>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</si>
  <si>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</si>
  <si>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</si>
  <si>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</si>
  <si>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</si>
  <si>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</si>
  <si>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</si>
  <si>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</si>
  <si>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</si>
  <si>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</si>
  <si>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</si>
  <si>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ELIGIBILITY FOR CREDIT UNDER THE RAD SET-ASIDE</t>
  </si>
  <si>
    <t>Applicant agrees that the proposed development must be approved by HUD to proceed with a RAD conversion.</t>
  </si>
  <si>
    <t>Date of HUD Commitment to enter into a Housing Assistance Payment (CHAP)</t>
  </si>
  <si>
    <r>
      <t xml:space="preserve">Applicant agrees that at least </t>
    </r>
    <r>
      <rPr>
        <b/>
        <sz val="8"/>
        <color rgb="FFFF0000"/>
        <rFont val="Arial"/>
        <family val="2"/>
      </rPr>
      <t>50%</t>
    </r>
    <r>
      <rPr>
        <sz val="8"/>
        <rFont val="Arial"/>
        <family val="2"/>
      </rPr>
      <t xml:space="preserve"> of units in the proposed development must maintain existing project-based rental assistance or project-based operating subsidies through a program administered by HUD?</t>
    </r>
  </si>
  <si>
    <r>
      <rPr>
        <b/>
        <sz val="8"/>
        <color rgb="FFFF0000"/>
        <rFont val="Arial Narrow"/>
        <family val="2"/>
      </rPr>
      <t xml:space="preserve">DCA Staff: </t>
    </r>
    <r>
      <rPr>
        <sz val="8"/>
        <rFont val="Arial Narrow"/>
        <family val="2"/>
      </rPr>
      <t>List here the Project Number(s) and Project Name(s) of any such development(s) selected in previous rounds meeting the criteria above for this Project Team, justifying a two point deduction in this category.</t>
    </r>
  </si>
  <si>
    <r>
      <t xml:space="preserve">Any points entered will be </t>
    </r>
    <r>
      <rPr>
        <u/>
        <sz val="8"/>
        <rFont val="Arial"/>
        <family val="2"/>
      </rPr>
      <t>subtracted</t>
    </r>
    <r>
      <rPr>
        <sz val="8"/>
        <rFont val="Arial"/>
        <family val="2"/>
      </rPr>
      <t xml:space="preserve"> from the total score value.</t>
    </r>
  </si>
  <si>
    <t>New Supply</t>
  </si>
  <si>
    <t xml:space="preserve">RAD </t>
  </si>
  <si>
    <t>Application Completeness</t>
  </si>
  <si>
    <t>Deeper Targeting / Rent / Income Restrictions</t>
  </si>
  <si>
    <t>Mixed Income Developments</t>
  </si>
  <si>
    <t>Phased Developments</t>
  </si>
  <si>
    <t>Exceptional Nonprofit/Public Housing Authority</t>
  </si>
  <si>
    <t>Compliance Performance</t>
  </si>
  <si>
    <t>Underserved Populations</t>
  </si>
  <si>
    <t>Occupancy</t>
  </si>
  <si>
    <t>Tax Credit Restrictions</t>
  </si>
  <si>
    <t>Property Age</t>
  </si>
  <si>
    <t>Property Size</t>
  </si>
  <si>
    <t>Readiness to Proceed for 4% Credit Applications</t>
  </si>
  <si>
    <t>DOCUMENTATION AND JUSTIFICATIONS</t>
  </si>
  <si>
    <t>SCORING JUSTIFICATIONS</t>
  </si>
  <si>
    <t>APPLICABILITY OF SCORING CRITERIA</t>
  </si>
  <si>
    <t>Type of Application</t>
  </si>
  <si>
    <t>Type of Credit:</t>
  </si>
  <si>
    <t>Geographic Pool</t>
  </si>
  <si>
    <r>
      <t xml:space="preserve">New Supply </t>
    </r>
    <r>
      <rPr>
        <sz val="7"/>
        <rFont val="Arial Narrow"/>
        <family val="2"/>
      </rPr>
      <t>(NC + AR)</t>
    </r>
  </si>
  <si>
    <r>
      <t>Deeper Targeting through Rent Restrictions</t>
    </r>
    <r>
      <rPr>
        <b/>
        <sz val="9"/>
        <rFont val="Arial Narrow"/>
        <family val="2"/>
      </rPr>
      <t xml:space="preserve"> </t>
    </r>
    <r>
      <rPr>
        <sz val="8"/>
        <color rgb="FFFF0000"/>
        <rFont val="Arial Narrow"/>
        <family val="2"/>
      </rPr>
      <t>(9% Credits Only)</t>
    </r>
  </si>
  <si>
    <t>Set-Aside</t>
  </si>
  <si>
    <t xml:space="preserve">Did the Certifying Entity meet the experience requirement in 2020? </t>
  </si>
  <si>
    <t>Applications proposing rehabilitation are exempt from this section unless the proposed unit mix comprises both New Supply and rehabilitation.</t>
  </si>
  <si>
    <t>Rehab Applications  exempt from this section unless unit mix comprises both New Supply and rehab.</t>
  </si>
  <si>
    <t>HUD RAD</t>
  </si>
  <si>
    <t>Disaster Recovery</t>
  </si>
  <si>
    <t xml:space="preserve">See QAP for  requirements.   </t>
  </si>
  <si>
    <t>Metro Pool</t>
  </si>
  <si>
    <t>Points</t>
  </si>
  <si>
    <t>Site is within walking distance of a transit hub. 
The hub must rest along a transit line that follows a fixed route and daily schedule serving the public no less than 5 days per week.</t>
  </si>
  <si>
    <t>For subsection A, transportation route has a local route? Multi-stop express routes providing regional transit are only eligible under subsection B.</t>
  </si>
  <si>
    <r>
      <t xml:space="preserve">Route for site does not only run direct, and is not an express route?  Routes that </t>
    </r>
    <r>
      <rPr>
        <u/>
        <sz val="8"/>
        <rFont val="Arial"/>
        <family val="2"/>
      </rPr>
      <t>only</t>
    </r>
    <r>
      <rPr>
        <sz val="8"/>
        <rFont val="Arial"/>
        <family val="2"/>
      </rPr>
      <t xml:space="preserve"> run direct or express routes will not qualify.</t>
    </r>
  </si>
  <si>
    <t>Proposed Transit Hub/Stop</t>
  </si>
  <si>
    <t>Walking Distance, site to hub (miles)</t>
  </si>
  <si>
    <t>The proposed transit hub is a station that has three or more bus routes, rail options, and/or other affordable mass transit options?</t>
  </si>
  <si>
    <r>
      <t>Site is</t>
    </r>
    <r>
      <rPr>
        <i/>
        <sz val="8"/>
        <rFont val="Arial"/>
        <family val="2"/>
      </rPr>
      <t xml:space="preserve"> </t>
    </r>
    <r>
      <rPr>
        <u/>
        <sz val="8"/>
        <rFont val="Arial"/>
        <family val="2"/>
      </rPr>
      <t>owned</t>
    </r>
    <r>
      <rPr>
        <sz val="8"/>
        <rFont val="Arial"/>
        <family val="2"/>
      </rPr>
      <t xml:space="preserve"> by a public or local transit agency &amp; is strategically targeted by agency to create housing with on site or adjacent access to a transit hub. Site rests along transit line that follows fixed route and fixed daily schedule available to public </t>
    </r>
    <r>
      <rPr>
        <u/>
        <sz val="8"/>
        <rFont val="Arial"/>
        <family val="2"/>
      </rPr>
      <t>every</t>
    </r>
    <r>
      <rPr>
        <sz val="8"/>
        <rFont val="Arial"/>
        <family val="2"/>
      </rPr>
      <t xml:space="preserve"> day of week.</t>
    </r>
  </si>
  <si>
    <r>
      <t>Publicly operated/sponsored and established transit service</t>
    </r>
    <r>
      <rPr>
        <sz val="8"/>
        <rFont val="Arial"/>
        <family val="2"/>
      </rPr>
      <t xml:space="preserve"> 
</t>
    </r>
  </si>
  <si>
    <r>
      <rPr>
        <sz val="8"/>
        <rFont val="Arial"/>
        <family val="2"/>
      </rPr>
      <t>(including on-call service onsite or fixed-route service within 0.5 mile walking distance</t>
    </r>
    <r>
      <rPr>
        <b/>
        <sz val="9"/>
        <color rgb="FFFF0000"/>
        <rFont val="Arial"/>
        <family val="2"/>
      </rPr>
      <t>*</t>
    </r>
    <r>
      <rPr>
        <sz val="8"/>
        <rFont val="Arial"/>
        <family val="2"/>
      </rPr>
      <t xml:space="preserve"> of site)</t>
    </r>
  </si>
  <si>
    <t>QUALITY EDUCATION AREAS</t>
  </si>
  <si>
    <t>(New Supply) Atlanta Metro or Other Metro Pool or RAD Set Aside</t>
  </si>
  <si>
    <t>Rehabilitation Set Aside or (New Supply) Rural Pool</t>
  </si>
  <si>
    <t>If Yes, Date:</t>
  </si>
  <si>
    <t>Year of Subsequent Allocation</t>
  </si>
  <si>
    <r>
      <rPr>
        <b/>
        <sz val="10"/>
        <color rgb="FFFF0000"/>
        <rFont val="Arial Narrow"/>
        <family val="2"/>
      </rPr>
      <t>Original</t>
    </r>
    <r>
      <rPr>
        <b/>
        <sz val="10"/>
        <rFont val="Arial Narrow"/>
        <family val="2"/>
      </rPr>
      <t xml:space="preserve"> Allocation</t>
    </r>
  </si>
  <si>
    <t>Displacement?</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</si>
  <si>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</si>
  <si>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</si>
  <si>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</si>
  <si>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</si>
  <si>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</si>
  <si>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</si>
  <si>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</si>
  <si>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</si>
  <si>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</si>
  <si>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</si>
  <si>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</si>
  <si>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</si>
  <si>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</si>
  <si>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</si>
  <si>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</si>
  <si>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</si>
  <si>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</si>
  <si>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</si>
  <si>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</si>
  <si>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</si>
  <si>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</si>
  <si>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</si>
  <si>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</si>
  <si>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</si>
  <si>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r>
      <t xml:space="preserve">Clearly delineates Targeted Area within a Local Government boundary that includes proposed project site?
</t>
    </r>
    <r>
      <rPr>
        <sz val="8"/>
        <rFont val="Arial Narrow"/>
        <family val="2"/>
      </rPr>
      <t>(For applications in a Metro Pool, the Targeted Area must not encompass the full Local Government Boundary)</t>
    </r>
  </si>
  <si>
    <t>Includes an assessment of the Targeted Area’s existing infrastructure?</t>
  </si>
  <si>
    <t>Designates implementation measures?</t>
  </si>
  <si>
    <t>Revitalization Plan/Qualified Census Tract</t>
  </si>
  <si>
    <t>This Application is submitted in accordance with the 2021 Qualified Allocation Plan and the Housing Finance and Development Division Manuals.  In submitting this Application for funding consideration, the undersigned applicant hereby certifies:</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</si>
  <si>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</si>
  <si>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</si>
  <si>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</si>
  <si>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This development is proposed as:</t>
  </si>
  <si>
    <t>If occupied, current tenancy is::</t>
  </si>
  <si>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</si>
  <si>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</si>
  <si>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</si>
  <si>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</si>
  <si>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</si>
  <si>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</si>
  <si>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2. Is there an Identity of Interest between the Environmental Professional and anyone in Project Team (this is not allowed)?</t>
  </si>
  <si>
    <t>State waters?</t>
  </si>
  <si>
    <t>100 yr floodplain/floodway?</t>
  </si>
  <si>
    <t>Lead?</t>
  </si>
  <si>
    <t xml:space="preserve">12)  </t>
  </si>
  <si>
    <t xml:space="preserve">13)  </t>
  </si>
  <si>
    <t>Wtr leak/mold/fungi
/micro-bial growth?</t>
  </si>
  <si>
    <t>For Applications with DCA/GHFA funding: Does the submission include an executed Pre-Contract Agreement for voluntary acquisition informing buyer of fair market value?</t>
  </si>
  <si>
    <t>Applications proposing rehab are exempt from this section unless the proposed unit mix comprises both New Supply and Rehab. Project is Exempt?</t>
  </si>
  <si>
    <t>If "Other Pre-Approved", explain here</t>
  </si>
  <si>
    <t>Powder-based stovetop fire suppression canisters installed above the range cook top, or Electronically controlled solid cover plates over stove top burners</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</si>
  <si>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</si>
  <si>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</si>
  <si>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</si>
  <si>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</si>
  <si>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</si>
  <si>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</si>
  <si>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</si>
  <si>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</si>
  <si>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</si>
  <si>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</si>
  <si>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</si>
  <si>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</si>
  <si>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</si>
  <si>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</si>
  <si>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 xml:space="preserve">14) </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</si>
  <si>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</si>
  <si>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</si>
  <si>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</si>
  <si>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</si>
  <si>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</si>
  <si>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</si>
  <si>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</si>
  <si>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</si>
  <si>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</si>
  <si>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</si>
  <si>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</si>
  <si>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</si>
  <si>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</si>
  <si>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List all LIHTC, HOME, and GHFA applications funded.</t>
  </si>
  <si>
    <t>Placed-In-Service Date</t>
  </si>
  <si>
    <r>
      <rPr>
        <b/>
        <sz val="10"/>
        <color rgb="FFFF0000"/>
        <rFont val="Arial Narrow"/>
        <family val="2"/>
      </rPr>
      <t xml:space="preserve">Subsequent (Second) </t>
    </r>
    <r>
      <rPr>
        <b/>
        <sz val="10"/>
        <rFont val="Arial Narrow"/>
        <family val="2"/>
      </rPr>
      <t>Allocation</t>
    </r>
  </si>
  <si>
    <t xml:space="preserve">LURC Expiration Date </t>
  </si>
  <si>
    <t>Other Affordability Restrictions Expiration Date</t>
  </si>
  <si>
    <t>Buyer and Seller(s) of Land/Property?</t>
  </si>
  <si>
    <r>
      <t>PROPERTY TRANSFER</t>
    </r>
    <r>
      <rPr>
        <sz val="10"/>
        <rFont val="Arial Narrow"/>
        <family val="2"/>
      </rPr>
      <t xml:space="preserve"> (If applicable)</t>
    </r>
  </si>
  <si>
    <t>Street Address</t>
  </si>
  <si>
    <t>Three months prior to pre-application (or application if no pre-application submitted)</t>
  </si>
  <si>
    <t>If Yes, Date</t>
  </si>
  <si>
    <t>The date of site control</t>
  </si>
  <si>
    <t>Manufactured/Mobile Homes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</si>
  <si>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</si>
  <si>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</si>
  <si>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</si>
  <si>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</si>
  <si>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</si>
  <si>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</si>
  <si>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</si>
  <si>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set forth in Exhibit A of Appendix II: Scoring and Section 42(i)(7) of the Code.</t>
    </r>
  </si>
  <si>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</si>
  <si>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</si>
  <si>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b)  Was the Nonprofit awarded points in this category in the 2019 or 2020 competitive round?</t>
  </si>
  <si>
    <t>b)   Was the PHA awarded points in this category in the 2019 or 2020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</si>
  <si>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</si>
  <si>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</si>
  <si>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</si>
  <si>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&lt; Select &gt;</t>
  </si>
  <si>
    <t xml:space="preserve">     Total Units</t>
  </si>
  <si>
    <t xml:space="preserve">     TQS per Unit</t>
  </si>
  <si>
    <t xml:space="preserve">     Points as suggested by TQS per Unit:</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</si>
  <si>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</si>
  <si>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</si>
  <si>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UNDERSERVED POPULATIONS</t>
  </si>
  <si>
    <t>Owner will report property vacancies monthly to DCA.</t>
  </si>
  <si>
    <t>As units become available and as DCA Housing Assistance funding is available, Applicant agrees to accept DCA PBRA for up to 10% of property units. Applications proposing a Family tenancy agree to contract up to 20% of units if possible given PBRA contracts on the property.</t>
  </si>
  <si>
    <t>DCA Supportive Housing Programs Match</t>
  </si>
  <si>
    <t>Property managers will accept referrals for DCA rental assistance recipients in accordance with the requirements set forth in Core Plan, Monitoring and Compliance subsection B. Section 8 Rental Assistance, regardless of whether Section 8 is the funding source for the rental assistance.</t>
  </si>
  <si>
    <t>Owner will sign an annually updated MOU with DCA reflecting this commitment.</t>
  </si>
  <si>
    <t>Commitment</t>
  </si>
  <si>
    <t>Eligibility and Certifications for Age-Restricted Properties</t>
  </si>
  <si>
    <t>Applicant did not make any commitments, verbally or written, to local governments indicating that this property will be 100% occupied by residents aged 55+</t>
  </si>
  <si>
    <t>Applicant understands that the commitment to house people with disabilities will qualify under the “Other” definition provided for in the LURC.</t>
  </si>
  <si>
    <t>Tenant Selection Preference</t>
  </si>
  <si>
    <t xml:space="preserve">This PHA has elected to offer a tenant selection preference in their tenant Voucher programs for persons with specific disabilities identified in the Settlement Agreement (#1:10-CV-249-CAP)? </t>
  </si>
  <si>
    <t>OCCUPANCY</t>
  </si>
  <si>
    <t>TAX CREDIT RESTRICTIONS</t>
  </si>
  <si>
    <t>PROPERTY AGE</t>
  </si>
  <si>
    <t>PROPERTY SIZE</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</si>
  <si>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</si>
  <si>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</si>
  <si>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Point Deductions from III.A1 Missing Docs:</t>
  </si>
  <si>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</si>
  <si>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</si>
  <si>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</si>
  <si>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</si>
  <si>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HUD Rental Assitance Deonstration (RAD)</t>
  </si>
  <si>
    <t>HUD RAD is a Source?</t>
  </si>
  <si>
    <t>RAD</t>
  </si>
  <si>
    <t xml:space="preserve">Per 9% Project </t>
  </si>
  <si>
    <t>Geog Pool</t>
  </si>
  <si>
    <t>RAD Set</t>
  </si>
  <si>
    <r>
      <t xml:space="preserve">Tax Credit PROJECT MAXIMUM - </t>
    </r>
    <r>
      <rPr>
        <sz val="10"/>
        <rFont val="Arial Narrow"/>
        <family val="2"/>
      </rPr>
      <t>Lower of Basis Method, Gap Method or DCA Limit:</t>
    </r>
    <r>
      <rPr>
        <sz val="8"/>
        <rFont val="Arial Narrow"/>
        <family val="2"/>
      </rPr>
      <t xml:space="preserve"> (round down)</t>
    </r>
  </si>
  <si>
    <t>Credit:Type</t>
  </si>
  <si>
    <t>(Choose either A or B.)</t>
  </si>
  <si>
    <t>Activity Type for Scoring Purposes</t>
  </si>
  <si>
    <t>Income Averaging Equal Distribution</t>
  </si>
  <si>
    <t>Is there an Identity of Interest between the Relocation Specialist and anyone in Project Team?</t>
  </si>
  <si>
    <t>If development is in Metro Pool, on-call transportation service is not involved?  On-call transportation services are not eligible for points in the Atlanta Metro Pool.</t>
  </si>
  <si>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 or for which an on-call transportation service is available on-site</t>
    </r>
  </si>
  <si>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</si>
  <si>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</si>
  <si>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</si>
  <si>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</si>
  <si>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</si>
  <si>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</si>
  <si>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</si>
  <si>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</si>
  <si>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</si>
  <si>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Applicant certifies the following:</t>
  </si>
  <si>
    <t>Preference will be implemented at the proposed project site with a minimum of 15% of the total units targeting the Settlement population?</t>
  </si>
  <si>
    <t>Agency or project owner responsible for maintaining the waiting list for PBRA units will keep a separate waiting list for the target population?</t>
  </si>
  <si>
    <r>
      <t xml:space="preserve">READINESS TO PROCEED FOR </t>
    </r>
    <r>
      <rPr>
        <b/>
        <i/>
        <sz val="10"/>
        <color rgb="FFFF0000"/>
        <rFont val="Arial"/>
        <family val="2"/>
      </rPr>
      <t>4</t>
    </r>
    <r>
      <rPr>
        <b/>
        <i/>
        <sz val="10"/>
        <rFont val="Arial"/>
        <family val="2"/>
      </rPr>
      <t>% CREDIT APPLICATIONS</t>
    </r>
  </si>
  <si>
    <r>
      <t xml:space="preserve">Complete </t>
    </r>
    <r>
      <rPr>
        <b/>
        <u/>
        <sz val="9"/>
        <color rgb="FFFF0000"/>
        <rFont val="Arial Narrow"/>
        <family val="2"/>
      </rPr>
      <t>all</t>
    </r>
    <r>
      <rPr>
        <b/>
        <sz val="9"/>
        <color rgb="FFFF0000"/>
        <rFont val="Arial Narrow"/>
        <family val="2"/>
      </rPr>
      <t xml:space="preserve"> blue cells for each school. Leave unused CCRPI cells empty. Sort by grade group.</t>
    </r>
  </si>
  <si>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</si>
  <si>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</si>
  <si>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</si>
  <si>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</si>
  <si>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</si>
  <si>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</si>
  <si>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</si>
  <si>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</si>
  <si>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</si>
  <si>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A)</t>
    </r>
    <r>
      <rPr>
        <sz val="8"/>
        <rFont val="Arial"/>
        <family val="2"/>
      </rPr>
      <t>. Average of College and Career Readiness Performance Index (CCRPI) scores posted since 2018 are above state average?</t>
    </r>
  </si>
  <si>
    <r>
      <rPr>
        <b/>
        <sz val="8"/>
        <rFont val="Arial"/>
        <family val="2"/>
      </rPr>
      <t>B)</t>
    </r>
    <r>
      <rPr>
        <sz val="8"/>
        <rFont val="Arial"/>
        <family val="2"/>
      </rPr>
      <t xml:space="preserve">  School Receives 2018 or later “Beating the Odds” Designation?</t>
    </r>
  </si>
  <si>
    <t>Rehabilitation (A/R+SR-AR)</t>
  </si>
  <si>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</si>
  <si>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</si>
  <si>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</si>
  <si>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</si>
  <si>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</si>
  <si>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</si>
  <si>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</si>
  <si>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</si>
  <si>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</si>
  <si>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</si>
  <si>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</si>
  <si>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</si>
  <si>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</si>
  <si>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</si>
  <si>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</si>
  <si>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</si>
  <si>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</si>
  <si>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</si>
  <si>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</si>
  <si>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</si>
  <si>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</si>
  <si>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</si>
  <si>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</si>
  <si>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</si>
  <si>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</si>
  <si>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</si>
  <si>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r>
      <rPr>
        <b/>
        <i/>
        <u/>
        <sz val="10"/>
        <rFont val="Arial Narrow"/>
        <family val="2"/>
      </rPr>
      <t>Proposed</t>
    </r>
    <r>
      <rPr>
        <b/>
        <sz val="10"/>
        <rFont val="Arial Narrow"/>
        <family val="2"/>
      </rPr>
      <t xml:space="preserve"> Tenancy</t>
    </r>
  </si>
  <si>
    <t>(Family or Senior)</t>
  </si>
  <si>
    <t>(If Senior, specify Elderly or HFOP)</t>
  </si>
  <si>
    <r>
      <rPr>
        <b/>
        <i/>
        <u/>
        <sz val="10"/>
        <rFont val="Arial Narrow"/>
        <family val="2"/>
      </rPr>
      <t>Current</t>
    </r>
    <r>
      <rPr>
        <b/>
        <sz val="10"/>
        <rFont val="Arial Narrow"/>
        <family val="2"/>
      </rPr>
      <t xml:space="preserve"> Tenancy</t>
    </r>
  </si>
  <si>
    <t>(if occupied units involved)</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</si>
  <si>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2021PA-###</t>
    </r>
  </si>
  <si>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</si>
  <si>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</si>
  <si>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</si>
  <si>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</si>
  <si>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</si>
  <si>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</si>
  <si>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</si>
  <si>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</si>
  <si>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</si>
  <si>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</si>
  <si>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At NOFA publication (if applicable)</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</si>
  <si>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</si>
  <si>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</si>
  <si>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</si>
  <si>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</si>
  <si>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</si>
  <si>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</si>
  <si>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</si>
  <si>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</si>
  <si>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</si>
  <si>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</si>
  <si>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</si>
  <si>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</si>
  <si>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</si>
  <si>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</si>
  <si>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</si>
  <si>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</si>
  <si>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</si>
  <si>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</si>
  <si>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</si>
  <si>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</si>
  <si>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</si>
  <si>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</si>
  <si>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</si>
  <si>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</si>
  <si>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</si>
  <si>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</si>
  <si>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</si>
  <si>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</si>
  <si>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</si>
  <si>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</si>
  <si>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</si>
  <si>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</si>
  <si>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</si>
  <si>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</si>
  <si>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</si>
  <si>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</si>
  <si>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</si>
  <si>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</si>
  <si>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</si>
  <si>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</si>
  <si>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</si>
  <si>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</si>
  <si>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</si>
  <si>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</si>
  <si>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</si>
  <si>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</si>
  <si>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</si>
  <si>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</si>
  <si>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</si>
  <si>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</si>
  <si>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</si>
  <si>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</si>
  <si>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</si>
  <si>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</si>
  <si>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</si>
  <si>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</si>
  <si>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</si>
  <si>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</si>
  <si>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</si>
  <si>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</si>
  <si>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</si>
  <si>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</si>
  <si>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</si>
  <si>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</si>
  <si>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</si>
  <si>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</si>
  <si>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</si>
  <si>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</si>
  <si>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</si>
  <si>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</si>
  <si>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</si>
  <si>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</si>
  <si>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</si>
  <si>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</si>
  <si>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</si>
  <si>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</si>
  <si>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</si>
  <si>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</si>
  <si>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</si>
  <si>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</si>
  <si>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</si>
  <si>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</si>
  <si>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</si>
  <si>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</si>
  <si>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</si>
  <si>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</si>
  <si>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</si>
  <si>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</si>
  <si>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</si>
  <si>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</si>
  <si>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</si>
  <si>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</si>
  <si>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</si>
  <si>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</si>
  <si>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</si>
  <si>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</si>
  <si>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</si>
  <si>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</si>
  <si>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</si>
  <si>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</si>
  <si>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</si>
  <si>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</si>
  <si>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</si>
  <si>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</si>
  <si>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</si>
  <si>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</si>
  <si>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</si>
  <si>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</si>
  <si>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</si>
  <si>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</si>
  <si>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</si>
  <si>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</si>
  <si>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</si>
  <si>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</si>
  <si>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</si>
  <si>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</si>
  <si>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</si>
  <si>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</si>
  <si>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</si>
  <si>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</si>
  <si>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</si>
  <si>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</si>
  <si>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</si>
  <si>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</si>
  <si>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</si>
  <si>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</si>
  <si>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</si>
  <si>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</si>
  <si>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</si>
  <si>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</si>
  <si>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</si>
  <si>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</si>
  <si>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</si>
  <si>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</si>
  <si>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</si>
  <si>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</si>
  <si>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</si>
  <si>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</si>
  <si>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</si>
  <si>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</si>
  <si>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</si>
  <si>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</si>
  <si>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</si>
  <si>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</si>
  <si>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</si>
  <si>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</si>
  <si>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</si>
  <si>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</si>
  <si>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</si>
  <si>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</si>
  <si>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</si>
  <si>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</si>
  <si>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</si>
  <si>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</si>
  <si>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</si>
  <si>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</si>
  <si>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</si>
  <si>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</si>
  <si>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(If no local zoning requirement: DCA minimum is 1.5 parking spaces per unit for family projects, 1 per unit for senior projects)</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</si>
  <si>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</si>
  <si>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</si>
  <si>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</si>
  <si>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</si>
  <si>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</si>
  <si>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t># Structures</t>
  </si>
  <si>
    <t># Units</t>
  </si>
  <si>
    <t xml:space="preserve"> Application</t>
  </si>
  <si>
    <t>Single Family Residential:</t>
  </si>
  <si>
    <t>Multifamily Residential:</t>
  </si>
  <si>
    <t>Business/farm/non-profit</t>
  </si>
  <si>
    <t>Describe residential or non-residential occupants (e.g. senior, income qualified, business, farm, homeless, etc.):</t>
  </si>
  <si>
    <t>Demolition / Removal Date (if applicable)</t>
  </si>
  <si>
    <t xml:space="preserve">Type of Residents/Non-Residential </t>
  </si>
  <si>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</si>
  <si>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</si>
  <si>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</si>
  <si>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</si>
  <si>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t>If Yes, explain relationship in boxes provided below.  Use Comment box at bottom of this tab or attach pages as needed: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</si>
  <si>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</si>
  <si>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</si>
  <si>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</si>
  <si>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</si>
  <si>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Was the site occupied by residents or non-residential occupants on these three dates?</t>
  </si>
  <si>
    <t>Occupants by Structure Type</t>
  </si>
  <si>
    <r>
      <t xml:space="preserve">Other </t>
    </r>
    <r>
      <rPr>
        <sz val="8"/>
        <rFont val="Arial Narrow"/>
        <family val="2"/>
      </rPr>
      <t>(indicate type here &amp; explain below)</t>
    </r>
    <r>
      <rPr>
        <sz val="10"/>
        <rFont val="Arial Narrow"/>
        <family val="2"/>
      </rPr>
      <t>:</t>
    </r>
  </si>
  <si>
    <t>Earliest of the 3 dates above:</t>
  </si>
  <si>
    <t>Please explain occupancy history (including circumstances surrounding departure) in detail as of the earliest of the 3 dates above.  If additional occupancy history before this date is relevant, please include this also below:</t>
  </si>
  <si>
    <t>% Occupied as of:</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</si>
  <si>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</si>
  <si>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</si>
  <si>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</si>
  <si>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</si>
  <si>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</si>
  <si>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</si>
  <si>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</si>
  <si>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</si>
  <si>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</si>
  <si>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</si>
  <si>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</si>
  <si>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</si>
  <si>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</si>
  <si>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</si>
  <si>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</si>
  <si>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</si>
  <si>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</si>
  <si>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r>
      <t xml:space="preserve">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</si>
  <si>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 xml:space="preserve">5) </t>
  </si>
  <si>
    <r>
      <t xml:space="preserve">For adapative reuse units, please inidcate either Acq/Rhb or Subst Rhb in Rent Chart. 
</t>
    </r>
    <r>
      <rPr>
        <b/>
        <sz val="6"/>
        <color rgb="FFFF0000"/>
        <rFont val="Arial Narrow"/>
        <family val="2"/>
      </rPr>
      <t>If a Tie occurs</t>
    </r>
    <r>
      <rPr>
        <sz val="6"/>
        <rFont val="Arial Narrow"/>
        <family val="2"/>
      </rPr>
      <t xml:space="preserve"> in the Nbr of Units above, please indicate preference below and contact DCA before Application Submission:  This choice of preference will not be binding upon DCA's evaluation and decision.</t>
    </r>
  </si>
  <si>
    <t>Applicant Scoring Justification (partial preview)</t>
  </si>
  <si>
    <t>(Building Type)</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</si>
  <si>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</si>
  <si>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</si>
  <si>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</si>
  <si>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</si>
  <si>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r>
      <rPr>
        <b/>
        <u/>
        <sz val="10"/>
        <color rgb="FFFF0000"/>
        <rFont val="Arial Narrow"/>
        <family val="2"/>
      </rPr>
      <t>NOTE</t>
    </r>
    <r>
      <rPr>
        <b/>
        <sz val="10"/>
        <color rgb="FFFF0000"/>
        <rFont val="Arial Narrow"/>
        <family val="2"/>
      </rPr>
      <t xml:space="preserve">:  </t>
    </r>
    <r>
      <rPr>
        <sz val="10"/>
        <color rgb="FFFF0000"/>
        <rFont val="Arial Narrow"/>
        <family val="2"/>
      </rPr>
      <t>For</t>
    </r>
    <r>
      <rPr>
        <b/>
        <sz val="10"/>
        <color rgb="FFFF0000"/>
        <rFont val="Arial Narrow"/>
        <family val="2"/>
      </rPr>
      <t xml:space="preserve"> </t>
    </r>
    <r>
      <rPr>
        <b/>
        <u/>
        <sz val="10"/>
        <color rgb="FFFF0000"/>
        <rFont val="Arial Narrow"/>
        <family val="2"/>
      </rPr>
      <t>Structure</t>
    </r>
    <r>
      <rPr>
        <b/>
        <sz val="10"/>
        <color rgb="FFFF0000"/>
        <rFont val="Arial Narrow"/>
        <family val="2"/>
      </rPr>
      <t xml:space="preserve">, </t>
    </r>
    <r>
      <rPr>
        <sz val="10"/>
        <color rgb="FFFF0000"/>
        <rFont val="Arial Narrow"/>
        <family val="2"/>
      </rPr>
      <t>OHF has added "Low-Rise Elevator" and "High-Rise Elevator" options to the HUD UA structure type list for clarification purposes later when translating to PIH Cost Limit structure types.  "Low-Rise Apt" and "Low-Rise Elevator" will have the same UA amounts.  Also, "High-Rise Apt" and "High-Rise Elevator" will have the same UA amounts.   if an elevator is proposed, Applicants must select  the same applicable elevator option in both the UA tab and the Rent Chart.  The Cost Limits will then calculate differently for projects proposing elevators.</t>
    </r>
  </si>
  <si>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</si>
  <si>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</si>
  <si>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</si>
  <si>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</si>
  <si>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t>All District's School Names per CCRPI</t>
  </si>
  <si>
    <t>Original Allocation</t>
  </si>
  <si>
    <t>Subsequent (Second) Allocation</t>
  </si>
  <si>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</si>
  <si>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</si>
  <si>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</si>
  <si>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</si>
  <si>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</si>
  <si>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</si>
  <si>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</si>
  <si>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</si>
  <si>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TCAP acquisition loans passed through a Qualified CDFI revolving loan fund*</t>
  </si>
  <si>
    <t>READINESS TO PROCEED FOR 4% CREDIT APPLICATIONS</t>
  </si>
  <si>
    <t>2021 Core App
May 10 Rev</t>
  </si>
  <si>
    <t xml:space="preserve">     West Point Village Phase II is the second phase of this project to redevelop the Housing Authority of the City of West Point (WPHA)'s Public Housing Portfolio. WPHA is collaborating with Pennrose LLC and Collaborative Housing Solutions as co-owners and co-develoeprs.  This project will be located at 1650 E 10th Street, West Point, GA on approximately 5 acres of land. West Point Village Phase II will be a newly constructed 72-unit family property consisting of three, three-story, garden-style residential buildings. The project will have amenities that include community/activity room, fitness and computer centers, and an external gathering area. The property will consist of one, two and three-bedroom units with 32 LIHTC units with no rental assistance and 32 LIHTC units subsidized through the HUD Rental Assistance Demonstration (RAD) program wherein WPHA public housing residents from its existing public housing sites will be relocated to this project when completed and pay 30% of their income towards rent. WPHA will engage in a RAD Transfer of Assistance to move the RAD Section 8 PBRA to this project which is not on the WPHA public housing sites. The existing public housing residents will remain in their public housing units until they move into the project’s newly-constructed units.  WPHA will oversee all aspects of the relocation in accordance with federal and state relocation requirements.  All 64 LIHTC units will be affordable to households earning 60% or less of Area Median Income.  In addition, there will be 8 unrestricted, market-rate units. This project is the second phase of a two-phased, master-planned project which will play an important role in the revitalization efforts occuring in the surrounding area.  
     West Point Village Phase II is located in an area ready for renewed investment as described in the 10th Street Redevelopment Plan. Residents of the West Point community are looking to retain their homes, secure work, increase safety, grow their incomes and assets, and find ways to increase their overall prosperity. The City of West Point, Georgia fully supports the development and has committed $775,581 for the cost of nearby off-site public improvements. These include streetscape improvements, streets, paving, curbs, sewers, sidewalks, exterior lighting and more. The new improvements will create a more pedestrian-friendly streetscape that promotes great walkability to nearby retail, employment sectors, the West Point Elementary School and the existing West Point Housing Authority communities.  Additionally, the improvements will support greater connectivity opportunities for future residential and commercial developments.
     Because of the Griffin Housing Authority’s (GHA) exceptional track record, GHA was selected and contracted as the administrator and management agent of the WPHA.  GHA worked closely with Pennrose LLC and Collaborative Housing Solutions in the redevelopment of its previous public housing site, Meriwether Homes, to create vibrant, award-winning communities in Griffin.  GHA and its staff are working in West Point to recreate this type of development and programs to serve the West Point residents and community.  GHA believes that this award-winning program is critical to the redevelopment of affordable housing and can be replicated in other communities outside of Griffin.  This application is the second phase of WPHA's redevelopment efforts in West Point.  Because of GHA's role as administrator of the WPHA, GHA's contact information and experience is provided throughout this application.  To facilitate a holistic redevelopment approach in the area where West Point Village Phase II will be located, West Point’s local community leaders and agencies have committed to serving on a Community Quarterback Board (CQB) which will focus on serving the Defined Neighborhood within the 10th Street Area Redevelopment Plan. CQB members will work closely with the West Point Village Phase II Project Team, the City of West Point, and GHA as the Community-Based Developer to drive community engagement and outreach efforts to establish a Community Transformation Plan (CTP). Through public input, the Community-Based Team will develop strategies that focus on achieving improved health, education, transportation, and employment outcomes for residents within the community. 
     </t>
  </si>
  <si>
    <t>9% Credit Competitive Round only</t>
  </si>
  <si>
    <t>2021PA-019</t>
  </si>
  <si>
    <t>Pennrose LLC</t>
  </si>
  <si>
    <t>Brian Thomas</t>
  </si>
  <si>
    <t>Mark Dambly</t>
  </si>
  <si>
    <t>President</t>
  </si>
  <si>
    <t>230 Wyoming Avenue</t>
  </si>
  <si>
    <t>mdambly@pennrose.com</t>
  </si>
  <si>
    <t>Senior Developer</t>
  </si>
  <si>
    <t>675 Ponce De Leon Avenue NE, Suite 8500</t>
  </si>
  <si>
    <t>bthomas@pennrose.com</t>
  </si>
  <si>
    <t>1650 10th Street</t>
  </si>
  <si>
    <t>West Point Village Phase II</t>
  </si>
  <si>
    <t>Yes- w/Master Plan</t>
  </si>
  <si>
    <t>2020-026</t>
  </si>
  <si>
    <t>City Limits</t>
  </si>
  <si>
    <t>-85.158506</t>
  </si>
  <si>
    <t>9610</t>
  </si>
  <si>
    <t>City of West Point</t>
  </si>
  <si>
    <t>Steve Tramell</t>
  </si>
  <si>
    <t>Mayor</t>
  </si>
  <si>
    <t>www.cityofwestpointga.com</t>
  </si>
  <si>
    <t>steve.tramell@cityofwestpointga.com</t>
  </si>
  <si>
    <t>730 1st Avenue, West Point GA</t>
  </si>
  <si>
    <t>40% of Units at 60% of AMI</t>
  </si>
  <si>
    <t>N/a</t>
  </si>
  <si>
    <t>1201 E 12th St</t>
  </si>
  <si>
    <t>https://www.griffinhousingauthority.com/west-point</t>
  </si>
  <si>
    <t>Robert Dull</t>
  </si>
  <si>
    <t>rdull@griffinhousingauthority.com</t>
  </si>
  <si>
    <t>Chief Executive Officer</t>
  </si>
  <si>
    <t>The proposed project site is currently vacant</t>
  </si>
  <si>
    <t>There have been no changes to this project or project team since pre-application.
The 32 PBRA PHA units are the second phase of units included in the West Point Housing Authority's RAD Portfolio Conversion.</t>
  </si>
  <si>
    <t>West Point Village Phase II LLC</t>
  </si>
  <si>
    <t>Mark H. Dambly</t>
  </si>
  <si>
    <t>President, Managing Mbr</t>
  </si>
  <si>
    <t>For Profit</t>
  </si>
  <si>
    <t>West Point Village MM LLC</t>
  </si>
  <si>
    <t>Richard A. Gower</t>
  </si>
  <si>
    <t>Chief Financial Officer</t>
  </si>
  <si>
    <t>www.pennrose.com</t>
  </si>
  <si>
    <t>rgower@pennrose.com</t>
  </si>
  <si>
    <t>1301 N 31st Street</t>
  </si>
  <si>
    <t>Mark H.Dambly</t>
  </si>
  <si>
    <t>Hudson Housing Capital LLC (Proposed)</t>
  </si>
  <si>
    <t>(Same as Federal)</t>
  </si>
  <si>
    <t>630 Fifth Avenue, Suite 285</t>
  </si>
  <si>
    <t>New York</t>
  </si>
  <si>
    <t>W. Kimmel Cameron, Jr.</t>
  </si>
  <si>
    <t>Senior Vice President</t>
  </si>
  <si>
    <t>https://www.hudsonhousing.com/</t>
  </si>
  <si>
    <t>kimmel.cameron@hudsonhousing.com</t>
  </si>
  <si>
    <t>Philadelphia</t>
  </si>
  <si>
    <t>Richelle Patton</t>
  </si>
  <si>
    <t>Collaborative Housing Solutions, Inc.</t>
  </si>
  <si>
    <t>www.collaborativehousingsolutions.com</t>
  </si>
  <si>
    <t>richelle@collaborativehousingsolutions.com</t>
  </si>
  <si>
    <t>327 S 9th Street</t>
  </si>
  <si>
    <t>www.griffinhousingauthority.com/west-point.com</t>
  </si>
  <si>
    <t>Capstone Building Corp</t>
  </si>
  <si>
    <t>3415 Independence Drive</t>
  </si>
  <si>
    <t>Birmingham</t>
  </si>
  <si>
    <t>www.capstonebuilding.com</t>
  </si>
  <si>
    <t>ctravis@capstonebuilding.com</t>
  </si>
  <si>
    <t>Chris Travis</t>
  </si>
  <si>
    <t>Sr.VP, Finance</t>
  </si>
  <si>
    <t>Pennrose Management Company</t>
  </si>
  <si>
    <t>1301 North 31st Street</t>
  </si>
  <si>
    <t>Lisa D. Landis</t>
  </si>
  <si>
    <t>llandis@pennrose.com</t>
  </si>
  <si>
    <t>Berman Indictor LLP</t>
  </si>
  <si>
    <t>30 N.41st Street, Ste.450</t>
  </si>
  <si>
    <t>www.bermanindictor.com</t>
  </si>
  <si>
    <t>berman@bermanindictor.com</t>
  </si>
  <si>
    <t>Steve Berman</t>
  </si>
  <si>
    <t>CohnReznick</t>
  </si>
  <si>
    <t>500 East Pratt Street, Ste. 200</t>
  </si>
  <si>
    <t>Baltimore</t>
  </si>
  <si>
    <t>www.cohnreznick.com</t>
  </si>
  <si>
    <t>mike.cummings@cohnreznick.com</t>
  </si>
  <si>
    <t>Michael Cumming</t>
  </si>
  <si>
    <t>Kitchen and Associates</t>
  </si>
  <si>
    <t>756 Haddon Avenue</t>
  </si>
  <si>
    <t>Collingwood</t>
  </si>
  <si>
    <t>www.kitchenandassociates.com</t>
  </si>
  <si>
    <t>sschoch@kitchenandassociates.com</t>
  </si>
  <si>
    <t>Steve Schoch</t>
  </si>
  <si>
    <t>Applicant has entered into an Option to Ground Lease with the Housing Authority of the City of West Point(WPHA).  WPHA is a co-General Partner owner and a developer in the project.</t>
  </si>
  <si>
    <t>Pennrose Holdings LLC</t>
  </si>
  <si>
    <t>Housing Authority of the Ciy of West Point</t>
  </si>
  <si>
    <t>Hudson Housing Capital LLC</t>
  </si>
  <si>
    <t>Pennrose Holdings LLC is the Managing General Partner of the West Point Village I LLC ownership entity and Pennrose LLC is a developer of the project. Pennrose Holdings LLC and Pennrose LLC have an identity of interest, since Mark Dambly, Richard Barnhart, Timothy Henkel, and Hunt PR Holdings LLC are all Principals of the Managing GP entity and developer entity.  These individuals also have ownership interests in Pennrose Management Company.  A co-General Partner, Collaborative West Point I, LLC, is a wholly-owned affiliate of Collaborative Housing Solutions, Inc. which is also a developer.  The Housing Authority of the City of West Point is a co-General Partner and developer.</t>
  </si>
  <si>
    <t>RAD PBRA</t>
  </si>
  <si>
    <t>Hudson Housing Capital</t>
  </si>
  <si>
    <t>Grandbridge Real Estate Capital</t>
  </si>
  <si>
    <t>Truist Community Capital</t>
  </si>
  <si>
    <t>Amortizing</t>
  </si>
  <si>
    <t>Landscape Architect</t>
  </si>
  <si>
    <t>RAD CNA Tool</t>
  </si>
  <si>
    <t>Syndicator Due Diligence Fees</t>
  </si>
  <si>
    <t>DDA/QCT</t>
  </si>
  <si>
    <t>Electric Heat Pump</t>
  </si>
  <si>
    <t>2021</t>
  </si>
  <si>
    <t>HUDUser</t>
  </si>
  <si>
    <t>Payroll Taxes</t>
  </si>
  <si>
    <t>Water Billing Service</t>
  </si>
  <si>
    <t>The RAD CNA tool is required as part of the West Point Housing Authority's RAD conversion.</t>
  </si>
  <si>
    <t>This cost is considered to be eligible basis, consistent with other due duligence and construciton financing costs.</t>
  </si>
  <si>
    <t>Design fees for landscape architect</t>
  </si>
  <si>
    <t>The equity letter indentifies due diligence fees related to syndicator underwriting review of this transaction and costs associated with syndicator's counsel's tax opinion.</t>
  </si>
  <si>
    <t>The Total Development Costs is $15,248,765 which is below below the Project Cost Limit.</t>
  </si>
  <si>
    <t>The applicant has elected family tenancy for this project.</t>
  </si>
  <si>
    <t>Agree</t>
  </si>
  <si>
    <t>N/Ap</t>
  </si>
  <si>
    <t>Applicant agrees to provide the required number and kinds of services as required in the 2021 QAP for projects with a family tenancy. The project is 72 units; therefore a full-time service manager is not included in the operating budget. The project team does not anticipate using temporary staffing during lease-up to handle activities set-up and sign up, but there is no "N/Ap" option in the dropdown menu choices.  The Applicant is not planning to have a part-time Activities Manager. The project does not involve rehabilitation of an existing congregate supportive housing development, therefore there is no MOA with a behavioral health agency or service provider for supportive housing services.</t>
  </si>
  <si>
    <t>Novogradac</t>
  </si>
  <si>
    <t>2013-001</t>
  </si>
  <si>
    <t>Forest Mill</t>
  </si>
  <si>
    <t>2002-028</t>
  </si>
  <si>
    <t>College Hill</t>
  </si>
  <si>
    <t>West Point Village Phase I</t>
  </si>
  <si>
    <t>Two to three months</t>
  </si>
  <si>
    <t>Everson, Huber &amp; Associates, LC</t>
  </si>
  <si>
    <t>There is no identity of interest between buyer and seller for this property, therefore no appraisal is required under the QAP. The West Point Housing Authority (WPHA) is purchasing this site from a third-party seller. WPHA is a member of the tax credit partnership, and will ground lease the site to the partnership for nominal value $10. Although not required under the QAP, the applicant had an appraisal conducted for the purchase of the land and has included that report here to clarify that the nominal value of the ground lease is far below the actual value of the property.</t>
  </si>
  <si>
    <t>GEC</t>
  </si>
  <si>
    <t>Ground lease/Option</t>
  </si>
  <si>
    <t>See Comments</t>
  </si>
  <si>
    <t>The zoning classification of the site is MXD-1(Mixed Use). The zoning confirmation letter included in Tab 10 states that the zoning of this  project meets the requirements of the City of West Point Zoning Ordinance and will not involve the development of unique or prime farmland.</t>
  </si>
  <si>
    <t>Gas will not be utilized on the subject development as the property will be all electric. A letter from the City of West Point, Georgia (signed, on letterhead, including title and signatory, and required project information) is included in the application to verify electricity service and capacity. See Tab 11.</t>
  </si>
  <si>
    <t>The City of West Point  has provided written confirmation of water availability and sewer capacity and is included in the application in Tab 12.</t>
  </si>
  <si>
    <t>Room</t>
  </si>
  <si>
    <t>Covered Porch</t>
  </si>
  <si>
    <t>W&amp;D installed in each unit</t>
  </si>
  <si>
    <t>The proposed development consists of 72 units; only two additional site amenities are required. All DCA amenity guidelines will be adhered to. Additionally, all amenities have been identified on the Conceptual Site Development Plan included in Tab 16.</t>
  </si>
  <si>
    <t>The Conceptual Site Development Plan meets all DCA requirements.  Location and Vicinity Maps show geo-coordinates and entire municipality. Site pictures are in color, numbered, dated and include descriptions. All site photos are keyed to site map. The most recent satellite aerial photo is included.. See Tab 15.</t>
  </si>
  <si>
    <t>Yes - W&amp;D hookups installed in each unit</t>
  </si>
  <si>
    <t>Applicant agrees to comply with all required DCA accessibility regulations and standards. The proposed project is not for senior tenancy, therefore question A.3) does not apply and has been intentionally left blank.</t>
  </si>
  <si>
    <t>The project team was deemed "Qualified" at pre-application, and a copy of the Qualification Determination letter has been included in the application.</t>
  </si>
  <si>
    <t>The applicant has not applied for the RAD setaside, therefore this section has been intentionally left blank.</t>
  </si>
  <si>
    <t>The applicant has not applied for the nonprofit setaside, therefore this section has been intentionally left blank.</t>
  </si>
  <si>
    <t>The applicant has not applied for a HOME loan under the CHDO setaside, therefore this section has been intentionally left blank.</t>
  </si>
  <si>
    <t>The proposed project does not incldue any elements which require a legal opinion listed above, therefore this section has been intentionally left blank.</t>
  </si>
  <si>
    <t xml:space="preserve">     The Griffin Housing Authority (GHA) is serving as the management agent for the Housing Authority of the City of West Point (WPHA) and in this capacity, GHA staff members will be overseeing all aspects of the relocation of 32 households from WPHA’s public housing units to West Point Village Phase II once constructed, including the provision of relocation advisory services and tenant notices. GHA’s commitment to ensuring residents are prepared for relocation begins months before the physical relocation takes place. Resident meetings are held on an ongoing basis to explain the Redevelopment/Relocation efforts taking place in their community, informing the residents of their relocation rights and responsibilities, and gaining their input. Residents are encouraged to participate in our Ready to Rent Course, administered by the UGA Griffin Campus, Housing and Consumer Economics Department. Free to residents, participants receive educational training that will help them in understanding their lease and the terms of the rental agreement in the private market, positive landlord and tenant relationships and how to be a good neighbor. Throughout the relocation process, staff works with residents one-on-one to find suitable relocation housing, helps coordinate moves with local moving companies, provides packing materials and manpower for those residents unable to physically pack, as well as utility transfer assistance. Continued support services are available for residents once they have relocated. Staff encourages residents to communicate any concerns they may have in their new location and will work to resolve any issues.   
     In 2013, GHA was afforded the opportunity to update its current housing stock with the award of its first 9% LIHTC allocation for the multi-phased redevelopment of Meriwether Homes with new construction family and senior housing.  As such, GHA was successful in the relocation efforts of 120 families following the Uniform Relocation Act guidelines.  In 2018, GHA oversaw the voluntary relocation of residents from the Nine Oaks Homes development, a 50-unit senior housing complex into a newly constructed mid-rise senior development (The Iris at Park Pointe) just miles away from the former site. Since that time, GHA has constructed a second senior development (The Terraces at the Park), which also offers an option to relocate residents.  Most recently, GHA is involved in the relocation efforts of Fairmont Homes Development, an 80-unit family site. This is a two-phase relocation process in which residents have been relocated from the northern section of the property to the southern section of the site for extensive rehab work to be completed through a 4% LIHTC award andRAD Conversion. Once the first phase is complete residents from the southern sector of the site will be relocated to the newly renovated units and rehab efforts will then begin on the second phase of the site.
     GHA’s success is measured by both the quality of housing it provides, as well as its encouragement and support of residents who are progressing and ultimately achieving self-reliance and a higher quality of life. The agency continues to search for avenues to stay abreast of relocation amendments so that it may better serve families, making the relocation process as seamless as possible during what can be a difficult time.</t>
  </si>
  <si>
    <t>This project will comply with all Affirmative Furthering Fair Housing Laws.</t>
  </si>
  <si>
    <t>The owners will ensure the complete, effective, efficient, and lawful utilization of the low income housing tax credits if awarded by DCA.</t>
  </si>
  <si>
    <t>The applicant has identified Desirables near the proposed project site which qualify for a total of 22.5 points in this section, more than the maximum 20 points allowed. Maps and driving directions for each are included. The proposed project site sits just off the main access road, and will have access through two adjacent properties (one of which is Phase I of this planned development) via access easements. As such, Google Maps is unable to accurately calculate the walking/driving distance, and instead only calculates the walking/driving distance at the roadway. In order to account for this, the applicant has added 0.1 miles to the Google walking/driving distances for each desirable in its calculation. All claimed Desirables are still within the eligible distances for points. No undesirable activities have been identified by the applicant.</t>
  </si>
  <si>
    <t>N/A - On Call Service</t>
  </si>
  <si>
    <t>Troup County Transit</t>
  </si>
  <si>
    <t>http://www.troupcountyga.org/Services/Transit</t>
  </si>
  <si>
    <t>N/A - On-call service with no fixed routes. All service information can be found at the URL above.</t>
  </si>
  <si>
    <t>706 883 1673</t>
  </si>
  <si>
    <t>transit@troupco.org</t>
  </si>
  <si>
    <t>32.876409°</t>
  </si>
  <si>
    <t>32.876573°</t>
  </si>
  <si>
    <t>-85.158506°</t>
  </si>
  <si>
    <t>-85.160113°</t>
  </si>
  <si>
    <t>The proposed project site falls within the service area for Troup County Transit, which provides curb-to-curb service as a shared ride system. Operated by the county on a Monday through Friday schedule, the service does not have any fixed routes or stops.</t>
  </si>
  <si>
    <t>The applicant is not claiming points in this section, therefore it has been intentionally left blank.</t>
  </si>
  <si>
    <t>Troup County/Hogansville/LaGrange/West Point</t>
  </si>
  <si>
    <t xml:space="preserve">The applicant is not claiming points for any permanent sources of funds under Section A, therefore it has been intentionally left blank. The proposed project site is also the site of the first phase of this project, West Point Village Phase I. The site will be purchased by the West Point Housing Authority and ground leased separately to each phase. The applicant has site control by virtue of an option for a ground lease, which expires one year following the applicant being notified that it has received a tax credit award. </t>
  </si>
  <si>
    <t xml:space="preserve">Section IV. Deeper Targeting/Rent/Income: The project has secured a commitment of RAD Section 8 PBRA for 32 units, which is 44.44% of the total project of 72 units.  The RAD CHAP is included in Tabs 01 and 26. 
Section XVI.B. Exceptional Public Housing Authority: The Griffin Housing Authority (GHA) has recently transitioned into the operation and management of the Housing Authority of the City of West Point, Georgia (WPHA). The executive staff of GHA are serving in the role of executive staff of WPHA, implementing the successful strategies and operational protocols of GHA.  With the West Point Village Phase I development and the West Point Community Transformation Plan, WPHA is seeking to replicate many of the same innovative strategies and long-term public-private partnerships in the planned transformation of the WPHA public housing communities. Under the leadership of Robert Dull, GHA embarked on an ambitious, multi-year plan to transform its aging, functionally obsolete public housing into vibrant, mixed-income neighborhoods where residents of all ages and income levels could thrive. Their innovative, forward-thinking approach to utilizing affordable housing as an anchor to spur neighborhood redevelopment has led to the transformation of the aging Meriwether Homes into a multi-phase, award-winning community.  Oaks at Park Pointe (Meriwether Phase I) was completed in 2015 and received the prestigious Charles Edson Award from the national Affordable Housing Tax Credit Coalition for most innovative public housing project in the nation. Additionally, GHA is currently renovating the Fairmont and Nine Oaks public housing communities. The renovations include an innovative partnership with Pennrose, Georgia Department of Community Affairs, Georgia Health Policy Center, Southface and the Kresge Foundation to integrate green and healthy design and services to support GHA’s ability to improve the health outcomes and quality of life for the residents. Understanding the need to go beyond the bricks and mortar for sustainable transformation, GHA unveiled the Educational Prosperities Initiative (EPI), a multi-institutional program that was a Recipient of the NAHRO National Award of Excellence, NAHRO Award of Merit, and GAHRA Collaborative Partnership Award.  This EPI will be implemented in West Point, based on GHA's model.  
XV. Extended Affordability Commitment: The Applicant agrees to forgo the Qualified Contract "cancellation option" after the close of the Compliance period and also agrees to provide a right of first refusal to a nonprofit organization or a local housing authority in accordance with DCA requirements set forth in the 2021 QAP, should the owner elect to transfer all or some of the owner's interest in the property during the Compliance or Extended Use Period.
XIX. Compliance Performance: Performance Workbooks for all Principals of the three owner entities and developer entities of West Point Village Phase I are included in Tab 41.  Lists depicting all successful affordable developments in Georgia and in all states owned by the members of the Project Team are included in the same Tab for ease of reference.  All projects are depicted in the Performance Workbooks. As demonstrated in the Compliance Performance Workbooks, the three Certifying Principals own more than twenty LIHTC projects.  These projects can serve as the basis for point additions to this project of up to 5 points if needed in the scoring of the Compliance Performance section.  Based on the instructions in the QAP for properties located outside of Georgia, letters from syndicators or HFAs that document the properties’ compliance status of good standing can be provided if requested by DCA.
  </t>
  </si>
  <si>
    <t>The applicant is not proposing a Community Service Facility.  This section does not apply and has been intentionally left blank.</t>
  </si>
  <si>
    <t>The proposed project does not include any rehabilitation. This section does not apply and has been intentionally left blank.</t>
  </si>
  <si>
    <t>The Griffin Housing Authority (GHA), the West Point Village Phase I Community-Based Developer, has a history of instituting innovative, forward-thinking projects, programs and long-term public-private partnerships to transform public housing and surrounding neighborhoods. These ground-breaking programs include the Educational Prosperity Initiative (EPI), a multi-institutional program that provides holistic, wrap-around services for the residents living in its communities. Recipient of the NAHRO National Award of Excellence, NAHRO Award of Merit, and GAHRA Collaborative Partnership Award, the EPI provides an escape from poverty for under-resourced neighborhoods. GHA’s core belief is that community transformation will occur when people are linked and work together for sustainable community change. GHA has recently transitioned into the operation and management of the West Point Housing Authority (WPHA). In this new role and under the leadership of Robert Dull, WPHA is seeking to replicate many of the same innovative strategies and long-term public-private partnerships in the planned transformation of the WPHA's public housing communities.
Five of the community organizations that have served in Griffin with GHA to improve community outcomes have provided documentation to evidence these partnerships in Tab 31 which represent Health, Education, and Employment sectors of the community.  GHA has a history of raising philanthropic funds for community services; financial information documenting these grants is included in tab 31, as well as a commitment letter from the Applicant committing funds to seed a Community Improvement Fund.  A diverse group of West Point leaders has agreed to serve as members of a Community Quarterback Board, to collaborate with GHA to improve community outcomes.  Two of the members are low-income residents, one also serves on the local GICH Board, and the others represent other important sectors in the West Point community.  Letters from each of these Board members are included in Tab 31.  
PLEASE NOTE: The 2021 Community Transformation Plan Certification posted on the DCA website as of 5/19/21 prints with a heading marked "2020". The applicant has used the correct 2021 form for this document, but the DCA template includes the incorrect year.</t>
  </si>
  <si>
    <t>Construction lender due diligence</t>
  </si>
  <si>
    <t>DCA requires that “Any and all costs directly associated with developing unrestricted units must be covered by unrestricted financing sources. The market rate units to total units percentage must be less than or equal to the unrestricted permanent financing to total development cost percentage." The applicant has included 8 market-rate units, or approximately 11.1% of the units. Based on the sources of funds above, the mortgage represents approximately 13.2% of total sources, therefore the applicant has satisfied this criteria.</t>
  </si>
  <si>
    <t>Terracon</t>
  </si>
  <si>
    <t>West Point Village Ph II (this application)</t>
  </si>
  <si>
    <t>Direct</t>
  </si>
  <si>
    <t>PO Box 2616</t>
  </si>
  <si>
    <t>Collaborative West Point II, LLC</t>
  </si>
  <si>
    <t>West Point Village MM LLC is the Managing GP for the ownership entity, and there are 3 members of the Mangaging GP, which are Pennrose Holdings LLC (Managing Member), Collaborative Housing Solutions, Inc.(Member), Housing Authority of the City of West Point (Member).
Co-Developer 2 is a public housing agency, not a Nonprofit as listed above.
There are no members of the project team that have been convicted of a felony or any instances where a conflict of interect occurs.  However, there are several identities of interest, listed above in Section IV.B, Other Required Information, Identity of Interest. 
The applicant/owner has entered into an Option to Ground Lease with the Housing Authority of the City of West Point who is a co-General Partner and a developer in the project.</t>
  </si>
  <si>
    <t>Construction lender-required due diligence costs, in addition to developer's due diligence.</t>
  </si>
  <si>
    <t>Estimated property tax is based upon applicants review of actual local millage rates and an estimate of the value of the property upon completion.
Insurance estimate is based upon an insurance quote from the applicant's insurance provider.</t>
  </si>
  <si>
    <t>GP Contribution for 0.01% of Equity</t>
  </si>
  <si>
    <t>Hunt PR Holdings LLC</t>
  </si>
  <si>
    <t>Collaborative Housing Solutions</t>
  </si>
  <si>
    <t>River Pointe II Phase II</t>
  </si>
  <si>
    <t>Roswell Redevelopment Phase I</t>
  </si>
  <si>
    <t>Considered eligible basis consistent with civil and architectural design fees.</t>
  </si>
  <si>
    <t>TWC Housing LLC/Hunt ELP, LTD</t>
  </si>
  <si>
    <t>SCB  River Pointe II Phase II, LLC</t>
  </si>
  <si>
    <t>Savannah Community Builders, Inc.</t>
  </si>
  <si>
    <t xml:space="preserve">The project site in located within the area depicted in the 10th Street Area Redevelopment Plan, which qualifies for points as a Community Revitalization Plan.  This Plan outlines the need to place special focus on the 10th Street corridor which serves as a primary gateway into the city of West Point from Interstate-85.  As such, its appearance is vitally important to connecting West Point neighborhoods and downtown.  The Plan and additional documentation of planned revitalization is included in Tab 30.  
As it relates to Section B Third-PArty Capital Investment, the City of West Point and GDOT have committed to provide several street infrastructure improvements within a half-mile of the project site, the total cost of which is $7,224,212, well in excess of the $20,000 per unit required fro two points in this category. These improvements will increase the walkability and quality of life for the project's residents.  A letter from the City of West Point committing to their these improvements and the GDOT project profile showing that their project is under construction are included in Tab 30.  </t>
  </si>
  <si>
    <t>RAD units in this project will consist of 2 and 3-bedroom units scattered amongst all three buildings. Therefore, all buildings will qualify as HUD-Regulated Buildings under the 2021 QAP. For 1-bedroom units, the applicant is utilizing GA DCA Utility Allowances for the Southern Region, effective January 1, 2021. Both the RAD CHAP outling the Utility Allowances and GA DCA Utility Allowances are included in Tab 1.</t>
  </si>
  <si>
    <t>HUD-Approved Section 8 CHAP</t>
  </si>
  <si>
    <t>DCA South Region Utility Allowance Schedule</t>
  </si>
  <si>
    <t>- With respect to question VII.E.1), the environmental professional did not find any wetlands, state waters, or floodplain on site, therefore the 8-Step Process is not required.
- With respect to question VII.E.4), per the 2021 QAP, Site and Neighborhood Standards are only required for projects utilizing DCA-awarded HUD Federal Funds. Therefore, no HOME Site and Neighborhood Standards Certification is required for this project.
-The proposed project does not include any HOME funds, therefore question VII.F has been intentionally left blank.</t>
  </si>
  <si>
    <t>The applicant has submitted a proposal which conforms to the 2021 QAP. All costs for Development and Construction have been carefully underwritten by experienced estimators. Federal ($0.85) and State ($0.58) equity pricing are competitive and worked out with experienced investors and are appropriate for their yields. Operating costs have been proposed by an experienced Management Company, which has successfully operated comparable properties at this same expense level. Rents have been set within the allowable limits per DCA instructions and the most current utiiltiy allowances from DCA have been utilized for 1-bedroom units, which are all LIHTC-Only with no rental assistance. The 2- and 3-bedroom units will be a mix of both LIHTC-Only and RAD/LIHTC units which wlll be scattered among all three buildings in the project so that all buildings qualify as HUD-Regulated Buildings. Total Developer Fee is within 2021 QAP Limits. The proposed project site is adjacent to the first phase of this master planned site.</t>
  </si>
  <si>
    <t xml:space="preserve">The only recent DCA funded property in the PMA is West Point Village Phase I, which is part of the phased development plan for this project. The proposed project site is adjacent to the first phase of this master planned site. Other LIHTC properties in the PMA are Alabama funded properties.
Based upon our market research, demographic calculations and analysis, there is adequate demand for the Subject property as proposed. The LIHTC comparables are experiencing low vacancy at this time. Additionally, nearly all of the LIHTC properties maintain waiting lists, several of which are reported to be extensive. The one family LIHTC property in West Point maintains a waiting list of 100 households. These factors indicate demand for this West Point Village Phase II project. 
</t>
  </si>
  <si>
    <t>Access to the site will be via access easements through adjoining properties, one of which is the first phase of this development, which has the same same controlling entities of the General Partner as Phase I. Copies of these easements are included in the application.</t>
  </si>
  <si>
    <t>The project will comply with all applicable DCA 2021 architectural design and quality standards. The proppsed project does not include any rehabilitation, therefore question A does not apply and has been intentionally left blank. No additional design options are included, therefore question B.3)b) does not apply and has been intentionally left blank.</t>
  </si>
  <si>
    <t>The proposed project site falls within the boundaries of the Troup County/Hogansville/LaGrange/West Point joint GICH Team. The GICH Team has provided a letter of support for this project, and this is the only project for which this GICH Team has provided a letter. The City of West Point has also provided a letter in support of this project and consenting to the GICH Team's support letter. Both letters are included in this application. Both the primary and secondary team contacts listed with UGA have departed their employment with their respective local governments after May 1 and were not available to execute this letter. The applicant has secured a GICH letter from the remaining GICH team member in support of this project.</t>
  </si>
  <si>
    <t>The applicant agrees to comply with DCA's building sustainability standards. Several staff members of the general partner entities have participated in the DCA Green Building Webinar. A draft EarthCraft worksheet and copies of the Green Building Certification is included in Tab 17.</t>
  </si>
  <si>
    <t>The Housing Authority of the City of West Point (WPHA), a co-General Partner of the project’s ownership entity and a developer, has entered into a Purchase and Sale Agreement with an unrelated third-party to purchase the site at 1650 East 10th Street in West Point, Georgia. This Purchase and Sale Agreement has been amended twice, and both amendments are included in the core app with the original agreement. On this site, a multi-phase project known as “West Point Village” will be developed. This application is the second phase of this project and will include a 72-unit family development with 32 RAD Section 8 PBRA units on +/-5 acres of the parcel. 
For the Phase II portion of the site, WPHA and the ownership entity, West Point Village Phase II LLC, have executed an Option to Enter into a Long-Term Ground Lease. This ground lease Option and the Purchase and Sale Agreement meet the site control requirements of the 2021 QAP and are included in this Tab.
In order to show evidence that the applicant has site control through November 30, 2021, the West Point Housing Authority has a purchase agreement in place with the third-party seller and will close on the land by the June 2nd closing deadline for the benefit of the first phase. All acquisition due diligence has been completed, HUD has approved the acquisition, and the funds are available. Once closed, by virtue of the warranty deed obtained at closing, the West Point Housing Authority will have site control indefinitely and the applicant has an Option for Ground Lease in place with the housing authority which expires one year after award of tax credits, thereby establishing site control for the applicant past November 30, 2021.</t>
  </si>
  <si>
    <t xml:space="preserve">   West Point Village Phase II is a new construction, 72-unit family development that includes 32 RAD Section 8 PBRA-assisted units. Through the RAD program, the Applicant will utilize a Transfer of Assistance process in the RAD program to transfer the PBRA HAP Contract for 32 units from the West Point Housing Authority’s current portfolio of 223 existing public housing units to the new LIHTC/RAD project site.
   The Applicant will have a delayed HAP Contract that will begin on the new site upon completion of construction. At that time, 32 WPHA families residing in its current public housing will be selected to relocate to the new LIHTC/RAD project site through a lottery system overseen by WPHA that will be based on family size and lease compliance. If the project is successful in securing 9% LIHTCs in the 2021 Round, construction and resident relocation will commence 1st Quarter of 2024.
   Given that the 32 WPHA RAD families will not be relocated for more than 2 years from LIHTC application submittal, the Project Team submitted a QandA #0426 to DCA and we will comply with DCA’s answer on 5/12/21. Therefore, any tenant-specific documents are not included in this LIHTC Application, but will be submitted according to DCA’s required timeframes.
     The following documents are included in Tab 25 of this application:
-- RAD Information Notices – sent to all existing WPHA residents, with proof of delviery
-- Comprehensive Relocation Plan (which includes description of Resident Engagement activities)
-- Relocation Budget
-- Multifamily Tenant Relocation Plan Certification
-- Letter depicting the experience of the relocation team to provide relocation advisory services
-- Verification of completion of HUD URA Training by relocation team member
-- Tenant Selection Plan
   With respect to question XXV.A.1.b), the proposed project will not involuntarily displace any households, but existing public housing tentants will have the option to volunteer to be permanently relocated to the new development. The applicant understands that they will be required to seek DCA approval for this permanent relocation, and in accordance with the 2021 Relocation Manual will submit for a project concept change after award approval in order to secure this approval from DCA once the specific households have been identified.
 </t>
  </si>
  <si>
    <t>2021-067</t>
  </si>
  <si>
    <t>Changes in the Project have occurred since pre-application?</t>
  </si>
  <si>
    <t>Nearest Physical Street Address *</t>
  </si>
  <si>
    <t>Legislative Districts **</t>
  </si>
  <si>
    <t>Type of Construction:</t>
  </si>
  <si>
    <t>PRESERVATION (Rehabilitation of Existing Subsidized Housing)</t>
  </si>
  <si>
    <t>PROPERTY TRANSFER (If applicable)</t>
  </si>
  <si>
    <t>LAND SELLER 3 (If applicable)</t>
  </si>
  <si>
    <t>LAND SELLER 5 (If applicable)</t>
  </si>
  <si>
    <t>LAND LESSOR (If applicable)</t>
  </si>
  <si>
    <t>BUILDING(S)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</si>
  <si>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</si>
  <si>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</si>
  <si>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</si>
  <si>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</si>
  <si>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</si>
  <si>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</si>
  <si>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</si>
  <si>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</si>
  <si>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</si>
  <si>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</si>
  <si>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Show Owner-paid utility amounts in the Operating Expense Budget in the Part VI tab.  
Do not enter Owner-paid utility amounts here in this chart.</t>
  </si>
  <si>
    <t>AMI (MTSP):</t>
  </si>
  <si>
    <t>Low-Rise Apt Hist Units</t>
  </si>
  <si>
    <t>Low-Rise Elevator Hist Units</t>
  </si>
  <si>
    <t>High-Rise Apt Hist Units</t>
  </si>
  <si>
    <t>High-Rise Elevator Hist Units</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</si>
  <si>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</si>
  <si>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</si>
  <si>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</si>
  <si>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</si>
  <si>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</si>
  <si>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</si>
  <si>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2021?</t>
  </si>
  <si>
    <t>For 4% Credit developments, is site control provided through estimated bond closing date?</t>
  </si>
  <si>
    <t>The number of additional amenities required depends on the total unit count: 1-125 units = 2 amenities, 126+ units = 4 amenities</t>
  </si>
  <si>
    <t>Accessibility standards that must be met at the time of project completion by all projects under this QAP.  Upon completion, will this project comply with:</t>
  </si>
  <si>
    <t xml:space="preserve">Will at least 5% of the total units (but no less than one unit) be equipped for the mobility disabled, including wheelchair restricted residents? </t>
  </si>
  <si>
    <t>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</si>
  <si>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</si>
  <si>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</si>
  <si>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Broadband Access - Applicant agrees to provide free high-speed Wi-Fi internet access (as defined in this section of the QAP) in the required community room or building. Access must be provided through the entirety of the Compliance Period and Extended Use Period.</t>
  </si>
  <si>
    <t>Applicant agrees that at least 50% of units in the proposed development must maintain existing project-based rental assistance or project-based operating subsidies through a program administered by HUD?</t>
  </si>
  <si>
    <t>DCA Staff: List here the Project Number(s) and Project Name(s) of any such development(s) selected in previous rounds meeting the criteria above for this Project Team, justifying a two point deduction in this category.</t>
  </si>
  <si>
    <t>For adapative reuse units, please inidcate either Acq/Rhb or Subst Rhb in Rent Chart. 
If a Tie occurs in the Nbr of Units above, please indicate preference below and contact DCA before Application Submission:  This choice of preference will not be binding upon DCA's evaluation and decision.</t>
  </si>
  <si>
    <t>DCA Staff: List here any misplaced docs and the Tab Numbers where they were mistakenly placed.</t>
  </si>
  <si>
    <t>A1. Missing Documents Needed 
for QAP Core or Threshold Sections</t>
  </si>
  <si>
    <t>A2.  Incomplete, Inaccurate, or Illegible Docs
Needed for QAP Core or Threshold Sections</t>
  </si>
  <si>
    <t>B. Financial and Other Adjustments/ Revisions:</t>
  </si>
  <si>
    <t>A). Average of College and Career Readiness Performance Index (CCRPI) scores posted since 2018 are above state average?</t>
  </si>
  <si>
    <t>B)  School Receives 2018 or later “Beating the Odds” Designation?</t>
  </si>
  <si>
    <t>Requirements - the Community Revitalization Plan (CRP):</t>
  </si>
  <si>
    <t>Local Government solicited public input and engagement during CRP creation prior to the day of adoption</t>
  </si>
  <si>
    <t>Local Government demonstrates financial commitment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</si>
  <si>
    <t>The Application site is located within a Qualified Census Tract (QCT).</t>
  </si>
  <si>
    <t>Community-Based Team (CBT) Responsibilities</t>
  </si>
  <si>
    <t>Community Engagement and Outreach (CEO).  CBT agrees to complete CEO prior to creation of CT Plan as part of identifying challenges and opportunities for transformation, with the CEO complying with QAP's CEO requirements?</t>
  </si>
  <si>
    <t>Community Transformation (CT) Plan Requirements  The CT Plan will include a full description of all goals, solutions, metrics of success, milestones, resources committed, and entities responsible. It will include QAP's CT Plan requirements?</t>
  </si>
  <si>
    <t xml:space="preserve">15 Years </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</si>
  <si>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</si>
  <si>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historic structure must house at least 50% of the total units.</t>
  </si>
  <si>
    <t>DCA has included the following area for Applicants to make comments in any section they claimed points but were not provided with comment section.  Include the Section Numbers and Names you are referring to within this area along with any applicable comments.  Please avoid using space lines between paragraphs.  Use indentation instead.</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</si>
  <si>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</si>
  <si>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unlocked for Applicant use but </t>
    </r>
    <r>
      <rPr>
        <i/>
        <sz val="9"/>
        <color theme="0"/>
        <rFont val="Arial Narrow"/>
        <family val="2"/>
      </rPr>
      <t>do</t>
    </r>
    <r>
      <rPr>
        <sz val="9"/>
        <color theme="0"/>
        <rFont val="Arial Narrow"/>
        <family val="2"/>
      </rPr>
      <t xml:space="preserve"> contain default references/formulas able to be overwritten.</t>
    </r>
  </si>
  <si>
    <r>
      <t xml:space="preserve">Pre-Application Number </t>
    </r>
    <r>
      <rPr>
        <sz val="8"/>
        <color theme="0"/>
        <rFont val="Arial Narrow"/>
        <family val="2"/>
      </rPr>
      <t xml:space="preserve">(REQUIRED)  -  </t>
    </r>
    <r>
      <rPr>
        <u/>
        <sz val="8"/>
        <color theme="0"/>
        <rFont val="Arial Narrow"/>
        <family val="2"/>
      </rPr>
      <t>use format 2021PA-###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</si>
  <si>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</si>
  <si>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</si>
  <si>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</si>
  <si>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</si>
  <si>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rPr>
        <i/>
        <u/>
        <sz val="10"/>
        <color theme="0"/>
        <rFont val="Arial Narrow"/>
        <family val="2"/>
      </rPr>
      <t>Proposed</t>
    </r>
    <r>
      <rPr>
        <sz val="10"/>
        <color theme="0"/>
        <rFont val="Arial Narrow"/>
        <family val="2"/>
      </rPr>
      <t xml:space="preserve"> Tenancy</t>
    </r>
  </si>
  <si>
    <r>
      <rPr>
        <i/>
        <u/>
        <sz val="10"/>
        <color theme="0"/>
        <rFont val="Arial Narrow"/>
        <family val="2"/>
      </rPr>
      <t>Current</t>
    </r>
    <r>
      <rPr>
        <sz val="10"/>
        <color theme="0"/>
        <rFont val="Arial Narrow"/>
        <family val="2"/>
      </rPr>
      <t xml:space="preserve"> Tenancy</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</si>
  <si>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</si>
  <si>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</si>
  <si>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LAND SELLER 1</t>
    </r>
    <r>
      <rPr>
        <sz val="8"/>
        <color theme="0"/>
        <rFont val="Arial Narrow"/>
        <family val="2"/>
      </rPr>
      <t xml:space="preserve"> (If applicable)</t>
    </r>
  </si>
  <si>
    <r>
      <t>LAND SELLER 2</t>
    </r>
    <r>
      <rPr>
        <sz val="8"/>
        <color theme="0"/>
        <rFont val="Arial Narrow"/>
        <family val="2"/>
      </rPr>
      <t xml:space="preserve"> (If applicable)</t>
    </r>
  </si>
  <si>
    <r>
      <t>LAND SELLER 4</t>
    </r>
    <r>
      <rPr>
        <sz val="8"/>
        <color theme="0"/>
        <rFont val="Arial Narrow"/>
        <family val="2"/>
      </rPr>
      <t xml:space="preserve"> (If applicable)</t>
    </r>
  </si>
  <si>
    <r>
      <t>LAND SELLER 6</t>
    </r>
    <r>
      <rPr>
        <sz val="8"/>
        <color theme="0"/>
        <rFont val="Arial Narrow"/>
        <family val="2"/>
      </rPr>
      <t xml:space="preserve"> (If applicable)</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</si>
  <si>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</si>
  <si>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</si>
  <si>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CONSTRUCTION HARD COSTS </t>
    </r>
    <r>
      <rPr>
        <sz val="8"/>
        <color theme="0"/>
        <rFont val="Arial Narrow"/>
        <family val="2"/>
      </rPr>
      <t>(Non-GC work scope items done by Owner)</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</si>
  <si>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</si>
  <si>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</si>
  <si>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</si>
  <si>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</si>
  <si>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</si>
  <si>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u/>
        <sz val="11"/>
        <color theme="0"/>
        <rFont val="Arial Narrow"/>
        <family val="2"/>
      </rPr>
      <t>T</t>
    </r>
    <r>
      <rPr>
        <sz val="11"/>
        <color theme="0"/>
        <rFont val="Arial Narrow"/>
        <family val="2"/>
      </rPr>
      <t xml:space="preserve">OTAL </t>
    </r>
    <r>
      <rPr>
        <u/>
        <sz val="11"/>
        <color theme="0"/>
        <rFont val="Arial Narrow"/>
        <family val="2"/>
      </rPr>
      <t>D</t>
    </r>
    <r>
      <rPr>
        <sz val="11"/>
        <color theme="0"/>
        <rFont val="Arial Narrow"/>
        <family val="2"/>
      </rPr>
      <t xml:space="preserve">EVELOPMENT </t>
    </r>
    <r>
      <rPr>
        <u/>
        <sz val="11"/>
        <color theme="0"/>
        <rFont val="Arial Narrow"/>
        <family val="2"/>
      </rPr>
      <t>C</t>
    </r>
    <r>
      <rPr>
        <sz val="11"/>
        <color theme="0"/>
        <rFont val="Arial Narrow"/>
        <family val="2"/>
      </rPr>
      <t>OST  (TDC)</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</si>
  <si>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</si>
  <si>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t>Tax Credit PROJECT MAXIMUM - Lower of Basis Method, Gap Method or DCA Limit:</t>
    </r>
    <r>
      <rPr>
        <sz val="8"/>
        <color theme="0"/>
        <rFont val="Arial Narrow"/>
        <family val="2"/>
      </rPr>
      <t xml:space="preserve"> (round down)</t>
    </r>
  </si>
  <si>
    <r>
      <t>Tax Credit ALLOCATION -</t>
    </r>
    <r>
      <rPr>
        <sz val="10"/>
        <color theme="0"/>
        <rFont val="Arial Narrow"/>
        <family val="2"/>
      </rPr>
      <t xml:space="preserve"> Lower of Tax Credit Request and Tax Credit Project Maximum</t>
    </r>
  </si>
  <si>
    <r>
      <rPr>
        <u/>
        <sz val="9"/>
        <color theme="0"/>
        <rFont val="Arial"/>
        <family val="2"/>
      </rPr>
      <t>Note</t>
    </r>
    <r>
      <rPr>
        <i/>
        <sz val="9"/>
        <color theme="0"/>
        <rFont val="Arial"/>
        <family val="2"/>
      </rPr>
      <t>: Elderly allowances cannot be used except at properties that have 100% HUD PBRA and satisfy the DCA definition of "Elderly".</t>
    </r>
  </si>
  <si>
    <r>
      <rPr>
        <u/>
        <sz val="10"/>
        <color theme="0"/>
        <rFont val="Arial Narrow"/>
        <family val="2"/>
      </rPr>
      <t>NOTE</t>
    </r>
    <r>
      <rPr>
        <sz val="10"/>
        <color theme="0"/>
        <rFont val="Arial Narrow"/>
        <family val="2"/>
      </rPr>
      <t xml:space="preserve">:  For </t>
    </r>
    <r>
      <rPr>
        <u/>
        <sz val="10"/>
        <color theme="0"/>
        <rFont val="Arial Narrow"/>
        <family val="2"/>
      </rPr>
      <t>Structure</t>
    </r>
    <r>
      <rPr>
        <sz val="10"/>
        <color theme="0"/>
        <rFont val="Arial Narrow"/>
        <family val="2"/>
      </rPr>
      <t>, OHF has added "Low-Rise Elevator" and "High-Rise Elevator" options to the HUD UA structure type list for clarification purposes later when translating to PIH Cost Limit structure types.  "Low-Rise Apt" and "Low-Rise Elevator" will have the same UA amounts.  Also, "High-Rise Apt" and "High-Rise Elevator" will have the same UA amounts.   if an elevator is proposed, Applicants must select  the same applicable elevator option in both the UA tab and the Rent Chart.  The Cost Limits will then calculate differently for projects proposing elevators.</t>
    </r>
  </si>
  <si>
    <r>
      <t xml:space="preserve">Certified Historic/ Deemed Historic? 
</t>
    </r>
    <r>
      <rPr>
        <sz val="8"/>
        <color theme="0"/>
        <rFont val="Arial"/>
        <family val="2"/>
      </rPr>
      <t>(See QAP)</t>
    </r>
  </si>
  <si>
    <r>
      <rPr>
        <sz val="10"/>
        <color theme="0"/>
        <rFont val="Arial"/>
        <family val="2"/>
      </rPr>
      <t>A. HOME Projects</t>
    </r>
    <r>
      <rPr>
        <sz val="9"/>
        <color theme="0"/>
        <rFont val="Arial"/>
        <family val="2"/>
      </rPr>
      <t>:  Fixed or Floating units?</t>
    </r>
  </si>
  <si>
    <r>
      <t xml:space="preserve">Subsidy </t>
    </r>
    <r>
      <rPr>
        <sz val="10"/>
        <color theme="0"/>
        <rFont val="Arial"/>
        <family val="2"/>
      </rPr>
      <t>***</t>
    </r>
  </si>
  <si>
    <r>
      <t xml:space="preserve">Type of Activity
</t>
    </r>
    <r>
      <rPr>
        <sz val="6"/>
        <color theme="0"/>
        <rFont val="Arial"/>
        <family val="2"/>
      </rPr>
      <t>(INCL Adapative Reuse)</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</si>
  <si>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</si>
  <si>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rPr>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</si>
  <si>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</si>
  <si>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</si>
  <si>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</si>
  <si>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i/>
        <sz val="10"/>
        <color theme="0"/>
        <rFont val="Arial"/>
        <family val="2"/>
      </rPr>
      <t>Utility Allowance, Monitoring Fees, etc</t>
    </r>
    <r>
      <rPr>
        <sz val="10"/>
        <color theme="0"/>
        <rFont val="Arial"/>
        <family val="2"/>
      </rPr>
      <t xml:space="preserve">)
</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</si>
  <si>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</si>
  <si>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</si>
  <si>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 xml:space="preserve">ANCILLARY AND OTHER INCOME  </t>
    </r>
    <r>
      <rPr>
        <i/>
        <sz val="10"/>
        <color theme="0"/>
        <rFont val="Arial"/>
        <family val="2"/>
      </rPr>
      <t>(annual amounts)</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</si>
  <si>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</si>
  <si>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</si>
  <si>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</si>
  <si>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i/>
        <u/>
        <sz val="11"/>
        <color theme="0"/>
        <rFont val="Arial"/>
        <family val="2"/>
      </rPr>
      <t>NOTE to DCA Staff</t>
    </r>
    <r>
      <rPr>
        <sz val="11"/>
        <color theme="0"/>
        <rFont val="Arial"/>
        <family val="2"/>
      </rPr>
      <t>:  If the Applicant self-scored at the full point value for CTO, but DCA did not score CTO at full point value, then the Cost Waiver / DCA Override box here must be used to manually adjust to New Constr &amp; Acq/Rehab limits.</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</si>
  <si>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</si>
  <si>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</si>
  <si>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 xml:space="preserve">Applicant agrees to provide following required </t>
    </r>
    <r>
      <rPr>
        <i/>
        <sz val="8"/>
        <color theme="0"/>
        <rFont val="Arial"/>
        <family val="2"/>
      </rPr>
      <t>Standard</t>
    </r>
    <r>
      <rPr>
        <sz val="8"/>
        <color theme="0"/>
        <rFont val="Arial"/>
        <family val="2"/>
      </rPr>
      <t xml:space="preserve">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</si>
  <si>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Applicant agrees to provide the following required </t>
    </r>
    <r>
      <rPr>
        <i/>
        <sz val="8"/>
        <color theme="0"/>
        <rFont val="Arial"/>
        <family val="2"/>
      </rPr>
      <t>Additional</t>
    </r>
    <r>
      <rPr>
        <sz val="8"/>
        <color theme="0"/>
        <rFont val="Arial"/>
        <family val="2"/>
      </rPr>
      <t xml:space="preserve"> Site Amenities to conform with the DCA Amenities Guidebook.  </t>
    </r>
  </si>
  <si>
    <r>
      <t xml:space="preserve">Other Additional Amenities - Pre-Approved by DCA via Waiver </t>
    </r>
    <r>
      <rPr>
        <sz val="7"/>
        <color theme="0"/>
        <rFont val="Arial"/>
        <family val="2"/>
      </rPr>
      <t>(describe each separately below)</t>
    </r>
  </si>
  <si>
    <r>
      <t xml:space="preserve"> 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</si>
  <si>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</si>
  <si>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rPr>
        <u/>
        <sz val="8"/>
        <color theme="0"/>
        <rFont val="Arial"/>
        <family val="2"/>
      </rPr>
      <t>Applicant commits to accept DCA-led resident engagement</t>
    </r>
    <r>
      <rPr>
        <sz val="8"/>
        <color theme="0"/>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</si>
  <si>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</si>
  <si>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Any points entered will be </t>
    </r>
    <r>
      <rPr>
        <u/>
        <sz val="8"/>
        <color theme="0"/>
        <rFont val="Arial"/>
        <family val="2"/>
      </rPr>
      <t>subtracted</t>
    </r>
    <r>
      <rPr>
        <sz val="8"/>
        <color theme="0"/>
        <rFont val="Arial"/>
        <family val="2"/>
      </rPr>
      <t xml:space="preserve"> from the total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</si>
  <si>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</si>
  <si>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</si>
  <si>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</si>
  <si>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New Supply </t>
    </r>
    <r>
      <rPr>
        <sz val="7"/>
        <color theme="0"/>
        <rFont val="Arial Narrow"/>
        <family val="2"/>
      </rPr>
      <t>(NC + AR)</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</si>
  <si>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</si>
  <si>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 xml:space="preserve">These points will be </t>
    </r>
    <r>
      <rPr>
        <u/>
        <sz val="8"/>
        <color theme="0"/>
        <rFont val="Arial"/>
        <family val="2"/>
      </rPr>
      <t>subtracted</t>
    </r>
    <r>
      <rPr>
        <sz val="8"/>
        <color theme="0"/>
        <rFont val="Arial"/>
        <family val="2"/>
      </rPr>
      <t xml:space="preserve"> from the total score value.</t>
    </r>
  </si>
  <si>
    <r>
      <t xml:space="preserve">Incomplete, Inaccurate, or Illegible Documents </t>
    </r>
    <r>
      <rPr>
        <sz val="6"/>
        <color theme="0"/>
        <rFont val="Arial"/>
        <family val="2"/>
      </rPr>
      <t>(includes core app)</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</si>
  <si>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</si>
  <si>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rPr>
        <i/>
        <u/>
        <sz val="10"/>
        <color theme="0"/>
        <rFont val="Arial"/>
        <family val="2"/>
      </rPr>
      <t>DCA Staff</t>
    </r>
    <r>
      <rPr>
        <sz val="10"/>
        <color theme="0"/>
        <rFont val="Arial"/>
        <family val="2"/>
      </rPr>
      <t>: Select "1" for a Point Deduction in each line as applicable.</t>
    </r>
  </si>
  <si>
    <r>
      <t>Deeper Targeting through Rent Restrictions</t>
    </r>
    <r>
      <rPr>
        <sz val="9"/>
        <color theme="0"/>
        <rFont val="Arial Narrow"/>
        <family val="2"/>
      </rPr>
      <t xml:space="preserve"> </t>
    </r>
    <r>
      <rPr>
        <sz val="8"/>
        <color theme="0"/>
        <rFont val="Arial Narrow"/>
        <family val="2"/>
      </rPr>
      <t>(9% Credits Only)</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</si>
  <si>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</si>
  <si>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</si>
  <si>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</si>
  <si>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t xml:space="preserve">Route for site does not only run direct, and is not an express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</si>
  <si>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</si>
  <si>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either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</si>
  <si>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</si>
  <si>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t>
    </r>
    <r>
      <rPr>
        <u/>
        <sz val="8"/>
        <color theme="0"/>
        <rFont val="Arial"/>
        <family val="2"/>
      </rPr>
      <t>owned</t>
    </r>
    <r>
      <rPr>
        <sz val="8"/>
        <color theme="0"/>
        <rFont val="Arial"/>
        <family val="2"/>
      </rPr>
      <t xml:space="preserve"> by a public or local transit agency &amp; is strategically targeted by agency to create housing with on site or adjacent access to a transit hub. Site rests along transit line that follows fixed route and fixed daily schedule available to public </t>
    </r>
    <r>
      <rPr>
        <u/>
        <sz val="8"/>
        <color theme="0"/>
        <rFont val="Arial"/>
        <family val="2"/>
      </rPr>
      <t>every</t>
    </r>
    <r>
      <rPr>
        <sz val="8"/>
        <color theme="0"/>
        <rFont val="Arial"/>
        <family val="2"/>
      </rPr>
      <t xml:space="preserve"> day of week.</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</si>
  <si>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</si>
  <si>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</si>
  <si>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</si>
  <si>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</si>
  <si>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 or for which an on-call transportation service is available on-site</t>
    </r>
  </si>
  <si>
    <r>
      <t>Publicly operated/sponsored and established transit service</t>
    </r>
    <r>
      <rPr>
        <sz val="8"/>
        <color theme="0"/>
        <rFont val="Arial"/>
        <family val="2"/>
      </rPr>
      <t xml:space="preserve"> 
</t>
    </r>
  </si>
  <si>
    <r>
      <rPr>
        <sz val="8"/>
        <color theme="0"/>
        <rFont val="Arial"/>
        <family val="2"/>
      </rPr>
      <t>(including on-call service onsite or fixed-route service within 0.5 mile walking distance</t>
    </r>
    <r>
      <rPr>
        <sz val="9"/>
        <color theme="0"/>
        <rFont val="Arial"/>
        <family val="2"/>
      </rPr>
      <t>*</t>
    </r>
    <r>
      <rPr>
        <sz val="8"/>
        <color theme="0"/>
        <rFont val="Arial"/>
        <family val="2"/>
      </rPr>
      <t xml:space="preserve"> of site)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</si>
  <si>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</si>
  <si>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Complete </t>
    </r>
    <r>
      <rPr>
        <u/>
        <sz val="9"/>
        <color theme="0"/>
        <rFont val="Arial Narrow"/>
        <family val="2"/>
      </rPr>
      <t>all</t>
    </r>
    <r>
      <rPr>
        <sz val="9"/>
        <color theme="0"/>
        <rFont val="Arial Narrow"/>
        <family val="2"/>
      </rPr>
      <t xml:space="preserve"> blue cells for each school. Leave unused CCRPI cells empty. Sort by grade group.</t>
    </r>
  </si>
  <si>
    <r>
      <t xml:space="preserve">Clearly delineates Targeted Area within a Local Government boundary that includes proposed project site?
</t>
    </r>
    <r>
      <rPr>
        <sz val="8"/>
        <color theme="0"/>
        <rFont val="Arial Narrow"/>
        <family val="2"/>
      </rPr>
      <t>(For applications in a Metro Pool, the Targeted Area must not encompass the full Local Government Boundary)</t>
    </r>
  </si>
  <si>
    <r>
      <t xml:space="preserve">Applicant commits, </t>
    </r>
    <r>
      <rPr>
        <i/>
        <u/>
        <sz val="8"/>
        <color theme="0"/>
        <rFont val="Arial"/>
        <family val="2"/>
      </rPr>
      <t>in addition</t>
    </r>
    <r>
      <rPr>
        <sz val="8"/>
        <color theme="0"/>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set forth in Exhibit A of Appendix II: Scoring and Section 42(i)(7) of the Code.</t>
    </r>
  </si>
  <si>
    <r>
      <t xml:space="preserve">Indicate that the following criteria are met for </t>
    </r>
    <r>
      <rPr>
        <i/>
        <sz val="8"/>
        <color theme="0"/>
        <rFont val="Arial"/>
        <family val="2"/>
      </rPr>
      <t>all</t>
    </r>
    <r>
      <rPr>
        <sz val="8"/>
        <color theme="0"/>
        <rFont val="Arial"/>
        <family val="2"/>
      </rPr>
      <t xml:space="preserve"> permanent sources of funds used:</t>
    </r>
  </si>
  <si>
    <r>
      <t xml:space="preserve">Other Federal, State, or local grant funds or loans </t>
    </r>
    <r>
      <rPr>
        <sz val="6"/>
        <color theme="0"/>
        <rFont val="Arial"/>
        <family val="2"/>
      </rPr>
      <t>(Loans originated by conventional banks are ineligible)</t>
    </r>
  </si>
  <si>
    <r>
      <t xml:space="preserve">The proposed development includes historic tax credit proceeds </t>
    </r>
    <r>
      <rPr>
        <i/>
        <u/>
        <sz val="8"/>
        <color theme="0"/>
        <rFont val="Arial"/>
        <family val="2"/>
      </rPr>
      <t>and</t>
    </r>
    <r>
      <rPr>
        <sz val="8"/>
        <color theme="0"/>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For purposes of this scoring section, the building or buildings being adaptively reused must constitute at least 30% of the total units.</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</si>
  <si>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</si>
  <si>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</si>
  <si>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t>►</t>
    </r>
    <r>
      <rPr>
        <u/>
        <sz val="10"/>
        <color theme="0"/>
        <rFont val="Arial Narrow"/>
        <family val="2"/>
      </rPr>
      <t>Beds/Baths</t>
    </r>
    <r>
      <rPr>
        <sz val="10"/>
        <color theme="0"/>
        <rFont val="Arial Narrow"/>
        <family val="2"/>
      </rPr>
      <t>: All units identified have the same number of bedrooms and bathrooms.</t>
    </r>
  </si>
  <si>
    <r>
      <t>►</t>
    </r>
    <r>
      <rPr>
        <u/>
        <sz val="10"/>
        <color theme="0"/>
        <rFont val="Arial Narrow"/>
        <family val="2"/>
      </rPr>
      <t>Configuration</t>
    </r>
    <r>
      <rPr>
        <sz val="10"/>
        <color theme="0"/>
        <rFont val="Arial Narrow"/>
        <family val="2"/>
      </rPr>
      <t>: There are no other obvious differences between the units, such as add'l. rooms or significant differences in layout.</t>
    </r>
  </si>
  <si>
    <r>
      <t>►</t>
    </r>
    <r>
      <rPr>
        <u/>
        <sz val="10"/>
        <color theme="0"/>
        <rFont val="Arial Narrow"/>
        <family val="2"/>
      </rPr>
      <t>Sq. Footage</t>
    </r>
    <r>
      <rPr>
        <sz val="10"/>
        <color theme="0"/>
        <rFont val="Arial Narrow"/>
        <family val="2"/>
      </rPr>
      <t>: All units of this type have square footage within a small variation of the average of this grouping of units.</t>
    </r>
  </si>
  <si>
    <r>
      <t>►</t>
    </r>
    <r>
      <rPr>
        <u/>
        <sz val="10"/>
        <color theme="0"/>
        <rFont val="Arial Narrow"/>
        <family val="2"/>
      </rPr>
      <t>Finishes/Amenities</t>
    </r>
    <r>
      <rPr>
        <sz val="10"/>
        <color theme="0"/>
        <rFont val="Arial Narrow"/>
        <family val="2"/>
      </rPr>
      <t>: All units in this type are substantially similar in terms of unit amenities, fixtures, and finishes.</t>
    </r>
  </si>
  <si>
    <r>
      <t xml:space="preserve">Total Units </t>
    </r>
    <r>
      <rPr>
        <sz val="8"/>
        <color theme="0"/>
        <rFont val="Arial Narrow"/>
        <family val="2"/>
      </rPr>
      <t>per Type</t>
    </r>
  </si>
  <si>
    <r>
      <t xml:space="preserve">Nbr of Bedrooms
</t>
    </r>
    <r>
      <rPr>
        <sz val="8"/>
        <color theme="0"/>
        <rFont val="Arial Narrow"/>
        <family val="2"/>
      </rPr>
      <t>(0, 1, 2, 3, 4, 5 BRs)</t>
    </r>
  </si>
  <si>
    <r>
      <t xml:space="preserve">Bathrooms 
</t>
    </r>
    <r>
      <rPr>
        <sz val="8"/>
        <color theme="0"/>
        <rFont val="Arial Narrow"/>
        <family val="2"/>
      </rPr>
      <t>(1.0, 1.5, 2.0, 2.5, 3.0, 3.5, 4.0)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</si>
</sst>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00000"/>
    <numFmt numFmtId="182" formatCode="#,##0.0_);[Red]\(#,##0.0\)"/>
    <numFmt numFmtId="183" formatCode="0;\-0;&quot;-&quot;"/>
    <numFmt numFmtId="184" formatCode="0.0"/>
    <numFmt numFmtId="185" formatCode="0.000;\-0.000;&quot;-&quot;"/>
    <numFmt numFmtId="186" formatCode="0.000"/>
    <numFmt numFmtId="187" formatCode="#,##0.0"/>
  </numFmts>
  <fonts count="289">
    <font>
      <sz val="10"/>
      <name val="Arial"/>
    </font>
    <font>
      <sz val="8"/>
      <color theme="1"/>
      <name val="Arial Narrow"/>
      <family val="2"/>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i/>
      <sz val="8"/>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0"/>
      <color rgb="FFFF0000"/>
      <name val="Arial Narrow"/>
      <family val="2"/>
    </font>
    <font>
      <b/>
      <u/>
      <sz val="11"/>
      <name val="Arial Narrow"/>
      <family val="2"/>
    </font>
    <font>
      <sz val="9"/>
      <color theme="0"/>
      <name val="Arial Narrow"/>
      <family val="2"/>
    </font>
    <font>
      <b/>
      <sz val="12"/>
      <color theme="0"/>
      <name val="Arial"/>
      <family val="2"/>
    </font>
    <font>
      <b/>
      <sz val="8"/>
      <color theme="0"/>
      <name val="Arial"/>
      <family val="2"/>
    </font>
    <font>
      <b/>
      <i/>
      <sz val="8"/>
      <color theme="0"/>
      <name val="Arial"/>
      <family val="2"/>
    </font>
    <font>
      <b/>
      <i/>
      <sz val="9"/>
      <color theme="0"/>
      <name val="Arial"/>
      <family val="2"/>
    </font>
    <font>
      <sz val="12"/>
      <color theme="0"/>
      <name val="Arial Narrow"/>
      <family val="2"/>
    </font>
    <font>
      <sz val="11"/>
      <color theme="0"/>
      <name val="Arial Narrow"/>
      <family val="2"/>
    </font>
    <font>
      <i/>
      <sz val="9"/>
      <color theme="0"/>
      <name val="Arial Narrow"/>
      <family val="2"/>
    </font>
    <font>
      <u/>
      <sz val="8"/>
      <color theme="0"/>
      <name val="Arial"/>
      <family val="2"/>
    </font>
    <font>
      <i/>
      <sz val="8"/>
      <color theme="0"/>
      <name val="Arial Narrow"/>
      <family val="2"/>
    </font>
    <font>
      <i/>
      <u/>
      <sz val="10"/>
      <color theme="0"/>
      <name val="Arial Narrow"/>
      <family val="2"/>
    </font>
    <font>
      <u/>
      <sz val="9"/>
      <color theme="0"/>
      <name val="Arial Narrow"/>
      <family val="2"/>
    </font>
    <font>
      <i/>
      <sz val="10"/>
      <color theme="0"/>
      <name val="Arial Narrow"/>
      <family val="2"/>
    </font>
    <font>
      <u/>
      <sz val="10"/>
      <color theme="0"/>
      <name val="Arial Narrow"/>
      <family val="2"/>
    </font>
    <font>
      <sz val="11"/>
      <color theme="0"/>
      <name val="Arial"/>
      <family val="2"/>
    </font>
    <font>
      <i/>
      <u/>
      <sz val="8"/>
      <color theme="0"/>
      <name val="Arial Narrow"/>
      <family val="2"/>
    </font>
    <font>
      <sz val="7"/>
      <color theme="0"/>
      <name val="Arial Narrow"/>
      <family val="2"/>
    </font>
    <font>
      <u/>
      <sz val="11"/>
      <color theme="0"/>
      <name val="Arial Narrow"/>
      <family val="2"/>
    </font>
    <font>
      <sz val="14"/>
      <color theme="0"/>
      <name val="Arial"/>
      <family val="2"/>
    </font>
    <font>
      <i/>
      <sz val="9"/>
      <color theme="0"/>
      <name val="Arial"/>
      <family val="2"/>
    </font>
    <font>
      <u/>
      <sz val="9"/>
      <color theme="0"/>
      <name val="Arial"/>
      <family val="2"/>
    </font>
    <font>
      <sz val="6"/>
      <color theme="0"/>
      <name val="Arial Narrow"/>
      <family val="2"/>
    </font>
    <font>
      <sz val="6"/>
      <color theme="0"/>
      <name val="Arial"/>
      <family val="2"/>
    </font>
    <font>
      <sz val="5"/>
      <color theme="0"/>
      <name val="Arial Narrow"/>
      <family val="2"/>
    </font>
    <font>
      <i/>
      <sz val="10"/>
      <color theme="0"/>
      <name val="Arial"/>
      <family val="2"/>
    </font>
    <font>
      <i/>
      <sz val="8"/>
      <color theme="0"/>
      <name val="Arial"/>
      <family val="2"/>
    </font>
    <font>
      <i/>
      <u/>
      <sz val="9"/>
      <color theme="0"/>
      <name val="Arial"/>
      <family val="2"/>
    </font>
    <font>
      <i/>
      <u/>
      <sz val="10"/>
      <color theme="0"/>
      <name val="Arial"/>
      <family val="2"/>
    </font>
    <font>
      <sz val="7"/>
      <color theme="0"/>
      <name val="Arial"/>
      <family val="2"/>
    </font>
    <font>
      <i/>
      <sz val="16"/>
      <color theme="0"/>
      <name val="Arial"/>
      <family val="2"/>
    </font>
    <font>
      <u/>
      <sz val="7"/>
      <color theme="0"/>
      <name val="Arial Narrow"/>
      <family val="2"/>
    </font>
    <font>
      <sz val="16"/>
      <color theme="0"/>
      <name val="Arial"/>
      <family val="2"/>
    </font>
    <font>
      <i/>
      <sz val="7"/>
      <color theme="0"/>
      <name val="Arial Narrow"/>
      <family val="2"/>
    </font>
    <font>
      <i/>
      <u/>
      <sz val="11"/>
      <color theme="0"/>
      <name val="Arial"/>
      <family val="2"/>
    </font>
    <font>
      <sz val="11"/>
      <color theme="0"/>
      <name val="Garamond"/>
      <family val="1"/>
    </font>
    <font>
      <u/>
      <sz val="10"/>
      <color theme="0"/>
      <name val="Arial"/>
      <family val="2"/>
    </font>
    <font>
      <i/>
      <u/>
      <sz val="8"/>
      <color theme="0"/>
      <name val="Arial"/>
      <family val="2"/>
    </font>
    <font>
      <sz val="10"/>
      <color theme="0"/>
      <name val="Garamond"/>
      <family val="1"/>
    </font>
    <font>
      <sz val="8"/>
      <color theme="0"/>
      <name val="Garamond"/>
      <family val="1"/>
    </font>
    <font>
      <i/>
      <u/>
      <sz val="14"/>
      <color theme="0"/>
      <name val="Arial"/>
      <family val="2"/>
    </font>
    <font>
      <i/>
      <sz val="11"/>
      <color theme="0"/>
      <name val="Arial Narrow"/>
      <family val="2"/>
    </font>
    <font>
      <i/>
      <u/>
      <sz val="11"/>
      <color theme="0"/>
      <name val="Arial Narrow"/>
      <family val="2"/>
    </font>
    <font>
      <i/>
      <sz val="14"/>
      <color theme="0"/>
      <name val="Arial"/>
      <family val="2"/>
    </font>
    <font>
      <sz val="14"/>
      <color theme="0"/>
      <name val="Arial Narrow"/>
      <family val="2"/>
    </font>
    <font>
      <u/>
      <sz val="14"/>
      <color theme="0"/>
      <name val="Arial Narrow"/>
      <family val="2"/>
    </font>
    <font>
      <sz val="16"/>
      <color theme="0"/>
      <name val="Arial Narrow"/>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9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thin">
        <color auto="1"/>
      </left>
      <right style="medium">
        <color auto="1"/>
      </right>
      <top style="thin">
        <color auto="1"/>
      </top>
      <bottom style="hair">
        <color auto="1"/>
      </bottom>
      <diagonal/>
    </border>
    <border>
      <left style="medium">
        <color auto="1"/>
      </left>
      <right style="hair">
        <color indexed="64"/>
      </right>
      <top style="thin">
        <color auto="1"/>
      </top>
      <bottom style="hair">
        <color auto="1"/>
      </bottom>
      <diagonal/>
    </border>
    <border>
      <left style="thin">
        <color auto="1"/>
      </left>
      <right style="medium">
        <color auto="1"/>
      </right>
      <top style="hair">
        <color auto="1"/>
      </top>
      <bottom style="hair">
        <color auto="1"/>
      </bottom>
      <diagonal/>
    </border>
    <border>
      <left style="medium">
        <color auto="1"/>
      </left>
      <right style="hair">
        <color indexed="64"/>
      </right>
      <top style="hair">
        <color auto="1"/>
      </top>
      <bottom style="hair">
        <color auto="1"/>
      </bottom>
      <diagonal/>
    </border>
    <border>
      <left style="thin">
        <color auto="1"/>
      </left>
      <right style="medium">
        <color auto="1"/>
      </right>
      <top style="hair">
        <color auto="1"/>
      </top>
      <bottom style="thin">
        <color indexed="64"/>
      </bottom>
      <diagonal/>
    </border>
    <border>
      <left style="medium">
        <color auto="1"/>
      </left>
      <right style="hair">
        <color indexed="64"/>
      </right>
      <top style="hair">
        <color auto="1"/>
      </top>
      <bottom style="thin">
        <color indexed="64"/>
      </bottom>
      <diagonal/>
    </border>
  </borders>
  <cellStyleXfs count="37">
    <xf numFmtId="0" fontId="0" fillId="0" borderId="0"/>
    <xf numFmtId="43" fontId="4" fillId="0" borderId="0" applyFont="0" applyFill="0" applyBorder="0" applyAlignment="0" applyProtection="0"/>
    <xf numFmtId="44" fontId="4" fillId="0" borderId="0" applyFont="0" applyFill="0" applyBorder="0" applyAlignment="0" applyProtection="0"/>
    <xf numFmtId="38" fontId="5" fillId="2" borderId="0" applyNumberFormat="0" applyBorder="0" applyAlignment="0" applyProtection="0"/>
    <xf numFmtId="0" fontId="6" fillId="0" borderId="1" applyNumberFormat="0" applyAlignment="0" applyProtection="0">
      <alignment horizontal="left" vertical="center"/>
    </xf>
    <xf numFmtId="0" fontId="6" fillId="0" borderId="2">
      <alignment horizontal="left" vertical="center"/>
    </xf>
    <xf numFmtId="0" fontId="7" fillId="0" borderId="0" applyNumberFormat="0" applyFill="0" applyBorder="0" applyAlignment="0" applyProtection="0">
      <alignment vertical="top"/>
      <protection locked="0"/>
    </xf>
    <xf numFmtId="10" fontId="5" fillId="3" borderId="3" applyNumberFormat="0" applyBorder="0" applyAlignment="0" applyProtection="0"/>
    <xf numFmtId="172" fontId="4" fillId="0" borderId="0"/>
    <xf numFmtId="0" fontId="33" fillId="0" borderId="0"/>
    <xf numFmtId="9" fontId="4" fillId="0" borderId="0" applyFont="0" applyFill="0" applyBorder="0" applyAlignment="0" applyProtection="0"/>
    <xf numFmtId="10" fontId="4" fillId="0" borderId="0" applyFont="0" applyFill="0" applyBorder="0" applyAlignment="0" applyProtection="0"/>
    <xf numFmtId="0" fontId="3" fillId="0" borderId="0"/>
    <xf numFmtId="0" fontId="4" fillId="0" borderId="0"/>
    <xf numFmtId="0" fontId="119" fillId="0" borderId="0" applyNumberFormat="0" applyFill="0" applyBorder="0" applyAlignment="0" applyProtection="0"/>
    <xf numFmtId="43" fontId="120" fillId="0" borderId="0" applyFont="0" applyFill="0" applyBorder="0" applyAlignment="0" applyProtection="0"/>
    <xf numFmtId="44" fontId="31" fillId="0" borderId="0" applyFont="0" applyFill="0" applyBorder="0" applyAlignment="0" applyProtection="0"/>
    <xf numFmtId="15" fontId="121" fillId="0" borderId="97" applyFont="0" applyFill="0" applyBorder="0" applyProtection="0">
      <alignment horizontal="center"/>
      <protection locked="0"/>
    </xf>
    <xf numFmtId="178" fontId="122" fillId="0" borderId="0" applyFont="0" applyFill="0" applyBorder="0" applyAlignment="0" applyProtection="0"/>
    <xf numFmtId="38" fontId="121" fillId="0" borderId="0" applyFill="0" applyBorder="0" applyAlignment="0" applyProtection="0"/>
    <xf numFmtId="179" fontId="123" fillId="0" borderId="0" applyFill="0" applyBorder="0" applyAlignment="0" applyProtection="0">
      <alignment horizontal="right"/>
    </xf>
    <xf numFmtId="37" fontId="124" fillId="0" borderId="97" applyNumberFormat="0" applyFont="0" applyFill="0" applyAlignment="0" applyProtection="0">
      <alignment horizontal="center" vertical="center"/>
    </xf>
    <xf numFmtId="37" fontId="125" fillId="0" borderId="0"/>
    <xf numFmtId="0" fontId="4" fillId="0" borderId="0"/>
    <xf numFmtId="0" fontId="4"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0" fontId="4" fillId="0" borderId="0"/>
    <xf numFmtId="0" fontId="6" fillId="0" borderId="82">
      <alignment horizontal="left" vertical="center"/>
    </xf>
    <xf numFmtId="10" fontId="5" fillId="3" borderId="86" applyNumberFormat="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4" fillId="0" borderId="0"/>
  </cellStyleXfs>
  <cellXfs count="4798">
    <xf numFmtId="0" fontId="0" fillId="0" borderId="0" xfId="0"/>
    <xf numFmtId="0" fontId="13" fillId="0" borderId="0" xfId="0" applyFont="1" applyFill="1" applyAlignment="1" applyProtection="1">
      <alignment vertical="center"/>
    </xf>
    <xf numFmtId="0" fontId="9" fillId="0" borderId="0" xfId="0" applyFont="1" applyFill="1" applyBorder="1" applyAlignment="1" applyProtection="1">
      <alignment horizontal="left" vertical="center"/>
    </xf>
    <xf numFmtId="38" fontId="9" fillId="0" borderId="0" xfId="0" applyNumberFormat="1" applyFont="1" applyFill="1" applyBorder="1" applyAlignment="1" applyProtection="1">
      <alignment horizontal="center" vertical="center"/>
    </xf>
    <xf numFmtId="0" fontId="9" fillId="0" borderId="0" xfId="0" applyFont="1" applyFill="1" applyAlignment="1" applyProtection="1">
      <alignment vertical="center"/>
    </xf>
    <xf numFmtId="0" fontId="13"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13" fillId="0" borderId="0" xfId="0" applyFont="1" applyFill="1" applyBorder="1" applyAlignment="1" applyProtection="1">
      <alignment horizontal="center" vertical="center"/>
    </xf>
    <xf numFmtId="0" fontId="13" fillId="0" borderId="0" xfId="0" applyFont="1" applyFill="1" applyProtection="1"/>
    <xf numFmtId="38" fontId="13" fillId="0" borderId="0" xfId="0" applyNumberFormat="1" applyFont="1" applyFill="1" applyAlignment="1" applyProtection="1">
      <alignment horizontal="center" vertical="center"/>
    </xf>
    <xf numFmtId="0" fontId="9" fillId="0" borderId="0" xfId="0" applyFont="1" applyFill="1" applyBorder="1" applyAlignment="1" applyProtection="1">
      <alignment vertical="center"/>
    </xf>
    <xf numFmtId="0" fontId="21" fillId="0" borderId="0" xfId="0" applyFont="1" applyFill="1" applyAlignment="1" applyProtection="1">
      <alignment horizontal="right" vertical="center"/>
    </xf>
    <xf numFmtId="38" fontId="13" fillId="0" borderId="0" xfId="1" applyNumberFormat="1" applyFont="1" applyFill="1" applyBorder="1" applyAlignment="1" applyProtection="1">
      <alignment horizontal="right" vertical="center"/>
    </xf>
    <xf numFmtId="0" fontId="9" fillId="0" borderId="0" xfId="0" applyFont="1" applyFill="1" applyProtection="1"/>
    <xf numFmtId="0" fontId="9" fillId="0" borderId="0" xfId="0" applyFont="1" applyFill="1" applyAlignment="1" applyProtection="1">
      <alignment horizontal="right" vertical="center"/>
    </xf>
    <xf numFmtId="164" fontId="9" fillId="0" borderId="0" xfId="1" applyNumberFormat="1" applyFont="1" applyFill="1" applyProtection="1"/>
    <xf numFmtId="0" fontId="13" fillId="0" borderId="0" xfId="0" applyFont="1" applyFill="1" applyBorder="1" applyProtection="1"/>
    <xf numFmtId="164" fontId="13" fillId="0" borderId="0" xfId="1" applyNumberFormat="1" applyFont="1" applyFill="1" applyProtection="1"/>
    <xf numFmtId="0" fontId="13" fillId="0" borderId="4" xfId="0" applyFont="1" applyFill="1" applyBorder="1" applyProtection="1"/>
    <xf numFmtId="164" fontId="13" fillId="0" borderId="5" xfId="1" applyNumberFormat="1" applyFont="1" applyFill="1" applyBorder="1" applyProtection="1"/>
    <xf numFmtId="164" fontId="13" fillId="0" borderId="6" xfId="1" applyNumberFormat="1" applyFont="1" applyFill="1" applyBorder="1" applyProtection="1"/>
    <xf numFmtId="0" fontId="13" fillId="0" borderId="7" xfId="0" applyFont="1" applyFill="1" applyBorder="1" applyProtection="1"/>
    <xf numFmtId="164" fontId="13" fillId="0" borderId="0" xfId="1" applyNumberFormat="1" applyFont="1" applyFill="1" applyBorder="1" applyProtection="1"/>
    <xf numFmtId="164" fontId="13" fillId="0" borderId="8" xfId="1" applyNumberFormat="1" applyFont="1" applyFill="1" applyBorder="1" applyProtection="1"/>
    <xf numFmtId="43" fontId="13" fillId="0" borderId="0" xfId="1" applyNumberFormat="1" applyFont="1" applyFill="1" applyBorder="1" applyProtection="1"/>
    <xf numFmtId="43" fontId="13" fillId="0" borderId="8" xfId="1" applyNumberFormat="1" applyFont="1" applyFill="1" applyBorder="1" applyProtection="1"/>
    <xf numFmtId="0" fontId="13" fillId="0" borderId="9" xfId="0" applyFont="1" applyFill="1" applyBorder="1" applyProtection="1"/>
    <xf numFmtId="0" fontId="0" fillId="0" borderId="0" xfId="0" applyProtection="1"/>
    <xf numFmtId="0" fontId="9" fillId="0" borderId="0" xfId="0" applyFont="1" applyFill="1" applyBorder="1" applyProtection="1"/>
    <xf numFmtId="0" fontId="9" fillId="0" borderId="0" xfId="0" applyFont="1" applyFill="1" applyBorder="1" applyAlignment="1" applyProtection="1">
      <alignment horizontal="left"/>
    </xf>
    <xf numFmtId="0" fontId="9" fillId="0" borderId="0" xfId="0" applyFont="1" applyFill="1" applyBorder="1" applyAlignment="1" applyProtection="1">
      <alignment horizontal="center"/>
    </xf>
    <xf numFmtId="0" fontId="9" fillId="0" borderId="0" xfId="0" applyFont="1" applyFill="1" applyAlignment="1" applyProtection="1"/>
    <xf numFmtId="0" fontId="9" fillId="0" borderId="0" xfId="0" quotePrefix="1" applyFont="1" applyFill="1" applyAlignment="1" applyProtection="1">
      <alignment horizontal="center" vertical="center"/>
    </xf>
    <xf numFmtId="0" fontId="0" fillId="0" borderId="0" xfId="0" applyAlignment="1" applyProtection="1">
      <alignment vertical="center"/>
    </xf>
    <xf numFmtId="44" fontId="13" fillId="0" borderId="0" xfId="0" applyNumberFormat="1" applyFont="1" applyFill="1" applyProtection="1"/>
    <xf numFmtId="0" fontId="22" fillId="0" borderId="0" xfId="0" applyFont="1" applyFill="1" applyProtection="1"/>
    <xf numFmtId="0" fontId="5" fillId="0" borderId="0" xfId="0" applyFont="1" applyFill="1" applyAlignment="1" applyProtection="1">
      <alignment vertical="center"/>
    </xf>
    <xf numFmtId="1" fontId="5" fillId="0" borderId="0" xfId="0" applyNumberFormat="1" applyFont="1" applyFill="1" applyAlignment="1" applyProtection="1">
      <alignment horizontal="left" vertical="center"/>
    </xf>
    <xf numFmtId="0" fontId="8" fillId="0" borderId="0" xfId="0" applyFont="1" applyFill="1" applyAlignment="1" applyProtection="1">
      <alignment horizontal="center" vertical="center"/>
    </xf>
    <xf numFmtId="0" fontId="8" fillId="0" borderId="0" xfId="0" applyFont="1" applyFill="1" applyAlignment="1" applyProtection="1">
      <alignment vertical="center"/>
    </xf>
    <xf numFmtId="0" fontId="5" fillId="0" borderId="0" xfId="0" applyFont="1" applyFill="1" applyAlignment="1" applyProtection="1">
      <alignment horizontal="left" vertical="center"/>
    </xf>
    <xf numFmtId="0" fontId="18" fillId="0" borderId="0" xfId="0" applyFont="1" applyFill="1" applyProtection="1"/>
    <xf numFmtId="0" fontId="22" fillId="0" borderId="0" xfId="0" applyFont="1" applyFill="1" applyAlignment="1" applyProtection="1">
      <alignment vertical="center"/>
    </xf>
    <xf numFmtId="0" fontId="19" fillId="0" borderId="0" xfId="0" applyFont="1" applyFill="1" applyProtection="1"/>
    <xf numFmtId="0" fontId="10" fillId="0" borderId="0" xfId="0" applyFont="1" applyFill="1" applyAlignment="1" applyProtection="1">
      <alignment vertical="center"/>
    </xf>
    <xf numFmtId="0" fontId="25" fillId="0" borderId="0" xfId="0" applyFont="1" applyFill="1" applyAlignment="1" applyProtection="1">
      <alignment vertical="center"/>
    </xf>
    <xf numFmtId="0" fontId="22" fillId="0" borderId="0" xfId="0" applyFont="1" applyFill="1" applyAlignment="1" applyProtection="1">
      <alignment horizontal="center" vertical="center"/>
    </xf>
    <xf numFmtId="0" fontId="15" fillId="0" borderId="0" xfId="0" applyFont="1" applyFill="1" applyAlignment="1" applyProtection="1">
      <alignment horizontal="right" vertical="center"/>
    </xf>
    <xf numFmtId="0" fontId="20" fillId="0" borderId="0" xfId="0" applyFont="1" applyFill="1" applyAlignment="1" applyProtection="1">
      <alignment vertical="center"/>
    </xf>
    <xf numFmtId="0" fontId="17" fillId="0" borderId="0" xfId="0" applyFont="1" applyFill="1" applyAlignment="1" applyProtection="1">
      <alignment vertical="center"/>
    </xf>
    <xf numFmtId="0" fontId="22" fillId="0" borderId="0" xfId="0" applyFont="1" applyFill="1" applyBorder="1" applyAlignment="1" applyProtection="1">
      <alignment vertical="center"/>
    </xf>
    <xf numFmtId="0" fontId="15" fillId="0" borderId="0" xfId="0" applyFont="1" applyFill="1" applyAlignment="1" applyProtection="1">
      <alignment horizontal="center" vertical="center"/>
    </xf>
    <xf numFmtId="0" fontId="5" fillId="0" borderId="0" xfId="0" applyFont="1" applyFill="1" applyBorder="1" applyAlignment="1" applyProtection="1">
      <alignment vertical="center"/>
    </xf>
    <xf numFmtId="0" fontId="20" fillId="0" borderId="0" xfId="0" applyFont="1" applyFill="1" applyBorder="1" applyAlignment="1" applyProtection="1">
      <alignment vertical="center"/>
    </xf>
    <xf numFmtId="0" fontId="19" fillId="0" borderId="0" xfId="0" applyFont="1" applyFill="1" applyBorder="1" applyProtection="1"/>
    <xf numFmtId="0" fontId="5" fillId="0" borderId="0" xfId="0" applyFont="1" applyFill="1" applyProtection="1"/>
    <xf numFmtId="0" fontId="12" fillId="0" borderId="0" xfId="0" applyFont="1" applyFill="1" applyBorder="1" applyAlignment="1" applyProtection="1">
      <alignment horizontal="right"/>
    </xf>
    <xf numFmtId="0" fontId="8" fillId="0" borderId="0" xfId="0" applyFont="1" applyFill="1" applyBorder="1" applyAlignment="1" applyProtection="1">
      <alignment vertical="center"/>
    </xf>
    <xf numFmtId="0" fontId="5" fillId="0" borderId="0" xfId="0" applyFont="1" applyFill="1" applyBorder="1" applyAlignment="1" applyProtection="1"/>
    <xf numFmtId="0" fontId="25" fillId="0" borderId="0" xfId="0" applyFont="1" applyFill="1" applyBorder="1" applyAlignment="1" applyProtection="1">
      <alignment vertical="center"/>
    </xf>
    <xf numFmtId="0" fontId="8" fillId="0" borderId="0" xfId="0" applyFont="1" applyFill="1" applyBorder="1" applyAlignment="1" applyProtection="1">
      <alignment horizontal="center" vertical="center"/>
    </xf>
    <xf numFmtId="0" fontId="25" fillId="0" borderId="0" xfId="0" applyFont="1" applyFill="1" applyAlignment="1" applyProtection="1">
      <alignment horizontal="left" vertical="center"/>
    </xf>
    <xf numFmtId="0" fontId="13" fillId="0" borderId="0" xfId="0" applyFont="1" applyFill="1" applyAlignment="1" applyProtection="1">
      <alignment horizontal="center"/>
    </xf>
    <xf numFmtId="0" fontId="15" fillId="0" borderId="0" xfId="0" applyFont="1" applyFill="1" applyBorder="1" applyAlignment="1" applyProtection="1">
      <alignment horizontal="right" vertical="center"/>
    </xf>
    <xf numFmtId="0" fontId="5" fillId="0" borderId="0" xfId="0" applyFont="1" applyFill="1" applyBorder="1" applyAlignment="1" applyProtection="1">
      <alignment horizontal="right" vertical="center"/>
    </xf>
    <xf numFmtId="0" fontId="8" fillId="0" borderId="0" xfId="0" applyFont="1" applyFill="1" applyAlignment="1" applyProtection="1">
      <alignment horizontal="right" vertical="center"/>
    </xf>
    <xf numFmtId="0" fontId="17" fillId="0" borderId="0" xfId="0" applyFont="1" applyFill="1" applyBorder="1" applyAlignment="1" applyProtection="1">
      <alignment vertical="center"/>
    </xf>
    <xf numFmtId="0" fontId="12" fillId="0" borderId="0" xfId="0" applyFont="1" applyFill="1" applyBorder="1" applyProtection="1"/>
    <xf numFmtId="0" fontId="22" fillId="0" borderId="0" xfId="0" applyFont="1" applyFill="1" applyAlignment="1" applyProtection="1"/>
    <xf numFmtId="0" fontId="6" fillId="0" borderId="0" xfId="0" applyFont="1" applyFill="1" applyAlignment="1" applyProtection="1">
      <alignment horizontal="center" vertical="center"/>
    </xf>
    <xf numFmtId="0" fontId="9" fillId="0" borderId="0" xfId="0" applyFont="1" applyFill="1" applyBorder="1" applyAlignment="1" applyProtection="1">
      <alignment horizontal="center" vertical="top" wrapText="1"/>
    </xf>
    <xf numFmtId="0" fontId="9" fillId="0" borderId="0" xfId="0" applyFont="1" applyAlignment="1" applyProtection="1">
      <alignment horizontal="center"/>
    </xf>
    <xf numFmtId="0" fontId="4" fillId="0" borderId="0" xfId="0" applyFont="1" applyFill="1" applyAlignment="1" applyProtection="1">
      <alignment horizontal="center" vertical="center"/>
    </xf>
    <xf numFmtId="0" fontId="32" fillId="0" borderId="0" xfId="0" applyFont="1" applyFill="1" applyAlignment="1" applyProtection="1">
      <alignment horizontal="center" vertical="center"/>
    </xf>
    <xf numFmtId="0" fontId="13" fillId="0" borderId="0" xfId="0" applyFont="1" applyFill="1" applyBorder="1" applyAlignment="1" applyProtection="1">
      <alignment horizontal="center" vertical="top" wrapText="1"/>
    </xf>
    <xf numFmtId="0" fontId="22" fillId="0" borderId="0" xfId="0" applyFont="1" applyAlignment="1" applyProtection="1">
      <alignment horizontal="center"/>
    </xf>
    <xf numFmtId="0" fontId="9" fillId="0" borderId="3" xfId="0" applyFont="1" applyFill="1" applyBorder="1" applyAlignment="1" applyProtection="1">
      <alignment horizontal="center" vertical="center"/>
    </xf>
    <xf numFmtId="10" fontId="13" fillId="0" borderId="0" xfId="0" applyNumberFormat="1" applyFont="1" applyFill="1" applyBorder="1" applyAlignment="1" applyProtection="1">
      <alignment horizontal="left"/>
    </xf>
    <xf numFmtId="0" fontId="13" fillId="0" borderId="0" xfId="0" applyFont="1" applyAlignment="1" applyProtection="1">
      <alignment vertical="center"/>
    </xf>
    <xf numFmtId="0" fontId="13" fillId="0" borderId="0" xfId="0" applyFont="1" applyBorder="1" applyAlignment="1" applyProtection="1">
      <alignment vertical="center"/>
    </xf>
    <xf numFmtId="0" fontId="0" fillId="0" borderId="0" xfId="0" applyAlignment="1" applyProtection="1">
      <alignment horizontal="center"/>
    </xf>
    <xf numFmtId="0" fontId="13" fillId="0" borderId="0" xfId="0" applyFont="1" applyFill="1" applyAlignment="1" applyProtection="1">
      <alignment horizontal="right"/>
    </xf>
    <xf numFmtId="0" fontId="28" fillId="0" borderId="0" xfId="0" applyFont="1" applyFill="1" applyProtection="1"/>
    <xf numFmtId="0" fontId="9" fillId="0" borderId="4" xfId="0" applyFont="1" applyFill="1" applyBorder="1" applyAlignment="1" applyProtection="1">
      <alignment horizontal="center" vertical="center"/>
    </xf>
    <xf numFmtId="0" fontId="9" fillId="0" borderId="8" xfId="0" applyFont="1" applyFill="1" applyBorder="1" applyAlignment="1" applyProtection="1">
      <alignment vertical="center"/>
    </xf>
    <xf numFmtId="0" fontId="17" fillId="0" borderId="13" xfId="0" applyFont="1" applyFill="1" applyBorder="1" applyAlignment="1" applyProtection="1">
      <alignment vertical="top"/>
    </xf>
    <xf numFmtId="0" fontId="15" fillId="0" borderId="0" xfId="0" applyFont="1" applyFill="1" applyAlignment="1" applyProtection="1">
      <alignment vertical="center"/>
    </xf>
    <xf numFmtId="0" fontId="15" fillId="0" borderId="0" xfId="0" applyFont="1" applyFill="1" applyBorder="1" applyAlignment="1" applyProtection="1"/>
    <xf numFmtId="0" fontId="15" fillId="0" borderId="0" xfId="0" applyFont="1" applyFill="1" applyAlignment="1" applyProtection="1"/>
    <xf numFmtId="0" fontId="14" fillId="0" borderId="0" xfId="0" applyFont="1" applyFill="1" applyProtection="1"/>
    <xf numFmtId="0" fontId="28" fillId="0" borderId="0" xfId="0" applyFont="1" applyFill="1" applyAlignment="1" applyProtection="1">
      <alignment vertical="center"/>
    </xf>
    <xf numFmtId="0" fontId="19" fillId="0" borderId="0" xfId="0" applyFont="1" applyFill="1" applyBorder="1" applyAlignment="1" applyProtection="1">
      <alignment vertical="center"/>
    </xf>
    <xf numFmtId="0" fontId="13" fillId="0" borderId="0" xfId="0" applyFont="1" applyFill="1" applyBorder="1" applyAlignment="1" applyProtection="1">
      <alignment horizontal="center" vertical="center" wrapText="1"/>
    </xf>
    <xf numFmtId="0" fontId="4" fillId="0" borderId="0" xfId="0" applyFont="1" applyFill="1" applyAlignment="1" applyProtection="1">
      <alignment vertical="center"/>
    </xf>
    <xf numFmtId="0" fontId="17" fillId="0" borderId="0" xfId="0" applyFont="1" applyFill="1" applyBorder="1" applyAlignment="1" applyProtection="1">
      <alignment horizontal="left" vertical="center"/>
    </xf>
    <xf numFmtId="0" fontId="13" fillId="0" borderId="0" xfId="0" applyFont="1" applyFill="1" applyAlignment="1" applyProtection="1">
      <alignment horizontal="left"/>
    </xf>
    <xf numFmtId="0" fontId="17" fillId="0" borderId="13" xfId="0" applyFont="1" applyFill="1" applyBorder="1" applyAlignment="1" applyProtection="1">
      <alignment vertical="center"/>
    </xf>
    <xf numFmtId="0" fontId="22" fillId="0" borderId="13" xfId="0" applyFont="1" applyFill="1" applyBorder="1" applyAlignment="1" applyProtection="1">
      <alignment vertical="center"/>
    </xf>
    <xf numFmtId="0" fontId="5" fillId="0" borderId="13" xfId="0" applyFont="1" applyFill="1" applyBorder="1" applyAlignment="1" applyProtection="1">
      <alignment horizontal="left" vertical="top" wrapText="1"/>
    </xf>
    <xf numFmtId="0" fontId="8" fillId="0" borderId="0" xfId="0" applyFont="1" applyProtection="1"/>
    <xf numFmtId="10" fontId="13" fillId="0" borderId="0" xfId="0" applyNumberFormat="1" applyFont="1" applyFill="1" applyAlignment="1" applyProtection="1">
      <alignment horizontal="center"/>
    </xf>
    <xf numFmtId="0" fontId="19" fillId="0" borderId="0" xfId="0" applyFont="1" applyFill="1" applyAlignment="1" applyProtection="1">
      <alignment vertical="center"/>
    </xf>
    <xf numFmtId="0" fontId="14" fillId="0" borderId="0" xfId="0" applyFont="1" applyFill="1" applyBorder="1" applyAlignment="1" applyProtection="1">
      <alignment vertical="center"/>
    </xf>
    <xf numFmtId="0" fontId="0" fillId="0" borderId="0" xfId="0" applyAlignment="1" applyProtection="1">
      <alignment vertical="top" wrapText="1"/>
    </xf>
    <xf numFmtId="0" fontId="21" fillId="0" borderId="0" xfId="0" applyFont="1" applyFill="1" applyAlignment="1" applyProtection="1">
      <alignment vertical="center"/>
    </xf>
    <xf numFmtId="0" fontId="21" fillId="0" borderId="0" xfId="0" applyFont="1" applyFill="1" applyBorder="1" applyAlignment="1" applyProtection="1">
      <alignment vertical="center"/>
    </xf>
    <xf numFmtId="0" fontId="31" fillId="0" borderId="0" xfId="0" applyFont="1" applyFill="1" applyAlignment="1" applyProtection="1">
      <alignment horizontal="center" vertical="center"/>
    </xf>
    <xf numFmtId="0" fontId="14" fillId="0" borderId="0" xfId="0" applyFont="1" applyFill="1" applyAlignment="1" applyProtection="1">
      <alignment horizontal="left" indent="2"/>
    </xf>
    <xf numFmtId="0" fontId="27" fillId="0" borderId="0" xfId="0" applyFont="1" applyFill="1" applyAlignment="1" applyProtection="1">
      <alignment horizontal="center" vertical="center"/>
    </xf>
    <xf numFmtId="0" fontId="14" fillId="0" borderId="0" xfId="0" applyFont="1" applyFill="1" applyAlignment="1" applyProtection="1">
      <alignment vertical="center"/>
    </xf>
    <xf numFmtId="0" fontId="40" fillId="0" borderId="0" xfId="0" applyFont="1" applyFill="1" applyProtection="1"/>
    <xf numFmtId="0" fontId="21" fillId="0" borderId="0" xfId="0" applyFont="1" applyFill="1" applyBorder="1" applyAlignment="1" applyProtection="1"/>
    <xf numFmtId="0" fontId="15" fillId="0" borderId="0" xfId="0" applyFont="1" applyFill="1" applyAlignment="1" applyProtection="1">
      <alignment horizontal="left" vertical="center"/>
    </xf>
    <xf numFmtId="0" fontId="22" fillId="0" borderId="0" xfId="0" applyFont="1" applyAlignment="1" applyProtection="1">
      <alignment horizontal="center" vertical="center"/>
    </xf>
    <xf numFmtId="0" fontId="18" fillId="0" borderId="0" xfId="0" applyFont="1" applyFill="1" applyBorder="1" applyProtection="1"/>
    <xf numFmtId="0" fontId="0" fillId="0" borderId="0" xfId="0" applyBorder="1" applyProtection="1"/>
    <xf numFmtId="0" fontId="8" fillId="0" borderId="0" xfId="0" applyFont="1" applyAlignment="1" applyProtection="1">
      <alignment vertical="center"/>
    </xf>
    <xf numFmtId="164" fontId="13" fillId="0" borderId="0" xfId="1" applyNumberFormat="1" applyFont="1" applyFill="1" applyBorder="1" applyAlignment="1" applyProtection="1">
      <alignment vertical="center"/>
    </xf>
    <xf numFmtId="0" fontId="26" fillId="0" borderId="0" xfId="0" applyFont="1" applyFill="1" applyAlignment="1" applyProtection="1">
      <alignment horizontal="right"/>
    </xf>
    <xf numFmtId="0" fontId="4" fillId="0" borderId="0" xfId="0" applyFont="1" applyAlignment="1" applyProtection="1">
      <alignment horizontal="center"/>
    </xf>
    <xf numFmtId="0" fontId="27" fillId="0" borderId="0" xfId="0" applyFont="1" applyFill="1" applyAlignment="1" applyProtection="1">
      <alignment vertical="center"/>
    </xf>
    <xf numFmtId="0" fontId="21" fillId="0" borderId="0" xfId="0" applyFont="1" applyFill="1" applyBorder="1" applyAlignment="1" applyProtection="1">
      <alignment horizontal="right" vertical="center"/>
    </xf>
    <xf numFmtId="164" fontId="14" fillId="0" borderId="3" xfId="1" applyNumberFormat="1" applyFont="1" applyFill="1" applyBorder="1" applyAlignment="1" applyProtection="1">
      <alignment horizontal="center" vertical="center"/>
    </xf>
    <xf numFmtId="0" fontId="30" fillId="0" borderId="0" xfId="0" applyFont="1" applyFill="1" applyProtection="1"/>
    <xf numFmtId="0" fontId="6" fillId="0" borderId="0" xfId="0" applyFont="1" applyFill="1" applyProtection="1"/>
    <xf numFmtId="0" fontId="29" fillId="0" borderId="0" xfId="0" applyFont="1" applyFill="1" applyBorder="1" applyAlignment="1" applyProtection="1">
      <alignment horizontal="left" vertical="top"/>
    </xf>
    <xf numFmtId="0" fontId="22" fillId="0" borderId="0" xfId="0" applyFont="1" applyFill="1" applyBorder="1" applyProtection="1"/>
    <xf numFmtId="0" fontId="9" fillId="0" borderId="0" xfId="0" applyFont="1" applyFill="1" applyAlignment="1" applyProtection="1">
      <alignment horizontal="left" vertical="top"/>
    </xf>
    <xf numFmtId="0" fontId="9" fillId="0" borderId="0" xfId="0" applyFont="1" applyFill="1" applyAlignment="1" applyProtection="1">
      <alignment vertical="top"/>
    </xf>
    <xf numFmtId="0" fontId="15" fillId="0" borderId="0" xfId="0" applyFont="1" applyFill="1" applyAlignment="1" applyProtection="1">
      <alignment vertical="top"/>
    </xf>
    <xf numFmtId="0" fontId="15" fillId="0" borderId="0" xfId="0" applyFont="1" applyFill="1" applyBorder="1" applyAlignment="1" applyProtection="1">
      <alignment horizontal="right" vertical="top" wrapText="1"/>
    </xf>
    <xf numFmtId="0" fontId="22" fillId="0" borderId="0" xfId="0" applyFont="1" applyFill="1" applyAlignment="1" applyProtection="1">
      <alignment vertical="top"/>
    </xf>
    <xf numFmtId="0" fontId="5" fillId="0" borderId="0" xfId="0" applyFont="1" applyFill="1" applyBorder="1" applyAlignment="1" applyProtection="1">
      <alignment vertical="center" wrapText="1"/>
    </xf>
    <xf numFmtId="0" fontId="5" fillId="0" borderId="0" xfId="0" applyFont="1" applyAlignment="1" applyProtection="1">
      <alignment vertical="center"/>
    </xf>
    <xf numFmtId="0" fontId="36" fillId="0" borderId="0" xfId="0" applyFont="1" applyFill="1" applyAlignment="1" applyProtection="1">
      <alignment vertical="center"/>
    </xf>
    <xf numFmtId="0" fontId="17" fillId="0" borderId="0" xfId="0" applyFont="1" applyFill="1" applyBorder="1" applyAlignment="1" applyProtection="1">
      <alignment vertical="top"/>
    </xf>
    <xf numFmtId="0" fontId="17" fillId="0" borderId="0" xfId="0" applyFont="1" applyFill="1" applyBorder="1" applyAlignment="1" applyProtection="1">
      <alignment vertical="top" wrapText="1"/>
    </xf>
    <xf numFmtId="0" fontId="11" fillId="0" borderId="0" xfId="0" applyFont="1" applyFill="1" applyAlignment="1" applyProtection="1">
      <alignment horizontal="right" vertical="center"/>
    </xf>
    <xf numFmtId="0" fontId="5" fillId="0" borderId="0" xfId="0" applyFont="1" applyFill="1" applyBorder="1" applyAlignment="1" applyProtection="1">
      <alignment vertical="top"/>
    </xf>
    <xf numFmtId="0" fontId="17" fillId="0" borderId="13" xfId="0" applyFont="1" applyFill="1" applyBorder="1" applyAlignment="1" applyProtection="1">
      <alignment horizontal="left" vertical="center"/>
    </xf>
    <xf numFmtId="0" fontId="15" fillId="0" borderId="0" xfId="0" applyFont="1" applyFill="1" applyAlignment="1" applyProtection="1">
      <alignment horizontal="right" vertical="top"/>
    </xf>
    <xf numFmtId="0" fontId="8" fillId="0" borderId="0" xfId="0" applyFont="1" applyFill="1" applyAlignment="1" applyProtection="1">
      <alignment vertical="top" wrapText="1"/>
    </xf>
    <xf numFmtId="0" fontId="11" fillId="0" borderId="0" xfId="0" applyFont="1" applyFill="1" applyAlignment="1" applyProtection="1">
      <alignment horizontal="right" vertical="top"/>
    </xf>
    <xf numFmtId="0" fontId="8" fillId="0" borderId="0" xfId="0" applyFont="1" applyFill="1" applyProtection="1"/>
    <xf numFmtId="0" fontId="8" fillId="0" borderId="0" xfId="0" applyFont="1" applyFill="1" applyAlignment="1" applyProtection="1">
      <alignment horizontal="left" vertical="center"/>
    </xf>
    <xf numFmtId="0" fontId="13" fillId="0" borderId="0" xfId="0" applyFont="1" applyFill="1" applyBorder="1" applyAlignment="1" applyProtection="1">
      <alignment horizontal="left" vertical="top" wrapText="1"/>
    </xf>
    <xf numFmtId="0" fontId="4" fillId="0" borderId="0" xfId="0" applyFont="1" applyFill="1" applyProtection="1"/>
    <xf numFmtId="0" fontId="8" fillId="0" borderId="0" xfId="0" applyFont="1" applyFill="1" applyAlignment="1" applyProtection="1">
      <alignment horizontal="right" vertical="top"/>
    </xf>
    <xf numFmtId="0" fontId="0" fillId="0" borderId="0" xfId="0" applyAlignment="1" applyProtection="1">
      <alignment vertical="center" wrapText="1"/>
    </xf>
    <xf numFmtId="0" fontId="9" fillId="0" borderId="0" xfId="0" applyFont="1" applyAlignment="1" applyProtection="1">
      <alignment horizontal="center" vertical="center"/>
    </xf>
    <xf numFmtId="0" fontId="28" fillId="0" borderId="0" xfId="0" applyFont="1" applyFill="1" applyBorder="1" applyProtection="1"/>
    <xf numFmtId="0" fontId="21" fillId="0" borderId="0" xfId="0" quotePrefix="1" applyFont="1" applyFill="1" applyAlignment="1" applyProtection="1">
      <alignment vertical="center"/>
    </xf>
    <xf numFmtId="0" fontId="21" fillId="0" borderId="0" xfId="0" quotePrefix="1" applyFont="1" applyFill="1" applyBorder="1" applyAlignment="1" applyProtection="1">
      <alignment horizontal="left" vertical="center"/>
    </xf>
    <xf numFmtId="0" fontId="26" fillId="0" borderId="0" xfId="0" applyFont="1" applyFill="1" applyAlignment="1" applyProtection="1">
      <alignment vertical="center"/>
    </xf>
    <xf numFmtId="0" fontId="39" fillId="0" borderId="0" xfId="0" applyFont="1" applyFill="1" applyAlignment="1" applyProtection="1">
      <alignment vertical="center"/>
    </xf>
    <xf numFmtId="38" fontId="39" fillId="0" borderId="0" xfId="0" applyNumberFormat="1" applyFont="1" applyFill="1" applyAlignment="1" applyProtection="1">
      <alignment horizontal="center" vertical="center"/>
    </xf>
    <xf numFmtId="0" fontId="37" fillId="0" borderId="0" xfId="0" applyFont="1" applyFill="1" applyAlignment="1" applyProtection="1">
      <alignment vertical="center" wrapText="1"/>
    </xf>
    <xf numFmtId="0" fontId="4" fillId="0" borderId="0" xfId="0" applyFont="1" applyProtection="1"/>
    <xf numFmtId="0" fontId="0" fillId="0" borderId="0" xfId="0" applyAlignment="1" applyProtection="1">
      <alignment wrapText="1"/>
    </xf>
    <xf numFmtId="0" fontId="5" fillId="0" borderId="0" xfId="0" applyFont="1" applyFill="1" applyAlignment="1" applyProtection="1">
      <alignment horizontal="right" vertical="top"/>
    </xf>
    <xf numFmtId="0" fontId="30" fillId="0" borderId="0" xfId="0" applyFont="1" applyFill="1" applyBorder="1" applyAlignment="1" applyProtection="1">
      <alignment vertical="center"/>
    </xf>
    <xf numFmtId="0" fontId="13" fillId="0" borderId="0" xfId="0" quotePrefix="1" applyFont="1" applyAlignment="1" applyProtection="1">
      <alignment horizontal="left" vertical="center"/>
    </xf>
    <xf numFmtId="0" fontId="13" fillId="0" borderId="0" xfId="0" applyFont="1" applyProtection="1"/>
    <xf numFmtId="0" fontId="11" fillId="0" borderId="0" xfId="0" applyFont="1" applyFill="1" applyAlignment="1" applyProtection="1">
      <alignment vertical="center"/>
    </xf>
    <xf numFmtId="0" fontId="42" fillId="0" borderId="0" xfId="0" applyFont="1" applyAlignment="1" applyProtection="1"/>
    <xf numFmtId="0" fontId="44" fillId="0" borderId="0" xfId="0" applyFont="1" applyFill="1" applyBorder="1" applyAlignment="1" applyProtection="1">
      <alignment horizontal="center"/>
    </xf>
    <xf numFmtId="0" fontId="46" fillId="0" borderId="0" xfId="0" applyFont="1" applyAlignment="1" applyProtection="1">
      <alignment vertical="center"/>
    </xf>
    <xf numFmtId="0" fontId="47" fillId="0" borderId="0" xfId="0" applyFont="1" applyFill="1" applyBorder="1" applyAlignment="1" applyProtection="1">
      <alignment horizontal="center" vertical="center"/>
    </xf>
    <xf numFmtId="0" fontId="43" fillId="0" borderId="0" xfId="0" applyFont="1" applyAlignment="1" applyProtection="1">
      <alignment vertical="center"/>
    </xf>
    <xf numFmtId="0" fontId="48" fillId="0" borderId="0" xfId="0" applyFont="1" applyAlignment="1" applyProtection="1">
      <alignment horizontal="center" vertical="center"/>
    </xf>
    <xf numFmtId="0" fontId="43" fillId="0" borderId="0" xfId="0" applyFont="1" applyFill="1" applyAlignment="1" applyProtection="1">
      <alignment vertical="center"/>
    </xf>
    <xf numFmtId="0" fontId="9" fillId="0" borderId="12" xfId="0" applyFont="1" applyFill="1" applyBorder="1" applyAlignment="1" applyProtection="1">
      <alignment horizontal="center" vertical="center"/>
    </xf>
    <xf numFmtId="0" fontId="5" fillId="0" borderId="0" xfId="0" quotePrefix="1" applyFont="1" applyFill="1" applyAlignment="1" applyProtection="1">
      <alignment horizontal="right" vertical="center"/>
    </xf>
    <xf numFmtId="0" fontId="4" fillId="0" borderId="0" xfId="0" applyFont="1" applyFill="1" applyAlignment="1" applyProtection="1">
      <alignment horizontal="right" vertical="center"/>
    </xf>
    <xf numFmtId="0" fontId="0" fillId="0" borderId="0" xfId="0" applyAlignment="1" applyProtection="1">
      <alignment horizontal="right"/>
    </xf>
    <xf numFmtId="0" fontId="11" fillId="0" borderId="0" xfId="0" applyFont="1" applyAlignment="1" applyProtection="1">
      <alignment vertical="center"/>
    </xf>
    <xf numFmtId="0" fontId="11" fillId="0" borderId="0" xfId="0" applyFont="1" applyFill="1" applyBorder="1" applyAlignment="1" applyProtection="1">
      <alignment horizontal="right" vertical="center"/>
    </xf>
    <xf numFmtId="0" fontId="11" fillId="0" borderId="0" xfId="0" applyFont="1" applyFill="1" applyAlignment="1" applyProtection="1">
      <alignment horizontal="left" vertical="center"/>
    </xf>
    <xf numFmtId="0" fontId="15" fillId="0" borderId="0" xfId="0" applyFont="1" applyFill="1" applyBorder="1" applyAlignment="1" applyProtection="1">
      <alignment horizontal="left" vertical="center"/>
    </xf>
    <xf numFmtId="0" fontId="0" fillId="0" borderId="0" xfId="0" applyFill="1" applyProtection="1"/>
    <xf numFmtId="176" fontId="13" fillId="0" borderId="0" xfId="0" applyNumberFormat="1" applyFont="1" applyAlignment="1" applyProtection="1">
      <alignment horizontal="center"/>
    </xf>
    <xf numFmtId="0" fontId="0" fillId="0" borderId="19" xfId="0" applyBorder="1" applyAlignment="1" applyProtection="1">
      <alignment horizontal="center"/>
    </xf>
    <xf numFmtId="176" fontId="13" fillId="0" borderId="19" xfId="0" applyNumberFormat="1" applyFont="1" applyBorder="1" applyAlignment="1" applyProtection="1">
      <alignment horizontal="center"/>
    </xf>
    <xf numFmtId="0" fontId="0" fillId="0" borderId="0" xfId="0" applyFill="1" applyBorder="1" applyAlignment="1" applyProtection="1">
      <alignment horizontal="center"/>
    </xf>
    <xf numFmtId="176" fontId="13" fillId="0" borderId="0" xfId="0" applyNumberFormat="1" applyFont="1" applyBorder="1" applyAlignment="1" applyProtection="1">
      <alignment horizontal="center"/>
    </xf>
    <xf numFmtId="8" fontId="13" fillId="0" borderId="0" xfId="0" applyNumberFormat="1" applyFont="1" applyBorder="1" applyAlignment="1" applyProtection="1">
      <alignment horizontal="center"/>
    </xf>
    <xf numFmtId="0" fontId="0" fillId="0" borderId="20" xfId="0" applyFill="1" applyBorder="1" applyAlignment="1" applyProtection="1">
      <alignment horizontal="center"/>
    </xf>
    <xf numFmtId="176" fontId="13"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6" fillId="0" borderId="0" xfId="0" applyFont="1" applyFill="1" applyAlignment="1" applyProtection="1">
      <alignment horizontal="center"/>
    </xf>
    <xf numFmtId="0" fontId="53" fillId="0" borderId="0" xfId="0" applyFont="1" applyAlignment="1" applyProtection="1">
      <alignment horizontal="center"/>
    </xf>
    <xf numFmtId="0" fontId="53"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9" fillId="0" borderId="0" xfId="0" applyFont="1" applyBorder="1" applyAlignment="1" applyProtection="1">
      <alignment wrapText="1"/>
    </xf>
    <xf numFmtId="8" fontId="13" fillId="0" borderId="0" xfId="0" applyNumberFormat="1" applyFont="1" applyAlignment="1" applyProtection="1">
      <alignment horizontal="center"/>
    </xf>
    <xf numFmtId="170" fontId="9" fillId="0" borderId="13" xfId="0" applyNumberFormat="1" applyFont="1" applyBorder="1" applyAlignment="1" applyProtection="1">
      <alignment horizontal="center" vertical="center"/>
    </xf>
    <xf numFmtId="0" fontId="9" fillId="0" borderId="13" xfId="0" applyFont="1" applyBorder="1" applyAlignment="1" applyProtection="1">
      <alignment horizontal="center" vertical="center" wrapText="1"/>
    </xf>
    <xf numFmtId="8" fontId="13" fillId="0" borderId="20" xfId="0" applyNumberFormat="1" applyFont="1" applyBorder="1" applyAlignment="1" applyProtection="1">
      <alignment horizontal="center"/>
    </xf>
    <xf numFmtId="8" fontId="13"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3" fillId="0" borderId="0" xfId="0" applyNumberFormat="1" applyFont="1" applyFill="1" applyAlignment="1" applyProtection="1">
      <alignment horizontal="center"/>
    </xf>
    <xf numFmtId="0" fontId="15" fillId="0" borderId="0" xfId="0" applyFont="1" applyFill="1" applyBorder="1" applyAlignment="1" applyProtection="1">
      <alignment vertical="center"/>
    </xf>
    <xf numFmtId="0" fontId="20" fillId="0" borderId="0" xfId="0" applyFont="1" applyAlignment="1" applyProtection="1">
      <alignment vertical="center"/>
    </xf>
    <xf numFmtId="0" fontId="5" fillId="0" borderId="0" xfId="0" applyFont="1" applyFill="1" applyBorder="1" applyAlignment="1" applyProtection="1">
      <alignment horizontal="right" vertical="top"/>
    </xf>
    <xf numFmtId="0" fontId="9"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3" fillId="0" borderId="0" xfId="0" applyNumberFormat="1" applyFont="1" applyAlignment="1" applyProtection="1">
      <alignment horizontal="center"/>
    </xf>
    <xf numFmtId="0" fontId="13" fillId="0" borderId="14" xfId="0" applyFont="1" applyFill="1" applyBorder="1" applyProtection="1"/>
    <xf numFmtId="0" fontId="0" fillId="0" borderId="7" xfId="0" applyBorder="1" applyAlignment="1" applyProtection="1">
      <alignment horizontal="center"/>
    </xf>
    <xf numFmtId="0" fontId="26" fillId="0" borderId="0" xfId="0" applyFont="1" applyFill="1" applyAlignment="1" applyProtection="1"/>
    <xf numFmtId="166" fontId="0" fillId="0" borderId="0" xfId="0" applyNumberFormat="1" applyAlignment="1" applyProtection="1">
      <alignment horizontal="center"/>
    </xf>
    <xf numFmtId="0" fontId="27" fillId="0" borderId="0" xfId="0" applyFont="1" applyAlignment="1" applyProtection="1">
      <alignment vertical="center" wrapText="1"/>
    </xf>
    <xf numFmtId="8" fontId="0" fillId="0" borderId="0" xfId="0" applyNumberFormat="1" applyFill="1" applyProtection="1"/>
    <xf numFmtId="8" fontId="13" fillId="0" borderId="0" xfId="0" applyNumberFormat="1" applyFont="1" applyAlignment="1" applyProtection="1"/>
    <xf numFmtId="170" fontId="9" fillId="0" borderId="0" xfId="0" applyNumberFormat="1" applyFont="1" applyAlignment="1" applyProtection="1">
      <alignment horizontal="center"/>
    </xf>
    <xf numFmtId="170" fontId="9" fillId="0" borderId="7" xfId="0" applyNumberFormat="1" applyFont="1" applyBorder="1" applyAlignment="1" applyProtection="1">
      <alignment horizontal="center"/>
    </xf>
    <xf numFmtId="0" fontId="20" fillId="0" borderId="0" xfId="0" applyFont="1" applyAlignment="1" applyProtection="1">
      <alignment horizontal="center"/>
    </xf>
    <xf numFmtId="0" fontId="20" fillId="0" borderId="7" xfId="0" applyFont="1" applyBorder="1" applyAlignment="1" applyProtection="1">
      <alignment horizontal="center"/>
    </xf>
    <xf numFmtId="0" fontId="20" fillId="0" borderId="19" xfId="0" applyFont="1" applyBorder="1" applyAlignment="1" applyProtection="1">
      <alignment horizontal="center"/>
    </xf>
    <xf numFmtId="0" fontId="20" fillId="0" borderId="26" xfId="0" applyFont="1" applyBorder="1" applyAlignment="1" applyProtection="1">
      <alignment horizontal="center"/>
    </xf>
    <xf numFmtId="0" fontId="20" fillId="0" borderId="0" xfId="0" applyFont="1" applyFill="1" applyBorder="1" applyAlignment="1" applyProtection="1">
      <alignment horizontal="center"/>
    </xf>
    <xf numFmtId="0" fontId="20" fillId="0" borderId="20" xfId="0" applyFont="1" applyFill="1" applyBorder="1" applyAlignment="1" applyProtection="1">
      <alignment horizontal="center"/>
    </xf>
    <xf numFmtId="0" fontId="20" fillId="0" borderId="27" xfId="0" applyFont="1" applyBorder="1" applyAlignment="1" applyProtection="1">
      <alignment horizontal="center"/>
    </xf>
    <xf numFmtId="0" fontId="20" fillId="0" borderId="0" xfId="0" applyFont="1" applyFill="1" applyAlignment="1" applyProtection="1">
      <alignment horizontal="center"/>
    </xf>
    <xf numFmtId="0" fontId="20" fillId="0" borderId="19" xfId="0" applyFont="1" applyFill="1" applyBorder="1" applyAlignment="1" applyProtection="1">
      <alignment horizontal="center"/>
    </xf>
    <xf numFmtId="0" fontId="26" fillId="0" borderId="0" xfId="0" applyFont="1" applyAlignment="1" applyProtection="1"/>
    <xf numFmtId="0" fontId="53"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9" fillId="0" borderId="0" xfId="0" applyFont="1" applyProtection="1"/>
    <xf numFmtId="0" fontId="9" fillId="0" borderId="13" xfId="0" applyFont="1" applyFill="1" applyBorder="1" applyAlignment="1" applyProtection="1">
      <alignment horizontal="center"/>
    </xf>
    <xf numFmtId="0" fontId="9" fillId="0" borderId="13" xfId="0" applyFont="1" applyBorder="1" applyAlignment="1" applyProtection="1">
      <alignment horizontal="center"/>
    </xf>
    <xf numFmtId="0" fontId="13" fillId="0" borderId="22" xfId="0" applyFont="1" applyFill="1" applyBorder="1" applyProtection="1"/>
    <xf numFmtId="0" fontId="13" fillId="0" borderId="32" xfId="0" applyFont="1" applyFill="1" applyBorder="1" applyProtection="1"/>
    <xf numFmtId="0" fontId="0" fillId="0" borderId="33" xfId="0" applyBorder="1" applyProtection="1"/>
    <xf numFmtId="0" fontId="29" fillId="0" borderId="0" xfId="0" applyFont="1" applyProtection="1"/>
    <xf numFmtId="8" fontId="20" fillId="0" borderId="0" xfId="0" applyNumberFormat="1" applyFont="1" applyAlignment="1" applyProtection="1">
      <alignment horizontal="center"/>
    </xf>
    <xf numFmtId="8" fontId="20" fillId="0" borderId="0" xfId="0" applyNumberFormat="1" applyFont="1" applyFill="1" applyAlignment="1" applyProtection="1">
      <alignment horizontal="center"/>
    </xf>
    <xf numFmtId="8" fontId="20" fillId="0" borderId="20" xfId="0" applyNumberFormat="1" applyFont="1" applyBorder="1" applyAlignment="1" applyProtection="1">
      <alignment horizontal="center"/>
    </xf>
    <xf numFmtId="8" fontId="20" fillId="0" borderId="19" xfId="0" applyNumberFormat="1" applyFont="1" applyBorder="1" applyAlignment="1" applyProtection="1">
      <alignment horizontal="center"/>
    </xf>
    <xf numFmtId="8" fontId="20" fillId="0" borderId="0" xfId="0" applyNumberFormat="1" applyFont="1" applyBorder="1" applyAlignment="1" applyProtection="1">
      <alignment horizontal="center"/>
    </xf>
    <xf numFmtId="176" fontId="0" fillId="5" borderId="3" xfId="0" applyNumberFormat="1" applyFill="1" applyBorder="1" applyAlignment="1" applyProtection="1">
      <alignment horizontal="center" vertical="center"/>
      <protection locked="0"/>
    </xf>
    <xf numFmtId="8" fontId="34" fillId="0" borderId="0" xfId="0" applyNumberFormat="1" applyFont="1" applyAlignment="1" applyProtection="1">
      <alignment vertical="center"/>
    </xf>
    <xf numFmtId="8" fontId="34"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3" fillId="0" borderId="0" xfId="1" applyNumberFormat="1" applyFont="1" applyFill="1" applyBorder="1" applyAlignment="1" applyProtection="1">
      <alignment horizontal="right"/>
    </xf>
    <xf numFmtId="39" fontId="13" fillId="0" borderId="14" xfId="1" applyNumberFormat="1" applyFont="1" applyFill="1" applyBorder="1" applyAlignment="1" applyProtection="1">
      <alignment horizontal="right"/>
    </xf>
    <xf numFmtId="0" fontId="42" fillId="0" borderId="0" xfId="0" applyFont="1" applyFill="1" applyAlignment="1" applyProtection="1">
      <alignment vertical="center"/>
    </xf>
    <xf numFmtId="0" fontId="42" fillId="0" borderId="0" xfId="0" applyFont="1" applyFill="1" applyBorder="1" applyAlignment="1" applyProtection="1">
      <alignment horizontal="left" vertical="center"/>
    </xf>
    <xf numFmtId="0" fontId="46" fillId="0" borderId="0" xfId="0" applyFont="1" applyProtection="1"/>
    <xf numFmtId="0" fontId="48" fillId="0" borderId="0" xfId="0" applyFont="1" applyAlignment="1" applyProtection="1">
      <alignment vertical="center"/>
    </xf>
    <xf numFmtId="0" fontId="48" fillId="0" borderId="0" xfId="0" applyFont="1" applyAlignment="1" applyProtection="1">
      <alignment horizontal="right" vertical="center"/>
    </xf>
    <xf numFmtId="0" fontId="48" fillId="0" borderId="0" xfId="0" applyFont="1" applyAlignment="1" applyProtection="1">
      <alignment horizontal="left" vertical="center"/>
    </xf>
    <xf numFmtId="0" fontId="48" fillId="0" borderId="0" xfId="0" applyFont="1" applyProtection="1"/>
    <xf numFmtId="0" fontId="49" fillId="0" borderId="0" xfId="0" applyFont="1" applyAlignment="1" applyProtection="1">
      <alignment vertical="center"/>
    </xf>
    <xf numFmtId="0" fontId="43" fillId="0" borderId="0" xfId="0" applyFont="1" applyAlignment="1" applyProtection="1">
      <alignment vertical="center" wrapText="1"/>
    </xf>
    <xf numFmtId="0" fontId="43" fillId="0" borderId="0" xfId="0" applyFont="1" applyAlignment="1" applyProtection="1">
      <alignment horizontal="center" vertical="center"/>
    </xf>
    <xf numFmtId="3" fontId="43" fillId="0" borderId="0" xfId="10" applyNumberFormat="1" applyFont="1" applyBorder="1" applyAlignment="1" applyProtection="1">
      <alignment horizontal="center" vertical="center"/>
    </xf>
    <xf numFmtId="38" fontId="50" fillId="0" borderId="0" xfId="0" applyNumberFormat="1" applyFont="1" applyBorder="1" applyAlignment="1" applyProtection="1">
      <alignment horizontal="center" vertical="center"/>
    </xf>
    <xf numFmtId="38" fontId="43" fillId="0" borderId="0" xfId="0" applyNumberFormat="1" applyFont="1" applyBorder="1" applyAlignment="1" applyProtection="1">
      <alignment horizontal="center" vertical="center"/>
    </xf>
    <xf numFmtId="0" fontId="43" fillId="0" borderId="3" xfId="0" applyFont="1" applyBorder="1" applyAlignment="1" applyProtection="1">
      <alignment horizontal="center" vertical="center"/>
    </xf>
    <xf numFmtId="0" fontId="43" fillId="0" borderId="0" xfId="0" applyFont="1" applyProtection="1"/>
    <xf numFmtId="0" fontId="43" fillId="0" borderId="3" xfId="0" applyNumberFormat="1" applyFont="1" applyBorder="1" applyAlignment="1" applyProtection="1">
      <alignment horizontal="center" vertical="center"/>
    </xf>
    <xf numFmtId="0" fontId="51" fillId="0" borderId="0" xfId="0" applyFont="1" applyBorder="1" applyAlignment="1" applyProtection="1">
      <alignment vertical="center"/>
    </xf>
    <xf numFmtId="0" fontId="51" fillId="0" borderId="3" xfId="0" applyFont="1" applyBorder="1" applyAlignment="1" applyProtection="1">
      <alignment horizontal="center" vertical="top" wrapText="1"/>
    </xf>
    <xf numFmtId="0" fontId="51" fillId="0" borderId="0" xfId="0" applyFont="1" applyBorder="1" applyAlignment="1" applyProtection="1">
      <alignment vertical="top" wrapText="1"/>
    </xf>
    <xf numFmtId="0" fontId="42" fillId="0" borderId="0" xfId="0" applyFont="1" applyFill="1" applyAlignment="1" applyProtection="1">
      <alignment horizontal="left" vertical="center"/>
    </xf>
    <xf numFmtId="0" fontId="30" fillId="0" borderId="0" xfId="0" applyFont="1" applyFill="1" applyAlignment="1" applyProtection="1">
      <alignment vertical="center"/>
    </xf>
    <xf numFmtId="3" fontId="30" fillId="0" borderId="0" xfId="0" applyNumberFormat="1" applyFont="1" applyFill="1" applyAlignment="1" applyProtection="1">
      <alignment horizontal="center"/>
    </xf>
    <xf numFmtId="0" fontId="43" fillId="0" borderId="0" xfId="0" applyFont="1" applyAlignment="1" applyProtection="1">
      <alignment horizontal="left" vertical="center"/>
    </xf>
    <xf numFmtId="0" fontId="43" fillId="0" borderId="0" xfId="0" applyFont="1" applyFill="1" applyBorder="1" applyAlignment="1" applyProtection="1">
      <alignment horizontal="center" vertical="center"/>
    </xf>
    <xf numFmtId="0" fontId="46" fillId="0" borderId="0" xfId="0" applyFont="1" applyFill="1" applyAlignment="1" applyProtection="1">
      <alignment vertical="center"/>
    </xf>
    <xf numFmtId="0" fontId="54" fillId="5" borderId="3" xfId="0" applyFont="1" applyFill="1" applyBorder="1" applyAlignment="1" applyProtection="1">
      <alignment horizontal="center" vertical="center"/>
    </xf>
    <xf numFmtId="0" fontId="54" fillId="0" borderId="0" xfId="0" applyFont="1" applyFill="1" applyAlignment="1" applyProtection="1">
      <alignment vertical="center"/>
    </xf>
    <xf numFmtId="0" fontId="54" fillId="6" borderId="3" xfId="0" applyFont="1" applyFill="1" applyBorder="1" applyAlignment="1" applyProtection="1">
      <alignment horizontal="center" vertical="center"/>
    </xf>
    <xf numFmtId="0" fontId="46" fillId="0" borderId="0" xfId="0" applyFont="1" applyFill="1" applyAlignment="1" applyProtection="1">
      <alignment horizontal="centerContinuous" vertical="center"/>
    </xf>
    <xf numFmtId="0" fontId="54" fillId="0" borderId="0" xfId="0" applyFont="1" applyFill="1" applyAlignment="1" applyProtection="1">
      <alignment horizontal="left" vertical="center"/>
    </xf>
    <xf numFmtId="0" fontId="46" fillId="0" borderId="0" xfId="0" applyFont="1" applyFill="1" applyBorder="1" applyAlignment="1" applyProtection="1">
      <alignment horizontal="right" vertical="center"/>
    </xf>
    <xf numFmtId="0" fontId="46" fillId="0" borderId="0" xfId="0" applyFont="1" applyFill="1" applyBorder="1" applyAlignment="1" applyProtection="1">
      <alignment horizontal="centerContinuous" vertical="center"/>
    </xf>
    <xf numFmtId="0" fontId="46" fillId="0" borderId="0" xfId="0" applyFont="1" applyFill="1" applyBorder="1" applyProtection="1"/>
    <xf numFmtId="0" fontId="46" fillId="0" borderId="0" xfId="0" applyNumberFormat="1" applyFont="1" applyFill="1" applyBorder="1" applyAlignment="1" applyProtection="1">
      <alignment horizontal="center" vertical="center"/>
    </xf>
    <xf numFmtId="0" fontId="54" fillId="0" borderId="0" xfId="0" applyFont="1" applyFill="1" applyBorder="1" applyAlignment="1" applyProtection="1">
      <alignment vertical="center"/>
    </xf>
    <xf numFmtId="0" fontId="54" fillId="0" borderId="0" xfId="0" applyFont="1" applyFill="1" applyAlignment="1" applyProtection="1">
      <alignment horizontal="right" vertical="center"/>
    </xf>
    <xf numFmtId="0" fontId="46" fillId="0" borderId="0" xfId="0" applyFont="1" applyFill="1" applyAlignment="1" applyProtection="1">
      <alignment horizontal="right" vertical="center"/>
    </xf>
    <xf numFmtId="0" fontId="46" fillId="0" borderId="0" xfId="0" quotePrefix="1" applyFont="1" applyFill="1" applyBorder="1" applyAlignment="1" applyProtection="1">
      <alignment horizontal="center" vertical="center"/>
    </xf>
    <xf numFmtId="0" fontId="46" fillId="0" borderId="0" xfId="0" applyNumberFormat="1" applyFont="1" applyFill="1" applyBorder="1" applyAlignment="1" applyProtection="1">
      <alignment horizontal="left" vertical="center"/>
    </xf>
    <xf numFmtId="0" fontId="54" fillId="0" borderId="0" xfId="0" applyFont="1" applyFill="1" applyBorder="1" applyAlignment="1" applyProtection="1">
      <alignment horizontal="center"/>
    </xf>
    <xf numFmtId="0" fontId="46" fillId="0" borderId="0" xfId="0" applyFont="1" applyFill="1" applyBorder="1" applyAlignment="1" applyProtection="1">
      <alignment horizontal="center"/>
    </xf>
    <xf numFmtId="0" fontId="52" fillId="0" borderId="0" xfId="0" applyFont="1" applyFill="1" applyAlignment="1" applyProtection="1">
      <alignment vertical="center"/>
    </xf>
    <xf numFmtId="0" fontId="46" fillId="0" borderId="0" xfId="0" applyFont="1" applyFill="1" applyProtection="1"/>
    <xf numFmtId="1" fontId="46" fillId="0" borderId="3" xfId="1" applyNumberFormat="1" applyFont="1" applyFill="1" applyBorder="1" applyAlignment="1" applyProtection="1">
      <alignment horizontal="center" vertical="center"/>
    </xf>
    <xf numFmtId="0" fontId="46" fillId="0" borderId="0" xfId="1" applyNumberFormat="1" applyFont="1" applyFill="1" applyBorder="1" applyAlignment="1" applyProtection="1">
      <alignment horizontal="left" vertical="center"/>
    </xf>
    <xf numFmtId="0" fontId="54" fillId="0" borderId="0" xfId="0" applyFont="1" applyFill="1" applyBorder="1" applyProtection="1"/>
    <xf numFmtId="3" fontId="46" fillId="0" borderId="3" xfId="1" applyNumberFormat="1" applyFont="1" applyFill="1" applyBorder="1" applyAlignment="1" applyProtection="1">
      <alignment horizontal="center" vertical="center"/>
    </xf>
    <xf numFmtId="0" fontId="46" fillId="0" borderId="0" xfId="0" applyFont="1" applyFill="1" applyBorder="1" applyAlignment="1" applyProtection="1"/>
    <xf numFmtId="0" fontId="54" fillId="0" borderId="0" xfId="0" applyFont="1" applyFill="1" applyBorder="1" applyAlignment="1" applyProtection="1"/>
    <xf numFmtId="0" fontId="46" fillId="0" borderId="0" xfId="0" applyFont="1" applyFill="1" applyBorder="1" applyAlignment="1" applyProtection="1">
      <alignment horizontal="right"/>
    </xf>
    <xf numFmtId="0" fontId="54" fillId="0" borderId="0" xfId="0" applyFont="1" applyFill="1" applyProtection="1"/>
    <xf numFmtId="166" fontId="54" fillId="0" borderId="0" xfId="10" applyNumberFormat="1" applyFont="1" applyFill="1" applyBorder="1" applyAlignment="1" applyProtection="1">
      <alignment horizontal="center" vertical="center"/>
    </xf>
    <xf numFmtId="0" fontId="46" fillId="0" borderId="5" xfId="0" applyFont="1" applyFill="1" applyBorder="1" applyAlignment="1" applyProtection="1">
      <alignment horizontal="center" vertical="center"/>
    </xf>
    <xf numFmtId="0" fontId="46" fillId="0" borderId="0" xfId="0" applyFont="1" applyAlignment="1" applyProtection="1">
      <alignment wrapText="1"/>
    </xf>
    <xf numFmtId="0" fontId="46" fillId="0" borderId="0" xfId="0" applyFont="1" applyAlignment="1" applyProtection="1">
      <alignment horizontal="left" wrapText="1"/>
    </xf>
    <xf numFmtId="0" fontId="46" fillId="0" borderId="0" xfId="0" applyFont="1" applyFill="1" applyBorder="1" applyAlignment="1" applyProtection="1">
      <alignment vertical="top"/>
    </xf>
    <xf numFmtId="0" fontId="46" fillId="0" borderId="11" xfId="0" applyFont="1" applyFill="1" applyBorder="1" applyAlignment="1" applyProtection="1">
      <alignment horizontal="left" vertical="center"/>
    </xf>
    <xf numFmtId="167" fontId="46" fillId="0" borderId="0" xfId="0" applyNumberFormat="1" applyFont="1" applyFill="1" applyBorder="1" applyAlignment="1" applyProtection="1">
      <alignment horizontal="center" vertical="center"/>
    </xf>
    <xf numFmtId="0" fontId="46" fillId="0" borderId="0" xfId="0" quotePrefix="1" applyFont="1" applyFill="1" applyBorder="1" applyAlignment="1" applyProtection="1">
      <alignment horizontal="left" vertical="center"/>
    </xf>
    <xf numFmtId="0" fontId="45" fillId="0" borderId="0" xfId="0" applyFont="1" applyFill="1" applyBorder="1" applyAlignment="1" applyProtection="1">
      <alignment vertical="center"/>
    </xf>
    <xf numFmtId="0" fontId="54" fillId="0" borderId="0" xfId="0" applyFont="1" applyFill="1" applyAlignment="1" applyProtection="1"/>
    <xf numFmtId="0" fontId="54" fillId="0" borderId="0" xfId="0" quotePrefix="1" applyFont="1" applyFill="1" applyAlignment="1" applyProtection="1">
      <alignment horizontal="center" vertical="center"/>
    </xf>
    <xf numFmtId="0" fontId="54" fillId="0" borderId="0" xfId="0" applyFont="1" applyFill="1" applyAlignment="1" applyProtection="1">
      <alignment horizontal="right"/>
    </xf>
    <xf numFmtId="0" fontId="54" fillId="0" borderId="0" xfId="0" quotePrefix="1" applyFont="1" applyFill="1" applyAlignment="1" applyProtection="1"/>
    <xf numFmtId="0" fontId="54" fillId="0" borderId="0" xfId="0" quotePrefix="1" applyFont="1" applyFill="1" applyAlignment="1" applyProtection="1">
      <alignment horizontal="right"/>
    </xf>
    <xf numFmtId="0" fontId="54" fillId="0" borderId="0" xfId="0" quotePrefix="1" applyFont="1" applyFill="1" applyBorder="1" applyAlignment="1" applyProtection="1">
      <alignment horizontal="center" vertical="center"/>
    </xf>
    <xf numFmtId="0" fontId="42" fillId="0" borderId="0" xfId="0" applyFont="1" applyFill="1" applyProtection="1"/>
    <xf numFmtId="0" fontId="45" fillId="0" borderId="0" xfId="0" applyFont="1" applyFill="1" applyAlignment="1" applyProtection="1">
      <alignment vertical="center"/>
    </xf>
    <xf numFmtId="0" fontId="45" fillId="0" borderId="0" xfId="0" applyFont="1" applyFill="1" applyAlignment="1" applyProtection="1">
      <alignment horizontal="center" vertical="center"/>
    </xf>
    <xf numFmtId="0" fontId="45" fillId="0" borderId="0" xfId="0" applyFont="1" applyFill="1" applyAlignment="1" applyProtection="1"/>
    <xf numFmtId="0" fontId="45" fillId="0" borderId="0" xfId="0" applyFont="1" applyFill="1" applyAlignment="1" applyProtection="1">
      <alignment horizontal="left" vertical="center"/>
    </xf>
    <xf numFmtId="0" fontId="45" fillId="0" borderId="0" xfId="0" quotePrefix="1" applyFont="1" applyFill="1" applyAlignment="1" applyProtection="1">
      <alignment horizontal="center" vertical="center"/>
    </xf>
    <xf numFmtId="164" fontId="46" fillId="0" borderId="0" xfId="1" applyNumberFormat="1" applyFont="1" applyFill="1" applyAlignment="1" applyProtection="1">
      <alignment vertical="center"/>
    </xf>
    <xf numFmtId="0" fontId="62" fillId="0" borderId="0" xfId="0" applyFont="1" applyFill="1" applyAlignment="1" applyProtection="1">
      <alignment horizontal="right" vertical="center"/>
    </xf>
    <xf numFmtId="164" fontId="54" fillId="0" borderId="0" xfId="1" applyNumberFormat="1" applyFont="1" applyFill="1" applyAlignment="1" applyProtection="1">
      <alignment horizontal="center" vertical="center"/>
    </xf>
    <xf numFmtId="164" fontId="46" fillId="0" borderId="0" xfId="1" applyNumberFormat="1" applyFont="1" applyFill="1" applyAlignment="1" applyProtection="1">
      <alignment horizontal="center" vertical="center"/>
    </xf>
    <xf numFmtId="164" fontId="62" fillId="0" borderId="0" xfId="1" applyNumberFormat="1" applyFont="1" applyFill="1" applyBorder="1" applyAlignment="1" applyProtection="1">
      <alignment horizontal="right" vertical="center"/>
    </xf>
    <xf numFmtId="10" fontId="46" fillId="0" borderId="0" xfId="0" applyNumberFormat="1" applyFont="1" applyFill="1" applyAlignment="1" applyProtection="1">
      <alignment horizontal="center"/>
    </xf>
    <xf numFmtId="164" fontId="46" fillId="0" borderId="0" xfId="1" applyNumberFormat="1" applyFont="1" applyFill="1" applyAlignment="1" applyProtection="1">
      <alignment horizontal="center"/>
    </xf>
    <xf numFmtId="0" fontId="46" fillId="0" borderId="0" xfId="0" applyFont="1" applyFill="1" applyAlignment="1" applyProtection="1">
      <alignment horizontal="left" vertical="top"/>
    </xf>
    <xf numFmtId="6" fontId="46" fillId="0" borderId="0" xfId="0" applyNumberFormat="1" applyFont="1" applyFill="1" applyBorder="1" applyAlignment="1" applyProtection="1">
      <alignment horizontal="center" vertical="center"/>
    </xf>
    <xf numFmtId="0" fontId="63" fillId="0" borderId="0" xfId="0" applyFont="1" applyFill="1" applyAlignment="1" applyProtection="1">
      <alignment horizontal="right" vertical="center"/>
    </xf>
    <xf numFmtId="164" fontId="46" fillId="0" borderId="0" xfId="1" applyNumberFormat="1" applyFont="1" applyFill="1" applyBorder="1" applyProtection="1"/>
    <xf numFmtId="164" fontId="46" fillId="0" borderId="0" xfId="1" applyNumberFormat="1" applyFont="1" applyFill="1" applyProtection="1"/>
    <xf numFmtId="0" fontId="62" fillId="0" borderId="0" xfId="0" applyFont="1" applyFill="1" applyAlignment="1" applyProtection="1">
      <alignment horizontal="center" vertical="center"/>
    </xf>
    <xf numFmtId="38" fontId="54" fillId="0" borderId="0" xfId="0" applyNumberFormat="1" applyFont="1" applyFill="1" applyBorder="1" applyAlignment="1" applyProtection="1">
      <alignment horizontal="right" vertical="center"/>
    </xf>
    <xf numFmtId="164" fontId="46" fillId="0" borderId="0" xfId="1" applyNumberFormat="1" applyFont="1" applyFill="1" applyBorder="1" applyAlignment="1" applyProtection="1">
      <alignment horizontal="left" vertical="center"/>
    </xf>
    <xf numFmtId="0" fontId="64" fillId="0" borderId="0" xfId="0" applyFont="1" applyFill="1" applyBorder="1" applyAlignment="1" applyProtection="1">
      <alignment horizontal="right" vertical="center"/>
    </xf>
    <xf numFmtId="0" fontId="46" fillId="0" borderId="0" xfId="0" quotePrefix="1" applyFont="1" applyFill="1" applyAlignment="1" applyProtection="1">
      <alignment horizontal="right" vertical="center"/>
    </xf>
    <xf numFmtId="38" fontId="54" fillId="0" borderId="0" xfId="0" applyNumberFormat="1" applyFont="1" applyFill="1" applyBorder="1" applyAlignment="1" applyProtection="1">
      <alignment horizontal="center" vertical="center"/>
    </xf>
    <xf numFmtId="38" fontId="46" fillId="0" borderId="0" xfId="0" applyNumberFormat="1" applyFont="1" applyFill="1" applyBorder="1" applyAlignment="1" applyProtection="1">
      <alignment horizontal="center" vertical="center"/>
    </xf>
    <xf numFmtId="0" fontId="56" fillId="0" borderId="0" xfId="0" applyFont="1" applyFill="1" applyAlignment="1" applyProtection="1">
      <alignment vertical="center"/>
    </xf>
    <xf numFmtId="0" fontId="46" fillId="0" borderId="0" xfId="0" applyFont="1" applyFill="1" applyAlignment="1" applyProtection="1">
      <alignment horizontal="center"/>
    </xf>
    <xf numFmtId="10" fontId="46" fillId="0" borderId="3" xfId="0" applyNumberFormat="1" applyFont="1" applyFill="1" applyBorder="1" applyAlignment="1" applyProtection="1">
      <alignment horizontal="center" vertical="center"/>
    </xf>
    <xf numFmtId="0" fontId="46" fillId="0" borderId="0" xfId="0" applyFont="1" applyBorder="1" applyAlignment="1" applyProtection="1">
      <alignment vertical="center"/>
    </xf>
    <xf numFmtId="0" fontId="46" fillId="0" borderId="0" xfId="0" applyFont="1" applyFill="1" applyBorder="1" applyAlignment="1" applyProtection="1">
      <alignment vertical="center" wrapText="1"/>
    </xf>
    <xf numFmtId="0" fontId="46" fillId="0" borderId="0" xfId="0" applyFont="1" applyAlignment="1" applyProtection="1">
      <alignment horizontal="center" vertical="center"/>
    </xf>
    <xf numFmtId="0" fontId="56" fillId="0" borderId="0" xfId="0" applyFont="1" applyFill="1" applyAlignment="1" applyProtection="1">
      <alignment horizontal="left" vertical="center"/>
    </xf>
    <xf numFmtId="0" fontId="67" fillId="0" borderId="0" xfId="0" applyFont="1" applyFill="1" applyAlignment="1" applyProtection="1">
      <alignment horizontal="center" vertical="center"/>
    </xf>
    <xf numFmtId="0" fontId="27" fillId="0" borderId="0" xfId="0" applyFont="1" applyAlignment="1" applyProtection="1">
      <alignment horizontal="center"/>
    </xf>
    <xf numFmtId="0" fontId="15" fillId="0" borderId="0" xfId="0" quotePrefix="1" applyFont="1" applyFill="1" applyAlignment="1" applyProtection="1">
      <alignment horizontal="center" vertical="center"/>
    </xf>
    <xf numFmtId="0" fontId="8" fillId="0" borderId="0" xfId="0" applyFont="1" applyAlignment="1" applyProtection="1">
      <alignment horizontal="right" vertical="center"/>
    </xf>
    <xf numFmtId="0" fontId="72" fillId="0" borderId="0" xfId="0" applyFont="1" applyFill="1" applyBorder="1" applyAlignment="1" applyProtection="1">
      <alignment horizontal="center" vertical="center"/>
    </xf>
    <xf numFmtId="0" fontId="40" fillId="0" borderId="0" xfId="0" applyFont="1" applyBorder="1" applyAlignment="1" applyProtection="1">
      <alignment vertical="center"/>
    </xf>
    <xf numFmtId="0" fontId="43" fillId="0" borderId="0" xfId="9" applyFont="1" applyProtection="1"/>
    <xf numFmtId="0" fontId="43" fillId="0" borderId="0" xfId="9" applyFont="1" applyAlignment="1" applyProtection="1">
      <alignment horizontal="left"/>
    </xf>
    <xf numFmtId="0" fontId="73" fillId="0" borderId="0" xfId="9" applyFont="1" applyAlignment="1" applyProtection="1">
      <alignment horizontal="center"/>
    </xf>
    <xf numFmtId="0" fontId="42" fillId="0" borderId="0" xfId="0" applyFont="1"/>
    <xf numFmtId="0" fontId="74" fillId="0" borderId="0" xfId="0" applyFont="1" applyAlignment="1">
      <alignment horizontal="center"/>
    </xf>
    <xf numFmtId="0" fontId="74" fillId="0" borderId="0" xfId="0" applyFont="1" applyAlignment="1" applyProtection="1">
      <alignment horizontal="center" vertical="center"/>
    </xf>
    <xf numFmtId="9" fontId="43" fillId="0" borderId="0" xfId="10" applyFont="1" applyBorder="1" applyAlignment="1" applyProtection="1">
      <alignment horizontal="center" vertical="center"/>
    </xf>
    <xf numFmtId="1" fontId="43" fillId="0" borderId="3" xfId="10" applyNumberFormat="1" applyFont="1" applyBorder="1" applyAlignment="1" applyProtection="1">
      <alignment horizontal="center" vertical="center"/>
    </xf>
    <xf numFmtId="9" fontId="43" fillId="0" borderId="0" xfId="10" applyFont="1" applyBorder="1" applyAlignment="1" applyProtection="1">
      <alignment horizontal="left" vertical="center"/>
    </xf>
    <xf numFmtId="0" fontId="5" fillId="0" borderId="0" xfId="0" applyFont="1" applyAlignment="1" applyProtection="1">
      <alignment horizontal="right" vertical="center"/>
    </xf>
    <xf numFmtId="0" fontId="8" fillId="0" borderId="0" xfId="0" applyFont="1" applyAlignment="1" applyProtection="1">
      <alignment horizontal="right" vertical="top"/>
    </xf>
    <xf numFmtId="0" fontId="43" fillId="0" borderId="0" xfId="0" applyFont="1" applyFill="1" applyProtection="1"/>
    <xf numFmtId="0" fontId="5" fillId="0" borderId="0" xfId="0" quotePrefix="1" applyFont="1" applyFill="1" applyAlignment="1" applyProtection="1">
      <alignment horizontal="right" vertical="top"/>
    </xf>
    <xf numFmtId="0" fontId="5" fillId="0" borderId="0" xfId="0" applyFont="1" applyFill="1" applyAlignment="1" applyProtection="1">
      <alignment vertical="top"/>
    </xf>
    <xf numFmtId="0" fontId="0" fillId="0" borderId="0" xfId="0" applyAlignment="1" applyProtection="1">
      <alignment vertical="top"/>
    </xf>
    <xf numFmtId="4" fontId="14" fillId="0" borderId="0" xfId="1" applyNumberFormat="1" applyFont="1" applyFill="1" applyAlignment="1" applyProtection="1">
      <alignment horizontal="center" vertical="center"/>
    </xf>
    <xf numFmtId="0" fontId="58" fillId="0" borderId="0" xfId="0" applyFont="1" applyFill="1" applyProtection="1"/>
    <xf numFmtId="0" fontId="71" fillId="0" borderId="0" xfId="0" applyFont="1" applyFill="1" applyBorder="1" applyAlignment="1" applyProtection="1">
      <alignment horizontal="center" vertical="center"/>
    </xf>
    <xf numFmtId="0" fontId="43" fillId="0" borderId="0" xfId="0" applyFont="1" applyAlignment="1">
      <alignment horizontal="center"/>
    </xf>
    <xf numFmtId="166" fontId="46" fillId="0" borderId="0" xfId="0" applyNumberFormat="1" applyFont="1" applyFill="1" applyAlignment="1" applyProtection="1">
      <alignment horizontal="center" vertical="center"/>
    </xf>
    <xf numFmtId="0" fontId="46" fillId="0" borderId="0" xfId="0" applyFont="1" applyBorder="1" applyAlignment="1" applyProtection="1">
      <alignment horizontal="center" vertical="center"/>
    </xf>
    <xf numFmtId="0" fontId="74" fillId="0" borderId="0" xfId="0" applyFont="1" applyBorder="1" applyAlignment="1" applyProtection="1">
      <alignment horizontal="center" vertical="center"/>
    </xf>
    <xf numFmtId="9" fontId="42" fillId="0" borderId="0" xfId="0" applyNumberFormat="1" applyFont="1" applyFill="1" applyBorder="1" applyAlignment="1" applyProtection="1">
      <alignment horizontal="center" vertical="center"/>
    </xf>
    <xf numFmtId="9" fontId="42" fillId="0" borderId="2" xfId="0" applyNumberFormat="1" applyFont="1" applyFill="1" applyBorder="1" applyAlignment="1" applyProtection="1">
      <alignment horizontal="center" vertical="center"/>
    </xf>
    <xf numFmtId="3" fontId="13" fillId="0" borderId="15" xfId="0" applyNumberFormat="1" applyFont="1" applyFill="1" applyBorder="1" applyAlignment="1" applyProtection="1">
      <alignment vertical="center"/>
    </xf>
    <xf numFmtId="3" fontId="13" fillId="0" borderId="15" xfId="1" applyNumberFormat="1" applyFont="1" applyFill="1" applyBorder="1" applyAlignment="1" applyProtection="1">
      <alignment vertical="center"/>
    </xf>
    <xf numFmtId="0" fontId="30" fillId="0" borderId="0" xfId="0" applyFont="1" applyFill="1" applyBorder="1" applyProtection="1"/>
    <xf numFmtId="0" fontId="35" fillId="0" borderId="0" xfId="0" applyFont="1" applyAlignment="1" applyProtection="1">
      <alignment horizontal="center"/>
    </xf>
    <xf numFmtId="0" fontId="28" fillId="0" borderId="0" xfId="0" applyFont="1" applyAlignment="1" applyProtection="1">
      <alignment vertical="center"/>
    </xf>
    <xf numFmtId="0" fontId="42" fillId="0" borderId="45" xfId="0" applyFont="1" applyFill="1" applyBorder="1" applyAlignment="1" applyProtection="1">
      <alignment vertical="top"/>
    </xf>
    <xf numFmtId="0" fontId="15" fillId="0" borderId="0" xfId="0" applyFont="1" applyFill="1" applyProtection="1"/>
    <xf numFmtId="0" fontId="27" fillId="0" borderId="0" xfId="0" applyFont="1" applyAlignment="1" applyProtection="1">
      <alignment horizontal="center" vertical="top"/>
    </xf>
    <xf numFmtId="0" fontId="19" fillId="0" borderId="0" xfId="0" applyFont="1" applyFill="1" applyAlignment="1" applyProtection="1">
      <alignment vertical="top"/>
    </xf>
    <xf numFmtId="0" fontId="13" fillId="0" borderId="0" xfId="0" applyFont="1" applyFill="1" applyAlignment="1" applyProtection="1">
      <alignment horizontal="center" vertical="top"/>
    </xf>
    <xf numFmtId="0" fontId="4" fillId="0" borderId="0" xfId="0" applyFont="1" applyFill="1" applyAlignment="1" applyProtection="1">
      <alignment vertical="top"/>
    </xf>
    <xf numFmtId="0" fontId="5" fillId="0" borderId="0" xfId="0" applyFont="1" applyFill="1" applyBorder="1" applyProtection="1"/>
    <xf numFmtId="0" fontId="82" fillId="0" borderId="0" xfId="0" applyFont="1" applyFill="1" applyBorder="1" applyAlignment="1" applyProtection="1">
      <alignment vertical="center" wrapText="1"/>
    </xf>
    <xf numFmtId="0" fontId="82" fillId="0" borderId="0" xfId="0" applyFont="1" applyFill="1" applyAlignment="1" applyProtection="1">
      <alignment vertical="center"/>
    </xf>
    <xf numFmtId="0" fontId="83" fillId="0" borderId="0" xfId="0" applyFont="1" applyFill="1" applyAlignment="1" applyProtection="1">
      <alignment horizontal="center" vertical="center"/>
    </xf>
    <xf numFmtId="0" fontId="81" fillId="0" borderId="0" xfId="0" applyFont="1" applyFill="1" applyProtection="1"/>
    <xf numFmtId="0" fontId="4" fillId="0" borderId="7" xfId="0" applyFont="1" applyFill="1" applyBorder="1" applyProtection="1"/>
    <xf numFmtId="0" fontId="89" fillId="0" borderId="0" xfId="0" applyFont="1" applyFill="1" applyAlignment="1" applyProtection="1">
      <alignment vertical="top"/>
    </xf>
    <xf numFmtId="0" fontId="89" fillId="0" borderId="0" xfId="0" applyFont="1" applyFill="1" applyAlignment="1" applyProtection="1">
      <alignment vertical="center"/>
    </xf>
    <xf numFmtId="0" fontId="89" fillId="0" borderId="0" xfId="0" applyFont="1" applyFill="1" applyBorder="1" applyAlignment="1" applyProtection="1">
      <alignment horizontal="left" vertical="top"/>
    </xf>
    <xf numFmtId="0" fontId="11" fillId="0" borderId="0" xfId="0" applyFont="1" applyFill="1" applyAlignment="1" applyProtection="1">
      <alignment horizontal="right"/>
    </xf>
    <xf numFmtId="0" fontId="19" fillId="0" borderId="0" xfId="0" applyFont="1" applyFill="1" applyAlignment="1" applyProtection="1"/>
    <xf numFmtId="0" fontId="8" fillId="0" borderId="0" xfId="0" applyFont="1" applyFill="1" applyBorder="1" applyAlignment="1" applyProtection="1"/>
    <xf numFmtId="0" fontId="27" fillId="0" borderId="0" xfId="0" applyFont="1" applyAlignment="1" applyProtection="1">
      <alignment horizontal="center" vertical="center"/>
    </xf>
    <xf numFmtId="0" fontId="4" fillId="0" borderId="0" xfId="0" applyFont="1" applyFill="1" applyBorder="1" applyAlignment="1" applyProtection="1">
      <alignment horizontal="center" vertical="center"/>
    </xf>
    <xf numFmtId="0" fontId="5" fillId="0" borderId="0" xfId="0" applyFont="1" applyProtection="1"/>
    <xf numFmtId="0" fontId="5" fillId="0" borderId="0" xfId="0" applyFont="1" applyAlignment="1" applyProtection="1">
      <alignment horizontal="left" vertical="center"/>
    </xf>
    <xf numFmtId="0" fontId="5" fillId="0" borderId="0" xfId="0" applyFont="1" applyFill="1" applyAlignment="1" applyProtection="1">
      <alignment horizontal="center" vertical="top"/>
    </xf>
    <xf numFmtId="0" fontId="5" fillId="0" borderId="0" xfId="0" quotePrefix="1" applyFont="1" applyFill="1" applyAlignment="1" applyProtection="1">
      <alignment horizontal="center" vertical="center"/>
    </xf>
    <xf numFmtId="0" fontId="91" fillId="0" borderId="0" xfId="0" applyFont="1" applyAlignment="1" applyProtection="1">
      <alignment horizontal="left"/>
    </xf>
    <xf numFmtId="0" fontId="15" fillId="0" borderId="0" xfId="0" quotePrefix="1" applyFont="1" applyFill="1" applyAlignment="1" applyProtection="1">
      <alignment horizontal="center" vertical="top"/>
    </xf>
    <xf numFmtId="0" fontId="21" fillId="0" borderId="0" xfId="0" quotePrefix="1" applyFont="1" applyFill="1" applyAlignment="1" applyProtection="1"/>
    <xf numFmtId="0" fontId="5" fillId="0" borderId="0" xfId="0" applyFont="1" applyFill="1" applyAlignment="1" applyProtection="1">
      <alignment horizontal="right"/>
    </xf>
    <xf numFmtId="37" fontId="43" fillId="0" borderId="0" xfId="1" applyNumberFormat="1" applyFont="1" applyAlignment="1" applyProtection="1">
      <alignment horizontal="center"/>
    </xf>
    <xf numFmtId="0" fontId="41" fillId="0" borderId="7" xfId="0" applyFont="1" applyFill="1" applyBorder="1" applyAlignment="1" applyProtection="1">
      <alignment vertical="center"/>
    </xf>
    <xf numFmtId="0" fontId="41" fillId="0" borderId="0" xfId="0" applyFont="1" applyFill="1" applyAlignment="1" applyProtection="1">
      <alignment vertical="center"/>
    </xf>
    <xf numFmtId="0" fontId="37" fillId="0" borderId="0" xfId="0" applyFont="1" applyFill="1" applyAlignment="1" applyProtection="1">
      <alignment vertical="center"/>
    </xf>
    <xf numFmtId="0" fontId="93" fillId="0" borderId="0" xfId="0" applyFont="1" applyFill="1" applyProtection="1"/>
    <xf numFmtId="0" fontId="95" fillId="0" borderId="0" xfId="0" applyFont="1" applyFill="1" applyAlignment="1" applyProtection="1">
      <alignment horizontal="center" vertical="center"/>
    </xf>
    <xf numFmtId="0" fontId="93" fillId="0" borderId="0" xfId="0" applyFont="1" applyFill="1" applyAlignment="1" applyProtection="1">
      <alignment vertical="center"/>
    </xf>
    <xf numFmtId="0" fontId="97" fillId="0" borderId="0" xfId="0" applyFont="1" applyFill="1" applyProtection="1"/>
    <xf numFmtId="0" fontId="84" fillId="0" borderId="0" xfId="0" applyFont="1" applyFill="1" applyProtection="1"/>
    <xf numFmtId="0" fontId="94" fillId="0" borderId="0" xfId="0" applyFont="1" applyFill="1" applyBorder="1" applyAlignment="1" applyProtection="1">
      <alignment vertical="center"/>
    </xf>
    <xf numFmtId="164" fontId="93" fillId="0" borderId="0" xfId="1" applyNumberFormat="1" applyFont="1" applyFill="1" applyBorder="1" applyAlignment="1" applyProtection="1">
      <alignment vertical="center"/>
    </xf>
    <xf numFmtId="166" fontId="46" fillId="0" borderId="78" xfId="0" applyNumberFormat="1" applyFont="1" applyFill="1" applyBorder="1" applyAlignment="1" applyProtection="1">
      <alignment horizontal="center" vertical="center"/>
    </xf>
    <xf numFmtId="3" fontId="46" fillId="0" borderId="0" xfId="0" applyNumberFormat="1" applyFont="1" applyFill="1" applyAlignment="1" applyProtection="1">
      <alignment horizontal="center" vertical="center"/>
    </xf>
    <xf numFmtId="0" fontId="5" fillId="0" borderId="0" xfId="0" applyFont="1" applyFill="1" applyAlignment="1" applyProtection="1">
      <alignment horizontal="right" vertical="center"/>
    </xf>
    <xf numFmtId="0" fontId="98" fillId="0" borderId="7" xfId="0" applyFont="1" applyFill="1" applyBorder="1" applyAlignment="1" applyProtection="1">
      <alignment vertical="center"/>
    </xf>
    <xf numFmtId="0" fontId="36" fillId="0" borderId="0" xfId="0" applyFont="1" applyFill="1" applyBorder="1" applyAlignment="1" applyProtection="1">
      <alignment vertical="center"/>
    </xf>
    <xf numFmtId="0" fontId="22" fillId="0" borderId="0" xfId="0" applyFont="1" applyFill="1" applyBorder="1" applyAlignment="1" applyProtection="1">
      <alignment vertical="top"/>
    </xf>
    <xf numFmtId="0" fontId="4" fillId="0" borderId="0" xfId="0" applyFont="1" applyFill="1" applyBorder="1" applyProtection="1"/>
    <xf numFmtId="0" fontId="4" fillId="0" borderId="0" xfId="0" applyFont="1" applyFill="1" applyBorder="1" applyAlignment="1" applyProtection="1">
      <alignment vertical="top"/>
    </xf>
    <xf numFmtId="0" fontId="4" fillId="0" borderId="0" xfId="0" applyFont="1" applyFill="1" applyBorder="1" applyAlignment="1" applyProtection="1">
      <alignment vertical="center"/>
    </xf>
    <xf numFmtId="0" fontId="41" fillId="0" borderId="0" xfId="0" applyFont="1" applyFill="1" applyAlignment="1" applyProtection="1">
      <alignment vertical="center" wrapText="1"/>
    </xf>
    <xf numFmtId="0" fontId="30" fillId="0" borderId="0" xfId="0" applyNumberFormat="1" applyFont="1" applyAlignment="1" applyProtection="1">
      <alignment horizontal="center" vertical="center" wrapText="1"/>
    </xf>
    <xf numFmtId="38" fontId="42" fillId="0" borderId="0" xfId="0" applyNumberFormat="1" applyFont="1" applyFill="1" applyBorder="1" applyAlignment="1" applyProtection="1">
      <alignment vertical="center"/>
    </xf>
    <xf numFmtId="0" fontId="5" fillId="0" borderId="0" xfId="0" applyFont="1" applyAlignment="1" applyProtection="1">
      <alignment horizontal="left"/>
    </xf>
    <xf numFmtId="0" fontId="50" fillId="0" borderId="0" xfId="0" applyFont="1" applyFill="1" applyAlignment="1" applyProtection="1">
      <alignment horizontal="left" vertical="center"/>
    </xf>
    <xf numFmtId="0" fontId="5" fillId="0" borderId="0" xfId="0" applyFont="1" applyFill="1" applyAlignment="1" applyProtection="1">
      <alignment horizontal="left" vertical="top"/>
    </xf>
    <xf numFmtId="0" fontId="5" fillId="0" borderId="0" xfId="0" quotePrefix="1" applyFont="1" applyFill="1" applyAlignment="1" applyProtection="1">
      <alignment horizontal="center" vertical="top"/>
    </xf>
    <xf numFmtId="0" fontId="4" fillId="0" borderId="0" xfId="0" applyFont="1" applyFill="1" applyAlignment="1" applyProtection="1"/>
    <xf numFmtId="0" fontId="46" fillId="0" borderId="0" xfId="0" quotePrefix="1" applyFont="1" applyFill="1" applyAlignment="1" applyProtection="1">
      <alignment vertical="center"/>
    </xf>
    <xf numFmtId="0" fontId="102" fillId="0" borderId="0" xfId="0" applyFont="1" applyFill="1" applyBorder="1" applyAlignment="1" applyProtection="1">
      <alignment vertical="top"/>
    </xf>
    <xf numFmtId="0" fontId="87" fillId="0" borderId="0" xfId="0" applyFont="1" applyFill="1" applyAlignment="1" applyProtection="1"/>
    <xf numFmtId="0" fontId="103" fillId="0" borderId="0" xfId="0" applyFont="1" applyFill="1" applyProtection="1"/>
    <xf numFmtId="0" fontId="96" fillId="0" borderId="0" xfId="0" applyFont="1" applyFill="1" applyBorder="1" applyAlignment="1" applyProtection="1">
      <alignment horizontal="left"/>
    </xf>
    <xf numFmtId="0" fontId="14" fillId="0" borderId="0" xfId="0" applyFont="1" applyFill="1" applyAlignment="1" applyProtection="1">
      <alignment horizontal="left"/>
    </xf>
    <xf numFmtId="0" fontId="48" fillId="0" borderId="0" xfId="9" applyFont="1" applyAlignment="1" applyProtection="1">
      <alignment horizontal="left"/>
    </xf>
    <xf numFmtId="0" fontId="9" fillId="0" borderId="85" xfId="0" applyFont="1" applyFill="1" applyBorder="1" applyAlignment="1" applyProtection="1"/>
    <xf numFmtId="0" fontId="107" fillId="0" borderId="0" xfId="0" applyFont="1" applyFill="1" applyAlignment="1" applyProtection="1">
      <alignment vertical="center"/>
    </xf>
    <xf numFmtId="0" fontId="5" fillId="0" borderId="0" xfId="0" applyFont="1" applyBorder="1" applyAlignment="1" applyProtection="1">
      <alignment vertical="center"/>
    </xf>
    <xf numFmtId="0" fontId="43" fillId="0" borderId="40" xfId="0" applyFont="1" applyFill="1" applyBorder="1" applyAlignment="1" applyProtection="1">
      <alignment vertical="center"/>
    </xf>
    <xf numFmtId="0" fontId="43" fillId="0" borderId="0" xfId="0" applyFont="1" applyFill="1" applyBorder="1" applyAlignment="1" applyProtection="1">
      <alignment vertical="center"/>
    </xf>
    <xf numFmtId="164" fontId="43"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8" fillId="0" borderId="0" xfId="0" applyFont="1" applyFill="1" applyBorder="1" applyAlignment="1" applyProtection="1">
      <alignment vertical="top"/>
    </xf>
    <xf numFmtId="0" fontId="46" fillId="0" borderId="0" xfId="0" applyFont="1" applyFill="1" applyAlignment="1" applyProtection="1">
      <alignment vertical="top"/>
    </xf>
    <xf numFmtId="0" fontId="63" fillId="0" borderId="82" xfId="0" applyFont="1" applyFill="1" applyBorder="1" applyAlignment="1" applyProtection="1">
      <alignment vertical="center"/>
    </xf>
    <xf numFmtId="0" fontId="63" fillId="0" borderId="82" xfId="0" applyFont="1" applyFill="1" applyBorder="1" applyAlignment="1" applyProtection="1">
      <alignment horizontal="center" vertical="center"/>
    </xf>
    <xf numFmtId="0" fontId="62" fillId="0" borderId="78" xfId="0" applyFont="1" applyFill="1" applyBorder="1" applyAlignment="1" applyProtection="1">
      <alignment horizontal="left" vertical="center"/>
    </xf>
    <xf numFmtId="0" fontId="43" fillId="0" borderId="0" xfId="0" applyFont="1" applyFill="1" applyBorder="1" applyAlignment="1" applyProtection="1">
      <alignment horizontal="left"/>
    </xf>
    <xf numFmtId="0" fontId="86"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52" fillId="0" borderId="13" xfId="0" applyFont="1" applyFill="1" applyBorder="1" applyAlignment="1" applyProtection="1">
      <alignment vertical="center"/>
    </xf>
    <xf numFmtId="0" fontId="110" fillId="0" borderId="0" xfId="0" applyFont="1" applyFill="1" applyAlignment="1" applyProtection="1">
      <alignment vertical="center"/>
    </xf>
    <xf numFmtId="0" fontId="92" fillId="0" borderId="0" xfId="0" applyFont="1" applyBorder="1" applyAlignment="1" applyProtection="1">
      <alignment horizontal="right" vertical="center"/>
    </xf>
    <xf numFmtId="0" fontId="4" fillId="0" borderId="0" xfId="0" applyFont="1" applyFill="1" applyAlignment="1" applyProtection="1">
      <alignment horizontal="center" vertical="top"/>
    </xf>
    <xf numFmtId="0" fontId="72" fillId="0" borderId="0" xfId="0" applyFont="1" applyFill="1" applyBorder="1" applyAlignment="1" applyProtection="1">
      <alignment horizontal="center" vertical="top"/>
    </xf>
    <xf numFmtId="0" fontId="14" fillId="0" borderId="0" xfId="0" applyFont="1" applyProtection="1"/>
    <xf numFmtId="0" fontId="106" fillId="0" borderId="0" xfId="0" applyFont="1" applyFill="1" applyAlignment="1" applyProtection="1">
      <alignment vertical="center"/>
    </xf>
    <xf numFmtId="0" fontId="53" fillId="0" borderId="0" xfId="0" applyFont="1" applyFill="1" applyAlignment="1" applyProtection="1">
      <alignment vertical="center"/>
    </xf>
    <xf numFmtId="0" fontId="11" fillId="0" borderId="0" xfId="0" applyFont="1" applyProtection="1"/>
    <xf numFmtId="0" fontId="8" fillId="0" borderId="0" xfId="0" applyFont="1" applyAlignment="1" applyProtection="1">
      <alignment horizontal="center" vertical="center"/>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43" fillId="0" borderId="0" xfId="0" applyFont="1" applyFill="1" applyAlignment="1" applyProtection="1">
      <alignment horizontal="right"/>
    </xf>
    <xf numFmtId="0" fontId="43" fillId="0" borderId="0" xfId="0" applyFont="1" applyAlignment="1" applyProtection="1">
      <alignment horizontal="left"/>
    </xf>
    <xf numFmtId="0" fontId="54" fillId="16" borderId="86" xfId="0" applyFont="1" applyFill="1" applyBorder="1" applyAlignment="1" applyProtection="1">
      <alignment vertical="center"/>
    </xf>
    <xf numFmtId="3" fontId="11" fillId="0" borderId="86" xfId="0" applyNumberFormat="1" applyFont="1" applyFill="1" applyBorder="1" applyAlignment="1" applyProtection="1">
      <alignment horizontal="center" vertical="center"/>
    </xf>
    <xf numFmtId="0" fontId="92" fillId="0" borderId="0" xfId="0" applyFont="1" applyAlignment="1" applyProtection="1"/>
    <xf numFmtId="0" fontId="11" fillId="0" borderId="0" xfId="0" quotePrefix="1" applyFont="1" applyFill="1" applyAlignment="1" applyProtection="1">
      <alignment horizontal="right" vertical="top"/>
    </xf>
    <xf numFmtId="0" fontId="5" fillId="0" borderId="0" xfId="0" applyFont="1" applyFill="1" applyAlignment="1" applyProtection="1">
      <alignment wrapText="1"/>
    </xf>
    <xf numFmtId="0" fontId="101" fillId="0" borderId="0" xfId="0" applyFont="1" applyFill="1" applyAlignment="1" applyProtection="1">
      <alignment vertical="top"/>
    </xf>
    <xf numFmtId="173" fontId="46" fillId="0" borderId="12" xfId="10" applyNumberFormat="1" applyFont="1" applyFill="1" applyBorder="1" applyAlignment="1" applyProtection="1">
      <alignment vertical="center"/>
    </xf>
    <xf numFmtId="0" fontId="114" fillId="0" borderId="0" xfId="0" applyFont="1" applyFill="1" applyBorder="1" applyAlignment="1" applyProtection="1">
      <alignment vertical="center"/>
    </xf>
    <xf numFmtId="0" fontId="4" fillId="0" borderId="0" xfId="13"/>
    <xf numFmtId="0" fontId="4" fillId="0" borderId="0" xfId="13" applyFont="1"/>
    <xf numFmtId="0" fontId="48" fillId="0" borderId="0" xfId="0" applyFont="1" applyAlignment="1" applyProtection="1">
      <alignment horizontal="left" wrapText="1"/>
    </xf>
    <xf numFmtId="0" fontId="48" fillId="0" borderId="0" xfId="0" applyFont="1" applyFill="1" applyAlignment="1" applyProtection="1">
      <alignment horizontal="left" wrapText="1"/>
    </xf>
    <xf numFmtId="0" fontId="48" fillId="0" borderId="0" xfId="0" applyFont="1" applyAlignment="1" applyProtection="1">
      <alignment horizontal="center" wrapText="1"/>
    </xf>
    <xf numFmtId="0" fontId="48" fillId="0" borderId="0" xfId="0" applyFont="1" applyFill="1" applyBorder="1" applyAlignment="1" applyProtection="1">
      <alignment horizontal="left"/>
    </xf>
    <xf numFmtId="0" fontId="43" fillId="0" borderId="0" xfId="0" applyFont="1" applyBorder="1" applyAlignment="1" applyProtection="1">
      <alignment horizontal="left" vertical="center"/>
    </xf>
    <xf numFmtId="0" fontId="43" fillId="0" borderId="0" xfId="0" applyFont="1"/>
    <xf numFmtId="0" fontId="85" fillId="0" borderId="0" xfId="0" applyFont="1" applyFill="1" applyAlignment="1" applyProtection="1"/>
    <xf numFmtId="0" fontId="43" fillId="0" borderId="0" xfId="0" applyFont="1" applyFill="1" applyBorder="1" applyAlignment="1" applyProtection="1">
      <alignment wrapText="1"/>
    </xf>
    <xf numFmtId="0" fontId="50" fillId="0" borderId="0" xfId="0" applyFont="1" applyFill="1" applyBorder="1" applyAlignment="1" applyProtection="1">
      <alignment horizontal="left"/>
    </xf>
    <xf numFmtId="0" fontId="50" fillId="0" borderId="0" xfId="0" applyFont="1" applyAlignment="1" applyProtection="1">
      <alignment horizontal="left" vertical="center"/>
    </xf>
    <xf numFmtId="0" fontId="4" fillId="0" borderId="0" xfId="13" applyFont="1" applyFill="1" applyBorder="1" applyAlignment="1" applyProtection="1">
      <alignment horizontal="left" vertical="center"/>
    </xf>
    <xf numFmtId="0" fontId="4" fillId="0" borderId="0" xfId="13" applyFont="1" applyFill="1" applyAlignment="1" applyProtection="1">
      <alignment vertical="center"/>
    </xf>
    <xf numFmtId="0" fontId="4" fillId="0" borderId="0" xfId="13" applyFont="1" applyAlignment="1" applyProtection="1">
      <alignment vertical="center"/>
    </xf>
    <xf numFmtId="164" fontId="13" fillId="0" borderId="0" xfId="1" applyNumberFormat="1" applyFont="1" applyFill="1" applyBorder="1" applyAlignment="1" applyProtection="1">
      <alignment horizontal="right" vertical="center"/>
    </xf>
    <xf numFmtId="0" fontId="28" fillId="0" borderId="0" xfId="0" applyFont="1" applyFill="1" applyAlignment="1" applyProtection="1">
      <alignment horizontal="center" vertical="center" wrapText="1"/>
    </xf>
    <xf numFmtId="38" fontId="43"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3" fillId="0" borderId="13" xfId="0" applyFont="1" applyBorder="1" applyAlignment="1" applyProtection="1">
      <alignment vertical="center"/>
    </xf>
    <xf numFmtId="0" fontId="46" fillId="0" borderId="94" xfId="0" applyFont="1" applyBorder="1" applyAlignment="1" applyProtection="1">
      <alignment horizontal="center" vertical="center"/>
    </xf>
    <xf numFmtId="0" fontId="46" fillId="0" borderId="13" xfId="0" applyFont="1" applyBorder="1" applyAlignment="1" applyProtection="1">
      <alignment horizontal="center" vertical="center"/>
    </xf>
    <xf numFmtId="0" fontId="43" fillId="0" borderId="95" xfId="0" applyFont="1" applyBorder="1" applyAlignment="1" applyProtection="1">
      <alignment horizontal="center" vertical="center"/>
    </xf>
    <xf numFmtId="164" fontId="4" fillId="0" borderId="0" xfId="1" applyNumberFormat="1" applyFont="1" applyFill="1" applyBorder="1" applyAlignment="1" applyProtection="1">
      <alignment vertical="center"/>
    </xf>
    <xf numFmtId="0" fontId="4" fillId="0" borderId="0" xfId="0" applyFont="1" applyAlignment="1" applyProtection="1">
      <alignment vertical="center"/>
    </xf>
    <xf numFmtId="3" fontId="9" fillId="0" borderId="0" xfId="0" applyNumberFormat="1" applyFont="1" applyFill="1" applyBorder="1" applyAlignment="1" applyProtection="1">
      <alignment horizontal="center"/>
    </xf>
    <xf numFmtId="3" fontId="9" fillId="0" borderId="0" xfId="0" applyNumberFormat="1" applyFont="1" applyFill="1" applyAlignment="1" applyProtection="1">
      <alignment horizontal="center"/>
    </xf>
    <xf numFmtId="0" fontId="145" fillId="0" borderId="0" xfId="0" applyFont="1" applyFill="1" applyProtection="1"/>
    <xf numFmtId="0" fontId="150" fillId="0" borderId="0" xfId="0" applyFont="1" applyFill="1" applyAlignment="1" applyProtection="1">
      <alignment vertical="center"/>
    </xf>
    <xf numFmtId="0" fontId="148" fillId="0" borderId="19" xfId="0" applyFont="1" applyFill="1" applyBorder="1" applyAlignment="1" applyProtection="1">
      <alignment horizontal="right" vertical="top"/>
    </xf>
    <xf numFmtId="0" fontId="15" fillId="0" borderId="0" xfId="0" quotePrefix="1" applyFont="1" applyFill="1" applyAlignment="1" applyProtection="1">
      <alignment horizontal="right" vertical="center"/>
    </xf>
    <xf numFmtId="9" fontId="15" fillId="0" borderId="0" xfId="10" applyFont="1" applyFill="1" applyBorder="1" applyAlignment="1" applyProtection="1">
      <alignment horizontal="center" vertical="top" wrapText="1"/>
    </xf>
    <xf numFmtId="0" fontId="48" fillId="0" borderId="0" xfId="0" applyFont="1" applyAlignment="1" applyProtection="1">
      <alignment wrapText="1"/>
    </xf>
    <xf numFmtId="0" fontId="92" fillId="0" borderId="0" xfId="0" applyFont="1" applyAlignment="1" applyProtection="1">
      <alignment horizontal="center" vertical="center"/>
    </xf>
    <xf numFmtId="0" fontId="0" fillId="0" borderId="0" xfId="0" applyBorder="1" applyAlignment="1" applyProtection="1">
      <alignment vertical="center"/>
    </xf>
    <xf numFmtId="0" fontId="15" fillId="0" borderId="0" xfId="0" quotePrefix="1" applyFont="1" applyFill="1" applyAlignment="1" applyProtection="1">
      <alignment horizontal="left" vertical="top"/>
    </xf>
    <xf numFmtId="0" fontId="5" fillId="0" borderId="0" xfId="0" applyFont="1" applyFill="1" applyAlignment="1" applyProtection="1">
      <alignment vertical="top" wrapText="1"/>
    </xf>
    <xf numFmtId="0" fontId="14" fillId="0" borderId="0" xfId="0" applyFont="1" applyFill="1" applyAlignment="1" applyProtection="1">
      <alignment horizontal="center" vertical="center"/>
    </xf>
    <xf numFmtId="38" fontId="14" fillId="0" borderId="16" xfId="1" applyNumberFormat="1" applyFont="1" applyFill="1" applyBorder="1" applyAlignment="1" applyProtection="1">
      <alignment horizontal="center" vertical="center"/>
    </xf>
    <xf numFmtId="38" fontId="14" fillId="0" borderId="17" xfId="1" applyNumberFormat="1" applyFont="1" applyFill="1" applyBorder="1" applyAlignment="1" applyProtection="1">
      <alignment horizontal="center" vertical="center"/>
    </xf>
    <xf numFmtId="38" fontId="14" fillId="0" borderId="18" xfId="1" applyNumberFormat="1" applyFont="1" applyFill="1" applyBorder="1" applyAlignment="1" applyProtection="1">
      <alignment horizontal="center" vertical="center"/>
    </xf>
    <xf numFmtId="38" fontId="13" fillId="0" borderId="16" xfId="1" applyNumberFormat="1" applyFont="1" applyFill="1" applyBorder="1" applyAlignment="1" applyProtection="1">
      <alignment horizontal="right" vertical="center"/>
    </xf>
    <xf numFmtId="38" fontId="13" fillId="0" borderId="18" xfId="1" applyNumberFormat="1" applyFont="1" applyFill="1" applyBorder="1" applyAlignment="1" applyProtection="1">
      <alignment horizontal="right" vertical="center"/>
    </xf>
    <xf numFmtId="38" fontId="13" fillId="0" borderId="0" xfId="0" applyNumberFormat="1" applyFont="1" applyFill="1" applyAlignment="1" applyProtection="1">
      <alignment horizontal="right" vertical="center"/>
    </xf>
    <xf numFmtId="38" fontId="13" fillId="0" borderId="22" xfId="1" applyNumberFormat="1" applyFont="1" applyFill="1" applyBorder="1" applyAlignment="1" applyProtection="1">
      <alignment horizontal="right" vertical="center"/>
    </xf>
    <xf numFmtId="38" fontId="13" fillId="0" borderId="100" xfId="1" applyNumberFormat="1" applyFont="1" applyFill="1" applyBorder="1" applyAlignment="1" applyProtection="1">
      <alignment horizontal="right" vertical="center"/>
    </xf>
    <xf numFmtId="38" fontId="13" fillId="0" borderId="0" xfId="0" applyNumberFormat="1" applyFont="1" applyFill="1" applyProtection="1"/>
    <xf numFmtId="38" fontId="4" fillId="0" borderId="22" xfId="1" applyNumberFormat="1" applyFont="1" applyFill="1" applyBorder="1" applyAlignment="1" applyProtection="1">
      <alignment horizontal="right" vertical="center"/>
    </xf>
    <xf numFmtId="38" fontId="13" fillId="0" borderId="0" xfId="0" applyNumberFormat="1" applyFont="1" applyFill="1" applyAlignment="1" applyProtection="1">
      <alignment vertical="center"/>
    </xf>
    <xf numFmtId="0" fontId="13" fillId="0" borderId="0" xfId="0" applyFont="1" applyFill="1" applyAlignment="1" applyProtection="1">
      <alignment vertical="center" wrapText="1"/>
    </xf>
    <xf numFmtId="38" fontId="13" fillId="0" borderId="86" xfId="1" applyNumberFormat="1" applyFont="1" applyFill="1" applyBorder="1" applyAlignment="1" applyProtection="1">
      <alignment horizontal="right" vertical="center"/>
    </xf>
    <xf numFmtId="0" fontId="152" fillId="0" borderId="0" xfId="0" applyFont="1" applyAlignment="1" applyProtection="1">
      <alignment horizontal="center"/>
    </xf>
    <xf numFmtId="0" fontId="54" fillId="0" borderId="0" xfId="0" quotePrefix="1" applyFont="1" applyFill="1" applyAlignment="1" applyProtection="1">
      <alignment vertical="top"/>
    </xf>
    <xf numFmtId="0" fontId="54" fillId="0" borderId="102" xfId="0" applyFont="1" applyFill="1" applyBorder="1" applyAlignment="1" applyProtection="1">
      <alignment vertical="top" wrapText="1"/>
    </xf>
    <xf numFmtId="0" fontId="42" fillId="0" borderId="0" xfId="0" applyFont="1" applyFill="1" applyAlignment="1" applyProtection="1">
      <alignment horizontal="right" vertical="center"/>
    </xf>
    <xf numFmtId="3" fontId="45" fillId="0" borderId="101" xfId="0" applyNumberFormat="1" applyFont="1" applyFill="1" applyBorder="1" applyAlignment="1" applyProtection="1">
      <alignment horizontal="center" vertical="center"/>
    </xf>
    <xf numFmtId="164" fontId="45" fillId="0" borderId="0" xfId="1" applyNumberFormat="1" applyFont="1" applyFill="1" applyBorder="1" applyAlignment="1" applyProtection="1">
      <alignment horizontal="right" vertical="center"/>
    </xf>
    <xf numFmtId="0" fontId="147" fillId="0" borderId="0" xfId="0" applyFont="1" applyFill="1" applyBorder="1" applyAlignment="1" applyProtection="1">
      <alignment vertical="center"/>
    </xf>
    <xf numFmtId="0" fontId="147" fillId="0" borderId="20" xfId="0" applyNumberFormat="1" applyFont="1" applyFill="1" applyBorder="1" applyAlignment="1" applyProtection="1">
      <alignment vertical="center" wrapText="1"/>
    </xf>
    <xf numFmtId="0" fontId="92" fillId="0" borderId="0" xfId="0" applyFont="1" applyFill="1" applyAlignment="1" applyProtection="1">
      <alignment vertical="center"/>
    </xf>
    <xf numFmtId="0" fontId="5" fillId="0" borderId="0" xfId="0" applyFont="1" applyAlignment="1" applyProtection="1">
      <alignment horizontal="left" vertical="top"/>
    </xf>
    <xf numFmtId="0" fontId="15" fillId="0" borderId="0" xfId="0" applyFont="1" applyBorder="1" applyAlignment="1" applyProtection="1">
      <alignment vertical="center"/>
    </xf>
    <xf numFmtId="0" fontId="43" fillId="0" borderId="13" xfId="0" applyFont="1" applyBorder="1" applyAlignment="1" applyProtection="1">
      <alignment horizontal="justify"/>
    </xf>
    <xf numFmtId="0" fontId="5" fillId="0" borderId="13" xfId="0" applyFont="1" applyBorder="1" applyAlignment="1" applyProtection="1">
      <alignment wrapText="1"/>
    </xf>
    <xf numFmtId="0" fontId="153" fillId="0" borderId="0" xfId="0" applyFont="1" applyAlignment="1" applyProtection="1">
      <alignment horizontal="justify" vertical="top" wrapText="1"/>
    </xf>
    <xf numFmtId="0" fontId="5" fillId="0" borderId="0" xfId="0" applyFont="1" applyBorder="1" applyAlignment="1" applyProtection="1">
      <alignment horizontal="center" wrapText="1"/>
    </xf>
    <xf numFmtId="0" fontId="5" fillId="7" borderId="0" xfId="0" applyFont="1" applyFill="1" applyProtection="1"/>
    <xf numFmtId="0" fontId="26" fillId="0" borderId="0" xfId="1" applyNumberFormat="1" applyFont="1" applyFill="1" applyAlignment="1" applyProtection="1">
      <alignment horizontal="center"/>
    </xf>
    <xf numFmtId="164" fontId="13" fillId="0" borderId="81" xfId="1" applyNumberFormat="1" applyFont="1" applyFill="1" applyBorder="1" applyProtection="1"/>
    <xf numFmtId="39" fontId="13" fillId="0" borderId="8" xfId="1" applyNumberFormat="1" applyFont="1" applyFill="1" applyBorder="1" applyAlignment="1" applyProtection="1">
      <alignment horizontal="right"/>
    </xf>
    <xf numFmtId="0" fontId="85" fillId="0" borderId="40" xfId="0" applyFont="1" applyFill="1" applyBorder="1" applyAlignment="1" applyProtection="1"/>
    <xf numFmtId="0" fontId="28" fillId="0" borderId="0" xfId="0" applyFont="1" applyFill="1" applyBorder="1" applyAlignment="1" applyProtection="1">
      <alignment vertical="center"/>
    </xf>
    <xf numFmtId="0" fontId="28" fillId="0" borderId="41" xfId="0" applyFont="1" applyFill="1" applyBorder="1" applyAlignment="1" applyProtection="1">
      <alignment vertical="center"/>
    </xf>
    <xf numFmtId="3" fontId="5" fillId="0" borderId="41" xfId="0" applyNumberFormat="1" applyFont="1" applyFill="1" applyBorder="1" applyAlignment="1" applyProtection="1">
      <alignment horizontal="center" vertical="center"/>
    </xf>
    <xf numFmtId="0" fontId="85" fillId="0" borderId="40" xfId="0" applyFont="1" applyFill="1" applyBorder="1" applyAlignment="1" applyProtection="1">
      <alignment vertical="center"/>
    </xf>
    <xf numFmtId="0" fontId="14" fillId="0" borderId="0" xfId="0" applyFont="1" applyFill="1" applyAlignment="1" applyProtection="1">
      <alignment vertical="top"/>
    </xf>
    <xf numFmtId="0" fontId="9" fillId="0" borderId="0" xfId="13" applyFont="1" applyFill="1" applyBorder="1" applyAlignment="1" applyProtection="1">
      <alignment horizontal="left" vertical="center"/>
    </xf>
    <xf numFmtId="3" fontId="46" fillId="0" borderId="86" xfId="1" applyNumberFormat="1" applyFont="1" applyFill="1" applyBorder="1" applyAlignment="1" applyProtection="1">
      <alignment horizontal="center" vertical="center"/>
    </xf>
    <xf numFmtId="3" fontId="43" fillId="0" borderId="86" xfId="10" applyNumberFormat="1" applyFont="1" applyBorder="1" applyAlignment="1" applyProtection="1">
      <alignment horizontal="center" vertical="center"/>
    </xf>
    <xf numFmtId="0" fontId="93" fillId="0" borderId="0" xfId="0" applyFont="1" applyFill="1" applyBorder="1" applyProtection="1"/>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6" fillId="0" borderId="0" xfId="13" applyFont="1" applyProtection="1"/>
    <xf numFmtId="0" fontId="117" fillId="0" borderId="0" xfId="13" quotePrefix="1" applyFont="1" applyProtection="1"/>
    <xf numFmtId="0" fontId="117" fillId="0" borderId="83" xfId="13" applyFont="1" applyBorder="1" applyProtection="1"/>
    <xf numFmtId="0" fontId="26" fillId="0" borderId="0" xfId="13" applyFont="1" applyAlignment="1" applyProtection="1">
      <alignment horizontal="centerContinuous"/>
    </xf>
    <xf numFmtId="0" fontId="10" fillId="0" borderId="0" xfId="13" applyFont="1" applyAlignment="1" applyProtection="1">
      <alignment horizontal="centerContinuous"/>
    </xf>
    <xf numFmtId="0" fontId="137" fillId="0" borderId="0" xfId="13" applyFont="1" applyAlignment="1" applyProtection="1">
      <alignment horizontal="centerContinuous"/>
    </xf>
    <xf numFmtId="0" fontId="10" fillId="0" borderId="0" xfId="13" applyFont="1" applyProtection="1"/>
    <xf numFmtId="0" fontId="26" fillId="0" borderId="0" xfId="13" applyFont="1" applyProtection="1"/>
    <xf numFmtId="174" fontId="10" fillId="0" borderId="0" xfId="13" applyNumberFormat="1" applyFont="1" applyAlignment="1" applyProtection="1">
      <alignment horizontal="left"/>
    </xf>
    <xf numFmtId="6" fontId="10" fillId="0" borderId="0" xfId="13" applyNumberFormat="1" applyFont="1" applyAlignment="1" applyProtection="1">
      <alignment horizontal="left"/>
    </xf>
    <xf numFmtId="3" fontId="10" fillId="0" borderId="0" xfId="13" applyNumberFormat="1" applyFont="1" applyAlignment="1" applyProtection="1">
      <alignment horizontal="left"/>
    </xf>
    <xf numFmtId="0" fontId="10" fillId="0" borderId="0" xfId="13" applyFont="1" applyAlignment="1" applyProtection="1">
      <alignment horizontal="center"/>
    </xf>
    <xf numFmtId="0" fontId="135" fillId="0" borderId="0" xfId="13" applyFont="1" applyProtection="1"/>
    <xf numFmtId="0" fontId="5" fillId="0" borderId="0" xfId="13" applyFont="1" applyProtection="1"/>
    <xf numFmtId="3" fontId="10" fillId="0" borderId="0" xfId="13" applyNumberFormat="1" applyFont="1" applyAlignment="1" applyProtection="1">
      <alignment vertical="top"/>
    </xf>
    <xf numFmtId="0" fontId="10" fillId="0" borderId="0" xfId="13" applyFont="1" applyAlignment="1" applyProtection="1">
      <alignment vertical="top"/>
    </xf>
    <xf numFmtId="0" fontId="155" fillId="0" borderId="77" xfId="13" applyFont="1" applyBorder="1" applyAlignment="1" applyProtection="1">
      <alignment horizontal="center" vertical="center"/>
    </xf>
    <xf numFmtId="0" fontId="155" fillId="0" borderId="21" xfId="13" applyFont="1" applyBorder="1" applyAlignment="1" applyProtection="1">
      <alignment horizontal="center" vertical="center"/>
    </xf>
    <xf numFmtId="0" fontId="155" fillId="0" borderId="74" xfId="13" applyFont="1" applyBorder="1" applyAlignment="1" applyProtection="1">
      <alignment horizontal="center" vertical="center"/>
    </xf>
    <xf numFmtId="0" fontId="10" fillId="0" borderId="0" xfId="13" applyFont="1" applyFill="1" applyAlignment="1" applyProtection="1">
      <alignment horizontal="left" wrapText="1"/>
    </xf>
    <xf numFmtId="38" fontId="4" fillId="0" borderId="42" xfId="13" applyNumberFormat="1" applyFont="1" applyBorder="1" applyAlignment="1" applyProtection="1">
      <alignment horizontal="center" vertical="top"/>
    </xf>
    <xf numFmtId="38" fontId="4" fillId="0" borderId="20" xfId="13" applyNumberFormat="1" applyFont="1" applyBorder="1" applyAlignment="1" applyProtection="1">
      <alignment horizontal="center" vertical="top"/>
    </xf>
    <xf numFmtId="0" fontId="4" fillId="0" borderId="59" xfId="13" applyFont="1" applyBorder="1" applyAlignment="1" applyProtection="1">
      <alignment horizontal="center" vertical="top"/>
    </xf>
    <xf numFmtId="0" fontId="135" fillId="0" borderId="0" xfId="13" applyFont="1" applyAlignment="1" applyProtection="1">
      <alignment vertical="center"/>
    </xf>
    <xf numFmtId="0" fontId="10" fillId="0" borderId="38" xfId="13" applyFont="1" applyBorder="1" applyAlignment="1" applyProtection="1">
      <alignment horizontal="center" vertical="top"/>
    </xf>
    <xf numFmtId="0" fontId="135" fillId="0" borderId="0" xfId="13" applyFont="1" applyAlignment="1" applyProtection="1">
      <alignment horizontal="left" vertical="top"/>
    </xf>
    <xf numFmtId="0" fontId="137" fillId="0" borderId="0" xfId="13" applyFont="1" applyAlignment="1" applyProtection="1">
      <alignment horizontal="left"/>
    </xf>
    <xf numFmtId="0" fontId="10" fillId="0" borderId="38" xfId="13" applyFont="1" applyBorder="1" applyAlignment="1" applyProtection="1">
      <alignment vertical="top"/>
    </xf>
    <xf numFmtId="0" fontId="10" fillId="10" borderId="0" xfId="13" applyFont="1" applyFill="1" applyAlignment="1" applyProtection="1">
      <alignment horizontal="center" vertical="top"/>
    </xf>
    <xf numFmtId="0" fontId="10" fillId="0" borderId="83" xfId="13" applyFont="1" applyBorder="1" applyProtection="1"/>
    <xf numFmtId="0" fontId="117" fillId="0" borderId="0" xfId="13" applyFont="1" applyAlignment="1" applyProtection="1">
      <alignment horizontal="centerContinuous"/>
    </xf>
    <xf numFmtId="0" fontId="6" fillId="18" borderId="0" xfId="13" applyFont="1" applyFill="1" applyProtection="1"/>
    <xf numFmtId="0" fontId="117" fillId="18" borderId="0" xfId="13" applyFont="1" applyFill="1" applyProtection="1"/>
    <xf numFmtId="176"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6" fillId="0" borderId="0" xfId="13" applyFont="1" applyFill="1" applyProtection="1"/>
    <xf numFmtId="0" fontId="131" fillId="0" borderId="0" xfId="13" applyFont="1" applyProtection="1"/>
    <xf numFmtId="0" fontId="117" fillId="5" borderId="0" xfId="13" applyFont="1" applyFill="1" applyProtection="1"/>
    <xf numFmtId="0" fontId="139" fillId="0" borderId="0" xfId="13" applyFont="1" applyFill="1" applyAlignment="1" applyProtection="1">
      <alignment horizontal="center"/>
    </xf>
    <xf numFmtId="180" fontId="117" fillId="0" borderId="0" xfId="13" applyNumberFormat="1" applyFont="1" applyFill="1" applyProtection="1"/>
    <xf numFmtId="180" fontId="117" fillId="0" borderId="0" xfId="13" applyNumberFormat="1" applyFont="1" applyProtection="1"/>
    <xf numFmtId="176" fontId="117" fillId="0" borderId="0" xfId="13" applyNumberFormat="1" applyFont="1" applyAlignment="1" applyProtection="1">
      <alignment horizontal="left"/>
    </xf>
    <xf numFmtId="0" fontId="6"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6" fillId="0" borderId="0" xfId="13" applyFont="1" applyAlignment="1" applyProtection="1">
      <alignment horizontal="right"/>
    </xf>
    <xf numFmtId="5" fontId="117" fillId="0" borderId="65"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9"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6" fillId="0" borderId="0" xfId="13" applyFont="1" applyAlignment="1" applyProtection="1">
      <alignment horizontal="centerContinuous"/>
    </xf>
    <xf numFmtId="0" fontId="128" fillId="0" borderId="0" xfId="13" applyFont="1" applyProtection="1"/>
    <xf numFmtId="0" fontId="128" fillId="0" borderId="77" xfId="13" applyFont="1" applyBorder="1" applyProtection="1"/>
    <xf numFmtId="165" fontId="117" fillId="5" borderId="74"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5" xfId="13" applyFont="1" applyFill="1" applyBorder="1" applyAlignment="1" applyProtection="1">
      <alignment vertical="center"/>
    </xf>
    <xf numFmtId="6" fontId="117" fillId="0" borderId="85"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6" fillId="0" borderId="0" xfId="13" applyFont="1" applyFill="1" applyBorder="1" applyAlignment="1" applyProtection="1">
      <alignment vertical="center"/>
    </xf>
    <xf numFmtId="6" fontId="6"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6" fillId="0" borderId="85" xfId="13" applyFont="1" applyFill="1" applyBorder="1" applyAlignment="1" applyProtection="1">
      <alignment vertical="center"/>
    </xf>
    <xf numFmtId="6" fontId="6" fillId="0" borderId="85" xfId="13" applyNumberFormat="1" applyFont="1" applyFill="1" applyBorder="1" applyAlignment="1" applyProtection="1">
      <alignment vertical="center"/>
    </xf>
    <xf numFmtId="6" fontId="6" fillId="0" borderId="0" xfId="13" applyNumberFormat="1" applyFont="1" applyFill="1" applyAlignment="1" applyProtection="1">
      <alignment vertical="center"/>
    </xf>
    <xf numFmtId="0" fontId="6" fillId="0" borderId="0" xfId="13" applyFont="1" applyFill="1" applyAlignment="1" applyProtection="1">
      <alignment vertical="center"/>
    </xf>
    <xf numFmtId="6" fontId="6" fillId="0" borderId="0" xfId="13" applyNumberFormat="1" applyFont="1" applyFill="1" applyAlignment="1" applyProtection="1">
      <alignment horizontal="right" vertical="center"/>
    </xf>
    <xf numFmtId="0" fontId="9"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6" fillId="0" borderId="0" xfId="13" applyNumberFormat="1" applyFont="1" applyProtection="1"/>
    <xf numFmtId="6" fontId="26" fillId="10" borderId="0" xfId="1" applyNumberFormat="1" applyFont="1" applyFill="1" applyAlignment="1" applyProtection="1">
      <alignment horizontal="right"/>
    </xf>
    <xf numFmtId="3" fontId="10" fillId="0" borderId="0" xfId="13" applyNumberFormat="1" applyFont="1" applyProtection="1"/>
    <xf numFmtId="0" fontId="10" fillId="0" borderId="13" xfId="13" applyFont="1" applyBorder="1" applyAlignment="1" applyProtection="1">
      <alignment horizontal="center"/>
    </xf>
    <xf numFmtId="6" fontId="26" fillId="0" borderId="0" xfId="1" applyNumberFormat="1" applyFont="1" applyProtection="1"/>
    <xf numFmtId="165" fontId="26" fillId="10" borderId="0" xfId="13" applyNumberFormat="1" applyFont="1" applyFill="1" applyProtection="1"/>
    <xf numFmtId="38" fontId="10" fillId="5" borderId="0" xfId="13" applyNumberFormat="1" applyFont="1" applyFill="1" applyProtection="1"/>
    <xf numFmtId="38" fontId="10" fillId="0" borderId="0" xfId="13" applyNumberFormat="1" applyFont="1" applyProtection="1"/>
    <xf numFmtId="0" fontId="26" fillId="0" borderId="0" xfId="13" applyFont="1" applyAlignment="1" applyProtection="1">
      <alignment horizontal="right"/>
    </xf>
    <xf numFmtId="6" fontId="10" fillId="0" borderId="0" xfId="13" applyNumberFormat="1" applyFont="1" applyProtection="1"/>
    <xf numFmtId="0" fontId="132" fillId="0" borderId="0" xfId="13" applyFont="1" applyAlignment="1" applyProtection="1">
      <alignment horizontal="right"/>
    </xf>
    <xf numFmtId="6" fontId="10" fillId="0" borderId="0" xfId="13" applyNumberFormat="1" applyFont="1" applyAlignment="1" applyProtection="1">
      <alignment horizontal="right"/>
    </xf>
    <xf numFmtId="10" fontId="10" fillId="10" borderId="0" xfId="13" applyNumberFormat="1" applyFont="1" applyFill="1" applyProtection="1"/>
    <xf numFmtId="0" fontId="10" fillId="0" borderId="0" xfId="0" applyFont="1" applyFill="1" applyProtection="1"/>
    <xf numFmtId="0" fontId="10" fillId="0" borderId="0" xfId="0" applyFont="1" applyProtection="1"/>
    <xf numFmtId="0" fontId="10" fillId="0" borderId="0" xfId="13" applyFont="1" applyFill="1" applyProtection="1"/>
    <xf numFmtId="6" fontId="10" fillId="0" borderId="0" xfId="1" applyNumberFormat="1" applyFont="1" applyProtection="1"/>
    <xf numFmtId="6" fontId="10" fillId="0" borderId="0" xfId="1" applyNumberFormat="1" applyFont="1" applyAlignment="1" applyProtection="1">
      <alignment horizontal="right"/>
    </xf>
    <xf numFmtId="8" fontId="10" fillId="0" borderId="0" xfId="13" applyNumberFormat="1" applyFont="1" applyProtection="1"/>
    <xf numFmtId="0" fontId="10" fillId="18" borderId="0" xfId="13" applyFont="1" applyFill="1" applyProtection="1"/>
    <xf numFmtId="10" fontId="10" fillId="0" borderId="0" xfId="13" applyNumberFormat="1" applyFont="1" applyProtection="1"/>
    <xf numFmtId="6" fontId="10" fillId="19" borderId="0" xfId="13" applyNumberFormat="1" applyFont="1" applyFill="1" applyProtection="1"/>
    <xf numFmtId="0" fontId="10" fillId="0" borderId="0" xfId="13" applyFont="1" applyAlignment="1" applyProtection="1">
      <alignment vertical="center"/>
    </xf>
    <xf numFmtId="0" fontId="10" fillId="0" borderId="78" xfId="13" applyFont="1" applyBorder="1" applyAlignment="1" applyProtection="1">
      <alignment vertical="center"/>
    </xf>
    <xf numFmtId="0" fontId="10" fillId="0" borderId="82" xfId="13" applyFont="1" applyBorder="1" applyAlignment="1" applyProtection="1">
      <alignment vertical="center"/>
    </xf>
    <xf numFmtId="0" fontId="26" fillId="0" borderId="82" xfId="13" applyFont="1" applyBorder="1" applyAlignment="1" applyProtection="1">
      <alignment horizontal="right" vertical="center"/>
    </xf>
    <xf numFmtId="0" fontId="4" fillId="0" borderId="0" xfId="13" applyFont="1" applyProtection="1"/>
    <xf numFmtId="0" fontId="4" fillId="0" borderId="0" xfId="13" applyFont="1" applyAlignment="1" applyProtection="1">
      <alignment horizontal="center" vertical="center"/>
    </xf>
    <xf numFmtId="0" fontId="4" fillId="0" borderId="0" xfId="13" applyFont="1" applyAlignment="1" applyProtection="1">
      <alignment horizontal="center"/>
    </xf>
    <xf numFmtId="0" fontId="23" fillId="0" borderId="0" xfId="13" applyFont="1" applyProtection="1"/>
    <xf numFmtId="0" fontId="4" fillId="0" borderId="0" xfId="13" applyFont="1" applyBorder="1" applyAlignment="1" applyProtection="1">
      <alignment vertical="center"/>
    </xf>
    <xf numFmtId="0" fontId="53" fillId="0" borderId="0" xfId="13" applyFont="1" applyProtection="1"/>
    <xf numFmtId="0" fontId="9" fillId="0" borderId="0" xfId="13" applyFont="1" applyFill="1" applyProtection="1"/>
    <xf numFmtId="0" fontId="9" fillId="0" borderId="0" xfId="13" applyFont="1" applyAlignment="1" applyProtection="1">
      <alignment horizontal="left"/>
    </xf>
    <xf numFmtId="0" fontId="9" fillId="0" borderId="0" xfId="13" applyFont="1" applyFill="1" applyAlignment="1" applyProtection="1">
      <alignment horizontal="left"/>
    </xf>
    <xf numFmtId="0" fontId="4" fillId="0" borderId="0" xfId="13" applyFont="1" applyAlignment="1" applyProtection="1">
      <alignment horizontal="right"/>
    </xf>
    <xf numFmtId="0" fontId="9" fillId="0" borderId="58" xfId="13" applyFont="1" applyBorder="1" applyAlignment="1" applyProtection="1">
      <alignment horizontal="center"/>
    </xf>
    <xf numFmtId="0" fontId="9" fillId="0" borderId="85" xfId="13" applyFont="1" applyBorder="1" applyAlignment="1" applyProtection="1">
      <alignment horizontal="center"/>
    </xf>
    <xf numFmtId="0" fontId="9" fillId="0" borderId="0" xfId="13" applyFont="1" applyBorder="1" applyAlignment="1" applyProtection="1">
      <alignment horizontal="center"/>
    </xf>
    <xf numFmtId="0" fontId="4" fillId="0" borderId="0" xfId="13" applyFont="1" applyAlignment="1" applyProtection="1">
      <alignment vertical="top"/>
    </xf>
    <xf numFmtId="0" fontId="9" fillId="0" borderId="0" xfId="13" applyFont="1" applyAlignment="1" applyProtection="1">
      <alignment horizontal="center"/>
    </xf>
    <xf numFmtId="0" fontId="9" fillId="0" borderId="0" xfId="13" applyFont="1" applyFill="1" applyAlignment="1" applyProtection="1">
      <alignment vertical="top" wrapText="1"/>
    </xf>
    <xf numFmtId="0" fontId="9" fillId="0" borderId="0" xfId="13" applyFont="1" applyFill="1" applyBorder="1" applyAlignment="1" applyProtection="1">
      <alignment vertical="top" wrapText="1"/>
    </xf>
    <xf numFmtId="0" fontId="9" fillId="0" borderId="0" xfId="13" applyFont="1" applyAlignment="1" applyProtection="1">
      <alignment vertical="top"/>
    </xf>
    <xf numFmtId="0" fontId="4" fillId="0" borderId="0" xfId="13" applyFont="1" applyAlignment="1" applyProtection="1">
      <alignment horizontal="left"/>
    </xf>
    <xf numFmtId="38" fontId="9" fillId="0" borderId="0" xfId="13" applyNumberFormat="1" applyFont="1" applyProtection="1"/>
    <xf numFmtId="0" fontId="9" fillId="0" borderId="0" xfId="13" applyFont="1" applyBorder="1" applyProtection="1"/>
    <xf numFmtId="9" fontId="4" fillId="0" borderId="0" xfId="13" applyNumberFormat="1" applyFont="1" applyAlignment="1" applyProtection="1">
      <alignment horizontal="left"/>
    </xf>
    <xf numFmtId="10" fontId="9" fillId="10" borderId="13" xfId="13" applyNumberFormat="1" applyFont="1" applyFill="1" applyBorder="1" applyAlignment="1" applyProtection="1">
      <alignment horizontal="left"/>
    </xf>
    <xf numFmtId="0" fontId="9" fillId="0" borderId="13" xfId="13" applyFont="1" applyFill="1" applyBorder="1" applyAlignment="1" applyProtection="1">
      <alignment horizontal="left"/>
    </xf>
    <xf numFmtId="0" fontId="9" fillId="0" borderId="13" xfId="13" applyFont="1" applyBorder="1" applyAlignment="1" applyProtection="1">
      <alignment horizontal="left"/>
    </xf>
    <xf numFmtId="180" fontId="9" fillId="0" borderId="0" xfId="13" applyNumberFormat="1" applyFont="1" applyProtection="1"/>
    <xf numFmtId="0" fontId="9" fillId="10" borderId="0" xfId="13" applyFont="1" applyFill="1" applyAlignment="1" applyProtection="1">
      <alignment horizontal="left"/>
    </xf>
    <xf numFmtId="180" fontId="4" fillId="0" borderId="0" xfId="13" applyNumberFormat="1" applyFont="1" applyAlignment="1" applyProtection="1">
      <alignment horizontal="left"/>
    </xf>
    <xf numFmtId="180" fontId="11" fillId="0" borderId="0" xfId="0" applyNumberFormat="1" applyFont="1" applyAlignment="1" applyProtection="1">
      <alignment wrapText="1"/>
    </xf>
    <xf numFmtId="0" fontId="4" fillId="0" borderId="0" xfId="13" quotePrefix="1" applyFont="1" applyProtection="1"/>
    <xf numFmtId="38" fontId="9" fillId="0" borderId="13" xfId="13" applyNumberFormat="1" applyFont="1" applyBorder="1" applyAlignment="1" applyProtection="1">
      <alignment horizontal="left"/>
    </xf>
    <xf numFmtId="180" fontId="9" fillId="0" borderId="0" xfId="13" quotePrefix="1" applyNumberFormat="1" applyFont="1" applyFill="1" applyProtection="1"/>
    <xf numFmtId="0" fontId="4" fillId="0" borderId="0" xfId="13" applyFont="1" applyBorder="1" applyAlignment="1" applyProtection="1">
      <alignment horizontal="left"/>
    </xf>
    <xf numFmtId="180" fontId="9" fillId="0" borderId="0" xfId="13" applyNumberFormat="1" applyFont="1" applyFill="1" applyProtection="1"/>
    <xf numFmtId="180" fontId="9" fillId="0" borderId="0" xfId="13" applyNumberFormat="1" applyFont="1" applyFill="1" applyAlignment="1" applyProtection="1">
      <alignment horizontal="left"/>
    </xf>
    <xf numFmtId="0" fontId="9" fillId="0" borderId="0" xfId="13" applyFont="1" applyFill="1" applyAlignment="1" applyProtection="1">
      <alignment horizontal="right"/>
    </xf>
    <xf numFmtId="0" fontId="4" fillId="0" borderId="0" xfId="13" applyFont="1" applyFill="1" applyProtection="1"/>
    <xf numFmtId="0" fontId="9" fillId="0" borderId="0" xfId="13" applyFont="1" applyFill="1" applyAlignment="1" applyProtection="1"/>
    <xf numFmtId="0" fontId="9" fillId="0" borderId="0" xfId="13" applyFont="1" applyAlignment="1" applyProtection="1"/>
    <xf numFmtId="180" fontId="9" fillId="0" borderId="0" xfId="13" applyNumberFormat="1" applyFont="1" applyAlignment="1" applyProtection="1">
      <alignment horizontal="left"/>
    </xf>
    <xf numFmtId="0" fontId="4" fillId="0" borderId="0" xfId="13" applyFont="1" applyBorder="1" applyProtection="1"/>
    <xf numFmtId="0" fontId="142" fillId="0" borderId="0" xfId="13" applyFont="1" applyProtection="1"/>
    <xf numFmtId="0" fontId="4" fillId="0" borderId="0" xfId="13" applyFont="1" applyAlignment="1" applyProtection="1"/>
    <xf numFmtId="0" fontId="4" fillId="0" borderId="0" xfId="13" applyFont="1" applyAlignment="1" applyProtection="1">
      <alignment horizontal="center" vertical="top"/>
    </xf>
    <xf numFmtId="0" fontId="4" fillId="0" borderId="0" xfId="13" applyFont="1" applyAlignment="1" applyProtection="1">
      <alignment vertical="top" wrapText="1"/>
    </xf>
    <xf numFmtId="3" fontId="99" fillId="10" borderId="13" xfId="13" applyNumberFormat="1" applyFont="1" applyFill="1" applyBorder="1" applyAlignment="1" applyProtection="1">
      <alignment horizontal="center"/>
    </xf>
    <xf numFmtId="0" fontId="29" fillId="0" borderId="0" xfId="13" applyFont="1" applyProtection="1"/>
    <xf numFmtId="0" fontId="4" fillId="0" borderId="0" xfId="13" quotePrefix="1" applyFont="1" applyAlignment="1" applyProtection="1">
      <alignment horizontal="center" vertical="top"/>
    </xf>
    <xf numFmtId="180" fontId="9" fillId="10" borderId="13" xfId="13" applyNumberFormat="1" applyFont="1" applyFill="1" applyBorder="1" applyAlignment="1" applyProtection="1">
      <alignment horizontal="center" vertical="top"/>
    </xf>
    <xf numFmtId="0" fontId="21" fillId="0" borderId="0" xfId="13" applyFont="1" applyAlignment="1" applyProtection="1">
      <alignment horizontal="right" vertical="top"/>
    </xf>
    <xf numFmtId="0" fontId="21" fillId="0" borderId="0" xfId="13" applyFont="1" applyAlignment="1" applyProtection="1">
      <alignment horizontal="center"/>
    </xf>
    <xf numFmtId="3" fontId="46" fillId="0" borderId="16" xfId="1" applyNumberFormat="1" applyFont="1" applyFill="1" applyBorder="1" applyAlignment="1" applyProtection="1">
      <alignment horizontal="center" vertical="center"/>
    </xf>
    <xf numFmtId="3" fontId="46" fillId="0" borderId="18" xfId="1" applyNumberFormat="1" applyFont="1" applyFill="1" applyBorder="1" applyAlignment="1" applyProtection="1">
      <alignment horizontal="center" vertical="center"/>
    </xf>
    <xf numFmtId="0" fontId="46" fillId="0" borderId="7" xfId="0" applyFont="1" applyFill="1" applyBorder="1" applyAlignment="1" applyProtection="1">
      <alignment wrapText="1"/>
    </xf>
    <xf numFmtId="0" fontId="43" fillId="0" borderId="0" xfId="0" applyFont="1" applyFill="1" applyAlignment="1" applyProtection="1">
      <alignment horizontal="right" vertical="center"/>
    </xf>
    <xf numFmtId="0" fontId="43" fillId="0" borderId="0" xfId="0" applyFont="1" applyAlignment="1" applyProtection="1">
      <alignment horizontal="justify" vertical="center"/>
    </xf>
    <xf numFmtId="0" fontId="146" fillId="0" borderId="0" xfId="0" applyFont="1" applyFill="1" applyAlignment="1" applyProtection="1">
      <alignment horizontal="center" vertical="center"/>
    </xf>
    <xf numFmtId="38" fontId="5" fillId="0" borderId="0" xfId="0" applyNumberFormat="1" applyFont="1" applyAlignment="1" applyProtection="1">
      <alignment horizontal="right" vertical="center" wrapText="1"/>
    </xf>
    <xf numFmtId="3" fontId="43" fillId="0" borderId="0" xfId="0" applyNumberFormat="1" applyFont="1" applyFill="1" applyAlignment="1" applyProtection="1">
      <alignment horizontal="center" vertical="center"/>
    </xf>
    <xf numFmtId="0" fontId="43" fillId="0" borderId="0" xfId="0" applyFont="1" applyBorder="1" applyAlignment="1" applyProtection="1">
      <alignment horizontal="justify" vertical="center"/>
    </xf>
    <xf numFmtId="37" fontId="146" fillId="0" borderId="0" xfId="0" applyNumberFormat="1" applyFont="1" applyFill="1" applyAlignment="1" applyProtection="1">
      <alignment horizontal="center" vertical="center"/>
    </xf>
    <xf numFmtId="0" fontId="76" fillId="0" borderId="0" xfId="0" applyFont="1" applyAlignment="1" applyProtection="1">
      <alignment horizontal="center"/>
    </xf>
    <xf numFmtId="0" fontId="75" fillId="0" borderId="0" xfId="0" applyFont="1" applyAlignment="1" applyProtection="1">
      <alignment horizontal="center"/>
    </xf>
    <xf numFmtId="0" fontId="4" fillId="0" borderId="0" xfId="0" applyFont="1" applyFill="1" applyBorder="1" applyAlignment="1" applyProtection="1">
      <alignment vertical="center" wrapText="1"/>
    </xf>
    <xf numFmtId="0" fontId="9" fillId="0" borderId="0" xfId="0" applyFont="1" applyFill="1" applyBorder="1" applyAlignment="1" applyProtection="1">
      <alignment vertical="center" wrapText="1"/>
    </xf>
    <xf numFmtId="0" fontId="11" fillId="0" borderId="0" xfId="0" applyFont="1" applyFill="1" applyBorder="1" applyAlignment="1" applyProtection="1">
      <alignment vertical="center"/>
    </xf>
    <xf numFmtId="0" fontId="151" fillId="0" borderId="0" xfId="0" applyFont="1" applyFill="1" applyBorder="1" applyAlignment="1" applyProtection="1">
      <alignment horizontal="center"/>
    </xf>
    <xf numFmtId="0" fontId="19" fillId="0" borderId="0" xfId="0" applyFont="1" applyFill="1" applyBorder="1" applyAlignment="1" applyProtection="1">
      <alignment vertical="top"/>
    </xf>
    <xf numFmtId="0" fontId="9" fillId="0" borderId="0" xfId="0" applyFont="1" applyFill="1" applyBorder="1" applyAlignment="1" applyProtection="1">
      <alignment horizontal="center" vertical="center" wrapText="1"/>
    </xf>
    <xf numFmtId="3" fontId="13" fillId="0" borderId="0" xfId="0" applyNumberFormat="1" applyFont="1" applyFill="1" applyBorder="1" applyAlignment="1" applyProtection="1">
      <alignment vertical="center"/>
    </xf>
    <xf numFmtId="3" fontId="13" fillId="0" borderId="0" xfId="1" applyNumberFormat="1" applyFont="1" applyFill="1" applyBorder="1" applyAlignment="1" applyProtection="1">
      <alignment vertical="center"/>
    </xf>
    <xf numFmtId="3" fontId="5" fillId="0" borderId="0" xfId="0" applyNumberFormat="1" applyFont="1" applyFill="1" applyBorder="1" applyAlignment="1" applyProtection="1">
      <alignment horizontal="center" vertical="center"/>
    </xf>
    <xf numFmtId="38" fontId="46" fillId="0" borderId="0" xfId="0" applyNumberFormat="1" applyFont="1" applyFill="1" applyBorder="1" applyAlignment="1" applyProtection="1">
      <alignment horizontal="left" vertical="center"/>
    </xf>
    <xf numFmtId="0" fontId="54"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top"/>
    </xf>
    <xf numFmtId="0" fontId="5" fillId="0" borderId="0" xfId="0" applyFont="1" applyFill="1" applyBorder="1" applyAlignment="1" applyProtection="1">
      <alignment horizontal="left"/>
    </xf>
    <xf numFmtId="0" fontId="15" fillId="0" borderId="23" xfId="0" applyFont="1" applyFill="1" applyBorder="1" applyAlignment="1" applyProtection="1">
      <alignment horizontal="center" vertical="top" wrapText="1"/>
    </xf>
    <xf numFmtId="38" fontId="15" fillId="0" borderId="0" xfId="0" applyNumberFormat="1" applyFont="1" applyFill="1" applyBorder="1" applyAlignment="1" applyProtection="1">
      <alignment horizontal="center"/>
    </xf>
    <xf numFmtId="0" fontId="9" fillId="0" borderId="0" xfId="0" applyFont="1" applyFill="1" applyBorder="1" applyAlignment="1" applyProtection="1">
      <alignment horizontal="center" vertical="center"/>
    </xf>
    <xf numFmtId="0" fontId="15" fillId="0" borderId="0" xfId="0" quotePrefix="1" applyFont="1" applyFill="1" applyAlignment="1" applyProtection="1">
      <alignment horizontal="left" vertical="center"/>
    </xf>
    <xf numFmtId="0" fontId="5" fillId="0" borderId="0" xfId="0" quotePrefix="1" applyFont="1" applyAlignment="1" applyProtection="1">
      <alignment horizontal="center" vertical="center"/>
    </xf>
    <xf numFmtId="0" fontId="17" fillId="0" borderId="0" xfId="0" applyFont="1" applyFill="1" applyAlignment="1" applyProtection="1">
      <alignment horizontal="left" vertical="center"/>
    </xf>
    <xf numFmtId="0" fontId="5" fillId="0" borderId="0" xfId="0" quotePrefix="1" applyFont="1" applyFill="1" applyAlignment="1" applyProtection="1">
      <alignment horizontal="left" vertical="center"/>
    </xf>
    <xf numFmtId="0" fontId="11"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center"/>
    </xf>
    <xf numFmtId="0" fontId="5" fillId="0" borderId="0" xfId="0" applyFont="1" applyFill="1" applyBorder="1" applyAlignment="1" applyProtection="1">
      <alignment vertical="top" wrapText="1"/>
    </xf>
    <xf numFmtId="10" fontId="15" fillId="0" borderId="0" xfId="0" applyNumberFormat="1" applyFont="1" applyFill="1" applyBorder="1" applyAlignment="1" applyProtection="1">
      <alignment horizontal="center" vertical="center"/>
    </xf>
    <xf numFmtId="0" fontId="11" fillId="0" borderId="0" xfId="0" applyFont="1" applyFill="1" applyBorder="1" applyAlignment="1" applyProtection="1">
      <alignment horizontal="left" vertical="center"/>
    </xf>
    <xf numFmtId="38" fontId="14" fillId="0" borderId="16" xfId="0" applyNumberFormat="1" applyFont="1" applyFill="1" applyBorder="1" applyAlignment="1" applyProtection="1">
      <alignment horizontal="center" vertical="center"/>
    </xf>
    <xf numFmtId="0" fontId="52" fillId="0" borderId="0" xfId="0" applyFont="1" applyFill="1" applyAlignment="1" applyProtection="1">
      <alignment horizontal="center" vertical="center"/>
    </xf>
    <xf numFmtId="1" fontId="5" fillId="0" borderId="0" xfId="0" applyNumberFormat="1" applyFont="1" applyFill="1" applyBorder="1" applyAlignment="1" applyProtection="1">
      <alignment horizontal="left" vertical="center"/>
    </xf>
    <xf numFmtId="38" fontId="14" fillId="0" borderId="0" xfId="0" applyNumberFormat="1" applyFont="1" applyFill="1" applyBorder="1" applyAlignment="1" applyProtection="1">
      <alignment horizontal="center" vertical="center"/>
    </xf>
    <xf numFmtId="38" fontId="14" fillId="0" borderId="86" xfId="0" applyNumberFormat="1" applyFont="1" applyFill="1" applyBorder="1" applyAlignment="1" applyProtection="1">
      <alignment horizontal="center" vertical="center"/>
    </xf>
    <xf numFmtId="0" fontId="14" fillId="0" borderId="0" xfId="0" applyFont="1" applyFill="1" applyAlignment="1" applyProtection="1">
      <alignment vertical="top" wrapText="1"/>
    </xf>
    <xf numFmtId="0" fontId="4" fillId="0" borderId="0" xfId="0" applyFont="1" applyFill="1" applyAlignment="1" applyProtection="1">
      <alignment horizontal="left"/>
    </xf>
    <xf numFmtId="0" fontId="14" fillId="0" borderId="0" xfId="0" applyFont="1" applyFill="1" applyAlignment="1" applyProtection="1">
      <alignment horizontal="right" vertical="center"/>
    </xf>
    <xf numFmtId="0" fontId="11" fillId="0" borderId="0" xfId="0" applyFont="1" applyFill="1" applyProtection="1"/>
    <xf numFmtId="0" fontId="14" fillId="0" borderId="0" xfId="0" applyFont="1" applyBorder="1" applyAlignment="1" applyProtection="1"/>
    <xf numFmtId="9" fontId="14" fillId="0" borderId="0" xfId="10" applyFont="1" applyFill="1" applyBorder="1" applyProtection="1"/>
    <xf numFmtId="0" fontId="162" fillId="0" borderId="0" xfId="0" applyFont="1" applyFill="1" applyProtection="1"/>
    <xf numFmtId="0" fontId="11" fillId="0" borderId="0" xfId="1" applyNumberFormat="1" applyFont="1" applyFill="1" applyAlignment="1" applyProtection="1">
      <alignment horizontal="center"/>
    </xf>
    <xf numFmtId="0" fontId="11" fillId="0" borderId="0" xfId="1" applyNumberFormat="1" applyFont="1" applyFill="1" applyBorder="1" applyAlignment="1" applyProtection="1">
      <alignment horizontal="center"/>
    </xf>
    <xf numFmtId="164" fontId="14" fillId="0" borderId="3" xfId="1" applyNumberFormat="1" applyFont="1" applyFill="1" applyBorder="1" applyAlignment="1" applyProtection="1">
      <alignment vertical="center"/>
    </xf>
    <xf numFmtId="0" fontId="72" fillId="0" borderId="0" xfId="0" applyFont="1" applyFill="1" applyProtection="1"/>
    <xf numFmtId="44" fontId="14" fillId="0" borderId="0" xfId="0" applyNumberFormat="1" applyFont="1" applyFill="1" applyProtection="1"/>
    <xf numFmtId="0" fontId="52" fillId="0" borderId="0" xfId="0" applyFont="1" applyFill="1" applyProtection="1"/>
    <xf numFmtId="0" fontId="52" fillId="0" borderId="0" xfId="0" applyFont="1" applyFill="1" applyAlignment="1" applyProtection="1">
      <alignment horizontal="right"/>
    </xf>
    <xf numFmtId="10" fontId="15" fillId="0" borderId="86" xfId="0" applyNumberFormat="1" applyFont="1" applyFill="1" applyBorder="1" applyAlignment="1" applyProtection="1">
      <alignment horizontal="center" vertical="center"/>
    </xf>
    <xf numFmtId="0" fontId="15" fillId="0" borderId="0" xfId="0" applyFont="1" applyFill="1" applyBorder="1" applyAlignment="1" applyProtection="1">
      <alignment vertical="top"/>
    </xf>
    <xf numFmtId="0" fontId="14" fillId="0" borderId="0" xfId="0" applyFont="1" applyAlignment="1" applyProtection="1"/>
    <xf numFmtId="0" fontId="14" fillId="0" borderId="0" xfId="0" applyFont="1" applyFill="1" applyBorder="1" applyAlignment="1" applyProtection="1">
      <alignment horizontal="left"/>
    </xf>
    <xf numFmtId="0" fontId="14" fillId="0" borderId="0" xfId="0" applyFont="1"/>
    <xf numFmtId="0" fontId="14" fillId="0" borderId="0" xfId="0" applyFont="1" applyFill="1" applyBorder="1" applyAlignment="1" applyProtection="1">
      <alignment wrapText="1"/>
    </xf>
    <xf numFmtId="0" fontId="14" fillId="20" borderId="0" xfId="0" applyFont="1" applyFill="1" applyProtection="1"/>
    <xf numFmtId="0" fontId="14" fillId="20" borderId="0" xfId="0" applyFont="1" applyFill="1" applyBorder="1" applyAlignment="1" applyProtection="1">
      <alignment horizontal="left"/>
    </xf>
    <xf numFmtId="0" fontId="48" fillId="0" borderId="0" xfId="0" applyFont="1" applyAlignment="1" applyProtection="1">
      <alignment horizontal="center"/>
    </xf>
    <xf numFmtId="9" fontId="46" fillId="0" borderId="0" xfId="0" applyNumberFormat="1" applyFont="1" applyFill="1" applyAlignment="1" applyProtection="1">
      <alignment horizontal="center" vertical="center"/>
    </xf>
    <xf numFmtId="0" fontId="8" fillId="0" borderId="0" xfId="0" applyFont="1" applyFill="1" applyAlignment="1" applyProtection="1">
      <alignment vertical="top"/>
    </xf>
    <xf numFmtId="0" fontId="38" fillId="0" borderId="0" xfId="0" applyFont="1" applyFill="1" applyAlignment="1" applyProtection="1">
      <alignment vertical="top"/>
    </xf>
    <xf numFmtId="0" fontId="136" fillId="0" borderId="0" xfId="0" applyFont="1" applyFill="1" applyBorder="1" applyAlignment="1" applyProtection="1">
      <alignment horizontal="center"/>
    </xf>
    <xf numFmtId="0" fontId="30" fillId="0" borderId="0" xfId="13" applyFont="1" applyFill="1" applyBorder="1" applyAlignment="1" applyProtection="1">
      <alignment vertical="center"/>
    </xf>
    <xf numFmtId="0" fontId="149" fillId="0" borderId="86" xfId="13" applyFont="1" applyFill="1" applyBorder="1" applyAlignment="1" applyProtection="1">
      <alignment horizontal="center" vertical="center" wrapText="1"/>
    </xf>
    <xf numFmtId="0" fontId="85" fillId="0" borderId="0" xfId="13" applyFont="1" applyFill="1" applyAlignment="1" applyProtection="1">
      <alignment horizontal="center" vertical="center"/>
    </xf>
    <xf numFmtId="0" fontId="43" fillId="0" borderId="0" xfId="13" applyFont="1" applyFill="1" applyAlignment="1" applyProtection="1">
      <alignment vertical="center"/>
    </xf>
    <xf numFmtId="0" fontId="43" fillId="0" borderId="0" xfId="13" applyFont="1" applyFill="1" applyBorder="1" applyAlignment="1" applyProtection="1">
      <alignment horizontal="left" vertical="center"/>
    </xf>
    <xf numFmtId="6" fontId="43" fillId="0" borderId="0" xfId="13" applyNumberFormat="1" applyFont="1" applyFill="1" applyBorder="1" applyAlignment="1" applyProtection="1">
      <alignment horizontal="center" vertical="center"/>
    </xf>
    <xf numFmtId="0" fontId="43" fillId="0" borderId="0" xfId="13" applyFont="1" applyFill="1" applyBorder="1" applyAlignment="1" applyProtection="1">
      <alignment horizontal="right" vertical="center" wrapText="1"/>
    </xf>
    <xf numFmtId="164" fontId="43" fillId="0" borderId="0" xfId="1" applyNumberFormat="1" applyFont="1" applyFill="1" applyAlignment="1" applyProtection="1">
      <alignment vertical="center"/>
    </xf>
    <xf numFmtId="0" fontId="43" fillId="0" borderId="8" xfId="13" applyFont="1" applyFill="1" applyBorder="1" applyAlignment="1" applyProtection="1">
      <alignment vertical="center"/>
    </xf>
    <xf numFmtId="164" fontId="43" fillId="0" borderId="38" xfId="1" applyNumberFormat="1" applyFont="1" applyFill="1" applyBorder="1" applyAlignment="1" applyProtection="1">
      <alignment horizontal="right" vertical="center"/>
    </xf>
    <xf numFmtId="0" fontId="52" fillId="0" borderId="0" xfId="13" applyFont="1" applyFill="1" applyBorder="1" applyAlignment="1" applyProtection="1">
      <alignment horizontal="right" vertical="center" wrapText="1"/>
    </xf>
    <xf numFmtId="0" fontId="9" fillId="0" borderId="0" xfId="13" applyFont="1" applyFill="1" applyAlignment="1" applyProtection="1">
      <alignment vertical="center"/>
    </xf>
    <xf numFmtId="0" fontId="86" fillId="20" borderId="0" xfId="0" applyFont="1" applyFill="1" applyAlignment="1" applyProtection="1">
      <alignment horizontal="left" vertical="center"/>
    </xf>
    <xf numFmtId="0" fontId="46" fillId="20" borderId="0" xfId="0" applyFont="1" applyFill="1" applyProtection="1"/>
    <xf numFmtId="38" fontId="13" fillId="0" borderId="11" xfId="1" applyNumberFormat="1" applyFont="1" applyFill="1" applyBorder="1" applyAlignment="1" applyProtection="1">
      <alignment horizontal="right" vertical="center"/>
    </xf>
    <xf numFmtId="38" fontId="13" fillId="0" borderId="12" xfId="1" applyNumberFormat="1" applyFont="1" applyFill="1" applyBorder="1" applyAlignment="1" applyProtection="1">
      <alignment horizontal="right" vertical="center"/>
    </xf>
    <xf numFmtId="38" fontId="4" fillId="0" borderId="84" xfId="1" applyNumberFormat="1" applyFont="1" applyFill="1" applyBorder="1" applyAlignment="1" applyProtection="1">
      <alignment horizontal="right" vertical="center"/>
    </xf>
    <xf numFmtId="38" fontId="4" fillId="0" borderId="12" xfId="1" applyNumberFormat="1" applyFont="1" applyFill="1" applyBorder="1" applyAlignment="1" applyProtection="1">
      <alignment horizontal="right" vertical="center"/>
    </xf>
    <xf numFmtId="38" fontId="13" fillId="0" borderId="84" xfId="1" applyNumberFormat="1" applyFont="1" applyFill="1" applyBorder="1" applyAlignment="1" applyProtection="1">
      <alignment horizontal="right" vertical="center"/>
    </xf>
    <xf numFmtId="164" fontId="46" fillId="0" borderId="0" xfId="1" applyNumberFormat="1" applyFont="1" applyFill="1" applyBorder="1" applyAlignment="1" applyProtection="1">
      <alignment vertical="center"/>
    </xf>
    <xf numFmtId="0" fontId="62" fillId="0" borderId="0" xfId="0" applyFont="1" applyFill="1" applyBorder="1" applyAlignment="1" applyProtection="1">
      <alignment horizontal="right" vertical="center"/>
    </xf>
    <xf numFmtId="0" fontId="43" fillId="0" borderId="0" xfId="0" applyFont="1" applyFill="1" applyBorder="1" applyAlignment="1" applyProtection="1"/>
    <xf numFmtId="0" fontId="43" fillId="0" borderId="0" xfId="0" applyFont="1" applyFill="1" applyBorder="1" applyAlignment="1" applyProtection="1">
      <alignment vertical="top"/>
    </xf>
    <xf numFmtId="0" fontId="46" fillId="0" borderId="0" xfId="0" applyFont="1" applyFill="1" applyAlignment="1" applyProtection="1">
      <alignment vertical="top" wrapText="1"/>
    </xf>
    <xf numFmtId="0" fontId="43" fillId="5" borderId="36" xfId="0" applyFont="1" applyFill="1" applyBorder="1" applyAlignment="1" applyProtection="1">
      <alignment horizontal="left"/>
    </xf>
    <xf numFmtId="0" fontId="43" fillId="5" borderId="2" xfId="0" applyFont="1" applyFill="1" applyBorder="1" applyAlignment="1" applyProtection="1">
      <alignment horizontal="left"/>
    </xf>
    <xf numFmtId="0" fontId="43" fillId="5" borderId="37" xfId="0" applyFont="1" applyFill="1" applyBorder="1" applyAlignment="1" applyProtection="1">
      <alignment horizontal="left"/>
    </xf>
    <xf numFmtId="0" fontId="46" fillId="0" borderId="11" xfId="0" applyFont="1" applyFill="1" applyBorder="1" applyAlignment="1" applyProtection="1">
      <alignment horizontal="center" vertical="center"/>
    </xf>
    <xf numFmtId="0" fontId="4" fillId="0" borderId="0" xfId="0" applyFont="1" applyFill="1" applyAlignment="1" applyProtection="1">
      <alignment horizontal="center"/>
    </xf>
    <xf numFmtId="0" fontId="5" fillId="0" borderId="0" xfId="0" applyFont="1" applyAlignment="1" applyProtection="1">
      <alignment vertical="center" wrapText="1"/>
    </xf>
    <xf numFmtId="0" fontId="170" fillId="0" borderId="0" xfId="0" applyFont="1" applyFill="1" applyAlignment="1" applyProtection="1">
      <alignment vertical="center"/>
    </xf>
    <xf numFmtId="3" fontId="141" fillId="0" borderId="0" xfId="0" applyNumberFormat="1" applyFont="1" applyFill="1" applyAlignment="1" applyProtection="1">
      <alignment vertical="center"/>
    </xf>
    <xf numFmtId="166" fontId="45" fillId="0" borderId="13" xfId="0" applyNumberFormat="1" applyFont="1" applyFill="1" applyBorder="1" applyAlignment="1" applyProtection="1">
      <alignment horizontal="center" vertical="center"/>
    </xf>
    <xf numFmtId="166" fontId="42" fillId="0" borderId="0" xfId="0" applyNumberFormat="1" applyFont="1" applyFill="1" applyAlignment="1" applyProtection="1">
      <alignment horizontal="center"/>
    </xf>
    <xf numFmtId="166" fontId="164" fillId="0" borderId="0" xfId="0" applyNumberFormat="1" applyFont="1" applyFill="1" applyAlignment="1" applyProtection="1">
      <alignment horizontal="center"/>
    </xf>
    <xf numFmtId="166" fontId="164" fillId="0" borderId="0" xfId="0" applyNumberFormat="1" applyFont="1" applyFill="1" applyBorder="1" applyAlignment="1" applyProtection="1">
      <alignment horizontal="center"/>
    </xf>
    <xf numFmtId="37" fontId="164"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64" fillId="0" borderId="105" xfId="0" applyNumberFormat="1" applyFont="1" applyFill="1" applyBorder="1" applyAlignment="1" applyProtection="1">
      <alignment horizontal="center"/>
    </xf>
    <xf numFmtId="37" fontId="164" fillId="0" borderId="105" xfId="1" applyNumberFormat="1" applyFont="1" applyFill="1" applyBorder="1" applyAlignment="1" applyProtection="1">
      <alignment horizontal="center"/>
    </xf>
    <xf numFmtId="0" fontId="114" fillId="0" borderId="0" xfId="0" applyFont="1" applyFill="1" applyAlignment="1" applyProtection="1">
      <alignment vertical="center"/>
    </xf>
    <xf numFmtId="37" fontId="63"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3"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1" fillId="0" borderId="40" xfId="0" applyFont="1" applyFill="1" applyBorder="1" applyAlignment="1" applyProtection="1"/>
    <xf numFmtId="0" fontId="13" fillId="0" borderId="19" xfId="0" applyFont="1" applyFill="1" applyBorder="1" applyAlignment="1" applyProtection="1">
      <alignment vertical="center"/>
    </xf>
    <xf numFmtId="0" fontId="151" fillId="0" borderId="41" xfId="0" applyFont="1" applyFill="1" applyBorder="1" applyAlignment="1" applyProtection="1">
      <alignment horizontal="center"/>
    </xf>
    <xf numFmtId="0" fontId="14" fillId="0" borderId="77" xfId="0" applyFont="1" applyFill="1" applyBorder="1" applyAlignment="1" applyProtection="1">
      <alignment horizontal="right" vertical="center"/>
    </xf>
    <xf numFmtId="3" fontId="14" fillId="0" borderId="21" xfId="0" applyNumberFormat="1" applyFont="1" applyFill="1" applyBorder="1" applyAlignment="1" applyProtection="1">
      <alignment horizontal="center" vertical="center"/>
    </xf>
    <xf numFmtId="3" fontId="106" fillId="20" borderId="74" xfId="0" applyNumberFormat="1" applyFont="1" applyFill="1" applyBorder="1" applyAlignment="1" applyProtection="1">
      <alignment horizontal="center" vertical="center"/>
    </xf>
    <xf numFmtId="0" fontId="5" fillId="0" borderId="43" xfId="0" applyFont="1" applyFill="1" applyBorder="1" applyAlignment="1" applyProtection="1">
      <alignment vertical="center"/>
    </xf>
    <xf numFmtId="3" fontId="14" fillId="0" borderId="15" xfId="1" applyNumberFormat="1" applyFont="1" applyFill="1" applyBorder="1" applyAlignment="1" applyProtection="1">
      <alignment horizontal="right" vertical="center"/>
    </xf>
    <xf numFmtId="0" fontId="43" fillId="23" borderId="0" xfId="0" applyFont="1" applyFill="1" applyAlignment="1" applyProtection="1">
      <alignment horizontal="left" vertical="center"/>
    </xf>
    <xf numFmtId="3" fontId="43" fillId="23" borderId="0" xfId="0" applyNumberFormat="1" applyFont="1" applyFill="1" applyAlignment="1" applyProtection="1">
      <alignment horizontal="center" vertical="center"/>
    </xf>
    <xf numFmtId="0" fontId="43" fillId="22" borderId="0" xfId="0" applyFont="1" applyFill="1" applyAlignment="1" applyProtection="1">
      <alignment horizontal="left" vertical="center"/>
    </xf>
    <xf numFmtId="3" fontId="43" fillId="22" borderId="0" xfId="0" applyNumberFormat="1" applyFont="1" applyFill="1" applyAlignment="1" applyProtection="1">
      <alignment horizontal="center" vertical="center"/>
    </xf>
    <xf numFmtId="0" fontId="43" fillId="11" borderId="0" xfId="0" applyFont="1" applyFill="1" applyAlignment="1" applyProtection="1">
      <alignment horizontal="left" vertical="center"/>
    </xf>
    <xf numFmtId="3" fontId="43" fillId="11" borderId="0" xfId="0" applyNumberFormat="1" applyFont="1" applyFill="1" applyAlignment="1" applyProtection="1">
      <alignment horizontal="center" vertical="center"/>
    </xf>
    <xf numFmtId="0" fontId="43" fillId="13" borderId="0" xfId="0" applyFont="1" applyFill="1" applyAlignment="1" applyProtection="1">
      <alignment horizontal="left" vertical="center"/>
    </xf>
    <xf numFmtId="3" fontId="43" fillId="13" borderId="0" xfId="0" applyNumberFormat="1" applyFont="1" applyFill="1" applyAlignment="1" applyProtection="1">
      <alignment horizontal="center" vertical="center"/>
    </xf>
    <xf numFmtId="0" fontId="43" fillId="24" borderId="0" xfId="0" applyFont="1" applyFill="1" applyAlignment="1" applyProtection="1">
      <alignment horizontal="left" vertical="center"/>
    </xf>
    <xf numFmtId="3" fontId="43" fillId="24" borderId="0" xfId="0" applyNumberFormat="1" applyFont="1" applyFill="1" applyAlignment="1" applyProtection="1">
      <alignment horizontal="center" vertical="center"/>
    </xf>
    <xf numFmtId="0" fontId="43" fillId="25" borderId="0" xfId="0" applyFont="1" applyFill="1" applyAlignment="1" applyProtection="1">
      <alignment horizontal="left" vertical="center"/>
    </xf>
    <xf numFmtId="3" fontId="43" fillId="25" borderId="0" xfId="0" applyNumberFormat="1" applyFont="1" applyFill="1" applyAlignment="1" applyProtection="1">
      <alignment horizontal="center" vertical="center"/>
    </xf>
    <xf numFmtId="0" fontId="43" fillId="26" borderId="0" xfId="0" applyFont="1" applyFill="1" applyProtection="1"/>
    <xf numFmtId="0" fontId="43" fillId="26" borderId="0" xfId="9" applyFont="1" applyFill="1" applyAlignment="1" applyProtection="1">
      <alignment horizontal="left"/>
    </xf>
    <xf numFmtId="0" fontId="43" fillId="26" borderId="0" xfId="0" quotePrefix="1" applyNumberFormat="1" applyFont="1" applyFill="1" applyProtection="1"/>
    <xf numFmtId="0" fontId="43" fillId="26" borderId="0" xfId="0" applyNumberFormat="1" applyFont="1" applyFill="1" applyAlignment="1" applyProtection="1">
      <alignment horizontal="center"/>
    </xf>
    <xf numFmtId="0" fontId="43" fillId="26" borderId="0" xfId="9" applyFont="1" applyFill="1" applyProtection="1"/>
    <xf numFmtId="0" fontId="43" fillId="26" borderId="0" xfId="0" applyFont="1" applyFill="1" applyAlignment="1" applyProtection="1">
      <alignment horizontal="left"/>
    </xf>
    <xf numFmtId="0" fontId="112" fillId="0" borderId="0" xfId="0" applyFont="1" applyAlignment="1" applyProtection="1">
      <alignment horizontal="center" vertical="center" wrapText="1"/>
    </xf>
    <xf numFmtId="0" fontId="86" fillId="0" borderId="0" xfId="0" applyFont="1" applyFill="1" applyAlignment="1" applyProtection="1">
      <alignment horizontal="left" vertical="center"/>
    </xf>
    <xf numFmtId="1" fontId="92" fillId="0" borderId="86" xfId="0" applyNumberFormat="1" applyFont="1" applyFill="1" applyBorder="1" applyAlignment="1" applyProtection="1">
      <alignment horizontal="center" vertical="center"/>
    </xf>
    <xf numFmtId="38" fontId="4" fillId="0" borderId="3" xfId="0"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top"/>
    </xf>
    <xf numFmtId="3" fontId="5" fillId="0" borderId="0" xfId="0" applyNumberFormat="1" applyFont="1" applyFill="1" applyAlignment="1" applyProtection="1">
      <alignment horizontal="center"/>
    </xf>
    <xf numFmtId="0" fontId="43" fillId="0" borderId="0" xfId="0" applyFont="1" applyFill="1" applyAlignment="1" applyProtection="1">
      <alignment vertical="center" wrapText="1"/>
    </xf>
    <xf numFmtId="0" fontId="5" fillId="0" borderId="0" xfId="0" applyFont="1" applyAlignment="1" applyProtection="1">
      <alignment vertical="top"/>
    </xf>
    <xf numFmtId="0" fontId="5" fillId="0" borderId="0" xfId="0" applyFont="1" applyAlignment="1" applyProtection="1">
      <alignment vertical="top" wrapText="1"/>
    </xf>
    <xf numFmtId="0" fontId="43" fillId="0" borderId="0" xfId="0" applyFont="1" applyFill="1" applyAlignment="1" applyProtection="1">
      <alignment horizontal="left" vertical="center"/>
    </xf>
    <xf numFmtId="0" fontId="0" fillId="0" borderId="0" xfId="0" applyAlignment="1" applyProtection="1">
      <alignment horizontal="left" vertical="center"/>
    </xf>
    <xf numFmtId="0" fontId="15" fillId="0" borderId="0" xfId="0" applyFont="1" applyAlignment="1" applyProtection="1">
      <alignment vertical="top"/>
    </xf>
    <xf numFmtId="0" fontId="5" fillId="0" borderId="0" xfId="0" applyFont="1" applyAlignment="1" applyProtection="1">
      <alignment horizontal="right" vertical="top"/>
    </xf>
    <xf numFmtId="0" fontId="5" fillId="0" borderId="0" xfId="0" applyFont="1" applyBorder="1" applyAlignment="1" applyProtection="1">
      <alignment horizontal="left" vertical="top"/>
    </xf>
    <xf numFmtId="0" fontId="13" fillId="0" borderId="8" xfId="0" applyFont="1" applyFill="1" applyBorder="1" applyProtection="1"/>
    <xf numFmtId="0" fontId="13" fillId="0" borderId="100" xfId="0" applyFont="1" applyFill="1" applyBorder="1" applyProtection="1"/>
    <xf numFmtId="0" fontId="13" fillId="0" borderId="11" xfId="0" applyFont="1" applyFill="1" applyBorder="1" applyProtection="1"/>
    <xf numFmtId="0" fontId="13" fillId="0" borderId="84" xfId="0" applyFont="1" applyFill="1" applyBorder="1" applyProtection="1"/>
    <xf numFmtId="0" fontId="13" fillId="0" borderId="12" xfId="0" applyFont="1" applyFill="1" applyBorder="1" applyProtection="1"/>
    <xf numFmtId="0" fontId="14" fillId="0" borderId="0" xfId="0" applyFont="1" applyFill="1" applyBorder="1" applyAlignment="1" applyProtection="1">
      <alignment horizontal="center" vertical="center"/>
    </xf>
    <xf numFmtId="0" fontId="11" fillId="0" borderId="0" xfId="0" quotePrefix="1" applyFont="1" applyFill="1" applyAlignment="1" applyProtection="1">
      <alignment horizontal="center" vertical="center"/>
    </xf>
    <xf numFmtId="0" fontId="94" fillId="0" borderId="0" xfId="0" applyFont="1" applyFill="1" applyProtection="1"/>
    <xf numFmtId="0" fontId="94" fillId="0" borderId="0" xfId="0" applyFont="1" applyProtection="1"/>
    <xf numFmtId="0" fontId="94" fillId="0" borderId="0" xfId="0" applyFont="1" applyAlignment="1" applyProtection="1">
      <alignment horizontal="center"/>
    </xf>
    <xf numFmtId="0" fontId="94" fillId="0" borderId="0" xfId="0" applyFont="1" applyFill="1" applyBorder="1" applyProtection="1"/>
    <xf numFmtId="0" fontId="46" fillId="0" borderId="8" xfId="0" applyFont="1" applyFill="1" applyBorder="1" applyAlignment="1" applyProtection="1">
      <alignment horizontal="center" vertical="center"/>
    </xf>
    <xf numFmtId="0" fontId="106" fillId="0" borderId="0" xfId="0" applyFont="1" applyFill="1" applyAlignment="1" applyProtection="1">
      <alignment horizontal="left"/>
    </xf>
    <xf numFmtId="0" fontId="43" fillId="0" borderId="13" xfId="0" applyFont="1" applyBorder="1" applyAlignment="1" applyProtection="1">
      <alignment horizontal="center" vertical="center"/>
    </xf>
    <xf numFmtId="9" fontId="43" fillId="0" borderId="3" xfId="10" applyFont="1" applyBorder="1" applyAlignment="1" applyProtection="1">
      <alignment horizontal="center" vertical="center"/>
    </xf>
    <xf numFmtId="3" fontId="43" fillId="0" borderId="3" xfId="10" applyNumberFormat="1" applyFont="1" applyBorder="1" applyAlignment="1" applyProtection="1">
      <alignment horizontal="center" vertical="center"/>
    </xf>
    <xf numFmtId="0" fontId="5" fillId="0" borderId="0" xfId="0" applyFont="1" applyFill="1" applyAlignment="1" applyProtection="1"/>
    <xf numFmtId="0" fontId="86" fillId="0" borderId="0" xfId="0" applyFont="1" applyFill="1" applyAlignment="1" applyProtection="1">
      <alignment vertical="center" wrapText="1"/>
    </xf>
    <xf numFmtId="0" fontId="86" fillId="0" borderId="0" xfId="0" applyFont="1" applyFill="1" applyBorder="1" applyAlignment="1" applyProtection="1">
      <alignment vertical="center" wrapText="1"/>
    </xf>
    <xf numFmtId="3" fontId="43" fillId="0" borderId="3" xfId="10" applyNumberFormat="1" applyFont="1" applyBorder="1" applyAlignment="1" applyProtection="1">
      <alignment horizontal="center" vertical="center"/>
    </xf>
    <xf numFmtId="3" fontId="43" fillId="0" borderId="3" xfId="10" applyNumberFormat="1" applyFont="1" applyBorder="1" applyAlignment="1" applyProtection="1">
      <alignment horizontal="center" vertical="center"/>
    </xf>
    <xf numFmtId="0" fontId="42" fillId="0" borderId="0" xfId="0" applyFont="1" applyFill="1" applyBorder="1" applyAlignment="1" applyProtection="1">
      <alignment vertical="center"/>
    </xf>
    <xf numFmtId="3" fontId="46" fillId="0" borderId="0" xfId="0" applyNumberFormat="1" applyFont="1" applyFill="1" applyAlignment="1" applyProtection="1">
      <alignment horizontal="left" vertical="center"/>
    </xf>
    <xf numFmtId="0" fontId="86" fillId="0" borderId="0" xfId="0" applyFont="1" applyFill="1" applyAlignment="1" applyProtection="1">
      <alignment vertical="center"/>
    </xf>
    <xf numFmtId="0" fontId="177" fillId="0" borderId="0" xfId="0" applyFont="1" applyFill="1" applyBorder="1" applyAlignment="1" applyProtection="1">
      <alignment vertical="center" wrapText="1"/>
    </xf>
    <xf numFmtId="1" fontId="46" fillId="0" borderId="16" xfId="1" applyNumberFormat="1" applyFont="1" applyFill="1" applyBorder="1" applyAlignment="1" applyProtection="1">
      <alignment horizontal="center" vertical="center"/>
    </xf>
    <xf numFmtId="1" fontId="46" fillId="0" borderId="17" xfId="1" applyNumberFormat="1" applyFont="1" applyFill="1" applyBorder="1" applyAlignment="1" applyProtection="1">
      <alignment horizontal="center" vertical="center"/>
    </xf>
    <xf numFmtId="1" fontId="46" fillId="0" borderId="18" xfId="1" applyNumberFormat="1" applyFont="1" applyFill="1" applyBorder="1" applyAlignment="1" applyProtection="1">
      <alignment horizontal="center" vertical="center"/>
    </xf>
    <xf numFmtId="0" fontId="41" fillId="0" borderId="0" xfId="0" applyFont="1" applyFill="1" applyBorder="1" applyAlignment="1" applyProtection="1">
      <alignment vertical="center"/>
    </xf>
    <xf numFmtId="3" fontId="179" fillId="21" borderId="0" xfId="0" applyNumberFormat="1" applyFont="1" applyFill="1" applyBorder="1" applyAlignment="1">
      <alignment horizontal="center" vertical="top"/>
    </xf>
    <xf numFmtId="4" fontId="46" fillId="0" borderId="0" xfId="0" applyNumberFormat="1" applyFont="1" applyFill="1" applyAlignment="1" applyProtection="1">
      <alignment horizontal="right" vertical="center"/>
    </xf>
    <xf numFmtId="0" fontId="54" fillId="0" borderId="83" xfId="0" applyFont="1" applyFill="1" applyBorder="1" applyAlignment="1" applyProtection="1">
      <alignment horizontal="right" vertical="center"/>
    </xf>
    <xf numFmtId="0" fontId="110" fillId="0" borderId="0" xfId="0" applyFont="1" applyFill="1" applyProtection="1"/>
    <xf numFmtId="0" fontId="80" fillId="0" borderId="0" xfId="0" applyFont="1" applyFill="1" applyProtection="1"/>
    <xf numFmtId="0" fontId="80" fillId="0" borderId="0" xfId="0" applyFont="1" applyProtection="1"/>
    <xf numFmtId="0" fontId="80" fillId="0" borderId="0" xfId="0" applyFont="1" applyAlignment="1" applyProtection="1">
      <alignment horizontal="left"/>
    </xf>
    <xf numFmtId="0" fontId="99" fillId="0" borderId="0" xfId="0" applyFont="1" applyFill="1" applyAlignment="1" applyProtection="1">
      <alignment horizontal="left" vertical="center"/>
    </xf>
    <xf numFmtId="0" fontId="43" fillId="0" borderId="0" xfId="0" applyFont="1" applyFill="1" applyBorder="1" applyAlignment="1" applyProtection="1">
      <alignment vertical="top" wrapText="1"/>
    </xf>
    <xf numFmtId="0" fontId="114" fillId="0" borderId="0" xfId="0" applyFont="1" applyFill="1" applyAlignment="1" applyProtection="1">
      <alignment horizontal="left" vertical="center"/>
    </xf>
    <xf numFmtId="38" fontId="9" fillId="0" borderId="15" xfId="0" applyNumberFormat="1" applyFont="1" applyFill="1" applyBorder="1" applyAlignment="1" applyProtection="1">
      <alignment horizontal="center" vertical="center"/>
    </xf>
    <xf numFmtId="3" fontId="13" fillId="0" borderId="0" xfId="0" applyNumberFormat="1" applyFont="1" applyFill="1" applyAlignment="1" applyProtection="1">
      <alignment horizontal="center"/>
    </xf>
    <xf numFmtId="3" fontId="17" fillId="0" borderId="19" xfId="0" applyNumberFormat="1" applyFont="1" applyFill="1" applyBorder="1" applyAlignment="1" applyProtection="1">
      <alignment horizontal="center" vertical="top"/>
    </xf>
    <xf numFmtId="0" fontId="17" fillId="0" borderId="0" xfId="0" applyFont="1" applyFill="1" applyAlignment="1" applyProtection="1">
      <alignment horizontal="center" vertical="top"/>
    </xf>
    <xf numFmtId="3" fontId="52" fillId="0" borderId="19" xfId="0" applyNumberFormat="1" applyFont="1" applyFill="1" applyBorder="1" applyAlignment="1" applyProtection="1">
      <alignment horizontal="center" vertical="top"/>
    </xf>
    <xf numFmtId="0" fontId="23" fillId="0" borderId="0" xfId="0" applyFont="1" applyFill="1" applyAlignment="1" applyProtection="1">
      <alignment vertical="top"/>
    </xf>
    <xf numFmtId="3" fontId="52" fillId="0" borderId="113" xfId="0" applyNumberFormat="1" applyFont="1" applyFill="1" applyBorder="1" applyAlignment="1" applyProtection="1">
      <alignment horizontal="center" vertical="top"/>
    </xf>
    <xf numFmtId="0" fontId="43" fillId="26" borderId="0" xfId="0" applyFont="1" applyFill="1" applyBorder="1" applyAlignment="1">
      <alignment horizontal="center"/>
    </xf>
    <xf numFmtId="0" fontId="43" fillId="26" borderId="0" xfId="0" applyFont="1" applyFill="1" applyAlignment="1">
      <alignment horizontal="center"/>
    </xf>
    <xf numFmtId="3" fontId="145" fillId="0" borderId="38" xfId="0" applyNumberFormat="1" applyFont="1" applyFill="1" applyBorder="1" applyAlignment="1" applyProtection="1">
      <alignment horizontal="center" vertical="center"/>
    </xf>
    <xf numFmtId="0" fontId="50" fillId="0" borderId="0" xfId="0" applyFont="1" applyFill="1" applyAlignment="1" applyProtection="1">
      <alignment horizontal="center" vertical="center"/>
    </xf>
    <xf numFmtId="10" fontId="5" fillId="0" borderId="81" xfId="0" applyNumberFormat="1" applyFont="1" applyFill="1" applyBorder="1" applyAlignment="1" applyProtection="1">
      <alignment horizontal="right" vertical="center"/>
    </xf>
    <xf numFmtId="0" fontId="92" fillId="0" borderId="0" xfId="0" applyFont="1" applyFill="1" applyBorder="1" applyAlignment="1" applyProtection="1">
      <alignment vertical="center"/>
    </xf>
    <xf numFmtId="37" fontId="43" fillId="0" borderId="3" xfId="1" applyNumberFormat="1" applyFont="1" applyFill="1" applyBorder="1" applyAlignment="1" applyProtection="1">
      <alignment horizontal="center" vertical="center"/>
    </xf>
    <xf numFmtId="37" fontId="43" fillId="0" borderId="3" xfId="1" applyNumberFormat="1" applyFont="1" applyBorder="1" applyAlignment="1" applyProtection="1">
      <alignment horizontal="center" vertical="center"/>
    </xf>
    <xf numFmtId="0" fontId="25" fillId="0" borderId="0" xfId="0" applyFont="1" applyFill="1" applyAlignment="1" applyProtection="1">
      <alignment vertical="top"/>
    </xf>
    <xf numFmtId="0" fontId="180" fillId="0" borderId="0" xfId="0" applyFont="1" applyFill="1" applyAlignment="1" applyProtection="1">
      <alignment vertical="center" wrapText="1"/>
    </xf>
    <xf numFmtId="0" fontId="18" fillId="0" borderId="0" xfId="0" applyFont="1" applyFill="1" applyAlignment="1" applyProtection="1">
      <alignment vertical="center"/>
    </xf>
    <xf numFmtId="0" fontId="31" fillId="0" borderId="0" xfId="0" applyFont="1" applyFill="1" applyProtection="1"/>
    <xf numFmtId="0" fontId="5" fillId="0" borderId="0" xfId="0" applyFont="1" applyFill="1" applyAlignment="1" applyProtection="1">
      <alignment vertical="center" wrapText="1"/>
    </xf>
    <xf numFmtId="0" fontId="14" fillId="0" borderId="0" xfId="0" applyFont="1" applyAlignment="1" applyProtection="1">
      <alignment horizontal="center"/>
    </xf>
    <xf numFmtId="38" fontId="9" fillId="13" borderId="15" xfId="0" applyNumberFormat="1" applyFont="1" applyFill="1" applyBorder="1" applyAlignment="1" applyProtection="1">
      <alignment horizontal="center" vertical="center"/>
    </xf>
    <xf numFmtId="0" fontId="14" fillId="0" borderId="0" xfId="0" applyFont="1" applyFill="1" applyAlignment="1" applyProtection="1">
      <alignment horizontal="right" vertical="top"/>
    </xf>
    <xf numFmtId="0" fontId="4" fillId="0" borderId="0" xfId="0" applyFont="1" applyAlignment="1" applyProtection="1">
      <alignment horizontal="center" vertical="center"/>
    </xf>
    <xf numFmtId="0" fontId="14" fillId="0" borderId="0" xfId="0" applyFont="1" applyAlignment="1" applyProtection="1">
      <alignment horizontal="center" vertical="center"/>
    </xf>
    <xf numFmtId="0" fontId="15" fillId="0" borderId="0" xfId="0" applyFont="1" applyAlignment="1" applyProtection="1">
      <alignment horizontal="left" vertical="top"/>
    </xf>
    <xf numFmtId="0" fontId="5" fillId="0" borderId="0" xfId="0" applyFont="1" applyFill="1" applyBorder="1" applyAlignment="1" applyProtection="1">
      <alignment horizontal="justify" vertical="center" wrapText="1"/>
    </xf>
    <xf numFmtId="0" fontId="5" fillId="0" borderId="0" xfId="0" applyFont="1" applyAlignment="1" applyProtection="1">
      <alignment horizontal="center" vertical="top"/>
    </xf>
    <xf numFmtId="0" fontId="11" fillId="0" borderId="0" xfId="0" applyFont="1" applyAlignment="1" applyProtection="1">
      <alignment vertical="top"/>
    </xf>
    <xf numFmtId="0" fontId="114" fillId="0" borderId="0" xfId="0" applyFont="1" applyFill="1" applyProtection="1"/>
    <xf numFmtId="0" fontId="9" fillId="0" borderId="15" xfId="0" applyFont="1" applyFill="1" applyBorder="1" applyAlignment="1" applyProtection="1">
      <alignment horizontal="center" vertical="center"/>
    </xf>
    <xf numFmtId="38" fontId="9" fillId="17" borderId="15" xfId="0" applyNumberFormat="1" applyFont="1" applyFill="1" applyBorder="1" applyAlignment="1" applyProtection="1">
      <alignment horizontal="center" vertical="center"/>
    </xf>
    <xf numFmtId="3" fontId="9" fillId="0" borderId="16" xfId="0" applyNumberFormat="1" applyFont="1" applyFill="1" applyBorder="1" applyAlignment="1" applyProtection="1">
      <alignment horizontal="center" vertical="center"/>
    </xf>
    <xf numFmtId="38" fontId="9" fillId="0" borderId="86" xfId="0" applyNumberFormat="1" applyFont="1" applyFill="1" applyBorder="1" applyAlignment="1" applyProtection="1">
      <alignment horizontal="center" vertical="center"/>
    </xf>
    <xf numFmtId="0" fontId="14" fillId="0" borderId="19" xfId="0" applyFont="1" applyFill="1" applyBorder="1" applyAlignment="1" applyProtection="1">
      <alignment vertical="center"/>
    </xf>
    <xf numFmtId="0" fontId="43" fillId="0" borderId="19" xfId="0" applyFont="1" applyFill="1" applyBorder="1" applyAlignment="1" applyProtection="1">
      <alignment vertical="center"/>
    </xf>
    <xf numFmtId="0" fontId="28" fillId="0" borderId="19" xfId="0" applyFont="1" applyFill="1" applyBorder="1" applyProtection="1"/>
    <xf numFmtId="0" fontId="28" fillId="0" borderId="32" xfId="0" applyFont="1" applyFill="1" applyBorder="1" applyProtection="1"/>
    <xf numFmtId="0" fontId="28" fillId="0" borderId="8" xfId="0" applyFont="1" applyFill="1" applyBorder="1" applyProtection="1"/>
    <xf numFmtId="0" fontId="5" fillId="0" borderId="19" xfId="0" applyFont="1" applyFill="1" applyBorder="1" applyAlignment="1" applyProtection="1">
      <alignment horizontal="left" vertical="center"/>
    </xf>
    <xf numFmtId="0" fontId="9" fillId="0" borderId="10" xfId="0" applyFont="1" applyFill="1" applyBorder="1" applyAlignment="1" applyProtection="1">
      <alignment horizontal="center" vertical="center"/>
    </xf>
    <xf numFmtId="0" fontId="182" fillId="0" borderId="0" xfId="0" applyFont="1" applyAlignment="1" applyProtection="1">
      <alignment horizontal="right" vertical="center"/>
    </xf>
    <xf numFmtId="0" fontId="22" fillId="0" borderId="0" xfId="0" applyFont="1" applyFill="1" applyAlignment="1" applyProtection="1">
      <alignment horizontal="left"/>
    </xf>
    <xf numFmtId="0" fontId="22" fillId="0" borderId="81" xfId="0" applyFont="1" applyFill="1" applyBorder="1" applyProtection="1"/>
    <xf numFmtId="0" fontId="50" fillId="0" borderId="0" xfId="0" applyFont="1" applyAlignment="1" applyProtection="1">
      <alignment vertical="center"/>
    </xf>
    <xf numFmtId="0" fontId="8" fillId="0" borderId="0" xfId="0" applyFont="1" applyAlignment="1" applyProtection="1">
      <alignment horizontal="center"/>
    </xf>
    <xf numFmtId="0" fontId="43" fillId="0" borderId="85" xfId="0" applyFont="1" applyFill="1" applyBorder="1" applyAlignment="1" applyProtection="1">
      <alignment vertical="top"/>
    </xf>
    <xf numFmtId="0" fontId="43" fillId="0" borderId="85" xfId="0" applyFont="1" applyFill="1" applyBorder="1" applyAlignment="1" applyProtection="1">
      <alignment vertical="top" wrapText="1"/>
    </xf>
    <xf numFmtId="0" fontId="43" fillId="0" borderId="120" xfId="0" applyFont="1" applyFill="1" applyBorder="1" applyAlignment="1" applyProtection="1">
      <alignment vertical="top" wrapText="1"/>
    </xf>
    <xf numFmtId="0" fontId="43" fillId="0" borderId="7" xfId="0" applyFont="1" applyFill="1" applyBorder="1" applyAlignment="1" applyProtection="1">
      <alignment horizontal="left" vertical="top" wrapText="1"/>
    </xf>
    <xf numFmtId="0" fontId="43" fillId="0" borderId="41" xfId="0" applyFont="1" applyFill="1" applyBorder="1" applyAlignment="1" applyProtection="1">
      <alignment vertical="top" wrapText="1"/>
    </xf>
    <xf numFmtId="0" fontId="43" fillId="0" borderId="9" xfId="0" applyFont="1" applyFill="1" applyBorder="1" applyAlignment="1" applyProtection="1">
      <alignment horizontal="left" vertical="top" wrapText="1"/>
    </xf>
    <xf numFmtId="0" fontId="43" fillId="0" borderId="13" xfId="0" applyFont="1" applyFill="1" applyBorder="1" applyAlignment="1" applyProtection="1">
      <alignment vertical="top"/>
    </xf>
    <xf numFmtId="0" fontId="43" fillId="0" borderId="13" xfId="0" applyFont="1" applyFill="1" applyBorder="1" applyAlignment="1" applyProtection="1">
      <alignment vertical="top" wrapText="1"/>
    </xf>
    <xf numFmtId="0" fontId="43" fillId="0" borderId="95" xfId="0" applyFont="1" applyFill="1" applyBorder="1" applyAlignment="1" applyProtection="1">
      <alignment vertical="top" wrapText="1"/>
    </xf>
    <xf numFmtId="0" fontId="43" fillId="0" borderId="26" xfId="0" applyFont="1" applyFill="1" applyBorder="1" applyAlignment="1" applyProtection="1">
      <alignment horizontal="left" vertical="top" wrapText="1"/>
    </xf>
    <xf numFmtId="0" fontId="43" fillId="0" borderId="19" xfId="0" applyFont="1" applyFill="1" applyBorder="1" applyAlignment="1" applyProtection="1">
      <alignment vertical="top"/>
    </xf>
    <xf numFmtId="0" fontId="43" fillId="0" borderId="19" xfId="0" applyFont="1" applyFill="1" applyBorder="1" applyAlignment="1" applyProtection="1">
      <alignment vertical="top" wrapText="1"/>
    </xf>
    <xf numFmtId="0" fontId="43" fillId="0" borderId="39" xfId="0" applyFont="1" applyFill="1" applyBorder="1" applyAlignment="1" applyProtection="1">
      <alignment vertical="top" wrapText="1"/>
    </xf>
    <xf numFmtId="0" fontId="85" fillId="0" borderId="25" xfId="0" applyFont="1" applyFill="1" applyBorder="1" applyAlignment="1" applyProtection="1">
      <alignment horizontal="center" vertical="top" wrapText="1"/>
    </xf>
    <xf numFmtId="0" fontId="19" fillId="0" borderId="0" xfId="0" applyFont="1" applyFill="1" applyAlignment="1" applyProtection="1">
      <alignment horizontal="center" vertical="center"/>
    </xf>
    <xf numFmtId="0" fontId="5" fillId="0" borderId="13" xfId="0" applyFont="1" applyFill="1" applyBorder="1" applyAlignment="1" applyProtection="1">
      <alignment vertical="center"/>
    </xf>
    <xf numFmtId="0" fontId="15" fillId="0" borderId="0" xfId="0" applyFont="1" applyAlignment="1" applyProtection="1">
      <alignment horizontal="left" vertical="center"/>
    </xf>
    <xf numFmtId="0" fontId="178" fillId="0" borderId="0" xfId="0" applyFont="1" applyFill="1" applyAlignment="1" applyProtection="1">
      <alignment vertical="center"/>
    </xf>
    <xf numFmtId="0" fontId="177" fillId="0" borderId="0" xfId="0" applyFont="1" applyFill="1" applyBorder="1" applyAlignment="1" applyProtection="1">
      <alignment horizontal="center" vertical="center" wrapText="1"/>
    </xf>
    <xf numFmtId="0" fontId="152" fillId="0" borderId="0" xfId="0" applyFont="1" applyAlignment="1" applyProtection="1">
      <alignment horizontal="center" vertical="center"/>
    </xf>
    <xf numFmtId="0" fontId="99" fillId="0" borderId="0" xfId="0" applyFont="1" applyFill="1" applyProtection="1"/>
    <xf numFmtId="0" fontId="164" fillId="0" borderId="0" xfId="0" applyFont="1" applyFill="1" applyBorder="1" applyAlignment="1" applyProtection="1">
      <alignment horizontal="left" vertical="center"/>
    </xf>
    <xf numFmtId="3" fontId="99" fillId="0" borderId="0" xfId="0" applyNumberFormat="1" applyFont="1" applyFill="1" applyBorder="1" applyAlignment="1" applyProtection="1">
      <alignment horizontal="right"/>
    </xf>
    <xf numFmtId="0" fontId="43" fillId="0" borderId="0" xfId="0" applyFont="1" applyFill="1" applyAlignment="1" applyProtection="1">
      <alignment horizontal="center" vertical="top"/>
    </xf>
    <xf numFmtId="166" fontId="42" fillId="0" borderId="14" xfId="0" applyNumberFormat="1" applyFont="1" applyFill="1" applyBorder="1" applyAlignment="1" applyProtection="1">
      <alignment horizontal="center"/>
    </xf>
    <xf numFmtId="0" fontId="11" fillId="0" borderId="0" xfId="0" quotePrefix="1" applyFont="1" applyFill="1" applyAlignment="1" applyProtection="1">
      <alignment horizontal="right" vertical="center"/>
    </xf>
    <xf numFmtId="0" fontId="43" fillId="0" borderId="0" xfId="0" applyFont="1" applyFill="1" applyAlignment="1" applyProtection="1">
      <alignment horizontal="left" vertical="top"/>
    </xf>
    <xf numFmtId="9" fontId="4" fillId="0" borderId="0" xfId="29" applyFont="1" applyAlignment="1">
      <alignment horizontal="right"/>
    </xf>
    <xf numFmtId="6" fontId="4" fillId="0" borderId="0" xfId="12" applyNumberFormat="1" applyFont="1" applyAlignment="1">
      <alignment horizontal="center"/>
    </xf>
    <xf numFmtId="0" fontId="53" fillId="0" borderId="0" xfId="12" applyFont="1"/>
    <xf numFmtId="0" fontId="4" fillId="0" borderId="0" xfId="12" applyFont="1"/>
    <xf numFmtId="164" fontId="4" fillId="0" borderId="0" xfId="28" applyNumberFormat="1" applyFont="1"/>
    <xf numFmtId="164" fontId="4" fillId="0" borderId="0" xfId="12" applyNumberFormat="1" applyFont="1"/>
    <xf numFmtId="165" fontId="4" fillId="0" borderId="0" xfId="29" applyNumberFormat="1" applyFont="1"/>
    <xf numFmtId="180" fontId="4" fillId="0" borderId="0" xfId="12" applyNumberFormat="1" applyFont="1"/>
    <xf numFmtId="38" fontId="4" fillId="0" borderId="0" xfId="12" applyNumberFormat="1" applyFont="1"/>
    <xf numFmtId="180" fontId="4" fillId="0" borderId="0" xfId="28" applyNumberFormat="1" applyFont="1"/>
    <xf numFmtId="180" fontId="4" fillId="0" borderId="0" xfId="12" applyNumberFormat="1" applyFont="1" applyAlignment="1">
      <alignment horizontal="center"/>
    </xf>
    <xf numFmtId="164" fontId="4" fillId="0" borderId="0" xfId="12" applyNumberFormat="1" applyFont="1" applyAlignment="1">
      <alignment horizontal="center"/>
    </xf>
    <xf numFmtId="6" fontId="4" fillId="0" borderId="0" xfId="12" applyNumberFormat="1" applyFont="1" applyAlignment="1">
      <alignment horizontal="right"/>
    </xf>
    <xf numFmtId="8" fontId="4" fillId="0" borderId="0" xfId="28" applyNumberFormat="1" applyFont="1"/>
    <xf numFmtId="165" fontId="4" fillId="0" borderId="0" xfId="29" applyNumberFormat="1" applyFont="1" applyAlignment="1">
      <alignment horizontal="right"/>
    </xf>
    <xf numFmtId="180" fontId="4" fillId="0" borderId="0" xfId="28" applyNumberFormat="1" applyFont="1" applyAlignment="1">
      <alignment horizontal="center"/>
    </xf>
    <xf numFmtId="0" fontId="149" fillId="0" borderId="0" xfId="13" applyFont="1" applyAlignment="1" applyProtection="1">
      <alignment horizontal="centerContinuous"/>
    </xf>
    <xf numFmtId="3" fontId="46"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10" fillId="0" borderId="0" xfId="13" applyNumberFormat="1" applyFont="1" applyAlignment="1" applyProtection="1">
      <alignment horizontal="left"/>
    </xf>
    <xf numFmtId="0" fontId="117" fillId="20" borderId="0" xfId="13" applyFont="1" applyFill="1" applyProtection="1"/>
    <xf numFmtId="5" fontId="117" fillId="0" borderId="0" xfId="13" applyNumberFormat="1" applyFont="1" applyFill="1" applyAlignment="1" applyProtection="1">
      <alignment horizontal="right"/>
    </xf>
    <xf numFmtId="43" fontId="10" fillId="0" borderId="38" xfId="13" applyNumberFormat="1" applyFont="1" applyBorder="1" applyAlignment="1" applyProtection="1">
      <alignment vertical="top"/>
    </xf>
    <xf numFmtId="43" fontId="10" fillId="0" borderId="0" xfId="13" applyNumberFormat="1" applyFont="1" applyAlignment="1" applyProtection="1">
      <alignment horizontal="right"/>
    </xf>
    <xf numFmtId="43" fontId="10" fillId="0" borderId="0" xfId="13" applyNumberFormat="1" applyFont="1" applyProtection="1"/>
    <xf numFmtId="38" fontId="10" fillId="0" borderId="0" xfId="13" applyNumberFormat="1" applyFont="1" applyAlignment="1" applyProtection="1">
      <alignment horizontal="right"/>
    </xf>
    <xf numFmtId="6" fontId="10" fillId="13" borderId="0" xfId="0" applyNumberFormat="1" applyFont="1" applyFill="1" applyProtection="1"/>
    <xf numFmtId="6" fontId="10" fillId="13" borderId="0" xfId="13" applyNumberFormat="1" applyFont="1" applyFill="1" applyProtection="1"/>
    <xf numFmtId="38" fontId="10" fillId="13" borderId="0" xfId="13" applyNumberFormat="1" applyFont="1" applyFill="1" applyProtection="1"/>
    <xf numFmtId="0" fontId="6" fillId="0" borderId="0" xfId="13" applyFont="1" applyAlignment="1">
      <alignment horizontal="center"/>
    </xf>
    <xf numFmtId="0" fontId="117" fillId="0" borderId="0" xfId="13" applyFont="1"/>
    <xf numFmtId="0" fontId="117" fillId="0" borderId="0" xfId="13" applyFont="1" applyAlignment="1">
      <alignment horizontal="center"/>
    </xf>
    <xf numFmtId="176" fontId="117" fillId="0" borderId="0" xfId="13" applyNumberFormat="1" applyFont="1" applyAlignment="1">
      <alignment horizontal="center"/>
    </xf>
    <xf numFmtId="0" fontId="117" fillId="0" borderId="0" xfId="13" applyFont="1" applyFill="1" applyAlignment="1">
      <alignment horizontal="center"/>
    </xf>
    <xf numFmtId="0" fontId="164" fillId="0" borderId="0" xfId="0" applyFont="1" applyFill="1" applyAlignment="1" applyProtection="1">
      <alignment horizontal="left" vertical="center"/>
    </xf>
    <xf numFmtId="38" fontId="9" fillId="0" borderId="0" xfId="13" applyNumberFormat="1" applyFont="1" applyBorder="1" applyAlignment="1" applyProtection="1">
      <alignment horizontal="center"/>
    </xf>
    <xf numFmtId="0" fontId="9" fillId="10" borderId="0" xfId="13" applyFont="1" applyFill="1" applyProtection="1"/>
    <xf numFmtId="38" fontId="9" fillId="0" borderId="20" xfId="13" applyNumberFormat="1" applyFont="1" applyBorder="1" applyAlignment="1" applyProtection="1">
      <alignment horizontal="center"/>
    </xf>
    <xf numFmtId="0" fontId="9" fillId="0" borderId="0" xfId="6" applyNumberFormat="1" applyFont="1" applyFill="1" applyAlignment="1" applyProtection="1">
      <alignment horizontal="left"/>
    </xf>
    <xf numFmtId="180" fontId="9" fillId="10" borderId="13" xfId="13" applyNumberFormat="1" applyFont="1" applyFill="1" applyBorder="1" applyAlignment="1" applyProtection="1">
      <alignment horizontal="left"/>
    </xf>
    <xf numFmtId="0" fontId="9" fillId="10" borderId="13" xfId="13" applyFont="1" applyFill="1" applyBorder="1" applyProtection="1"/>
    <xf numFmtId="4" fontId="9" fillId="10" borderId="13" xfId="13" applyNumberFormat="1" applyFont="1" applyFill="1" applyBorder="1" applyAlignment="1" applyProtection="1">
      <alignment horizontal="left"/>
    </xf>
    <xf numFmtId="10" fontId="9" fillId="0" borderId="20" xfId="13" applyNumberFormat="1" applyFont="1" applyBorder="1" applyAlignment="1" applyProtection="1">
      <alignment horizontal="left"/>
    </xf>
    <xf numFmtId="10" fontId="9" fillId="10" borderId="58" xfId="13" applyNumberFormat="1" applyFont="1" applyFill="1" applyBorder="1" applyAlignment="1" applyProtection="1">
      <alignment horizontal="left"/>
    </xf>
    <xf numFmtId="0" fontId="9" fillId="10" borderId="95" xfId="13" applyFont="1" applyFill="1" applyBorder="1" applyAlignment="1" applyProtection="1">
      <alignment horizontal="left"/>
    </xf>
    <xf numFmtId="180" fontId="9" fillId="10" borderId="94" xfId="13" applyNumberFormat="1" applyFont="1" applyFill="1" applyBorder="1" applyAlignment="1" applyProtection="1">
      <alignment horizontal="left"/>
    </xf>
    <xf numFmtId="10" fontId="9" fillId="10" borderId="82" xfId="13" applyNumberFormat="1" applyFont="1" applyFill="1" applyBorder="1" applyAlignment="1" applyProtection="1">
      <alignment horizontal="left"/>
    </xf>
    <xf numFmtId="0" fontId="43" fillId="26" borderId="0" xfId="0" quotePrefix="1" applyFont="1" applyFill="1" applyBorder="1" applyAlignment="1">
      <alignment horizontal="center"/>
    </xf>
    <xf numFmtId="0" fontId="4" fillId="0" borderId="8" xfId="0" applyFont="1" applyFill="1" applyBorder="1" applyAlignment="1" applyProtection="1">
      <alignment vertical="center" wrapText="1"/>
    </xf>
    <xf numFmtId="0" fontId="4" fillId="0" borderId="85" xfId="0" applyFont="1" applyFill="1" applyBorder="1" applyAlignment="1" applyProtection="1">
      <alignment vertical="center"/>
    </xf>
    <xf numFmtId="0" fontId="4" fillId="0" borderId="13" xfId="0" applyFont="1" applyFill="1" applyBorder="1" applyAlignment="1" applyProtection="1">
      <alignment vertical="center"/>
    </xf>
    <xf numFmtId="10" fontId="4" fillId="0" borderId="38" xfId="0" applyNumberFormat="1" applyFont="1" applyBorder="1" applyAlignment="1" applyProtection="1">
      <alignment horizontal="center"/>
    </xf>
    <xf numFmtId="10" fontId="4" fillId="0" borderId="38" xfId="13" applyNumberFormat="1" applyFont="1" applyFill="1" applyBorder="1" applyAlignment="1" applyProtection="1">
      <alignment horizontal="center"/>
    </xf>
    <xf numFmtId="8" fontId="6"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6" fillId="10" borderId="0" xfId="13" applyFont="1" applyFill="1" applyProtection="1"/>
    <xf numFmtId="0" fontId="6" fillId="0" borderId="13" xfId="13" applyFont="1" applyBorder="1" applyAlignment="1">
      <alignment horizontal="center"/>
    </xf>
    <xf numFmtId="0" fontId="160" fillId="0" borderId="0" xfId="13" applyFont="1" applyProtection="1"/>
    <xf numFmtId="3" fontId="160" fillId="0" borderId="0" xfId="13" applyNumberFormat="1" applyFont="1" applyAlignment="1" applyProtection="1">
      <alignment horizontal="left"/>
    </xf>
    <xf numFmtId="0" fontId="191" fillId="0" borderId="0" xfId="0" applyFont="1"/>
    <xf numFmtId="0" fontId="190" fillId="0" borderId="0" xfId="0" applyFont="1"/>
    <xf numFmtId="38" fontId="190" fillId="0" borderId="0" xfId="0" applyNumberFormat="1" applyFont="1"/>
    <xf numFmtId="164" fontId="190" fillId="0" borderId="0" xfId="1" applyNumberFormat="1" applyFont="1"/>
    <xf numFmtId="43" fontId="190" fillId="0" borderId="0" xfId="0" applyNumberFormat="1" applyFont="1"/>
    <xf numFmtId="0" fontId="4" fillId="10" borderId="0" xfId="12" applyFont="1" applyFill="1"/>
    <xf numFmtId="10" fontId="192" fillId="10" borderId="0" xfId="0" applyNumberFormat="1" applyFont="1" applyFill="1"/>
    <xf numFmtId="0" fontId="190" fillId="10" borderId="0" xfId="0" applyFont="1" applyFill="1"/>
    <xf numFmtId="0" fontId="4" fillId="0" borderId="13" xfId="12" applyFont="1" applyBorder="1"/>
    <xf numFmtId="0" fontId="117" fillId="0" borderId="0" xfId="13" applyFont="1" applyAlignment="1" applyProtection="1">
      <alignment horizontal="justify" vertical="top" wrapText="1"/>
    </xf>
    <xf numFmtId="0" fontId="117" fillId="0" borderId="0" xfId="13" applyFont="1" applyAlignment="1" applyProtection="1"/>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0"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0" fillId="0" borderId="0" xfId="13" applyFont="1" applyAlignment="1" applyProtection="1">
      <alignment horizontal="left"/>
    </xf>
    <xf numFmtId="0" fontId="4" fillId="0" borderId="0" xfId="13" applyFont="1" applyAlignment="1" applyProtection="1">
      <alignment horizontal="justify" vertical="top" wrapText="1"/>
    </xf>
    <xf numFmtId="0" fontId="9" fillId="10" borderId="13" xfId="13" applyFont="1" applyFill="1" applyBorder="1" applyAlignment="1" applyProtection="1">
      <alignment horizontal="left"/>
    </xf>
    <xf numFmtId="0" fontId="9" fillId="0" borderId="0" xfId="13" applyFont="1" applyAlignment="1" applyProtection="1">
      <alignment horizontal="centerContinuous"/>
    </xf>
    <xf numFmtId="167" fontId="4" fillId="0" borderId="0" xfId="13" applyNumberFormat="1" applyFont="1" applyAlignment="1" applyProtection="1">
      <alignment horizontal="left"/>
    </xf>
    <xf numFmtId="5" fontId="4" fillId="0" borderId="0" xfId="13" applyNumberFormat="1" applyFont="1" applyAlignment="1" applyProtection="1">
      <alignment horizontal="right"/>
    </xf>
    <xf numFmtId="9" fontId="4" fillId="0" borderId="0" xfId="13" applyNumberFormat="1" applyFont="1" applyAlignment="1" applyProtection="1">
      <alignment horizontal="right"/>
    </xf>
    <xf numFmtId="9" fontId="4" fillId="10" borderId="0" xfId="13" applyNumberFormat="1" applyFont="1" applyFill="1" applyAlignment="1" applyProtection="1">
      <alignment horizontal="right"/>
    </xf>
    <xf numFmtId="1" fontId="4" fillId="0" borderId="0" xfId="13" applyNumberFormat="1" applyFont="1" applyAlignment="1" applyProtection="1">
      <alignment horizontal="right"/>
    </xf>
    <xf numFmtId="3" fontId="4" fillId="0" borderId="0" xfId="13" applyNumberFormat="1" applyFont="1" applyAlignment="1" applyProtection="1">
      <alignment horizontal="right"/>
    </xf>
    <xf numFmtId="175" fontId="4" fillId="0" borderId="0" xfId="13" applyNumberFormat="1" applyFont="1" applyAlignment="1" applyProtection="1">
      <alignment horizontal="right"/>
    </xf>
    <xf numFmtId="38" fontId="4" fillId="0" borderId="0" xfId="13" applyNumberFormat="1" applyFont="1" applyFill="1" applyAlignment="1" applyProtection="1">
      <alignment horizontal="right"/>
    </xf>
    <xf numFmtId="180" fontId="4" fillId="10" borderId="0" xfId="13" applyNumberFormat="1" applyFont="1" applyFill="1" applyAlignment="1" applyProtection="1">
      <alignment horizontal="right"/>
    </xf>
    <xf numFmtId="0" fontId="4" fillId="10" borderId="0" xfId="13" applyFont="1" applyFill="1" applyProtection="1"/>
    <xf numFmtId="3" fontId="4" fillId="10" borderId="0" xfId="13" applyNumberFormat="1" applyFont="1" applyFill="1" applyAlignment="1" applyProtection="1">
      <alignment horizontal="right"/>
    </xf>
    <xf numFmtId="180" fontId="4" fillId="0" borderId="0" xfId="13" applyNumberFormat="1" applyFont="1" applyProtection="1"/>
    <xf numFmtId="180" fontId="4" fillId="0" borderId="0" xfId="13" applyNumberFormat="1" applyFont="1" applyBorder="1" applyProtection="1"/>
    <xf numFmtId="180" fontId="4" fillId="10" borderId="0" xfId="13" applyNumberFormat="1" applyFont="1" applyFill="1" applyProtection="1"/>
    <xf numFmtId="0" fontId="4" fillId="0" borderId="0" xfId="13" applyProtection="1"/>
    <xf numFmtId="0" fontId="26" fillId="0" borderId="0" xfId="13" applyFont="1" applyBorder="1" applyAlignment="1" applyProtection="1">
      <alignment horizontal="left"/>
    </xf>
    <xf numFmtId="0" fontId="10" fillId="0" borderId="0" xfId="13" applyFont="1" applyBorder="1" applyAlignment="1" applyProtection="1">
      <alignment horizontal="left" vertical="center"/>
    </xf>
    <xf numFmtId="0" fontId="4" fillId="10" borderId="0" xfId="13" applyFill="1" applyProtection="1"/>
    <xf numFmtId="0" fontId="4" fillId="0" borderId="19" xfId="13" applyBorder="1" applyProtection="1"/>
    <xf numFmtId="0" fontId="4" fillId="0" borderId="0" xfId="13" applyBorder="1" applyProtection="1"/>
    <xf numFmtId="0" fontId="4" fillId="0" borderId="0" xfId="13" applyFont="1" applyBorder="1" applyAlignment="1" applyProtection="1"/>
    <xf numFmtId="0" fontId="4" fillId="0" borderId="38" xfId="13" applyFont="1" applyBorder="1" applyAlignment="1" applyProtection="1">
      <alignment horizontal="center"/>
    </xf>
    <xf numFmtId="0" fontId="10" fillId="0" borderId="0" xfId="13" applyFont="1" applyBorder="1" applyAlignment="1" applyProtection="1">
      <alignment vertical="center"/>
    </xf>
    <xf numFmtId="0" fontId="4" fillId="0" borderId="0" xfId="13" applyBorder="1" applyAlignment="1" applyProtection="1">
      <alignment horizontal="center"/>
    </xf>
    <xf numFmtId="0" fontId="4" fillId="0" borderId="80" xfId="13" applyFont="1" applyBorder="1" applyProtection="1"/>
    <xf numFmtId="0" fontId="4" fillId="0" borderId="85" xfId="13" applyBorder="1" applyProtection="1"/>
    <xf numFmtId="0" fontId="4" fillId="0" borderId="23" xfId="13" applyFont="1" applyBorder="1" applyAlignment="1" applyProtection="1">
      <alignment horizontal="center"/>
    </xf>
    <xf numFmtId="0" fontId="4" fillId="0" borderId="7" xfId="13" applyBorder="1" applyProtection="1"/>
    <xf numFmtId="0" fontId="4" fillId="0" borderId="0" xfId="13" applyFont="1" applyBorder="1" applyAlignment="1" applyProtection="1">
      <alignment horizontal="left" vertical="top"/>
    </xf>
    <xf numFmtId="0" fontId="4" fillId="0" borderId="8" xfId="13" applyBorder="1" applyProtection="1"/>
    <xf numFmtId="0" fontId="4" fillId="0" borderId="7" xfId="13" applyFont="1" applyBorder="1" applyProtection="1"/>
    <xf numFmtId="0" fontId="4" fillId="10" borderId="25" xfId="13" applyFont="1" applyFill="1" applyBorder="1" applyAlignment="1" applyProtection="1">
      <alignment horizontal="center"/>
    </xf>
    <xf numFmtId="0" fontId="5" fillId="0" borderId="7" xfId="13" applyFont="1" applyFill="1" applyBorder="1" applyProtection="1"/>
    <xf numFmtId="0" fontId="5" fillId="0" borderId="0" xfId="13" applyFont="1" applyFill="1" applyBorder="1" applyProtection="1"/>
    <xf numFmtId="0" fontId="4" fillId="0" borderId="25" xfId="13" applyFont="1" applyBorder="1" applyAlignment="1" applyProtection="1">
      <alignment horizontal="center"/>
    </xf>
    <xf numFmtId="0" fontId="5" fillId="0" borderId="7" xfId="13" applyFont="1" applyBorder="1" applyProtection="1"/>
    <xf numFmtId="0" fontId="4" fillId="0" borderId="8" xfId="13" applyFont="1" applyBorder="1" applyAlignment="1" applyProtection="1">
      <alignment horizontal="center"/>
    </xf>
    <xf numFmtId="0" fontId="4" fillId="0" borderId="9" xfId="13" applyBorder="1" applyProtection="1"/>
    <xf numFmtId="0" fontId="4" fillId="0" borderId="13" xfId="13" applyBorder="1" applyProtection="1"/>
    <xf numFmtId="0" fontId="4" fillId="0" borderId="14" xfId="13" applyBorder="1" applyProtection="1"/>
    <xf numFmtId="0" fontId="4" fillId="0" borderId="80" xfId="13" applyBorder="1" applyProtection="1"/>
    <xf numFmtId="0" fontId="4" fillId="0" borderId="81" xfId="13" applyBorder="1" applyProtection="1"/>
    <xf numFmtId="1" fontId="4" fillId="0" borderId="38" xfId="13" applyNumberFormat="1" applyFill="1" applyBorder="1" applyAlignment="1" applyProtection="1">
      <alignment horizontal="center"/>
    </xf>
    <xf numFmtId="0" fontId="4" fillId="0" borderId="25" xfId="13" applyFill="1" applyBorder="1" applyAlignment="1" applyProtection="1">
      <alignment horizontal="center"/>
    </xf>
    <xf numFmtId="0" fontId="5" fillId="0" borderId="0" xfId="13" applyFont="1" applyBorder="1" applyProtection="1"/>
    <xf numFmtId="0" fontId="9" fillId="0" borderId="0" xfId="13" applyFont="1" applyBorder="1" applyAlignment="1" applyProtection="1">
      <alignment vertical="center"/>
    </xf>
    <xf numFmtId="0" fontId="14" fillId="0" borderId="7" xfId="13" applyFont="1" applyBorder="1" applyProtection="1"/>
    <xf numFmtId="0" fontId="4" fillId="0" borderId="0" xfId="13" applyBorder="1" applyAlignment="1" applyProtection="1">
      <alignment vertical="top"/>
    </xf>
    <xf numFmtId="0" fontId="4" fillId="0" borderId="8" xfId="13" applyBorder="1" applyAlignment="1" applyProtection="1">
      <alignment vertical="top"/>
    </xf>
    <xf numFmtId="0" fontId="14" fillId="0" borderId="7" xfId="13" applyFont="1" applyFill="1" applyBorder="1" applyAlignment="1" applyProtection="1">
      <alignment horizontal="left"/>
    </xf>
    <xf numFmtId="0" fontId="4" fillId="0" borderId="0" xfId="13" applyFont="1" applyFill="1" applyBorder="1" applyAlignment="1" applyProtection="1"/>
    <xf numFmtId="0" fontId="4" fillId="0" borderId="0" xfId="13" applyFill="1" applyBorder="1" applyAlignment="1" applyProtection="1"/>
    <xf numFmtId="0" fontId="4" fillId="0" borderId="0" xfId="13" applyFont="1" applyBorder="1" applyAlignment="1" applyProtection="1">
      <alignment horizontal="right"/>
    </xf>
    <xf numFmtId="0" fontId="14" fillId="0" borderId="7" xfId="13" applyFont="1" applyBorder="1" applyAlignment="1" applyProtection="1">
      <alignment horizontal="left"/>
    </xf>
    <xf numFmtId="1" fontId="4" fillId="0" borderId="0" xfId="13" applyNumberFormat="1" applyFill="1" applyBorder="1" applyAlignment="1" applyProtection="1"/>
    <xf numFmtId="0" fontId="4" fillId="10" borderId="38" xfId="13" applyFill="1" applyBorder="1" applyAlignment="1" applyProtection="1">
      <alignment horizontal="center"/>
    </xf>
    <xf numFmtId="0" fontId="12" fillId="0" borderId="0" xfId="13" applyFont="1" applyAlignment="1" applyProtection="1">
      <alignment horizontal="center" vertical="center" wrapText="1"/>
    </xf>
    <xf numFmtId="0" fontId="4" fillId="0" borderId="19" xfId="13" applyFont="1" applyBorder="1" applyAlignment="1" applyProtection="1"/>
    <xf numFmtId="0" fontId="4" fillId="0" borderId="19" xfId="13" applyBorder="1" applyAlignment="1" applyProtection="1"/>
    <xf numFmtId="0" fontId="4" fillId="0" borderId="32" xfId="13" applyBorder="1" applyAlignment="1" applyProtection="1"/>
    <xf numFmtId="0" fontId="4" fillId="0" borderId="7" xfId="13" applyFont="1" applyFill="1" applyBorder="1" applyAlignment="1" applyProtection="1">
      <alignment horizontal="left"/>
    </xf>
    <xf numFmtId="0" fontId="4" fillId="0" borderId="0" xfId="13" applyFont="1" applyBorder="1" applyAlignment="1" applyProtection="1">
      <alignment horizontal="center"/>
    </xf>
    <xf numFmtId="169" fontId="4" fillId="0" borderId="38" xfId="13" applyNumberFormat="1" applyFont="1" applyBorder="1" applyAlignment="1" applyProtection="1">
      <alignment horizontal="center"/>
    </xf>
    <xf numFmtId="0" fontId="4" fillId="0" borderId="38" xfId="13" applyFont="1" applyBorder="1" applyAlignment="1" applyProtection="1"/>
    <xf numFmtId="1" fontId="4" fillId="0" borderId="38" xfId="13" applyNumberFormat="1" applyBorder="1" applyAlignment="1" applyProtection="1">
      <alignment horizontal="center"/>
    </xf>
    <xf numFmtId="1" fontId="4" fillId="0" borderId="0" xfId="13" applyNumberFormat="1" applyBorder="1" applyAlignment="1" applyProtection="1"/>
    <xf numFmtId="3" fontId="4" fillId="0" borderId="38" xfId="13" applyNumberFormat="1" applyBorder="1" applyAlignment="1" applyProtection="1">
      <alignment horizontal="center"/>
    </xf>
    <xf numFmtId="3" fontId="4" fillId="0" borderId="0" xfId="13" applyNumberFormat="1" applyBorder="1" applyAlignment="1" applyProtection="1"/>
    <xf numFmtId="3" fontId="4" fillId="10" borderId="38" xfId="13" applyNumberFormat="1" applyFont="1" applyFill="1" applyBorder="1" applyAlignment="1" applyProtection="1">
      <alignment horizontal="center"/>
    </xf>
    <xf numFmtId="0" fontId="138" fillId="0" borderId="0" xfId="13" applyFont="1" applyBorder="1" applyAlignment="1" applyProtection="1"/>
    <xf numFmtId="0" fontId="4" fillId="0" borderId="7" xfId="13" applyFont="1" applyBorder="1" applyAlignment="1" applyProtection="1">
      <alignment horizontal="left"/>
    </xf>
    <xf numFmtId="3" fontId="4" fillId="0" borderId="25" xfId="13" applyNumberFormat="1" applyBorder="1" applyAlignment="1" applyProtection="1">
      <alignment horizontal="center"/>
    </xf>
    <xf numFmtId="0" fontId="14" fillId="0" borderId="0" xfId="13" applyFont="1" applyBorder="1" applyAlignment="1" applyProtection="1"/>
    <xf numFmtId="3" fontId="4" fillId="0" borderId="8" xfId="13" applyNumberFormat="1" applyBorder="1" applyAlignment="1" applyProtection="1">
      <alignment horizontal="center"/>
    </xf>
    <xf numFmtId="0" fontId="4" fillId="10" borderId="38" xfId="13" applyFont="1" applyFill="1" applyBorder="1" applyAlignment="1" applyProtection="1">
      <alignment horizontal="center"/>
    </xf>
    <xf numFmtId="0" fontId="17" fillId="0" borderId="8" xfId="13" applyFont="1" applyBorder="1" applyAlignment="1" applyProtection="1">
      <alignment horizontal="right"/>
    </xf>
    <xf numFmtId="0" fontId="93" fillId="0" borderId="0" xfId="13" applyFont="1" applyProtection="1"/>
    <xf numFmtId="38" fontId="4" fillId="0" borderId="84" xfId="1" applyNumberFormat="1" applyFont="1" applyFill="1" applyBorder="1" applyAlignment="1" applyProtection="1">
      <alignment vertical="center"/>
    </xf>
    <xf numFmtId="38" fontId="4" fillId="0" borderId="11" xfId="1" applyNumberFormat="1" applyFont="1" applyFill="1" applyBorder="1" applyAlignment="1" applyProtection="1">
      <alignment vertical="center"/>
    </xf>
    <xf numFmtId="38" fontId="4" fillId="0" borderId="12" xfId="1" applyNumberFormat="1" applyFont="1" applyFill="1" applyBorder="1" applyAlignment="1" applyProtection="1">
      <alignment vertical="center"/>
    </xf>
    <xf numFmtId="38" fontId="4" fillId="0" borderId="11" xfId="1" applyNumberFormat="1" applyFont="1" applyFill="1" applyBorder="1" applyAlignment="1" applyProtection="1">
      <alignment horizontal="right" vertical="center"/>
    </xf>
    <xf numFmtId="38" fontId="9" fillId="0" borderId="85" xfId="1" applyNumberFormat="1" applyFont="1" applyFill="1" applyBorder="1" applyAlignment="1" applyProtection="1">
      <alignment horizontal="right" vertical="center"/>
    </xf>
    <xf numFmtId="38" fontId="13" fillId="0" borderId="82" xfId="1" applyNumberFormat="1" applyFont="1" applyFill="1" applyBorder="1" applyAlignment="1" applyProtection="1">
      <alignment horizontal="right" vertical="center"/>
    </xf>
    <xf numFmtId="38" fontId="9" fillId="0" borderId="82" xfId="1" applyNumberFormat="1" applyFont="1" applyFill="1" applyBorder="1" applyAlignment="1" applyProtection="1">
      <alignment horizontal="right" vertical="center"/>
    </xf>
    <xf numFmtId="38" fontId="9" fillId="0" borderId="85" xfId="1" applyNumberFormat="1" applyFont="1" applyFill="1" applyBorder="1" applyAlignment="1" applyProtection="1">
      <alignment vertical="center"/>
    </xf>
    <xf numFmtId="38" fontId="13" fillId="0" borderId="12" xfId="1" applyNumberFormat="1" applyFont="1" applyFill="1" applyBorder="1" applyAlignment="1" applyProtection="1">
      <alignment vertical="center"/>
    </xf>
    <xf numFmtId="38" fontId="9" fillId="0" borderId="86" xfId="1" applyNumberFormat="1" applyFont="1" applyFill="1" applyBorder="1" applyAlignment="1" applyProtection="1">
      <alignment horizontal="right" vertical="center"/>
    </xf>
    <xf numFmtId="0" fontId="23" fillId="0" borderId="0" xfId="0" applyFont="1" applyFill="1" applyAlignment="1" applyProtection="1">
      <alignment vertical="center"/>
    </xf>
    <xf numFmtId="0" fontId="193" fillId="0" borderId="0" xfId="0" applyFont="1" applyFill="1" applyProtection="1"/>
    <xf numFmtId="38" fontId="23" fillId="0" borderId="82" xfId="1" applyNumberFormat="1" applyFont="1" applyFill="1" applyBorder="1" applyAlignment="1" applyProtection="1">
      <alignment horizontal="right" vertical="center"/>
    </xf>
    <xf numFmtId="38" fontId="14" fillId="0" borderId="22" xfId="1" applyNumberFormat="1" applyFont="1" applyFill="1" applyBorder="1" applyAlignment="1" applyProtection="1">
      <alignment horizontal="center" vertical="center"/>
    </xf>
    <xf numFmtId="38" fontId="14" fillId="0" borderId="126" xfId="1" applyNumberFormat="1" applyFont="1" applyFill="1" applyBorder="1" applyAlignment="1" applyProtection="1">
      <alignment horizontal="center" vertical="center"/>
    </xf>
    <xf numFmtId="0" fontId="106" fillId="0" borderId="0" xfId="0" applyFont="1" applyFill="1" applyAlignment="1" applyProtection="1">
      <alignment horizontal="center" vertical="center"/>
    </xf>
    <xf numFmtId="37" fontId="14" fillId="0" borderId="0" xfId="1" applyNumberFormat="1" applyFont="1" applyFill="1" applyBorder="1" applyAlignment="1" applyProtection="1">
      <alignment horizontal="center" vertical="center"/>
    </xf>
    <xf numFmtId="37" fontId="5" fillId="0" borderId="14" xfId="1" applyNumberFormat="1" applyFont="1" applyFill="1" applyBorder="1" applyAlignment="1" applyProtection="1">
      <alignment horizontal="center" vertical="center"/>
    </xf>
    <xf numFmtId="37" fontId="5" fillId="0" borderId="0" xfId="1" applyNumberFormat="1" applyFont="1" applyFill="1" applyBorder="1" applyAlignment="1" applyProtection="1">
      <alignment horizontal="center" vertical="center"/>
    </xf>
    <xf numFmtId="37" fontId="14" fillId="0" borderId="12" xfId="1" applyNumberFormat="1" applyFont="1" applyFill="1" applyBorder="1" applyAlignment="1" applyProtection="1">
      <alignment horizontal="center" vertical="center"/>
    </xf>
    <xf numFmtId="164" fontId="195" fillId="0" borderId="29" xfId="1" applyNumberFormat="1" applyFont="1" applyFill="1" applyBorder="1" applyAlignment="1" applyProtection="1">
      <alignment horizontal="center" vertical="center"/>
    </xf>
    <xf numFmtId="164" fontId="195" fillId="0" borderId="34" xfId="1" applyNumberFormat="1" applyFont="1" applyFill="1" applyBorder="1" applyAlignment="1" applyProtection="1">
      <alignment horizontal="center" vertical="center"/>
    </xf>
    <xf numFmtId="0" fontId="0" fillId="0" borderId="13" xfId="0" applyBorder="1" applyProtection="1"/>
    <xf numFmtId="0" fontId="36" fillId="0" borderId="0" xfId="0" applyFont="1" applyFill="1" applyAlignment="1" applyProtection="1">
      <alignment vertical="center" wrapText="1"/>
    </xf>
    <xf numFmtId="0" fontId="36" fillId="0" borderId="0" xfId="0" applyFont="1" applyFill="1" applyAlignment="1" applyProtection="1">
      <alignment vertical="top" wrapText="1"/>
    </xf>
    <xf numFmtId="38" fontId="13" fillId="0" borderId="107" xfId="1" applyNumberFormat="1" applyFont="1" applyFill="1" applyBorder="1" applyAlignment="1" applyProtection="1">
      <alignment horizontal="right" vertical="center"/>
    </xf>
    <xf numFmtId="38" fontId="13" fillId="0" borderId="106" xfId="1" applyNumberFormat="1" applyFont="1" applyFill="1" applyBorder="1" applyAlignment="1" applyProtection="1">
      <alignment horizontal="right" vertical="center"/>
    </xf>
    <xf numFmtId="38" fontId="13" fillId="0" borderId="108" xfId="1" applyNumberFormat="1" applyFont="1" applyFill="1" applyBorder="1" applyAlignment="1" applyProtection="1">
      <alignment horizontal="right" vertical="center"/>
    </xf>
    <xf numFmtId="38" fontId="13" fillId="0" borderId="127" xfId="1" applyNumberFormat="1" applyFont="1" applyFill="1" applyBorder="1" applyAlignment="1" applyProtection="1">
      <alignment horizontal="right" vertical="center"/>
    </xf>
    <xf numFmtId="38" fontId="13" fillId="0" borderId="121" xfId="1" applyNumberFormat="1" applyFont="1" applyFill="1" applyBorder="1" applyAlignment="1" applyProtection="1">
      <alignment horizontal="right" vertical="center"/>
    </xf>
    <xf numFmtId="38" fontId="13" fillId="0" borderId="102" xfId="1" applyNumberFormat="1" applyFont="1" applyFill="1" applyBorder="1" applyAlignment="1" applyProtection="1">
      <alignment horizontal="right" vertical="center"/>
    </xf>
    <xf numFmtId="38" fontId="13" fillId="0" borderId="128" xfId="1" applyNumberFormat="1" applyFont="1" applyFill="1" applyBorder="1" applyAlignment="1" applyProtection="1">
      <alignment horizontal="right" vertical="center"/>
    </xf>
    <xf numFmtId="38" fontId="13" fillId="0" borderId="117" xfId="1" applyNumberFormat="1" applyFont="1" applyFill="1" applyBorder="1" applyAlignment="1" applyProtection="1">
      <alignment horizontal="right" vertical="center"/>
    </xf>
    <xf numFmtId="38" fontId="13" fillId="0" borderId="103" xfId="1" applyNumberFormat="1" applyFont="1" applyFill="1" applyBorder="1" applyAlignment="1" applyProtection="1">
      <alignment horizontal="right" vertical="center"/>
    </xf>
    <xf numFmtId="38" fontId="4" fillId="0" borderId="107" xfId="0" applyNumberFormat="1" applyFont="1" applyFill="1" applyBorder="1" applyProtection="1"/>
    <xf numFmtId="38" fontId="4" fillId="0" borderId="106" xfId="0" applyNumberFormat="1" applyFont="1" applyFill="1" applyBorder="1" applyProtection="1"/>
    <xf numFmtId="38" fontId="4" fillId="0" borderId="108" xfId="0" applyNumberFormat="1" applyFont="1" applyFill="1" applyBorder="1" applyProtection="1"/>
    <xf numFmtId="38" fontId="4" fillId="0" borderId="127" xfId="1" applyNumberFormat="1" applyFont="1" applyFill="1" applyBorder="1" applyAlignment="1" applyProtection="1">
      <alignment horizontal="right" vertical="center"/>
    </xf>
    <xf numFmtId="38" fontId="4" fillId="0" borderId="121" xfId="1" applyNumberFormat="1" applyFont="1" applyFill="1" applyBorder="1" applyAlignment="1" applyProtection="1">
      <alignment horizontal="right" vertical="center"/>
    </xf>
    <xf numFmtId="38" fontId="4" fillId="0" borderId="102" xfId="1" applyNumberFormat="1" applyFont="1" applyFill="1" applyBorder="1" applyAlignment="1" applyProtection="1">
      <alignment horizontal="right" vertical="center"/>
    </xf>
    <xf numFmtId="38" fontId="4" fillId="0" borderId="128" xfId="0" applyNumberFormat="1" applyFont="1" applyFill="1" applyBorder="1" applyProtection="1"/>
    <xf numFmtId="38" fontId="4" fillId="0" borderId="117" xfId="0" applyNumberFormat="1" applyFont="1" applyFill="1" applyBorder="1" applyProtection="1"/>
    <xf numFmtId="38" fontId="4" fillId="0" borderId="103" xfId="0" applyNumberFormat="1" applyFont="1" applyFill="1" applyBorder="1" applyProtection="1"/>
    <xf numFmtId="38" fontId="13" fillId="0" borderId="114" xfId="1" applyNumberFormat="1" applyFont="1" applyFill="1" applyBorder="1" applyAlignment="1" applyProtection="1">
      <alignment horizontal="right" vertical="center"/>
    </xf>
    <xf numFmtId="38" fontId="13" fillId="0" borderId="115" xfId="1" applyNumberFormat="1" applyFont="1" applyFill="1" applyBorder="1" applyAlignment="1" applyProtection="1">
      <alignment horizontal="right" vertical="center"/>
    </xf>
    <xf numFmtId="38" fontId="13" fillId="0" borderId="116" xfId="1" applyNumberFormat="1" applyFont="1" applyFill="1" applyBorder="1" applyAlignment="1" applyProtection="1">
      <alignment horizontal="right" vertical="center"/>
    </xf>
    <xf numFmtId="38" fontId="9" fillId="0" borderId="114" xfId="1" applyNumberFormat="1" applyFont="1" applyFill="1" applyBorder="1" applyAlignment="1" applyProtection="1">
      <alignment horizontal="right" vertical="center"/>
    </xf>
    <xf numFmtId="38" fontId="9" fillId="0" borderId="115" xfId="1" applyNumberFormat="1" applyFont="1" applyFill="1" applyBorder="1" applyAlignment="1" applyProtection="1">
      <alignment horizontal="right" vertical="center"/>
    </xf>
    <xf numFmtId="38" fontId="9" fillId="0" borderId="116" xfId="1" applyNumberFormat="1" applyFont="1" applyFill="1" applyBorder="1" applyAlignment="1" applyProtection="1">
      <alignment horizontal="right" vertical="center"/>
    </xf>
    <xf numFmtId="38" fontId="13" fillId="0" borderId="99" xfId="1" applyNumberFormat="1" applyFont="1" applyFill="1" applyBorder="1" applyAlignment="1" applyProtection="1">
      <alignment horizontal="right" vertical="center"/>
    </xf>
    <xf numFmtId="38" fontId="13" fillId="0" borderId="91" xfId="1" applyNumberFormat="1" applyFont="1" applyFill="1" applyBorder="1" applyAlignment="1" applyProtection="1">
      <alignment horizontal="right" vertical="center"/>
    </xf>
    <xf numFmtId="38" fontId="13" fillId="0" borderId="98" xfId="1" applyNumberFormat="1" applyFont="1" applyFill="1" applyBorder="1" applyAlignment="1" applyProtection="1">
      <alignment horizontal="right" vertical="center"/>
    </xf>
    <xf numFmtId="38" fontId="13" fillId="0" borderId="109" xfId="1" applyNumberFormat="1" applyFont="1" applyFill="1" applyBorder="1" applyAlignment="1" applyProtection="1">
      <alignment horizontal="right" vertical="center"/>
    </xf>
    <xf numFmtId="38" fontId="13" fillId="0" borderId="90" xfId="1" applyNumberFormat="1" applyFont="1" applyFill="1" applyBorder="1" applyAlignment="1" applyProtection="1">
      <alignment horizontal="right" vertical="center"/>
    </xf>
    <xf numFmtId="38" fontId="13" fillId="0" borderId="129" xfId="1" applyNumberFormat="1" applyFont="1" applyFill="1" applyBorder="1" applyAlignment="1" applyProtection="1">
      <alignment horizontal="right" vertical="center"/>
    </xf>
    <xf numFmtId="38" fontId="4" fillId="0" borderId="107" xfId="1" applyNumberFormat="1" applyFont="1" applyFill="1" applyBorder="1" applyAlignment="1" applyProtection="1">
      <alignment horizontal="right" vertical="center"/>
    </xf>
    <xf numFmtId="38" fontId="4" fillId="0" borderId="106" xfId="1" applyNumberFormat="1" applyFont="1" applyFill="1" applyBorder="1" applyAlignment="1" applyProtection="1">
      <alignment horizontal="right" vertical="center"/>
    </xf>
    <xf numFmtId="38" fontId="4" fillId="0" borderId="108" xfId="1" applyNumberFormat="1" applyFont="1" applyFill="1" applyBorder="1" applyAlignment="1" applyProtection="1">
      <alignment horizontal="right" vertical="center"/>
    </xf>
    <xf numFmtId="38" fontId="4" fillId="0" borderId="99" xfId="1" applyNumberFormat="1" applyFont="1" applyFill="1" applyBorder="1" applyAlignment="1" applyProtection="1">
      <alignment horizontal="right" vertical="center"/>
    </xf>
    <xf numFmtId="38" fontId="4" fillId="0" borderId="91" xfId="1" applyNumberFormat="1" applyFont="1" applyFill="1" applyBorder="1" applyAlignment="1" applyProtection="1">
      <alignment horizontal="right" vertical="center"/>
    </xf>
    <xf numFmtId="38" fontId="4" fillId="0" borderId="98" xfId="1" applyNumberFormat="1" applyFont="1" applyFill="1" applyBorder="1" applyAlignment="1" applyProtection="1">
      <alignment horizontal="right" vertical="center"/>
    </xf>
    <xf numFmtId="38" fontId="4" fillId="0" borderId="109" xfId="1" applyNumberFormat="1" applyFont="1" applyFill="1" applyBorder="1" applyAlignment="1" applyProtection="1">
      <alignment horizontal="right" vertical="center"/>
    </xf>
    <xf numFmtId="38" fontId="4" fillId="0" borderId="90" xfId="1" applyNumberFormat="1" applyFont="1" applyFill="1" applyBorder="1" applyAlignment="1" applyProtection="1">
      <alignment horizontal="right" vertical="center"/>
    </xf>
    <xf numFmtId="38" fontId="4" fillId="0" borderId="129" xfId="1" applyNumberFormat="1" applyFont="1" applyFill="1" applyBorder="1" applyAlignment="1" applyProtection="1">
      <alignment horizontal="right" vertical="center"/>
    </xf>
    <xf numFmtId="38" fontId="4" fillId="0" borderId="127" xfId="1" applyNumberFormat="1" applyFont="1" applyFill="1" applyBorder="1" applyAlignment="1" applyProtection="1">
      <alignment vertical="center"/>
    </xf>
    <xf numFmtId="38" fontId="4" fillId="0" borderId="121" xfId="1" applyNumberFormat="1" applyFont="1" applyFill="1" applyBorder="1" applyAlignment="1" applyProtection="1">
      <alignment vertical="center"/>
    </xf>
    <xf numFmtId="38" fontId="4" fillId="0" borderId="102" xfId="1" applyNumberFormat="1" applyFont="1" applyFill="1" applyBorder="1" applyAlignment="1" applyProtection="1">
      <alignment vertical="center"/>
    </xf>
    <xf numFmtId="38" fontId="13" fillId="0" borderId="114" xfId="1" applyNumberFormat="1" applyFont="1" applyFill="1" applyBorder="1" applyAlignment="1" applyProtection="1">
      <alignment vertical="center"/>
    </xf>
    <xf numFmtId="38" fontId="13" fillId="0" borderId="115" xfId="1" applyNumberFormat="1" applyFont="1" applyFill="1" applyBorder="1" applyAlignment="1" applyProtection="1">
      <alignment vertical="center"/>
    </xf>
    <xf numFmtId="38" fontId="13" fillId="0" borderId="116" xfId="1" applyNumberFormat="1" applyFont="1" applyFill="1" applyBorder="1" applyAlignment="1" applyProtection="1">
      <alignment vertical="center"/>
    </xf>
    <xf numFmtId="0" fontId="46" fillId="0" borderId="86" xfId="0" applyFont="1" applyFill="1" applyBorder="1" applyAlignment="1" applyProtection="1">
      <alignment vertical="center"/>
    </xf>
    <xf numFmtId="0" fontId="46" fillId="0" borderId="12" xfId="0" applyFont="1" applyFill="1" applyBorder="1" applyAlignment="1" applyProtection="1">
      <alignment vertical="center"/>
    </xf>
    <xf numFmtId="0" fontId="46" fillId="0" borderId="11" xfId="0" applyFont="1" applyFill="1" applyBorder="1" applyAlignment="1" applyProtection="1">
      <alignment vertical="center"/>
    </xf>
    <xf numFmtId="0" fontId="86" fillId="0" borderId="0" xfId="0" applyFont="1" applyAlignment="1" applyProtection="1">
      <alignment horizontal="left" vertical="center"/>
    </xf>
    <xf numFmtId="0" fontId="43" fillId="0" borderId="41" xfId="0" applyFont="1" applyFill="1" applyBorder="1" applyAlignment="1" applyProtection="1">
      <alignment vertical="center" wrapText="1"/>
    </xf>
    <xf numFmtId="0" fontId="46" fillId="0" borderId="41" xfId="0" applyFont="1" applyFill="1" applyBorder="1" applyAlignment="1" applyProtection="1">
      <alignment vertical="center" wrapText="1"/>
    </xf>
    <xf numFmtId="0" fontId="48" fillId="20" borderId="0" xfId="0" applyFont="1" applyFill="1" applyProtection="1"/>
    <xf numFmtId="0" fontId="91" fillId="0" borderId="0" xfId="0" applyFont="1" applyFill="1" applyAlignment="1" applyProtection="1">
      <alignment horizontal="right" vertical="center"/>
    </xf>
    <xf numFmtId="0" fontId="92" fillId="0" borderId="0" xfId="0" applyFont="1" applyFill="1" applyAlignment="1" applyProtection="1">
      <alignment horizontal="right" vertical="top"/>
    </xf>
    <xf numFmtId="0" fontId="92" fillId="0" borderId="0" xfId="0" applyFont="1" applyFill="1" applyAlignment="1" applyProtection="1">
      <alignment horizontal="right" vertical="center"/>
    </xf>
    <xf numFmtId="0" fontId="91" fillId="0" borderId="0" xfId="0" applyFont="1" applyFill="1" applyAlignment="1" applyProtection="1">
      <alignment vertical="top" wrapText="1"/>
    </xf>
    <xf numFmtId="0" fontId="91" fillId="0" borderId="0" xfId="0" applyFont="1" applyFill="1" applyAlignment="1" applyProtection="1">
      <alignment vertical="top"/>
    </xf>
    <xf numFmtId="9" fontId="46" fillId="0" borderId="16" xfId="1" applyNumberFormat="1" applyFont="1" applyFill="1" applyBorder="1" applyAlignment="1" applyProtection="1">
      <alignment horizontal="center" vertical="center"/>
    </xf>
    <xf numFmtId="9" fontId="46" fillId="0" borderId="17" xfId="1" applyNumberFormat="1" applyFont="1" applyFill="1" applyBorder="1" applyAlignment="1" applyProtection="1">
      <alignment horizontal="center" vertical="center"/>
    </xf>
    <xf numFmtId="9" fontId="46" fillId="0" borderId="18" xfId="1" applyNumberFormat="1" applyFont="1" applyFill="1" applyBorder="1" applyAlignment="1" applyProtection="1">
      <alignment horizontal="center" vertical="center"/>
    </xf>
    <xf numFmtId="0" fontId="43" fillId="0" borderId="86" xfId="0"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0" fontId="77" fillId="0" borderId="0" xfId="0" applyFont="1" applyFill="1" applyAlignment="1" applyProtection="1">
      <alignment vertical="center" wrapText="1"/>
    </xf>
    <xf numFmtId="0" fontId="9" fillId="0" borderId="35" xfId="0" applyFont="1" applyFill="1" applyBorder="1" applyAlignment="1" applyProtection="1">
      <alignment horizontal="center" vertical="center"/>
    </xf>
    <xf numFmtId="3" fontId="9" fillId="0" borderId="86" xfId="0" applyNumberFormat="1" applyFont="1" applyFill="1" applyBorder="1" applyAlignment="1" applyProtection="1">
      <alignment horizontal="center" vertical="center"/>
    </xf>
    <xf numFmtId="0" fontId="43" fillId="0" borderId="0" xfId="0" quotePrefix="1" applyFont="1" applyFill="1" applyBorder="1" applyAlignment="1" applyProtection="1">
      <alignment horizontal="center" vertical="center"/>
    </xf>
    <xf numFmtId="0" fontId="80" fillId="0" borderId="0" xfId="0" applyFont="1" applyFill="1" applyBorder="1" applyAlignment="1" applyProtection="1">
      <alignment vertical="center"/>
    </xf>
    <xf numFmtId="0" fontId="92" fillId="0" borderId="0" xfId="0" applyFont="1" applyAlignment="1" applyProtection="1">
      <alignment horizontal="right" vertical="center"/>
    </xf>
    <xf numFmtId="9" fontId="14" fillId="0" borderId="0" xfId="10" applyFont="1" applyFill="1" applyBorder="1" applyAlignment="1" applyProtection="1">
      <alignment horizontal="left" vertical="center"/>
    </xf>
    <xf numFmtId="9" fontId="11" fillId="0" borderId="0" xfId="10" applyFont="1" applyFill="1" applyBorder="1" applyAlignment="1" applyProtection="1">
      <alignment horizontal="center" vertical="top" wrapText="1"/>
    </xf>
    <xf numFmtId="38" fontId="106" fillId="0" borderId="11" xfId="0" applyNumberFormat="1" applyFont="1" applyFill="1" applyBorder="1" applyAlignment="1" applyProtection="1">
      <alignment horizontal="center"/>
    </xf>
    <xf numFmtId="0" fontId="80" fillId="0" borderId="0" xfId="0" applyFont="1" applyFill="1" applyAlignment="1" applyProtection="1">
      <alignment horizontal="center"/>
    </xf>
    <xf numFmtId="0" fontId="200" fillId="0" borderId="0" xfId="0" applyFont="1" applyFill="1" applyAlignment="1" applyProtection="1">
      <alignment vertical="center"/>
    </xf>
    <xf numFmtId="0" fontId="19" fillId="0" borderId="0" xfId="0" applyFont="1" applyFill="1" applyAlignment="1" applyProtection="1">
      <alignment horizontal="left"/>
    </xf>
    <xf numFmtId="0" fontId="5" fillId="0" borderId="0" xfId="0" applyFont="1" applyAlignment="1" applyProtection="1">
      <alignment horizontal="right"/>
    </xf>
    <xf numFmtId="0" fontId="138" fillId="0" borderId="0" xfId="0" applyFont="1" applyProtection="1"/>
    <xf numFmtId="0" fontId="201" fillId="0" borderId="0" xfId="0" applyFont="1" applyFill="1" applyBorder="1" applyAlignment="1" applyProtection="1">
      <alignment horizontal="right" vertical="center"/>
    </xf>
    <xf numFmtId="10" fontId="15" fillId="0" borderId="86" xfId="0" applyNumberFormat="1" applyFont="1" applyBorder="1" applyAlignment="1" applyProtection="1">
      <alignment horizontal="center" vertical="center"/>
    </xf>
    <xf numFmtId="38" fontId="9" fillId="0" borderId="130" xfId="0" applyNumberFormat="1" applyFont="1" applyFill="1" applyBorder="1" applyAlignment="1" applyProtection="1">
      <alignment horizontal="center" vertical="center"/>
    </xf>
    <xf numFmtId="0" fontId="11" fillId="0" borderId="0" xfId="0" quotePrefix="1" applyFont="1" applyFill="1" applyAlignment="1" applyProtection="1">
      <alignment horizontal="left" vertical="center"/>
    </xf>
    <xf numFmtId="0" fontId="80" fillId="0" borderId="0" xfId="0" applyFont="1" applyFill="1" applyAlignment="1" applyProtection="1">
      <alignment horizontal="left" vertical="center"/>
    </xf>
    <xf numFmtId="38" fontId="15" fillId="0" borderId="119" xfId="0" applyNumberFormat="1" applyFont="1" applyFill="1" applyBorder="1" applyAlignment="1" applyProtection="1">
      <alignment horizontal="center" vertical="top" wrapText="1"/>
    </xf>
    <xf numFmtId="38" fontId="15" fillId="0" borderId="40" xfId="0" applyNumberFormat="1" applyFont="1" applyFill="1" applyBorder="1" applyAlignment="1" applyProtection="1">
      <alignment horizontal="center" vertical="top" wrapText="1"/>
    </xf>
    <xf numFmtId="38" fontId="15" fillId="0" borderId="42" xfId="0" applyNumberFormat="1" applyFont="1" applyFill="1" applyBorder="1" applyAlignment="1" applyProtection="1">
      <alignment horizontal="center" vertical="top" wrapText="1"/>
    </xf>
    <xf numFmtId="0" fontId="15" fillId="0" borderId="40" xfId="0" applyFont="1" applyFill="1" applyBorder="1" applyAlignment="1" applyProtection="1">
      <alignment horizontal="center" vertical="top" wrapText="1"/>
    </xf>
    <xf numFmtId="38" fontId="15" fillId="0" borderId="43" xfId="0" applyNumberFormat="1" applyFont="1" applyFill="1" applyBorder="1" applyAlignment="1" applyProtection="1">
      <alignment horizontal="center" vertical="top" wrapText="1"/>
    </xf>
    <xf numFmtId="0" fontId="43" fillId="0" borderId="13" xfId="0" applyFont="1" applyFill="1" applyBorder="1" applyAlignment="1" applyProtection="1"/>
    <xf numFmtId="0" fontId="43" fillId="0" borderId="95" xfId="0" quotePrefix="1" applyFont="1" applyFill="1" applyBorder="1" applyAlignment="1" applyProtection="1">
      <alignment horizontal="center" vertical="center" wrapText="1"/>
    </xf>
    <xf numFmtId="0" fontId="5" fillId="0" borderId="49" xfId="0" applyFont="1" applyFill="1" applyBorder="1" applyAlignment="1" applyProtection="1">
      <alignment horizontal="center" vertical="center"/>
    </xf>
    <xf numFmtId="0" fontId="15" fillId="0" borderId="0" xfId="0" applyFont="1" applyFill="1" applyAlignment="1" applyProtection="1">
      <alignment horizontal="center"/>
    </xf>
    <xf numFmtId="0" fontId="15" fillId="0" borderId="0" xfId="0" applyFont="1" applyFill="1" applyAlignment="1" applyProtection="1">
      <alignment horizontal="center" vertical="top"/>
    </xf>
    <xf numFmtId="9" fontId="15" fillId="0" borderId="0" xfId="0" applyNumberFormat="1" applyFont="1" applyFill="1" applyAlignment="1" applyProtection="1">
      <alignment horizontal="center" vertical="center"/>
    </xf>
    <xf numFmtId="0" fontId="92" fillId="0" borderId="0" xfId="0" applyFont="1" applyFill="1" applyBorder="1" applyAlignment="1" applyProtection="1">
      <alignment horizontal="left" vertical="center"/>
    </xf>
    <xf numFmtId="0" fontId="91" fillId="0" borderId="0" xfId="0" applyFont="1" applyBorder="1" applyAlignment="1" applyProtection="1">
      <alignment vertical="center"/>
    </xf>
    <xf numFmtId="0" fontId="4" fillId="0" borderId="0" xfId="0" applyFont="1" applyFill="1" applyAlignment="1" applyProtection="1">
      <alignment vertical="center" wrapText="1"/>
    </xf>
    <xf numFmtId="0" fontId="90" fillId="0" borderId="0" xfId="0" applyFont="1" applyFill="1" applyBorder="1" applyAlignment="1" applyProtection="1">
      <alignment horizontal="left" vertical="center"/>
    </xf>
    <xf numFmtId="0" fontId="46" fillId="0" borderId="0" xfId="0" applyFont="1" applyFill="1" applyBorder="1" applyAlignment="1" applyProtection="1">
      <alignment vertical="top" wrapText="1"/>
    </xf>
    <xf numFmtId="0" fontId="86" fillId="0" borderId="0" xfId="0" applyFont="1" applyFill="1" applyBorder="1" applyAlignment="1" applyProtection="1">
      <alignment horizontal="center" vertical="center"/>
    </xf>
    <xf numFmtId="0" fontId="54" fillId="0" borderId="0" xfId="0" applyFont="1" applyFill="1" applyBorder="1" applyAlignment="1" applyProtection="1">
      <alignment horizontal="left"/>
    </xf>
    <xf numFmtId="164" fontId="13" fillId="0" borderId="14" xfId="1" applyNumberFormat="1" applyFont="1" applyFill="1" applyBorder="1" applyProtection="1"/>
    <xf numFmtId="0" fontId="86" fillId="0" borderId="103" xfId="0" applyFont="1" applyFill="1" applyBorder="1" applyAlignment="1" applyProtection="1">
      <alignment horizontal="center" vertical="top" wrapText="1"/>
    </xf>
    <xf numFmtId="0" fontId="86" fillId="0" borderId="0" xfId="0" applyFont="1" applyFill="1" applyAlignment="1" applyProtection="1">
      <alignment horizontal="center"/>
    </xf>
    <xf numFmtId="0" fontId="117" fillId="0" borderId="0" xfId="0" applyNumberFormat="1" applyFont="1" applyFill="1" applyAlignment="1" applyProtection="1">
      <alignment vertical="center" wrapText="1"/>
    </xf>
    <xf numFmtId="0" fontId="50" fillId="0" borderId="0" xfId="0" applyFont="1" applyFill="1" applyBorder="1" applyAlignment="1" applyProtection="1">
      <alignment horizontal="center" vertical="center"/>
    </xf>
    <xf numFmtId="0" fontId="50" fillId="0" borderId="13" xfId="0" applyFont="1" applyFill="1" applyBorder="1" applyAlignment="1" applyProtection="1">
      <alignment horizontal="center" vertical="center"/>
    </xf>
    <xf numFmtId="0" fontId="8" fillId="0" borderId="0" xfId="0" applyFont="1" applyFill="1" applyAlignment="1" applyProtection="1">
      <alignment horizontal="left" vertical="top"/>
    </xf>
    <xf numFmtId="38" fontId="4" fillId="0" borderId="0" xfId="1" applyNumberFormat="1" applyFont="1" applyFill="1" applyBorder="1" applyAlignment="1" applyProtection="1">
      <alignment horizontal="left" vertical="center"/>
    </xf>
    <xf numFmtId="38" fontId="4" fillId="0" borderId="99" xfId="1" applyNumberFormat="1" applyFont="1" applyFill="1" applyBorder="1" applyAlignment="1" applyProtection="1">
      <alignment vertical="center"/>
    </xf>
    <xf numFmtId="38" fontId="4" fillId="0" borderId="91" xfId="1" applyNumberFormat="1" applyFont="1" applyFill="1" applyBorder="1" applyAlignment="1" applyProtection="1">
      <alignment vertical="center"/>
    </xf>
    <xf numFmtId="38" fontId="4" fillId="0" borderId="98" xfId="1" applyNumberFormat="1" applyFont="1" applyFill="1" applyBorder="1" applyAlignment="1" applyProtection="1">
      <alignment vertical="center"/>
    </xf>
    <xf numFmtId="38" fontId="4" fillId="0" borderId="22" xfId="1" applyNumberFormat="1" applyFont="1" applyFill="1" applyBorder="1" applyAlignment="1" applyProtection="1">
      <alignment vertical="center"/>
    </xf>
    <xf numFmtId="49" fontId="136" fillId="0" borderId="0" xfId="0" applyNumberFormat="1" applyFont="1" applyFill="1" applyAlignment="1" applyProtection="1">
      <alignment vertical="center"/>
    </xf>
    <xf numFmtId="38" fontId="92" fillId="0" borderId="0" xfId="0" applyNumberFormat="1" applyFont="1" applyFill="1" applyAlignment="1" applyProtection="1">
      <alignment horizontal="left" vertical="center"/>
    </xf>
    <xf numFmtId="3" fontId="13" fillId="0" borderId="0" xfId="0" applyNumberFormat="1" applyFont="1" applyFill="1" applyAlignment="1" applyProtection="1">
      <alignment vertical="center"/>
    </xf>
    <xf numFmtId="3" fontId="4" fillId="0" borderId="0" xfId="0" applyNumberFormat="1" applyFont="1" applyFill="1" applyAlignment="1" applyProtection="1">
      <alignment horizontal="center" vertical="center"/>
    </xf>
    <xf numFmtId="3" fontId="91"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vertical="center"/>
    </xf>
    <xf numFmtId="0" fontId="75" fillId="0" borderId="0" xfId="0" applyFont="1" applyFill="1" applyAlignment="1" applyProtection="1">
      <alignment vertical="center"/>
    </xf>
    <xf numFmtId="40" fontId="106" fillId="0" borderId="86" xfId="0" applyNumberFormat="1" applyFont="1" applyFill="1" applyBorder="1" applyAlignment="1" applyProtection="1">
      <alignment horizontal="center" vertical="center"/>
    </xf>
    <xf numFmtId="49" fontId="15" fillId="0" borderId="0" xfId="0" quotePrefix="1" applyNumberFormat="1" applyFont="1" applyFill="1" applyAlignment="1" applyProtection="1">
      <alignment horizontal="center" vertical="center"/>
    </xf>
    <xf numFmtId="0" fontId="204" fillId="0" borderId="0" xfId="0" applyFont="1" applyFill="1" applyAlignment="1" applyProtection="1"/>
    <xf numFmtId="0" fontId="30" fillId="0" borderId="0" xfId="0" applyNumberFormat="1" applyFont="1" applyBorder="1" applyAlignment="1" applyProtection="1">
      <alignment horizontal="center" vertical="center" wrapText="1"/>
    </xf>
    <xf numFmtId="37" fontId="206" fillId="0" borderId="0" xfId="0" applyNumberFormat="1" applyFont="1" applyFill="1" applyAlignment="1" applyProtection="1">
      <alignment horizontal="center" vertical="center"/>
    </xf>
    <xf numFmtId="3" fontId="204" fillId="0" borderId="0" xfId="0" applyNumberFormat="1" applyFont="1" applyFill="1" applyAlignment="1" applyProtection="1">
      <alignment horizontal="center" vertical="center"/>
    </xf>
    <xf numFmtId="0" fontId="95" fillId="0" borderId="0" xfId="0" applyFont="1" applyFill="1" applyAlignment="1" applyProtection="1">
      <alignment vertical="top" wrapText="1"/>
    </xf>
    <xf numFmtId="0" fontId="99" fillId="0" borderId="0" xfId="0" applyFont="1" applyFill="1" applyBorder="1" applyAlignment="1" applyProtection="1">
      <alignment vertical="top" wrapText="1"/>
    </xf>
    <xf numFmtId="0" fontId="46" fillId="0" borderId="0" xfId="0" applyFont="1" applyFill="1" applyAlignment="1" applyProtection="1"/>
    <xf numFmtId="0" fontId="54" fillId="0" borderId="0" xfId="0" applyFont="1" applyFill="1" applyBorder="1" applyAlignment="1" applyProtection="1">
      <alignment horizontal="left" vertical="top"/>
    </xf>
    <xf numFmtId="0" fontId="10" fillId="0" borderId="0" xfId="13" applyFont="1" applyAlignment="1" applyProtection="1">
      <alignment horizontal="justify" vertical="top" wrapText="1"/>
    </xf>
    <xf numFmtId="0" fontId="10" fillId="0" borderId="0" xfId="13" applyFont="1" applyAlignment="1" applyProtection="1">
      <alignment horizontal="left" vertical="top" wrapText="1"/>
    </xf>
    <xf numFmtId="0" fontId="10" fillId="0" borderId="0" xfId="13" applyFont="1" applyAlignment="1" applyProtection="1">
      <alignment vertical="top" wrapText="1"/>
    </xf>
    <xf numFmtId="0" fontId="10" fillId="0" borderId="0" xfId="13" applyFont="1" applyFill="1" applyAlignment="1" applyProtection="1">
      <alignment horizontal="justify" vertical="top" wrapText="1"/>
    </xf>
    <xf numFmtId="0" fontId="135" fillId="0" borderId="0" xfId="13" applyFont="1" applyAlignment="1" applyProtection="1">
      <alignment horizontal="left"/>
    </xf>
    <xf numFmtId="0" fontId="132" fillId="10" borderId="0" xfId="13" applyFont="1" applyFill="1" applyAlignment="1" applyProtection="1">
      <alignment horizontal="left" vertical="top" wrapText="1"/>
    </xf>
    <xf numFmtId="0" fontId="10" fillId="0" borderId="0" xfId="13" applyFont="1" applyAlignment="1" applyProtection="1">
      <alignment horizontal="left"/>
    </xf>
    <xf numFmtId="6" fontId="117" fillId="0" borderId="0" xfId="13" applyNumberFormat="1" applyFont="1" applyAlignment="1" applyProtection="1">
      <alignment horizontal="left"/>
    </xf>
    <xf numFmtId="38" fontId="117" fillId="0" borderId="0" xfId="13" applyNumberFormat="1" applyFont="1" applyAlignment="1" applyProtection="1">
      <alignment horizontal="left"/>
    </xf>
    <xf numFmtId="0" fontId="117" fillId="0" borderId="0" xfId="13" applyFont="1" applyAlignment="1" applyProtection="1">
      <alignment horizontal="left"/>
    </xf>
    <xf numFmtId="0" fontId="132" fillId="0" borderId="0" xfId="13" applyFont="1" applyFill="1" applyAlignment="1" applyProtection="1">
      <alignment vertical="top" wrapText="1"/>
    </xf>
    <xf numFmtId="0" fontId="4" fillId="10" borderId="86" xfId="13" applyFont="1" applyFill="1" applyBorder="1" applyAlignment="1" applyProtection="1">
      <alignment horizontal="center"/>
    </xf>
    <xf numFmtId="0" fontId="4" fillId="10" borderId="134" xfId="13" applyFont="1" applyFill="1" applyBorder="1" applyAlignment="1" applyProtection="1">
      <alignment horizontal="center" vertical="center"/>
    </xf>
    <xf numFmtId="0" fontId="4" fillId="10" borderId="17" xfId="13" applyFont="1" applyFill="1" applyBorder="1" applyAlignment="1" applyProtection="1">
      <alignment horizontal="center" vertical="center"/>
    </xf>
    <xf numFmtId="0" fontId="4" fillId="10" borderId="18" xfId="13" applyFont="1" applyFill="1" applyBorder="1" applyAlignment="1" applyProtection="1">
      <alignment horizontal="center" vertical="center"/>
    </xf>
    <xf numFmtId="0" fontId="151" fillId="0" borderId="0" xfId="0" applyFont="1" applyFill="1" applyAlignment="1" applyProtection="1">
      <alignment horizontal="center"/>
    </xf>
    <xf numFmtId="0" fontId="151" fillId="0" borderId="0" xfId="0" applyFont="1" applyFill="1" applyAlignment="1" applyProtection="1">
      <alignment horizontal="left"/>
    </xf>
    <xf numFmtId="0" fontId="207" fillId="20" borderId="0" xfId="0" applyFont="1" applyFill="1" applyAlignment="1" applyProtection="1">
      <alignment horizontal="center" vertical="center" wrapText="1"/>
    </xf>
    <xf numFmtId="0" fontId="0" fillId="0" borderId="80" xfId="0" applyBorder="1" applyAlignment="1" applyProtection="1">
      <alignment vertical="center"/>
    </xf>
    <xf numFmtId="0" fontId="13" fillId="0" borderId="81" xfId="0" applyFont="1" applyFill="1" applyBorder="1" applyAlignment="1" applyProtection="1">
      <alignment vertical="center"/>
    </xf>
    <xf numFmtId="0" fontId="0" fillId="0" borderId="7" xfId="0" applyBorder="1" applyAlignment="1" applyProtection="1">
      <alignment vertical="center"/>
    </xf>
    <xf numFmtId="0" fontId="13" fillId="0" borderId="8" xfId="0" applyFont="1" applyFill="1" applyBorder="1" applyAlignment="1" applyProtection="1">
      <alignment vertical="center"/>
    </xf>
    <xf numFmtId="0" fontId="0" fillId="0" borderId="27" xfId="0" applyBorder="1" applyAlignment="1" applyProtection="1">
      <alignment vertical="center"/>
    </xf>
    <xf numFmtId="0" fontId="13" fillId="0" borderId="92" xfId="0" applyFont="1" applyFill="1" applyBorder="1" applyAlignment="1" applyProtection="1">
      <alignment vertical="center"/>
    </xf>
    <xf numFmtId="0" fontId="0" fillId="0" borderId="26" xfId="0" applyBorder="1" applyAlignment="1" applyProtection="1">
      <alignment vertical="center"/>
    </xf>
    <xf numFmtId="0" fontId="13" fillId="0" borderId="32" xfId="0" applyFont="1" applyFill="1" applyBorder="1" applyAlignment="1" applyProtection="1">
      <alignment vertical="center"/>
    </xf>
    <xf numFmtId="0" fontId="4" fillId="0" borderId="7" xfId="0" applyFont="1" applyBorder="1" applyAlignment="1" applyProtection="1">
      <alignment vertical="center"/>
    </xf>
    <xf numFmtId="0" fontId="4" fillId="0" borderId="27" xfId="0" applyFont="1" applyBorder="1" applyAlignment="1" applyProtection="1">
      <alignment vertical="center"/>
    </xf>
    <xf numFmtId="0" fontId="4" fillId="0" borderId="9" xfId="0" applyFont="1" applyBorder="1" applyAlignment="1" applyProtection="1">
      <alignment vertical="center"/>
    </xf>
    <xf numFmtId="0" fontId="13" fillId="0" borderId="14" xfId="0" applyFont="1" applyFill="1" applyBorder="1" applyAlignment="1" applyProtection="1">
      <alignment vertical="center"/>
    </xf>
    <xf numFmtId="0" fontId="4" fillId="0" borderId="30" xfId="0" applyFont="1" applyBorder="1" applyAlignment="1" applyProtection="1">
      <alignment vertical="center"/>
    </xf>
    <xf numFmtId="0" fontId="4" fillId="0" borderId="0" xfId="0" applyFont="1" applyFill="1" applyAlignment="1" applyProtection="1">
      <alignment horizontal="left" vertical="center"/>
    </xf>
    <xf numFmtId="3" fontId="13" fillId="0" borderId="38" xfId="0" applyNumberFormat="1" applyFont="1" applyFill="1" applyBorder="1" applyAlignment="1" applyProtection="1">
      <alignment vertical="center"/>
    </xf>
    <xf numFmtId="3" fontId="4" fillId="0" borderId="50" xfId="0" applyNumberFormat="1" applyFont="1" applyFill="1" applyBorder="1" applyAlignment="1" applyProtection="1">
      <alignment horizontal="center" vertical="center"/>
    </xf>
    <xf numFmtId="0" fontId="46" fillId="0" borderId="52" xfId="0" applyFont="1" applyFill="1" applyBorder="1" applyAlignment="1" applyProtection="1">
      <alignment horizontal="center" vertical="center"/>
    </xf>
    <xf numFmtId="0" fontId="86" fillId="0" borderId="23" xfId="0" applyFont="1" applyFill="1" applyBorder="1" applyAlignment="1" applyProtection="1">
      <alignment horizontal="center" vertical="center"/>
    </xf>
    <xf numFmtId="165" fontId="46" fillId="0" borderId="86" xfId="1" applyNumberFormat="1" applyFont="1" applyFill="1" applyBorder="1" applyAlignment="1" applyProtection="1">
      <alignment horizontal="center" vertical="center"/>
    </xf>
    <xf numFmtId="0" fontId="46" fillId="0" borderId="0" xfId="0" applyFont="1" applyBorder="1" applyProtection="1"/>
    <xf numFmtId="0" fontId="0" fillId="0" borderId="0" xfId="0" applyBorder="1"/>
    <xf numFmtId="9" fontId="0" fillId="0" borderId="0" xfId="0" applyNumberFormat="1" applyBorder="1"/>
    <xf numFmtId="0" fontId="209" fillId="0" borderId="80" xfId="0" applyFont="1" applyBorder="1"/>
    <xf numFmtId="0" fontId="43" fillId="0" borderId="85" xfId="0" applyFont="1" applyBorder="1" applyProtection="1"/>
    <xf numFmtId="0" fontId="43" fillId="0" borderId="7" xfId="0" applyFont="1" applyBorder="1"/>
    <xf numFmtId="0" fontId="43" fillId="0" borderId="0" xfId="0" applyFont="1" applyBorder="1" applyProtection="1"/>
    <xf numFmtId="0" fontId="43" fillId="0" borderId="9" xfId="0" applyFont="1" applyBorder="1"/>
    <xf numFmtId="0" fontId="43" fillId="0" borderId="13" xfId="0" applyFont="1" applyBorder="1" applyProtection="1"/>
    <xf numFmtId="9" fontId="43" fillId="0" borderId="8" xfId="0" applyNumberFormat="1" applyFont="1" applyBorder="1" applyAlignment="1">
      <alignment horizontal="center"/>
    </xf>
    <xf numFmtId="9" fontId="43" fillId="0" borderId="14" xfId="0" applyNumberFormat="1" applyFont="1" applyBorder="1" applyAlignment="1">
      <alignment horizontal="center"/>
    </xf>
    <xf numFmtId="0" fontId="43" fillId="0" borderId="0" xfId="0" applyFont="1" applyBorder="1"/>
    <xf numFmtId="0" fontId="209" fillId="0" borderId="81" xfId="0" applyFont="1" applyBorder="1" applyAlignment="1">
      <alignment horizontal="center"/>
    </xf>
    <xf numFmtId="0" fontId="5" fillId="0" borderId="0" xfId="0" applyFont="1" applyBorder="1"/>
    <xf numFmtId="0" fontId="210" fillId="0" borderId="0" xfId="0" applyFont="1" applyBorder="1"/>
    <xf numFmtId="9" fontId="210" fillId="0" borderId="0" xfId="0" applyNumberFormat="1" applyFont="1" applyBorder="1" applyAlignment="1">
      <alignment horizontal="left"/>
    </xf>
    <xf numFmtId="0" fontId="4" fillId="0" borderId="0" xfId="0" applyFont="1" applyAlignment="1" applyProtection="1">
      <alignment horizontal="left"/>
    </xf>
    <xf numFmtId="0" fontId="0" fillId="0" borderId="0" xfId="0" applyAlignment="1" applyProtection="1">
      <alignment horizontal="left"/>
    </xf>
    <xf numFmtId="0" fontId="5" fillId="0" borderId="0" xfId="0" applyFont="1" applyBorder="1" applyAlignment="1" applyProtection="1">
      <alignment horizontal="left"/>
    </xf>
    <xf numFmtId="9" fontId="43" fillId="0" borderId="0" xfId="0" applyNumberFormat="1" applyFont="1" applyBorder="1" applyAlignment="1">
      <alignment horizontal="left"/>
    </xf>
    <xf numFmtId="0" fontId="210" fillId="0" borderId="0" xfId="0" applyFont="1" applyBorder="1" applyAlignment="1">
      <alignment horizontal="right"/>
    </xf>
    <xf numFmtId="0" fontId="5" fillId="0" borderId="0" xfId="0" applyFont="1"/>
    <xf numFmtId="0" fontId="43" fillId="0" borderId="0" xfId="0" applyFont="1" applyBorder="1" applyAlignment="1">
      <alignment horizontal="left"/>
    </xf>
    <xf numFmtId="0" fontId="0" fillId="0" borderId="0" xfId="0" applyAlignment="1">
      <alignment horizontal="left"/>
    </xf>
    <xf numFmtId="0" fontId="43" fillId="0" borderId="0" xfId="0" applyFont="1" applyAlignment="1">
      <alignment horizontal="left"/>
    </xf>
    <xf numFmtId="0" fontId="5" fillId="0" borderId="0" xfId="0" applyFont="1" applyBorder="1" applyAlignment="1" applyProtection="1">
      <alignment horizontal="center"/>
    </xf>
    <xf numFmtId="4" fontId="95" fillId="0" borderId="0" xfId="0" applyNumberFormat="1" applyFont="1" applyFill="1" applyAlignment="1" applyProtection="1">
      <alignment vertical="center"/>
    </xf>
    <xf numFmtId="0" fontId="68" fillId="0" borderId="0" xfId="0" applyFont="1" applyFill="1" applyAlignment="1" applyProtection="1">
      <alignment horizontal="left" vertical="center"/>
    </xf>
    <xf numFmtId="3" fontId="105" fillId="0" borderId="0" xfId="0" applyNumberFormat="1" applyFont="1" applyFill="1" applyAlignment="1" applyProtection="1">
      <alignment horizontal="left" vertical="center"/>
    </xf>
    <xf numFmtId="3" fontId="43" fillId="0" borderId="0" xfId="0" applyNumberFormat="1" applyFont="1" applyFill="1" applyAlignment="1" applyProtection="1">
      <alignment horizontal="left" vertical="center"/>
    </xf>
    <xf numFmtId="0" fontId="9" fillId="0" borderId="20" xfId="0" applyFont="1" applyFill="1" applyBorder="1" applyAlignment="1" applyProtection="1">
      <alignment vertical="center"/>
    </xf>
    <xf numFmtId="0" fontId="99" fillId="0" borderId="40" xfId="0" applyFont="1" applyFill="1" applyBorder="1" applyAlignment="1" applyProtection="1">
      <alignment vertical="center"/>
    </xf>
    <xf numFmtId="0" fontId="99" fillId="0" borderId="0" xfId="0" applyFont="1" applyFill="1" applyBorder="1" applyAlignment="1" applyProtection="1">
      <alignment vertical="center"/>
    </xf>
    <xf numFmtId="0" fontId="5" fillId="0" borderId="0" xfId="0" quotePrefix="1" applyFont="1" applyFill="1" applyProtection="1"/>
    <xf numFmtId="0" fontId="151" fillId="0" borderId="0" xfId="0" applyFont="1" applyFill="1" applyBorder="1" applyAlignment="1" applyProtection="1">
      <alignment horizontal="right" vertical="center"/>
    </xf>
    <xf numFmtId="0" fontId="151" fillId="0" borderId="0" xfId="0" applyFont="1" applyFill="1" applyBorder="1" applyAlignment="1" applyProtection="1">
      <alignment horizontal="center" vertical="center" wrapText="1"/>
    </xf>
    <xf numFmtId="0" fontId="11" fillId="0" borderId="0" xfId="0" applyFont="1" applyFill="1" applyAlignment="1" applyProtection="1">
      <alignment horizontal="center" vertical="center"/>
    </xf>
    <xf numFmtId="0" fontId="96" fillId="0" borderId="0" xfId="0" applyFont="1" applyFill="1" applyAlignment="1" applyProtection="1">
      <alignment horizontal="center" vertical="center"/>
    </xf>
    <xf numFmtId="0" fontId="21" fillId="0" borderId="0" xfId="0" quotePrefix="1" applyFont="1" applyFill="1" applyAlignment="1" applyProtection="1">
      <alignment horizontal="left" vertical="center"/>
    </xf>
    <xf numFmtId="0" fontId="15" fillId="0" borderId="0" xfId="0" applyFont="1" applyFill="1" applyBorder="1" applyProtection="1"/>
    <xf numFmtId="1" fontId="91" fillId="0" borderId="0" xfId="0" applyNumberFormat="1" applyFont="1" applyAlignment="1" applyProtection="1">
      <alignment vertical="center"/>
    </xf>
    <xf numFmtId="0" fontId="214" fillId="0" borderId="0" xfId="0" applyFont="1" applyFill="1" applyAlignment="1" applyProtection="1">
      <alignment horizontal="left" vertical="center"/>
    </xf>
    <xf numFmtId="0" fontId="0" fillId="0" borderId="0" xfId="0" applyAlignment="1" applyProtection="1">
      <alignment horizontal="center" vertical="top"/>
    </xf>
    <xf numFmtId="0" fontId="4" fillId="0" borderId="0" xfId="0" applyFont="1" applyAlignment="1" applyProtection="1">
      <alignment vertical="top"/>
    </xf>
    <xf numFmtId="0" fontId="92" fillId="0" borderId="0" xfId="0" applyFont="1" applyFill="1" applyBorder="1" applyAlignment="1" applyProtection="1">
      <alignment horizontal="center" vertical="center" wrapText="1"/>
    </xf>
    <xf numFmtId="0" fontId="217" fillId="0" borderId="0" xfId="33" applyFont="1"/>
    <xf numFmtId="0" fontId="75" fillId="0" borderId="80" xfId="33" applyFont="1" applyBorder="1" applyAlignment="1">
      <alignment horizontal="left" vertical="center"/>
    </xf>
    <xf numFmtId="0" fontId="75" fillId="0" borderId="85" xfId="33" applyFont="1" applyBorder="1" applyAlignment="1">
      <alignment vertical="center"/>
    </xf>
    <xf numFmtId="0" fontId="217" fillId="0" borderId="81" xfId="33" applyFont="1" applyBorder="1" applyAlignment="1">
      <alignment vertical="center"/>
    </xf>
    <xf numFmtId="164" fontId="217" fillId="0" borderId="0" xfId="34" applyNumberFormat="1" applyFont="1"/>
    <xf numFmtId="0" fontId="75" fillId="0" borderId="7" xfId="33" applyFont="1" applyBorder="1" applyAlignment="1">
      <alignment horizontal="left" vertical="center"/>
    </xf>
    <xf numFmtId="0" fontId="217" fillId="0" borderId="0" xfId="33" applyFont="1" applyAlignment="1">
      <alignment vertical="center"/>
    </xf>
    <xf numFmtId="0" fontId="217" fillId="0" borderId="8" xfId="33" applyFont="1" applyBorder="1" applyAlignment="1">
      <alignment vertical="center"/>
    </xf>
    <xf numFmtId="0" fontId="217" fillId="0" borderId="9" xfId="33" applyFont="1" applyBorder="1" applyAlignment="1">
      <alignment horizontal="left" vertical="center"/>
    </xf>
    <xf numFmtId="0" fontId="217" fillId="0" borderId="13" xfId="33" applyFont="1" applyBorder="1" applyAlignment="1">
      <alignment vertical="center"/>
    </xf>
    <xf numFmtId="0" fontId="217" fillId="0" borderId="14" xfId="33" applyFont="1" applyBorder="1" applyAlignment="1">
      <alignment vertical="center"/>
    </xf>
    <xf numFmtId="0" fontId="217" fillId="0" borderId="85" xfId="33" applyFont="1" applyBorder="1"/>
    <xf numFmtId="0" fontId="217" fillId="0" borderId="81" xfId="33" applyFont="1" applyBorder="1"/>
    <xf numFmtId="0" fontId="217" fillId="0" borderId="13" xfId="33" applyFont="1" applyBorder="1"/>
    <xf numFmtId="0" fontId="217" fillId="0" borderId="147" xfId="33" applyFont="1" applyBorder="1"/>
    <xf numFmtId="0" fontId="217" fillId="0" borderId="0" xfId="33" applyFont="1" applyAlignment="1">
      <alignment horizontal="center"/>
    </xf>
    <xf numFmtId="0" fontId="217" fillId="0" borderId="0" xfId="33" applyFont="1" applyAlignment="1">
      <alignment horizontal="left"/>
    </xf>
    <xf numFmtId="166" fontId="217" fillId="0" borderId="0" xfId="35" applyNumberFormat="1" applyFont="1"/>
    <xf numFmtId="0" fontId="220" fillId="0" borderId="0" xfId="33" applyFont="1" applyAlignment="1">
      <alignment horizontal="left"/>
    </xf>
    <xf numFmtId="164" fontId="217" fillId="0" borderId="0" xfId="33" applyNumberFormat="1" applyFont="1"/>
    <xf numFmtId="164" fontId="217" fillId="28" borderId="143" xfId="34" applyNumberFormat="1" applyFont="1" applyFill="1" applyBorder="1"/>
    <xf numFmtId="0" fontId="217" fillId="0" borderId="80" xfId="33" applyFont="1" applyBorder="1"/>
    <xf numFmtId="0" fontId="217" fillId="0" borderId="146" xfId="33" applyFont="1" applyBorder="1" applyAlignment="1">
      <alignment horizontal="center"/>
    </xf>
    <xf numFmtId="0" fontId="89" fillId="0" borderId="86" xfId="33" applyFont="1" applyFill="1" applyBorder="1" applyAlignment="1">
      <alignment horizontal="center" wrapText="1"/>
    </xf>
    <xf numFmtId="0" fontId="217" fillId="0" borderId="0" xfId="33" applyFont="1" applyBorder="1"/>
    <xf numFmtId="0" fontId="217" fillId="0" borderId="47" xfId="33" applyFont="1" applyBorder="1"/>
    <xf numFmtId="0" fontId="217" fillId="0" borderId="0" xfId="33" applyFont="1" applyBorder="1" applyAlignment="1">
      <alignment vertical="center"/>
    </xf>
    <xf numFmtId="0" fontId="217" fillId="0" borderId="82" xfId="33" applyFont="1" applyBorder="1" applyAlignment="1">
      <alignment vertical="center"/>
    </xf>
    <xf numFmtId="164" fontId="217" fillId="0" borderId="82" xfId="34" applyNumberFormat="1" applyFont="1" applyBorder="1" applyAlignment="1">
      <alignment horizontal="center" vertical="center"/>
    </xf>
    <xf numFmtId="0" fontId="219" fillId="0" borderId="82" xfId="33" applyFont="1" applyBorder="1" applyAlignment="1">
      <alignment vertical="center"/>
    </xf>
    <xf numFmtId="0" fontId="217" fillId="0" borderId="82" xfId="33" applyFont="1" applyBorder="1" applyAlignment="1">
      <alignment horizontal="center" vertical="center"/>
    </xf>
    <xf numFmtId="0" fontId="217" fillId="0" borderId="85" xfId="33" applyFont="1" applyBorder="1" applyAlignment="1">
      <alignment vertical="center"/>
    </xf>
    <xf numFmtId="0" fontId="217" fillId="0" borderId="147" xfId="33" applyFont="1" applyBorder="1" applyAlignment="1">
      <alignment vertical="center"/>
    </xf>
    <xf numFmtId="164" fontId="217" fillId="28" borderId="149" xfId="34" applyNumberFormat="1" applyFont="1" applyFill="1" applyBorder="1" applyAlignment="1">
      <alignment horizontal="center" vertical="center"/>
    </xf>
    <xf numFmtId="183" fontId="217" fillId="28" borderId="134" xfId="33" applyNumberFormat="1" applyFont="1" applyFill="1" applyBorder="1" applyAlignment="1">
      <alignment horizontal="center" vertical="center"/>
    </xf>
    <xf numFmtId="183" fontId="217" fillId="28" borderId="17" xfId="33" applyNumberFormat="1" applyFont="1" applyFill="1" applyBorder="1" applyAlignment="1">
      <alignment horizontal="center" vertical="center"/>
    </xf>
    <xf numFmtId="183" fontId="217" fillId="28" borderId="18" xfId="33" applyNumberFormat="1" applyFont="1" applyFill="1" applyBorder="1" applyAlignment="1">
      <alignment horizontal="center" vertical="center"/>
    </xf>
    <xf numFmtId="0" fontId="217" fillId="0" borderId="85" xfId="33" applyFont="1" applyBorder="1" applyAlignment="1">
      <alignment horizontal="right" vertical="center"/>
    </xf>
    <xf numFmtId="0" fontId="217" fillId="0" borderId="0" xfId="33" applyFont="1" applyBorder="1" applyAlignment="1">
      <alignment horizontal="right" vertical="center"/>
    </xf>
    <xf numFmtId="164" fontId="217" fillId="28" borderId="143" xfId="34" applyNumberFormat="1" applyFont="1" applyFill="1" applyBorder="1" applyAlignment="1">
      <alignment horizontal="center" vertical="center"/>
    </xf>
    <xf numFmtId="0" fontId="217" fillId="11" borderId="86" xfId="33" applyFont="1" applyFill="1" applyBorder="1" applyAlignment="1">
      <alignment horizontal="center" vertical="center"/>
    </xf>
    <xf numFmtId="0" fontId="217" fillId="11" borderId="84" xfId="33" applyFont="1" applyFill="1" applyBorder="1" applyAlignment="1">
      <alignment horizontal="center" vertical="center"/>
    </xf>
    <xf numFmtId="0" fontId="217" fillId="11" borderId="11" xfId="33" applyFont="1" applyFill="1" applyBorder="1" applyAlignment="1">
      <alignment horizontal="center" vertical="center"/>
    </xf>
    <xf numFmtId="0" fontId="217" fillId="11" borderId="12" xfId="33" applyFont="1" applyFill="1" applyBorder="1" applyAlignment="1">
      <alignment horizontal="center" vertical="center"/>
    </xf>
    <xf numFmtId="0" fontId="89" fillId="0" borderId="150" xfId="33" applyFont="1" applyFill="1" applyBorder="1" applyAlignment="1">
      <alignment horizontal="center" wrapText="1"/>
    </xf>
    <xf numFmtId="0" fontId="75" fillId="0" borderId="12" xfId="33" applyFont="1" applyFill="1" applyBorder="1" applyAlignment="1">
      <alignment horizontal="center" wrapText="1"/>
    </xf>
    <xf numFmtId="0" fontId="89" fillId="0" borderId="12" xfId="33" applyFont="1" applyFill="1" applyBorder="1" applyAlignment="1">
      <alignment horizontal="center" wrapText="1"/>
    </xf>
    <xf numFmtId="0" fontId="217" fillId="0" borderId="0" xfId="33" applyFont="1" applyBorder="1" applyAlignment="1"/>
    <xf numFmtId="183" fontId="217" fillId="29" borderId="35" xfId="33" applyNumberFormat="1" applyFont="1" applyFill="1" applyBorder="1" applyAlignment="1">
      <alignment horizontal="center"/>
    </xf>
    <xf numFmtId="0" fontId="219" fillId="0" borderId="149" xfId="33" applyFont="1" applyFill="1" applyBorder="1" applyAlignment="1">
      <alignment horizontal="right"/>
    </xf>
    <xf numFmtId="0" fontId="216" fillId="0" borderId="0" xfId="33" applyFont="1" applyAlignment="1"/>
    <xf numFmtId="164" fontId="219" fillId="29" borderId="148" xfId="34" applyNumberFormat="1" applyFont="1" applyFill="1" applyBorder="1" applyAlignment="1">
      <alignment horizontal="center" vertical="center"/>
    </xf>
    <xf numFmtId="164" fontId="219" fillId="29" borderId="148" xfId="34" applyNumberFormat="1" applyFont="1" applyFill="1" applyBorder="1" applyAlignment="1">
      <alignment horizontal="center"/>
    </xf>
    <xf numFmtId="183" fontId="217" fillId="0" borderId="147" xfId="33" applyNumberFormat="1" applyFont="1" applyFill="1" applyBorder="1" applyAlignment="1">
      <alignment horizontal="center"/>
    </xf>
    <xf numFmtId="0" fontId="217" fillId="0" borderId="144" xfId="33" applyFont="1" applyBorder="1" applyAlignment="1">
      <alignment horizontal="center"/>
    </xf>
    <xf numFmtId="0" fontId="217" fillId="0" borderId="44" xfId="33" applyFont="1" applyBorder="1" applyAlignment="1">
      <alignment horizontal="center"/>
    </xf>
    <xf numFmtId="0" fontId="217" fillId="0" borderId="145" xfId="33" applyFont="1" applyBorder="1" applyAlignment="1">
      <alignment horizontal="center"/>
    </xf>
    <xf numFmtId="0" fontId="217" fillId="0" borderId="85" xfId="33" applyFont="1" applyBorder="1" applyAlignment="1"/>
    <xf numFmtId="0" fontId="217" fillId="0" borderId="81" xfId="33" applyFont="1" applyBorder="1" applyAlignment="1"/>
    <xf numFmtId="0" fontId="217" fillId="0" borderId="8" xfId="33" applyFont="1" applyBorder="1" applyAlignment="1"/>
    <xf numFmtId="0" fontId="217" fillId="0" borderId="13" xfId="33" applyFont="1" applyBorder="1" applyAlignment="1"/>
    <xf numFmtId="0" fontId="217" fillId="0" borderId="14" xfId="33" applyFont="1" applyBorder="1" applyAlignment="1"/>
    <xf numFmtId="164" fontId="222" fillId="29" borderId="15" xfId="34" applyNumberFormat="1" applyFont="1" applyFill="1" applyBorder="1" applyAlignment="1">
      <alignment horizontal="center" vertical="center"/>
    </xf>
    <xf numFmtId="0" fontId="217" fillId="0" borderId="157" xfId="33" applyFont="1" applyBorder="1"/>
    <xf numFmtId="164" fontId="217" fillId="28" borderId="149" xfId="34" applyNumberFormat="1" applyFont="1" applyFill="1" applyBorder="1"/>
    <xf numFmtId="0" fontId="217" fillId="0" borderId="141" xfId="33" applyFont="1" applyBorder="1"/>
    <xf numFmtId="185" fontId="223" fillId="28" borderId="134" xfId="33" applyNumberFormat="1" applyFont="1" applyFill="1" applyBorder="1" applyAlignment="1">
      <alignment horizontal="center" vertical="center"/>
    </xf>
    <xf numFmtId="183" fontId="223" fillId="28" borderId="134" xfId="33" applyNumberFormat="1" applyFont="1" applyFill="1" applyBorder="1" applyAlignment="1">
      <alignment horizontal="center" vertical="center"/>
    </xf>
    <xf numFmtId="0" fontId="223" fillId="0" borderId="0" xfId="33" applyFont="1"/>
    <xf numFmtId="164" fontId="223" fillId="28" borderId="134" xfId="34" applyNumberFormat="1" applyFont="1" applyFill="1" applyBorder="1" applyAlignment="1">
      <alignment horizontal="center" vertical="center"/>
    </xf>
    <xf numFmtId="185" fontId="223" fillId="28" borderId="17" xfId="33" applyNumberFormat="1" applyFont="1" applyFill="1" applyBorder="1" applyAlignment="1">
      <alignment horizontal="center" vertical="center"/>
    </xf>
    <xf numFmtId="183" fontId="223" fillId="28" borderId="17" xfId="33" applyNumberFormat="1" applyFont="1" applyFill="1" applyBorder="1" applyAlignment="1">
      <alignment horizontal="center" vertical="center"/>
    </xf>
    <xf numFmtId="164" fontId="223" fillId="28" borderId="17" xfId="34" applyNumberFormat="1" applyFont="1" applyFill="1" applyBorder="1" applyAlignment="1">
      <alignment horizontal="center" vertical="center"/>
    </xf>
    <xf numFmtId="185" fontId="223" fillId="28" borderId="18" xfId="33" applyNumberFormat="1" applyFont="1" applyFill="1" applyBorder="1" applyAlignment="1">
      <alignment horizontal="center" vertical="center"/>
    </xf>
    <xf numFmtId="183" fontId="223" fillId="28" borderId="18" xfId="33" applyNumberFormat="1" applyFont="1" applyFill="1" applyBorder="1" applyAlignment="1">
      <alignment horizontal="center" vertical="center"/>
    </xf>
    <xf numFmtId="164" fontId="223" fillId="28" borderId="18" xfId="34" applyNumberFormat="1" applyFont="1" applyFill="1" applyBorder="1" applyAlignment="1">
      <alignment horizontal="center" vertical="center"/>
    </xf>
    <xf numFmtId="0" fontId="223" fillId="0" borderId="0" xfId="33" applyFont="1" applyAlignment="1">
      <alignment horizontal="left"/>
    </xf>
    <xf numFmtId="0" fontId="22" fillId="0" borderId="0" xfId="0" applyFont="1" applyFill="1" applyAlignment="1" applyProtection="1">
      <alignment horizontal="right"/>
    </xf>
    <xf numFmtId="0" fontId="94" fillId="0" borderId="0" xfId="0" applyFont="1" applyBorder="1" applyProtection="1"/>
    <xf numFmtId="0" fontId="24" fillId="0" borderId="0" xfId="0" quotePrefix="1" applyFont="1" applyFill="1" applyBorder="1" applyAlignment="1" applyProtection="1">
      <alignment horizontal="left" vertical="center"/>
    </xf>
    <xf numFmtId="0" fontId="5" fillId="0" borderId="0" xfId="0" applyFont="1" applyFill="1" applyBorder="1" applyAlignment="1" applyProtection="1">
      <alignment horizontal="right" vertical="top" wrapText="1"/>
    </xf>
    <xf numFmtId="0" fontId="5" fillId="0" borderId="0" xfId="0" applyFont="1" applyBorder="1" applyAlignment="1" applyProtection="1">
      <alignment vertical="top"/>
    </xf>
    <xf numFmtId="0" fontId="43" fillId="0" borderId="0" xfId="9" applyFont="1" applyFill="1" applyProtection="1"/>
    <xf numFmtId="0" fontId="43" fillId="0" borderId="0" xfId="0" quotePrefix="1" applyNumberFormat="1" applyFont="1" applyFill="1" applyProtection="1"/>
    <xf numFmtId="0" fontId="43" fillId="0" borderId="0" xfId="0" applyNumberFormat="1" applyFont="1" applyFill="1" applyAlignment="1" applyProtection="1">
      <alignment horizontal="center"/>
    </xf>
    <xf numFmtId="0" fontId="114" fillId="0" borderId="0" xfId="0" applyFont="1" applyFill="1" applyAlignment="1" applyProtection="1"/>
    <xf numFmtId="0" fontId="14" fillId="0" borderId="0" xfId="0" applyFont="1" applyFill="1" applyAlignment="1" applyProtection="1">
      <alignment horizontal="left" vertical="center"/>
    </xf>
    <xf numFmtId="0" fontId="155" fillId="0" borderId="0" xfId="0" applyFont="1" applyFill="1" applyAlignment="1" applyProtection="1">
      <alignment vertical="center"/>
    </xf>
    <xf numFmtId="0" fontId="86" fillId="0" borderId="0" xfId="0" applyFont="1" applyFill="1" applyAlignment="1" applyProtection="1">
      <alignment vertical="top" wrapText="1"/>
    </xf>
    <xf numFmtId="0" fontId="84" fillId="15" borderId="0" xfId="0" applyFont="1" applyFill="1" applyAlignment="1" applyProtection="1">
      <alignment vertical="center"/>
    </xf>
    <xf numFmtId="0" fontId="99" fillId="0" borderId="0" xfId="0" applyFont="1" applyFill="1" applyBorder="1" applyAlignment="1" applyProtection="1">
      <alignment horizontal="center" vertical="center"/>
    </xf>
    <xf numFmtId="0" fontId="14" fillId="0" borderId="0" xfId="0" applyFont="1" applyFill="1" applyBorder="1" applyAlignment="1" applyProtection="1">
      <alignment horizontal="left" vertical="center"/>
    </xf>
    <xf numFmtId="0" fontId="29" fillId="0" borderId="0" xfId="0" applyFont="1" applyFill="1" applyAlignment="1" applyProtection="1">
      <alignment vertical="center"/>
    </xf>
    <xf numFmtId="0" fontId="106" fillId="0" borderId="0" xfId="0" applyFont="1" applyFill="1" applyBorder="1" applyAlignment="1" applyProtection="1">
      <alignment vertical="top" wrapText="1"/>
    </xf>
    <xf numFmtId="0" fontId="40" fillId="0" borderId="19" xfId="0" applyFont="1" applyFill="1" applyBorder="1" applyProtection="1"/>
    <xf numFmtId="0" fontId="29" fillId="0" borderId="0" xfId="0" applyFont="1" applyFill="1" applyBorder="1" applyAlignment="1" applyProtection="1">
      <alignment horizontal="left" vertical="center"/>
    </xf>
    <xf numFmtId="0" fontId="29" fillId="0" borderId="0" xfId="0" applyFont="1" applyFill="1" applyAlignment="1" applyProtection="1">
      <alignment horizontal="left" vertical="center"/>
    </xf>
    <xf numFmtId="0" fontId="14" fillId="0" borderId="19" xfId="0" applyFont="1" applyFill="1" applyBorder="1" applyAlignment="1" applyProtection="1">
      <alignment horizontal="left" vertical="center"/>
    </xf>
    <xf numFmtId="0" fontId="99" fillId="0" borderId="13" xfId="0" applyFont="1" applyFill="1" applyBorder="1" applyAlignment="1" applyProtection="1">
      <alignment vertical="top" wrapText="1"/>
    </xf>
    <xf numFmtId="0" fontId="107" fillId="0" borderId="0" xfId="0" applyFont="1" applyFill="1" applyAlignment="1" applyProtection="1">
      <alignment horizontal="left"/>
    </xf>
    <xf numFmtId="10" fontId="14" fillId="0" borderId="3" xfId="0" applyNumberFormat="1" applyFont="1" applyFill="1" applyBorder="1" applyAlignment="1" applyProtection="1">
      <alignment vertical="center"/>
    </xf>
    <xf numFmtId="0" fontId="4" fillId="0" borderId="0" xfId="13" applyFont="1" applyAlignment="1" applyProtection="1">
      <alignment horizontal="justify" vertical="top" wrapText="1"/>
    </xf>
    <xf numFmtId="0" fontId="21" fillId="0" borderId="0" xfId="13" applyFont="1" applyBorder="1" applyAlignment="1" applyProtection="1">
      <alignment horizontal="center"/>
    </xf>
    <xf numFmtId="0" fontId="21" fillId="0" borderId="20" xfId="13" applyFont="1" applyBorder="1" applyAlignment="1" applyProtection="1">
      <alignment horizontal="center"/>
    </xf>
    <xf numFmtId="0" fontId="5" fillId="0" borderId="0" xfId="13" applyFont="1" applyAlignment="1" applyProtection="1">
      <alignment horizontal="center"/>
    </xf>
    <xf numFmtId="3" fontId="91" fillId="10" borderId="20" xfId="13" applyNumberFormat="1" applyFont="1" applyFill="1" applyBorder="1" applyAlignment="1" applyProtection="1">
      <alignment horizontal="center"/>
    </xf>
    <xf numFmtId="0" fontId="149" fillId="0" borderId="35" xfId="13" applyFont="1" applyBorder="1" applyAlignment="1" applyProtection="1">
      <alignment vertical="center"/>
    </xf>
    <xf numFmtId="49" fontId="43" fillId="0" borderId="91" xfId="0" quotePrefix="1" applyNumberFormat="1" applyFont="1" applyBorder="1" applyAlignment="1">
      <alignment horizontal="center" vertical="top"/>
    </xf>
    <xf numFmtId="49" fontId="43" fillId="0" borderId="91" xfId="0" applyNumberFormat="1" applyFont="1" applyBorder="1" applyAlignment="1">
      <alignment horizontal="center" vertical="center"/>
    </xf>
    <xf numFmtId="49" fontId="43" fillId="0" borderId="38" xfId="0" quotePrefix="1" applyNumberFormat="1" applyFont="1" applyBorder="1" applyAlignment="1">
      <alignment horizontal="center" vertical="top"/>
    </xf>
    <xf numFmtId="49" fontId="43" fillId="0" borderId="38" xfId="0" applyNumberFormat="1" applyFont="1" applyBorder="1" applyAlignment="1">
      <alignment horizontal="center" vertical="center"/>
    </xf>
    <xf numFmtId="49" fontId="43" fillId="0" borderId="38" xfId="0" applyNumberFormat="1" applyFont="1" applyBorder="1" applyAlignment="1">
      <alignment horizontal="center"/>
    </xf>
    <xf numFmtId="49" fontId="210" fillId="0" borderId="50" xfId="0" applyNumberFormat="1" applyFont="1" applyBorder="1" applyAlignment="1">
      <alignment horizontal="left"/>
    </xf>
    <xf numFmtId="49" fontId="210" fillId="0" borderId="38" xfId="0" applyNumberFormat="1" applyFont="1" applyBorder="1" applyAlignment="1">
      <alignment horizontal="center"/>
    </xf>
    <xf numFmtId="49" fontId="210" fillId="0" borderId="25" xfId="0" applyNumberFormat="1" applyFont="1" applyBorder="1" applyAlignment="1">
      <alignment horizontal="center"/>
    </xf>
    <xf numFmtId="49" fontId="43" fillId="0" borderId="0" xfId="0" applyNumberFormat="1" applyFont="1"/>
    <xf numFmtId="49" fontId="210" fillId="0" borderId="50" xfId="0" applyNumberFormat="1" applyFont="1" applyBorder="1"/>
    <xf numFmtId="49" fontId="210" fillId="0" borderId="48" xfId="0" applyNumberFormat="1" applyFont="1" applyBorder="1"/>
    <xf numFmtId="49" fontId="210" fillId="0" borderId="49" xfId="0" applyNumberFormat="1" applyFont="1" applyBorder="1" applyAlignment="1">
      <alignment horizontal="center"/>
    </xf>
    <xf numFmtId="49" fontId="210" fillId="0" borderId="24" xfId="0" applyNumberFormat="1" applyFont="1" applyBorder="1" applyAlignment="1">
      <alignment horizontal="center"/>
    </xf>
    <xf numFmtId="0" fontId="4" fillId="0" borderId="0" xfId="13" applyFont="1" applyAlignment="1" applyProtection="1">
      <alignment horizontal="center"/>
    </xf>
    <xf numFmtId="0" fontId="9" fillId="0" borderId="0" xfId="13" applyFont="1" applyAlignment="1" applyProtection="1">
      <alignment horizontal="center"/>
    </xf>
    <xf numFmtId="0" fontId="217" fillId="0" borderId="7" xfId="33" applyFont="1" applyBorder="1" applyAlignment="1">
      <alignment horizontal="center"/>
    </xf>
    <xf numFmtId="0" fontId="219" fillId="0" borderId="147" xfId="33" applyFont="1" applyBorder="1" applyAlignment="1">
      <alignment horizontal="right"/>
    </xf>
    <xf numFmtId="49" fontId="43" fillId="0" borderId="139" xfId="0" applyNumberFormat="1" applyFont="1" applyBorder="1" applyAlignment="1">
      <alignment horizontal="center"/>
    </xf>
    <xf numFmtId="49" fontId="43" fillId="0" borderId="52" xfId="0" applyNumberFormat="1" applyFont="1" applyBorder="1" applyAlignment="1">
      <alignment horizontal="center"/>
    </xf>
    <xf numFmtId="49" fontId="43" fillId="0" borderId="23" xfId="0" applyNumberFormat="1" applyFont="1" applyBorder="1" applyAlignment="1">
      <alignment horizontal="center"/>
    </xf>
    <xf numFmtId="49" fontId="43" fillId="0" borderId="50" xfId="0" applyNumberFormat="1" applyFont="1" applyBorder="1" applyAlignment="1">
      <alignment horizontal="center"/>
    </xf>
    <xf numFmtId="49" fontId="43" fillId="0" borderId="25" xfId="0" applyNumberFormat="1" applyFont="1" applyBorder="1" applyAlignment="1">
      <alignment horizontal="center"/>
    </xf>
    <xf numFmtId="49" fontId="43" fillId="0" borderId="48" xfId="0" applyNumberFormat="1" applyFont="1" applyBorder="1" applyAlignment="1">
      <alignment horizontal="center"/>
    </xf>
    <xf numFmtId="49" fontId="43" fillId="0" borderId="49" xfId="0" applyNumberFormat="1" applyFont="1" applyBorder="1" applyAlignment="1">
      <alignment horizontal="center"/>
    </xf>
    <xf numFmtId="49" fontId="43" fillId="0" borderId="24" xfId="0" applyNumberFormat="1" applyFont="1" applyBorder="1" applyAlignment="1">
      <alignment horizontal="center"/>
    </xf>
    <xf numFmtId="0" fontId="188" fillId="0" borderId="0" xfId="13" applyFont="1" applyAlignment="1"/>
    <xf numFmtId="0" fontId="4" fillId="0" borderId="0" xfId="13" applyFont="1" applyAlignment="1">
      <alignment vertical="center"/>
    </xf>
    <xf numFmtId="0" fontId="15" fillId="0" borderId="0" xfId="13" applyFont="1" applyAlignment="1"/>
    <xf numFmtId="0" fontId="5" fillId="0" borderId="0" xfId="13" applyFont="1"/>
    <xf numFmtId="0" fontId="14" fillId="0" borderId="0" xfId="13" applyFont="1" applyAlignment="1">
      <alignment vertical="center"/>
    </xf>
    <xf numFmtId="0" fontId="117" fillId="0" borderId="20" xfId="13" applyFont="1" applyBorder="1" applyAlignment="1">
      <alignment horizontal="center"/>
    </xf>
    <xf numFmtId="176" fontId="117" fillId="0" borderId="20" xfId="13" applyNumberFormat="1" applyFont="1" applyBorder="1" applyAlignment="1">
      <alignment horizontal="center"/>
    </xf>
    <xf numFmtId="0" fontId="117" fillId="0" borderId="20" xfId="13" applyFont="1" applyFill="1" applyBorder="1" applyAlignment="1">
      <alignment horizontal="center"/>
    </xf>
    <xf numFmtId="0" fontId="219" fillId="0" borderId="147" xfId="33" applyFont="1" applyBorder="1" applyAlignment="1"/>
    <xf numFmtId="0" fontId="219" fillId="0" borderId="146" xfId="33" applyFont="1" applyBorder="1" applyAlignment="1">
      <alignment horizontal="center"/>
    </xf>
    <xf numFmtId="0" fontId="217" fillId="0" borderId="8" xfId="33" applyFont="1" applyBorder="1"/>
    <xf numFmtId="0" fontId="217" fillId="0" borderId="9" xfId="33" applyFont="1" applyBorder="1" applyAlignment="1">
      <alignment horizontal="center"/>
    </xf>
    <xf numFmtId="0" fontId="217" fillId="0" borderId="14" xfId="33" applyFont="1" applyBorder="1"/>
    <xf numFmtId="0" fontId="219" fillId="0" borderId="0" xfId="33" applyFont="1" applyAlignment="1">
      <alignment horizontal="center" wrapText="1"/>
    </xf>
    <xf numFmtId="0" fontId="217" fillId="28" borderId="134" xfId="33" applyFont="1" applyFill="1" applyBorder="1" applyAlignment="1">
      <alignment horizontal="center"/>
    </xf>
    <xf numFmtId="0" fontId="217" fillId="28" borderId="17" xfId="33" applyFont="1" applyFill="1" applyBorder="1" applyAlignment="1">
      <alignment horizontal="center"/>
    </xf>
    <xf numFmtId="0" fontId="217" fillId="28" borderId="18" xfId="33" applyFont="1" applyFill="1" applyBorder="1" applyAlignment="1">
      <alignment horizontal="center"/>
    </xf>
    <xf numFmtId="0" fontId="219" fillId="0" borderId="147" xfId="33" applyFont="1" applyBorder="1" applyAlignment="1">
      <alignment horizontal="center"/>
    </xf>
    <xf numFmtId="0" fontId="10" fillId="0" borderId="70" xfId="13" applyFont="1" applyBorder="1" applyAlignment="1" applyProtection="1"/>
    <xf numFmtId="0" fontId="10" fillId="0" borderId="83" xfId="13" applyFont="1" applyBorder="1" applyAlignment="1" applyProtection="1">
      <alignment horizontal="center"/>
    </xf>
    <xf numFmtId="0" fontId="10" fillId="0" borderId="0" xfId="13" applyFont="1" applyBorder="1" applyProtection="1"/>
    <xf numFmtId="0" fontId="10" fillId="0" borderId="70" xfId="13" applyFont="1" applyBorder="1" applyProtection="1"/>
    <xf numFmtId="0" fontId="10" fillId="0" borderId="0" xfId="13" applyFont="1" applyAlignment="1" applyProtection="1"/>
    <xf numFmtId="0" fontId="149" fillId="0" borderId="83" xfId="13" applyFont="1" applyBorder="1" applyAlignment="1" applyProtection="1">
      <alignment horizontal="center"/>
    </xf>
    <xf numFmtId="0" fontId="9" fillId="0" borderId="0" xfId="13" applyFont="1" applyAlignment="1" applyProtection="1">
      <alignment horizontal="center" vertical="center"/>
    </xf>
    <xf numFmtId="0" fontId="6" fillId="0" borderId="0" xfId="13" applyFont="1" applyAlignment="1" applyProtection="1">
      <alignment horizontal="center" wrapText="1"/>
    </xf>
    <xf numFmtId="0" fontId="111" fillId="0" borderId="0" xfId="13" applyFont="1" applyAlignment="1" applyProtection="1">
      <alignment horizontal="center" wrapText="1"/>
    </xf>
    <xf numFmtId="183" fontId="223" fillId="13" borderId="151" xfId="33" applyNumberFormat="1" applyFont="1" applyFill="1" applyBorder="1" applyAlignment="1" applyProtection="1">
      <alignment horizontal="center" vertical="center"/>
      <protection locked="0"/>
    </xf>
    <xf numFmtId="183" fontId="223" fillId="13" borderId="134" xfId="33" applyNumberFormat="1" applyFont="1" applyFill="1" applyBorder="1" applyAlignment="1" applyProtection="1">
      <alignment horizontal="center" vertical="center"/>
      <protection locked="0"/>
    </xf>
    <xf numFmtId="184" fontId="223" fillId="13" borderId="134" xfId="33" applyNumberFormat="1" applyFont="1" applyFill="1" applyBorder="1" applyAlignment="1" applyProtection="1">
      <alignment horizontal="center" vertical="center"/>
      <protection locked="0"/>
    </xf>
    <xf numFmtId="183" fontId="223" fillId="13" borderId="152" xfId="33" applyNumberFormat="1" applyFont="1" applyFill="1" applyBorder="1" applyAlignment="1" applyProtection="1">
      <alignment horizontal="center" vertical="center"/>
      <protection locked="0"/>
    </xf>
    <xf numFmtId="183" fontId="223" fillId="13" borderId="17" xfId="33" applyNumberFormat="1" applyFont="1" applyFill="1" applyBorder="1" applyAlignment="1" applyProtection="1">
      <alignment horizontal="center" vertical="center"/>
      <protection locked="0"/>
    </xf>
    <xf numFmtId="184" fontId="223" fillId="13" borderId="17" xfId="33" applyNumberFormat="1" applyFont="1" applyFill="1" applyBorder="1" applyAlignment="1" applyProtection="1">
      <alignment horizontal="center" vertical="center"/>
      <protection locked="0"/>
    </xf>
    <xf numFmtId="183" fontId="223" fillId="13" borderId="153" xfId="33" applyNumberFormat="1" applyFont="1" applyFill="1" applyBorder="1" applyAlignment="1" applyProtection="1">
      <alignment horizontal="center" vertical="center"/>
      <protection locked="0"/>
    </xf>
    <xf numFmtId="183" fontId="223" fillId="13" borderId="18" xfId="33" applyNumberFormat="1" applyFont="1" applyFill="1" applyBorder="1" applyAlignment="1" applyProtection="1">
      <alignment horizontal="center" vertical="center"/>
      <protection locked="0"/>
    </xf>
    <xf numFmtId="184" fontId="223" fillId="13" borderId="18" xfId="33" applyNumberFormat="1" applyFont="1" applyFill="1" applyBorder="1" applyAlignment="1" applyProtection="1">
      <alignment horizontal="center" vertical="center"/>
      <protection locked="0"/>
    </xf>
    <xf numFmtId="0" fontId="97" fillId="0" borderId="0" xfId="0" applyFont="1" applyFill="1" applyAlignment="1" applyProtection="1">
      <alignment vertical="center"/>
    </xf>
    <xf numFmtId="0" fontId="228" fillId="0" borderId="0" xfId="0" applyFont="1" applyFill="1" applyAlignment="1" applyProtection="1">
      <alignment horizontal="center" vertical="center"/>
    </xf>
    <xf numFmtId="3" fontId="80" fillId="0" borderId="0" xfId="0" applyNumberFormat="1" applyFont="1" applyFill="1" applyBorder="1" applyAlignment="1" applyProtection="1">
      <alignment vertical="top"/>
    </xf>
    <xf numFmtId="0" fontId="42" fillId="0" borderId="0" xfId="0" applyFont="1" applyFill="1" applyBorder="1" applyAlignment="1" applyProtection="1"/>
    <xf numFmtId="3" fontId="46" fillId="0" borderId="0" xfId="0" applyNumberFormat="1" applyFont="1" applyFill="1" applyBorder="1" applyAlignment="1" applyProtection="1">
      <alignment horizontal="center" vertical="center"/>
    </xf>
    <xf numFmtId="4" fontId="46" fillId="0" borderId="0" xfId="1" applyNumberFormat="1" applyFont="1" applyFill="1" applyBorder="1" applyAlignment="1" applyProtection="1">
      <alignment vertical="center"/>
    </xf>
    <xf numFmtId="0" fontId="14" fillId="0" borderId="0" xfId="0" applyFont="1" applyFill="1" applyBorder="1" applyAlignment="1" applyProtection="1">
      <alignment horizontal="left" vertical="top"/>
    </xf>
    <xf numFmtId="0" fontId="66" fillId="0" borderId="0" xfId="0" applyFont="1" applyFill="1" applyAlignment="1" applyProtection="1">
      <alignment vertical="top"/>
    </xf>
    <xf numFmtId="3" fontId="43" fillId="0" borderId="3" xfId="10" applyNumberFormat="1" applyFont="1" applyBorder="1" applyAlignment="1" applyProtection="1">
      <alignment horizontal="center" vertical="center"/>
    </xf>
    <xf numFmtId="9" fontId="43" fillId="0" borderId="3" xfId="10" applyFont="1" applyBorder="1" applyAlignment="1" applyProtection="1">
      <alignment horizontal="center" vertical="center"/>
    </xf>
    <xf numFmtId="9" fontId="51" fillId="0" borderId="3" xfId="0" applyNumberFormat="1" applyFont="1" applyBorder="1" applyAlignment="1" applyProtection="1">
      <alignment horizontal="center" vertical="center" wrapText="1"/>
    </xf>
    <xf numFmtId="0" fontId="51" fillId="0" borderId="3" xfId="0" applyFont="1" applyBorder="1" applyAlignment="1" applyProtection="1">
      <alignment horizontal="center" vertical="center" wrapText="1"/>
    </xf>
    <xf numFmtId="0" fontId="4" fillId="0" borderId="20" xfId="0" applyFont="1" applyBorder="1" applyAlignment="1" applyProtection="1">
      <alignment horizontal="left"/>
    </xf>
    <xf numFmtId="0" fontId="43" fillId="0" borderId="20" xfId="0" applyFont="1" applyBorder="1" applyAlignment="1">
      <alignment horizontal="left"/>
    </xf>
    <xf numFmtId="0" fontId="0" fillId="0" borderId="20" xfId="0" applyBorder="1" applyAlignment="1">
      <alignment horizontal="left"/>
    </xf>
    <xf numFmtId="0" fontId="0" fillId="0" borderId="20" xfId="0" applyBorder="1"/>
    <xf numFmtId="0" fontId="0" fillId="0" borderId="92" xfId="0" applyBorder="1"/>
    <xf numFmtId="9" fontId="210" fillId="0" borderId="19" xfId="0" applyNumberFormat="1" applyFont="1" applyBorder="1" applyAlignment="1">
      <alignment horizontal="left"/>
    </xf>
    <xf numFmtId="0" fontId="0" fillId="0" borderId="19" xfId="0" applyBorder="1" applyProtection="1"/>
    <xf numFmtId="0" fontId="43" fillId="0" borderId="19" xfId="0" applyFont="1" applyBorder="1" applyAlignment="1">
      <alignment horizontal="left"/>
    </xf>
    <xf numFmtId="0" fontId="0" fillId="0" borderId="19" xfId="0" applyBorder="1"/>
    <xf numFmtId="0" fontId="0" fillId="0" borderId="32" xfId="0" applyBorder="1"/>
    <xf numFmtId="10" fontId="15" fillId="0" borderId="85" xfId="0" applyNumberFormat="1" applyFont="1" applyFill="1" applyBorder="1" applyAlignment="1" applyProtection="1">
      <alignment vertical="center"/>
    </xf>
    <xf numFmtId="0" fontId="22" fillId="0" borderId="80" xfId="0" applyFont="1" applyFill="1" applyBorder="1" applyProtection="1"/>
    <xf numFmtId="0" fontId="5" fillId="0" borderId="85" xfId="0" applyFont="1" applyFill="1" applyBorder="1" applyAlignment="1" applyProtection="1">
      <alignment vertical="center"/>
    </xf>
    <xf numFmtId="0" fontId="22" fillId="0" borderId="85" xfId="0" applyFont="1" applyFill="1" applyBorder="1" applyProtection="1"/>
    <xf numFmtId="0" fontId="5" fillId="0" borderId="85" xfId="0" applyFont="1" applyFill="1" applyBorder="1" applyAlignment="1" applyProtection="1">
      <alignment vertical="center" wrapText="1"/>
    </xf>
    <xf numFmtId="0" fontId="22" fillId="0" borderId="85" xfId="0" applyFont="1" applyFill="1" applyBorder="1" applyAlignment="1" applyProtection="1">
      <alignment vertical="center"/>
    </xf>
    <xf numFmtId="0" fontId="5" fillId="0" borderId="85" xfId="0" applyFont="1" applyFill="1" applyBorder="1" applyAlignment="1" applyProtection="1">
      <alignment horizontal="left" vertical="center" wrapText="1"/>
    </xf>
    <xf numFmtId="0" fontId="15" fillId="0" borderId="13" xfId="0" applyFont="1" applyFill="1" applyBorder="1" applyAlignment="1" applyProtection="1">
      <alignment vertical="top" wrapText="1"/>
    </xf>
    <xf numFmtId="0" fontId="5" fillId="0" borderId="13" xfId="0" applyFont="1" applyFill="1" applyBorder="1" applyAlignment="1" applyProtection="1">
      <alignment vertical="top"/>
    </xf>
    <xf numFmtId="10" fontId="92" fillId="0" borderId="86" xfId="0" applyNumberFormat="1" applyFont="1" applyFill="1" applyBorder="1" applyAlignment="1" applyProtection="1">
      <alignment horizontal="center" vertical="center"/>
    </xf>
    <xf numFmtId="38" fontId="15" fillId="0" borderId="0" xfId="0" applyNumberFormat="1" applyFont="1" applyFill="1" applyBorder="1" applyAlignment="1" applyProtection="1">
      <alignment horizontal="left" vertical="center"/>
    </xf>
    <xf numFmtId="38" fontId="15" fillId="0" borderId="0" xfId="0" applyNumberFormat="1" applyFont="1" applyFill="1" applyBorder="1" applyAlignment="1" applyProtection="1">
      <alignment horizontal="center" vertical="center"/>
    </xf>
    <xf numFmtId="0" fontId="14" fillId="0" borderId="0" xfId="0" applyFont="1" applyFill="1" applyAlignment="1" applyProtection="1"/>
    <xf numFmtId="0" fontId="42" fillId="0" borderId="0" xfId="0" applyFont="1" applyProtection="1"/>
    <xf numFmtId="0" fontId="105" fillId="0" borderId="0" xfId="0" applyFont="1" applyBorder="1" applyAlignment="1" applyProtection="1">
      <alignment vertical="center"/>
    </xf>
    <xf numFmtId="0" fontId="43" fillId="0" borderId="0" xfId="0" applyFont="1" applyAlignment="1" applyProtection="1">
      <alignment horizontal="right"/>
    </xf>
    <xf numFmtId="38" fontId="42" fillId="0" borderId="0" xfId="0" applyNumberFormat="1" applyFont="1" applyProtection="1"/>
    <xf numFmtId="0" fontId="110" fillId="0" borderId="85" xfId="0" applyFont="1" applyFill="1" applyBorder="1" applyAlignment="1" applyProtection="1">
      <alignment horizontal="center" vertical="center"/>
    </xf>
    <xf numFmtId="0" fontId="43" fillId="0" borderId="0" xfId="0" applyFont="1" applyAlignment="1" applyProtection="1">
      <alignment wrapText="1"/>
    </xf>
    <xf numFmtId="0" fontId="50" fillId="0" borderId="0" xfId="0" applyFont="1" applyFill="1" applyProtection="1"/>
    <xf numFmtId="0" fontId="85" fillId="0" borderId="0" xfId="0" applyFont="1" applyAlignment="1" applyProtection="1">
      <alignment vertical="center"/>
    </xf>
    <xf numFmtId="0" fontId="85" fillId="0" borderId="0" xfId="0" applyFont="1" applyBorder="1" applyAlignment="1" applyProtection="1"/>
    <xf numFmtId="0" fontId="17" fillId="0" borderId="0" xfId="0" applyFont="1" applyFill="1" applyAlignment="1" applyProtection="1">
      <alignment horizontal="right" vertical="center"/>
    </xf>
    <xf numFmtId="0" fontId="114" fillId="0" borderId="38" xfId="0" applyNumberFormat="1" applyFont="1" applyBorder="1" applyAlignment="1" applyProtection="1">
      <alignment horizontal="center" vertical="center"/>
    </xf>
    <xf numFmtId="0" fontId="85" fillId="0" borderId="0" xfId="0" applyFont="1" applyBorder="1" applyAlignment="1" applyProtection="1">
      <alignment horizontal="center" vertical="center"/>
    </xf>
    <xf numFmtId="0" fontId="114" fillId="0" borderId="38" xfId="0" applyFont="1" applyBorder="1" applyAlignment="1" applyProtection="1">
      <alignment horizontal="center" vertical="center"/>
    </xf>
    <xf numFmtId="0" fontId="5" fillId="0" borderId="11" xfId="0" applyFont="1" applyFill="1" applyBorder="1" applyAlignment="1" applyProtection="1">
      <alignment horizontal="center" vertical="center"/>
    </xf>
    <xf numFmtId="0" fontId="5" fillId="0" borderId="12" xfId="0" applyFont="1" applyFill="1" applyBorder="1" applyAlignment="1" applyProtection="1">
      <alignment horizontal="center" vertical="center"/>
    </xf>
    <xf numFmtId="10" fontId="54" fillId="0" borderId="0" xfId="10" applyNumberFormat="1" applyFont="1" applyFill="1" applyBorder="1" applyAlignment="1" applyProtection="1">
      <alignment horizontal="center" vertical="center"/>
    </xf>
    <xf numFmtId="0" fontId="10" fillId="0" borderId="0" xfId="13" applyFont="1" applyAlignment="1" applyProtection="1">
      <alignment horizontal="justify" vertical="top" wrapText="1"/>
    </xf>
    <xf numFmtId="0" fontId="10" fillId="0" borderId="0" xfId="13" applyFont="1" applyAlignment="1" applyProtection="1">
      <alignment vertical="top" wrapText="1"/>
    </xf>
    <xf numFmtId="38" fontId="4" fillId="0" borderId="0" xfId="13" applyNumberFormat="1" applyFont="1" applyBorder="1" applyAlignment="1" applyProtection="1">
      <alignment horizontal="center" vertical="top"/>
    </xf>
    <xf numFmtId="0" fontId="4" fillId="0" borderId="0" xfId="13" applyFont="1" applyBorder="1" applyAlignment="1" applyProtection="1">
      <alignment horizontal="center" vertical="top"/>
    </xf>
    <xf numFmtId="0" fontId="4" fillId="0" borderId="0" xfId="13" applyFont="1" applyFill="1" applyAlignment="1" applyProtection="1">
      <alignment horizontal="left"/>
    </xf>
    <xf numFmtId="1" fontId="4" fillId="10" borderId="0" xfId="13" applyNumberFormat="1" applyFont="1" applyFill="1" applyAlignment="1" applyProtection="1">
      <alignment horizontal="right"/>
    </xf>
    <xf numFmtId="1" fontId="9" fillId="10" borderId="13" xfId="13" applyNumberFormat="1" applyFont="1" applyFill="1" applyBorder="1" applyAlignment="1" applyProtection="1">
      <alignment horizontal="left" vertical="top" wrapText="1"/>
    </xf>
    <xf numFmtId="180" fontId="9" fillId="10" borderId="13" xfId="13" applyNumberFormat="1" applyFont="1" applyFill="1" applyBorder="1" applyAlignment="1" applyProtection="1">
      <alignment horizontal="left" vertical="center"/>
    </xf>
    <xf numFmtId="0" fontId="9" fillId="0" borderId="0" xfId="13" applyFont="1"/>
    <xf numFmtId="0" fontId="6" fillId="0" borderId="0" xfId="13" applyFont="1" applyAlignment="1">
      <alignment horizontal="center" wrapText="1"/>
    </xf>
    <xf numFmtId="0" fontId="4" fillId="0" borderId="0" xfId="13" applyAlignment="1">
      <alignment horizontal="center" vertical="center"/>
    </xf>
    <xf numFmtId="0" fontId="9" fillId="0" borderId="0" xfId="13" applyFont="1" applyAlignment="1">
      <alignment horizontal="center"/>
    </xf>
    <xf numFmtId="0" fontId="9" fillId="0" borderId="0" xfId="13" applyFont="1" applyAlignment="1">
      <alignment horizontal="center" vertical="center"/>
    </xf>
    <xf numFmtId="0" fontId="6" fillId="10" borderId="51" xfId="13" applyFont="1" applyFill="1" applyBorder="1" applyAlignment="1">
      <alignment horizontal="center" vertical="center" wrapText="1"/>
    </xf>
    <xf numFmtId="3" fontId="4" fillId="10" borderId="52" xfId="13" applyNumberFormat="1" applyFill="1" applyBorder="1" applyAlignment="1">
      <alignment horizontal="center" vertical="center"/>
    </xf>
    <xf numFmtId="0" fontId="4" fillId="10" borderId="52" xfId="13" applyFill="1" applyBorder="1" applyAlignment="1">
      <alignment horizontal="center" vertical="center"/>
    </xf>
    <xf numFmtId="0" fontId="4" fillId="0" borderId="0" xfId="13" applyAlignment="1">
      <alignment vertical="center"/>
    </xf>
    <xf numFmtId="0" fontId="6" fillId="10" borderId="50" xfId="13" applyFont="1" applyFill="1" applyBorder="1" applyAlignment="1">
      <alignment horizontal="center" vertical="center" wrapText="1"/>
    </xf>
    <xf numFmtId="3" fontId="4" fillId="10" borderId="38" xfId="13" applyNumberFormat="1" applyFill="1" applyBorder="1" applyAlignment="1">
      <alignment horizontal="center" vertical="center"/>
    </xf>
    <xf numFmtId="0" fontId="4" fillId="10" borderId="38" xfId="13" applyFill="1" applyBorder="1" applyAlignment="1">
      <alignment horizontal="center" vertical="center"/>
    </xf>
    <xf numFmtId="0" fontId="6" fillId="10" borderId="48" xfId="13" applyFont="1" applyFill="1" applyBorder="1" applyAlignment="1">
      <alignment horizontal="center" vertical="center" wrapText="1"/>
    </xf>
    <xf numFmtId="3" fontId="4" fillId="10" borderId="49" xfId="13" applyNumberFormat="1" applyFill="1" applyBorder="1" applyAlignment="1">
      <alignment horizontal="center" vertical="center"/>
    </xf>
    <xf numFmtId="0" fontId="4" fillId="10" borderId="49" xfId="13" applyFill="1" applyBorder="1" applyAlignment="1">
      <alignment horizontal="center" vertical="center"/>
    </xf>
    <xf numFmtId="0" fontId="4" fillId="0" borderId="117" xfId="13" applyBorder="1" applyAlignment="1">
      <alignment vertical="center"/>
    </xf>
    <xf numFmtId="0" fontId="9" fillId="0" borderId="0" xfId="13" applyFont="1" applyAlignment="1">
      <alignment vertical="center"/>
    </xf>
    <xf numFmtId="38" fontId="4" fillId="10" borderId="51" xfId="13" applyNumberFormat="1" applyFill="1" applyBorder="1" applyAlignment="1">
      <alignment horizontal="center" vertical="center"/>
    </xf>
    <xf numFmtId="38" fontId="4" fillId="10" borderId="52" xfId="13" applyNumberFormat="1" applyFill="1" applyBorder="1" applyAlignment="1">
      <alignment horizontal="center" vertical="center"/>
    </xf>
    <xf numFmtId="0" fontId="4" fillId="10" borderId="23" xfId="13" applyFill="1" applyBorder="1" applyAlignment="1">
      <alignment horizontal="center" vertical="center"/>
    </xf>
    <xf numFmtId="38" fontId="4" fillId="10" borderId="50" xfId="13" applyNumberFormat="1" applyFill="1" applyBorder="1" applyAlignment="1">
      <alignment horizontal="center" vertical="center"/>
    </xf>
    <xf numFmtId="38" fontId="4" fillId="10" borderId="38" xfId="13" applyNumberFormat="1" applyFill="1" applyBorder="1" applyAlignment="1">
      <alignment horizontal="center" vertical="center"/>
    </xf>
    <xf numFmtId="0" fontId="4" fillId="10" borderId="25" xfId="13" applyFill="1" applyBorder="1" applyAlignment="1">
      <alignment horizontal="center" vertical="center"/>
    </xf>
    <xf numFmtId="0" fontId="4" fillId="10" borderId="48" xfId="13" applyFill="1" applyBorder="1" applyAlignment="1">
      <alignment horizontal="center" vertical="center"/>
    </xf>
    <xf numFmtId="38" fontId="4" fillId="10" borderId="24" xfId="13" applyNumberFormat="1" applyFill="1" applyBorder="1" applyAlignment="1">
      <alignment horizontal="center" vertical="center"/>
    </xf>
    <xf numFmtId="0" fontId="54" fillId="0" borderId="0" xfId="0" applyFont="1" applyFill="1" applyBorder="1" applyAlignment="1" applyProtection="1">
      <alignment horizontal="left" vertical="center"/>
    </xf>
    <xf numFmtId="0" fontId="92"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horizontal="center" vertical="center" wrapText="1"/>
    </xf>
    <xf numFmtId="0" fontId="92" fillId="0" borderId="0" xfId="0" applyFont="1" applyFill="1" applyBorder="1" applyAlignment="1" applyProtection="1">
      <alignment horizontal="justify" vertical="center" wrapText="1"/>
    </xf>
    <xf numFmtId="0" fontId="7" fillId="0" borderId="0" xfId="6" applyAlignment="1" applyProtection="1">
      <alignment horizontal="center"/>
    </xf>
    <xf numFmtId="1" fontId="92" fillId="0" borderId="134" xfId="0" applyNumberFormat="1" applyFont="1" applyFill="1" applyBorder="1" applyAlignment="1" applyProtection="1">
      <alignment horizontal="center" vertical="center"/>
    </xf>
    <xf numFmtId="1" fontId="92" fillId="0" borderId="18" xfId="0" applyNumberFormat="1" applyFont="1" applyFill="1" applyBorder="1" applyAlignment="1" applyProtection="1">
      <alignment horizontal="center" vertical="center"/>
    </xf>
    <xf numFmtId="0" fontId="177" fillId="0" borderId="0" xfId="0" applyFont="1" applyFill="1" applyBorder="1" applyAlignment="1" applyProtection="1">
      <alignment horizontal="center" vertical="top" wrapText="1"/>
    </xf>
    <xf numFmtId="0" fontId="11" fillId="0" borderId="0" xfId="0" applyFont="1" applyAlignment="1" applyProtection="1">
      <alignment horizontal="center" vertical="center"/>
    </xf>
    <xf numFmtId="0" fontId="11" fillId="0" borderId="0" xfId="0" quotePrefix="1" applyFont="1" applyFill="1" applyAlignment="1" applyProtection="1">
      <alignment horizontal="center" vertical="center" wrapText="1"/>
    </xf>
    <xf numFmtId="0" fontId="85" fillId="0" borderId="0" xfId="0" applyFont="1" applyAlignment="1" applyProtection="1">
      <alignment horizontal="center" vertical="center"/>
    </xf>
    <xf numFmtId="0" fontId="5" fillId="0" borderId="0" xfId="0" applyFont="1" applyFill="1" applyBorder="1" applyAlignment="1" applyProtection="1">
      <alignment horizontal="center" vertical="center"/>
    </xf>
    <xf numFmtId="0" fontId="5" fillId="0" borderId="0" xfId="0" applyFont="1" applyAlignment="1" applyProtection="1">
      <alignment horizontal="left" vertical="center" wrapText="1"/>
    </xf>
    <xf numFmtId="0" fontId="99" fillId="0" borderId="0" xfId="0" applyFont="1" applyBorder="1" applyAlignment="1" applyProtection="1">
      <alignment vertical="center" wrapText="1"/>
    </xf>
    <xf numFmtId="0" fontId="91" fillId="0" borderId="0" xfId="0" applyFont="1" applyFill="1" applyAlignment="1" applyProtection="1">
      <alignment horizontal="left" vertical="center"/>
    </xf>
    <xf numFmtId="0" fontId="8" fillId="0" borderId="0" xfId="0" applyFont="1" applyAlignment="1" applyProtection="1">
      <alignment horizontal="right"/>
    </xf>
    <xf numFmtId="0" fontId="21" fillId="0" borderId="0" xfId="0" quotePrefix="1" applyFont="1" applyFill="1" applyAlignment="1" applyProtection="1">
      <alignment vertical="top"/>
    </xf>
    <xf numFmtId="0" fontId="27" fillId="0" borderId="0" xfId="0" applyFont="1" applyFill="1" applyAlignment="1" applyProtection="1">
      <alignment horizontal="center" vertical="top"/>
    </xf>
    <xf numFmtId="3" fontId="22" fillId="0" borderId="86" xfId="0" applyNumberFormat="1" applyFont="1" applyFill="1" applyBorder="1" applyAlignment="1" applyProtection="1">
      <alignment horizontal="center" vertical="center"/>
    </xf>
    <xf numFmtId="0" fontId="11" fillId="0" borderId="0" xfId="0" quotePrefix="1" applyFont="1" applyFill="1" applyAlignment="1" applyProtection="1">
      <alignment horizontal="left" vertical="top"/>
    </xf>
    <xf numFmtId="0" fontId="85" fillId="0" borderId="0" xfId="0" applyFont="1" applyFill="1" applyProtection="1"/>
    <xf numFmtId="0" fontId="106" fillId="0" borderId="38" xfId="0" applyFont="1" applyFill="1" applyBorder="1" applyAlignment="1" applyProtection="1">
      <alignment horizontal="center" vertical="center"/>
    </xf>
    <xf numFmtId="0" fontId="105" fillId="0" borderId="38" xfId="0" applyNumberFormat="1" applyFont="1" applyBorder="1" applyAlignment="1" applyProtection="1">
      <alignment horizontal="center" vertical="center"/>
    </xf>
    <xf numFmtId="0" fontId="43" fillId="0" borderId="27" xfId="0" applyFont="1" applyFill="1" applyBorder="1" applyAlignment="1" applyProtection="1">
      <alignment horizontal="left" vertical="top" wrapText="1"/>
    </xf>
    <xf numFmtId="182" fontId="9" fillId="0" borderId="118" xfId="0" applyNumberFormat="1" applyFont="1" applyFill="1" applyBorder="1" applyAlignment="1" applyProtection="1">
      <alignment horizontal="center" vertical="center"/>
    </xf>
    <xf numFmtId="182" fontId="9" fillId="0" borderId="15" xfId="0" applyNumberFormat="1" applyFont="1" applyFill="1" applyBorder="1" applyAlignment="1" applyProtection="1">
      <alignment horizontal="center" vertical="center"/>
    </xf>
    <xf numFmtId="182" fontId="4" fillId="0" borderId="3" xfId="0" applyNumberFormat="1" applyFont="1" applyFill="1" applyBorder="1" applyAlignment="1" applyProtection="1">
      <alignment horizontal="center" vertical="center"/>
    </xf>
    <xf numFmtId="182" fontId="26" fillId="0" borderId="118" xfId="0" applyNumberFormat="1" applyFont="1" applyFill="1" applyBorder="1" applyAlignment="1" applyProtection="1">
      <alignment horizontal="center" vertical="center"/>
    </xf>
    <xf numFmtId="0" fontId="27" fillId="0" borderId="0" xfId="0" applyFont="1" applyFill="1" applyAlignment="1" applyProtection="1">
      <alignment horizontal="left" vertical="center"/>
    </xf>
    <xf numFmtId="0" fontId="46" fillId="0" borderId="0" xfId="0" quotePrefix="1" applyFont="1" applyFill="1" applyAlignment="1" applyProtection="1">
      <alignment horizontal="center"/>
    </xf>
    <xf numFmtId="0" fontId="42" fillId="0" borderId="0" xfId="0" applyFont="1" applyFill="1" applyAlignment="1" applyProtection="1">
      <alignment vertical="top" wrapText="1"/>
    </xf>
    <xf numFmtId="0" fontId="42" fillId="0" borderId="0" xfId="0" applyFont="1" applyFill="1" applyAlignment="1" applyProtection="1">
      <alignment vertical="top"/>
    </xf>
    <xf numFmtId="0" fontId="80" fillId="0" borderId="0" xfId="0" applyFont="1" applyFill="1" applyBorder="1" applyAlignment="1" applyProtection="1">
      <alignment horizontal="left"/>
    </xf>
    <xf numFmtId="0" fontId="43" fillId="0" borderId="80" xfId="0" applyFont="1" applyBorder="1" applyProtection="1"/>
    <xf numFmtId="0" fontId="42" fillId="0" borderId="85" xfId="0" applyFont="1" applyBorder="1" applyProtection="1"/>
    <xf numFmtId="0" fontId="42" fillId="0" borderId="120" xfId="0" applyFont="1" applyBorder="1" applyProtection="1"/>
    <xf numFmtId="0" fontId="43" fillId="0" borderId="7" xfId="0" applyFont="1" applyBorder="1" applyProtection="1"/>
    <xf numFmtId="0" fontId="42" fillId="0" borderId="0" xfId="0" applyFont="1" applyBorder="1" applyProtection="1"/>
    <xf numFmtId="0" fontId="42" fillId="0" borderId="41" xfId="0" applyFont="1" applyBorder="1" applyProtection="1"/>
    <xf numFmtId="0" fontId="43" fillId="0" borderId="9" xfId="0" applyFont="1" applyBorder="1" applyProtection="1"/>
    <xf numFmtId="0" fontId="42" fillId="0" borderId="13" xfId="0" applyFont="1" applyBorder="1" applyProtection="1"/>
    <xf numFmtId="0" fontId="42" fillId="0" borderId="95" xfId="0" applyFont="1" applyBorder="1" applyProtection="1"/>
    <xf numFmtId="0" fontId="103" fillId="0" borderId="0" xfId="0" applyFont="1" applyFill="1" applyAlignment="1" applyProtection="1">
      <alignment horizontal="center" vertical="center"/>
    </xf>
    <xf numFmtId="0" fontId="85" fillId="0" borderId="0" xfId="0" applyFont="1" applyBorder="1" applyAlignment="1" applyProtection="1">
      <alignment horizontal="left" vertical="center"/>
    </xf>
    <xf numFmtId="0" fontId="85" fillId="0" borderId="0" xfId="0" applyFont="1" applyAlignment="1" applyProtection="1">
      <alignment horizontal="left" vertical="center"/>
    </xf>
    <xf numFmtId="0" fontId="85" fillId="0" borderId="0" xfId="0" applyFont="1" applyFill="1" applyBorder="1" applyAlignment="1" applyProtection="1">
      <alignment horizontal="center" vertical="center"/>
    </xf>
    <xf numFmtId="0" fontId="114" fillId="0" borderId="0" xfId="0" applyFont="1" applyFill="1" applyBorder="1" applyAlignment="1" applyProtection="1">
      <alignment horizontal="left" vertical="center"/>
    </xf>
    <xf numFmtId="38" fontId="15" fillId="0" borderId="94" xfId="0" applyNumberFormat="1" applyFont="1" applyFill="1" applyBorder="1" applyAlignment="1" applyProtection="1">
      <alignment horizontal="center" vertical="top" wrapText="1"/>
    </xf>
    <xf numFmtId="0" fontId="17" fillId="0" borderId="0" xfId="0" applyFont="1" applyAlignment="1" applyProtection="1">
      <alignment horizontal="left"/>
    </xf>
    <xf numFmtId="0" fontId="54" fillId="0" borderId="0" xfId="0" applyFont="1" applyFill="1" applyAlignment="1" applyProtection="1">
      <alignment horizontal="center" vertical="center"/>
    </xf>
    <xf numFmtId="0" fontId="111" fillId="0" borderId="0" xfId="0" applyFont="1" applyFill="1" applyBorder="1" applyAlignment="1" applyProtection="1">
      <alignment vertical="center" wrapText="1"/>
    </xf>
    <xf numFmtId="0" fontId="136" fillId="0" borderId="0" xfId="0" applyFont="1" applyFill="1" applyBorder="1" applyAlignment="1" applyProtection="1">
      <alignment vertical="center" wrapText="1"/>
    </xf>
    <xf numFmtId="0" fontId="102" fillId="0" borderId="0" xfId="0" applyFont="1" applyFill="1" applyBorder="1" applyAlignment="1" applyProtection="1">
      <alignment vertical="center" wrapText="1"/>
    </xf>
    <xf numFmtId="0" fontId="92" fillId="0" borderId="0" xfId="0" applyFont="1" applyAlignment="1" applyProtection="1">
      <alignment horizontal="center" vertical="top"/>
    </xf>
    <xf numFmtId="49" fontId="15" fillId="0" borderId="0" xfId="0" quotePrefix="1" applyNumberFormat="1" applyFont="1" applyFill="1" applyAlignment="1" applyProtection="1">
      <alignment horizontal="center" vertical="top"/>
    </xf>
    <xf numFmtId="0" fontId="9" fillId="0" borderId="0" xfId="0" applyFont="1" applyFill="1" applyBorder="1" applyAlignment="1" applyProtection="1">
      <alignment horizontal="center" wrapText="1"/>
    </xf>
    <xf numFmtId="0" fontId="237" fillId="0" borderId="0" xfId="0" applyFont="1" applyFill="1" applyAlignment="1" applyProtection="1">
      <alignment vertical="center"/>
    </xf>
    <xf numFmtId="0" fontId="97" fillId="0" borderId="0" xfId="0" applyFont="1" applyFill="1" applyBorder="1" applyAlignment="1" applyProtection="1">
      <alignment vertical="center"/>
    </xf>
    <xf numFmtId="3" fontId="237" fillId="0" borderId="0" xfId="0" applyNumberFormat="1" applyFont="1" applyFill="1" applyAlignment="1" applyProtection="1">
      <alignment horizontal="center" vertical="center"/>
    </xf>
    <xf numFmtId="38" fontId="238" fillId="0" borderId="0" xfId="0" applyNumberFormat="1" applyFont="1" applyFill="1" applyBorder="1" applyAlignment="1" applyProtection="1">
      <alignment horizontal="center" vertical="center"/>
    </xf>
    <xf numFmtId="0" fontId="5" fillId="0" borderId="7" xfId="0" applyFont="1" applyBorder="1" applyAlignment="1" applyProtection="1">
      <alignment vertical="top" wrapText="1"/>
    </xf>
    <xf numFmtId="0" fontId="5" fillId="0" borderId="0" xfId="0" applyFont="1" applyBorder="1" applyAlignment="1" applyProtection="1">
      <alignment vertical="top" wrapText="1"/>
    </xf>
    <xf numFmtId="0" fontId="226" fillId="0" borderId="0" xfId="0" applyFont="1" applyFill="1" applyBorder="1" applyAlignment="1" applyProtection="1">
      <alignment vertical="center" wrapText="1"/>
    </xf>
    <xf numFmtId="0" fontId="86" fillId="0" borderId="0" xfId="0" applyFont="1" applyFill="1" applyAlignment="1" applyProtection="1">
      <alignment vertical="top"/>
    </xf>
    <xf numFmtId="0" fontId="63" fillId="0" borderId="78" xfId="0" applyFont="1" applyFill="1" applyBorder="1" applyAlignment="1" applyProtection="1">
      <alignment horizontal="left" vertical="center"/>
    </xf>
    <xf numFmtId="0" fontId="54" fillId="0" borderId="82" xfId="0" applyFont="1" applyFill="1" applyBorder="1" applyAlignment="1" applyProtection="1">
      <alignment horizontal="center" vertical="center"/>
    </xf>
    <xf numFmtId="0" fontId="43" fillId="0" borderId="0" xfId="0" applyFont="1" applyBorder="1" applyAlignment="1" applyProtection="1">
      <alignment vertical="center"/>
    </xf>
    <xf numFmtId="0" fontId="80" fillId="0" borderId="38" xfId="0" applyNumberFormat="1" applyFont="1" applyBorder="1" applyAlignment="1" applyProtection="1">
      <alignment vertical="center"/>
    </xf>
    <xf numFmtId="0" fontId="80" fillId="0" borderId="0" xfId="0" applyNumberFormat="1" applyFont="1" applyBorder="1" applyAlignment="1" applyProtection="1">
      <alignment vertical="center"/>
    </xf>
    <xf numFmtId="0" fontId="80" fillId="0" borderId="38" xfId="0" applyFont="1" applyFill="1" applyBorder="1" applyAlignment="1" applyProtection="1">
      <alignment vertical="center"/>
    </xf>
    <xf numFmtId="0" fontId="136" fillId="0" borderId="0" xfId="0" applyFont="1" applyFill="1" applyAlignment="1" applyProtection="1">
      <alignment horizontal="right" vertical="center"/>
    </xf>
    <xf numFmtId="38" fontId="11" fillId="0" borderId="86" xfId="0" applyNumberFormat="1" applyFont="1" applyFill="1" applyBorder="1" applyAlignment="1" applyProtection="1">
      <alignment horizontal="center" vertical="center"/>
    </xf>
    <xf numFmtId="0" fontId="116" fillId="0" borderId="0" xfId="0" applyFont="1" applyFill="1" applyAlignment="1" applyProtection="1">
      <alignment horizontal="right" vertical="center"/>
    </xf>
    <xf numFmtId="38" fontId="11" fillId="0" borderId="15" xfId="0" applyNumberFormat="1" applyFont="1" applyFill="1" applyBorder="1" applyAlignment="1" applyProtection="1">
      <alignment horizontal="center" vertical="center"/>
    </xf>
    <xf numFmtId="0" fontId="14" fillId="0" borderId="0" xfId="0" applyFont="1" applyFill="1" applyBorder="1" applyAlignment="1" applyProtection="1">
      <alignment horizontal="right" vertical="center" wrapText="1"/>
    </xf>
    <xf numFmtId="0" fontId="5" fillId="0" borderId="0" xfId="0" quotePrefix="1" applyFont="1" applyAlignment="1" applyProtection="1">
      <alignment horizontal="center" vertical="top"/>
    </xf>
    <xf numFmtId="0" fontId="43" fillId="0" borderId="70" xfId="0" quotePrefix="1" applyFont="1" applyFill="1" applyBorder="1" applyAlignment="1" applyProtection="1">
      <alignment vertical="center"/>
    </xf>
    <xf numFmtId="0" fontId="42" fillId="0" borderId="0" xfId="0" applyFont="1" applyFill="1" applyBorder="1" applyAlignment="1" applyProtection="1">
      <alignment horizontal="left"/>
    </xf>
    <xf numFmtId="0" fontId="63" fillId="0" borderId="43" xfId="0" applyFont="1" applyFill="1" applyBorder="1" applyAlignment="1" applyProtection="1">
      <alignment vertical="top"/>
    </xf>
    <xf numFmtId="0" fontId="63" fillId="0" borderId="39" xfId="0" applyFont="1" applyFill="1" applyBorder="1" applyAlignment="1" applyProtection="1">
      <alignment vertical="center"/>
    </xf>
    <xf numFmtId="0" fontId="46" fillId="0" borderId="19" xfId="0" applyFont="1" applyFill="1" applyBorder="1" applyAlignment="1" applyProtection="1">
      <alignment vertical="center"/>
    </xf>
    <xf numFmtId="0" fontId="52" fillId="0" borderId="20" xfId="0" applyFont="1" applyFill="1" applyBorder="1" applyAlignment="1" applyProtection="1">
      <alignment vertical="center"/>
    </xf>
    <xf numFmtId="0" fontId="46" fillId="0" borderId="20" xfId="0" applyFont="1" applyFill="1" applyBorder="1" applyAlignment="1" applyProtection="1">
      <alignment vertical="center"/>
    </xf>
    <xf numFmtId="0" fontId="46" fillId="0" borderId="59" xfId="0" applyFont="1" applyFill="1" applyBorder="1" applyAlignment="1" applyProtection="1">
      <alignment vertical="center"/>
    </xf>
    <xf numFmtId="0" fontId="64" fillId="0" borderId="43" xfId="0" applyFont="1" applyFill="1" applyBorder="1" applyAlignment="1" applyProtection="1">
      <alignment vertical="top"/>
    </xf>
    <xf numFmtId="3" fontId="46" fillId="0" borderId="17" xfId="1" applyNumberFormat="1" applyFont="1" applyFill="1" applyBorder="1" applyAlignment="1" applyProtection="1">
      <alignment horizontal="center" vertical="center"/>
    </xf>
    <xf numFmtId="165" fontId="46" fillId="0" borderId="16" xfId="1" applyNumberFormat="1" applyFont="1" applyFill="1" applyBorder="1" applyAlignment="1" applyProtection="1">
      <alignment horizontal="center" vertical="center"/>
    </xf>
    <xf numFmtId="165" fontId="46" fillId="0" borderId="18" xfId="1" applyNumberFormat="1" applyFont="1" applyFill="1" applyBorder="1" applyAlignment="1" applyProtection="1">
      <alignment horizontal="center" vertical="center"/>
    </xf>
    <xf numFmtId="0" fontId="54" fillId="0" borderId="0" xfId="0" quotePrefix="1" applyFont="1" applyFill="1" applyAlignment="1" applyProtection="1">
      <alignment vertical="center"/>
    </xf>
    <xf numFmtId="0" fontId="54" fillId="0" borderId="0" xfId="0" quotePrefix="1" applyFont="1" applyFill="1" applyBorder="1" applyAlignment="1" applyProtection="1">
      <alignment vertical="top"/>
    </xf>
    <xf numFmtId="4" fontId="63" fillId="0" borderId="0" xfId="1" applyNumberFormat="1" applyFont="1" applyFill="1" applyBorder="1" applyAlignment="1" applyProtection="1">
      <alignment vertical="center"/>
    </xf>
    <xf numFmtId="0" fontId="103" fillId="0" borderId="0" xfId="0" applyFont="1" applyFill="1" applyAlignment="1" applyProtection="1">
      <alignment horizontal="center"/>
    </xf>
    <xf numFmtId="0" fontId="93" fillId="0" borderId="0" xfId="0" applyFont="1"/>
    <xf numFmtId="0" fontId="4" fillId="0" borderId="0" xfId="0" applyFont="1" applyFill="1" applyBorder="1" applyAlignment="1" applyProtection="1">
      <alignment vertical="top" wrapText="1"/>
    </xf>
    <xf numFmtId="38" fontId="9" fillId="0" borderId="84" xfId="1" applyNumberFormat="1" applyFont="1" applyFill="1" applyBorder="1" applyAlignment="1" applyProtection="1">
      <alignment horizontal="right" vertical="center"/>
    </xf>
    <xf numFmtId="38" fontId="9" fillId="0" borderId="100" xfId="1" applyNumberFormat="1" applyFont="1" applyFill="1" applyBorder="1" applyAlignment="1" applyProtection="1">
      <alignment horizontal="right" vertical="center"/>
    </xf>
    <xf numFmtId="38" fontId="21" fillId="0" borderId="82" xfId="1" applyNumberFormat="1" applyFont="1" applyFill="1" applyBorder="1" applyAlignment="1" applyProtection="1">
      <alignment vertical="center"/>
    </xf>
    <xf numFmtId="38" fontId="23" fillId="0" borderId="82" xfId="1" applyNumberFormat="1" applyFont="1" applyFill="1" applyBorder="1" applyAlignment="1" applyProtection="1">
      <alignment vertical="center"/>
    </xf>
    <xf numFmtId="38" fontId="23" fillId="0" borderId="99" xfId="1" applyNumberFormat="1" applyFont="1" applyFill="1" applyBorder="1" applyAlignment="1" applyProtection="1">
      <alignment horizontal="right" vertical="center"/>
    </xf>
    <xf numFmtId="38" fontId="23" fillId="0" borderId="91" xfId="1" applyNumberFormat="1" applyFont="1" applyFill="1" applyBorder="1" applyAlignment="1" applyProtection="1">
      <alignment horizontal="right" vertical="center"/>
    </xf>
    <xf numFmtId="38" fontId="23" fillId="0" borderId="98" xfId="1" applyNumberFormat="1" applyFont="1" applyFill="1" applyBorder="1" applyAlignment="1" applyProtection="1">
      <alignment horizontal="right" vertical="center"/>
    </xf>
    <xf numFmtId="38" fontId="21" fillId="0" borderId="22" xfId="1" applyNumberFormat="1" applyFont="1" applyFill="1" applyBorder="1" applyAlignment="1" applyProtection="1">
      <alignment horizontal="right" vertical="center"/>
    </xf>
    <xf numFmtId="38" fontId="23" fillId="0" borderId="128" xfId="1" applyNumberFormat="1" applyFont="1" applyFill="1" applyBorder="1" applyAlignment="1" applyProtection="1">
      <alignment horizontal="right" vertical="center"/>
    </xf>
    <xf numFmtId="38" fontId="23" fillId="0" borderId="117" xfId="1" applyNumberFormat="1" applyFont="1" applyFill="1" applyBorder="1" applyAlignment="1" applyProtection="1">
      <alignment horizontal="right" vertical="center"/>
    </xf>
    <xf numFmtId="38" fontId="23" fillId="0" borderId="103" xfId="1" applyNumberFormat="1" applyFont="1" applyFill="1" applyBorder="1" applyAlignment="1" applyProtection="1">
      <alignment horizontal="right" vertical="center"/>
    </xf>
    <xf numFmtId="38" fontId="21" fillId="0" borderId="12" xfId="1" applyNumberFormat="1" applyFont="1" applyFill="1" applyBorder="1" applyAlignment="1" applyProtection="1">
      <alignment horizontal="right" vertical="center"/>
    </xf>
    <xf numFmtId="38" fontId="23" fillId="0" borderId="127" xfId="1" applyNumberFormat="1" applyFont="1" applyFill="1" applyBorder="1" applyAlignment="1" applyProtection="1">
      <alignment horizontal="right" vertical="center"/>
    </xf>
    <xf numFmtId="38" fontId="23" fillId="0" borderId="121" xfId="1" applyNumberFormat="1" applyFont="1" applyFill="1" applyBorder="1" applyAlignment="1" applyProtection="1">
      <alignment horizontal="right" vertical="center"/>
    </xf>
    <xf numFmtId="38" fontId="23" fillId="0" borderId="102" xfId="1" applyNumberFormat="1" applyFont="1" applyFill="1" applyBorder="1" applyAlignment="1" applyProtection="1">
      <alignment horizontal="right" vertical="center"/>
    </xf>
    <xf numFmtId="38" fontId="23" fillId="0" borderId="11" xfId="1" applyNumberFormat="1" applyFont="1" applyFill="1" applyBorder="1" applyAlignment="1" applyProtection="1">
      <alignment horizontal="right" vertical="center"/>
    </xf>
    <xf numFmtId="38" fontId="23" fillId="0" borderId="22" xfId="1" applyNumberFormat="1" applyFont="1" applyFill="1" applyBorder="1" applyAlignment="1" applyProtection="1">
      <alignment horizontal="right" vertical="center"/>
    </xf>
    <xf numFmtId="0" fontId="103" fillId="20" borderId="0" xfId="0" applyFont="1" applyFill="1" applyAlignment="1" applyProtection="1">
      <alignment horizontal="center" vertical="center"/>
    </xf>
    <xf numFmtId="0" fontId="103" fillId="20" borderId="0" xfId="0" applyFont="1" applyFill="1" applyAlignment="1" applyProtection="1">
      <alignment horizontal="center"/>
    </xf>
    <xf numFmtId="0" fontId="62" fillId="0" borderId="0" xfId="0" applyFont="1" applyFill="1" applyBorder="1" applyAlignment="1" applyProtection="1">
      <alignment horizontal="left" vertical="center"/>
    </xf>
    <xf numFmtId="0" fontId="63" fillId="0" borderId="0" xfId="0" applyFont="1" applyFill="1" applyBorder="1" applyAlignment="1" applyProtection="1">
      <alignment vertical="center"/>
    </xf>
    <xf numFmtId="4" fontId="46" fillId="0" borderId="0" xfId="1" applyNumberFormat="1" applyFont="1" applyFill="1" applyBorder="1" applyAlignment="1" applyProtection="1">
      <alignment horizontal="center" vertical="center"/>
    </xf>
    <xf numFmtId="0" fontId="63" fillId="0" borderId="0" xfId="0" applyFont="1" applyFill="1" applyBorder="1" applyAlignment="1" applyProtection="1">
      <alignment horizontal="center" vertical="center"/>
    </xf>
    <xf numFmtId="0" fontId="46" fillId="0" borderId="82" xfId="0" applyFont="1" applyFill="1" applyBorder="1" applyAlignment="1" applyProtection="1">
      <alignment vertical="center"/>
    </xf>
    <xf numFmtId="4" fontId="63" fillId="0" borderId="59" xfId="0" applyNumberFormat="1" applyFont="1" applyFill="1" applyBorder="1" applyAlignment="1" applyProtection="1">
      <alignment vertical="center"/>
    </xf>
    <xf numFmtId="0" fontId="202" fillId="0" borderId="42" xfId="0" applyFont="1" applyFill="1" applyBorder="1" applyAlignment="1" applyProtection="1">
      <alignment horizontal="left" vertical="center"/>
    </xf>
    <xf numFmtId="0" fontId="89" fillId="0" borderId="0" xfId="0" applyFont="1" applyFill="1" applyAlignment="1" applyProtection="1">
      <alignment horizontal="left" vertical="center"/>
    </xf>
    <xf numFmtId="3" fontId="5" fillId="0" borderId="25" xfId="0" applyNumberFormat="1" applyFont="1" applyFill="1" applyBorder="1" applyAlignment="1" applyProtection="1">
      <alignment horizontal="right" vertical="top"/>
    </xf>
    <xf numFmtId="0" fontId="15" fillId="0" borderId="189" xfId="0" applyFont="1" applyFill="1" applyBorder="1" applyAlignment="1" applyProtection="1">
      <alignment horizontal="left" vertical="center"/>
    </xf>
    <xf numFmtId="3" fontId="5" fillId="0" borderId="94" xfId="0" applyNumberFormat="1" applyFont="1" applyFill="1" applyBorder="1" applyAlignment="1" applyProtection="1">
      <alignment vertical="top"/>
    </xf>
    <xf numFmtId="0" fontId="84" fillId="0" borderId="0" xfId="0" applyFont="1" applyFill="1" applyAlignment="1" applyProtection="1">
      <alignment horizontal="center"/>
    </xf>
    <xf numFmtId="0" fontId="84" fillId="20" borderId="0" xfId="0" applyFont="1" applyFill="1" applyBorder="1" applyAlignment="1" applyProtection="1">
      <alignment horizontal="center"/>
    </xf>
    <xf numFmtId="0" fontId="84" fillId="20" borderId="0" xfId="0" applyFont="1" applyFill="1" applyAlignment="1" applyProtection="1">
      <alignment horizontal="center"/>
    </xf>
    <xf numFmtId="0" fontId="84" fillId="20" borderId="0" xfId="0" applyFont="1" applyFill="1" applyAlignment="1" applyProtection="1">
      <alignment horizontal="center" vertical="center"/>
    </xf>
    <xf numFmtId="0" fontId="43" fillId="0" borderId="20" xfId="0" applyFont="1" applyFill="1" applyBorder="1" applyProtection="1"/>
    <xf numFmtId="0" fontId="5" fillId="0" borderId="20" xfId="0" applyFont="1" applyFill="1" applyBorder="1" applyProtection="1"/>
    <xf numFmtId="0" fontId="43" fillId="0" borderId="21" xfId="0" applyFont="1" applyFill="1" applyBorder="1" applyProtection="1"/>
    <xf numFmtId="0" fontId="5" fillId="0" borderId="21" xfId="0" applyFont="1" applyFill="1" applyBorder="1" applyProtection="1"/>
    <xf numFmtId="0" fontId="43" fillId="0" borderId="21" xfId="0" applyFont="1" applyBorder="1" applyProtection="1"/>
    <xf numFmtId="0" fontId="5" fillId="0" borderId="21" xfId="0" applyFont="1" applyBorder="1" applyProtection="1"/>
    <xf numFmtId="0" fontId="43" fillId="0" borderId="58" xfId="0" applyFont="1" applyBorder="1" applyProtection="1"/>
    <xf numFmtId="0" fontId="5" fillId="0" borderId="58" xfId="0" applyFont="1" applyBorder="1" applyProtection="1"/>
    <xf numFmtId="0" fontId="85" fillId="0" borderId="13" xfId="0" applyFont="1" applyBorder="1" applyAlignment="1" applyProtection="1">
      <alignment horizontal="right"/>
    </xf>
    <xf numFmtId="0" fontId="85" fillId="0" borderId="0" xfId="0" applyFont="1" applyProtection="1"/>
    <xf numFmtId="0" fontId="114" fillId="0" borderId="12" xfId="0" applyNumberFormat="1" applyFont="1" applyBorder="1" applyAlignment="1" applyProtection="1">
      <alignment horizontal="center" vertical="center"/>
    </xf>
    <xf numFmtId="0" fontId="114" fillId="0" borderId="133" xfId="0" applyFont="1" applyBorder="1" applyAlignment="1" applyProtection="1">
      <alignment horizontal="center" vertical="center"/>
    </xf>
    <xf numFmtId="0" fontId="114" fillId="0" borderId="31" xfId="0" applyNumberFormat="1" applyFont="1" applyBorder="1" applyAlignment="1" applyProtection="1">
      <alignment horizontal="center" vertical="center"/>
    </xf>
    <xf numFmtId="0" fontId="114" fillId="0" borderId="34" xfId="0" applyNumberFormat="1" applyFont="1" applyBorder="1" applyAlignment="1" applyProtection="1">
      <alignment horizontal="center" vertical="center"/>
    </xf>
    <xf numFmtId="0" fontId="114" fillId="0" borderId="86" xfId="0" applyFont="1" applyFill="1" applyBorder="1" applyAlignment="1" applyProtection="1">
      <alignment horizontal="center" vertical="center"/>
    </xf>
    <xf numFmtId="38" fontId="114" fillId="0" borderId="86" xfId="0" applyNumberFormat="1" applyFont="1" applyBorder="1" applyAlignment="1" applyProtection="1">
      <alignment horizontal="center" vertical="center" wrapText="1"/>
    </xf>
    <xf numFmtId="0" fontId="243" fillId="20" borderId="0" xfId="0" applyFont="1" applyFill="1" applyProtection="1"/>
    <xf numFmtId="0" fontId="243" fillId="20" borderId="0" xfId="0" applyFont="1" applyFill="1" applyAlignment="1" applyProtection="1">
      <alignment vertical="center"/>
    </xf>
    <xf numFmtId="0" fontId="103" fillId="20" borderId="0" xfId="0" applyFont="1" applyFill="1" applyAlignment="1" applyProtection="1">
      <alignment vertical="center"/>
    </xf>
    <xf numFmtId="0" fontId="103" fillId="20" borderId="0" xfId="0" applyFont="1" applyFill="1" applyProtection="1"/>
    <xf numFmtId="0" fontId="93" fillId="0" borderId="0" xfId="0" applyFont="1" applyFill="1" applyAlignment="1" applyProtection="1">
      <alignment horizontal="center" vertical="center"/>
    </xf>
    <xf numFmtId="0" fontId="84" fillId="0" borderId="0" xfId="0" applyFont="1" applyFill="1" applyAlignment="1" applyProtection="1">
      <alignment vertical="center"/>
    </xf>
    <xf numFmtId="0" fontId="97" fillId="0" borderId="0" xfId="0" applyFont="1" applyFill="1" applyAlignment="1" applyProtection="1">
      <alignment horizontal="center"/>
    </xf>
    <xf numFmtId="0" fontId="97" fillId="0" borderId="0" xfId="0" applyFont="1" applyFill="1" applyAlignment="1" applyProtection="1">
      <alignment horizontal="center" vertical="center"/>
    </xf>
    <xf numFmtId="3" fontId="93" fillId="0" borderId="0" xfId="0" applyNumberFormat="1" applyFont="1" applyFill="1" applyAlignment="1" applyProtection="1">
      <alignment horizontal="center"/>
    </xf>
    <xf numFmtId="0" fontId="93" fillId="0" borderId="0" xfId="0" applyFont="1" applyFill="1" applyAlignment="1" applyProtection="1">
      <alignment horizontal="center"/>
    </xf>
    <xf numFmtId="3" fontId="84" fillId="0" borderId="0" xfId="0" applyNumberFormat="1" applyFont="1" applyFill="1" applyAlignment="1" applyProtection="1">
      <alignment horizontal="center"/>
    </xf>
    <xf numFmtId="0" fontId="238" fillId="0" borderId="0" xfId="0" applyFont="1" applyFill="1" applyBorder="1" applyAlignment="1" applyProtection="1">
      <alignment horizontal="right"/>
    </xf>
    <xf numFmtId="0" fontId="93" fillId="0" borderId="0" xfId="0" applyFont="1" applyFill="1" applyBorder="1" applyAlignment="1" applyProtection="1">
      <alignment vertical="center"/>
    </xf>
    <xf numFmtId="0" fontId="84" fillId="0" borderId="0" xfId="0" applyFont="1" applyFill="1" applyBorder="1" applyAlignment="1" applyProtection="1">
      <alignment vertical="center"/>
    </xf>
    <xf numFmtId="0" fontId="94" fillId="0" borderId="0" xfId="0" applyFont="1" applyFill="1" applyAlignment="1" applyProtection="1">
      <alignment vertical="center"/>
    </xf>
    <xf numFmtId="0" fontId="94" fillId="0" borderId="0" xfId="0" applyFont="1" applyAlignment="1" applyProtection="1">
      <alignment horizontal="left"/>
    </xf>
    <xf numFmtId="0" fontId="245" fillId="0" borderId="0" xfId="0" applyFont="1" applyAlignment="1" applyProtection="1">
      <alignment horizontal="center"/>
    </xf>
    <xf numFmtId="0" fontId="94" fillId="0" borderId="0" xfId="0" applyFont="1" applyFill="1" applyAlignment="1" applyProtection="1">
      <alignment horizontal="left" vertical="center"/>
    </xf>
    <xf numFmtId="0" fontId="94" fillId="0" borderId="0" xfId="0" applyNumberFormat="1" applyFont="1" applyAlignment="1" applyProtection="1">
      <alignment horizontal="left" vertical="center"/>
    </xf>
    <xf numFmtId="0" fontId="246" fillId="0" borderId="0" xfId="0" applyFont="1" applyFill="1" applyProtection="1"/>
    <xf numFmtId="0" fontId="246" fillId="0" borderId="0" xfId="0" applyFont="1" applyProtection="1"/>
    <xf numFmtId="0" fontId="94" fillId="0" borderId="0" xfId="0" applyFont="1" applyFill="1" applyAlignment="1" applyProtection="1"/>
    <xf numFmtId="0" fontId="94" fillId="0" borderId="0" xfId="0" applyNumberFormat="1" applyFont="1" applyFill="1" applyProtection="1"/>
    <xf numFmtId="0" fontId="94" fillId="0" borderId="0" xfId="0" applyFont="1"/>
    <xf numFmtId="0" fontId="245" fillId="0" borderId="0" xfId="0" applyFont="1" applyFill="1" applyProtection="1"/>
    <xf numFmtId="0" fontId="93" fillId="0" borderId="0" xfId="0" applyFont="1" applyProtection="1"/>
    <xf numFmtId="0" fontId="97" fillId="0" borderId="0" xfId="0" applyFont="1" applyFill="1" applyAlignment="1" applyProtection="1">
      <alignment horizontal="left"/>
    </xf>
    <xf numFmtId="0" fontId="237" fillId="0" borderId="0" xfId="0" applyFont="1" applyFill="1" applyAlignment="1" applyProtection="1">
      <alignment horizontal="center"/>
    </xf>
    <xf numFmtId="0" fontId="97" fillId="0" borderId="0" xfId="0" applyFont="1" applyProtection="1"/>
    <xf numFmtId="0" fontId="97" fillId="0" borderId="0" xfId="0" applyNumberFormat="1" applyFont="1" applyFill="1" applyProtection="1"/>
    <xf numFmtId="0" fontId="97" fillId="0" borderId="0" xfId="0" applyFont="1" applyFill="1" applyAlignment="1" applyProtection="1">
      <alignment horizontal="left" vertical="center"/>
    </xf>
    <xf numFmtId="0" fontId="97" fillId="0" borderId="0" xfId="0" applyNumberFormat="1" applyFont="1" applyFill="1" applyAlignment="1" applyProtection="1">
      <alignment horizontal="left" vertical="center"/>
    </xf>
    <xf numFmtId="0" fontId="247" fillId="0" borderId="0" xfId="0" applyFont="1" applyFill="1" applyAlignment="1" applyProtection="1">
      <alignment horizontal="left"/>
    </xf>
    <xf numFmtId="0" fontId="97" fillId="0" borderId="0" xfId="0" applyFont="1" applyFill="1" applyBorder="1" applyAlignment="1" applyProtection="1">
      <alignment horizontal="center" vertical="top"/>
    </xf>
    <xf numFmtId="0" fontId="97" fillId="0" borderId="0" xfId="0" applyFont="1" applyFill="1" applyAlignment="1" applyProtection="1"/>
    <xf numFmtId="0" fontId="97" fillId="0" borderId="0" xfId="0" applyFont="1" applyFill="1" applyAlignment="1" applyProtection="1">
      <alignment vertical="top"/>
    </xf>
    <xf numFmtId="0" fontId="97" fillId="0" borderId="0" xfId="0" applyFont="1" applyFill="1" applyBorder="1" applyAlignment="1" applyProtection="1">
      <alignment horizontal="left" vertical="top"/>
    </xf>
    <xf numFmtId="0" fontId="97" fillId="0" borderId="0" xfId="0" applyFont="1" applyFill="1" applyBorder="1" applyAlignment="1" applyProtection="1">
      <alignment vertical="top"/>
    </xf>
    <xf numFmtId="0" fontId="94" fillId="0" borderId="0" xfId="0" applyFont="1" applyAlignment="1" applyProtection="1">
      <alignment vertical="top"/>
    </xf>
    <xf numFmtId="0" fontId="237" fillId="0" borderId="0" xfId="0" applyFont="1" applyFill="1" applyAlignment="1" applyProtection="1"/>
    <xf numFmtId="0" fontId="97" fillId="0" borderId="0" xfId="0" applyFont="1" applyFill="1" applyBorder="1" applyAlignment="1" applyProtection="1">
      <alignment vertical="top" wrapText="1"/>
    </xf>
    <xf numFmtId="0" fontId="97" fillId="0" borderId="0" xfId="0" applyFont="1" applyFill="1" applyBorder="1" applyProtection="1"/>
    <xf numFmtId="4" fontId="86" fillId="0" borderId="0" xfId="0" applyNumberFormat="1" applyFont="1" applyFill="1" applyAlignment="1" applyProtection="1">
      <alignment horizontal="left" vertical="center"/>
    </xf>
    <xf numFmtId="10" fontId="46" fillId="0" borderId="0" xfId="0" applyNumberFormat="1" applyFont="1" applyFill="1" applyAlignment="1" applyProtection="1">
      <alignment horizontal="center" vertical="center"/>
    </xf>
    <xf numFmtId="0" fontId="43" fillId="0" borderId="0" xfId="0" applyFont="1" applyFill="1" applyAlignment="1" applyProtection="1">
      <alignment horizontal="center" vertical="center"/>
    </xf>
    <xf numFmtId="0" fontId="97" fillId="0" borderId="0" xfId="0" applyFont="1" applyFill="1" applyBorder="1" applyAlignment="1" applyProtection="1">
      <alignment horizontal="center"/>
    </xf>
    <xf numFmtId="0" fontId="248" fillId="0" borderId="0" xfId="0" applyFont="1" applyFill="1" applyBorder="1" applyAlignment="1" applyProtection="1">
      <alignment horizontal="center"/>
    </xf>
    <xf numFmtId="0" fontId="93" fillId="0" borderId="0" xfId="0" applyFont="1" applyFill="1" applyBorder="1" applyAlignment="1" applyProtection="1"/>
    <xf numFmtId="0" fontId="249" fillId="0" borderId="0" xfId="0" applyFont="1" applyFill="1" applyBorder="1" applyAlignment="1" applyProtection="1">
      <alignment horizontal="center"/>
    </xf>
    <xf numFmtId="0" fontId="103" fillId="0" borderId="0" xfId="0" applyFont="1" applyFill="1" applyBorder="1" applyAlignment="1" applyProtection="1">
      <alignment vertical="top"/>
      <protection locked="0"/>
    </xf>
    <xf numFmtId="0" fontId="131" fillId="0" borderId="0" xfId="0" applyFont="1" applyFill="1" applyBorder="1" applyAlignment="1" applyProtection="1">
      <alignment vertical="center"/>
    </xf>
    <xf numFmtId="0" fontId="103" fillId="0" borderId="0" xfId="0" applyFont="1" applyFill="1" applyBorder="1" applyAlignment="1" applyProtection="1">
      <alignment vertical="center"/>
    </xf>
    <xf numFmtId="0" fontId="103" fillId="0" borderId="0" xfId="0" applyFont="1" applyFill="1" applyBorder="1" applyAlignment="1" applyProtection="1">
      <alignment horizontal="center" vertical="center"/>
    </xf>
    <xf numFmtId="0" fontId="103" fillId="0" borderId="0" xfId="0" applyFont="1" applyFill="1" applyBorder="1" applyAlignment="1" applyProtection="1">
      <alignment horizontal="left" vertical="center"/>
    </xf>
    <xf numFmtId="0" fontId="243" fillId="0" borderId="0" xfId="0" applyFont="1" applyFill="1" applyBorder="1" applyAlignment="1" applyProtection="1">
      <alignment horizontal="left" vertical="center"/>
    </xf>
    <xf numFmtId="0" fontId="103" fillId="0" borderId="0" xfId="0" applyFont="1" applyFill="1" applyBorder="1" applyAlignment="1" applyProtection="1">
      <alignment horizontal="right" vertical="center"/>
    </xf>
    <xf numFmtId="49" fontId="131" fillId="0" borderId="0" xfId="0" applyNumberFormat="1" applyFont="1" applyFill="1" applyBorder="1" applyAlignment="1" applyProtection="1">
      <alignment vertical="center"/>
    </xf>
    <xf numFmtId="0" fontId="131" fillId="0" borderId="0" xfId="0" applyNumberFormat="1" applyFont="1" applyFill="1" applyBorder="1" applyAlignment="1" applyProtection="1">
      <alignment vertical="center"/>
    </xf>
    <xf numFmtId="0" fontId="103" fillId="0" borderId="0" xfId="0" applyFont="1" applyFill="1" applyBorder="1" applyAlignment="1" applyProtection="1">
      <alignment vertical="center"/>
      <protection locked="0"/>
    </xf>
    <xf numFmtId="0" fontId="96" fillId="0" borderId="0" xfId="0" applyFont="1" applyFill="1" applyBorder="1" applyAlignment="1" applyProtection="1">
      <alignment vertical="center"/>
    </xf>
    <xf numFmtId="0" fontId="103" fillId="0" borderId="0" xfId="0" applyFont="1" applyFill="1" applyBorder="1" applyAlignment="1" applyProtection="1"/>
    <xf numFmtId="42" fontId="103" fillId="0" borderId="0" xfId="2" applyNumberFormat="1" applyFont="1" applyFill="1" applyBorder="1" applyAlignment="1" applyProtection="1">
      <alignment vertical="center"/>
    </xf>
    <xf numFmtId="42" fontId="93" fillId="0" borderId="0" xfId="2" applyNumberFormat="1" applyFont="1" applyFill="1" applyBorder="1" applyAlignment="1" applyProtection="1">
      <alignment vertical="center"/>
    </xf>
    <xf numFmtId="0" fontId="103" fillId="0" borderId="0" xfId="0" applyFont="1" applyFill="1" applyBorder="1" applyAlignment="1">
      <alignment horizontal="center" vertical="center"/>
    </xf>
    <xf numFmtId="0" fontId="243" fillId="0" borderId="0" xfId="0" applyFont="1" applyFill="1" applyBorder="1" applyAlignment="1" applyProtection="1">
      <alignment vertical="center"/>
      <protection locked="0"/>
    </xf>
    <xf numFmtId="0" fontId="103" fillId="0" borderId="0" xfId="0" quotePrefix="1" applyFont="1" applyFill="1" applyBorder="1" applyAlignment="1">
      <alignment horizontal="center"/>
    </xf>
    <xf numFmtId="164" fontId="103" fillId="0" borderId="0" xfId="1" applyNumberFormat="1" applyFont="1" applyFill="1" applyBorder="1" applyAlignment="1" applyProtection="1">
      <alignment vertical="center"/>
      <protection locked="0"/>
    </xf>
    <xf numFmtId="0" fontId="103" fillId="0" borderId="0" xfId="0" applyNumberFormat="1" applyFont="1" applyFill="1" applyBorder="1" applyAlignment="1" applyProtection="1">
      <alignment vertical="center"/>
      <protection locked="0"/>
    </xf>
    <xf numFmtId="164" fontId="103" fillId="0" borderId="0" xfId="1" applyNumberFormat="1" applyFont="1" applyFill="1" applyBorder="1" applyAlignment="1" applyProtection="1">
      <alignment horizontal="center" vertical="center"/>
      <protection locked="0"/>
    </xf>
    <xf numFmtId="0" fontId="103" fillId="0" borderId="0" xfId="0" applyFont="1" applyFill="1" applyBorder="1" applyAlignment="1"/>
    <xf numFmtId="0" fontId="243" fillId="0" borderId="0" xfId="0" applyFont="1" applyFill="1" applyBorder="1" applyAlignment="1" applyProtection="1">
      <alignment vertical="center"/>
    </xf>
    <xf numFmtId="0" fontId="103" fillId="0" borderId="0" xfId="0" applyFont="1" applyFill="1" applyBorder="1" applyAlignment="1" applyProtection="1">
      <alignment horizontal="left"/>
      <protection locked="0"/>
    </xf>
    <xf numFmtId="169" fontId="103" fillId="0" borderId="0" xfId="0" applyNumberFormat="1" applyFont="1" applyFill="1" applyBorder="1" applyAlignment="1" applyProtection="1">
      <alignment vertical="center"/>
      <protection locked="0"/>
    </xf>
    <xf numFmtId="167" fontId="103" fillId="0" borderId="0" xfId="0" applyNumberFormat="1" applyFont="1" applyFill="1" applyBorder="1" applyAlignment="1" applyProtection="1">
      <alignment vertical="center"/>
      <protection locked="0"/>
    </xf>
    <xf numFmtId="0" fontId="103" fillId="0" borderId="0" xfId="0" applyFont="1" applyFill="1" applyBorder="1" applyAlignment="1" applyProtection="1">
      <alignment horizontal="center" vertical="center"/>
      <protection locked="0"/>
    </xf>
    <xf numFmtId="0" fontId="103" fillId="0" borderId="0" xfId="0" applyNumberFormat="1" applyFont="1" applyFill="1" applyBorder="1" applyAlignment="1" applyProtection="1">
      <alignment horizontal="center" vertical="center"/>
    </xf>
    <xf numFmtId="181" fontId="103" fillId="0" borderId="0" xfId="0" applyNumberFormat="1" applyFont="1" applyFill="1" applyBorder="1" applyAlignment="1" applyProtection="1">
      <alignment vertical="center"/>
      <protection locked="0"/>
    </xf>
    <xf numFmtId="177" fontId="103" fillId="0" borderId="0" xfId="0" applyNumberFormat="1" applyFont="1" applyFill="1" applyBorder="1" applyAlignment="1" applyProtection="1">
      <alignment vertical="center"/>
      <protection locked="0"/>
    </xf>
    <xf numFmtId="0" fontId="103" fillId="0" borderId="0" xfId="0" applyFont="1" applyFill="1" applyBorder="1" applyAlignment="1" applyProtection="1">
      <alignment horizontal="center"/>
    </xf>
    <xf numFmtId="0" fontId="103" fillId="0" borderId="0" xfId="0" applyNumberFormat="1" applyFont="1" applyFill="1" applyBorder="1" applyAlignment="1" applyProtection="1">
      <alignment horizontal="left" vertical="center"/>
    </xf>
    <xf numFmtId="49" fontId="103" fillId="0" borderId="0" xfId="0" applyNumberFormat="1" applyFont="1" applyFill="1" applyBorder="1" applyAlignment="1" applyProtection="1">
      <alignment vertical="center"/>
      <protection locked="0"/>
    </xf>
    <xf numFmtId="0" fontId="93" fillId="0" borderId="0" xfId="0" applyNumberFormat="1" applyFont="1" applyFill="1" applyBorder="1" applyAlignment="1" applyProtection="1">
      <protection locked="0"/>
    </xf>
    <xf numFmtId="0" fontId="103" fillId="0" borderId="0" xfId="0" quotePrefix="1" applyFont="1" applyFill="1" applyBorder="1" applyAlignment="1" applyProtection="1">
      <alignment horizontal="center" vertical="center"/>
    </xf>
    <xf numFmtId="0" fontId="103" fillId="0" borderId="0" xfId="0" applyFont="1" applyFill="1" applyBorder="1" applyAlignment="1" applyProtection="1">
      <alignment horizontal="left" vertical="center"/>
      <protection locked="0"/>
    </xf>
    <xf numFmtId="164" fontId="103" fillId="0" borderId="0" xfId="1" applyNumberFormat="1" applyFont="1" applyFill="1" applyBorder="1" applyAlignment="1" applyProtection="1">
      <alignment horizontal="center" vertical="center"/>
    </xf>
    <xf numFmtId="0" fontId="243" fillId="0" borderId="0" xfId="0" applyFont="1" applyFill="1" applyBorder="1" applyAlignment="1" applyProtection="1">
      <alignment vertical="top"/>
    </xf>
    <xf numFmtId="1" fontId="103" fillId="0" borderId="0" xfId="1" applyNumberFormat="1" applyFont="1" applyFill="1" applyBorder="1" applyAlignment="1" applyProtection="1">
      <alignment vertical="center"/>
      <protection locked="0"/>
    </xf>
    <xf numFmtId="0" fontId="251"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3" fillId="0" borderId="0" xfId="0" applyNumberFormat="1" applyFont="1" applyFill="1" applyBorder="1" applyAlignment="1" applyProtection="1">
      <alignment vertical="center"/>
      <protection locked="0"/>
    </xf>
    <xf numFmtId="38" fontId="103" fillId="0" borderId="0" xfId="0" applyNumberFormat="1" applyFont="1" applyFill="1" applyBorder="1" applyAlignment="1" applyProtection="1">
      <alignment horizontal="left" vertical="center"/>
    </xf>
    <xf numFmtId="0" fontId="252" fillId="0" borderId="0" xfId="0" applyFont="1" applyFill="1" applyBorder="1" applyAlignment="1" applyProtection="1">
      <alignment vertical="center"/>
    </xf>
    <xf numFmtId="1" fontId="103" fillId="0" borderId="0" xfId="1" applyNumberFormat="1" applyFont="1" applyFill="1" applyBorder="1" applyAlignment="1" applyProtection="1">
      <alignment horizontal="center" vertical="center"/>
    </xf>
    <xf numFmtId="0" fontId="252" fillId="0" borderId="0" xfId="0" applyFont="1" applyFill="1" applyBorder="1" applyAlignment="1" applyProtection="1"/>
    <xf numFmtId="0" fontId="252" fillId="0" borderId="0" xfId="0" applyFont="1" applyFill="1" applyBorder="1" applyAlignment="1" applyProtection="1">
      <alignment horizontal="right"/>
    </xf>
    <xf numFmtId="0" fontId="103" fillId="0" borderId="0" xfId="1" applyNumberFormat="1" applyFont="1" applyFill="1" applyBorder="1" applyAlignment="1" applyProtection="1">
      <alignment horizontal="left" vertical="center"/>
    </xf>
    <xf numFmtId="0" fontId="103" fillId="0" borderId="0" xfId="0" quotePrefix="1" applyFont="1" applyFill="1" applyBorder="1" applyAlignment="1" applyProtection="1">
      <alignment vertical="center"/>
    </xf>
    <xf numFmtId="164" fontId="96" fillId="0" borderId="0" xfId="1" applyNumberFormat="1" applyFont="1" applyFill="1" applyBorder="1" applyAlignment="1" applyProtection="1">
      <alignment horizontal="center" vertical="center"/>
    </xf>
    <xf numFmtId="0" fontId="103" fillId="0" borderId="0" xfId="0" applyFont="1" applyFill="1" applyBorder="1" applyAlignment="1" applyProtection="1">
      <alignment horizontal="left"/>
    </xf>
    <xf numFmtId="3" fontId="103"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vertical="top"/>
    </xf>
    <xf numFmtId="0" fontId="243" fillId="0" borderId="0" xfId="0" applyFont="1" applyFill="1" applyBorder="1" applyAlignment="1" applyProtection="1">
      <alignment horizontal="left"/>
    </xf>
    <xf numFmtId="0" fontId="103" fillId="0" borderId="0" xfId="0" applyFont="1" applyFill="1" applyBorder="1" applyAlignment="1" applyProtection="1">
      <alignment vertical="top"/>
    </xf>
    <xf numFmtId="0" fontId="103" fillId="0" borderId="0" xfId="0" applyFont="1" applyFill="1" applyBorder="1" applyAlignment="1" applyProtection="1">
      <alignment horizontal="right"/>
    </xf>
    <xf numFmtId="165" fontId="103" fillId="0" borderId="0" xfId="1" applyNumberFormat="1" applyFont="1" applyFill="1" applyBorder="1" applyAlignment="1" applyProtection="1">
      <alignment horizontal="center" vertical="center"/>
    </xf>
    <xf numFmtId="9" fontId="103" fillId="0" borderId="0" xfId="0" applyNumberFormat="1" applyFont="1" applyFill="1" applyBorder="1" applyAlignment="1" applyProtection="1">
      <alignment horizontal="center" vertical="center"/>
    </xf>
    <xf numFmtId="166" fontId="103" fillId="0" borderId="0" xfId="10" applyNumberFormat="1" applyFont="1" applyFill="1" applyBorder="1" applyAlignment="1" applyProtection="1">
      <alignment horizontal="center" vertical="center"/>
    </xf>
    <xf numFmtId="0" fontId="96" fillId="0" borderId="0" xfId="0" applyFont="1" applyFill="1" applyBorder="1" applyAlignment="1" applyProtection="1">
      <alignment horizontal="left" vertical="center"/>
    </xf>
    <xf numFmtId="174" fontId="103" fillId="0" borderId="0" xfId="0" applyNumberFormat="1" applyFont="1" applyFill="1" applyBorder="1" applyAlignment="1" applyProtection="1">
      <alignment vertical="center"/>
      <protection locked="0"/>
    </xf>
    <xf numFmtId="0" fontId="103" fillId="0" borderId="0" xfId="0" applyFont="1" applyFill="1" applyBorder="1" applyAlignment="1" applyProtection="1">
      <protection locked="0"/>
    </xf>
    <xf numFmtId="3" fontId="103" fillId="0" borderId="0" xfId="0" applyNumberFormat="1" applyFont="1" applyFill="1" applyBorder="1" applyAlignment="1" applyProtection="1">
      <alignment vertical="center"/>
      <protection locked="0"/>
    </xf>
    <xf numFmtId="0" fontId="243" fillId="0" borderId="0" xfId="0" applyFont="1" applyFill="1" applyBorder="1" applyAlignment="1" applyProtection="1">
      <alignment horizontal="center" vertical="center"/>
      <protection locked="0"/>
    </xf>
    <xf numFmtId="1" fontId="103" fillId="0" borderId="0" xfId="0" applyNumberFormat="1" applyFont="1" applyFill="1" applyBorder="1" applyAlignment="1" applyProtection="1">
      <alignment horizontal="center" vertical="center"/>
      <protection locked="0"/>
    </xf>
    <xf numFmtId="0" fontId="103" fillId="0" borderId="0" xfId="0" applyFont="1" applyFill="1" applyBorder="1" applyAlignment="1" applyProtection="1">
      <alignment horizontal="center"/>
      <protection locked="0"/>
    </xf>
    <xf numFmtId="0" fontId="103" fillId="0" borderId="0" xfId="0" applyFont="1" applyFill="1" applyBorder="1" applyAlignment="1" applyProtection="1">
      <alignment horizontal="left" vertical="top"/>
    </xf>
    <xf numFmtId="3" fontId="103" fillId="0" borderId="0" xfId="1" applyNumberFormat="1" applyFont="1" applyFill="1" applyBorder="1" applyAlignment="1" applyProtection="1">
      <alignment horizontal="center" vertical="center"/>
      <protection locked="0"/>
    </xf>
    <xf numFmtId="9" fontId="103" fillId="0" borderId="0" xfId="1" applyNumberFormat="1" applyFont="1" applyFill="1" applyBorder="1" applyAlignment="1" applyProtection="1">
      <alignment horizontal="center" vertical="center"/>
    </xf>
    <xf numFmtId="167" fontId="103" fillId="0" borderId="0" xfId="0" applyNumberFormat="1" applyFont="1" applyFill="1" applyBorder="1" applyAlignment="1" applyProtection="1">
      <alignment horizontal="center" vertical="center"/>
    </xf>
    <xf numFmtId="3" fontId="103" fillId="0" borderId="0" xfId="0" applyNumberFormat="1" applyFont="1" applyFill="1" applyBorder="1" applyAlignment="1" applyProtection="1">
      <alignment horizontal="center" vertical="center"/>
      <protection locked="0"/>
    </xf>
    <xf numFmtId="0" fontId="93" fillId="0" borderId="0" xfId="0" applyFont="1" applyFill="1" applyBorder="1" applyAlignment="1"/>
    <xf numFmtId="0" fontId="243" fillId="0" borderId="0" xfId="0" applyFont="1" applyFill="1" applyBorder="1" applyAlignment="1"/>
    <xf numFmtId="0" fontId="97" fillId="0" borderId="0" xfId="0" applyFont="1" applyFill="1" applyBorder="1" applyAlignment="1"/>
    <xf numFmtId="0" fontId="103" fillId="0" borderId="0" xfId="0" quotePrefix="1" applyFont="1" applyFill="1" applyBorder="1" applyAlignment="1">
      <alignment horizontal="right"/>
    </xf>
    <xf numFmtId="174" fontId="243" fillId="0" borderId="0" xfId="0" applyNumberFormat="1" applyFont="1" applyFill="1" applyBorder="1" applyAlignment="1" applyProtection="1">
      <alignment vertical="center"/>
      <protection locked="0"/>
    </xf>
    <xf numFmtId="0" fontId="93" fillId="0" borderId="0" xfId="0" applyFont="1" applyFill="1" applyBorder="1" applyAlignment="1">
      <alignment horizontal="center"/>
    </xf>
    <xf numFmtId="0" fontId="103" fillId="0" borderId="0" xfId="0" quotePrefix="1" applyFont="1" applyFill="1" applyBorder="1" applyAlignment="1" applyProtection="1">
      <alignment horizontal="center"/>
    </xf>
    <xf numFmtId="174" fontId="243" fillId="0" borderId="0" xfId="0" applyNumberFormat="1" applyFont="1" applyFill="1" applyBorder="1" applyAlignment="1" applyProtection="1">
      <alignment vertical="center"/>
    </xf>
    <xf numFmtId="0" fontId="103" fillId="0" borderId="0" xfId="0" quotePrefix="1" applyFont="1" applyFill="1" applyBorder="1" applyAlignment="1">
      <alignment horizontal="left"/>
    </xf>
    <xf numFmtId="174" fontId="103" fillId="0" borderId="0" xfId="0" applyNumberFormat="1" applyFont="1" applyFill="1" applyBorder="1" applyAlignment="1" applyProtection="1">
      <alignment horizontal="left" vertical="center"/>
      <protection locked="0"/>
    </xf>
    <xf numFmtId="0" fontId="103" fillId="0" borderId="0" xfId="0" applyFont="1" applyFill="1" applyBorder="1" applyAlignment="1">
      <alignment horizontal="left"/>
    </xf>
    <xf numFmtId="0" fontId="103" fillId="0" borderId="0" xfId="0" applyFont="1" applyFill="1" applyBorder="1" applyAlignment="1">
      <alignment horizontal="left" vertical="center"/>
    </xf>
    <xf numFmtId="0" fontId="103" fillId="0" borderId="0" xfId="0" applyFont="1" applyFill="1" applyBorder="1" applyAlignment="1">
      <alignment vertical="top"/>
    </xf>
    <xf numFmtId="0" fontId="103" fillId="0" borderId="0" xfId="0" applyFont="1" applyFill="1" applyBorder="1" applyAlignment="1">
      <alignment vertical="center"/>
    </xf>
    <xf numFmtId="0" fontId="103" fillId="0" borderId="0" xfId="0" applyFont="1" applyFill="1" applyBorder="1" applyAlignment="1">
      <alignment horizontal="center"/>
    </xf>
    <xf numFmtId="14" fontId="103" fillId="0" borderId="0" xfId="0" applyNumberFormat="1" applyFont="1" applyFill="1" applyBorder="1" applyAlignment="1">
      <alignment horizontal="center"/>
    </xf>
    <xf numFmtId="0" fontId="103" fillId="0" borderId="0" xfId="0" applyFont="1" applyFill="1" applyBorder="1" applyAlignment="1">
      <alignment horizontal="center" vertical="top"/>
    </xf>
    <xf numFmtId="10" fontId="103" fillId="0" borderId="0" xfId="0" applyNumberFormat="1" applyFont="1" applyFill="1" applyBorder="1" applyAlignment="1" applyProtection="1">
      <alignment horizontal="center" vertical="center"/>
      <protection locked="0"/>
    </xf>
    <xf numFmtId="0" fontId="96" fillId="0" borderId="0" xfId="0" applyNumberFormat="1" applyFont="1" applyFill="1" applyBorder="1" applyAlignment="1" applyProtection="1">
      <alignment vertical="center"/>
      <protection locked="0"/>
    </xf>
    <xf numFmtId="0" fontId="96" fillId="0" borderId="0" xfId="0" applyFont="1" applyFill="1" applyBorder="1" applyAlignment="1">
      <alignment horizontal="left"/>
    </xf>
    <xf numFmtId="0" fontId="96" fillId="0" borderId="0" xfId="0" applyFont="1" applyFill="1" applyBorder="1" applyAlignment="1">
      <alignment horizontal="left" vertical="center"/>
    </xf>
    <xf numFmtId="1" fontId="96" fillId="0" borderId="0" xfId="0" applyNumberFormat="1" applyFont="1" applyFill="1" applyBorder="1" applyAlignment="1" applyProtection="1">
      <alignment horizontal="center" vertical="center"/>
      <protection locked="0"/>
    </xf>
    <xf numFmtId="1" fontId="96" fillId="0" borderId="0" xfId="0" applyNumberFormat="1" applyFont="1" applyFill="1" applyBorder="1" applyAlignment="1" applyProtection="1">
      <alignment vertical="center"/>
      <protection locked="0"/>
    </xf>
    <xf numFmtId="10" fontId="96" fillId="0" borderId="0" xfId="0" applyNumberFormat="1" applyFont="1" applyFill="1" applyBorder="1" applyAlignment="1" applyProtection="1">
      <alignment vertical="center"/>
      <protection locked="0"/>
    </xf>
    <xf numFmtId="49" fontId="96" fillId="0" borderId="0" xfId="0" applyNumberFormat="1" applyFont="1" applyFill="1" applyBorder="1" applyAlignment="1" applyProtection="1">
      <alignment vertical="center"/>
      <protection locked="0"/>
    </xf>
    <xf numFmtId="174" fontId="96" fillId="0" borderId="0" xfId="0" applyNumberFormat="1" applyFont="1" applyFill="1" applyBorder="1" applyAlignment="1" applyProtection="1">
      <alignment horizontal="left" vertical="center"/>
      <protection locked="0"/>
    </xf>
    <xf numFmtId="0" fontId="96" fillId="0" borderId="0" xfId="0" applyFont="1" applyFill="1" applyBorder="1" applyAlignment="1"/>
    <xf numFmtId="0" fontId="96" fillId="0" borderId="0" xfId="0" applyFont="1" applyFill="1" applyBorder="1" applyAlignment="1" applyProtection="1">
      <alignment vertical="top"/>
      <protection locked="0"/>
    </xf>
    <xf numFmtId="10" fontId="103" fillId="0" borderId="0" xfId="10" applyNumberFormat="1" applyFont="1" applyFill="1" applyBorder="1" applyAlignment="1" applyProtection="1">
      <alignment horizontal="center" vertical="center"/>
    </xf>
    <xf numFmtId="0" fontId="243" fillId="0" borderId="0" xfId="0" applyFont="1" applyFill="1" applyBorder="1" applyAlignment="1" applyProtection="1">
      <protection locked="0"/>
    </xf>
    <xf numFmtId="0" fontId="103" fillId="0" borderId="0" xfId="0" quotePrefix="1" applyFont="1" applyFill="1" applyBorder="1" applyAlignment="1" applyProtection="1">
      <alignment horizontal="left" vertical="center"/>
    </xf>
    <xf numFmtId="6" fontId="103" fillId="0" borderId="0" xfId="0" applyNumberFormat="1" applyFont="1" applyFill="1" applyBorder="1" applyAlignment="1" applyProtection="1">
      <alignment vertical="center"/>
      <protection locked="0"/>
    </xf>
    <xf numFmtId="0" fontId="243" fillId="0" borderId="0" xfId="0" applyFont="1" applyFill="1" applyBorder="1" applyAlignment="1" applyProtection="1">
      <alignment vertical="top"/>
      <protection locked="0"/>
    </xf>
    <xf numFmtId="49" fontId="103" fillId="0" borderId="0" xfId="0" applyNumberFormat="1" applyFont="1" applyFill="1" applyBorder="1" applyAlignment="1" applyProtection="1">
      <alignment vertical="center"/>
    </xf>
    <xf numFmtId="167" fontId="103" fillId="0" borderId="0" xfId="0" applyNumberFormat="1" applyFont="1" applyFill="1" applyBorder="1" applyAlignment="1" applyProtection="1">
      <alignment horizontal="center" vertical="center"/>
      <protection locked="0"/>
    </xf>
    <xf numFmtId="0" fontId="254" fillId="0" borderId="0" xfId="6" applyFont="1" applyFill="1" applyBorder="1" applyAlignment="1" applyProtection="1">
      <alignment vertical="center"/>
      <protection locked="0"/>
    </xf>
    <xf numFmtId="0" fontId="103" fillId="0" borderId="0" xfId="0" quotePrefix="1" applyFont="1" applyFill="1" applyBorder="1" applyAlignment="1" applyProtection="1"/>
    <xf numFmtId="0" fontId="113" fillId="0" borderId="0" xfId="6" applyFont="1" applyFill="1" applyBorder="1" applyAlignment="1" applyProtection="1">
      <alignment vertical="center"/>
      <protection locked="0"/>
    </xf>
    <xf numFmtId="0" fontId="243" fillId="0" borderId="0" xfId="0" applyFont="1" applyFill="1" applyBorder="1" applyAlignment="1" applyProtection="1">
      <alignment horizontal="left" vertical="center"/>
      <protection locked="0"/>
    </xf>
    <xf numFmtId="0" fontId="103" fillId="0" borderId="0" xfId="0" quotePrefix="1" applyFont="1" applyFill="1" applyBorder="1" applyAlignment="1" applyProtection="1">
      <alignment horizontal="right"/>
    </xf>
    <xf numFmtId="167" fontId="103" fillId="0" borderId="0" xfId="0" applyNumberFormat="1" applyFont="1" applyFill="1" applyBorder="1" applyAlignment="1" applyProtection="1">
      <protection locked="0"/>
    </xf>
    <xf numFmtId="0" fontId="103" fillId="0" borderId="0" xfId="0" quotePrefix="1" applyFont="1" applyFill="1" applyBorder="1" applyAlignment="1" applyProtection="1">
      <alignment vertical="top"/>
    </xf>
    <xf numFmtId="0" fontId="103" fillId="0" borderId="0" xfId="0" applyFont="1" applyFill="1" applyBorder="1" applyAlignment="1" applyProtection="1">
      <alignment horizontal="center" vertical="top"/>
      <protection locked="0"/>
    </xf>
    <xf numFmtId="0" fontId="96" fillId="0" borderId="0" xfId="0" applyFont="1" applyFill="1" applyBorder="1" applyAlignment="1" applyProtection="1"/>
    <xf numFmtId="0" fontId="103" fillId="0" borderId="0" xfId="0" applyFont="1" applyFill="1" applyBorder="1" applyAlignment="1" applyProtection="1">
      <alignment horizontal="center" vertical="top"/>
    </xf>
    <xf numFmtId="0" fontId="103" fillId="0" borderId="0" xfId="0" applyNumberFormat="1" applyFont="1" applyFill="1" applyBorder="1" applyAlignment="1" applyProtection="1">
      <alignment horizontal="center" vertical="top"/>
      <protection locked="0"/>
    </xf>
    <xf numFmtId="173" fontId="103" fillId="0" borderId="0" xfId="10" applyNumberFormat="1" applyFont="1" applyFill="1" applyBorder="1" applyAlignment="1" applyProtection="1">
      <alignment horizontal="center" vertical="top"/>
      <protection locked="0"/>
    </xf>
    <xf numFmtId="173" fontId="103" fillId="0" borderId="0" xfId="10" applyNumberFormat="1" applyFont="1" applyFill="1" applyBorder="1" applyAlignment="1" applyProtection="1">
      <alignment vertical="center"/>
    </xf>
    <xf numFmtId="0" fontId="243" fillId="0" borderId="0" xfId="0" applyFont="1" applyFill="1" applyBorder="1" applyAlignment="1">
      <alignment vertical="center"/>
    </xf>
    <xf numFmtId="0" fontId="243" fillId="0" borderId="0" xfId="0" applyFont="1" applyFill="1" applyBorder="1" applyAlignment="1" applyProtection="1"/>
    <xf numFmtId="49" fontId="249" fillId="0" borderId="0" xfId="0" applyNumberFormat="1" applyFont="1" applyFill="1" applyBorder="1" applyAlignment="1" applyProtection="1">
      <alignment vertical="center"/>
    </xf>
    <xf numFmtId="37" fontId="103" fillId="0" borderId="0" xfId="0" applyNumberFormat="1" applyFont="1" applyFill="1" applyBorder="1" applyAlignment="1" applyProtection="1">
      <alignment vertical="center"/>
      <protection locked="0"/>
    </xf>
    <xf numFmtId="0" fontId="93" fillId="0" borderId="0" xfId="0" applyFont="1" applyFill="1" applyBorder="1" applyAlignment="1" applyProtection="1">
      <alignment vertical="center"/>
      <protection locked="0"/>
    </xf>
    <xf numFmtId="166" fontId="103" fillId="0" borderId="0" xfId="10" applyNumberFormat="1" applyFont="1" applyFill="1" applyBorder="1" applyAlignment="1" applyProtection="1">
      <alignment vertical="center"/>
      <protection locked="0"/>
    </xf>
    <xf numFmtId="3" fontId="103" fillId="0" borderId="0" xfId="1" applyNumberFormat="1" applyFont="1" applyFill="1" applyBorder="1" applyAlignment="1" applyProtection="1">
      <alignment vertical="center"/>
      <protection locked="0"/>
    </xf>
    <xf numFmtId="166" fontId="103" fillId="0" borderId="0" xfId="10" applyNumberFormat="1" applyFont="1" applyFill="1" applyBorder="1" applyAlignment="1" applyProtection="1">
      <alignment vertical="center"/>
    </xf>
    <xf numFmtId="38" fontId="103" fillId="0" borderId="0" xfId="2" applyNumberFormat="1" applyFont="1" applyFill="1" applyBorder="1" applyAlignment="1" applyProtection="1">
      <alignment vertical="center"/>
    </xf>
    <xf numFmtId="38" fontId="103" fillId="0" borderId="0" xfId="2" applyNumberFormat="1" applyFont="1" applyFill="1" applyBorder="1" applyAlignment="1" applyProtection="1">
      <alignment vertical="center"/>
      <protection locked="0"/>
    </xf>
    <xf numFmtId="38" fontId="103" fillId="0" borderId="0" xfId="0" applyNumberFormat="1" applyFont="1" applyFill="1" applyBorder="1" applyAlignment="1" applyProtection="1">
      <alignment vertical="center"/>
    </xf>
    <xf numFmtId="166" fontId="103" fillId="0" borderId="0" xfId="0" applyNumberFormat="1" applyFont="1" applyFill="1" applyBorder="1" applyAlignment="1" applyProtection="1">
      <alignment horizontal="center" vertical="center"/>
      <protection locked="0"/>
    </xf>
    <xf numFmtId="166" fontId="103" fillId="0" borderId="0" xfId="0" applyNumberFormat="1" applyFont="1" applyFill="1" applyBorder="1" applyAlignment="1" applyProtection="1">
      <alignment horizontal="center" vertical="center"/>
    </xf>
    <xf numFmtId="10" fontId="103" fillId="0" borderId="0" xfId="0" applyNumberFormat="1" applyFont="1" applyFill="1" applyBorder="1" applyAlignment="1" applyProtection="1">
      <alignment horizontal="center" vertical="center"/>
    </xf>
    <xf numFmtId="38" fontId="103" fillId="0" borderId="0" xfId="0" applyNumberFormat="1" applyFont="1" applyFill="1" applyBorder="1" applyAlignment="1" applyProtection="1">
      <alignment horizontal="center" vertical="center"/>
      <protection locked="0"/>
    </xf>
    <xf numFmtId="38" fontId="103" fillId="0" borderId="0" xfId="2" applyNumberFormat="1" applyFont="1" applyFill="1" applyBorder="1" applyAlignment="1" applyProtection="1">
      <alignment horizontal="center" vertical="center"/>
      <protection locked="0"/>
    </xf>
    <xf numFmtId="37" fontId="243" fillId="0" borderId="0" xfId="0" applyNumberFormat="1" applyFont="1" applyFill="1" applyBorder="1" applyAlignment="1" applyProtection="1">
      <alignment vertical="center"/>
    </xf>
    <xf numFmtId="0" fontId="243" fillId="0" borderId="0" xfId="0" applyFont="1" applyFill="1" applyBorder="1" applyAlignment="1" applyProtection="1">
      <alignment horizontal="right" vertical="center"/>
    </xf>
    <xf numFmtId="166" fontId="103" fillId="0" borderId="0" xfId="0" applyNumberFormat="1" applyFont="1" applyFill="1" applyBorder="1" applyAlignment="1" applyProtection="1">
      <alignment vertical="center"/>
    </xf>
    <xf numFmtId="3" fontId="103" fillId="0" borderId="0" xfId="0" applyNumberFormat="1" applyFont="1" applyFill="1" applyBorder="1" applyAlignment="1" applyProtection="1">
      <alignment vertical="center"/>
    </xf>
    <xf numFmtId="0" fontId="254" fillId="0" borderId="0" xfId="0" applyFont="1" applyFill="1" applyBorder="1" applyAlignment="1" applyProtection="1">
      <alignment vertical="center"/>
    </xf>
    <xf numFmtId="0" fontId="256" fillId="0" borderId="0" xfId="0" quotePrefix="1" applyFont="1" applyFill="1" applyBorder="1" applyAlignment="1" applyProtection="1">
      <alignment vertical="center"/>
    </xf>
    <xf numFmtId="0" fontId="254" fillId="0" borderId="0" xfId="0" applyFont="1" applyFill="1" applyBorder="1" applyAlignment="1" applyProtection="1">
      <alignment horizontal="center" vertical="center"/>
    </xf>
    <xf numFmtId="3" fontId="243" fillId="0" borderId="0" xfId="0" applyNumberFormat="1" applyFont="1" applyFill="1" applyBorder="1" applyAlignment="1" applyProtection="1">
      <alignment vertical="center"/>
    </xf>
    <xf numFmtId="4" fontId="243" fillId="0" borderId="0" xfId="0" applyNumberFormat="1" applyFont="1" applyFill="1" applyBorder="1" applyAlignment="1" applyProtection="1">
      <alignment vertical="center"/>
    </xf>
    <xf numFmtId="9" fontId="243" fillId="0" borderId="0" xfId="0" applyNumberFormat="1" applyFont="1" applyFill="1" applyBorder="1" applyAlignment="1" applyProtection="1">
      <alignment horizontal="center" vertical="center"/>
    </xf>
    <xf numFmtId="38" fontId="103" fillId="0" borderId="0" xfId="0" applyNumberFormat="1" applyFont="1" applyFill="1" applyBorder="1" applyAlignment="1" applyProtection="1">
      <alignment horizontal="center" vertical="center"/>
    </xf>
    <xf numFmtId="0" fontId="131" fillId="0" borderId="0" xfId="0" applyFont="1" applyFill="1" applyBorder="1" applyAlignment="1">
      <alignment vertical="center"/>
    </xf>
    <xf numFmtId="0" fontId="249" fillId="0" borderId="0" xfId="0" applyFont="1" applyFill="1" applyBorder="1" applyAlignment="1" applyProtection="1">
      <alignment vertical="top"/>
    </xf>
    <xf numFmtId="49" fontId="257"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0" fontId="249" fillId="0" borderId="0" xfId="0" applyFont="1" applyFill="1" applyBorder="1" applyAlignment="1" applyProtection="1">
      <alignment vertical="center"/>
    </xf>
    <xf numFmtId="4" fontId="103" fillId="0" borderId="0" xfId="0" applyNumberFormat="1" applyFont="1" applyFill="1" applyBorder="1" applyAlignment="1" applyProtection="1">
      <alignment horizontal="right" vertical="center"/>
      <protection locked="0"/>
    </xf>
    <xf numFmtId="0" fontId="97" fillId="0" borderId="0" xfId="0" applyFont="1" applyFill="1" applyBorder="1" applyAlignment="1" applyProtection="1">
      <alignment vertical="top"/>
      <protection locked="0"/>
    </xf>
    <xf numFmtId="0" fontId="248" fillId="0" borderId="0" xfId="0" applyFont="1" applyFill="1" applyBorder="1" applyAlignment="1" applyProtection="1">
      <alignment horizontal="center" vertical="center"/>
    </xf>
    <xf numFmtId="0" fontId="255" fillId="0" borderId="0" xfId="0" applyFont="1" applyFill="1" applyBorder="1" applyAlignment="1" applyProtection="1">
      <alignment horizontal="right" vertical="center"/>
    </xf>
    <xf numFmtId="4" fontId="103" fillId="0" borderId="0" xfId="0" applyNumberFormat="1" applyFont="1" applyFill="1" applyBorder="1" applyAlignment="1" applyProtection="1">
      <alignment horizontal="right" vertical="center"/>
    </xf>
    <xf numFmtId="0" fontId="96" fillId="0" borderId="0" xfId="0" applyFont="1" applyFill="1" applyBorder="1" applyAlignment="1" applyProtection="1">
      <alignment horizontal="right" vertical="center"/>
    </xf>
    <xf numFmtId="3" fontId="103" fillId="0" borderId="0" xfId="0" applyNumberFormat="1" applyFont="1" applyFill="1" applyBorder="1" applyAlignment="1" applyProtection="1">
      <alignment horizontal="center" vertical="center"/>
    </xf>
    <xf numFmtId="164" fontId="255" fillId="0" borderId="0" xfId="1" applyNumberFormat="1" applyFont="1" applyFill="1" applyBorder="1" applyAlignment="1" applyProtection="1">
      <alignment horizontal="right" vertical="center"/>
    </xf>
    <xf numFmtId="171" fontId="103" fillId="0" borderId="0" xfId="0" applyNumberFormat="1" applyFont="1" applyFill="1" applyBorder="1" applyAlignment="1" applyProtection="1">
      <alignment vertical="center"/>
    </xf>
    <xf numFmtId="171" fontId="103" fillId="0" borderId="0" xfId="0" applyNumberFormat="1" applyFont="1" applyFill="1" applyBorder="1" applyAlignment="1" applyProtection="1">
      <alignment horizontal="center" vertical="center"/>
    </xf>
    <xf numFmtId="166" fontId="243" fillId="0" borderId="0" xfId="0" applyNumberFormat="1" applyFont="1" applyFill="1" applyBorder="1" applyAlignment="1" applyProtection="1">
      <alignment horizontal="center" vertical="center"/>
    </xf>
    <xf numFmtId="166" fontId="243" fillId="0" borderId="0" xfId="0" applyNumberFormat="1" applyFont="1" applyFill="1" applyBorder="1" applyAlignment="1" applyProtection="1">
      <alignment horizontal="center"/>
    </xf>
    <xf numFmtId="37" fontId="243" fillId="0" borderId="0" xfId="1" applyNumberFormat="1" applyFont="1" applyFill="1" applyBorder="1" applyAlignment="1" applyProtection="1">
      <alignment horizontal="center"/>
    </xf>
    <xf numFmtId="37" fontId="243" fillId="0" borderId="0" xfId="0" applyNumberFormat="1" applyFont="1" applyFill="1" applyBorder="1" applyAlignment="1" applyProtection="1">
      <alignment horizontal="center" vertical="center"/>
    </xf>
    <xf numFmtId="0" fontId="255" fillId="0" borderId="0" xfId="0" applyFont="1" applyFill="1" applyBorder="1" applyAlignment="1" applyProtection="1">
      <alignment horizontal="left" vertical="center"/>
    </xf>
    <xf numFmtId="164" fontId="255" fillId="0" borderId="0" xfId="0" applyNumberFormat="1" applyFont="1" applyFill="1" applyBorder="1" applyAlignment="1" applyProtection="1">
      <alignment vertical="center"/>
    </xf>
    <xf numFmtId="0" fontId="255" fillId="0" borderId="0" xfId="0" applyFont="1" applyFill="1" applyBorder="1" applyAlignment="1" applyProtection="1">
      <alignment vertical="top"/>
    </xf>
    <xf numFmtId="0" fontId="255" fillId="0" borderId="0" xfId="0" applyFont="1" applyFill="1" applyBorder="1" applyAlignment="1" applyProtection="1">
      <alignment vertical="center"/>
    </xf>
    <xf numFmtId="4" fontId="255" fillId="0" borderId="0" xfId="1" applyNumberFormat="1" applyFont="1" applyFill="1" applyBorder="1" applyAlignment="1" applyProtection="1">
      <alignment horizontal="right" vertical="center"/>
    </xf>
    <xf numFmtId="171" fontId="252" fillId="0" borderId="0" xfId="0" applyNumberFormat="1" applyFont="1" applyFill="1" applyBorder="1" applyAlignment="1" applyProtection="1">
      <alignment horizontal="left" vertical="center"/>
    </xf>
    <xf numFmtId="4" fontId="255" fillId="0" borderId="0" xfId="1" applyNumberFormat="1" applyFont="1" applyFill="1" applyBorder="1" applyAlignment="1" applyProtection="1">
      <alignment vertical="center"/>
    </xf>
    <xf numFmtId="171" fontId="252" fillId="0" borderId="0" xfId="0" applyNumberFormat="1" applyFont="1" applyFill="1" applyBorder="1" applyAlignment="1" applyProtection="1">
      <alignment vertical="center"/>
    </xf>
    <xf numFmtId="0" fontId="250" fillId="0" borderId="0" xfId="0" applyFont="1" applyFill="1" applyBorder="1" applyAlignment="1" applyProtection="1">
      <alignment horizontal="left" vertical="center"/>
    </xf>
    <xf numFmtId="4" fontId="255" fillId="0" borderId="0" xfId="0" applyNumberFormat="1" applyFont="1" applyFill="1" applyBorder="1" applyAlignment="1" applyProtection="1">
      <alignment vertical="center"/>
    </xf>
    <xf numFmtId="0" fontId="96" fillId="0" borderId="0" xfId="0" applyFont="1" applyFill="1" applyBorder="1" applyAlignment="1" applyProtection="1">
      <alignment horizontal="center" vertical="top"/>
    </xf>
    <xf numFmtId="0" fontId="96" fillId="0" borderId="0" xfId="0" applyFont="1" applyFill="1" applyBorder="1" applyAlignment="1" applyProtection="1">
      <alignment horizontal="right"/>
    </xf>
    <xf numFmtId="4" fontId="103" fillId="0" borderId="0" xfId="0" applyNumberFormat="1" applyFont="1" applyFill="1" applyBorder="1" applyAlignment="1" applyProtection="1">
      <alignment horizontal="left"/>
    </xf>
    <xf numFmtId="10" fontId="103" fillId="0" borderId="0" xfId="0" applyNumberFormat="1" applyFont="1" applyFill="1" applyBorder="1" applyAlignment="1" applyProtection="1">
      <alignment horizontal="center"/>
    </xf>
    <xf numFmtId="0" fontId="253" fillId="0" borderId="0" xfId="0" applyFont="1" applyFill="1" applyBorder="1" applyAlignment="1" applyProtection="1">
      <alignment vertical="top"/>
    </xf>
    <xf numFmtId="164" fontId="103" fillId="0" borderId="0" xfId="1" applyNumberFormat="1" applyFont="1" applyFill="1" applyBorder="1" applyAlignment="1" applyProtection="1">
      <alignment horizontal="center"/>
    </xf>
    <xf numFmtId="3" fontId="103" fillId="0" borderId="0" xfId="0" applyNumberFormat="1" applyFont="1" applyFill="1" applyBorder="1" applyAlignment="1" applyProtection="1">
      <alignment horizontal="left" vertical="center"/>
    </xf>
    <xf numFmtId="0" fontId="252" fillId="0" borderId="0" xfId="0" applyFont="1" applyFill="1" applyBorder="1" applyAlignment="1" applyProtection="1">
      <alignment horizontal="center" vertical="center"/>
    </xf>
    <xf numFmtId="37" fontId="255" fillId="0" borderId="0" xfId="0" applyNumberFormat="1" applyFont="1" applyFill="1" applyBorder="1" applyAlignment="1" applyProtection="1">
      <alignment horizontal="center" vertical="center"/>
    </xf>
    <xf numFmtId="0" fontId="255" fillId="0" borderId="0" xfId="0" applyFont="1" applyFill="1" applyBorder="1" applyAlignment="1" applyProtection="1">
      <alignment horizontal="center" vertical="center"/>
      <protection locked="0"/>
    </xf>
    <xf numFmtId="164" fontId="103" fillId="0" borderId="0" xfId="1" applyNumberFormat="1" applyFont="1" applyFill="1" applyBorder="1" applyAlignment="1" applyProtection="1"/>
    <xf numFmtId="164" fontId="255" fillId="0" borderId="0" xfId="1" applyNumberFormat="1" applyFont="1" applyFill="1" applyBorder="1" applyAlignment="1" applyProtection="1">
      <alignment vertical="center"/>
    </xf>
    <xf numFmtId="164" fontId="96" fillId="0" borderId="0" xfId="1" applyNumberFormat="1" applyFont="1" applyFill="1" applyBorder="1" applyAlignment="1" applyProtection="1">
      <alignment horizontal="left" vertical="center"/>
    </xf>
    <xf numFmtId="164" fontId="96" fillId="0" borderId="0" xfId="1" applyNumberFormat="1" applyFont="1" applyFill="1" applyBorder="1" applyAlignment="1" applyProtection="1">
      <alignment vertical="top"/>
    </xf>
    <xf numFmtId="3" fontId="103" fillId="0" borderId="0" xfId="0" applyNumberFormat="1" applyFont="1" applyFill="1" applyBorder="1" applyAlignment="1" applyProtection="1">
      <alignment horizontal="right" vertical="center"/>
    </xf>
    <xf numFmtId="0" fontId="93" fillId="0" borderId="0" xfId="0" applyFont="1" applyFill="1" applyBorder="1" applyAlignment="1" applyProtection="1">
      <alignment vertical="top"/>
      <protection locked="0"/>
    </xf>
    <xf numFmtId="0" fontId="96" fillId="0" borderId="0" xfId="0" applyFont="1" applyFill="1" applyBorder="1" applyAlignment="1" applyProtection="1">
      <alignment horizontal="center" vertical="center"/>
    </xf>
    <xf numFmtId="0" fontId="94" fillId="0" borderId="0" xfId="0" applyFont="1" applyFill="1" applyBorder="1" applyAlignment="1"/>
    <xf numFmtId="9" fontId="96" fillId="0" borderId="0" xfId="0" applyNumberFormat="1" applyFont="1" applyFill="1" applyBorder="1" applyAlignment="1">
      <alignment horizontal="center"/>
    </xf>
    <xf numFmtId="0" fontId="96" fillId="0" borderId="0" xfId="0" applyFont="1" applyFill="1" applyBorder="1" applyAlignment="1">
      <alignment horizontal="center"/>
    </xf>
    <xf numFmtId="38" fontId="96" fillId="0" borderId="0" xfId="0" applyNumberFormat="1" applyFont="1" applyFill="1" applyBorder="1" applyAlignment="1">
      <alignment horizontal="center" vertical="center"/>
    </xf>
    <xf numFmtId="38" fontId="96" fillId="0" borderId="0" xfId="0" applyNumberFormat="1" applyFont="1" applyFill="1" applyBorder="1" applyAlignment="1">
      <alignment vertical="center"/>
    </xf>
    <xf numFmtId="37" fontId="103" fillId="0" borderId="0" xfId="1" applyNumberFormat="1" applyFont="1" applyFill="1" applyBorder="1" applyAlignment="1" applyProtection="1">
      <alignment horizontal="center" vertical="center"/>
      <protection locked="0"/>
    </xf>
    <xf numFmtId="0" fontId="93" fillId="0" borderId="0" xfId="0" applyFont="1" applyFill="1" applyBorder="1" applyAlignment="1" applyProtection="1">
      <alignment horizontal="center"/>
    </xf>
    <xf numFmtId="3" fontId="96" fillId="0" borderId="0" xfId="0" applyNumberFormat="1" applyFont="1" applyFill="1" applyBorder="1" applyAlignment="1" applyProtection="1">
      <alignment horizontal="center" vertical="center"/>
    </xf>
    <xf numFmtId="4" fontId="259" fillId="0" borderId="0" xfId="0" applyNumberFormat="1" applyFont="1" applyFill="1" applyBorder="1" applyAlignment="1" applyProtection="1">
      <alignment vertical="center"/>
    </xf>
    <xf numFmtId="3" fontId="243"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center"/>
    </xf>
    <xf numFmtId="164" fontId="96" fillId="0" borderId="0" xfId="1" applyNumberFormat="1" applyFont="1" applyFill="1" applyBorder="1" applyAlignment="1" applyProtection="1">
      <alignment vertical="center"/>
    </xf>
    <xf numFmtId="0" fontId="255" fillId="0" borderId="0" xfId="0" applyFont="1" applyFill="1" applyBorder="1" applyAlignment="1" applyProtection="1">
      <alignment horizontal="center" vertical="center"/>
    </xf>
    <xf numFmtId="38" fontId="103" fillId="0" borderId="0" xfId="0" applyNumberFormat="1" applyFont="1" applyFill="1" applyBorder="1" applyAlignment="1" applyProtection="1">
      <alignment horizontal="right" vertical="center"/>
    </xf>
    <xf numFmtId="6" fontId="103" fillId="0" borderId="0" xfId="0" applyNumberFormat="1" applyFont="1" applyFill="1" applyBorder="1" applyAlignment="1" applyProtection="1">
      <alignment horizontal="center" vertical="center"/>
    </xf>
    <xf numFmtId="164" fontId="103" fillId="0" borderId="0" xfId="1" applyNumberFormat="1" applyFont="1" applyFill="1" applyBorder="1" applyAlignment="1" applyProtection="1">
      <alignment horizontal="left" vertical="center"/>
    </xf>
    <xf numFmtId="0" fontId="249" fillId="0" borderId="0" xfId="0" applyFont="1" applyFill="1" applyBorder="1" applyAlignment="1" applyProtection="1">
      <alignment horizontal="left" vertical="center"/>
    </xf>
    <xf numFmtId="3" fontId="96" fillId="0" borderId="0" xfId="0" applyNumberFormat="1" applyFont="1" applyFill="1" applyBorder="1" applyAlignment="1" applyProtection="1">
      <alignment horizontal="left" vertical="center"/>
    </xf>
    <xf numFmtId="4" fontId="103" fillId="0" borderId="0" xfId="1" applyNumberFormat="1" applyFont="1" applyFill="1" applyBorder="1" applyAlignment="1" applyProtection="1">
      <alignment vertical="center"/>
    </xf>
    <xf numFmtId="4" fontId="103" fillId="0" borderId="0" xfId="1" applyNumberFormat="1" applyFont="1" applyFill="1" applyBorder="1" applyAlignment="1" applyProtection="1">
      <alignment horizontal="center" vertical="center"/>
    </xf>
    <xf numFmtId="0" fontId="249" fillId="0" borderId="0" xfId="0" applyFont="1" applyFill="1" applyBorder="1" applyAlignment="1" applyProtection="1">
      <alignment horizontal="left" vertical="top"/>
    </xf>
    <xf numFmtId="0" fontId="253" fillId="0" borderId="0" xfId="0" applyFont="1" applyFill="1" applyBorder="1" applyAlignment="1" applyProtection="1">
      <alignment horizontal="right" vertical="center"/>
    </xf>
    <xf numFmtId="0" fontId="259" fillId="0" borderId="0" xfId="0" applyFont="1" applyFill="1" applyBorder="1" applyAlignment="1" applyProtection="1">
      <alignment vertical="center"/>
    </xf>
    <xf numFmtId="10" fontId="103" fillId="0" borderId="0" xfId="0" applyNumberFormat="1" applyFont="1" applyFill="1" applyBorder="1" applyAlignment="1" applyProtection="1">
      <alignment vertical="center"/>
      <protection locked="0"/>
    </xf>
    <xf numFmtId="10" fontId="103" fillId="0" borderId="0" xfId="0" applyNumberFormat="1" applyFont="1" applyFill="1" applyBorder="1" applyAlignment="1" applyProtection="1">
      <alignment vertical="center"/>
    </xf>
    <xf numFmtId="0" fontId="96" fillId="0" borderId="0" xfId="0" applyFont="1" applyFill="1" applyBorder="1" applyAlignment="1" applyProtection="1">
      <alignment vertical="center"/>
      <protection locked="0"/>
    </xf>
    <xf numFmtId="0" fontId="103" fillId="0" borderId="0" xfId="0" quotePrefix="1" applyFont="1" applyFill="1" applyBorder="1" applyAlignment="1" applyProtection="1">
      <alignment horizontal="right" vertical="center"/>
    </xf>
    <xf numFmtId="0" fontId="259" fillId="0" borderId="0" xfId="0" applyFont="1" applyFill="1" applyBorder="1" applyAlignment="1" applyProtection="1">
      <alignment horizontal="left" vertical="center"/>
    </xf>
    <xf numFmtId="6" fontId="103" fillId="0" borderId="0" xfId="0" applyNumberFormat="1" applyFont="1" applyFill="1" applyBorder="1" applyAlignment="1">
      <alignment horizontal="center" vertical="center"/>
    </xf>
    <xf numFmtId="0" fontId="259" fillId="0" borderId="0" xfId="0" applyFont="1" applyFill="1" applyBorder="1" applyAlignment="1">
      <alignment horizontal="left" vertical="center"/>
    </xf>
    <xf numFmtId="3" fontId="103" fillId="0" borderId="0" xfId="1" applyNumberFormat="1" applyFont="1" applyFill="1" applyBorder="1" applyAlignment="1">
      <alignment vertical="center"/>
    </xf>
    <xf numFmtId="4" fontId="103" fillId="0" borderId="0" xfId="0" applyNumberFormat="1" applyFont="1" applyFill="1" applyBorder="1" applyAlignment="1">
      <alignment horizontal="right" vertical="center"/>
    </xf>
    <xf numFmtId="0" fontId="249" fillId="0" borderId="0" xfId="0" applyFont="1" applyFill="1" applyBorder="1" applyAlignment="1">
      <alignment vertical="center"/>
    </xf>
    <xf numFmtId="0" fontId="243" fillId="0" borderId="0" xfId="0" applyFont="1" applyFill="1" applyBorder="1" applyAlignment="1">
      <alignment horizontal="left" vertical="center"/>
    </xf>
    <xf numFmtId="3" fontId="103" fillId="0" borderId="0" xfId="1" applyNumberFormat="1" applyFont="1" applyFill="1" applyBorder="1" applyAlignment="1">
      <alignment horizontal="center" vertical="center"/>
    </xf>
    <xf numFmtId="38" fontId="243" fillId="0" borderId="0" xfId="0" applyNumberFormat="1" applyFont="1" applyFill="1" applyBorder="1" applyAlignment="1" applyProtection="1">
      <alignment vertical="center"/>
    </xf>
    <xf numFmtId="164" fontId="243" fillId="0" borderId="0" xfId="1" applyNumberFormat="1" applyFont="1" applyFill="1" applyBorder="1" applyAlignment="1" applyProtection="1">
      <alignment horizontal="center" vertical="center"/>
      <protection locked="0"/>
    </xf>
    <xf numFmtId="168" fontId="103" fillId="0" borderId="0" xfId="0" applyNumberFormat="1" applyFont="1" applyFill="1" applyBorder="1" applyAlignment="1" applyProtection="1">
      <alignment vertical="center"/>
    </xf>
    <xf numFmtId="170" fontId="103" fillId="0" borderId="0" xfId="0" applyNumberFormat="1" applyFont="1" applyFill="1" applyBorder="1" applyAlignment="1" applyProtection="1">
      <alignment vertical="center"/>
      <protection locked="0"/>
    </xf>
    <xf numFmtId="0" fontId="96" fillId="0" borderId="0" xfId="0" applyFont="1" applyFill="1" applyBorder="1" applyAlignment="1">
      <alignment vertical="center"/>
    </xf>
    <xf numFmtId="0" fontId="96" fillId="0" borderId="0" xfId="0" applyNumberFormat="1" applyFont="1" applyFill="1" applyBorder="1" applyAlignment="1" applyProtection="1">
      <alignment vertical="center"/>
    </xf>
    <xf numFmtId="0" fontId="131" fillId="0" borderId="0" xfId="13" applyFont="1" applyFill="1" applyBorder="1" applyAlignment="1" applyProtection="1">
      <alignment vertical="center"/>
    </xf>
    <xf numFmtId="0" fontId="93" fillId="0" borderId="0" xfId="13" applyFont="1" applyFill="1" applyBorder="1" applyAlignment="1" applyProtection="1">
      <alignment vertical="center"/>
    </xf>
    <xf numFmtId="0" fontId="93" fillId="0" borderId="0" xfId="13" applyFont="1" applyFill="1" applyBorder="1" applyAlignment="1"/>
    <xf numFmtId="0" fontId="257" fillId="0" borderId="0" xfId="13" applyFont="1" applyFill="1" applyBorder="1" applyAlignment="1">
      <alignment vertical="top"/>
    </xf>
    <xf numFmtId="0" fontId="93" fillId="0" borderId="0" xfId="13" applyFont="1" applyFill="1" applyBorder="1" applyAlignment="1" applyProtection="1">
      <alignment vertical="top"/>
    </xf>
    <xf numFmtId="0" fontId="261" fillId="0" borderId="0" xfId="13" applyFont="1" applyFill="1" applyBorder="1" applyAlignment="1" applyProtection="1">
      <alignment horizontal="center" vertical="center"/>
    </xf>
    <xf numFmtId="0" fontId="96" fillId="0" borderId="0" xfId="13" applyFont="1" applyFill="1" applyBorder="1" applyAlignment="1" applyProtection="1">
      <alignment horizontal="center" vertical="center"/>
    </xf>
    <xf numFmtId="0" fontId="96" fillId="0" borderId="0" xfId="13" applyFont="1" applyFill="1" applyBorder="1" applyAlignment="1"/>
    <xf numFmtId="0" fontId="96" fillId="0" borderId="0" xfId="13" applyFont="1" applyFill="1" applyBorder="1" applyAlignment="1" applyProtection="1">
      <alignment vertical="center"/>
    </xf>
    <xf numFmtId="0" fontId="243" fillId="0" borderId="0" xfId="1" applyNumberFormat="1" applyFont="1" applyFill="1" applyBorder="1" applyAlignment="1" applyProtection="1">
      <alignment vertical="top"/>
    </xf>
    <xf numFmtId="0" fontId="96" fillId="0" borderId="0" xfId="1" applyNumberFormat="1" applyFont="1" applyFill="1" applyBorder="1" applyAlignment="1" applyProtection="1">
      <alignment vertical="top"/>
      <protection locked="0"/>
    </xf>
    <xf numFmtId="0" fontId="252" fillId="0" borderId="0" xfId="13" applyFont="1" applyFill="1" applyBorder="1" applyAlignment="1" applyProtection="1">
      <alignment horizontal="right" vertical="center"/>
    </xf>
    <xf numFmtId="164" fontId="96" fillId="0" borderId="0" xfId="1" applyNumberFormat="1" applyFont="1" applyFill="1" applyBorder="1" applyAlignment="1" applyProtection="1">
      <alignment horizontal="right" vertical="center"/>
    </xf>
    <xf numFmtId="0" fontId="96" fillId="0" borderId="0" xfId="13" applyFont="1" applyFill="1" applyBorder="1" applyAlignment="1" applyProtection="1">
      <alignment horizontal="left" vertical="center"/>
    </xf>
    <xf numFmtId="6" fontId="96" fillId="0" borderId="0" xfId="13" applyNumberFormat="1" applyFont="1" applyFill="1" applyBorder="1" applyAlignment="1" applyProtection="1">
      <alignment horizontal="center" vertical="center"/>
    </xf>
    <xf numFmtId="0" fontId="96" fillId="0" borderId="0" xfId="13" applyFont="1" applyFill="1" applyBorder="1" applyAlignment="1" applyProtection="1">
      <alignment horizontal="right" vertical="center"/>
    </xf>
    <xf numFmtId="0" fontId="96" fillId="0" borderId="0" xfId="13" applyFont="1" applyFill="1" applyBorder="1" applyAlignment="1" applyProtection="1">
      <alignment vertical="center"/>
      <protection locked="0"/>
    </xf>
    <xf numFmtId="164" fontId="96" fillId="0" borderId="0" xfId="1" applyNumberFormat="1" applyFont="1" applyFill="1" applyBorder="1" applyAlignment="1" applyProtection="1">
      <alignment horizontal="right" vertical="center"/>
      <protection locked="0"/>
    </xf>
    <xf numFmtId="49" fontId="93" fillId="0" borderId="0" xfId="0" applyNumberFormat="1" applyFont="1" applyFill="1" applyBorder="1" applyAlignment="1" applyProtection="1"/>
    <xf numFmtId="0" fontId="93" fillId="0" borderId="0" xfId="0" applyFont="1" applyFill="1" applyBorder="1" applyAlignment="1" applyProtection="1">
      <alignment horizontal="left" vertical="center"/>
    </xf>
    <xf numFmtId="0" fontId="262" fillId="0" borderId="0" xfId="0" applyFont="1" applyFill="1" applyBorder="1" applyAlignment="1" applyProtection="1"/>
    <xf numFmtId="174" fontId="93" fillId="0" borderId="0" xfId="0" applyNumberFormat="1" applyFont="1" applyFill="1" applyBorder="1" applyAlignment="1" applyProtection="1">
      <alignment vertical="center"/>
      <protection locked="0"/>
    </xf>
    <xf numFmtId="0" fontId="93" fillId="0" borderId="0" xfId="0" applyFont="1" applyFill="1" applyBorder="1" applyAlignment="1" applyProtection="1">
      <alignment horizontal="center" vertical="center"/>
    </xf>
    <xf numFmtId="0" fontId="93" fillId="0" borderId="0" xfId="0" applyNumberFormat="1" applyFont="1" applyFill="1" applyBorder="1" applyAlignment="1" applyProtection="1">
      <alignment horizontal="center" vertical="center"/>
      <protection locked="0"/>
    </xf>
    <xf numFmtId="0" fontId="93" fillId="0" borderId="0" xfId="0" applyFont="1" applyFill="1" applyBorder="1" applyAlignment="1" applyProtection="1">
      <alignment horizontal="center" vertical="center"/>
      <protection locked="0"/>
    </xf>
    <xf numFmtId="0" fontId="94" fillId="0" borderId="0" xfId="0" applyFont="1" applyFill="1" applyBorder="1" applyAlignment="1" applyProtection="1">
      <alignment vertical="center"/>
      <protection locked="0"/>
    </xf>
    <xf numFmtId="0" fontId="94" fillId="0" borderId="0" xfId="0" applyFont="1" applyFill="1" applyBorder="1" applyAlignment="1" applyProtection="1"/>
    <xf numFmtId="0" fontId="93" fillId="0" borderId="0" xfId="0" applyFont="1" applyFill="1" applyBorder="1" applyAlignment="1">
      <alignment vertical="center"/>
    </xf>
    <xf numFmtId="0" fontId="97" fillId="0" borderId="0" xfId="0" applyFont="1" applyFill="1" applyBorder="1" applyAlignment="1" applyProtection="1"/>
    <xf numFmtId="0" fontId="97" fillId="0" borderId="0" xfId="0" applyFont="1" applyFill="1" applyBorder="1" applyAlignment="1" applyProtection="1">
      <alignment horizontal="left" vertical="center"/>
    </xf>
    <xf numFmtId="3" fontId="96" fillId="0" borderId="0" xfId="0" applyNumberFormat="1" applyFont="1" applyFill="1" applyBorder="1" applyAlignment="1" applyProtection="1">
      <alignment vertical="top"/>
    </xf>
    <xf numFmtId="0" fontId="97" fillId="0" borderId="0" xfId="0" applyFont="1" applyFill="1" applyBorder="1" applyAlignment="1" applyProtection="1">
      <alignment horizontal="center" vertical="center"/>
    </xf>
    <xf numFmtId="0" fontId="97" fillId="0" borderId="0" xfId="0" applyFont="1" applyFill="1" applyBorder="1" applyAlignment="1" applyProtection="1">
      <alignment textRotation="90"/>
    </xf>
    <xf numFmtId="0" fontId="96" fillId="0" borderId="0" xfId="24" applyFont="1" applyFill="1" applyBorder="1" applyAlignment="1">
      <alignment vertical="top"/>
    </xf>
    <xf numFmtId="49" fontId="93" fillId="0" borderId="0" xfId="0" quotePrefix="1" applyNumberFormat="1" applyFont="1" applyFill="1" applyBorder="1" applyAlignment="1" applyProtection="1">
      <alignment vertical="center"/>
    </xf>
    <xf numFmtId="0" fontId="94" fillId="0" borderId="0" xfId="0"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protection locked="0"/>
    </xf>
    <xf numFmtId="0" fontId="93" fillId="0" borderId="0" xfId="0" applyFont="1" applyFill="1" applyBorder="1" applyAlignment="1" applyProtection="1">
      <alignment horizontal="left"/>
    </xf>
    <xf numFmtId="3" fontId="94" fillId="0" borderId="0" xfId="0" applyNumberFormat="1" applyFont="1" applyFill="1" applyBorder="1" applyAlignment="1" applyProtection="1">
      <alignment vertical="top"/>
    </xf>
    <xf numFmtId="175" fontId="97" fillId="0" borderId="0" xfId="0" applyNumberFormat="1" applyFont="1" applyFill="1" applyBorder="1" applyAlignment="1" applyProtection="1">
      <alignment horizontal="center" vertical="center"/>
      <protection locked="0"/>
    </xf>
    <xf numFmtId="3" fontId="94" fillId="0" borderId="0" xfId="0" applyNumberFormat="1" applyFont="1" applyFill="1" applyBorder="1" applyAlignment="1" applyProtection="1">
      <alignment horizontal="right" vertical="top"/>
    </xf>
    <xf numFmtId="0" fontId="264" fillId="0" borderId="0" xfId="0" applyFont="1" applyFill="1" applyBorder="1" applyAlignment="1" applyProtection="1">
      <alignment vertical="center"/>
    </xf>
    <xf numFmtId="0" fontId="266" fillId="0" borderId="0" xfId="0" applyFont="1" applyFill="1" applyBorder="1" applyAlignment="1" applyProtection="1">
      <alignment horizontal="center" vertical="center"/>
    </xf>
    <xf numFmtId="0" fontId="259" fillId="0" borderId="0" xfId="0" applyFont="1" applyFill="1" applyBorder="1" applyAlignment="1" applyProtection="1">
      <alignment horizontal="center" vertical="center"/>
    </xf>
    <xf numFmtId="3" fontId="97" fillId="0" borderId="0" xfId="10" applyNumberFormat="1" applyFont="1" applyFill="1" applyBorder="1" applyAlignment="1" applyProtection="1">
      <alignment horizontal="center" vertical="center"/>
      <protection locked="0"/>
    </xf>
    <xf numFmtId="1" fontId="97" fillId="0" borderId="0" xfId="1" applyNumberFormat="1" applyFont="1" applyFill="1" applyBorder="1" applyAlignment="1" applyProtection="1">
      <alignment horizontal="center" vertical="center"/>
      <protection locked="0"/>
    </xf>
    <xf numFmtId="39" fontId="97" fillId="0" borderId="0" xfId="1" applyNumberFormat="1" applyFont="1" applyFill="1" applyBorder="1" applyAlignment="1" applyProtection="1">
      <alignment horizontal="center" vertical="center"/>
      <protection locked="0"/>
    </xf>
    <xf numFmtId="3" fontId="97" fillId="0" borderId="0" xfId="1" applyNumberFormat="1" applyFont="1" applyFill="1" applyBorder="1" applyAlignment="1" applyProtection="1">
      <alignment horizontal="center" vertical="center"/>
      <protection locked="0"/>
    </xf>
    <xf numFmtId="3" fontId="243" fillId="0" borderId="0" xfId="1" applyNumberFormat="1" applyFont="1" applyFill="1" applyBorder="1" applyAlignment="1" applyProtection="1">
      <alignment horizontal="center" vertical="center"/>
      <protection locked="0"/>
    </xf>
    <xf numFmtId="38" fontId="97"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center" vertical="center"/>
      <protection locked="0"/>
    </xf>
    <xf numFmtId="0" fontId="97" fillId="0" borderId="0" xfId="0" applyFont="1" applyFill="1" applyBorder="1" applyAlignment="1" applyProtection="1">
      <alignment horizontal="center" vertical="center"/>
      <protection locked="0"/>
    </xf>
    <xf numFmtId="3" fontId="97" fillId="0" borderId="0" xfId="0" applyNumberFormat="1" applyFont="1" applyFill="1" applyBorder="1" applyAlignment="1" applyProtection="1">
      <alignment horizontal="center" vertical="center"/>
      <protection locked="0"/>
    </xf>
    <xf numFmtId="10" fontId="97" fillId="0" borderId="0" xfId="0" applyNumberFormat="1" applyFont="1" applyFill="1" applyBorder="1" applyAlignment="1" applyProtection="1">
      <alignment horizontal="center" vertical="center"/>
      <protection locked="0"/>
    </xf>
    <xf numFmtId="3" fontId="93" fillId="0" borderId="0" xfId="0" applyNumberFormat="1" applyFont="1" applyFill="1" applyBorder="1" applyAlignment="1" applyProtection="1">
      <alignment horizontal="center"/>
    </xf>
    <xf numFmtId="0" fontId="97" fillId="0" borderId="0" xfId="0" applyFont="1" applyFill="1" applyBorder="1" applyAlignment="1" applyProtection="1">
      <alignment horizontal="right" vertical="center"/>
    </xf>
    <xf numFmtId="37" fontId="97" fillId="0" borderId="0" xfId="1" applyNumberFormat="1" applyFont="1" applyFill="1" applyBorder="1" applyAlignment="1" applyProtection="1">
      <alignment horizontal="center" vertical="center"/>
    </xf>
    <xf numFmtId="37" fontId="94" fillId="0" borderId="0" xfId="1"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center"/>
    </xf>
    <xf numFmtId="0" fontId="94" fillId="0" borderId="0" xfId="0" applyFont="1" applyFill="1" applyBorder="1" applyAlignment="1">
      <alignment horizontal="center" vertical="center"/>
    </xf>
    <xf numFmtId="164" fontId="94" fillId="0" borderId="0" xfId="1" applyNumberFormat="1" applyFont="1" applyFill="1" applyBorder="1" applyAlignment="1" applyProtection="1">
      <alignment horizontal="center" vertical="center"/>
    </xf>
    <xf numFmtId="164" fontId="97" fillId="0" borderId="0" xfId="1" applyNumberFormat="1" applyFont="1" applyFill="1" applyBorder="1" applyAlignment="1" applyProtection="1">
      <alignment horizontal="center" vertical="center"/>
    </xf>
    <xf numFmtId="2" fontId="97" fillId="0" borderId="0" xfId="0" applyNumberFormat="1" applyFont="1" applyFill="1" applyBorder="1" applyAlignment="1" applyProtection="1">
      <alignment vertical="top"/>
    </xf>
    <xf numFmtId="38" fontId="93" fillId="0" borderId="0" xfId="0" applyNumberFormat="1" applyFont="1" applyFill="1" applyBorder="1" applyAlignment="1" applyProtection="1">
      <alignment vertical="center"/>
    </xf>
    <xf numFmtId="0" fontId="93" fillId="0" borderId="0" xfId="0" applyNumberFormat="1" applyFont="1" applyFill="1" applyBorder="1" applyAlignment="1" applyProtection="1">
      <alignment horizontal="center" vertical="center"/>
    </xf>
    <xf numFmtId="0" fontId="257" fillId="0" borderId="0" xfId="0" applyFont="1" applyFill="1" applyBorder="1" applyAlignment="1" applyProtection="1">
      <alignment horizontal="right"/>
    </xf>
    <xf numFmtId="38" fontId="93" fillId="0" borderId="0" xfId="1" applyNumberFormat="1" applyFont="1" applyFill="1" applyBorder="1" applyAlignment="1" applyProtection="1">
      <alignment horizontal="right" vertical="center"/>
    </xf>
    <xf numFmtId="0" fontId="267" fillId="0" borderId="0" xfId="0" applyFont="1" applyFill="1" applyBorder="1" applyAlignment="1" applyProtection="1">
      <alignment vertical="center"/>
    </xf>
    <xf numFmtId="0" fontId="267" fillId="0" borderId="0" xfId="0" applyFont="1" applyFill="1" applyBorder="1" applyAlignment="1" applyProtection="1"/>
    <xf numFmtId="0" fontId="262" fillId="0" borderId="0" xfId="0" applyFont="1" applyFill="1" applyBorder="1" applyAlignment="1" applyProtection="1">
      <alignment vertical="center"/>
    </xf>
    <xf numFmtId="0" fontId="268" fillId="0" borderId="0" xfId="0" applyFont="1" applyFill="1" applyBorder="1" applyAlignment="1" applyProtection="1">
      <alignment vertical="center"/>
    </xf>
    <xf numFmtId="38" fontId="267"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vertical="top"/>
    </xf>
    <xf numFmtId="0" fontId="97" fillId="0" borderId="0" xfId="0" applyFont="1" applyFill="1" applyBorder="1" applyAlignment="1">
      <alignment vertical="center"/>
    </xf>
    <xf numFmtId="0" fontId="94" fillId="0" borderId="0" xfId="0" applyFont="1" applyFill="1" applyBorder="1" applyAlignment="1">
      <alignment vertical="center"/>
    </xf>
    <xf numFmtId="0" fontId="265" fillId="0" borderId="0" xfId="0" applyFont="1" applyFill="1" applyBorder="1" applyAlignment="1" applyProtection="1">
      <alignment vertical="center"/>
    </xf>
    <xf numFmtId="10" fontId="93" fillId="0" borderId="0" xfId="0" applyNumberFormat="1" applyFont="1" applyFill="1" applyBorder="1" applyAlignment="1">
      <alignment horizontal="center" vertical="center"/>
    </xf>
    <xf numFmtId="3" fontId="93" fillId="0" borderId="0" xfId="0" applyNumberFormat="1" applyFont="1" applyFill="1" applyBorder="1" applyAlignment="1">
      <alignment horizontal="center" vertical="center"/>
    </xf>
    <xf numFmtId="0" fontId="94" fillId="0" borderId="0" xfId="0"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xf>
    <xf numFmtId="38" fontId="93" fillId="0" borderId="0" xfId="0" applyNumberFormat="1" applyFont="1" applyFill="1" applyBorder="1" applyAlignment="1" applyProtection="1"/>
    <xf numFmtId="38" fontId="93" fillId="0" borderId="0" xfId="1" applyNumberFormat="1" applyFont="1" applyFill="1" applyBorder="1" applyAlignment="1" applyProtection="1">
      <alignment horizontal="right" vertical="center"/>
      <protection locked="0"/>
    </xf>
    <xf numFmtId="0" fontId="97" fillId="0" borderId="0" xfId="0" applyFont="1" applyFill="1" applyBorder="1" applyAlignment="1" applyProtection="1">
      <alignment horizontal="left"/>
    </xf>
    <xf numFmtId="0" fontId="262" fillId="0" borderId="0" xfId="0" applyFont="1" applyFill="1" applyBorder="1" applyAlignment="1" applyProtection="1">
      <alignment horizontal="left" vertical="center"/>
    </xf>
    <xf numFmtId="0" fontId="268" fillId="0" borderId="0" xfId="0" applyFont="1" applyFill="1" applyBorder="1" applyAlignment="1" applyProtection="1">
      <alignment horizontal="left" vertical="center"/>
    </xf>
    <xf numFmtId="38" fontId="93" fillId="0" borderId="0" xfId="1" applyNumberFormat="1" applyFont="1" applyFill="1" applyBorder="1" applyAlignment="1" applyProtection="1">
      <alignment vertical="center"/>
    </xf>
    <xf numFmtId="3" fontId="93" fillId="0" borderId="0" xfId="0" applyNumberFormat="1" applyFont="1" applyFill="1" applyBorder="1" applyAlignment="1" applyProtection="1">
      <alignment horizontal="center" vertical="center"/>
    </xf>
    <xf numFmtId="38" fontId="267" fillId="0" borderId="0" xfId="1" applyNumberFormat="1" applyFont="1" applyFill="1" applyBorder="1" applyAlignment="1" applyProtection="1">
      <alignment vertical="center"/>
    </xf>
    <xf numFmtId="3" fontId="93"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center" vertical="center"/>
    </xf>
    <xf numFmtId="164" fontId="97" fillId="0" borderId="0" xfId="0" applyNumberFormat="1" applyFont="1" applyFill="1" applyBorder="1" applyAlignment="1" applyProtection="1">
      <alignment vertical="center"/>
      <protection locked="0"/>
    </xf>
    <xf numFmtId="10" fontId="97" fillId="0" borderId="0" xfId="0" applyNumberFormat="1" applyFont="1" applyFill="1" applyBorder="1" applyAlignment="1" applyProtection="1">
      <alignment vertical="center"/>
    </xf>
    <xf numFmtId="9" fontId="97" fillId="0" borderId="0" xfId="10" applyFont="1" applyFill="1" applyBorder="1" applyAlignment="1" applyProtection="1"/>
    <xf numFmtId="0" fontId="97" fillId="0" borderId="0" xfId="1" applyNumberFormat="1" applyFont="1" applyFill="1" applyBorder="1" applyAlignment="1" applyProtection="1">
      <alignment horizontal="center"/>
    </xf>
    <xf numFmtId="0" fontId="257" fillId="0" borderId="0" xfId="1" applyNumberFormat="1" applyFont="1" applyFill="1" applyBorder="1" applyAlignment="1" applyProtection="1">
      <alignment horizontal="center"/>
    </xf>
    <xf numFmtId="3" fontId="97" fillId="0" borderId="0" xfId="0" applyNumberFormat="1" applyFont="1" applyFill="1" applyBorder="1" applyAlignment="1" applyProtection="1">
      <alignment vertical="center"/>
      <protection locked="0"/>
    </xf>
    <xf numFmtId="3" fontId="93" fillId="0" borderId="0" xfId="0" applyNumberFormat="1" applyFont="1" applyFill="1" applyBorder="1" applyAlignment="1" applyProtection="1">
      <alignment vertical="center"/>
      <protection locked="0"/>
    </xf>
    <xf numFmtId="0" fontId="97" fillId="0" borderId="0" xfId="0" applyFont="1" applyFill="1" applyBorder="1" applyAlignment="1" applyProtection="1">
      <alignment vertical="center"/>
      <protection locked="0"/>
    </xf>
    <xf numFmtId="164" fontId="97" fillId="0" borderId="0" xfId="1" applyNumberFormat="1" applyFont="1" applyFill="1" applyBorder="1" applyAlignment="1" applyProtection="1">
      <alignment vertical="center"/>
    </xf>
    <xf numFmtId="44" fontId="97" fillId="0" borderId="0" xfId="0" applyNumberFormat="1" applyFont="1" applyFill="1" applyBorder="1" applyAlignment="1" applyProtection="1"/>
    <xf numFmtId="44" fontId="93" fillId="0" borderId="0" xfId="0" applyNumberFormat="1" applyFont="1" applyFill="1" applyBorder="1" applyAlignment="1" applyProtection="1"/>
    <xf numFmtId="0" fontId="93" fillId="0" borderId="0" xfId="0" applyFont="1" applyFill="1" applyBorder="1" applyAlignment="1" applyProtection="1">
      <alignment horizontal="right" vertical="center"/>
    </xf>
    <xf numFmtId="3" fontId="93" fillId="0" borderId="0" xfId="1" applyNumberFormat="1" applyFont="1" applyFill="1" applyBorder="1" applyAlignment="1" applyProtection="1">
      <alignment vertical="center"/>
    </xf>
    <xf numFmtId="38" fontId="93" fillId="0" borderId="0" xfId="1" applyNumberFormat="1" applyFont="1" applyFill="1" applyBorder="1" applyAlignment="1" applyProtection="1">
      <alignment vertical="center"/>
      <protection locked="0"/>
    </xf>
    <xf numFmtId="4" fontId="97" fillId="0" borderId="0" xfId="1" applyNumberFormat="1" applyFont="1" applyFill="1" applyBorder="1" applyAlignment="1" applyProtection="1">
      <alignment horizontal="center" vertical="center"/>
    </xf>
    <xf numFmtId="0" fontId="267" fillId="0" borderId="0" xfId="0" applyFont="1" applyFill="1" applyBorder="1" applyAlignment="1" applyProtection="1">
      <alignment horizontal="right" vertical="center"/>
    </xf>
    <xf numFmtId="38" fontId="93" fillId="0" borderId="0" xfId="0" applyNumberFormat="1" applyFont="1" applyFill="1" applyBorder="1" applyAlignment="1" applyProtection="1">
      <alignment horizontal="center" vertical="center"/>
    </xf>
    <xf numFmtId="38" fontId="94" fillId="0" borderId="0" xfId="0" applyNumberFormat="1" applyFont="1" applyFill="1" applyBorder="1" applyAlignment="1" applyProtection="1">
      <alignment vertical="center"/>
      <protection locked="0"/>
    </xf>
    <xf numFmtId="3" fontId="93" fillId="0" borderId="0" xfId="1" applyNumberFormat="1" applyFont="1" applyFill="1" applyBorder="1" applyAlignment="1" applyProtection="1">
      <alignment horizontal="right" vertical="center"/>
      <protection locked="0"/>
    </xf>
    <xf numFmtId="3" fontId="97" fillId="0" borderId="0" xfId="1" applyNumberFormat="1" applyFont="1" applyFill="1" applyBorder="1" applyAlignment="1" applyProtection="1">
      <alignment horizontal="right" vertical="center"/>
    </xf>
    <xf numFmtId="1" fontId="270" fillId="0" borderId="0" xfId="0" applyNumberFormat="1" applyFont="1" applyFill="1" applyBorder="1" applyAlignment="1" applyProtection="1"/>
    <xf numFmtId="0" fontId="251" fillId="0" borderId="0" xfId="0" applyFont="1" applyFill="1" applyBorder="1" applyAlignment="1" applyProtection="1"/>
    <xf numFmtId="0" fontId="251" fillId="0" borderId="0" xfId="0" applyFont="1" applyFill="1" applyBorder="1" applyAlignment="1" applyProtection="1">
      <alignment horizontal="center"/>
    </xf>
    <xf numFmtId="3" fontId="94" fillId="0" borderId="0" xfId="0" applyNumberFormat="1" applyFont="1" applyFill="1" applyBorder="1" applyAlignment="1" applyProtection="1">
      <alignment horizontal="center" vertical="center"/>
    </xf>
    <xf numFmtId="3" fontId="97" fillId="0" borderId="0" xfId="0" applyNumberFormat="1" applyFont="1" applyFill="1" applyBorder="1" applyAlignment="1" applyProtection="1">
      <alignment horizontal="center" vertical="center"/>
    </xf>
    <xf numFmtId="38" fontId="93" fillId="0" borderId="0" xfId="1" applyNumberFormat="1" applyFont="1" applyFill="1" applyBorder="1" applyAlignment="1" applyProtection="1">
      <alignment horizontal="left" vertical="center"/>
    </xf>
    <xf numFmtId="0" fontId="97"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xf>
    <xf numFmtId="164" fontId="93" fillId="0" borderId="0" xfId="1" applyNumberFormat="1" applyFont="1" applyFill="1" applyBorder="1" applyAlignment="1" applyProtection="1">
      <alignment horizontal="right"/>
      <protection locked="0"/>
    </xf>
    <xf numFmtId="10" fontId="93" fillId="0" borderId="0" xfId="0" applyNumberFormat="1" applyFont="1" applyFill="1" applyBorder="1" applyAlignment="1" applyProtection="1">
      <alignment horizontal="center"/>
    </xf>
    <xf numFmtId="3" fontId="93" fillId="0" borderId="0" xfId="0" applyNumberFormat="1" applyFont="1" applyFill="1" applyBorder="1" applyAlignment="1" applyProtection="1">
      <alignment horizontal="right"/>
    </xf>
    <xf numFmtId="0" fontId="93" fillId="0" borderId="0" xfId="0" applyFont="1" applyFill="1" applyBorder="1" applyAlignment="1" applyProtection="1">
      <alignment horizontal="right"/>
    </xf>
    <xf numFmtId="10" fontId="93" fillId="0" borderId="0" xfId="0" applyNumberFormat="1" applyFont="1" applyFill="1" applyBorder="1" applyAlignment="1" applyProtection="1">
      <alignment horizontal="left"/>
      <protection locked="0"/>
    </xf>
    <xf numFmtId="0" fontId="93" fillId="0" borderId="0" xfId="0" applyNumberFormat="1" applyFont="1" applyFill="1" applyBorder="1" applyAlignment="1" applyProtection="1">
      <alignment horizontal="right" vertical="center"/>
      <protection locked="0"/>
    </xf>
    <xf numFmtId="0" fontId="93" fillId="0" borderId="0" xfId="0" quotePrefix="1" applyFont="1" applyFill="1" applyBorder="1" applyAlignment="1" applyProtection="1">
      <alignment horizontal="left" vertical="center"/>
    </xf>
    <xf numFmtId="3" fontId="93" fillId="0" borderId="0" xfId="10" applyNumberFormat="1" applyFont="1" applyFill="1" applyBorder="1" applyAlignment="1" applyProtection="1">
      <alignment horizontal="right" vertical="center"/>
      <protection locked="0"/>
    </xf>
    <xf numFmtId="166" fontId="93" fillId="0" borderId="0" xfId="10" applyNumberFormat="1" applyFont="1" applyFill="1" applyBorder="1" applyAlignment="1" applyProtection="1">
      <alignment horizontal="right" vertical="center"/>
      <protection locked="0"/>
    </xf>
    <xf numFmtId="164" fontId="93" fillId="0" borderId="0" xfId="1" applyNumberFormat="1" applyFont="1" applyFill="1" applyBorder="1" applyAlignment="1" applyProtection="1"/>
    <xf numFmtId="164" fontId="93" fillId="0" borderId="0" xfId="1" applyNumberFormat="1" applyFont="1" applyFill="1" applyBorder="1" applyAlignment="1" applyProtection="1">
      <protection locked="0"/>
    </xf>
    <xf numFmtId="43" fontId="93" fillId="0" borderId="0" xfId="1" applyNumberFormat="1" applyFont="1" applyFill="1" applyBorder="1" applyAlignment="1" applyProtection="1"/>
    <xf numFmtId="0" fontId="93" fillId="0" borderId="0" xfId="0" applyNumberFormat="1" applyFont="1" applyFill="1" applyBorder="1" applyAlignment="1" applyProtection="1">
      <alignment vertical="center"/>
    </xf>
    <xf numFmtId="0" fontId="272" fillId="0" borderId="0" xfId="0" applyFont="1" applyFill="1" applyBorder="1" applyAlignment="1" applyProtection="1">
      <alignment vertical="center"/>
    </xf>
    <xf numFmtId="0" fontId="131" fillId="0" borderId="0" xfId="0" applyFont="1" applyFill="1" applyBorder="1" applyAlignment="1" applyProtection="1"/>
    <xf numFmtId="0" fontId="261" fillId="0" borderId="0" xfId="0" applyFont="1" applyFill="1" applyBorder="1" applyAlignment="1" applyProtection="1">
      <alignment vertical="center"/>
    </xf>
    <xf numFmtId="0" fontId="262" fillId="0" borderId="0" xfId="0" applyFont="1" applyFill="1" applyBorder="1" applyAlignment="1" applyProtection="1">
      <alignment horizontal="left" vertical="top"/>
    </xf>
    <xf numFmtId="0" fontId="131" fillId="0" borderId="0" xfId="0" applyFont="1" applyFill="1" applyBorder="1" applyAlignment="1" applyProtection="1">
      <alignment horizontal="center" vertical="center"/>
    </xf>
    <xf numFmtId="0" fontId="93" fillId="0" borderId="0" xfId="0" applyFont="1" applyFill="1" applyBorder="1" applyAlignment="1" applyProtection="1">
      <alignment horizontal="left" vertical="top"/>
    </xf>
    <xf numFmtId="0" fontId="94" fillId="0" borderId="0" xfId="0" applyFont="1" applyFill="1" applyBorder="1" applyAlignment="1" applyProtection="1">
      <alignment vertical="top"/>
    </xf>
    <xf numFmtId="0" fontId="94" fillId="0" borderId="0" xfId="0" applyFont="1" applyFill="1" applyBorder="1" applyAlignment="1" applyProtection="1">
      <alignment horizontal="right" vertical="top"/>
    </xf>
    <xf numFmtId="0" fontId="274" fillId="0" borderId="0" xfId="0" applyFont="1" applyFill="1" applyBorder="1" applyAlignment="1" applyProtection="1">
      <alignment vertical="center"/>
    </xf>
    <xf numFmtId="0" fontId="94" fillId="0" borderId="0" xfId="0" applyFont="1" applyFill="1" applyBorder="1" applyAlignment="1" applyProtection="1">
      <alignment vertical="top"/>
      <protection locked="0"/>
    </xf>
    <xf numFmtId="0" fontId="268" fillId="0" borderId="0" xfId="0" applyFont="1" applyFill="1" applyBorder="1" applyAlignment="1" applyProtection="1">
      <alignment vertical="top"/>
    </xf>
    <xf numFmtId="0" fontId="94" fillId="0" borderId="0" xfId="0" applyFont="1" applyFill="1" applyBorder="1" applyAlignment="1" applyProtection="1">
      <alignment horizontal="left" vertical="top"/>
    </xf>
    <xf numFmtId="0" fontId="259" fillId="0" borderId="0" xfId="0" applyFont="1" applyFill="1" applyBorder="1" applyAlignment="1" applyProtection="1">
      <alignment vertical="top"/>
    </xf>
    <xf numFmtId="0" fontId="94" fillId="0" borderId="0" xfId="0" applyFont="1" applyFill="1" applyBorder="1" applyAlignment="1" applyProtection="1">
      <alignment horizontal="center" vertical="center"/>
      <protection locked="0"/>
    </xf>
    <xf numFmtId="0" fontId="96" fillId="0" borderId="0" xfId="0" applyFont="1" applyFill="1" applyBorder="1" applyAlignment="1" applyProtection="1">
      <alignment horizontal="justify"/>
    </xf>
    <xf numFmtId="0" fontId="96" fillId="0" borderId="0" xfId="0" applyFont="1" applyFill="1" applyBorder="1" applyAlignment="1" applyProtection="1">
      <alignment horizontal="justify" vertical="center"/>
    </xf>
    <xf numFmtId="37" fontId="94" fillId="0" borderId="0" xfId="0" applyNumberFormat="1" applyFont="1" applyFill="1" applyBorder="1" applyAlignment="1" applyProtection="1">
      <alignment horizontal="center" vertical="center"/>
    </xf>
    <xf numFmtId="38" fontId="94" fillId="0" borderId="0" xfId="0" applyNumberFormat="1" applyFont="1" applyFill="1" applyBorder="1" applyAlignment="1" applyProtection="1">
      <alignment horizontal="right" vertical="center"/>
    </xf>
    <xf numFmtId="3" fontId="97" fillId="0" borderId="0" xfId="0" applyNumberFormat="1" applyFont="1" applyFill="1" applyBorder="1" applyAlignment="1" applyProtection="1">
      <alignment vertical="center"/>
    </xf>
    <xf numFmtId="0" fontId="275" fillId="0" borderId="0" xfId="0" applyFont="1" applyFill="1" applyBorder="1" applyAlignment="1" applyProtection="1">
      <alignment horizontal="right" vertical="top"/>
    </xf>
    <xf numFmtId="3" fontId="268" fillId="0" borderId="0" xfId="0" applyNumberFormat="1" applyFont="1" applyFill="1" applyBorder="1" applyAlignment="1" applyProtection="1">
      <alignment horizontal="center" vertical="top"/>
    </xf>
    <xf numFmtId="0" fontId="268" fillId="0" borderId="0" xfId="0" applyFont="1" applyFill="1" applyBorder="1" applyAlignment="1" applyProtection="1">
      <alignment horizontal="justify" vertical="top"/>
    </xf>
    <xf numFmtId="0" fontId="268" fillId="0" borderId="0" xfId="0" applyFont="1" applyFill="1" applyBorder="1" applyAlignment="1" applyProtection="1">
      <alignment horizontal="center" vertical="top"/>
    </xf>
    <xf numFmtId="3" fontId="252" fillId="0" borderId="0" xfId="0" applyNumberFormat="1" applyFont="1" applyFill="1" applyBorder="1" applyAlignment="1" applyProtection="1">
      <alignment horizontal="center" vertical="top"/>
    </xf>
    <xf numFmtId="0" fontId="267" fillId="0" borderId="0" xfId="0" applyFont="1" applyFill="1" applyBorder="1" applyAlignment="1" applyProtection="1">
      <alignment vertical="top"/>
    </xf>
    <xf numFmtId="0" fontId="96" fillId="0" borderId="0" xfId="0" quotePrefix="1" applyFont="1" applyFill="1" applyBorder="1" applyAlignment="1" applyProtection="1">
      <alignment vertical="center"/>
    </xf>
    <xf numFmtId="6" fontId="131" fillId="0" borderId="0" xfId="0" applyNumberFormat="1" applyFont="1" applyFill="1" applyBorder="1" applyAlignment="1" applyProtection="1">
      <alignment vertical="center"/>
    </xf>
    <xf numFmtId="0" fontId="257" fillId="0" borderId="0" xfId="0" applyFont="1" applyFill="1" applyBorder="1" applyAlignment="1" applyProtection="1">
      <alignment vertical="center"/>
    </xf>
    <xf numFmtId="3" fontId="261" fillId="0" borderId="0" xfId="0" applyNumberFormat="1" applyFont="1" applyFill="1" applyBorder="1" applyAlignment="1" applyProtection="1">
      <alignment vertical="center"/>
    </xf>
    <xf numFmtId="164" fontId="93" fillId="0" borderId="0" xfId="1" applyNumberFormat="1" applyFont="1" applyFill="1" applyBorder="1" applyAlignment="1" applyProtection="1">
      <alignment horizontal="right" vertical="center"/>
    </xf>
    <xf numFmtId="3" fontId="243" fillId="0" borderId="0" xfId="0" applyNumberFormat="1" applyFont="1" applyFill="1" applyBorder="1" applyAlignment="1" applyProtection="1">
      <alignment horizontal="center" vertical="center"/>
    </xf>
    <xf numFmtId="164" fontId="243" fillId="0" borderId="0" xfId="1" applyNumberFormat="1" applyFont="1" applyFill="1" applyBorder="1" applyAlignment="1" applyProtection="1">
      <alignment horizontal="right" vertical="center"/>
    </xf>
    <xf numFmtId="0" fontId="94" fillId="0" borderId="0" xfId="0" applyNumberFormat="1" applyFont="1" applyFill="1" applyBorder="1" applyAlignment="1" applyProtection="1">
      <alignment vertical="center"/>
    </xf>
    <xf numFmtId="0" fontId="251" fillId="0" borderId="0" xfId="0" applyFont="1" applyFill="1" applyBorder="1" applyAlignment="1" applyProtection="1">
      <alignment horizontal="right" vertical="center"/>
    </xf>
    <xf numFmtId="0" fontId="251" fillId="0" borderId="0" xfId="0" applyFont="1" applyFill="1" applyBorder="1" applyAlignment="1" applyProtection="1">
      <alignment horizontal="center" vertical="center"/>
    </xf>
    <xf numFmtId="0" fontId="94" fillId="0" borderId="0" xfId="0" applyFont="1" applyFill="1" applyBorder="1" applyAlignment="1" applyProtection="1">
      <alignment horizontal="center" vertical="top"/>
    </xf>
    <xf numFmtId="1" fontId="94" fillId="0" borderId="0" xfId="0" applyNumberFormat="1" applyFont="1" applyFill="1" applyBorder="1" applyAlignment="1" applyProtection="1">
      <alignment horizontal="center" vertical="center"/>
      <protection locked="0"/>
    </xf>
    <xf numFmtId="1" fontId="94" fillId="0" borderId="0" xfId="0" applyNumberFormat="1" applyFont="1" applyFill="1" applyBorder="1" applyAlignment="1" applyProtection="1">
      <alignment horizontal="center" vertical="center"/>
    </xf>
    <xf numFmtId="0" fontId="94" fillId="0" borderId="0" xfId="0" applyFont="1" applyFill="1" applyBorder="1" applyAlignment="1" applyProtection="1">
      <alignment horizontal="right" vertical="center"/>
    </xf>
    <xf numFmtId="0" fontId="251" fillId="0" borderId="0" xfId="0" applyFont="1" applyFill="1" applyBorder="1" applyAlignment="1" applyProtection="1">
      <alignment vertical="top"/>
    </xf>
    <xf numFmtId="0" fontId="97" fillId="0" borderId="0" xfId="0" applyFont="1" applyFill="1" applyBorder="1" applyAlignment="1" applyProtection="1">
      <alignment horizontal="right" vertical="top"/>
    </xf>
    <xf numFmtId="10" fontId="94" fillId="0" borderId="0" xfId="0" applyNumberFormat="1" applyFont="1" applyFill="1" applyBorder="1" applyAlignment="1" applyProtection="1">
      <alignment vertical="center"/>
      <protection locked="0"/>
    </xf>
    <xf numFmtId="10" fontId="93" fillId="0" borderId="0" xfId="0" applyNumberFormat="1" applyFont="1" applyFill="1" applyBorder="1" applyAlignment="1" applyProtection="1">
      <alignment vertical="center"/>
      <protection locked="0"/>
    </xf>
    <xf numFmtId="10" fontId="94" fillId="0" borderId="0" xfId="0" applyNumberFormat="1" applyFont="1" applyFill="1" applyBorder="1" applyAlignment="1" applyProtection="1">
      <alignment horizontal="center" vertical="center"/>
      <protection locked="0"/>
    </xf>
    <xf numFmtId="10" fontId="94" fillId="0" borderId="0" xfId="0" applyNumberFormat="1" applyFont="1" applyFill="1" applyBorder="1" applyAlignment="1" applyProtection="1">
      <alignment horizontal="center" vertical="center"/>
    </xf>
    <xf numFmtId="10" fontId="94" fillId="0" borderId="0" xfId="0" applyNumberFormat="1" applyFont="1" applyFill="1" applyBorder="1" applyAlignment="1" applyProtection="1">
      <alignment vertical="center"/>
    </xf>
    <xf numFmtId="10" fontId="94" fillId="0" borderId="0" xfId="0" applyNumberFormat="1" applyFont="1" applyFill="1" applyBorder="1" applyAlignment="1" applyProtection="1">
      <alignment horizontal="right" vertical="center"/>
    </xf>
    <xf numFmtId="0" fontId="94" fillId="0" borderId="0" xfId="0" applyFont="1" applyFill="1" applyBorder="1" applyAlignment="1" applyProtection="1">
      <alignment horizontal="center" vertical="top"/>
      <protection locked="0"/>
    </xf>
    <xf numFmtId="175" fontId="94" fillId="0" borderId="0" xfId="0" applyNumberFormat="1" applyFont="1" applyFill="1" applyBorder="1" applyAlignment="1" applyProtection="1">
      <alignment horizontal="center" vertical="center"/>
      <protection locked="0"/>
    </xf>
    <xf numFmtId="175" fontId="94" fillId="0" borderId="0" xfId="0" applyNumberFormat="1" applyFont="1" applyFill="1" applyBorder="1" applyAlignment="1" applyProtection="1">
      <alignment horizontal="center" vertical="center"/>
    </xf>
    <xf numFmtId="175" fontId="93" fillId="0" borderId="0" xfId="0" applyNumberFormat="1" applyFont="1" applyFill="1" applyBorder="1" applyAlignment="1" applyProtection="1">
      <protection locked="0"/>
    </xf>
    <xf numFmtId="0" fontId="94" fillId="0" borderId="0" xfId="0" applyFont="1" applyFill="1" applyBorder="1" applyAlignment="1" applyProtection="1">
      <protection locked="0"/>
    </xf>
    <xf numFmtId="0" fontId="93" fillId="0" borderId="0" xfId="0" applyFont="1" applyFill="1" applyBorder="1" applyAlignment="1" applyProtection="1">
      <protection locked="0"/>
    </xf>
    <xf numFmtId="0" fontId="94" fillId="0" borderId="0" xfId="0" applyFont="1" applyFill="1" applyBorder="1" applyAlignment="1" applyProtection="1">
      <alignment horizontal="right"/>
    </xf>
    <xf numFmtId="0" fontId="259" fillId="0" borderId="0" xfId="0" applyFont="1" applyFill="1" applyBorder="1" applyAlignment="1" applyProtection="1"/>
    <xf numFmtId="0" fontId="96" fillId="0" borderId="0" xfId="0" applyFont="1" applyFill="1" applyBorder="1" applyAlignment="1" applyProtection="1">
      <protection locked="0"/>
    </xf>
    <xf numFmtId="38" fontId="94" fillId="0" borderId="0" xfId="0" applyNumberFormat="1" applyFont="1" applyFill="1" applyBorder="1" applyAlignment="1" applyProtection="1">
      <alignment horizontal="left" vertical="center"/>
    </xf>
    <xf numFmtId="0" fontId="277" fillId="0" borderId="0" xfId="0" applyFont="1" applyFill="1" applyBorder="1" applyAlignment="1" applyProtection="1"/>
    <xf numFmtId="0" fontId="277" fillId="0" borderId="0" xfId="0" applyFont="1" applyFill="1" applyBorder="1" applyAlignment="1" applyProtection="1">
      <protection locked="0"/>
    </xf>
    <xf numFmtId="0" fontId="131" fillId="0" borderId="0" xfId="0" applyFont="1" applyFill="1" applyBorder="1" applyAlignment="1" applyProtection="1">
      <alignment vertical="center"/>
      <protection locked="0"/>
    </xf>
    <xf numFmtId="4" fontId="243" fillId="0" borderId="0" xfId="0" applyNumberFormat="1" applyFont="1" applyFill="1" applyBorder="1" applyAlignment="1" applyProtection="1">
      <alignment vertical="top"/>
      <protection locked="0"/>
    </xf>
    <xf numFmtId="0" fontId="251" fillId="0" borderId="0" xfId="0" applyFont="1" applyFill="1" applyBorder="1" applyAlignment="1" applyProtection="1">
      <alignment horizontal="left"/>
    </xf>
    <xf numFmtId="174" fontId="94" fillId="0" borderId="0" xfId="0" applyNumberFormat="1" applyFont="1" applyFill="1" applyBorder="1" applyAlignment="1" applyProtection="1">
      <alignment vertical="center"/>
      <protection locked="0"/>
    </xf>
    <xf numFmtId="174" fontId="94" fillId="0" borderId="0" xfId="0" applyNumberFormat="1" applyFont="1" applyFill="1" applyBorder="1" applyAlignment="1" applyProtection="1">
      <alignment vertical="center"/>
    </xf>
    <xf numFmtId="3" fontId="94" fillId="0" borderId="0" xfId="0" applyNumberFormat="1" applyFont="1" applyFill="1" applyBorder="1" applyAlignment="1" applyProtection="1">
      <alignment horizontal="center"/>
    </xf>
    <xf numFmtId="0" fontId="252" fillId="0" borderId="0" xfId="0" applyFont="1" applyFill="1" applyBorder="1" applyAlignment="1" applyProtection="1">
      <alignment horizontal="left" vertical="center"/>
    </xf>
    <xf numFmtId="0" fontId="278" fillId="0" borderId="0" xfId="6" applyFont="1" applyFill="1" applyBorder="1" applyAlignment="1" applyProtection="1">
      <alignment horizontal="center"/>
    </xf>
    <xf numFmtId="0" fontId="277" fillId="0" borderId="0" xfId="0" applyFont="1" applyFill="1" applyBorder="1" applyAlignment="1" applyProtection="1">
      <alignment vertical="center"/>
    </xf>
    <xf numFmtId="0" fontId="277" fillId="0" borderId="0" xfId="0" applyFont="1" applyFill="1" applyBorder="1" applyAlignment="1" applyProtection="1">
      <alignment vertical="center"/>
      <protection locked="0"/>
    </xf>
    <xf numFmtId="0" fontId="94" fillId="0" borderId="0" xfId="0" applyFont="1" applyFill="1" applyBorder="1" applyAlignment="1" applyProtection="1">
      <alignment horizontal="justify" vertical="center"/>
    </xf>
    <xf numFmtId="0" fontId="251" fillId="0" borderId="0" xfId="0" applyFont="1" applyFill="1" applyBorder="1" applyAlignment="1" applyProtection="1">
      <alignment vertical="center"/>
    </xf>
    <xf numFmtId="3" fontId="94" fillId="0" borderId="0" xfId="1" applyNumberFormat="1" applyFont="1" applyFill="1" applyBorder="1" applyAlignment="1" applyProtection="1">
      <alignment horizontal="center" vertical="center"/>
      <protection locked="0"/>
    </xf>
    <xf numFmtId="9" fontId="94" fillId="0" borderId="0" xfId="0" applyNumberFormat="1" applyFont="1" applyFill="1" applyBorder="1" applyAlignment="1" applyProtection="1">
      <alignment horizontal="center" vertical="center"/>
    </xf>
    <xf numFmtId="0" fontId="94" fillId="0" borderId="0" xfId="0" applyFont="1" applyFill="1" applyBorder="1" applyAlignment="1" applyProtection="1">
      <alignment horizontal="left"/>
    </xf>
    <xf numFmtId="0" fontId="94" fillId="0" borderId="0" xfId="0" applyFont="1" applyFill="1" applyBorder="1" applyAlignment="1" applyProtection="1">
      <alignment horizontal="left"/>
      <protection locked="0"/>
    </xf>
    <xf numFmtId="0" fontId="94" fillId="0" borderId="0" xfId="0" applyFont="1" applyFill="1" applyBorder="1" applyAlignment="1">
      <alignment horizontal="right" vertical="center"/>
    </xf>
    <xf numFmtId="0" fontId="94" fillId="0" borderId="0" xfId="0" applyFont="1" applyFill="1" applyBorder="1" applyAlignment="1">
      <alignment horizontal="left" vertical="center"/>
    </xf>
    <xf numFmtId="0" fontId="97" fillId="0" borderId="0" xfId="0" applyFont="1" applyFill="1" applyBorder="1" applyAlignment="1" applyProtection="1">
      <protection locked="0"/>
    </xf>
    <xf numFmtId="38" fontId="94" fillId="0" borderId="0" xfId="0" applyNumberFormat="1" applyFont="1" applyFill="1" applyBorder="1" applyAlignment="1" applyProtection="1">
      <alignment horizontal="center" vertical="center"/>
    </xf>
    <xf numFmtId="175" fontId="97" fillId="0" borderId="0" xfId="0" applyNumberFormat="1" applyFont="1" applyFill="1" applyBorder="1" applyAlignment="1" applyProtection="1">
      <alignment vertical="center"/>
      <protection locked="0"/>
    </xf>
    <xf numFmtId="37" fontId="93" fillId="0" borderId="0" xfId="0" applyNumberFormat="1" applyFont="1" applyFill="1" applyBorder="1" applyAlignment="1" applyProtection="1">
      <alignment vertical="center"/>
    </xf>
    <xf numFmtId="0" fontId="94" fillId="0" borderId="0" xfId="0" quotePrefix="1" applyFont="1" applyFill="1" applyBorder="1" applyAlignment="1" applyProtection="1"/>
    <xf numFmtId="3" fontId="94" fillId="0" borderId="0" xfId="1" applyNumberFormat="1" applyFont="1" applyFill="1" applyBorder="1" applyAlignment="1" applyProtection="1">
      <alignment vertical="center"/>
      <protection locked="0"/>
    </xf>
    <xf numFmtId="3" fontId="94" fillId="0" borderId="0" xfId="1" applyNumberFormat="1" applyFont="1" applyFill="1" applyBorder="1" applyAlignment="1" applyProtection="1">
      <alignment horizontal="center" vertical="center"/>
    </xf>
    <xf numFmtId="3" fontId="94" fillId="0" borderId="0" xfId="1" applyNumberFormat="1" applyFont="1" applyFill="1" applyBorder="1" applyAlignment="1" applyProtection="1">
      <alignment vertical="center"/>
    </xf>
    <xf numFmtId="1" fontId="94" fillId="0" borderId="0" xfId="0" applyNumberFormat="1" applyFont="1" applyFill="1" applyBorder="1" applyAlignment="1" applyProtection="1">
      <alignment horizontal="left" vertical="center"/>
    </xf>
    <xf numFmtId="182" fontId="93" fillId="0" borderId="0" xfId="0" applyNumberFormat="1" applyFont="1" applyFill="1" applyBorder="1" applyAlignment="1" applyProtection="1">
      <alignment horizontal="center" vertical="center"/>
    </xf>
    <xf numFmtId="0" fontId="263" fillId="0" borderId="0" xfId="0" applyFont="1" applyFill="1" applyBorder="1" applyAlignment="1" applyProtection="1">
      <alignment vertical="center"/>
    </xf>
    <xf numFmtId="0" fontId="96" fillId="0" borderId="0" xfId="0" quotePrefix="1" applyFont="1" applyFill="1" applyBorder="1" applyAlignment="1" applyProtection="1">
      <alignment horizontal="center" vertical="center"/>
    </xf>
    <xf numFmtId="0" fontId="267" fillId="0" borderId="0" xfId="0" quotePrefix="1" applyFont="1" applyFill="1" applyBorder="1" applyAlignment="1" applyProtection="1">
      <alignment vertical="center"/>
    </xf>
    <xf numFmtId="0" fontId="96" fillId="0" borderId="0" xfId="0" applyFont="1" applyFill="1" applyBorder="1" applyAlignment="1" applyProtection="1">
      <alignment horizontal="left" vertical="top"/>
    </xf>
    <xf numFmtId="38" fontId="94" fillId="0" borderId="0" xfId="0" applyNumberFormat="1" applyFont="1" applyFill="1" applyBorder="1" applyAlignment="1" applyProtection="1">
      <alignment horizontal="center" vertical="top"/>
    </xf>
    <xf numFmtId="0" fontId="93" fillId="0" borderId="0" xfId="0" applyFont="1" applyFill="1" applyBorder="1" applyAlignment="1" applyProtection="1">
      <alignment horizontal="center" vertical="top"/>
    </xf>
    <xf numFmtId="0" fontId="97" fillId="0" borderId="0" xfId="0" applyFont="1" applyFill="1" applyBorder="1" applyAlignment="1">
      <alignment horizontal="center" vertical="center"/>
    </xf>
    <xf numFmtId="0" fontId="96" fillId="0" borderId="0" xfId="0" applyFont="1" applyAlignment="1">
      <alignment wrapText="1"/>
    </xf>
    <xf numFmtId="0" fontId="267" fillId="0" borderId="0" xfId="0" applyFont="1" applyAlignment="1">
      <alignment vertical="center"/>
    </xf>
    <xf numFmtId="0" fontId="97" fillId="0" borderId="38" xfId="0" applyFont="1" applyBorder="1" applyAlignment="1">
      <alignment horizontal="center" vertical="center" wrapText="1"/>
    </xf>
    <xf numFmtId="9" fontId="268" fillId="0" borderId="0" xfId="0" applyNumberFormat="1" applyFont="1" applyFill="1" applyBorder="1" applyAlignment="1">
      <alignment horizontal="center" vertical="center"/>
    </xf>
    <xf numFmtId="0" fontId="94" fillId="0" borderId="0" xfId="0" applyFont="1" applyAlignment="1">
      <alignment vertical="center"/>
    </xf>
    <xf numFmtId="9" fontId="268" fillId="0" borderId="13" xfId="0" applyNumberFormat="1" applyFont="1" applyBorder="1" applyAlignment="1">
      <alignment horizontal="center" vertical="center" wrapText="1"/>
    </xf>
    <xf numFmtId="0" fontId="96" fillId="0" borderId="0" xfId="0" applyNumberFormat="1" applyFont="1" applyFill="1" applyBorder="1" applyAlignment="1" applyProtection="1">
      <alignment horizontal="center" vertical="center"/>
    </xf>
    <xf numFmtId="0" fontId="96" fillId="0" borderId="0" xfId="0" applyFont="1" applyAlignment="1">
      <alignment horizontal="right"/>
    </xf>
    <xf numFmtId="0" fontId="96" fillId="0" borderId="20" xfId="0" applyFont="1" applyBorder="1" applyAlignment="1">
      <alignment vertical="center"/>
    </xf>
    <xf numFmtId="0" fontId="96" fillId="0" borderId="20" xfId="0" applyFont="1" applyBorder="1"/>
    <xf numFmtId="0" fontId="94" fillId="0" borderId="20" xfId="0" applyFont="1" applyBorder="1"/>
    <xf numFmtId="182" fontId="94" fillId="0" borderId="99" xfId="0" applyNumberFormat="1" applyFont="1" applyBorder="1" applyAlignment="1">
      <alignment horizontal="center" vertical="center" wrapText="1"/>
    </xf>
    <xf numFmtId="0" fontId="94" fillId="0" borderId="98" xfId="0" applyFont="1" applyBorder="1" applyAlignment="1">
      <alignment horizontal="center" vertical="center" wrapText="1"/>
    </xf>
    <xf numFmtId="38" fontId="94" fillId="0" borderId="99" xfId="0" applyNumberFormat="1" applyFont="1" applyBorder="1" applyAlignment="1">
      <alignment horizontal="center" vertical="center" wrapText="1"/>
    </xf>
    <xf numFmtId="38" fontId="94" fillId="0" borderId="193" xfId="0" applyNumberFormat="1" applyFont="1" applyBorder="1" applyAlignment="1">
      <alignment horizontal="center" vertical="center" wrapText="1"/>
    </xf>
    <xf numFmtId="38" fontId="94" fillId="0" borderId="194" xfId="0" applyNumberFormat="1" applyFont="1" applyBorder="1" applyAlignment="1">
      <alignment horizontal="center" vertical="center" wrapText="1"/>
    </xf>
    <xf numFmtId="38" fontId="94" fillId="0" borderId="134" xfId="0" applyNumberFormat="1" applyFont="1" applyBorder="1" applyAlignment="1">
      <alignment horizontal="center" vertical="center" wrapText="1"/>
    </xf>
    <xf numFmtId="0" fontId="96" fillId="0" borderId="21" xfId="0" applyFont="1" applyBorder="1" applyAlignment="1">
      <alignment vertical="center"/>
    </xf>
    <xf numFmtId="0" fontId="96" fillId="0" borderId="21" xfId="0" applyFont="1" applyBorder="1"/>
    <xf numFmtId="0" fontId="94" fillId="0" borderId="21" xfId="0" applyFont="1" applyBorder="1"/>
    <xf numFmtId="38" fontId="94" fillId="0" borderId="50" xfId="0" applyNumberFormat="1" applyFont="1" applyBorder="1" applyAlignment="1">
      <alignment horizontal="center" vertical="center" wrapText="1"/>
    </xf>
    <xf numFmtId="38" fontId="94" fillId="0" borderId="25" xfId="0" applyNumberFormat="1" applyFont="1" applyBorder="1" applyAlignment="1">
      <alignment horizontal="center" vertical="center" wrapText="1"/>
    </xf>
    <xf numFmtId="0" fontId="94" fillId="0" borderId="195" xfId="0" applyFont="1" applyBorder="1" applyAlignment="1">
      <alignment horizontal="center" vertical="center" wrapText="1"/>
    </xf>
    <xf numFmtId="38" fontId="94" fillId="0" borderId="196" xfId="0" applyNumberFormat="1" applyFont="1" applyBorder="1" applyAlignment="1">
      <alignment horizontal="center" vertical="center" wrapText="1"/>
    </xf>
    <xf numFmtId="0" fontId="94" fillId="0" borderId="17" xfId="0" applyFont="1" applyBorder="1" applyAlignment="1">
      <alignment horizontal="center" vertical="center" wrapText="1"/>
    </xf>
    <xf numFmtId="182" fontId="94" fillId="0" borderId="50" xfId="0" applyNumberFormat="1" applyFont="1" applyBorder="1" applyAlignment="1">
      <alignment horizontal="center" vertical="center" wrapText="1"/>
    </xf>
    <xf numFmtId="182" fontId="94" fillId="0" borderId="25" xfId="0" applyNumberFormat="1" applyFont="1" applyBorder="1" applyAlignment="1">
      <alignment horizontal="center" vertical="center" wrapText="1"/>
    </xf>
    <xf numFmtId="0" fontId="94" fillId="0" borderId="50" xfId="0" applyFont="1" applyBorder="1" applyAlignment="1">
      <alignment horizontal="center" vertical="center" wrapText="1"/>
    </xf>
    <xf numFmtId="0" fontId="94" fillId="0" borderId="25" xfId="0" applyFont="1" applyBorder="1" applyAlignment="1">
      <alignment horizontal="center" vertical="center" wrapText="1"/>
    </xf>
    <xf numFmtId="182" fontId="94" fillId="0" borderId="196" xfId="0" applyNumberFormat="1" applyFont="1" applyBorder="1" applyAlignment="1">
      <alignment horizontal="center" vertical="center" wrapText="1"/>
    </xf>
    <xf numFmtId="0" fontId="94" fillId="0" borderId="196" xfId="0" applyFont="1" applyBorder="1" applyAlignment="1">
      <alignment horizontal="center" vertical="center" wrapText="1"/>
    </xf>
    <xf numFmtId="38" fontId="243" fillId="0" borderId="0" xfId="0" applyNumberFormat="1" applyFont="1" applyFill="1" applyBorder="1" applyAlignment="1" applyProtection="1"/>
    <xf numFmtId="38" fontId="96" fillId="0" borderId="0" xfId="0" applyNumberFormat="1" applyFont="1" applyFill="1" applyBorder="1" applyAlignment="1" applyProtection="1">
      <alignment horizontal="center" vertical="center"/>
    </xf>
    <xf numFmtId="38" fontId="94" fillId="0" borderId="195" xfId="0" applyNumberFormat="1" applyFont="1" applyBorder="1" applyAlignment="1">
      <alignment horizontal="center" vertical="center" wrapText="1"/>
    </xf>
    <xf numFmtId="38" fontId="94" fillId="0" borderId="17" xfId="0" applyNumberFormat="1" applyFont="1" applyBorder="1" applyAlignment="1">
      <alignment horizontal="center" vertical="center" wrapText="1"/>
    </xf>
    <xf numFmtId="0" fontId="96" fillId="0" borderId="58" xfId="0" applyFont="1" applyBorder="1" applyAlignment="1">
      <alignment vertical="center"/>
    </xf>
    <xf numFmtId="0" fontId="96" fillId="0" borderId="58" xfId="0" applyFont="1" applyBorder="1"/>
    <xf numFmtId="0" fontId="94" fillId="0" borderId="58" xfId="0" applyFont="1" applyBorder="1"/>
    <xf numFmtId="0" fontId="94" fillId="0" borderId="48" xfId="0" applyFont="1" applyBorder="1" applyAlignment="1">
      <alignment horizontal="center" vertical="center" wrapText="1"/>
    </xf>
    <xf numFmtId="38" fontId="94" fillId="0" borderId="24" xfId="0" applyNumberFormat="1" applyFont="1" applyBorder="1" applyAlignment="1">
      <alignment horizontal="center" vertical="center" wrapText="1"/>
    </xf>
    <xf numFmtId="0" fontId="94" fillId="0" borderId="197" xfId="0" applyFont="1" applyBorder="1" applyAlignment="1">
      <alignment horizontal="center" vertical="center" wrapText="1"/>
    </xf>
    <xf numFmtId="0" fontId="94" fillId="0" borderId="198" xfId="0" applyFont="1" applyBorder="1" applyAlignment="1">
      <alignment horizontal="center" vertical="center" wrapText="1"/>
    </xf>
    <xf numFmtId="0" fontId="94" fillId="0" borderId="18" xfId="0" applyFont="1" applyBorder="1" applyAlignment="1">
      <alignment horizontal="center" vertical="center" wrapText="1"/>
    </xf>
    <xf numFmtId="0" fontId="93" fillId="0" borderId="0" xfId="0" applyFont="1" applyAlignment="1">
      <alignment vertical="center"/>
    </xf>
    <xf numFmtId="0" fontId="277" fillId="0" borderId="0" xfId="0" applyFont="1"/>
    <xf numFmtId="187" fontId="97" fillId="0" borderId="0" xfId="0" applyNumberFormat="1" applyFont="1" applyAlignment="1">
      <alignment horizontal="center" vertical="center"/>
    </xf>
    <xf numFmtId="0" fontId="280" fillId="0" borderId="0" xfId="0" applyFont="1" applyFill="1" applyBorder="1" applyAlignment="1" applyProtection="1">
      <alignment horizontal="center" vertical="center"/>
    </xf>
    <xf numFmtId="0" fontId="97" fillId="0" borderId="0" xfId="0" quotePrefix="1" applyFont="1" applyFill="1" applyBorder="1" applyAlignment="1" applyProtection="1">
      <alignment horizontal="left" vertical="top"/>
    </xf>
    <xf numFmtId="0" fontId="94" fillId="0" borderId="0" xfId="0" quotePrefix="1" applyFont="1" applyFill="1" applyBorder="1" applyAlignment="1" applyProtection="1">
      <alignment horizontal="right" vertical="top"/>
    </xf>
    <xf numFmtId="0" fontId="94" fillId="0" borderId="0" xfId="0" quotePrefix="1" applyFont="1" applyFill="1" applyBorder="1" applyAlignment="1" applyProtection="1">
      <alignment horizontal="right" vertical="center"/>
    </xf>
    <xf numFmtId="9" fontId="94" fillId="0" borderId="0" xfId="10" applyFont="1" applyFill="1" applyBorder="1" applyAlignment="1" applyProtection="1">
      <alignment horizontal="center" vertical="top"/>
    </xf>
    <xf numFmtId="38" fontId="97" fillId="0" borderId="0" xfId="0" applyNumberFormat="1" applyFont="1" applyFill="1" applyBorder="1" applyAlignment="1" applyProtection="1">
      <alignment horizontal="center" vertical="center"/>
    </xf>
    <xf numFmtId="0" fontId="243" fillId="0" borderId="0" xfId="0" applyNumberFormat="1" applyFont="1" applyFill="1" applyBorder="1" applyAlignment="1" applyProtection="1">
      <alignment horizontal="center" vertical="center"/>
    </xf>
    <xf numFmtId="0" fontId="267" fillId="0" borderId="0" xfId="0" quotePrefix="1" applyFont="1" applyFill="1" applyBorder="1" applyAlignment="1" applyProtection="1"/>
    <xf numFmtId="38" fontId="94" fillId="0" borderId="0" xfId="0" applyNumberFormat="1" applyFont="1" applyFill="1" applyBorder="1" applyAlignment="1" applyProtection="1">
      <alignment horizontal="center"/>
    </xf>
    <xf numFmtId="0" fontId="262" fillId="0" borderId="0" xfId="0" applyFont="1" applyFill="1" applyBorder="1" applyAlignment="1" applyProtection="1">
      <alignment horizontal="center" vertical="center"/>
    </xf>
    <xf numFmtId="38" fontId="94" fillId="0" borderId="0" xfId="0" applyNumberFormat="1" applyFont="1" applyFill="1" applyBorder="1" applyAlignment="1" applyProtection="1">
      <alignment vertical="center"/>
    </xf>
    <xf numFmtId="0" fontId="97" fillId="0" borderId="0" xfId="0" quotePrefix="1" applyFont="1" applyFill="1" applyBorder="1" applyAlignment="1" applyProtection="1">
      <alignment horizontal="left" vertical="center"/>
    </xf>
    <xf numFmtId="9" fontId="97" fillId="0" borderId="0" xfId="10" applyFont="1" applyFill="1" applyBorder="1" applyAlignment="1" applyProtection="1">
      <alignment horizontal="left" vertical="center"/>
    </xf>
    <xf numFmtId="40" fontId="97"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center"/>
      <protection locked="0"/>
    </xf>
    <xf numFmtId="0" fontId="96" fillId="0" borderId="0" xfId="0" applyFont="1" applyFill="1" applyBorder="1" applyAlignment="1" applyProtection="1">
      <alignment horizontal="center"/>
    </xf>
    <xf numFmtId="0" fontId="97" fillId="0" borderId="0" xfId="0" applyFont="1" applyFill="1" applyBorder="1" applyAlignment="1" applyProtection="1">
      <alignment horizontal="right"/>
    </xf>
    <xf numFmtId="9" fontId="97" fillId="0" borderId="0" xfId="10" applyFont="1" applyFill="1" applyBorder="1" applyAlignment="1" applyProtection="1">
      <alignment horizontal="center" vertical="top"/>
    </xf>
    <xf numFmtId="1" fontId="97" fillId="0" borderId="0" xfId="0" applyNumberFormat="1" applyFont="1" applyFill="1" applyBorder="1" applyAlignment="1" applyProtection="1">
      <alignment horizontal="center" vertical="center"/>
      <protection locked="0"/>
    </xf>
    <xf numFmtId="1" fontId="97" fillId="0" borderId="0" xfId="0" applyNumberFormat="1" applyFont="1" applyFill="1" applyBorder="1" applyAlignment="1" applyProtection="1">
      <alignment horizontal="center" vertical="center"/>
    </xf>
    <xf numFmtId="38" fontId="97" fillId="0" borderId="0" xfId="0" applyNumberFormat="1" applyFont="1" applyFill="1" applyBorder="1" applyAlignment="1" applyProtection="1">
      <alignment horizontal="center"/>
    </xf>
    <xf numFmtId="0" fontId="257" fillId="0" borderId="0" xfId="0" applyFont="1" applyFill="1" applyBorder="1" applyAlignment="1" applyProtection="1">
      <alignment horizontal="center"/>
    </xf>
    <xf numFmtId="0" fontId="281" fillId="0" borderId="0" xfId="0" applyFont="1" applyFill="1" applyBorder="1" applyAlignment="1" applyProtection="1"/>
    <xf numFmtId="182" fontId="93" fillId="0" borderId="0" xfId="0" applyNumberFormat="1" applyFont="1" applyFill="1" applyBorder="1" applyAlignment="1" applyProtection="1">
      <alignment horizontal="center" vertical="center"/>
      <protection locked="0"/>
    </xf>
    <xf numFmtId="0" fontId="281" fillId="0" borderId="0" xfId="0" applyFont="1" applyFill="1" applyBorder="1" applyAlignment="1" applyProtection="1">
      <alignment vertical="center"/>
    </xf>
    <xf numFmtId="0" fontId="268" fillId="0" borderId="0" xfId="0" applyFont="1" applyFill="1" applyBorder="1" applyAlignment="1" applyProtection="1">
      <alignment horizontal="right" vertical="center"/>
    </xf>
    <xf numFmtId="0" fontId="264" fillId="0" borderId="0" xfId="0" applyFont="1" applyFill="1" applyBorder="1" applyAlignment="1" applyProtection="1">
      <alignment horizontal="center" vertical="center"/>
    </xf>
    <xf numFmtId="0" fontId="94" fillId="0" borderId="0" xfId="0" quotePrefix="1" applyFont="1" applyFill="1" applyBorder="1" applyAlignment="1" applyProtection="1">
      <alignment horizontal="center" vertical="center"/>
    </xf>
    <xf numFmtId="38" fontId="96" fillId="0" borderId="0" xfId="0" applyNumberFormat="1" applyFont="1" applyFill="1" applyBorder="1" applyAlignment="1" applyProtection="1">
      <alignment vertical="center"/>
    </xf>
    <xf numFmtId="0" fontId="103" fillId="0" borderId="0" xfId="0" applyNumberFormat="1" applyFont="1" applyFill="1" applyBorder="1" applyAlignment="1" applyProtection="1">
      <alignment vertical="center"/>
    </xf>
    <xf numFmtId="0" fontId="264" fillId="0" borderId="0" xfId="0" applyFont="1" applyFill="1" applyBorder="1" applyAlignment="1" applyProtection="1"/>
    <xf numFmtId="168" fontId="96" fillId="0" borderId="0" xfId="0" applyNumberFormat="1" applyFont="1" applyFill="1" applyBorder="1" applyAlignment="1" applyProtection="1">
      <alignment vertical="center"/>
      <protection locked="0"/>
    </xf>
    <xf numFmtId="168" fontId="243" fillId="0" borderId="0" xfId="0" applyNumberFormat="1" applyFont="1" applyFill="1" applyBorder="1" applyAlignment="1" applyProtection="1">
      <alignment vertical="center"/>
    </xf>
    <xf numFmtId="0" fontId="278" fillId="0" borderId="0" xfId="0" applyFont="1" applyFill="1" applyBorder="1" applyAlignment="1" applyProtection="1">
      <alignment vertical="center"/>
    </xf>
    <xf numFmtId="0" fontId="277" fillId="0" borderId="0" xfId="0" applyFont="1" applyFill="1" applyBorder="1" applyAlignment="1" applyProtection="1">
      <alignment vertical="top"/>
    </xf>
    <xf numFmtId="0" fontId="94" fillId="0" borderId="0" xfId="0" quotePrefix="1" applyFont="1" applyFill="1" applyBorder="1" applyAlignment="1" applyProtection="1">
      <alignment horizontal="center" vertical="top"/>
    </xf>
    <xf numFmtId="182" fontId="93" fillId="0" borderId="0" xfId="0" applyNumberFormat="1" applyFont="1" applyFill="1" applyBorder="1" applyAlignment="1" applyProtection="1">
      <alignment horizontal="center" vertical="top"/>
      <protection locked="0"/>
    </xf>
    <xf numFmtId="182" fontId="93" fillId="0" borderId="0" xfId="0" applyNumberFormat="1" applyFont="1" applyFill="1" applyBorder="1" applyAlignment="1" applyProtection="1">
      <alignment horizontal="center" vertical="top"/>
    </xf>
    <xf numFmtId="186" fontId="96" fillId="0" borderId="0" xfId="0" applyNumberFormat="1" applyFont="1" applyFill="1" applyBorder="1" applyAlignment="1" applyProtection="1">
      <alignment vertical="center"/>
      <protection locked="0"/>
    </xf>
    <xf numFmtId="186" fontId="96" fillId="0" borderId="0" xfId="0" applyNumberFormat="1" applyFont="1" applyFill="1" applyBorder="1" applyAlignment="1" applyProtection="1">
      <alignment vertical="center"/>
    </xf>
    <xf numFmtId="0" fontId="252" fillId="0" borderId="0" xfId="0" applyFont="1" applyFill="1" applyBorder="1" applyAlignment="1" applyProtection="1">
      <alignment horizontal="left" vertical="top"/>
    </xf>
    <xf numFmtId="167" fontId="96" fillId="0" borderId="0" xfId="0" applyNumberFormat="1" applyFont="1" applyFill="1" applyBorder="1" applyAlignment="1" applyProtection="1">
      <alignment vertical="top"/>
      <protection locked="0"/>
    </xf>
    <xf numFmtId="0" fontId="262" fillId="0" borderId="0" xfId="0" applyFont="1" applyFill="1" applyBorder="1" applyAlignment="1" applyProtection="1">
      <alignment horizontal="center" vertical="top"/>
    </xf>
    <xf numFmtId="49" fontId="94" fillId="0" borderId="0" xfId="0" quotePrefix="1" applyNumberFormat="1" applyFont="1" applyFill="1" applyBorder="1" applyAlignment="1" applyProtection="1">
      <alignment horizontal="center" vertical="center"/>
    </xf>
    <xf numFmtId="49" fontId="94" fillId="0" borderId="0" xfId="0" quotePrefix="1" applyNumberFormat="1" applyFont="1" applyFill="1" applyBorder="1" applyAlignment="1" applyProtection="1">
      <alignment horizontal="center" vertical="top"/>
    </xf>
    <xf numFmtId="38" fontId="93" fillId="0" borderId="0" xfId="0" applyNumberFormat="1" applyFont="1" applyFill="1" applyBorder="1" applyAlignment="1" applyProtection="1">
      <alignment horizontal="center" vertical="top"/>
    </xf>
    <xf numFmtId="0" fontId="277" fillId="0" borderId="0" xfId="0" applyFont="1" applyFill="1" applyBorder="1" applyAlignment="1"/>
    <xf numFmtId="0" fontId="277" fillId="0" borderId="0" xfId="0" applyFont="1" applyFill="1" applyBorder="1" applyAlignment="1">
      <alignment horizontal="center"/>
    </xf>
    <xf numFmtId="0" fontId="277" fillId="0" borderId="0" xfId="0" applyFont="1" applyFill="1" applyBorder="1" applyAlignment="1" applyProtection="1">
      <alignment horizontal="left"/>
    </xf>
    <xf numFmtId="0" fontId="257" fillId="0" borderId="0" xfId="0" applyFont="1" applyFill="1" applyBorder="1" applyAlignment="1" applyProtection="1">
      <alignment horizontal="right" vertical="center"/>
    </xf>
    <xf numFmtId="38" fontId="97" fillId="0" borderId="0" xfId="0" applyNumberFormat="1" applyFont="1" applyFill="1" applyBorder="1" applyAlignment="1" applyProtection="1">
      <alignment horizontal="center" vertical="center"/>
      <protection locked="0"/>
    </xf>
    <xf numFmtId="0" fontId="277" fillId="0" borderId="0" xfId="0" applyFont="1" applyFill="1" applyBorder="1" applyAlignment="1" applyProtection="1">
      <alignment horizontal="center" vertical="center"/>
    </xf>
    <xf numFmtId="0" fontId="94" fillId="0" borderId="0" xfId="0" quotePrefix="1" applyFont="1" applyFill="1" applyBorder="1" applyAlignment="1">
      <alignment horizontal="center" vertical="center"/>
    </xf>
    <xf numFmtId="38" fontId="97" fillId="0" borderId="0" xfId="0" applyNumberFormat="1" applyFont="1" applyFill="1" applyBorder="1" applyAlignment="1" applyProtection="1">
      <alignment horizontal="center" vertical="top"/>
      <protection locked="0"/>
    </xf>
    <xf numFmtId="38" fontId="97" fillId="0" borderId="0" xfId="0" applyNumberFormat="1" applyFont="1" applyFill="1" applyBorder="1" applyAlignment="1" applyProtection="1">
      <alignment horizontal="center" vertical="top"/>
    </xf>
    <xf numFmtId="0" fontId="278" fillId="0" borderId="0" xfId="0" applyFont="1" applyFill="1" applyBorder="1" applyAlignment="1" applyProtection="1"/>
    <xf numFmtId="0" fontId="269" fillId="0" borderId="0" xfId="0" applyFont="1" applyFill="1" applyBorder="1" applyAlignment="1" applyProtection="1">
      <alignment horizontal="right" vertical="center"/>
    </xf>
    <xf numFmtId="0" fontId="262" fillId="0" borderId="0" xfId="0" applyFont="1" applyFill="1" applyBorder="1" applyAlignment="1">
      <alignment vertical="center"/>
    </xf>
    <xf numFmtId="0" fontId="285" fillId="0" borderId="0" xfId="0" applyFont="1" applyFill="1" applyBorder="1" applyAlignment="1" applyProtection="1">
      <alignment horizontal="center" vertical="top"/>
    </xf>
    <xf numFmtId="0" fontId="285" fillId="0" borderId="0" xfId="0" applyFont="1" applyFill="1" applyBorder="1" applyAlignment="1" applyProtection="1">
      <alignment horizontal="center" vertical="center"/>
    </xf>
    <xf numFmtId="0" fontId="97" fillId="0" borderId="0" xfId="0" quotePrefix="1" applyFont="1" applyFill="1" applyBorder="1" applyAlignment="1" applyProtection="1">
      <alignment horizontal="center" vertical="center"/>
    </xf>
    <xf numFmtId="1" fontId="94" fillId="0" borderId="0" xfId="0" applyNumberFormat="1" applyFont="1" applyFill="1" applyBorder="1" applyAlignment="1" applyProtection="1">
      <alignment vertical="center"/>
    </xf>
    <xf numFmtId="0" fontId="97" fillId="0" borderId="0" xfId="0" quotePrefix="1" applyFont="1" applyFill="1" applyBorder="1" applyAlignment="1">
      <alignment horizontal="center" vertical="center"/>
    </xf>
    <xf numFmtId="0" fontId="277" fillId="0" borderId="0" xfId="0" applyFont="1" applyFill="1" applyBorder="1" applyAlignment="1">
      <alignment vertical="center"/>
    </xf>
    <xf numFmtId="0" fontId="268" fillId="0" borderId="0" xfId="0" applyFont="1" applyFill="1" applyBorder="1" applyAlignment="1">
      <alignment vertical="center"/>
    </xf>
    <xf numFmtId="3" fontId="93" fillId="0" borderId="0" xfId="0" applyNumberFormat="1" applyFont="1" applyFill="1" applyBorder="1" applyAlignment="1">
      <alignment vertical="center"/>
    </xf>
    <xf numFmtId="0" fontId="93" fillId="0" borderId="0" xfId="0" applyFont="1" applyFill="1" applyBorder="1" applyAlignment="1">
      <alignment horizontal="center" vertical="center"/>
    </xf>
    <xf numFmtId="0" fontId="94" fillId="0" borderId="0" xfId="0" quotePrefix="1" applyFont="1" applyFill="1" applyBorder="1" applyAlignment="1">
      <alignment horizontal="left" vertical="center"/>
    </xf>
    <xf numFmtId="0" fontId="94" fillId="0" borderId="0" xfId="0" quotePrefix="1" applyFont="1" applyFill="1" applyBorder="1" applyAlignment="1" applyProtection="1">
      <alignment horizontal="left" vertical="center"/>
    </xf>
    <xf numFmtId="0" fontId="97" fillId="0" borderId="0" xfId="0" applyFont="1" applyFill="1" applyBorder="1" applyAlignment="1">
      <alignment horizontal="center"/>
    </xf>
    <xf numFmtId="0" fontId="252" fillId="0" borderId="0" xfId="0" applyFont="1" applyFill="1" applyBorder="1" applyAlignment="1">
      <alignment horizontal="left" vertical="top"/>
    </xf>
    <xf numFmtId="0" fontId="269" fillId="0" borderId="0" xfId="0" applyFont="1" applyFill="1" applyBorder="1" applyAlignment="1"/>
    <xf numFmtId="10" fontId="97" fillId="0" borderId="0" xfId="0" applyNumberFormat="1" applyFont="1" applyFill="1" applyBorder="1" applyAlignment="1" applyProtection="1">
      <alignment vertical="center"/>
      <protection locked="0"/>
    </xf>
    <xf numFmtId="0" fontId="252" fillId="0" borderId="0" xfId="0" applyFont="1" applyFill="1" applyBorder="1" applyAlignment="1">
      <alignment horizontal="left" vertical="center"/>
    </xf>
    <xf numFmtId="0" fontId="267" fillId="0" borderId="0" xfId="0" quotePrefix="1" applyFont="1" applyFill="1" applyBorder="1" applyAlignment="1" applyProtection="1">
      <alignment horizontal="left" vertical="center"/>
    </xf>
    <xf numFmtId="0" fontId="268" fillId="0" borderId="0" xfId="0" applyFont="1" applyFill="1" applyBorder="1" applyAlignment="1" applyProtection="1">
      <alignment horizontal="left"/>
    </xf>
    <xf numFmtId="0" fontId="94" fillId="0" borderId="0" xfId="0" applyFont="1" applyFill="1" applyBorder="1" applyAlignment="1">
      <alignment horizontal="right"/>
    </xf>
    <xf numFmtId="175" fontId="94" fillId="0" borderId="0" xfId="0" applyNumberFormat="1" applyFont="1" applyFill="1" applyBorder="1" applyAlignment="1" applyProtection="1">
      <alignment vertical="center"/>
      <protection locked="0"/>
    </xf>
    <xf numFmtId="0" fontId="286" fillId="0" borderId="0" xfId="0" applyFont="1" applyFill="1" applyBorder="1" applyAlignment="1" applyProtection="1">
      <alignment vertical="center"/>
    </xf>
    <xf numFmtId="0" fontId="285" fillId="0" borderId="0" xfId="0" applyFont="1" applyFill="1" applyBorder="1" applyAlignment="1" applyProtection="1">
      <alignment vertical="center"/>
    </xf>
    <xf numFmtId="0" fontId="267" fillId="0" borderId="0" xfId="0" applyFont="1" applyFill="1" applyBorder="1" applyAlignment="1" applyProtection="1">
      <alignment horizontal="center" vertical="center"/>
    </xf>
    <xf numFmtId="0" fontId="271" fillId="0" borderId="0" xfId="0" applyFont="1" applyFill="1" applyBorder="1" applyAlignment="1" applyProtection="1">
      <alignment horizontal="right"/>
    </xf>
    <xf numFmtId="0" fontId="94" fillId="0" borderId="0" xfId="0" quotePrefix="1" applyFont="1" applyFill="1" applyBorder="1" applyAlignment="1" applyProtection="1">
      <alignment horizontal="left" vertical="top"/>
    </xf>
    <xf numFmtId="0" fontId="268" fillId="0" borderId="0" xfId="0" applyFont="1" applyFill="1" applyBorder="1" applyAlignment="1" applyProtection="1"/>
    <xf numFmtId="0" fontId="280" fillId="0" borderId="0" xfId="0" applyFont="1" applyFill="1" applyBorder="1" applyAlignment="1" applyProtection="1"/>
    <xf numFmtId="4" fontId="93" fillId="0" borderId="0" xfId="0" applyNumberFormat="1" applyFont="1" applyFill="1" applyBorder="1" applyAlignment="1" applyProtection="1">
      <alignment vertical="center"/>
    </xf>
    <xf numFmtId="0" fontId="262" fillId="0" borderId="0" xfId="0" quotePrefix="1" applyFont="1" applyFill="1" applyBorder="1" applyAlignment="1" applyProtection="1">
      <alignment horizontal="left" vertical="center"/>
    </xf>
    <xf numFmtId="0" fontId="97" fillId="0" borderId="0" xfId="0" quotePrefix="1" applyFont="1" applyFill="1" applyBorder="1" applyAlignment="1" applyProtection="1">
      <alignment horizontal="right" vertical="center"/>
    </xf>
    <xf numFmtId="0" fontId="97" fillId="0" borderId="0" xfId="0" quotePrefix="1" applyFont="1" applyFill="1" applyBorder="1" applyAlignment="1" applyProtection="1">
      <alignment horizontal="right" vertical="top"/>
    </xf>
    <xf numFmtId="0" fontId="96" fillId="0" borderId="0" xfId="0" applyFont="1" applyFill="1" applyBorder="1" applyAlignment="1" applyProtection="1">
      <alignment horizontal="center"/>
      <protection locked="0"/>
    </xf>
    <xf numFmtId="0" fontId="96" fillId="0" borderId="0" xfId="0" applyFont="1" applyFill="1" applyBorder="1" applyAlignment="1" applyProtection="1">
      <alignment horizontal="center" vertical="top"/>
      <protection locked="0"/>
    </xf>
    <xf numFmtId="0" fontId="267" fillId="0" borderId="0" xfId="0" quotePrefix="1" applyFont="1" applyFill="1" applyBorder="1" applyAlignment="1" applyProtection="1">
      <alignment vertical="top"/>
    </xf>
    <xf numFmtId="0" fontId="94" fillId="0" borderId="0" xfId="0" quotePrefix="1" applyFont="1" applyFill="1" applyBorder="1" applyAlignment="1">
      <alignment vertical="top"/>
    </xf>
    <xf numFmtId="0" fontId="271" fillId="0" borderId="0" xfId="0" applyFont="1" applyFill="1" applyBorder="1" applyAlignment="1" applyProtection="1"/>
    <xf numFmtId="38" fontId="257" fillId="0" borderId="0" xfId="0" applyNumberFormat="1" applyFont="1" applyFill="1" applyBorder="1" applyAlignment="1" applyProtection="1">
      <alignment horizontal="center" vertical="center"/>
    </xf>
    <xf numFmtId="182" fontId="257" fillId="0" borderId="0" xfId="0" applyNumberFormat="1" applyFont="1" applyFill="1" applyBorder="1" applyAlignment="1" applyProtection="1">
      <alignment horizontal="center" vertical="center"/>
    </xf>
    <xf numFmtId="0" fontId="286" fillId="0" borderId="0" xfId="33" applyFont="1" applyFill="1" applyBorder="1" applyAlignment="1"/>
    <xf numFmtId="0" fontId="249" fillId="0" borderId="0" xfId="33" applyFont="1" applyFill="1" applyBorder="1" applyAlignment="1"/>
    <xf numFmtId="0" fontId="249" fillId="0" borderId="0" xfId="33" applyFont="1" applyFill="1" applyBorder="1" applyAlignment="1">
      <alignment horizontal="left" vertical="center"/>
    </xf>
    <xf numFmtId="0" fontId="249" fillId="0" borderId="0" xfId="33" applyFont="1" applyFill="1" applyBorder="1" applyAlignment="1">
      <alignment vertical="center"/>
    </xf>
    <xf numFmtId="164" fontId="249" fillId="0" borderId="0" xfId="34" applyNumberFormat="1" applyFont="1" applyFill="1" applyBorder="1" applyAlignment="1">
      <alignment vertical="center"/>
    </xf>
    <xf numFmtId="0" fontId="283" fillId="0" borderId="0" xfId="33" applyFont="1" applyFill="1" applyBorder="1" applyAlignment="1"/>
    <xf numFmtId="14" fontId="249" fillId="0" borderId="0" xfId="34" applyNumberFormat="1" applyFont="1" applyFill="1" applyBorder="1" applyAlignment="1">
      <alignment vertical="center"/>
    </xf>
    <xf numFmtId="0" fontId="249" fillId="0" borderId="0" xfId="33" applyFont="1" applyFill="1" applyBorder="1" applyAlignment="1">
      <alignment horizontal="center" vertical="center"/>
    </xf>
    <xf numFmtId="164" fontId="249" fillId="0" borderId="0" xfId="34" applyNumberFormat="1" applyFont="1" applyFill="1" applyBorder="1" applyAlignment="1" applyProtection="1">
      <alignment vertical="center"/>
      <protection locked="0"/>
    </xf>
    <xf numFmtId="164" fontId="249" fillId="0" borderId="0" xfId="34" applyNumberFormat="1" applyFont="1" applyFill="1" applyBorder="1" applyAlignment="1">
      <alignment horizontal="center" vertical="center"/>
    </xf>
    <xf numFmtId="43" fontId="249" fillId="0" borderId="0" xfId="34" applyFont="1" applyFill="1" applyBorder="1" applyAlignment="1">
      <alignment vertical="center"/>
    </xf>
    <xf numFmtId="166" fontId="249" fillId="0" borderId="0" xfId="35" applyNumberFormat="1" applyFont="1" applyFill="1" applyBorder="1" applyAlignment="1">
      <alignment vertical="center"/>
    </xf>
    <xf numFmtId="0" fontId="249" fillId="0" borderId="0" xfId="33" applyFont="1" applyFill="1" applyBorder="1" applyAlignment="1">
      <alignment horizontal="center"/>
    </xf>
    <xf numFmtId="0" fontId="249" fillId="0" borderId="0" xfId="33" applyFont="1" applyFill="1" applyBorder="1" applyAlignment="1">
      <alignment horizontal="left"/>
    </xf>
    <xf numFmtId="166" fontId="249" fillId="0" borderId="0" xfId="35" applyNumberFormat="1" applyFont="1" applyFill="1" applyBorder="1" applyAlignment="1"/>
    <xf numFmtId="0" fontId="287" fillId="0" borderId="0" xfId="33" applyFont="1" applyFill="1" applyBorder="1" applyAlignment="1">
      <alignment horizontal="left"/>
    </xf>
    <xf numFmtId="0" fontId="103" fillId="0" borderId="0" xfId="33" applyFont="1" applyFill="1" applyBorder="1" applyAlignment="1">
      <alignment horizontal="left"/>
    </xf>
    <xf numFmtId="164" fontId="249" fillId="0" borderId="0" xfId="34" applyNumberFormat="1" applyFont="1" applyFill="1" applyBorder="1" applyAlignment="1"/>
    <xf numFmtId="0" fontId="288" fillId="0" borderId="0" xfId="33" applyFont="1" applyFill="1" applyBorder="1" applyAlignment="1">
      <alignment vertical="center"/>
    </xf>
    <xf numFmtId="183" fontId="103" fillId="0" borderId="0" xfId="33" applyNumberFormat="1" applyFont="1" applyFill="1" applyBorder="1" applyAlignment="1" applyProtection="1">
      <alignment horizontal="center" vertical="center"/>
      <protection locked="0"/>
    </xf>
    <xf numFmtId="184" fontId="103" fillId="0" borderId="0" xfId="33" applyNumberFormat="1" applyFont="1" applyFill="1" applyBorder="1" applyAlignment="1" applyProtection="1">
      <alignment horizontal="center" vertical="center"/>
      <protection locked="0"/>
    </xf>
    <xf numFmtId="37" fontId="103" fillId="0" borderId="0" xfId="34" applyNumberFormat="1" applyFont="1" applyFill="1" applyBorder="1" applyAlignment="1" applyProtection="1">
      <alignment vertical="center"/>
      <protection locked="0"/>
    </xf>
    <xf numFmtId="185" fontId="103" fillId="0" borderId="0" xfId="33" applyNumberFormat="1" applyFont="1" applyFill="1" applyBorder="1" applyAlignment="1">
      <alignment horizontal="center" vertical="center"/>
    </xf>
    <xf numFmtId="183" fontId="103" fillId="0" borderId="0" xfId="33" applyNumberFormat="1" applyFont="1" applyFill="1" applyBorder="1" applyAlignment="1">
      <alignment horizontal="center" vertical="center"/>
    </xf>
    <xf numFmtId="0" fontId="103" fillId="0" borderId="0" xfId="33" applyFont="1" applyFill="1" applyBorder="1" applyAlignment="1"/>
    <xf numFmtId="164" fontId="103" fillId="0" borderId="0" xfId="34" applyNumberFormat="1" applyFont="1" applyFill="1" applyBorder="1" applyAlignment="1">
      <alignment horizontal="center" vertical="center"/>
    </xf>
    <xf numFmtId="164" fontId="249" fillId="0" borderId="0" xfId="33" applyNumberFormat="1" applyFont="1" applyFill="1" applyBorder="1" applyAlignment="1"/>
    <xf numFmtId="0" fontId="249" fillId="0" borderId="0" xfId="33" applyFont="1" applyFill="1" applyBorder="1" applyAlignment="1">
      <alignment horizontal="right" vertical="center"/>
    </xf>
    <xf numFmtId="0" fontId="249" fillId="0" borderId="0" xfId="33" applyFont="1" applyFill="1" applyBorder="1" applyAlignment="1">
      <alignment horizontal="right"/>
    </xf>
    <xf numFmtId="183" fontId="249" fillId="0" borderId="0" xfId="33" applyNumberFormat="1" applyFont="1" applyFill="1" applyBorder="1" applyAlignment="1">
      <alignment horizontal="center"/>
    </xf>
    <xf numFmtId="183" fontId="249" fillId="0" borderId="0" xfId="33" applyNumberFormat="1" applyFont="1" applyFill="1" applyBorder="1" applyAlignment="1">
      <alignment horizontal="center" vertical="center"/>
    </xf>
    <xf numFmtId="37" fontId="249" fillId="0" borderId="0" xfId="34" applyNumberFormat="1" applyFont="1" applyFill="1" applyBorder="1" applyAlignment="1" applyProtection="1">
      <alignment vertical="center"/>
      <protection locked="0"/>
    </xf>
    <xf numFmtId="37" fontId="249" fillId="0" borderId="0" xfId="33" applyNumberFormat="1" applyFont="1" applyFill="1" applyBorder="1" applyAlignment="1">
      <alignment vertical="center"/>
    </xf>
    <xf numFmtId="164" fontId="249" fillId="0" borderId="0" xfId="34" applyNumberFormat="1" applyFont="1" applyFill="1" applyBorder="1" applyAlignment="1">
      <alignment horizontal="center"/>
    </xf>
    <xf numFmtId="164" fontId="283" fillId="0" borderId="0" xfId="34" applyNumberFormat="1" applyFont="1" applyFill="1" applyBorder="1" applyAlignment="1">
      <alignment horizontal="center" vertical="center"/>
    </xf>
    <xf numFmtId="0" fontId="15" fillId="5" borderId="3" xfId="0" applyFont="1" applyFill="1" applyBorder="1" applyAlignment="1" applyProtection="1">
      <alignment horizontal="center" vertical="center"/>
    </xf>
    <xf numFmtId="3" fontId="46" fillId="0" borderId="0" xfId="1" applyNumberFormat="1" applyFont="1" applyBorder="1" applyAlignment="1" applyProtection="1">
      <alignment vertical="center"/>
    </xf>
    <xf numFmtId="1" fontId="15" fillId="5" borderId="86" xfId="0" applyNumberFormat="1" applyFont="1" applyFill="1" applyBorder="1" applyAlignment="1" applyProtection="1">
      <alignment horizontal="center" vertical="center"/>
    </xf>
    <xf numFmtId="0" fontId="15" fillId="5" borderId="16" xfId="0" applyFont="1" applyFill="1" applyBorder="1" applyAlignment="1" applyProtection="1">
      <alignment horizontal="center" vertical="center"/>
    </xf>
    <xf numFmtId="0" fontId="15" fillId="5" borderId="86" xfId="0" applyFont="1" applyFill="1" applyBorder="1" applyAlignment="1" applyProtection="1">
      <alignment horizontal="center" vertical="center"/>
    </xf>
    <xf numFmtId="10" fontId="15" fillId="5" borderId="86" xfId="0" applyNumberFormat="1" applyFont="1" applyFill="1" applyBorder="1" applyAlignment="1" applyProtection="1">
      <alignment horizontal="center" vertical="center"/>
    </xf>
    <xf numFmtId="10" fontId="15" fillId="5" borderId="18" xfId="0" applyNumberFormat="1" applyFont="1" applyFill="1" applyBorder="1" applyAlignment="1" applyProtection="1">
      <alignment horizontal="center" vertical="center"/>
    </xf>
    <xf numFmtId="0" fontId="15" fillId="5" borderId="28" xfId="0" applyFont="1" applyFill="1" applyBorder="1" applyAlignment="1" applyProtection="1">
      <alignment horizontal="center" vertical="center"/>
    </xf>
    <xf numFmtId="0" fontId="15" fillId="5" borderId="33" xfId="0" applyFont="1" applyFill="1" applyBorder="1" applyAlignment="1" applyProtection="1">
      <alignment horizontal="center" vertical="center"/>
    </xf>
    <xf numFmtId="10" fontId="15" fillId="5" borderId="17" xfId="0" applyNumberFormat="1" applyFont="1" applyFill="1" applyBorder="1" applyAlignment="1" applyProtection="1">
      <alignment horizontal="center" vertical="center"/>
    </xf>
    <xf numFmtId="175" fontId="15" fillId="5" borderId="22" xfId="0" applyNumberFormat="1" applyFont="1" applyFill="1" applyBorder="1" applyAlignment="1" applyProtection="1">
      <alignment horizontal="center" vertical="center"/>
    </xf>
    <xf numFmtId="0" fontId="15" fillId="5" borderId="22" xfId="0" applyFont="1" applyFill="1" applyBorder="1" applyAlignment="1" applyProtection="1">
      <alignment horizontal="center" vertical="center"/>
    </xf>
    <xf numFmtId="0" fontId="15" fillId="5" borderId="12" xfId="0" applyFont="1" applyFill="1" applyBorder="1" applyAlignment="1" applyProtection="1">
      <alignment horizontal="center" vertical="center"/>
    </xf>
    <xf numFmtId="0" fontId="15" fillId="5" borderId="16" xfId="0" applyFont="1" applyFill="1" applyBorder="1" applyAlignment="1" applyProtection="1">
      <alignment horizontal="center" vertical="top"/>
    </xf>
    <xf numFmtId="4" fontId="42" fillId="5" borderId="184" xfId="0" applyNumberFormat="1" applyFont="1" applyFill="1" applyBorder="1" applyAlignment="1" applyProtection="1">
      <alignment vertical="top" wrapText="1"/>
    </xf>
    <xf numFmtId="4" fontId="42" fillId="5" borderId="25" xfId="0" applyNumberFormat="1" applyFont="1" applyFill="1" applyBorder="1" applyAlignment="1" applyProtection="1">
      <alignment horizontal="left" vertical="top" wrapText="1"/>
    </xf>
    <xf numFmtId="4" fontId="42" fillId="5" borderId="24" xfId="0" applyNumberFormat="1" applyFont="1" applyFill="1" applyBorder="1" applyAlignment="1" applyProtection="1">
      <alignment horizontal="left" vertical="top" wrapText="1"/>
    </xf>
    <xf numFmtId="0" fontId="15" fillId="5" borderId="3" xfId="0" applyFont="1" applyFill="1" applyBorder="1" applyAlignment="1" applyProtection="1">
      <alignment horizontal="center" vertical="top"/>
    </xf>
    <xf numFmtId="0" fontId="15" fillId="5" borderId="86" xfId="0" applyFont="1" applyFill="1" applyBorder="1" applyAlignment="1" applyProtection="1">
      <alignment horizontal="center" vertical="top"/>
    </xf>
    <xf numFmtId="3" fontId="5" fillId="5" borderId="134" xfId="1" applyNumberFormat="1" applyFont="1" applyFill="1" applyBorder="1" applyAlignment="1" applyProtection="1">
      <alignment horizontal="center" vertical="center"/>
    </xf>
    <xf numFmtId="3" fontId="5" fillId="5" borderId="18" xfId="1" applyNumberFormat="1" applyFont="1" applyFill="1" applyBorder="1" applyAlignment="1" applyProtection="1">
      <alignment horizontal="center" vertical="center"/>
    </xf>
    <xf numFmtId="3" fontId="5" fillId="5" borderId="3" xfId="1" applyNumberFormat="1" applyFont="1" applyFill="1" applyBorder="1" applyAlignment="1" applyProtection="1">
      <alignment horizontal="center" vertical="center"/>
    </xf>
    <xf numFmtId="0" fontId="15" fillId="0" borderId="0" xfId="0" applyFont="1" applyAlignment="1" applyProtection="1">
      <alignment horizontal="right" vertical="center"/>
    </xf>
    <xf numFmtId="0" fontId="4" fillId="0" borderId="81" xfId="0" applyFont="1" applyBorder="1" applyProtection="1"/>
    <xf numFmtId="0" fontId="15" fillId="5" borderId="10" xfId="0" applyFont="1" applyFill="1" applyBorder="1" applyAlignment="1" applyProtection="1">
      <alignment horizontal="center" vertical="center"/>
    </xf>
    <xf numFmtId="0" fontId="15" fillId="5" borderId="100" xfId="0" applyFont="1" applyFill="1" applyBorder="1" applyAlignment="1" applyProtection="1">
      <alignment horizontal="center" vertical="center"/>
    </xf>
    <xf numFmtId="0" fontId="11" fillId="5" borderId="16" xfId="0" applyFont="1" applyFill="1" applyBorder="1" applyAlignment="1" applyProtection="1">
      <alignment horizontal="center" vertical="center"/>
    </xf>
    <xf numFmtId="0" fontId="11" fillId="5" borderId="22" xfId="0"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3" fontId="5" fillId="5" borderId="114" xfId="1" applyNumberFormat="1" applyFont="1" applyFill="1" applyBorder="1" applyAlignment="1" applyProtection="1">
      <alignment horizontal="center" vertical="center"/>
    </xf>
    <xf numFmtId="0" fontId="15" fillId="5" borderId="86" xfId="0" applyFont="1" applyFill="1" applyBorder="1" applyAlignment="1" applyProtection="1">
      <alignment vertical="top"/>
    </xf>
    <xf numFmtId="3" fontId="9" fillId="5" borderId="110" xfId="0" applyNumberFormat="1" applyFont="1" applyFill="1" applyBorder="1" applyAlignment="1" applyProtection="1">
      <alignment horizontal="center" vertical="center"/>
    </xf>
    <xf numFmtId="0" fontId="21" fillId="0" borderId="0" xfId="0" applyFont="1" applyAlignment="1" applyProtection="1">
      <alignment vertical="center"/>
    </xf>
    <xf numFmtId="0" fontId="11" fillId="10" borderId="38" xfId="0" applyFont="1" applyFill="1" applyBorder="1" applyAlignment="1" applyProtection="1">
      <alignment horizontal="center" vertical="center" wrapText="1"/>
    </xf>
    <xf numFmtId="0" fontId="11" fillId="13" borderId="38" xfId="0" applyFont="1" applyFill="1" applyBorder="1" applyAlignment="1" applyProtection="1">
      <alignment horizontal="center" vertical="center" wrapText="1"/>
    </xf>
    <xf numFmtId="9" fontId="17" fillId="0" borderId="13" xfId="0" applyNumberFormat="1" applyFont="1" applyBorder="1" applyAlignment="1" applyProtection="1">
      <alignment horizontal="center" vertical="center" wrapText="1"/>
    </xf>
    <xf numFmtId="0" fontId="43" fillId="0" borderId="20" xfId="0" applyFont="1" applyBorder="1" applyAlignment="1" applyProtection="1">
      <alignment vertical="center"/>
    </xf>
    <xf numFmtId="0" fontId="5" fillId="0" borderId="99" xfId="0" applyFont="1" applyBorder="1" applyAlignment="1" applyProtection="1">
      <alignment horizontal="center" vertical="center" wrapText="1"/>
    </xf>
    <xf numFmtId="0" fontId="5" fillId="0" borderId="98" xfId="0" applyFont="1" applyBorder="1" applyAlignment="1" applyProtection="1">
      <alignment horizontal="center" vertical="center" wrapText="1"/>
    </xf>
    <xf numFmtId="0" fontId="5" fillId="0" borderId="134" xfId="0" applyFont="1" applyBorder="1" applyAlignment="1" applyProtection="1">
      <alignment horizontal="center" vertical="center" wrapText="1"/>
    </xf>
    <xf numFmtId="0" fontId="43" fillId="0" borderId="20" xfId="0" applyFont="1" applyBorder="1" applyProtection="1"/>
    <xf numFmtId="0" fontId="5" fillId="0" borderId="20" xfId="0" applyFont="1" applyBorder="1" applyProtection="1"/>
    <xf numFmtId="182" fontId="5" fillId="0" borderId="99" xfId="0" applyNumberFormat="1" applyFont="1" applyBorder="1" applyAlignment="1" applyProtection="1">
      <alignment horizontal="center" vertical="center" wrapText="1"/>
    </xf>
    <xf numFmtId="38" fontId="5" fillId="0" borderId="99" xfId="0" applyNumberFormat="1" applyFont="1" applyBorder="1" applyAlignment="1" applyProtection="1">
      <alignment horizontal="center" vertical="center" wrapText="1"/>
    </xf>
    <xf numFmtId="38" fontId="5" fillId="0" borderId="193" xfId="0" applyNumberFormat="1" applyFont="1" applyBorder="1" applyAlignment="1" applyProtection="1">
      <alignment horizontal="center" vertical="center" wrapText="1"/>
    </xf>
    <xf numFmtId="38" fontId="5" fillId="0" borderId="194" xfId="0" applyNumberFormat="1" applyFont="1" applyBorder="1" applyAlignment="1" applyProtection="1">
      <alignment horizontal="center" vertical="center" wrapText="1"/>
    </xf>
    <xf numFmtId="38" fontId="5" fillId="0" borderId="134" xfId="0" applyNumberFormat="1" applyFont="1" applyBorder="1" applyAlignment="1" applyProtection="1">
      <alignment horizontal="center" vertical="center" wrapText="1"/>
    </xf>
    <xf numFmtId="0" fontId="43" fillId="0" borderId="21" xfId="0" applyFont="1" applyBorder="1" applyAlignment="1" applyProtection="1">
      <alignment vertical="center"/>
    </xf>
    <xf numFmtId="0" fontId="5" fillId="0" borderId="50" xfId="0" applyFont="1" applyBorder="1" applyAlignment="1" applyProtection="1">
      <alignment horizontal="center" vertical="center" wrapText="1"/>
    </xf>
    <xf numFmtId="0" fontId="5" fillId="0" borderId="25" xfId="0" applyFont="1" applyBorder="1" applyAlignment="1" applyProtection="1">
      <alignment horizontal="center" vertical="center" wrapText="1"/>
    </xf>
    <xf numFmtId="0" fontId="5" fillId="0" borderId="17" xfId="0" applyFont="1" applyBorder="1" applyAlignment="1" applyProtection="1">
      <alignment horizontal="center" vertical="center" wrapText="1"/>
    </xf>
    <xf numFmtId="38" fontId="5" fillId="0" borderId="50" xfId="0" applyNumberFormat="1" applyFont="1" applyBorder="1" applyAlignment="1" applyProtection="1">
      <alignment horizontal="center" vertical="center" wrapText="1"/>
    </xf>
    <xf numFmtId="38" fontId="5" fillId="0" borderId="25" xfId="0" applyNumberFormat="1" applyFont="1" applyBorder="1" applyAlignment="1" applyProtection="1">
      <alignment horizontal="center" vertical="center" wrapText="1"/>
    </xf>
    <xf numFmtId="0" fontId="5" fillId="0" borderId="195" xfId="0" applyFont="1" applyBorder="1" applyAlignment="1" applyProtection="1">
      <alignment horizontal="center" vertical="center" wrapText="1"/>
    </xf>
    <xf numFmtId="38" fontId="5" fillId="0" borderId="196" xfId="0" applyNumberFormat="1" applyFont="1" applyBorder="1" applyAlignment="1" applyProtection="1">
      <alignment horizontal="center" vertical="center" wrapText="1"/>
    </xf>
    <xf numFmtId="182" fontId="5" fillId="0" borderId="50" xfId="0" applyNumberFormat="1" applyFont="1" applyBorder="1" applyAlignment="1" applyProtection="1">
      <alignment horizontal="center" vertical="center" wrapText="1"/>
    </xf>
    <xf numFmtId="182" fontId="5" fillId="0" borderId="25" xfId="0" applyNumberFormat="1" applyFont="1" applyBorder="1" applyAlignment="1" applyProtection="1">
      <alignment horizontal="center" vertical="center" wrapText="1"/>
    </xf>
    <xf numFmtId="182" fontId="5" fillId="0" borderId="196" xfId="0" applyNumberFormat="1" applyFont="1" applyBorder="1" applyAlignment="1" applyProtection="1">
      <alignment horizontal="center" vertical="center" wrapText="1"/>
    </xf>
    <xf numFmtId="0" fontId="5" fillId="0" borderId="196" xfId="0" applyFont="1" applyBorder="1" applyAlignment="1" applyProtection="1">
      <alignment horizontal="center" vertical="center" wrapText="1"/>
    </xf>
    <xf numFmtId="0" fontId="5" fillId="27" borderId="50" xfId="0" applyFont="1" applyFill="1" applyBorder="1" applyAlignment="1" applyProtection="1">
      <alignment horizontal="center" vertical="center" wrapText="1"/>
    </xf>
    <xf numFmtId="0" fontId="5" fillId="27" borderId="25" xfId="0" applyFont="1" applyFill="1" applyBorder="1" applyAlignment="1" applyProtection="1">
      <alignment horizontal="center" vertical="center" wrapText="1"/>
    </xf>
    <xf numFmtId="0" fontId="5" fillId="27" borderId="195" xfId="0" applyFont="1" applyFill="1" applyBorder="1" applyAlignment="1" applyProtection="1">
      <alignment horizontal="center" vertical="center" wrapText="1"/>
    </xf>
    <xf numFmtId="38" fontId="5" fillId="0" borderId="195" xfId="0" applyNumberFormat="1" applyFont="1" applyBorder="1" applyAlignment="1" applyProtection="1">
      <alignment horizontal="center" vertical="center" wrapText="1"/>
    </xf>
    <xf numFmtId="38" fontId="5" fillId="0" borderId="17" xfId="0" applyNumberFormat="1" applyFont="1" applyBorder="1" applyAlignment="1" applyProtection="1">
      <alignment horizontal="center" vertical="center" wrapText="1"/>
    </xf>
    <xf numFmtId="38" fontId="5" fillId="27" borderId="50" xfId="0" applyNumberFormat="1" applyFont="1" applyFill="1" applyBorder="1" applyAlignment="1" applyProtection="1">
      <alignment horizontal="center" vertical="center" wrapText="1"/>
    </xf>
    <xf numFmtId="0" fontId="43" fillId="0" borderId="58" xfId="0" applyFont="1" applyBorder="1" applyAlignment="1" applyProtection="1">
      <alignment vertical="center"/>
    </xf>
    <xf numFmtId="0" fontId="5" fillId="0" borderId="48" xfId="0" applyFont="1" applyBorder="1" applyAlignment="1" applyProtection="1">
      <alignment horizontal="center" vertical="center" wrapText="1"/>
    </xf>
    <xf numFmtId="0" fontId="5" fillId="0" borderId="24" xfId="0" applyFont="1" applyBorder="1" applyAlignment="1" applyProtection="1">
      <alignment horizontal="center" vertical="center" wrapText="1"/>
    </xf>
    <xf numFmtId="0" fontId="5" fillId="0" borderId="18" xfId="0" applyFont="1" applyBorder="1" applyAlignment="1" applyProtection="1">
      <alignment horizontal="center" vertical="center" wrapText="1"/>
    </xf>
    <xf numFmtId="38" fontId="5" fillId="0" borderId="24" xfId="0" applyNumberFormat="1" applyFont="1" applyBorder="1" applyAlignment="1" applyProtection="1">
      <alignment horizontal="center" vertical="center" wrapText="1"/>
    </xf>
    <xf numFmtId="0" fontId="5" fillId="0" borderId="197" xfId="0" applyFont="1" applyBorder="1" applyAlignment="1" applyProtection="1">
      <alignment horizontal="center" vertical="center" wrapText="1"/>
    </xf>
    <xf numFmtId="0" fontId="5" fillId="0" borderId="198" xfId="0" applyFont="1" applyBorder="1" applyAlignment="1" applyProtection="1">
      <alignment horizontal="center" vertical="center" wrapText="1"/>
    </xf>
    <xf numFmtId="0" fontId="19" fillId="0" borderId="0" xfId="0" applyFont="1" applyProtection="1"/>
    <xf numFmtId="187" fontId="11" fillId="0" borderId="0" xfId="0" applyNumberFormat="1" applyFont="1" applyAlignment="1" applyProtection="1">
      <alignment horizontal="center" vertical="center"/>
    </xf>
    <xf numFmtId="38" fontId="9" fillId="5" borderId="17" xfId="0" applyNumberFormat="1" applyFont="1" applyFill="1" applyBorder="1" applyAlignment="1" applyProtection="1">
      <alignment horizontal="center" vertical="center"/>
    </xf>
    <xf numFmtId="38" fontId="9" fillId="5" borderId="18" xfId="0" applyNumberFormat="1" applyFont="1" applyFill="1" applyBorder="1" applyAlignment="1" applyProtection="1">
      <alignment horizontal="center" vertical="center"/>
    </xf>
    <xf numFmtId="1" fontId="11" fillId="5" borderId="86" xfId="0" applyNumberFormat="1" applyFont="1" applyFill="1" applyBorder="1" applyAlignment="1" applyProtection="1">
      <alignment horizontal="center" vertical="center"/>
    </xf>
    <xf numFmtId="182" fontId="11" fillId="5" borderId="17" xfId="0" applyNumberFormat="1" applyFont="1" applyFill="1" applyBorder="1" applyAlignment="1" applyProtection="1">
      <alignment horizontal="center" vertical="center"/>
    </xf>
    <xf numFmtId="182" fontId="11" fillId="5" borderId="18" xfId="0" applyNumberFormat="1" applyFont="1" applyFill="1" applyBorder="1" applyAlignment="1" applyProtection="1">
      <alignment horizontal="center" vertical="center"/>
    </xf>
    <xf numFmtId="168" fontId="43" fillId="10" borderId="86" xfId="0" applyNumberFormat="1" applyFont="1" applyFill="1" applyBorder="1" applyAlignment="1" applyProtection="1">
      <alignment vertical="center"/>
    </xf>
    <xf numFmtId="182" fontId="9" fillId="5" borderId="17" xfId="0" applyNumberFormat="1" applyFont="1" applyFill="1" applyBorder="1" applyAlignment="1" applyProtection="1">
      <alignment horizontal="center" vertical="top"/>
    </xf>
    <xf numFmtId="182" fontId="9" fillId="5" borderId="18" xfId="0" applyNumberFormat="1" applyFont="1" applyFill="1" applyBorder="1" applyAlignment="1" applyProtection="1">
      <alignment horizontal="center" vertical="center"/>
    </xf>
    <xf numFmtId="186" fontId="43" fillId="10" borderId="78" xfId="0" applyNumberFormat="1" applyFont="1" applyFill="1" applyBorder="1" applyAlignment="1" applyProtection="1">
      <alignment horizontal="center" vertical="center"/>
    </xf>
    <xf numFmtId="38" fontId="9" fillId="5" borderId="18" xfId="0" applyNumberFormat="1" applyFont="1" applyFill="1" applyBorder="1" applyAlignment="1" applyProtection="1">
      <alignment horizontal="center" vertical="top"/>
    </xf>
    <xf numFmtId="38" fontId="9" fillId="5" borderId="86" xfId="0" applyNumberFormat="1" applyFont="1" applyFill="1" applyBorder="1" applyAlignment="1" applyProtection="1">
      <alignment horizontal="center" vertical="center"/>
    </xf>
    <xf numFmtId="0" fontId="9" fillId="10" borderId="15" xfId="0" applyFont="1" applyFill="1" applyBorder="1" applyAlignment="1" applyProtection="1">
      <alignment horizontal="center" vertical="center"/>
    </xf>
    <xf numFmtId="0" fontId="105" fillId="0" borderId="0" xfId="0" applyFont="1" applyFill="1" applyAlignment="1" applyProtection="1">
      <alignment vertical="center"/>
    </xf>
    <xf numFmtId="0" fontId="42" fillId="0" borderId="0" xfId="0" applyFont="1" applyFill="1" applyAlignment="1" applyProtection="1">
      <alignment wrapText="1"/>
    </xf>
    <xf numFmtId="0" fontId="14" fillId="0" borderId="0" xfId="0" applyFont="1" applyFill="1" applyAlignment="1" applyProtection="1">
      <alignment vertical="center" wrapText="1"/>
    </xf>
    <xf numFmtId="0" fontId="94" fillId="0" borderId="0" xfId="0" applyFont="1" applyFill="1" applyAlignment="1" applyProtection="1">
      <alignment wrapText="1"/>
    </xf>
    <xf numFmtId="0" fontId="94" fillId="0" borderId="0" xfId="0" applyFont="1" applyAlignment="1" applyProtection="1">
      <alignment wrapText="1"/>
    </xf>
    <xf numFmtId="0" fontId="114" fillId="0" borderId="0" xfId="0" applyFont="1" applyAlignment="1" applyProtection="1">
      <alignment vertical="center"/>
    </xf>
    <xf numFmtId="0" fontId="14" fillId="0" borderId="0" xfId="0" applyFont="1" applyAlignment="1" applyProtection="1">
      <alignment vertical="center"/>
    </xf>
    <xf numFmtId="0" fontId="104" fillId="0" borderId="0" xfId="0" applyFont="1" applyAlignment="1" applyProtection="1">
      <alignment horizontal="center" vertical="center"/>
    </xf>
    <xf numFmtId="38" fontId="11" fillId="5" borderId="86" xfId="0" applyNumberFormat="1" applyFont="1" applyFill="1" applyBorder="1" applyAlignment="1" applyProtection="1">
      <alignment horizontal="center" vertical="center"/>
    </xf>
    <xf numFmtId="0" fontId="15" fillId="0" borderId="0" xfId="0" quotePrefix="1" applyFont="1" applyAlignment="1" applyProtection="1">
      <alignment horizontal="center" vertical="center"/>
    </xf>
    <xf numFmtId="38" fontId="11" fillId="5" borderId="134" xfId="0" applyNumberFormat="1" applyFont="1" applyFill="1" applyBorder="1" applyAlignment="1" applyProtection="1">
      <alignment horizontal="center" vertical="center"/>
    </xf>
    <xf numFmtId="38" fontId="11" fillId="5" borderId="17" xfId="0" applyNumberFormat="1" applyFont="1" applyFill="1" applyBorder="1" applyAlignment="1" applyProtection="1">
      <alignment horizontal="center" vertical="top"/>
    </xf>
    <xf numFmtId="38" fontId="11" fillId="5" borderId="18" xfId="0" applyNumberFormat="1" applyFont="1" applyFill="1" applyBorder="1" applyAlignment="1" applyProtection="1">
      <alignment horizontal="center" vertical="center"/>
    </xf>
    <xf numFmtId="0" fontId="29" fillId="0" borderId="0" xfId="0" applyFont="1" applyAlignment="1" applyProtection="1">
      <alignment vertical="center"/>
    </xf>
    <xf numFmtId="0" fontId="11" fillId="0" borderId="0" xfId="0" quotePrefix="1" applyFont="1" applyAlignment="1" applyProtection="1">
      <alignment horizontal="center" vertical="center" wrapText="1"/>
    </xf>
    <xf numFmtId="0" fontId="19" fillId="0" borderId="0" xfId="0" applyFont="1" applyAlignment="1" applyProtection="1">
      <alignment vertical="center"/>
    </xf>
    <xf numFmtId="0" fontId="25" fillId="0" borderId="0" xfId="0" applyFont="1" applyAlignment="1" applyProtection="1">
      <alignment vertical="center"/>
    </xf>
    <xf numFmtId="0" fontId="5" fillId="0" borderId="0" xfId="0" quotePrefix="1" applyFont="1" applyAlignment="1" applyProtection="1">
      <alignment horizontal="left" vertical="center"/>
    </xf>
    <xf numFmtId="1" fontId="92" fillId="10" borderId="86" xfId="0" applyNumberFormat="1" applyFont="1" applyFill="1" applyBorder="1" applyAlignment="1" applyProtection="1">
      <alignment horizontal="center" vertical="center" wrapText="1"/>
    </xf>
    <xf numFmtId="0" fontId="15" fillId="0" borderId="0" xfId="0" quotePrefix="1" applyFont="1" applyAlignment="1" applyProtection="1">
      <alignment horizontal="left" vertical="center"/>
    </xf>
    <xf numFmtId="0" fontId="236" fillId="0" borderId="0" xfId="0" applyFont="1" applyAlignment="1" applyProtection="1">
      <alignment horizontal="left" vertical="top"/>
    </xf>
    <xf numFmtId="0" fontId="110" fillId="0" borderId="0" xfId="0" applyFont="1" applyAlignment="1" applyProtection="1">
      <alignment horizontal="left" vertical="center"/>
    </xf>
    <xf numFmtId="0" fontId="183" fillId="0" borderId="0" xfId="0" applyFont="1" applyAlignment="1" applyProtection="1">
      <alignment vertical="center" wrapText="1"/>
    </xf>
    <xf numFmtId="0" fontId="215" fillId="0" borderId="0" xfId="0" applyFont="1" applyProtection="1"/>
    <xf numFmtId="0" fontId="90" fillId="0" borderId="0" xfId="0" applyFont="1" applyAlignment="1" applyProtection="1">
      <alignment horizontal="left" vertical="center"/>
    </xf>
    <xf numFmtId="38" fontId="9" fillId="5" borderId="134" xfId="0" applyNumberFormat="1" applyFont="1" applyFill="1" applyBorder="1" applyAlignment="1" applyProtection="1">
      <alignment horizontal="center" vertical="center"/>
    </xf>
    <xf numFmtId="0" fontId="5" fillId="5" borderId="16" xfId="0" applyFont="1" applyFill="1" applyBorder="1" applyAlignment="1" applyProtection="1">
      <alignment horizontal="center" vertical="center"/>
    </xf>
    <xf numFmtId="0" fontId="239" fillId="0" borderId="0" xfId="0" applyFont="1" applyAlignment="1" applyProtection="1">
      <alignment horizontal="right"/>
    </xf>
    <xf numFmtId="0" fontId="5" fillId="5" borderId="18" xfId="0" applyFont="1" applyFill="1" applyBorder="1" applyAlignment="1" applyProtection="1">
      <alignment horizontal="center" vertical="center"/>
    </xf>
    <xf numFmtId="38" fontId="9" fillId="5" borderId="22" xfId="0" applyNumberFormat="1" applyFont="1" applyFill="1" applyBorder="1" applyAlignment="1" applyProtection="1">
      <alignment horizontal="center" vertical="center"/>
    </xf>
    <xf numFmtId="38" fontId="9" fillId="5" borderId="15" xfId="0" applyNumberFormat="1" applyFont="1" applyFill="1" applyBorder="1" applyAlignment="1" applyProtection="1">
      <alignment horizontal="center" vertical="center"/>
    </xf>
    <xf numFmtId="38" fontId="9" fillId="10" borderId="22" xfId="0" applyNumberFormat="1" applyFont="1" applyFill="1" applyBorder="1" applyAlignment="1" applyProtection="1">
      <alignment horizontal="center" vertical="center"/>
    </xf>
    <xf numFmtId="38" fontId="9" fillId="10" borderId="18" xfId="0" applyNumberFormat="1" applyFont="1" applyFill="1" applyBorder="1" applyAlignment="1" applyProtection="1">
      <alignment horizontal="center" vertical="center"/>
    </xf>
    <xf numFmtId="0" fontId="43" fillId="5" borderId="134" xfId="0" applyFont="1" applyFill="1" applyBorder="1" applyAlignment="1" applyProtection="1">
      <alignment horizontal="center"/>
    </xf>
    <xf numFmtId="0" fontId="43" fillId="5" borderId="17" xfId="0" applyFont="1" applyFill="1" applyBorder="1" applyAlignment="1" applyProtection="1">
      <alignment horizontal="center" vertical="top"/>
    </xf>
    <xf numFmtId="0" fontId="43" fillId="5" borderId="18" xfId="0" applyFont="1" applyFill="1" applyBorder="1" applyAlignment="1" applyProtection="1">
      <alignment horizontal="center" vertical="center"/>
    </xf>
    <xf numFmtId="0" fontId="43" fillId="5" borderId="18" xfId="0" applyFont="1" applyFill="1" applyBorder="1" applyAlignment="1" applyProtection="1">
      <alignment horizontal="center"/>
    </xf>
    <xf numFmtId="38" fontId="9" fillId="5" borderId="110" xfId="0" applyNumberFormat="1" applyFont="1" applyFill="1" applyBorder="1" applyAlignment="1" applyProtection="1">
      <alignment horizontal="center" vertical="center"/>
    </xf>
    <xf numFmtId="0" fontId="43" fillId="5" borderId="134" xfId="0" applyFont="1" applyFill="1" applyBorder="1" applyAlignment="1" applyProtection="1">
      <alignment horizontal="center" vertical="top"/>
    </xf>
    <xf numFmtId="0" fontId="5" fillId="0" borderId="0" xfId="0" quotePrefix="1" applyFont="1" applyAlignment="1" applyProtection="1">
      <alignment vertical="top"/>
    </xf>
    <xf numFmtId="0" fontId="5" fillId="0" borderId="0" xfId="0" quotePrefix="1" applyFont="1" applyAlignment="1" applyProtection="1">
      <alignment vertical="top" wrapText="1"/>
    </xf>
    <xf numFmtId="0" fontId="43" fillId="5" borderId="18" xfId="0" applyFont="1" applyFill="1" applyBorder="1" applyAlignment="1" applyProtection="1">
      <alignment horizontal="center" vertical="top"/>
    </xf>
    <xf numFmtId="0" fontId="41" fillId="0" borderId="0" xfId="0" applyFont="1" applyFill="1" applyAlignment="1" applyProtection="1">
      <alignment horizontal="center" vertical="center" wrapText="1"/>
    </xf>
    <xf numFmtId="0" fontId="46" fillId="0" borderId="13" xfId="0" applyFont="1" applyFill="1" applyBorder="1" applyAlignment="1" applyProtection="1">
      <alignment horizontal="center" vertical="center"/>
    </xf>
    <xf numFmtId="0" fontId="46" fillId="0" borderId="0" xfId="0" applyFont="1" applyFill="1" applyBorder="1" applyAlignment="1" applyProtection="1">
      <alignment horizontal="left"/>
    </xf>
    <xf numFmtId="0" fontId="46" fillId="0" borderId="0" xfId="0" applyFont="1" applyFill="1" applyBorder="1" applyAlignment="1" applyProtection="1">
      <alignment horizontal="left" vertical="center"/>
    </xf>
    <xf numFmtId="0" fontId="46" fillId="0" borderId="0" xfId="0" applyFont="1" applyFill="1" applyAlignment="1" applyProtection="1">
      <alignment horizontal="left" vertical="center"/>
    </xf>
    <xf numFmtId="0" fontId="46" fillId="0" borderId="8" xfId="0" applyFont="1" applyFill="1" applyBorder="1" applyAlignment="1" applyProtection="1">
      <alignment horizontal="left" vertical="center"/>
    </xf>
    <xf numFmtId="0" fontId="46" fillId="0" borderId="0" xfId="0" applyFont="1" applyFill="1" applyAlignment="1" applyProtection="1">
      <alignment horizontal="center" vertical="center"/>
    </xf>
    <xf numFmtId="0" fontId="46" fillId="0" borderId="13" xfId="0" applyFont="1" applyFill="1" applyBorder="1" applyAlignment="1" applyProtection="1">
      <alignment horizontal="left" vertical="center"/>
    </xf>
    <xf numFmtId="0" fontId="9" fillId="0" borderId="0" xfId="0" applyFont="1" applyFill="1" applyAlignment="1" applyProtection="1">
      <alignment horizontal="left"/>
    </xf>
    <xf numFmtId="0" fontId="46" fillId="0" borderId="5" xfId="0" applyFont="1" applyFill="1" applyBorder="1" applyAlignment="1" applyProtection="1">
      <alignment vertical="center"/>
    </xf>
    <xf numFmtId="0" fontId="46" fillId="0" borderId="7" xfId="0" applyFont="1" applyFill="1" applyBorder="1" applyAlignment="1" applyProtection="1">
      <alignment vertical="center"/>
    </xf>
    <xf numFmtId="0" fontId="46" fillId="0" borderId="0" xfId="0" applyFont="1" applyFill="1" applyBorder="1" applyAlignment="1" applyProtection="1">
      <alignment vertical="center"/>
    </xf>
    <xf numFmtId="0" fontId="46" fillId="0" borderId="0" xfId="0" applyFont="1" applyFill="1" applyBorder="1" applyAlignment="1" applyProtection="1">
      <alignment horizontal="center" vertical="center"/>
    </xf>
    <xf numFmtId="0" fontId="46" fillId="0" borderId="9" xfId="0" applyFont="1" applyFill="1" applyBorder="1" applyAlignment="1" applyProtection="1">
      <alignment vertical="center"/>
    </xf>
    <xf numFmtId="0" fontId="46" fillId="0" borderId="13" xfId="0" applyFont="1" applyFill="1" applyBorder="1" applyAlignment="1" applyProtection="1">
      <alignment vertical="center"/>
    </xf>
    <xf numFmtId="0" fontId="46" fillId="0" borderId="0" xfId="0" applyFont="1" applyFill="1" applyBorder="1" applyAlignment="1" applyProtection="1">
      <alignment horizontal="center" wrapText="1"/>
    </xf>
    <xf numFmtId="0" fontId="46" fillId="0" borderId="8" xfId="0" applyFont="1" applyFill="1" applyBorder="1" applyAlignment="1" applyProtection="1">
      <alignment vertical="center"/>
    </xf>
    <xf numFmtId="0" fontId="46" fillId="0" borderId="80" xfId="0" applyFont="1" applyFill="1" applyBorder="1" applyAlignment="1" applyProtection="1">
      <alignment vertical="center"/>
    </xf>
    <xf numFmtId="0" fontId="46" fillId="0" borderId="85" xfId="0" applyFont="1" applyFill="1" applyBorder="1" applyAlignment="1" applyProtection="1">
      <alignment vertical="center"/>
    </xf>
    <xf numFmtId="0" fontId="46" fillId="0" borderId="82" xfId="0" applyFont="1" applyFill="1" applyBorder="1" applyAlignment="1" applyProtection="1">
      <alignment horizontal="center" vertical="center"/>
    </xf>
    <xf numFmtId="0" fontId="43" fillId="0" borderId="0" xfId="0" applyFont="1" applyFill="1" applyAlignment="1" applyProtection="1">
      <alignment horizontal="left" vertical="center"/>
    </xf>
    <xf numFmtId="0" fontId="43" fillId="0" borderId="0" xfId="0" applyFont="1" applyFill="1" applyBorder="1" applyAlignment="1" applyProtection="1">
      <alignment horizontal="left" vertical="center"/>
    </xf>
    <xf numFmtId="0" fontId="43" fillId="0" borderId="0" xfId="0" applyFont="1" applyFill="1" applyAlignment="1" applyProtection="1">
      <alignment horizontal="center" vertical="center" wrapText="1"/>
    </xf>
    <xf numFmtId="171" fontId="54" fillId="0" borderId="0" xfId="0" applyNumberFormat="1" applyFont="1" applyFill="1" applyBorder="1" applyAlignment="1" applyProtection="1">
      <alignment horizontal="center" vertical="center"/>
    </xf>
    <xf numFmtId="4" fontId="63" fillId="0" borderId="20" xfId="1" applyNumberFormat="1" applyFont="1" applyFill="1" applyBorder="1" applyAlignment="1" applyProtection="1">
      <alignment horizontal="right" vertical="center"/>
    </xf>
    <xf numFmtId="4" fontId="63" fillId="0" borderId="19" xfId="1" applyNumberFormat="1" applyFont="1" applyFill="1" applyBorder="1" applyAlignment="1" applyProtection="1">
      <alignment horizontal="right" vertical="center"/>
    </xf>
    <xf numFmtId="171" fontId="52" fillId="0" borderId="19" xfId="0" applyNumberFormat="1" applyFont="1" applyFill="1" applyBorder="1" applyAlignment="1" applyProtection="1">
      <alignment horizontal="left" vertical="center"/>
    </xf>
    <xf numFmtId="164" fontId="46" fillId="0" borderId="0" xfId="1" applyNumberFormat="1" applyFont="1" applyFill="1" applyBorder="1" applyAlignment="1" applyProtection="1">
      <alignment horizontal="center" vertical="center"/>
    </xf>
    <xf numFmtId="0" fontId="46" fillId="0" borderId="2" xfId="0" applyFont="1" applyFill="1" applyBorder="1" applyAlignment="1" applyProtection="1">
      <alignment horizontal="center" vertical="center"/>
    </xf>
    <xf numFmtId="0" fontId="9" fillId="0" borderId="0" xfId="0" applyFont="1" applyAlignment="1" applyProtection="1">
      <alignment horizontal="center"/>
    </xf>
    <xf numFmtId="0" fontId="11" fillId="0" borderId="0" xfId="0" applyFont="1" applyFill="1" applyAlignment="1" applyProtection="1">
      <alignment horizontal="center" vertical="center" wrapText="1"/>
    </xf>
    <xf numFmtId="0" fontId="9" fillId="0" borderId="0" xfId="0" applyFont="1" applyFill="1" applyAlignment="1" applyProtection="1">
      <alignment horizontal="center" vertical="center"/>
    </xf>
    <xf numFmtId="0" fontId="9" fillId="0" borderId="0" xfId="0" applyFont="1" applyFill="1" applyBorder="1" applyAlignment="1" applyProtection="1">
      <alignment horizontal="left" vertical="top" wrapText="1"/>
    </xf>
    <xf numFmtId="0" fontId="9" fillId="0" borderId="0" xfId="0" applyFont="1" applyFill="1" applyAlignment="1" applyProtection="1">
      <alignment horizontal="left" vertical="center"/>
    </xf>
    <xf numFmtId="0" fontId="11" fillId="0" borderId="0" xfId="0" applyFont="1" applyFill="1" applyAlignment="1" applyProtection="1">
      <alignment horizontal="center" wrapText="1"/>
    </xf>
    <xf numFmtId="0" fontId="9" fillId="0" borderId="0" xfId="0" applyFont="1" applyFill="1" applyAlignment="1" applyProtection="1">
      <alignment horizontal="center"/>
    </xf>
    <xf numFmtId="0" fontId="5" fillId="0" borderId="0" xfId="0" applyFont="1" applyFill="1" applyAlignment="1" applyProtection="1">
      <alignment horizontal="left" vertical="top" wrapText="1"/>
    </xf>
    <xf numFmtId="0" fontId="5" fillId="0" borderId="0" xfId="0" applyFont="1" applyFill="1" applyBorder="1" applyAlignment="1" applyProtection="1">
      <alignment horizontal="center" wrapText="1"/>
    </xf>
    <xf numFmtId="0" fontId="5" fillId="0" borderId="0" xfId="0" applyFont="1" applyFill="1" applyBorder="1" applyAlignment="1" applyProtection="1">
      <alignment horizontal="left" vertical="top" wrapText="1"/>
    </xf>
    <xf numFmtId="0" fontId="15" fillId="0" borderId="0" xfId="0" applyFont="1" applyFill="1" applyBorder="1" applyAlignment="1" applyProtection="1">
      <alignment horizontal="left" vertical="top" wrapText="1"/>
    </xf>
    <xf numFmtId="0" fontId="15" fillId="5" borderId="17" xfId="0" applyFont="1" applyFill="1" applyBorder="1" applyAlignment="1" applyProtection="1">
      <alignment horizontal="center" vertical="top"/>
    </xf>
    <xf numFmtId="0" fontId="15" fillId="5" borderId="18" xfId="0" applyFont="1" applyFill="1" applyBorder="1" applyAlignment="1" applyProtection="1">
      <alignment horizontal="center" vertical="top"/>
    </xf>
    <xf numFmtId="0" fontId="5" fillId="0" borderId="0" xfId="0" applyFont="1" applyFill="1" applyBorder="1" applyAlignment="1" applyProtection="1">
      <alignment horizontal="left" vertical="center" wrapText="1"/>
    </xf>
    <xf numFmtId="0" fontId="5" fillId="0" borderId="0" xfId="0" applyFont="1" applyAlignment="1" applyProtection="1">
      <alignment horizontal="center" vertical="center"/>
    </xf>
    <xf numFmtId="0" fontId="5" fillId="0" borderId="0" xfId="0" applyFont="1" applyFill="1" applyBorder="1" applyAlignment="1" applyProtection="1">
      <alignment horizontal="center" vertical="center" wrapText="1"/>
    </xf>
    <xf numFmtId="0" fontId="15" fillId="5" borderId="12" xfId="0" applyFont="1" applyFill="1" applyBorder="1" applyAlignment="1" applyProtection="1">
      <alignment horizontal="center" vertical="top"/>
    </xf>
    <xf numFmtId="0" fontId="15" fillId="5" borderId="100" xfId="0" applyFont="1" applyFill="1" applyBorder="1" applyAlignment="1" applyProtection="1">
      <alignment horizontal="center" vertical="top"/>
    </xf>
    <xf numFmtId="0" fontId="15" fillId="5" borderId="22" xfId="0" applyFont="1" applyFill="1" applyBorder="1" applyAlignment="1" applyProtection="1">
      <alignment horizontal="center" vertical="top"/>
    </xf>
    <xf numFmtId="0" fontId="5" fillId="0" borderId="0" xfId="0" applyFont="1" applyFill="1" applyAlignment="1" applyProtection="1">
      <alignment horizontal="left" vertical="center" wrapText="1"/>
    </xf>
    <xf numFmtId="0" fontId="15" fillId="5" borderId="17" xfId="0" applyFont="1" applyFill="1" applyBorder="1" applyAlignment="1" applyProtection="1">
      <alignment horizontal="center" vertical="center"/>
    </xf>
    <xf numFmtId="0" fontId="5" fillId="0" borderId="13" xfId="0" applyFont="1" applyFill="1" applyBorder="1" applyAlignment="1" applyProtection="1">
      <alignment horizontal="left" vertical="center" wrapText="1"/>
    </xf>
    <xf numFmtId="0" fontId="15" fillId="5" borderId="134" xfId="0" applyFont="1" applyFill="1" applyBorder="1" applyAlignment="1" applyProtection="1">
      <alignment horizontal="center" vertical="center"/>
    </xf>
    <xf numFmtId="0" fontId="11" fillId="0" borderId="38" xfId="0" applyFont="1" applyBorder="1" applyAlignment="1" applyProtection="1">
      <alignment horizontal="center" vertical="center" wrapText="1"/>
    </xf>
    <xf numFmtId="0" fontId="15" fillId="0" borderId="0" xfId="0" applyFont="1" applyFill="1" applyBorder="1" applyAlignment="1" applyProtection="1">
      <alignment horizontal="center"/>
    </xf>
    <xf numFmtId="0" fontId="15" fillId="5" borderId="18" xfId="0" applyFont="1" applyFill="1" applyBorder="1" applyAlignment="1" applyProtection="1">
      <alignment horizontal="center" vertical="center"/>
    </xf>
    <xf numFmtId="0" fontId="5" fillId="0" borderId="0" xfId="0" applyFont="1" applyFill="1" applyAlignment="1" applyProtection="1">
      <alignment horizontal="center" vertical="center"/>
    </xf>
    <xf numFmtId="0" fontId="87" fillId="20" borderId="0" xfId="0" applyFont="1" applyFill="1" applyAlignment="1" applyProtection="1">
      <alignment horizontal="left" vertical="center"/>
    </xf>
    <xf numFmtId="0" fontId="103" fillId="20" borderId="0" xfId="0" applyFont="1" applyFill="1" applyAlignment="1" applyProtection="1">
      <alignment horizontal="left" vertical="center"/>
    </xf>
    <xf numFmtId="0" fontId="54" fillId="0" borderId="0" xfId="0" quotePrefix="1" applyFont="1" applyAlignment="1" applyProtection="1">
      <alignment horizontal="center"/>
    </xf>
    <xf numFmtId="164" fontId="46" fillId="5" borderId="3" xfId="1" applyNumberFormat="1" applyFont="1" applyFill="1" applyBorder="1" applyAlignment="1" applyProtection="1">
      <alignment vertical="center"/>
    </xf>
    <xf numFmtId="164" fontId="46" fillId="5" borderId="17" xfId="1" applyNumberFormat="1" applyFont="1" applyFill="1" applyBorder="1" applyAlignment="1" applyProtection="1">
      <alignment horizontal="center" vertical="center"/>
    </xf>
    <xf numFmtId="0" fontId="46" fillId="5" borderId="17" xfId="0" applyFont="1" applyFill="1" applyBorder="1" applyAlignment="1" applyProtection="1">
      <alignment horizontal="left"/>
    </xf>
    <xf numFmtId="0" fontId="46" fillId="5" borderId="86" xfId="0" applyFont="1" applyFill="1" applyBorder="1" applyAlignment="1" applyProtection="1">
      <alignment horizontal="center" vertical="center"/>
    </xf>
    <xf numFmtId="0" fontId="46" fillId="5" borderId="17" xfId="0" applyFont="1" applyFill="1" applyBorder="1" applyAlignment="1" applyProtection="1">
      <alignment horizontal="center" vertical="center"/>
    </xf>
    <xf numFmtId="164" fontId="46" fillId="5" borderId="3" xfId="1" applyNumberFormat="1" applyFont="1" applyFill="1" applyBorder="1" applyAlignment="1" applyProtection="1">
      <alignment horizontal="center" vertical="center"/>
    </xf>
    <xf numFmtId="0" fontId="46" fillId="5" borderId="12" xfId="0" applyFont="1" applyFill="1" applyBorder="1" applyAlignment="1" applyProtection="1">
      <alignment horizontal="left" vertical="center"/>
    </xf>
    <xf numFmtId="175" fontId="46" fillId="5" borderId="3" xfId="0" applyNumberFormat="1" applyFont="1" applyFill="1" applyBorder="1" applyAlignment="1" applyProtection="1">
      <alignment horizontal="center" vertical="center"/>
    </xf>
    <xf numFmtId="0" fontId="46" fillId="5" borderId="3" xfId="0" applyFont="1" applyFill="1" applyBorder="1" applyAlignment="1" applyProtection="1">
      <alignment horizontal="center" vertical="center"/>
    </xf>
    <xf numFmtId="3" fontId="46" fillId="5" borderId="16" xfId="1" applyNumberFormat="1" applyFont="1" applyFill="1" applyBorder="1" applyAlignment="1" applyProtection="1">
      <alignment horizontal="center" vertical="center"/>
    </xf>
    <xf numFmtId="3" fontId="46" fillId="5" borderId="3" xfId="1" applyNumberFormat="1" applyFont="1" applyFill="1" applyBorder="1" applyAlignment="1" applyProtection="1">
      <alignment horizontal="center" vertical="center"/>
    </xf>
    <xf numFmtId="3" fontId="46" fillId="5" borderId="18" xfId="1" applyNumberFormat="1" applyFont="1" applyFill="1" applyBorder="1" applyAlignment="1" applyProtection="1">
      <alignment horizontal="center" vertical="center"/>
    </xf>
    <xf numFmtId="3" fontId="46" fillId="5" borderId="134" xfId="1" applyNumberFormat="1" applyFont="1" applyFill="1" applyBorder="1" applyAlignment="1" applyProtection="1">
      <alignment horizontal="center" vertical="center"/>
    </xf>
    <xf numFmtId="3" fontId="46" fillId="5" borderId="86" xfId="1" applyNumberFormat="1" applyFont="1" applyFill="1" applyBorder="1" applyAlignment="1" applyProtection="1">
      <alignment horizontal="center" vertical="center"/>
    </xf>
    <xf numFmtId="0" fontId="86" fillId="5" borderId="3" xfId="0" applyFont="1" applyFill="1" applyBorder="1" applyAlignment="1" applyProtection="1">
      <alignment horizontal="center" vertical="center"/>
    </xf>
    <xf numFmtId="0" fontId="46" fillId="5" borderId="16" xfId="0" applyFont="1" applyFill="1" applyBorder="1" applyAlignment="1" applyProtection="1">
      <alignment horizontal="center" vertical="center"/>
    </xf>
    <xf numFmtId="0" fontId="46" fillId="5" borderId="134" xfId="0" applyFont="1" applyFill="1" applyBorder="1" applyAlignment="1" applyProtection="1">
      <alignment horizontal="center" vertical="center"/>
    </xf>
    <xf numFmtId="0" fontId="46" fillId="5" borderId="18" xfId="0" applyFont="1" applyFill="1" applyBorder="1" applyAlignment="1" applyProtection="1">
      <alignment horizontal="center" vertical="center"/>
    </xf>
    <xf numFmtId="0" fontId="46" fillId="5" borderId="17" xfId="0" applyFont="1" applyFill="1" applyBorder="1" applyAlignment="1" applyProtection="1">
      <alignment horizontal="left" vertical="center"/>
    </xf>
    <xf numFmtId="0" fontId="46" fillId="5" borderId="3" xfId="0" applyFont="1" applyFill="1" applyBorder="1" applyAlignment="1" applyProtection="1">
      <alignment horizontal="center"/>
    </xf>
    <xf numFmtId="3" fontId="46" fillId="5" borderId="3" xfId="0" applyNumberFormat="1" applyFont="1" applyFill="1" applyBorder="1" applyAlignment="1" applyProtection="1">
      <alignment horizontal="center"/>
    </xf>
    <xf numFmtId="0" fontId="42" fillId="5" borderId="23" xfId="0" applyFont="1" applyFill="1" applyBorder="1" applyAlignment="1" applyProtection="1">
      <alignment horizontal="center" vertical="center"/>
    </xf>
    <xf numFmtId="0" fontId="42" fillId="5" borderId="25" xfId="0" applyFont="1" applyFill="1" applyBorder="1" applyAlignment="1" applyProtection="1">
      <alignment horizontal="center" vertical="center"/>
    </xf>
    <xf numFmtId="0" fontId="42" fillId="5" borderId="24" xfId="0" applyFont="1" applyFill="1" applyBorder="1" applyAlignment="1" applyProtection="1">
      <alignment horizontal="center" vertical="center"/>
    </xf>
    <xf numFmtId="0" fontId="86" fillId="5" borderId="15" xfId="0" applyFont="1" applyFill="1" applyBorder="1" applyAlignment="1" applyProtection="1">
      <alignment horizontal="center" vertical="center"/>
    </xf>
    <xf numFmtId="1" fontId="46" fillId="5" borderId="17" xfId="0" applyNumberFormat="1" applyFont="1" applyFill="1" applyBorder="1" applyAlignment="1" applyProtection="1">
      <alignment horizontal="center" vertical="center"/>
    </xf>
    <xf numFmtId="0" fontId="46" fillId="5" borderId="17" xfId="0" applyFont="1" applyFill="1" applyBorder="1" applyAlignment="1" applyProtection="1">
      <alignment horizontal="center"/>
    </xf>
    <xf numFmtId="0" fontId="46" fillId="5" borderId="134" xfId="0" applyFont="1" applyFill="1" applyBorder="1" applyAlignment="1" applyProtection="1">
      <alignment horizontal="center"/>
    </xf>
    <xf numFmtId="0" fontId="46" fillId="5" borderId="86" xfId="0" applyFont="1" applyFill="1" applyBorder="1" applyAlignment="1" applyProtection="1">
      <alignment horizontal="center"/>
    </xf>
    <xf numFmtId="0" fontId="46" fillId="5" borderId="18" xfId="0" applyFont="1" applyFill="1" applyBorder="1" applyAlignment="1" applyProtection="1">
      <alignment horizontal="center"/>
    </xf>
    <xf numFmtId="3" fontId="46" fillId="5" borderId="17" xfId="1" applyNumberFormat="1" applyFont="1" applyFill="1" applyBorder="1" applyAlignment="1" applyProtection="1">
      <alignment horizontal="center" vertical="center"/>
    </xf>
    <xf numFmtId="3" fontId="46" fillId="5" borderId="134" xfId="0" applyNumberFormat="1" applyFont="1" applyFill="1" applyBorder="1" applyAlignment="1" applyProtection="1">
      <alignment horizontal="center" vertical="center"/>
    </xf>
    <xf numFmtId="3" fontId="46" fillId="5" borderId="18" xfId="0" applyNumberFormat="1" applyFont="1" applyFill="1" applyBorder="1" applyAlignment="1" applyProtection="1">
      <alignment horizontal="center" vertical="center"/>
    </xf>
    <xf numFmtId="0" fontId="54" fillId="0" borderId="0" xfId="0" applyFont="1" applyProtection="1"/>
    <xf numFmtId="0" fontId="46" fillId="0" borderId="0" xfId="0" quotePrefix="1" applyFont="1" applyAlignment="1" applyProtection="1">
      <alignment horizontal="right"/>
    </xf>
    <xf numFmtId="0" fontId="42" fillId="5" borderId="134" xfId="0" applyFont="1" applyFill="1" applyBorder="1" applyAlignment="1" applyProtection="1">
      <alignment horizontal="center" vertical="center"/>
    </xf>
    <xf numFmtId="0" fontId="42" fillId="5" borderId="17" xfId="0" applyFont="1" applyFill="1" applyBorder="1" applyAlignment="1" applyProtection="1">
      <alignment horizontal="center" vertical="center"/>
    </xf>
    <xf numFmtId="0" fontId="42" fillId="5" borderId="18" xfId="0" applyFont="1" applyFill="1" applyBorder="1" applyAlignment="1" applyProtection="1">
      <alignment horizontal="center" vertical="center"/>
    </xf>
    <xf numFmtId="0" fontId="46" fillId="0" borderId="0" xfId="0" quotePrefix="1" applyFont="1" applyAlignment="1" applyProtection="1">
      <alignment horizontal="left"/>
    </xf>
    <xf numFmtId="174" fontId="46" fillId="0" borderId="0" xfId="0" applyNumberFormat="1" applyFont="1" applyAlignment="1" applyProtection="1">
      <alignment horizontal="left" vertical="center"/>
    </xf>
    <xf numFmtId="0" fontId="223" fillId="0" borderId="0" xfId="0" applyFont="1" applyProtection="1"/>
    <xf numFmtId="0" fontId="223" fillId="0" borderId="0" xfId="0" applyFont="1" applyAlignment="1" applyProtection="1">
      <alignment horizontal="left"/>
    </xf>
    <xf numFmtId="0" fontId="54" fillId="0" borderId="0" xfId="0" applyFont="1" applyAlignment="1" applyProtection="1">
      <alignment horizontal="left" vertical="center"/>
    </xf>
    <xf numFmtId="0" fontId="54" fillId="0" borderId="0" xfId="0" applyFont="1" applyAlignment="1" applyProtection="1">
      <alignment vertical="top"/>
    </xf>
    <xf numFmtId="0" fontId="54" fillId="0" borderId="0" xfId="0" applyFont="1" applyAlignment="1" applyProtection="1">
      <alignment vertical="top" wrapText="1"/>
    </xf>
    <xf numFmtId="0" fontId="54" fillId="0" borderId="13" xfId="0" applyFont="1" applyBorder="1" applyAlignment="1" applyProtection="1">
      <alignment vertical="top"/>
    </xf>
    <xf numFmtId="0" fontId="54" fillId="0" borderId="13" xfId="0" applyFont="1" applyBorder="1" applyAlignment="1" applyProtection="1">
      <alignment vertical="top" wrapText="1"/>
    </xf>
    <xf numFmtId="0" fontId="46" fillId="0" borderId="0" xfId="0" applyFont="1" applyAlignment="1" applyProtection="1">
      <alignment horizontal="center"/>
    </xf>
    <xf numFmtId="14" fontId="46" fillId="0" borderId="93" xfId="0" applyNumberFormat="1" applyFont="1" applyBorder="1" applyAlignment="1" applyProtection="1">
      <alignment horizontal="center"/>
    </xf>
    <xf numFmtId="0" fontId="46" fillId="0" borderId="76" xfId="0" applyFont="1" applyBorder="1" applyAlignment="1" applyProtection="1">
      <alignment horizontal="center" vertical="top"/>
    </xf>
    <xf numFmtId="0" fontId="223" fillId="0" borderId="0" xfId="0" applyFont="1" applyAlignment="1" applyProtection="1">
      <alignment horizontal="left" vertical="center"/>
    </xf>
    <xf numFmtId="1" fontId="54" fillId="10" borderId="16" xfId="0" applyNumberFormat="1" applyFont="1" applyFill="1" applyBorder="1" applyAlignment="1" applyProtection="1">
      <alignment horizontal="center" vertical="center"/>
    </xf>
    <xf numFmtId="10" fontId="54" fillId="10" borderId="16" xfId="0" applyNumberFormat="1" applyFont="1" applyFill="1" applyBorder="1" applyAlignment="1" applyProtection="1">
      <alignment horizontal="center" vertical="center"/>
    </xf>
    <xf numFmtId="0" fontId="46" fillId="0" borderId="0" xfId="0" applyFont="1" applyAlignment="1" applyProtection="1">
      <alignment horizontal="left" vertical="center"/>
    </xf>
    <xf numFmtId="1" fontId="54" fillId="10" borderId="17" xfId="0" applyNumberFormat="1" applyFont="1" applyFill="1" applyBorder="1" applyAlignment="1" applyProtection="1">
      <alignment horizontal="center" vertical="center"/>
    </xf>
    <xf numFmtId="10" fontId="54" fillId="10" borderId="17" xfId="0" applyNumberFormat="1" applyFont="1" applyFill="1" applyBorder="1" applyAlignment="1" applyProtection="1">
      <alignment horizontal="center" vertical="center"/>
    </xf>
    <xf numFmtId="0" fontId="46" fillId="0" borderId="0" xfId="0" applyFont="1" applyAlignment="1" applyProtection="1">
      <alignment horizontal="left" vertical="center" wrapText="1"/>
    </xf>
    <xf numFmtId="1" fontId="54" fillId="10" borderId="18" xfId="0" applyNumberFormat="1" applyFont="1" applyFill="1" applyBorder="1" applyAlignment="1" applyProtection="1">
      <alignment horizontal="center" vertical="center"/>
    </xf>
    <xf numFmtId="10" fontId="54" fillId="10" borderId="18" xfId="0" applyNumberFormat="1" applyFont="1" applyFill="1" applyBorder="1" applyAlignment="1" applyProtection="1">
      <alignment horizontal="center" vertical="center"/>
    </xf>
    <xf numFmtId="1" fontId="85" fillId="0" borderId="0" xfId="0" applyNumberFormat="1" applyFont="1" applyAlignment="1" applyProtection="1">
      <alignment horizontal="center" vertical="center"/>
    </xf>
    <xf numFmtId="1" fontId="85" fillId="0" borderId="0" xfId="0" applyNumberFormat="1" applyFont="1" applyAlignment="1" applyProtection="1">
      <alignment vertical="center"/>
    </xf>
    <xf numFmtId="1" fontId="85" fillId="0" borderId="85" xfId="0" applyNumberFormat="1" applyFont="1" applyBorder="1" applyAlignment="1" applyProtection="1">
      <alignment vertical="center"/>
    </xf>
    <xf numFmtId="10" fontId="85" fillId="0" borderId="85" xfId="0" applyNumberFormat="1" applyFont="1" applyBorder="1" applyAlignment="1" applyProtection="1">
      <alignment vertical="center"/>
    </xf>
    <xf numFmtId="10" fontId="85" fillId="0" borderId="0" xfId="0" applyNumberFormat="1" applyFont="1" applyAlignment="1" applyProtection="1">
      <alignment vertical="center"/>
    </xf>
    <xf numFmtId="49" fontId="85" fillId="0" borderId="0" xfId="0" applyNumberFormat="1" applyFont="1" applyAlignment="1" applyProtection="1">
      <alignment vertical="center"/>
    </xf>
    <xf numFmtId="174" fontId="43" fillId="0" borderId="0" xfId="0" applyNumberFormat="1" applyFont="1" applyAlignment="1" applyProtection="1">
      <alignment horizontal="left" vertical="center"/>
    </xf>
    <xf numFmtId="0" fontId="1" fillId="0" borderId="0" xfId="0" applyFont="1" applyProtection="1"/>
    <xf numFmtId="0" fontId="46" fillId="0" borderId="0" xfId="0" applyFont="1" applyAlignment="1" applyProtection="1">
      <alignment horizontal="left"/>
    </xf>
    <xf numFmtId="0" fontId="46" fillId="5" borderId="16" xfId="0" applyFont="1" applyFill="1" applyBorder="1" applyAlignment="1" applyProtection="1">
      <alignment horizontal="center"/>
    </xf>
    <xf numFmtId="0" fontId="80" fillId="0" borderId="0" xfId="0" quotePrefix="1" applyNumberFormat="1" applyFont="1" applyProtection="1"/>
    <xf numFmtId="0" fontId="114" fillId="0" borderId="0" xfId="0" applyNumberFormat="1" applyFont="1" applyProtection="1"/>
    <xf numFmtId="0" fontId="114" fillId="0" borderId="0" xfId="0" applyFont="1" applyProtection="1"/>
    <xf numFmtId="0" fontId="96" fillId="0" borderId="0" xfId="0" applyFont="1" applyProtection="1"/>
    <xf numFmtId="0" fontId="85" fillId="0" borderId="0" xfId="0" applyNumberFormat="1" applyFont="1" applyProtection="1"/>
    <xf numFmtId="0" fontId="104" fillId="0" borderId="0" xfId="0" applyFont="1" applyProtection="1"/>
    <xf numFmtId="0" fontId="96" fillId="0" borderId="0" xfId="0" applyNumberFormat="1" applyFont="1" applyProtection="1"/>
    <xf numFmtId="0" fontId="60" fillId="0" borderId="0" xfId="0" applyFont="1" applyFill="1" applyAlignment="1" applyProtection="1">
      <alignment horizontal="center" vertical="center"/>
    </xf>
    <xf numFmtId="0" fontId="46" fillId="5" borderId="79" xfId="0" applyFont="1" applyFill="1" applyBorder="1" applyAlignment="1" applyProtection="1">
      <alignment horizontal="center"/>
    </xf>
    <xf numFmtId="0" fontId="69" fillId="0" borderId="0" xfId="6" applyFont="1" applyFill="1" applyAlignment="1" applyProtection="1">
      <alignment vertical="center"/>
    </xf>
    <xf numFmtId="0" fontId="109" fillId="0" borderId="0" xfId="6" applyFont="1" applyFill="1" applyBorder="1" applyAlignment="1" applyProtection="1">
      <alignment vertical="center"/>
    </xf>
    <xf numFmtId="0" fontId="46" fillId="5" borderId="37" xfId="0" applyFont="1" applyFill="1" applyBorder="1" applyAlignment="1" applyProtection="1">
      <alignment horizontal="center"/>
    </xf>
    <xf numFmtId="167" fontId="46" fillId="0" borderId="2" xfId="0" applyNumberFormat="1" applyFont="1" applyFill="1" applyBorder="1" applyAlignment="1" applyProtection="1">
      <alignment vertical="center"/>
    </xf>
    <xf numFmtId="167" fontId="46" fillId="0" borderId="0" xfId="0" applyNumberFormat="1" applyFont="1" applyFill="1" applyBorder="1" applyAlignment="1" applyProtection="1">
      <alignment vertical="center"/>
    </xf>
    <xf numFmtId="1" fontId="46" fillId="0" borderId="0" xfId="0" applyNumberFormat="1" applyFont="1" applyFill="1" applyBorder="1" applyAlignment="1" applyProtection="1">
      <alignment horizontal="center" vertical="center"/>
    </xf>
    <xf numFmtId="167" fontId="46" fillId="0" borderId="13" xfId="0" applyNumberFormat="1" applyFont="1" applyFill="1" applyBorder="1" applyAlignment="1" applyProtection="1">
      <alignment vertical="center"/>
    </xf>
    <xf numFmtId="0" fontId="46" fillId="5" borderId="18" xfId="0" applyFont="1" applyFill="1" applyBorder="1" applyAlignment="1" applyProtection="1">
      <alignment horizontal="left" vertical="center"/>
    </xf>
    <xf numFmtId="0" fontId="86" fillId="0" borderId="84" xfId="0" applyFont="1" applyFill="1" applyBorder="1" applyAlignment="1" applyProtection="1">
      <alignment horizontal="center" vertical="center"/>
    </xf>
    <xf numFmtId="0" fontId="46" fillId="5" borderId="15" xfId="0" applyFont="1" applyFill="1" applyBorder="1" applyAlignment="1" applyProtection="1">
      <alignment horizontal="center" vertical="top"/>
    </xf>
    <xf numFmtId="0" fontId="46" fillId="5" borderId="23" xfId="0" applyFont="1" applyFill="1" applyBorder="1" applyAlignment="1" applyProtection="1">
      <alignment horizontal="center" vertical="top"/>
    </xf>
    <xf numFmtId="0" fontId="46" fillId="5" borderId="16" xfId="0" applyFont="1" applyFill="1" applyBorder="1" applyAlignment="1" applyProtection="1">
      <alignment horizontal="center" vertical="top"/>
    </xf>
    <xf numFmtId="0" fontId="46" fillId="5" borderId="16" xfId="0" applyNumberFormat="1" applyFont="1" applyFill="1" applyBorder="1" applyAlignment="1" applyProtection="1">
      <alignment horizontal="center" vertical="top"/>
    </xf>
    <xf numFmtId="173" fontId="46" fillId="5" borderId="16" xfId="10" applyNumberFormat="1" applyFont="1" applyFill="1" applyBorder="1" applyAlignment="1" applyProtection="1">
      <alignment horizontal="center" vertical="top"/>
    </xf>
    <xf numFmtId="0" fontId="46" fillId="5" borderId="51" xfId="0" applyFont="1" applyFill="1" applyBorder="1" applyAlignment="1" applyProtection="1">
      <alignment horizontal="center" vertical="top"/>
    </xf>
    <xf numFmtId="0" fontId="46" fillId="5" borderId="25" xfId="0" applyFont="1" applyFill="1" applyBorder="1" applyAlignment="1" applyProtection="1">
      <alignment horizontal="center" vertical="top"/>
    </xf>
    <xf numFmtId="0" fontId="46" fillId="5" borderId="17" xfId="0" applyFont="1" applyFill="1" applyBorder="1" applyAlignment="1" applyProtection="1">
      <alignment horizontal="center" vertical="top"/>
    </xf>
    <xf numFmtId="0" fontId="46" fillId="5" borderId="17" xfId="0" applyNumberFormat="1" applyFont="1" applyFill="1" applyBorder="1" applyAlignment="1" applyProtection="1">
      <alignment horizontal="center" vertical="top"/>
    </xf>
    <xf numFmtId="173" fontId="46" fillId="5" borderId="17" xfId="10" applyNumberFormat="1" applyFont="1" applyFill="1" applyBorder="1" applyAlignment="1" applyProtection="1">
      <alignment horizontal="center" vertical="top"/>
    </xf>
    <xf numFmtId="0" fontId="46" fillId="5" borderId="50" xfId="0" applyFont="1" applyFill="1" applyBorder="1" applyAlignment="1" applyProtection="1">
      <alignment horizontal="center" vertical="top"/>
    </xf>
    <xf numFmtId="0" fontId="46" fillId="5" borderId="24" xfId="0" applyFont="1" applyFill="1" applyBorder="1" applyAlignment="1" applyProtection="1">
      <alignment horizontal="center" vertical="top"/>
    </xf>
    <xf numFmtId="0" fontId="46" fillId="5" borderId="18" xfId="0" applyFont="1" applyFill="1" applyBorder="1" applyAlignment="1" applyProtection="1">
      <alignment horizontal="center" vertical="top"/>
    </xf>
    <xf numFmtId="0" fontId="46" fillId="5" borderId="18" xfId="0" applyNumberFormat="1" applyFont="1" applyFill="1" applyBorder="1" applyAlignment="1" applyProtection="1">
      <alignment horizontal="center" vertical="top"/>
    </xf>
    <xf numFmtId="173" fontId="46" fillId="5" borderId="18" xfId="10" applyNumberFormat="1" applyFont="1" applyFill="1" applyBorder="1" applyAlignment="1" applyProtection="1">
      <alignment horizontal="center" vertical="top"/>
    </xf>
    <xf numFmtId="0" fontId="46" fillId="5" borderId="48" xfId="0" applyFont="1" applyFill="1" applyBorder="1" applyAlignment="1" applyProtection="1">
      <alignment horizontal="center" vertical="top"/>
    </xf>
    <xf numFmtId="0" fontId="61" fillId="0" borderId="0" xfId="0" applyFont="1" applyAlignment="1" applyProtection="1">
      <alignment vertical="center"/>
    </xf>
    <xf numFmtId="0" fontId="59" fillId="0" borderId="0" xfId="0" applyFont="1" applyProtection="1"/>
    <xf numFmtId="0" fontId="93" fillId="20" borderId="85" xfId="0" applyFont="1" applyFill="1" applyBorder="1" applyAlignment="1" applyProtection="1">
      <alignment vertical="center"/>
    </xf>
    <xf numFmtId="0" fontId="42" fillId="20" borderId="0" xfId="0" applyFont="1" applyFill="1" applyAlignment="1" applyProtection="1">
      <alignment vertical="center"/>
    </xf>
    <xf numFmtId="0" fontId="46" fillId="5" borderId="114" xfId="0" applyFont="1" applyFill="1" applyBorder="1" applyAlignment="1" applyProtection="1">
      <alignment horizontal="center" vertical="center"/>
    </xf>
    <xf numFmtId="0" fontId="88" fillId="20" borderId="0" xfId="0" applyFont="1" applyFill="1" applyAlignment="1" applyProtection="1">
      <alignment vertical="center"/>
    </xf>
    <xf numFmtId="0" fontId="45" fillId="20" borderId="0" xfId="0" applyFont="1" applyFill="1" applyAlignment="1" applyProtection="1">
      <alignment vertical="center"/>
    </xf>
    <xf numFmtId="0" fontId="42" fillId="20" borderId="0" xfId="0" applyFont="1" applyFill="1" applyProtection="1"/>
    <xf numFmtId="166" fontId="46" fillId="5" borderId="16" xfId="0" applyNumberFormat="1" applyFont="1" applyFill="1" applyBorder="1" applyAlignment="1" applyProtection="1">
      <alignment horizontal="center" vertical="center"/>
    </xf>
    <xf numFmtId="166" fontId="46" fillId="5" borderId="17" xfId="0" applyNumberFormat="1" applyFont="1" applyFill="1" applyBorder="1" applyAlignment="1" applyProtection="1">
      <alignment horizontal="center" vertical="center"/>
    </xf>
    <xf numFmtId="166" fontId="46" fillId="5" borderId="18" xfId="0" applyNumberFormat="1" applyFont="1" applyFill="1" applyBorder="1" applyAlignment="1" applyProtection="1">
      <alignment horizontal="center" vertical="center"/>
    </xf>
    <xf numFmtId="166" fontId="46" fillId="5" borderId="86" xfId="0" applyNumberFormat="1" applyFont="1" applyFill="1" applyBorder="1" applyAlignment="1" applyProtection="1">
      <alignment horizontal="center" vertical="center"/>
    </xf>
    <xf numFmtId="0" fontId="42"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166" fontId="46" fillId="0" borderId="0" xfId="0" applyNumberFormat="1" applyFont="1" applyFill="1" applyBorder="1" applyAlignment="1" applyProtection="1">
      <alignment horizontal="center" vertical="center"/>
    </xf>
    <xf numFmtId="38" fontId="46" fillId="0" borderId="0" xfId="2" applyNumberFormat="1" applyFont="1" applyFill="1" applyBorder="1" applyAlignment="1" applyProtection="1">
      <alignment horizontal="center" vertical="center"/>
    </xf>
    <xf numFmtId="0" fontId="42" fillId="0" borderId="13" xfId="0" applyFont="1" applyFill="1" applyBorder="1" applyAlignment="1" applyProtection="1">
      <alignment horizontal="center" vertical="center"/>
    </xf>
    <xf numFmtId="38" fontId="86" fillId="0" borderId="13" xfId="0" applyNumberFormat="1" applyFont="1" applyFill="1" applyBorder="1" applyAlignment="1" applyProtection="1">
      <alignment horizontal="center" vertical="center"/>
    </xf>
    <xf numFmtId="0" fontId="41" fillId="20" borderId="0" xfId="0" applyFont="1" applyFill="1" applyAlignment="1" applyProtection="1">
      <alignment vertical="center" wrapText="1"/>
    </xf>
    <xf numFmtId="0" fontId="244" fillId="20" borderId="0" xfId="0" applyFont="1" applyFill="1" applyAlignment="1" applyProtection="1">
      <alignment vertical="center" wrapText="1"/>
    </xf>
    <xf numFmtId="4" fontId="46" fillId="13" borderId="38" xfId="0" applyNumberFormat="1" applyFont="1" applyFill="1" applyBorder="1" applyAlignment="1" applyProtection="1">
      <alignment horizontal="right" vertical="center"/>
    </xf>
    <xf numFmtId="4" fontId="54" fillId="13" borderId="38" xfId="0" applyNumberFormat="1" applyFont="1" applyFill="1" applyBorder="1" applyAlignment="1" applyProtection="1">
      <alignment horizontal="right" vertical="center"/>
    </xf>
    <xf numFmtId="4" fontId="46" fillId="13" borderId="52" xfId="0" applyNumberFormat="1" applyFont="1" applyFill="1" applyBorder="1" applyAlignment="1" applyProtection="1">
      <alignment horizontal="right" vertical="center"/>
    </xf>
    <xf numFmtId="0" fontId="54" fillId="0" borderId="0" xfId="0" applyFont="1" applyAlignment="1" applyProtection="1">
      <alignment vertical="center"/>
    </xf>
    <xf numFmtId="4" fontId="46" fillId="13" borderId="77" xfId="0" applyNumberFormat="1" applyFont="1" applyFill="1" applyBorder="1" applyAlignment="1" applyProtection="1">
      <alignment horizontal="right" vertical="center"/>
    </xf>
    <xf numFmtId="4" fontId="46" fillId="13" borderId="96" xfId="0" applyNumberFormat="1" applyFont="1" applyFill="1" applyBorder="1" applyAlignment="1" applyProtection="1">
      <alignment horizontal="right" vertical="center"/>
    </xf>
    <xf numFmtId="0" fontId="63" fillId="5" borderId="16" xfId="0" applyFont="1" applyFill="1" applyBorder="1" applyAlignment="1" applyProtection="1">
      <alignment horizontal="center" vertical="center"/>
    </xf>
    <xf numFmtId="0" fontId="63" fillId="5" borderId="18" xfId="0" applyFont="1" applyFill="1" applyBorder="1" applyAlignment="1" applyProtection="1">
      <alignment horizontal="center" vertical="center"/>
    </xf>
    <xf numFmtId="0" fontId="93" fillId="20" borderId="0" xfId="0" applyFont="1" applyFill="1" applyProtection="1"/>
    <xf numFmtId="0" fontId="210" fillId="0" borderId="0" xfId="0" applyFont="1" applyBorder="1" applyProtection="1"/>
    <xf numFmtId="9" fontId="210" fillId="0" borderId="0" xfId="0" applyNumberFormat="1" applyFont="1" applyBorder="1" applyAlignment="1" applyProtection="1">
      <alignment horizontal="center"/>
    </xf>
    <xf numFmtId="0" fontId="43" fillId="0" borderId="134" xfId="0" applyFont="1" applyBorder="1" applyAlignment="1" applyProtection="1">
      <alignment horizontal="center"/>
    </xf>
    <xf numFmtId="38" fontId="43" fillId="0" borderId="134" xfId="0" applyNumberFormat="1" applyFont="1" applyBorder="1" applyAlignment="1" applyProtection="1">
      <alignment horizontal="center" vertical="center"/>
    </xf>
    <xf numFmtId="37" fontId="46" fillId="5" borderId="86" xfId="1" applyNumberFormat="1" applyFont="1" applyFill="1" applyBorder="1" applyAlignment="1" applyProtection="1">
      <alignment horizontal="center" vertical="center"/>
    </xf>
    <xf numFmtId="0" fontId="43" fillId="0" borderId="17" xfId="0" applyFont="1" applyBorder="1" applyAlignment="1" applyProtection="1">
      <alignment horizontal="center"/>
    </xf>
    <xf numFmtId="38" fontId="43" fillId="0" borderId="17" xfId="0" applyNumberFormat="1" applyFont="1" applyBorder="1" applyAlignment="1" applyProtection="1">
      <alignment horizontal="center" vertical="center"/>
    </xf>
    <xf numFmtId="0" fontId="43" fillId="0" borderId="18" xfId="0" applyFont="1" applyBorder="1" applyAlignment="1" applyProtection="1">
      <alignment horizontal="center"/>
    </xf>
    <xf numFmtId="0" fontId="0" fillId="27" borderId="18" xfId="0" applyFill="1" applyBorder="1" applyAlignment="1" applyProtection="1">
      <alignment horizontal="center"/>
    </xf>
    <xf numFmtId="38" fontId="43" fillId="0" borderId="18" xfId="0" applyNumberFormat="1" applyFont="1" applyBorder="1" applyAlignment="1" applyProtection="1">
      <alignment horizontal="center" vertical="center"/>
    </xf>
    <xf numFmtId="0" fontId="43" fillId="0" borderId="22" xfId="0" applyFont="1" applyBorder="1" applyAlignment="1" applyProtection="1">
      <alignment horizontal="center"/>
    </xf>
    <xf numFmtId="0" fontId="5" fillId="0" borderId="0" xfId="0" applyFont="1" applyBorder="1" applyProtection="1"/>
    <xf numFmtId="9" fontId="43" fillId="0" borderId="0" xfId="0" applyNumberFormat="1" applyFont="1" applyBorder="1" applyAlignment="1" applyProtection="1">
      <alignment horizontal="center"/>
    </xf>
    <xf numFmtId="38" fontId="43" fillId="0" borderId="86" xfId="0" applyNumberFormat="1" applyFont="1" applyBorder="1" applyAlignment="1" applyProtection="1">
      <alignment horizontal="center" vertical="center"/>
    </xf>
    <xf numFmtId="0" fontId="4" fillId="13" borderId="40" xfId="0" applyFont="1" applyFill="1" applyBorder="1" applyAlignment="1" applyProtection="1">
      <alignment vertical="top" wrapText="1"/>
    </xf>
    <xf numFmtId="0" fontId="4" fillId="13" borderId="41" xfId="0" applyFont="1" applyFill="1" applyBorder="1" applyAlignment="1" applyProtection="1">
      <alignment vertical="top" wrapText="1"/>
    </xf>
    <xf numFmtId="4" fontId="46" fillId="13" borderId="86" xfId="0" applyNumberFormat="1" applyFont="1" applyFill="1" applyBorder="1" applyAlignment="1" applyProtection="1">
      <alignment horizontal="right" vertical="center"/>
    </xf>
    <xf numFmtId="4" fontId="46" fillId="13" borderId="90" xfId="0" applyNumberFormat="1" applyFont="1" applyFill="1" applyBorder="1" applyAlignment="1" applyProtection="1">
      <alignment horizontal="right" vertical="center"/>
    </xf>
    <xf numFmtId="6" fontId="46" fillId="0" borderId="0" xfId="0" applyNumberFormat="1" applyFont="1" applyAlignment="1" applyProtection="1">
      <alignment horizontal="center" vertical="center"/>
    </xf>
    <xf numFmtId="0" fontId="86" fillId="0" borderId="0" xfId="0" applyFont="1" applyAlignment="1" applyProtection="1">
      <alignment horizontal="center" vertical="center"/>
    </xf>
    <xf numFmtId="4" fontId="46" fillId="0" borderId="0" xfId="0" applyNumberFormat="1" applyFont="1" applyAlignment="1" applyProtection="1">
      <alignment horizontal="right" vertical="center"/>
    </xf>
    <xf numFmtId="0" fontId="89" fillId="0" borderId="0" xfId="0" applyFont="1" applyAlignment="1" applyProtection="1">
      <alignment vertical="center"/>
    </xf>
    <xf numFmtId="0" fontId="42" fillId="0" borderId="0" xfId="0" applyFont="1" applyAlignment="1" applyProtection="1">
      <alignment horizontal="left" vertical="center"/>
    </xf>
    <xf numFmtId="3" fontId="46" fillId="0" borderId="0" xfId="1" applyNumberFormat="1" applyFont="1" applyAlignment="1" applyProtection="1">
      <alignment horizontal="center" vertical="center"/>
    </xf>
    <xf numFmtId="164" fontId="42" fillId="5" borderId="46" xfId="1" applyNumberFormat="1" applyFont="1" applyFill="1" applyBorder="1" applyAlignment="1" applyProtection="1">
      <alignment horizontal="center" vertical="center"/>
    </xf>
    <xf numFmtId="0" fontId="14" fillId="0" borderId="19" xfId="0" applyFont="1" applyFill="1" applyBorder="1" applyAlignment="1" applyProtection="1">
      <alignment vertical="top" wrapText="1"/>
    </xf>
    <xf numFmtId="0" fontId="86" fillId="0" borderId="0" xfId="0" applyFont="1" applyAlignment="1" applyProtection="1">
      <alignment vertical="center"/>
    </xf>
    <xf numFmtId="0" fontId="114" fillId="0" borderId="0" xfId="0" applyFont="1" applyAlignment="1" applyProtection="1">
      <alignment horizontal="left" vertical="center"/>
    </xf>
    <xf numFmtId="0" fontId="43" fillId="0" borderId="0" xfId="13" applyFont="1" applyProtection="1"/>
    <xf numFmtId="0" fontId="43" fillId="0" borderId="0" xfId="13" applyFont="1" applyFill="1" applyBorder="1" applyAlignment="1" applyProtection="1">
      <alignment vertical="center"/>
    </xf>
    <xf numFmtId="164" fontId="43" fillId="0" borderId="8" xfId="1" applyNumberFormat="1" applyFont="1" applyFill="1" applyBorder="1" applyAlignment="1" applyProtection="1">
      <alignment horizontal="right" vertical="center"/>
    </xf>
    <xf numFmtId="0" fontId="9"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9"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3" xfId="0" applyFont="1" applyFill="1" applyBorder="1" applyAlignment="1" applyProtection="1">
      <alignment horizontal="center" vertical="center"/>
    </xf>
    <xf numFmtId="0" fontId="9"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93" fillId="20" borderId="0" xfId="0" applyFont="1" applyFill="1" applyAlignment="1" applyProtection="1">
      <alignment horizontal="center"/>
    </xf>
    <xf numFmtId="0" fontId="84" fillId="20" borderId="0" xfId="0" applyFont="1" applyFill="1" applyProtection="1"/>
    <xf numFmtId="0" fontId="93" fillId="20" borderId="0" xfId="0" applyFont="1" applyFill="1" applyAlignment="1" applyProtection="1">
      <alignment vertical="center"/>
    </xf>
    <xf numFmtId="0" fontId="4" fillId="5" borderId="86" xfId="0" applyFont="1" applyFill="1" applyBorder="1" applyAlignment="1" applyProtection="1">
      <alignment horizontal="center" vertical="center"/>
    </xf>
    <xf numFmtId="3" fontId="99" fillId="10" borderId="15" xfId="0" applyNumberFormat="1" applyFont="1" applyFill="1" applyBorder="1" applyAlignment="1" applyProtection="1">
      <alignment horizontal="center" vertical="center"/>
    </xf>
    <xf numFmtId="0" fontId="0" fillId="5" borderId="3" xfId="0" applyFill="1" applyBorder="1" applyAlignment="1" applyProtection="1">
      <alignment horizontal="center" vertical="center"/>
    </xf>
    <xf numFmtId="175" fontId="14" fillId="10" borderId="130" xfId="0" quotePrefix="1" applyNumberFormat="1" applyFont="1" applyFill="1" applyBorder="1" applyAlignment="1" applyProtection="1">
      <alignment horizontal="center" vertical="center"/>
    </xf>
    <xf numFmtId="0" fontId="97" fillId="20" borderId="0" xfId="0" applyFont="1" applyFill="1" applyProtection="1"/>
    <xf numFmtId="3" fontId="14" fillId="5" borderId="16" xfId="10" applyNumberFormat="1" applyFont="1" applyFill="1" applyBorder="1" applyAlignment="1" applyProtection="1">
      <alignment horizontal="center" vertical="center"/>
    </xf>
    <xf numFmtId="1" fontId="14" fillId="5" borderId="16" xfId="1" applyNumberFormat="1" applyFont="1" applyFill="1" applyBorder="1" applyAlignment="1" applyProtection="1">
      <alignment horizontal="center" vertical="center"/>
    </xf>
    <xf numFmtId="39" fontId="14" fillId="5" borderId="16" xfId="1" applyNumberFormat="1" applyFont="1" applyFill="1" applyBorder="1" applyAlignment="1" applyProtection="1">
      <alignment horizontal="center" vertical="center"/>
    </xf>
    <xf numFmtId="3" fontId="14" fillId="5" borderId="16" xfId="1" applyNumberFormat="1" applyFont="1" applyFill="1" applyBorder="1" applyAlignment="1" applyProtection="1">
      <alignment horizontal="center" vertical="center"/>
    </xf>
    <xf numFmtId="3" fontId="14" fillId="5" borderId="134" xfId="1" applyNumberFormat="1" applyFont="1" applyFill="1" applyBorder="1" applyAlignment="1" applyProtection="1">
      <alignment horizontal="center" vertical="center"/>
    </xf>
    <xf numFmtId="3" fontId="14" fillId="10" borderId="16" xfId="1" applyNumberFormat="1" applyFont="1" applyFill="1" applyBorder="1" applyAlignment="1" applyProtection="1">
      <alignment horizontal="center" vertical="center"/>
    </xf>
    <xf numFmtId="3" fontId="42" fillId="5" borderId="16" xfId="1" applyNumberFormat="1" applyFont="1" applyFill="1" applyBorder="1" applyAlignment="1" applyProtection="1">
      <alignment horizontal="center" vertical="center"/>
    </xf>
    <xf numFmtId="0" fontId="42" fillId="5" borderId="16" xfId="0" applyFont="1" applyFill="1" applyBorder="1" applyAlignment="1" applyProtection="1">
      <alignment horizontal="center" vertical="center"/>
    </xf>
    <xf numFmtId="0" fontId="43" fillId="5" borderId="16" xfId="0" applyFont="1" applyFill="1" applyBorder="1" applyAlignment="1" applyProtection="1">
      <alignment horizontal="center" vertical="center"/>
    </xf>
    <xf numFmtId="0" fontId="14" fillId="5" borderId="16" xfId="0" applyFont="1" applyFill="1" applyBorder="1" applyAlignment="1" applyProtection="1">
      <alignment horizontal="center" vertical="center"/>
    </xf>
    <xf numFmtId="3" fontId="14" fillId="13" borderId="52" xfId="0" applyNumberFormat="1" applyFont="1" applyFill="1" applyBorder="1" applyAlignment="1" applyProtection="1">
      <alignment horizontal="center" vertical="center"/>
    </xf>
    <xf numFmtId="10" fontId="14" fillId="13" borderId="23" xfId="0" applyNumberFormat="1" applyFont="1" applyFill="1" applyBorder="1" applyAlignment="1" applyProtection="1">
      <alignment horizontal="center" vertical="center"/>
    </xf>
    <xf numFmtId="3" fontId="14" fillId="5" borderId="17" xfId="10" applyNumberFormat="1" applyFont="1" applyFill="1" applyBorder="1" applyAlignment="1" applyProtection="1">
      <alignment horizontal="center" vertical="center"/>
    </xf>
    <xf numFmtId="1" fontId="14" fillId="5" borderId="17" xfId="1" applyNumberFormat="1" applyFont="1" applyFill="1" applyBorder="1" applyAlignment="1" applyProtection="1">
      <alignment horizontal="center" vertical="center"/>
    </xf>
    <xf numFmtId="39" fontId="14" fillId="5" borderId="17" xfId="1" applyNumberFormat="1" applyFont="1" applyFill="1" applyBorder="1" applyAlignment="1" applyProtection="1">
      <alignment horizontal="center" vertical="center"/>
    </xf>
    <xf numFmtId="3" fontId="14" fillId="5" borderId="17" xfId="1" applyNumberFormat="1" applyFont="1" applyFill="1" applyBorder="1" applyAlignment="1" applyProtection="1">
      <alignment horizontal="center" vertical="center"/>
    </xf>
    <xf numFmtId="3" fontId="14" fillId="10" borderId="17" xfId="1" applyNumberFormat="1" applyFont="1" applyFill="1" applyBorder="1" applyAlignment="1" applyProtection="1">
      <alignment horizontal="center" vertical="center"/>
    </xf>
    <xf numFmtId="3" fontId="42" fillId="5" borderId="17" xfId="1" applyNumberFormat="1" applyFont="1" applyFill="1" applyBorder="1" applyAlignment="1" applyProtection="1">
      <alignment horizontal="center" vertical="center"/>
    </xf>
    <xf numFmtId="0" fontId="43" fillId="5" borderId="17" xfId="0" applyFont="1" applyFill="1" applyBorder="1" applyAlignment="1" applyProtection="1">
      <alignment horizontal="center" vertical="center"/>
    </xf>
    <xf numFmtId="0" fontId="14" fillId="5" borderId="17" xfId="0" applyFont="1" applyFill="1" applyBorder="1" applyAlignment="1" applyProtection="1">
      <alignment horizontal="center" vertical="center"/>
    </xf>
    <xf numFmtId="3" fontId="14" fillId="13" borderId="38" xfId="0" applyNumberFormat="1" applyFont="1" applyFill="1" applyBorder="1" applyAlignment="1" applyProtection="1">
      <alignment horizontal="center" vertical="center"/>
    </xf>
    <xf numFmtId="10" fontId="14" fillId="13" borderId="25" xfId="0" applyNumberFormat="1" applyFont="1" applyFill="1" applyBorder="1" applyAlignment="1" applyProtection="1">
      <alignment horizontal="center" vertical="center"/>
    </xf>
    <xf numFmtId="3" fontId="14" fillId="5" borderId="126" xfId="10" applyNumberFormat="1" applyFont="1" applyFill="1" applyBorder="1" applyAlignment="1" applyProtection="1">
      <alignment horizontal="center" vertical="center"/>
    </xf>
    <xf numFmtId="1" fontId="14" fillId="5" borderId="126" xfId="1" applyNumberFormat="1" applyFont="1" applyFill="1" applyBorder="1" applyAlignment="1" applyProtection="1">
      <alignment horizontal="center" vertical="center"/>
    </xf>
    <xf numFmtId="39" fontId="14" fillId="5" borderId="126" xfId="1" applyNumberFormat="1" applyFont="1" applyFill="1" applyBorder="1" applyAlignment="1" applyProtection="1">
      <alignment horizontal="center" vertical="center"/>
    </xf>
    <xf numFmtId="3" fontId="14" fillId="5" borderId="126" xfId="1" applyNumberFormat="1" applyFont="1" applyFill="1" applyBorder="1" applyAlignment="1" applyProtection="1">
      <alignment horizontal="center" vertical="center"/>
    </xf>
    <xf numFmtId="3" fontId="14" fillId="10" borderId="126" xfId="1" applyNumberFormat="1" applyFont="1" applyFill="1" applyBorder="1" applyAlignment="1" applyProtection="1">
      <alignment horizontal="center" vertical="center"/>
    </xf>
    <xf numFmtId="3" fontId="42" fillId="5" borderId="126" xfId="1" applyNumberFormat="1" applyFont="1" applyFill="1" applyBorder="1" applyAlignment="1" applyProtection="1">
      <alignment horizontal="center" vertical="center"/>
    </xf>
    <xf numFmtId="0" fontId="42" fillId="5" borderId="126" xfId="0" applyFont="1" applyFill="1" applyBorder="1" applyAlignment="1" applyProtection="1">
      <alignment horizontal="center" vertical="center"/>
    </xf>
    <xf numFmtId="0" fontId="43" fillId="5" borderId="126" xfId="0" applyFont="1" applyFill="1" applyBorder="1" applyAlignment="1" applyProtection="1">
      <alignment horizontal="center" vertical="center"/>
    </xf>
    <xf numFmtId="0" fontId="14" fillId="5" borderId="126" xfId="0" applyFont="1" applyFill="1" applyBorder="1" applyAlignment="1" applyProtection="1">
      <alignment horizontal="center" vertical="center"/>
    </xf>
    <xf numFmtId="0" fontId="14" fillId="5" borderId="22" xfId="10" applyNumberFormat="1" applyFont="1" applyFill="1" applyBorder="1" applyAlignment="1" applyProtection="1">
      <alignment horizontal="center" vertical="center"/>
    </xf>
    <xf numFmtId="1" fontId="14" fillId="5" borderId="22" xfId="1" applyNumberFormat="1" applyFont="1" applyFill="1" applyBorder="1" applyAlignment="1" applyProtection="1">
      <alignment horizontal="center" vertical="center"/>
    </xf>
    <xf numFmtId="39" fontId="14" fillId="5" borderId="22" xfId="1" applyNumberFormat="1" applyFont="1" applyFill="1" applyBorder="1" applyAlignment="1" applyProtection="1">
      <alignment horizontal="center" vertical="center"/>
    </xf>
    <xf numFmtId="3" fontId="14" fillId="5" borderId="22" xfId="1" applyNumberFormat="1" applyFont="1" applyFill="1" applyBorder="1" applyAlignment="1" applyProtection="1">
      <alignment horizontal="center" vertical="center"/>
    </xf>
    <xf numFmtId="3" fontId="14" fillId="11" borderId="22" xfId="1" applyNumberFormat="1" applyFont="1" applyFill="1" applyBorder="1" applyAlignment="1" applyProtection="1">
      <alignment horizontal="center" vertical="center"/>
    </xf>
    <xf numFmtId="3" fontId="42" fillId="5" borderId="22" xfId="1" applyNumberFormat="1" applyFont="1" applyFill="1" applyBorder="1" applyAlignment="1" applyProtection="1">
      <alignment horizontal="center" vertical="center"/>
    </xf>
    <xf numFmtId="0" fontId="42" fillId="5" borderId="22" xfId="0" applyFont="1" applyFill="1" applyBorder="1" applyAlignment="1" applyProtection="1">
      <alignment horizontal="center" vertical="center"/>
    </xf>
    <xf numFmtId="0" fontId="43" fillId="5" borderId="22" xfId="0" applyFont="1" applyFill="1" applyBorder="1" applyAlignment="1" applyProtection="1">
      <alignment horizontal="center" vertical="center"/>
    </xf>
    <xf numFmtId="0" fontId="14" fillId="5" borderId="22" xfId="0" applyFont="1" applyFill="1" applyBorder="1" applyAlignment="1" applyProtection="1">
      <alignment horizontal="center" vertical="center"/>
    </xf>
    <xf numFmtId="0" fontId="14" fillId="5" borderId="17" xfId="10" applyNumberFormat="1" applyFont="1" applyFill="1" applyBorder="1" applyAlignment="1" applyProtection="1">
      <alignment horizontal="center" vertical="center"/>
    </xf>
    <xf numFmtId="3" fontId="14" fillId="11" borderId="17" xfId="1" applyNumberFormat="1" applyFont="1" applyFill="1" applyBorder="1" applyAlignment="1" applyProtection="1">
      <alignment horizontal="center" vertical="center"/>
    </xf>
    <xf numFmtId="0" fontId="14" fillId="5" borderId="18" xfId="10" applyNumberFormat="1" applyFont="1" applyFill="1" applyBorder="1" applyAlignment="1" applyProtection="1">
      <alignment horizontal="center" vertical="center"/>
    </xf>
    <xf numFmtId="1" fontId="14" fillId="5" borderId="18" xfId="1" applyNumberFormat="1" applyFont="1" applyFill="1" applyBorder="1" applyAlignment="1" applyProtection="1">
      <alignment horizontal="center" vertical="center"/>
    </xf>
    <xf numFmtId="39" fontId="14" fillId="5" borderId="18" xfId="1" applyNumberFormat="1" applyFont="1" applyFill="1" applyBorder="1" applyAlignment="1" applyProtection="1">
      <alignment horizontal="center" vertical="center"/>
    </xf>
    <xf numFmtId="3" fontId="14" fillId="5" borderId="18" xfId="1" applyNumberFormat="1" applyFont="1" applyFill="1" applyBorder="1" applyAlignment="1" applyProtection="1">
      <alignment horizontal="center" vertical="center"/>
    </xf>
    <xf numFmtId="3" fontId="14" fillId="11" borderId="18" xfId="1" applyNumberFormat="1" applyFont="1" applyFill="1" applyBorder="1" applyAlignment="1" applyProtection="1">
      <alignment horizontal="center" vertical="center"/>
    </xf>
    <xf numFmtId="3" fontId="42" fillId="5" borderId="18" xfId="1" applyNumberFormat="1" applyFont="1" applyFill="1" applyBorder="1" applyAlignment="1" applyProtection="1">
      <alignment horizontal="center" vertical="center"/>
    </xf>
    <xf numFmtId="0" fontId="14" fillId="5" borderId="18" xfId="0" applyFont="1" applyFill="1" applyBorder="1" applyAlignment="1" applyProtection="1">
      <alignment horizontal="center" vertical="center"/>
    </xf>
    <xf numFmtId="3" fontId="14" fillId="13" borderId="49" xfId="0" applyNumberFormat="1" applyFont="1" applyFill="1" applyBorder="1" applyAlignment="1" applyProtection="1">
      <alignment horizontal="center" vertical="center"/>
    </xf>
    <xf numFmtId="10" fontId="14" fillId="13" borderId="24" xfId="0" applyNumberFormat="1" applyFont="1" applyFill="1" applyBorder="1" applyAlignment="1" applyProtection="1">
      <alignment horizontal="center" vertical="center"/>
    </xf>
    <xf numFmtId="0" fontId="195" fillId="0" borderId="28" xfId="0" applyFont="1" applyFill="1" applyBorder="1" applyAlignment="1" applyProtection="1">
      <alignment horizontal="center" vertical="center"/>
    </xf>
    <xf numFmtId="0" fontId="195" fillId="0" borderId="33" xfId="0" applyFont="1" applyFill="1" applyBorder="1" applyAlignment="1" applyProtection="1">
      <alignment horizontal="center" vertical="center"/>
    </xf>
    <xf numFmtId="0" fontId="43" fillId="0" borderId="0" xfId="0" applyFont="1" applyAlignment="1" applyProtection="1">
      <alignment horizontal="left" vertical="center" wrapText="1"/>
    </xf>
    <xf numFmtId="10" fontId="229" fillId="0" borderId="169" xfId="0" applyNumberFormat="1" applyFont="1" applyFill="1" applyBorder="1" applyAlignment="1" applyProtection="1">
      <alignment horizontal="center" vertical="center"/>
    </xf>
    <xf numFmtId="10" fontId="229" fillId="0" borderId="170" xfId="0" applyNumberFormat="1" applyFont="1" applyFill="1" applyBorder="1" applyAlignment="1" applyProtection="1">
      <alignment horizontal="center" vertical="center"/>
    </xf>
    <xf numFmtId="10" fontId="229" fillId="0" borderId="171" xfId="0" applyNumberFormat="1" applyFont="1" applyFill="1" applyBorder="1" applyAlignment="1" applyProtection="1">
      <alignment horizontal="center" vertical="center"/>
    </xf>
    <xf numFmtId="3" fontId="229" fillId="0" borderId="172" xfId="0" applyNumberFormat="1" applyFont="1" applyFill="1" applyBorder="1" applyAlignment="1" applyProtection="1">
      <alignment horizontal="center" vertical="center"/>
    </xf>
    <xf numFmtId="3" fontId="229" fillId="0" borderId="173" xfId="0" applyNumberFormat="1" applyFont="1" applyFill="1" applyBorder="1" applyAlignment="1" applyProtection="1">
      <alignment horizontal="center" vertical="center"/>
    </xf>
    <xf numFmtId="0" fontId="227" fillId="0" borderId="0" xfId="0" applyFont="1" applyFill="1" applyAlignment="1" applyProtection="1">
      <alignment vertical="center"/>
    </xf>
    <xf numFmtId="0" fontId="228" fillId="0" borderId="0" xfId="0" applyFont="1" applyFill="1" applyAlignment="1" applyProtection="1">
      <alignment vertical="center"/>
    </xf>
    <xf numFmtId="3" fontId="230" fillId="0" borderId="174" xfId="0" applyNumberFormat="1" applyFont="1" applyFill="1" applyBorder="1" applyAlignment="1" applyProtection="1">
      <alignment horizontal="center" vertical="center"/>
    </xf>
    <xf numFmtId="3" fontId="230" fillId="0" borderId="168" xfId="0" applyNumberFormat="1" applyFont="1" applyFill="1" applyBorder="1" applyAlignment="1" applyProtection="1">
      <alignment horizontal="center" vertical="center"/>
    </xf>
    <xf numFmtId="3" fontId="230" fillId="0" borderId="175" xfId="0" applyNumberFormat="1" applyFont="1" applyFill="1" applyBorder="1" applyAlignment="1" applyProtection="1">
      <alignment horizontal="center" vertical="center"/>
    </xf>
    <xf numFmtId="10" fontId="229" fillId="0" borderId="176" xfId="0" applyNumberFormat="1" applyFont="1" applyFill="1" applyBorder="1" applyAlignment="1" applyProtection="1">
      <alignment horizontal="center" vertical="center"/>
    </xf>
    <xf numFmtId="10" fontId="229" fillId="0" borderId="167" xfId="0" applyNumberFormat="1" applyFont="1" applyFill="1" applyBorder="1" applyAlignment="1" applyProtection="1">
      <alignment horizontal="center" vertical="center"/>
    </xf>
    <xf numFmtId="10" fontId="229" fillId="0" borderId="177" xfId="0" applyNumberFormat="1" applyFont="1" applyFill="1" applyBorder="1" applyAlignment="1" applyProtection="1">
      <alignment horizontal="center" vertical="center"/>
    </xf>
    <xf numFmtId="0" fontId="99" fillId="0" borderId="0" xfId="0" applyFont="1" applyAlignment="1" applyProtection="1">
      <alignment wrapText="1"/>
    </xf>
    <xf numFmtId="0" fontId="99" fillId="0" borderId="0" xfId="0" applyFont="1" applyBorder="1" applyAlignment="1" applyProtection="1">
      <alignment wrapText="1"/>
    </xf>
    <xf numFmtId="3" fontId="230" fillId="0" borderId="178" xfId="0" applyNumberFormat="1" applyFont="1" applyBorder="1" applyAlignment="1" applyProtection="1">
      <alignment horizontal="center" vertical="center"/>
    </xf>
    <xf numFmtId="38" fontId="13" fillId="5" borderId="16" xfId="1" applyNumberFormat="1" applyFont="1" applyFill="1" applyBorder="1" applyAlignment="1" applyProtection="1">
      <alignment horizontal="right" vertical="center"/>
    </xf>
    <xf numFmtId="38" fontId="13" fillId="5" borderId="18" xfId="1" applyNumberFormat="1" applyFont="1" applyFill="1" applyBorder="1" applyAlignment="1" applyProtection="1">
      <alignment horizontal="right" vertical="center"/>
    </xf>
    <xf numFmtId="3" fontId="14" fillId="5" borderId="16" xfId="0" applyNumberFormat="1" applyFont="1" applyFill="1" applyBorder="1" applyAlignment="1" applyProtection="1">
      <alignment vertical="center"/>
    </xf>
    <xf numFmtId="3" fontId="14" fillId="5" borderId="18" xfId="0" applyNumberFormat="1" applyFont="1" applyFill="1" applyBorder="1" applyAlignment="1" applyProtection="1">
      <alignment vertical="center"/>
    </xf>
    <xf numFmtId="3" fontId="14" fillId="5" borderId="18" xfId="10" applyNumberFormat="1" applyFont="1" applyFill="1" applyBorder="1" applyAlignment="1" applyProtection="1">
      <alignment vertical="center"/>
    </xf>
    <xf numFmtId="3" fontId="14" fillId="5" borderId="16" xfId="10" applyNumberFormat="1" applyFont="1" applyFill="1" applyBorder="1" applyAlignment="1" applyProtection="1">
      <alignment vertical="center"/>
    </xf>
    <xf numFmtId="3" fontId="13" fillId="11" borderId="15" xfId="1" applyNumberFormat="1" applyFont="1" applyFill="1" applyBorder="1" applyAlignment="1" applyProtection="1">
      <alignment horizontal="right" vertical="center"/>
    </xf>
    <xf numFmtId="3" fontId="13" fillId="0" borderId="0" xfId="1" applyNumberFormat="1" applyFont="1" applyFill="1" applyBorder="1" applyAlignment="1" applyProtection="1">
      <alignment horizontal="right" vertical="center"/>
    </xf>
    <xf numFmtId="3" fontId="13" fillId="5" borderId="86" xfId="0" applyNumberFormat="1" applyFont="1" applyFill="1" applyBorder="1" applyAlignment="1" applyProtection="1">
      <alignment horizontal="center" vertical="center"/>
    </xf>
    <xf numFmtId="3" fontId="13" fillId="11" borderId="15" xfId="0" applyNumberFormat="1" applyFont="1" applyFill="1" applyBorder="1" applyAlignment="1" applyProtection="1">
      <alignment horizontal="center" vertical="center"/>
    </xf>
    <xf numFmtId="3" fontId="13" fillId="10" borderId="15" xfId="0" applyNumberFormat="1" applyFont="1" applyFill="1" applyBorder="1" applyAlignment="1" applyProtection="1">
      <alignment horizontal="center" vertical="center"/>
    </xf>
    <xf numFmtId="164" fontId="13" fillId="5" borderId="3" xfId="1" applyNumberFormat="1" applyFont="1" applyFill="1" applyBorder="1" applyAlignment="1" applyProtection="1">
      <alignment horizontal="right"/>
    </xf>
    <xf numFmtId="10" fontId="13" fillId="5" borderId="3" xfId="0" applyNumberFormat="1" applyFont="1" applyFill="1" applyBorder="1" applyAlignment="1" applyProtection="1">
      <alignment horizontal="left"/>
    </xf>
    <xf numFmtId="0" fontId="13" fillId="5" borderId="134" xfId="0" applyNumberFormat="1" applyFont="1" applyFill="1" applyBorder="1" applyAlignment="1" applyProtection="1">
      <alignment horizontal="right" vertical="center"/>
    </xf>
    <xf numFmtId="3" fontId="13" fillId="5" borderId="134" xfId="10" applyNumberFormat="1" applyFont="1" applyFill="1" applyBorder="1" applyAlignment="1" applyProtection="1">
      <alignment horizontal="right" vertical="center"/>
    </xf>
    <xf numFmtId="0" fontId="13" fillId="5" borderId="18" xfId="0" applyNumberFormat="1" applyFont="1" applyFill="1" applyBorder="1" applyAlignment="1" applyProtection="1">
      <alignment horizontal="right" vertical="center"/>
    </xf>
    <xf numFmtId="166" fontId="13" fillId="5" borderId="18" xfId="10" applyNumberFormat="1" applyFont="1" applyFill="1" applyBorder="1" applyAlignment="1" applyProtection="1">
      <alignment horizontal="right" vertical="center"/>
    </xf>
    <xf numFmtId="164" fontId="13" fillId="6" borderId="86" xfId="1" applyNumberFormat="1" applyFont="1" applyFill="1" applyBorder="1" applyProtection="1"/>
    <xf numFmtId="164" fontId="13" fillId="11" borderId="16" xfId="1" applyNumberFormat="1" applyFont="1" applyFill="1" applyBorder="1" applyProtection="1"/>
    <xf numFmtId="164" fontId="13" fillId="6" borderId="17" xfId="1" applyNumberFormat="1" applyFont="1" applyFill="1" applyBorder="1" applyProtection="1"/>
    <xf numFmtId="164" fontId="13" fillId="5" borderId="17" xfId="1" applyNumberFormat="1" applyFont="1" applyFill="1" applyBorder="1" applyProtection="1"/>
    <xf numFmtId="164" fontId="13" fillId="6" borderId="100" xfId="1" applyNumberFormat="1" applyFont="1" applyFill="1" applyBorder="1" applyProtection="1"/>
    <xf numFmtId="164" fontId="13" fillId="6" borderId="18" xfId="1" applyNumberFormat="1" applyFont="1" applyFill="1" applyBorder="1" applyProtection="1"/>
    <xf numFmtId="164" fontId="13" fillId="6" borderId="16" xfId="1" applyNumberFormat="1" applyFont="1" applyFill="1" applyBorder="1" applyProtection="1"/>
    <xf numFmtId="0" fontId="11" fillId="13" borderId="3" xfId="0" applyFont="1" applyFill="1" applyBorder="1" applyAlignment="1" applyProtection="1">
      <alignment horizontal="center" vertical="center" wrapText="1"/>
    </xf>
    <xf numFmtId="1" fontId="15" fillId="13" borderId="86" xfId="0" applyNumberFormat="1" applyFont="1" applyFill="1" applyBorder="1" applyAlignment="1" applyProtection="1">
      <alignment horizontal="center" vertical="center"/>
    </xf>
    <xf numFmtId="0" fontId="15" fillId="13" borderId="16" xfId="0" applyFont="1" applyFill="1" applyBorder="1" applyAlignment="1" applyProtection="1">
      <alignment horizontal="center" vertical="center"/>
    </xf>
    <xf numFmtId="0" fontId="15" fillId="13" borderId="17" xfId="0" applyFont="1" applyFill="1" applyBorder="1" applyAlignment="1" applyProtection="1">
      <alignment horizontal="center" vertical="center"/>
    </xf>
    <xf numFmtId="0" fontId="15" fillId="13" borderId="18" xfId="0" applyFont="1" applyFill="1" applyBorder="1" applyAlignment="1" applyProtection="1">
      <alignment horizontal="center" vertical="center"/>
    </xf>
    <xf numFmtId="0" fontId="15" fillId="13" borderId="86" xfId="0" applyFont="1" applyFill="1" applyBorder="1" applyAlignment="1" applyProtection="1">
      <alignment horizontal="center" vertical="center"/>
    </xf>
    <xf numFmtId="10" fontId="15" fillId="13" borderId="86" xfId="0" applyNumberFormat="1" applyFont="1" applyFill="1" applyBorder="1" applyAlignment="1" applyProtection="1">
      <alignment horizontal="center" vertical="center"/>
    </xf>
    <xf numFmtId="10" fontId="15" fillId="13" borderId="18" xfId="0" applyNumberFormat="1" applyFont="1" applyFill="1" applyBorder="1" applyAlignment="1" applyProtection="1">
      <alignment horizontal="center" vertical="center"/>
    </xf>
    <xf numFmtId="0" fontId="15" fillId="13" borderId="134" xfId="0" applyFont="1" applyFill="1" applyBorder="1" applyAlignment="1" applyProtection="1">
      <alignment horizontal="center" vertical="center"/>
    </xf>
    <xf numFmtId="10" fontId="15" fillId="13" borderId="17" xfId="0" applyNumberFormat="1" applyFont="1" applyFill="1" applyBorder="1" applyAlignment="1" applyProtection="1">
      <alignment horizontal="center" vertical="center"/>
    </xf>
    <xf numFmtId="0" fontId="15" fillId="13" borderId="17" xfId="0" applyFont="1" applyFill="1" applyBorder="1" applyAlignment="1" applyProtection="1">
      <alignment horizontal="center" vertical="top"/>
    </xf>
    <xf numFmtId="175" fontId="15" fillId="13" borderId="17" xfId="0" applyNumberFormat="1" applyFont="1" applyFill="1" applyBorder="1" applyAlignment="1" applyProtection="1">
      <alignment horizontal="center" vertical="center"/>
    </xf>
    <xf numFmtId="0" fontId="15" fillId="13" borderId="18" xfId="0" applyFont="1" applyFill="1" applyBorder="1" applyAlignment="1" applyProtection="1">
      <alignment horizontal="center" vertical="top"/>
    </xf>
    <xf numFmtId="0" fontId="15" fillId="13" borderId="12" xfId="0" applyFont="1" applyFill="1" applyBorder="1" applyAlignment="1" applyProtection="1">
      <alignment horizontal="center" vertical="center"/>
    </xf>
    <xf numFmtId="0" fontId="15" fillId="13" borderId="22" xfId="0" applyFont="1" applyFill="1" applyBorder="1" applyAlignment="1" applyProtection="1">
      <alignment horizontal="center" vertical="center"/>
    </xf>
    <xf numFmtId="0" fontId="15" fillId="13" borderId="100" xfId="0" applyFont="1" applyFill="1" applyBorder="1" applyAlignment="1" applyProtection="1">
      <alignment horizontal="center" vertical="center"/>
    </xf>
    <xf numFmtId="0" fontId="15" fillId="13" borderId="3" xfId="0" applyFont="1" applyFill="1" applyBorder="1" applyAlignment="1" applyProtection="1">
      <alignment horizontal="center" vertical="center"/>
    </xf>
    <xf numFmtId="0" fontId="15" fillId="13" borderId="16" xfId="0" applyFont="1" applyFill="1" applyBorder="1" applyAlignment="1" applyProtection="1">
      <alignment horizontal="center" vertical="top"/>
    </xf>
    <xf numFmtId="0" fontId="15" fillId="13" borderId="23" xfId="0" applyFont="1" applyFill="1" applyBorder="1" applyAlignment="1" applyProtection="1">
      <alignment horizontal="center" vertical="center"/>
    </xf>
    <xf numFmtId="0" fontId="15" fillId="13" borderId="25" xfId="0" applyFont="1" applyFill="1" applyBorder="1" applyAlignment="1" applyProtection="1">
      <alignment horizontal="center" vertical="center"/>
    </xf>
    <xf numFmtId="0" fontId="15" fillId="13" borderId="24" xfId="0" applyFont="1" applyFill="1" applyBorder="1" applyAlignment="1" applyProtection="1">
      <alignment horizontal="center" vertical="center"/>
    </xf>
    <xf numFmtId="0" fontId="15" fillId="13" borderId="3" xfId="0" applyFont="1" applyFill="1" applyBorder="1" applyAlignment="1" applyProtection="1">
      <alignment horizontal="center" vertical="top"/>
    </xf>
    <xf numFmtId="0" fontId="15" fillId="13" borderId="22" xfId="0" applyFont="1" applyFill="1" applyBorder="1" applyAlignment="1" applyProtection="1">
      <alignment horizontal="center" vertical="top"/>
    </xf>
    <xf numFmtId="0" fontId="15" fillId="13" borderId="86" xfId="0" applyFont="1" applyFill="1" applyBorder="1" applyAlignment="1" applyProtection="1">
      <alignment horizontal="center" vertical="top"/>
    </xf>
    <xf numFmtId="0" fontId="15" fillId="13" borderId="100" xfId="0" applyFont="1" applyFill="1" applyBorder="1" applyAlignment="1" applyProtection="1">
      <alignment horizontal="center" vertical="top"/>
    </xf>
    <xf numFmtId="0" fontId="15" fillId="13" borderId="10"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22"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3" fontId="5" fillId="13" borderId="114" xfId="1" applyNumberFormat="1" applyFont="1" applyFill="1" applyBorder="1" applyAlignment="1" applyProtection="1">
      <alignment horizontal="center" vertical="center"/>
    </xf>
    <xf numFmtId="0" fontId="15" fillId="13" borderId="86" xfId="0" applyFont="1" applyFill="1" applyBorder="1" applyAlignment="1" applyProtection="1">
      <alignment vertical="top"/>
    </xf>
    <xf numFmtId="0" fontId="9" fillId="13" borderId="35" xfId="0" applyFont="1" applyFill="1" applyBorder="1" applyAlignment="1" applyProtection="1">
      <alignment horizontal="center" vertical="center"/>
    </xf>
    <xf numFmtId="0" fontId="9" fillId="13" borderId="22" xfId="0" applyFont="1" applyFill="1" applyBorder="1" applyAlignment="1" applyProtection="1">
      <alignment horizontal="center" vertical="top" wrapText="1"/>
    </xf>
    <xf numFmtId="0" fontId="9" fillId="13" borderId="17" xfId="0" applyFont="1" applyFill="1" applyBorder="1" applyAlignment="1" applyProtection="1">
      <alignment horizontal="center" vertical="top" wrapText="1"/>
    </xf>
    <xf numFmtId="0" fontId="9" fillId="13" borderId="18" xfId="0" applyFont="1" applyFill="1" applyBorder="1" applyAlignment="1" applyProtection="1">
      <alignment horizontal="center" vertical="top" wrapText="1"/>
    </xf>
    <xf numFmtId="3" fontId="9" fillId="13" borderId="18" xfId="0" applyNumberFormat="1" applyFont="1" applyFill="1" applyBorder="1" applyAlignment="1" applyProtection="1">
      <alignment horizontal="center" vertical="center"/>
    </xf>
    <xf numFmtId="0" fontId="9" fillId="13" borderId="23" xfId="0" applyFont="1" applyFill="1" applyBorder="1" applyAlignment="1" applyProtection="1">
      <alignment horizontal="center" vertical="top" wrapText="1"/>
    </xf>
    <xf numFmtId="0" fontId="9" fillId="13" borderId="25" xfId="0" applyFont="1" applyFill="1" applyBorder="1" applyAlignment="1" applyProtection="1">
      <alignment horizontal="center" vertical="top" wrapText="1"/>
    </xf>
    <xf numFmtId="0" fontId="9" fillId="13" borderId="24" xfId="0" applyFont="1" applyFill="1" applyBorder="1" applyAlignment="1" applyProtection="1">
      <alignment horizontal="center" vertical="top" wrapText="1"/>
    </xf>
    <xf numFmtId="38" fontId="9" fillId="13" borderId="17" xfId="0" applyNumberFormat="1" applyFont="1" applyFill="1" applyBorder="1" applyAlignment="1" applyProtection="1">
      <alignment horizontal="center" vertical="center"/>
    </xf>
    <xf numFmtId="38" fontId="9" fillId="13" borderId="18" xfId="0" applyNumberFormat="1" applyFont="1" applyFill="1" applyBorder="1" applyAlignment="1" applyProtection="1">
      <alignment horizontal="center" vertical="center"/>
    </xf>
    <xf numFmtId="1" fontId="11" fillId="13" borderId="86" xfId="0" applyNumberFormat="1" applyFont="1" applyFill="1" applyBorder="1" applyAlignment="1" applyProtection="1">
      <alignment horizontal="center" vertical="center"/>
    </xf>
    <xf numFmtId="0" fontId="11" fillId="13" borderId="16" xfId="0" applyFont="1" applyFill="1" applyBorder="1" applyAlignment="1" applyProtection="1">
      <alignment horizontal="center" vertical="center"/>
    </xf>
    <xf numFmtId="182" fontId="11" fillId="13" borderId="17" xfId="0" applyNumberFormat="1" applyFont="1" applyFill="1" applyBorder="1" applyAlignment="1" applyProtection="1">
      <alignment horizontal="center" vertical="center"/>
    </xf>
    <xf numFmtId="182" fontId="11" fillId="13" borderId="18" xfId="0" applyNumberFormat="1" applyFont="1" applyFill="1" applyBorder="1" applyAlignment="1" applyProtection="1">
      <alignment horizontal="center" vertical="center"/>
    </xf>
    <xf numFmtId="168" fontId="42" fillId="13" borderId="86" xfId="0" applyNumberFormat="1" applyFont="1" applyFill="1" applyBorder="1" applyAlignment="1" applyProtection="1">
      <alignment vertical="center"/>
    </xf>
    <xf numFmtId="182" fontId="9" fillId="13" borderId="16" xfId="0" applyNumberFormat="1" applyFont="1" applyFill="1" applyBorder="1" applyAlignment="1" applyProtection="1">
      <alignment horizontal="center" vertical="top"/>
    </xf>
    <xf numFmtId="182" fontId="9" fillId="13" borderId="18" xfId="0" applyNumberFormat="1" applyFont="1" applyFill="1" applyBorder="1" applyAlignment="1" applyProtection="1">
      <alignment horizontal="center" vertical="center"/>
    </xf>
    <xf numFmtId="186" fontId="43" fillId="13" borderId="78" xfId="0" applyNumberFormat="1" applyFont="1" applyFill="1" applyBorder="1" applyAlignment="1" applyProtection="1">
      <alignment horizontal="center" vertical="center"/>
    </xf>
    <xf numFmtId="38" fontId="9" fillId="13" borderId="16" xfId="0" applyNumberFormat="1" applyFont="1" applyFill="1" applyBorder="1" applyAlignment="1" applyProtection="1">
      <alignment horizontal="center" vertical="center"/>
    </xf>
    <xf numFmtId="38" fontId="9" fillId="13" borderId="18" xfId="0" applyNumberFormat="1" applyFont="1" applyFill="1" applyBorder="1" applyAlignment="1" applyProtection="1">
      <alignment horizontal="center" vertical="top"/>
    </xf>
    <xf numFmtId="38" fontId="9" fillId="13" borderId="3" xfId="0" applyNumberFormat="1" applyFont="1" applyFill="1" applyBorder="1" applyAlignment="1" applyProtection="1">
      <alignment horizontal="center" vertical="center"/>
    </xf>
    <xf numFmtId="0" fontId="9" fillId="13" borderId="15" xfId="0" applyFont="1" applyFill="1" applyBorder="1" applyAlignment="1" applyProtection="1">
      <alignment horizontal="center" vertical="center"/>
    </xf>
    <xf numFmtId="38" fontId="11" fillId="13" borderId="86" xfId="0" applyNumberFormat="1" applyFont="1" applyFill="1" applyBorder="1" applyAlignment="1" applyProtection="1">
      <alignment horizontal="center" vertical="center"/>
    </xf>
    <xf numFmtId="38" fontId="11" fillId="13" borderId="134" xfId="0" applyNumberFormat="1" applyFont="1" applyFill="1" applyBorder="1" applyAlignment="1" applyProtection="1">
      <alignment horizontal="center" vertical="center"/>
    </xf>
    <xf numFmtId="38" fontId="11" fillId="13" borderId="17" xfId="0" applyNumberFormat="1" applyFont="1" applyFill="1" applyBorder="1" applyAlignment="1" applyProtection="1">
      <alignment horizontal="center" vertical="top"/>
    </xf>
    <xf numFmtId="38" fontId="11" fillId="13" borderId="18" xfId="0" applyNumberFormat="1" applyFont="1" applyFill="1" applyBorder="1" applyAlignment="1" applyProtection="1">
      <alignment horizontal="center" vertical="center"/>
    </xf>
    <xf numFmtId="38" fontId="9" fillId="13" borderId="86" xfId="0" applyNumberFormat="1" applyFont="1" applyFill="1" applyBorder="1" applyAlignment="1" applyProtection="1">
      <alignment horizontal="center" vertical="center"/>
    </xf>
    <xf numFmtId="0" fontId="15" fillId="13" borderId="125" xfId="0" applyFont="1" applyFill="1" applyBorder="1" applyAlignment="1" applyProtection="1">
      <alignment horizontal="center" vertical="center"/>
    </xf>
    <xf numFmtId="38" fontId="9" fillId="13" borderId="134" xfId="0" applyNumberFormat="1" applyFont="1" applyFill="1" applyBorder="1" applyAlignment="1" applyProtection="1">
      <alignment horizontal="center" vertical="center"/>
    </xf>
    <xf numFmtId="38" fontId="9" fillId="13" borderId="22" xfId="0" applyNumberFormat="1" applyFont="1" applyFill="1" applyBorder="1" applyAlignment="1" applyProtection="1">
      <alignment horizontal="center" vertical="center"/>
    </xf>
    <xf numFmtId="0" fontId="15" fillId="13" borderId="12" xfId="0" applyFont="1" applyFill="1" applyBorder="1" applyAlignment="1" applyProtection="1">
      <alignment horizontal="center" vertical="top"/>
    </xf>
    <xf numFmtId="0" fontId="9" fillId="13" borderId="3" xfId="0" applyFont="1" applyFill="1" applyBorder="1" applyAlignment="1" applyProtection="1">
      <alignment horizontal="center" vertical="center"/>
    </xf>
    <xf numFmtId="3" fontId="4" fillId="13" borderId="30" xfId="0" applyNumberFormat="1" applyFont="1" applyFill="1" applyBorder="1" applyAlignment="1" applyProtection="1">
      <alignment horizontal="center" vertical="center"/>
    </xf>
    <xf numFmtId="3" fontId="4" fillId="13" borderId="21" xfId="0" applyNumberFormat="1" applyFont="1" applyFill="1" applyBorder="1" applyAlignment="1" applyProtection="1">
      <alignment horizontal="center" vertical="center"/>
    </xf>
    <xf numFmtId="3" fontId="4" fillId="13" borderId="31" xfId="0" applyNumberFormat="1" applyFont="1" applyFill="1" applyBorder="1" applyAlignment="1" applyProtection="1">
      <alignment horizontal="center" vertical="center"/>
    </xf>
    <xf numFmtId="0" fontId="43" fillId="13" borderId="134" xfId="0" applyFont="1" applyFill="1" applyBorder="1" applyAlignment="1" applyProtection="1">
      <alignment horizontal="center"/>
    </xf>
    <xf numFmtId="0" fontId="43" fillId="13" borderId="17" xfId="0" applyFont="1" applyFill="1" applyBorder="1" applyAlignment="1" applyProtection="1">
      <alignment horizontal="center" vertical="top"/>
    </xf>
    <xf numFmtId="0" fontId="43" fillId="13" borderId="18" xfId="0" applyFont="1" applyFill="1" applyBorder="1" applyAlignment="1" applyProtection="1">
      <alignment horizontal="center" vertical="center"/>
    </xf>
    <xf numFmtId="0" fontId="43" fillId="13" borderId="18" xfId="0" applyFont="1" applyFill="1" applyBorder="1" applyAlignment="1" applyProtection="1">
      <alignment horizontal="center"/>
    </xf>
    <xf numFmtId="38" fontId="9" fillId="13" borderId="135" xfId="0" applyNumberFormat="1" applyFont="1" applyFill="1" applyBorder="1" applyAlignment="1" applyProtection="1">
      <alignment horizontal="center" vertical="center"/>
    </xf>
    <xf numFmtId="0" fontId="43" fillId="13" borderId="134" xfId="0" applyFont="1" applyFill="1" applyBorder="1" applyAlignment="1" applyProtection="1">
      <alignment horizontal="center" vertical="top"/>
    </xf>
    <xf numFmtId="0" fontId="43" fillId="13" borderId="18" xfId="0" applyFont="1" applyFill="1" applyBorder="1" applyAlignment="1" applyProtection="1">
      <alignment horizontal="center" vertical="top"/>
    </xf>
    <xf numFmtId="0" fontId="216" fillId="0" borderId="0" xfId="33" applyFont="1" applyAlignment="1" applyProtection="1"/>
    <xf numFmtId="0" fontId="217" fillId="0" borderId="0" xfId="33" applyFont="1" applyProtection="1"/>
    <xf numFmtId="0" fontId="75" fillId="0" borderId="80" xfId="33" applyFont="1" applyBorder="1" applyAlignment="1" applyProtection="1">
      <alignment horizontal="left" vertical="center"/>
    </xf>
    <xf numFmtId="0" fontId="75" fillId="0" borderId="85" xfId="33" applyFont="1" applyBorder="1" applyAlignment="1" applyProtection="1">
      <alignment vertical="center"/>
    </xf>
    <xf numFmtId="0" fontId="217" fillId="0" borderId="81" xfId="33" applyFont="1" applyBorder="1" applyAlignment="1" applyProtection="1">
      <alignment vertical="center"/>
    </xf>
    <xf numFmtId="0" fontId="75" fillId="0" borderId="7" xfId="33" applyFont="1" applyBorder="1" applyAlignment="1" applyProtection="1">
      <alignment horizontal="left" vertical="center"/>
    </xf>
    <xf numFmtId="0" fontId="217" fillId="0" borderId="0" xfId="33" applyFont="1" applyAlignment="1" applyProtection="1">
      <alignment vertical="center"/>
    </xf>
    <xf numFmtId="0" fontId="217" fillId="0" borderId="8" xfId="33" applyFont="1" applyBorder="1" applyAlignment="1" applyProtection="1">
      <alignment vertical="center"/>
    </xf>
    <xf numFmtId="0" fontId="217" fillId="0" borderId="9" xfId="33" applyFont="1" applyBorder="1" applyAlignment="1" applyProtection="1">
      <alignment horizontal="left" vertical="center"/>
    </xf>
    <xf numFmtId="0" fontId="217" fillId="0" borderId="13" xfId="33" applyFont="1" applyBorder="1" applyAlignment="1" applyProtection="1">
      <alignment vertical="center"/>
    </xf>
    <xf numFmtId="0" fontId="217" fillId="0" borderId="14" xfId="33" applyFont="1" applyBorder="1" applyAlignment="1" applyProtection="1">
      <alignment vertical="center"/>
    </xf>
    <xf numFmtId="0" fontId="217" fillId="0" borderId="0" xfId="33" applyFont="1" applyBorder="1" applyAlignment="1" applyProtection="1">
      <alignment vertical="center"/>
    </xf>
    <xf numFmtId="0" fontId="217" fillId="0" borderId="86" xfId="33" applyFont="1" applyFill="1" applyBorder="1" applyAlignment="1" applyProtection="1">
      <alignment horizontal="center" vertical="center"/>
    </xf>
    <xf numFmtId="0" fontId="217" fillId="0" borderId="82" xfId="33" applyFont="1" applyBorder="1" applyAlignment="1" applyProtection="1">
      <alignment vertical="center"/>
    </xf>
    <xf numFmtId="164" fontId="217" fillId="0" borderId="82" xfId="34" applyNumberFormat="1" applyFont="1" applyBorder="1" applyAlignment="1" applyProtection="1">
      <alignment horizontal="center" vertical="center"/>
    </xf>
    <xf numFmtId="0" fontId="219" fillId="0" borderId="82" xfId="33" applyFont="1" applyBorder="1" applyAlignment="1" applyProtection="1">
      <alignment vertical="center"/>
    </xf>
    <xf numFmtId="0" fontId="217" fillId="0" borderId="82" xfId="33" applyFont="1" applyBorder="1" applyAlignment="1" applyProtection="1">
      <alignment horizontal="center" vertical="center"/>
    </xf>
    <xf numFmtId="0" fontId="217" fillId="0" borderId="84" xfId="33" applyFont="1" applyFill="1" applyBorder="1" applyAlignment="1" applyProtection="1">
      <alignment horizontal="center" vertical="center"/>
    </xf>
    <xf numFmtId="0" fontId="217" fillId="0" borderId="85" xfId="33" applyFont="1" applyBorder="1" applyAlignment="1" applyProtection="1">
      <alignment vertical="center"/>
    </xf>
    <xf numFmtId="0" fontId="217" fillId="0" borderId="11" xfId="33" applyFont="1" applyFill="1" applyBorder="1" applyAlignment="1" applyProtection="1">
      <alignment horizontal="center" vertical="center"/>
    </xf>
    <xf numFmtId="0" fontId="217" fillId="0" borderId="12" xfId="33" applyFont="1" applyFill="1" applyBorder="1" applyAlignment="1" applyProtection="1">
      <alignment horizontal="center" vertical="center"/>
    </xf>
    <xf numFmtId="0" fontId="217" fillId="0" borderId="147" xfId="33" applyFont="1" applyBorder="1" applyAlignment="1" applyProtection="1">
      <alignment vertical="center"/>
    </xf>
    <xf numFmtId="0" fontId="217" fillId="0" borderId="0" xfId="33" applyFont="1" applyAlignment="1" applyProtection="1">
      <alignment horizontal="center"/>
    </xf>
    <xf numFmtId="0" fontId="217" fillId="0" borderId="0" xfId="33" applyFont="1" applyAlignment="1" applyProtection="1">
      <alignment horizontal="left"/>
    </xf>
    <xf numFmtId="166" fontId="217" fillId="0" borderId="0" xfId="35" applyNumberFormat="1" applyFont="1" applyProtection="1"/>
    <xf numFmtId="0" fontId="220" fillId="0" borderId="0" xfId="33" applyFont="1" applyAlignment="1" applyProtection="1">
      <alignment horizontal="left"/>
    </xf>
    <xf numFmtId="0" fontId="223" fillId="0" borderId="0" xfId="33" applyFont="1" applyAlignment="1" applyProtection="1">
      <alignment horizontal="left"/>
    </xf>
    <xf numFmtId="0" fontId="217" fillId="0" borderId="0" xfId="33" applyFont="1" applyBorder="1" applyProtection="1"/>
    <xf numFmtId="0" fontId="217" fillId="0" borderId="47" xfId="33" applyFont="1" applyBorder="1" applyProtection="1"/>
    <xf numFmtId="0" fontId="89" fillId="0" borderId="150" xfId="33" applyFont="1" applyFill="1" applyBorder="1" applyAlignment="1" applyProtection="1">
      <alignment horizontal="center" wrapText="1"/>
    </xf>
    <xf numFmtId="0" fontId="75" fillId="0" borderId="12" xfId="33" applyFont="1" applyFill="1" applyBorder="1" applyAlignment="1" applyProtection="1">
      <alignment horizontal="center" wrapText="1"/>
    </xf>
    <xf numFmtId="0" fontId="89" fillId="0" borderId="12" xfId="33" applyFont="1" applyFill="1" applyBorder="1" applyAlignment="1" applyProtection="1">
      <alignment horizontal="center" wrapText="1"/>
    </xf>
    <xf numFmtId="183" fontId="223" fillId="10" borderId="151" xfId="33" applyNumberFormat="1" applyFont="1" applyFill="1" applyBorder="1" applyAlignment="1" applyProtection="1">
      <alignment horizontal="center" vertical="center"/>
    </xf>
    <xf numFmtId="183" fontId="223" fillId="10" borderId="134" xfId="33" applyNumberFormat="1" applyFont="1" applyFill="1" applyBorder="1" applyAlignment="1" applyProtection="1">
      <alignment horizontal="center" vertical="center"/>
    </xf>
    <xf numFmtId="184" fontId="223" fillId="10" borderId="134" xfId="33" applyNumberFormat="1" applyFont="1" applyFill="1" applyBorder="1" applyAlignment="1" applyProtection="1">
      <alignment horizontal="center" vertical="center"/>
    </xf>
    <xf numFmtId="185" fontId="223" fillId="28" borderId="134" xfId="33" applyNumberFormat="1" applyFont="1" applyFill="1" applyBorder="1" applyAlignment="1" applyProtection="1">
      <alignment horizontal="center" vertical="center"/>
    </xf>
    <xf numFmtId="183" fontId="223" fillId="28" borderId="134" xfId="33" applyNumberFormat="1" applyFont="1" applyFill="1" applyBorder="1" applyAlignment="1" applyProtection="1">
      <alignment horizontal="center" vertical="center"/>
    </xf>
    <xf numFmtId="0" fontId="223" fillId="0" borderId="0" xfId="33" applyFont="1" applyProtection="1"/>
    <xf numFmtId="164" fontId="223" fillId="28" borderId="134" xfId="34" applyNumberFormat="1" applyFont="1" applyFill="1" applyBorder="1" applyAlignment="1" applyProtection="1">
      <alignment horizontal="center" vertical="center"/>
    </xf>
    <xf numFmtId="183" fontId="223" fillId="10" borderId="152" xfId="33" applyNumberFormat="1" applyFont="1" applyFill="1" applyBorder="1" applyAlignment="1" applyProtection="1">
      <alignment horizontal="center" vertical="center"/>
    </xf>
    <xf numFmtId="183" fontId="223" fillId="10" borderId="17" xfId="33" applyNumberFormat="1" applyFont="1" applyFill="1" applyBorder="1" applyAlignment="1" applyProtection="1">
      <alignment horizontal="center" vertical="center"/>
    </xf>
    <xf numFmtId="184" fontId="223" fillId="10" borderId="17" xfId="33" applyNumberFormat="1" applyFont="1" applyFill="1" applyBorder="1" applyAlignment="1" applyProtection="1">
      <alignment horizontal="center" vertical="center"/>
    </xf>
    <xf numFmtId="185" fontId="223" fillId="28" borderId="17" xfId="33" applyNumberFormat="1" applyFont="1" applyFill="1" applyBorder="1" applyAlignment="1" applyProtection="1">
      <alignment horizontal="center" vertical="center"/>
    </xf>
    <xf numFmtId="183" fontId="223" fillId="28" borderId="17" xfId="33" applyNumberFormat="1" applyFont="1" applyFill="1" applyBorder="1" applyAlignment="1" applyProtection="1">
      <alignment horizontal="center" vertical="center"/>
    </xf>
    <xf numFmtId="164" fontId="223" fillId="28" borderId="17" xfId="34" applyNumberFormat="1" applyFont="1" applyFill="1" applyBorder="1" applyAlignment="1" applyProtection="1">
      <alignment horizontal="center" vertical="center"/>
    </xf>
    <xf numFmtId="164" fontId="217" fillId="0" borderId="0" xfId="33" applyNumberFormat="1" applyFont="1" applyProtection="1"/>
    <xf numFmtId="183" fontId="223" fillId="10" borderId="153" xfId="33" applyNumberFormat="1" applyFont="1" applyFill="1" applyBorder="1" applyAlignment="1" applyProtection="1">
      <alignment horizontal="center" vertical="center"/>
    </xf>
    <xf numFmtId="183" fontId="223" fillId="10" borderId="18" xfId="33" applyNumberFormat="1" applyFont="1" applyFill="1" applyBorder="1" applyAlignment="1" applyProtection="1">
      <alignment horizontal="center" vertical="center"/>
    </xf>
    <xf numFmtId="184" fontId="223" fillId="10" borderId="18" xfId="33" applyNumberFormat="1" applyFont="1" applyFill="1" applyBorder="1" applyAlignment="1" applyProtection="1">
      <alignment horizontal="center" vertical="center"/>
    </xf>
    <xf numFmtId="185" fontId="223" fillId="28" borderId="18" xfId="33" applyNumberFormat="1" applyFont="1" applyFill="1" applyBorder="1" applyAlignment="1" applyProtection="1">
      <alignment horizontal="center" vertical="center"/>
    </xf>
    <xf numFmtId="183" fontId="223" fillId="28" borderId="18" xfId="33" applyNumberFormat="1" applyFont="1" applyFill="1" applyBorder="1" applyAlignment="1" applyProtection="1">
      <alignment horizontal="center" vertical="center"/>
    </xf>
    <xf numFmtId="164" fontId="223" fillId="28" borderId="18" xfId="34" applyNumberFormat="1" applyFont="1" applyFill="1" applyBorder="1" applyAlignment="1" applyProtection="1">
      <alignment horizontal="center" vertical="center"/>
    </xf>
    <xf numFmtId="0" fontId="217" fillId="0" borderId="85" xfId="33" applyFont="1" applyBorder="1" applyAlignment="1" applyProtection="1">
      <alignment horizontal="right" vertical="center"/>
    </xf>
    <xf numFmtId="0" fontId="219" fillId="0" borderId="149" xfId="33" applyFont="1" applyFill="1" applyBorder="1" applyAlignment="1" applyProtection="1">
      <alignment horizontal="right"/>
    </xf>
    <xf numFmtId="183" fontId="217" fillId="29" borderId="35" xfId="33" applyNumberFormat="1" applyFont="1" applyFill="1" applyBorder="1" applyAlignment="1" applyProtection="1">
      <alignment horizontal="center"/>
    </xf>
    <xf numFmtId="164" fontId="217" fillId="28" borderId="149" xfId="34" applyNumberFormat="1" applyFont="1" applyFill="1" applyBorder="1" applyAlignment="1" applyProtection="1">
      <alignment horizontal="center" vertical="center"/>
    </xf>
    <xf numFmtId="0" fontId="217" fillId="0" borderId="0" xfId="33" applyFont="1" applyBorder="1" applyAlignment="1" applyProtection="1">
      <alignment horizontal="right" vertical="center"/>
    </xf>
    <xf numFmtId="164" fontId="217" fillId="28" borderId="143" xfId="34" applyNumberFormat="1" applyFont="1" applyFill="1" applyBorder="1" applyAlignment="1" applyProtection="1">
      <alignment horizontal="center" vertical="center"/>
    </xf>
    <xf numFmtId="164" fontId="219" fillId="29" borderId="148" xfId="34" applyNumberFormat="1" applyFont="1" applyFill="1" applyBorder="1" applyAlignment="1" applyProtection="1">
      <alignment horizontal="center" vertical="center"/>
    </xf>
    <xf numFmtId="0" fontId="217" fillId="0" borderId="141" xfId="33" applyFont="1" applyBorder="1" applyProtection="1"/>
    <xf numFmtId="0" fontId="217" fillId="0" borderId="80" xfId="33" applyFont="1" applyBorder="1" applyProtection="1"/>
    <xf numFmtId="0" fontId="217" fillId="0" borderId="81" xfId="33" applyFont="1" applyBorder="1" applyProtection="1"/>
    <xf numFmtId="0" fontId="89" fillId="0" borderId="86" xfId="33" applyFont="1" applyFill="1" applyBorder="1" applyAlignment="1" applyProtection="1">
      <alignment horizontal="center" wrapText="1"/>
    </xf>
    <xf numFmtId="0" fontId="219" fillId="0" borderId="0" xfId="33" applyFont="1" applyAlignment="1" applyProtection="1">
      <alignment horizontal="center" wrapText="1"/>
    </xf>
    <xf numFmtId="0" fontId="217" fillId="0" borderId="7" xfId="33" applyFont="1" applyBorder="1" applyAlignment="1" applyProtection="1">
      <alignment horizontal="center"/>
    </xf>
    <xf numFmtId="0" fontId="217" fillId="0" borderId="8" xfId="33" applyFont="1" applyBorder="1" applyProtection="1"/>
    <xf numFmtId="183" fontId="217" fillId="28" borderId="134" xfId="33" applyNumberFormat="1" applyFont="1" applyFill="1" applyBorder="1" applyAlignment="1" applyProtection="1">
      <alignment horizontal="center" vertical="center"/>
    </xf>
    <xf numFmtId="0" fontId="217" fillId="28" borderId="134" xfId="33" applyFont="1" applyFill="1" applyBorder="1" applyAlignment="1" applyProtection="1">
      <alignment horizontal="center"/>
    </xf>
    <xf numFmtId="183" fontId="217" fillId="28" borderId="17" xfId="33" applyNumberFormat="1" applyFont="1" applyFill="1" applyBorder="1" applyAlignment="1" applyProtection="1">
      <alignment horizontal="center" vertical="center"/>
    </xf>
    <xf numFmtId="0" fontId="217" fillId="28" borderId="17" xfId="33" applyFont="1" applyFill="1" applyBorder="1" applyAlignment="1" applyProtection="1">
      <alignment horizontal="center"/>
    </xf>
    <xf numFmtId="0" fontId="217" fillId="0" borderId="9" xfId="33" applyFont="1" applyBorder="1" applyAlignment="1" applyProtection="1">
      <alignment horizontal="center"/>
    </xf>
    <xf numFmtId="0" fontId="217" fillId="0" borderId="14" xfId="33" applyFont="1" applyBorder="1" applyProtection="1"/>
    <xf numFmtId="183" fontId="217" fillId="28" borderId="18" xfId="33" applyNumberFormat="1" applyFont="1" applyFill="1" applyBorder="1" applyAlignment="1" applyProtection="1">
      <alignment horizontal="center" vertical="center"/>
    </xf>
    <xf numFmtId="0" fontId="217" fillId="28" borderId="18" xfId="33" applyFont="1" applyFill="1" applyBorder="1" applyAlignment="1" applyProtection="1">
      <alignment horizontal="center"/>
    </xf>
    <xf numFmtId="0" fontId="217" fillId="0" borderId="157" xfId="33" applyFont="1" applyBorder="1" applyProtection="1"/>
    <xf numFmtId="0" fontId="219" fillId="0" borderId="146" xfId="33" applyFont="1" applyBorder="1" applyAlignment="1" applyProtection="1">
      <alignment horizontal="center"/>
    </xf>
    <xf numFmtId="183" fontId="217" fillId="0" borderId="147" xfId="33" applyNumberFormat="1" applyFont="1" applyFill="1" applyBorder="1" applyAlignment="1" applyProtection="1">
      <alignment horizontal="center"/>
    </xf>
    <xf numFmtId="0" fontId="219" fillId="0" borderId="147" xfId="33" applyFont="1" applyBorder="1" applyAlignment="1" applyProtection="1">
      <alignment horizontal="center"/>
    </xf>
    <xf numFmtId="0" fontId="219" fillId="0" borderId="147" xfId="33" applyFont="1" applyBorder="1" applyAlignment="1" applyProtection="1"/>
    <xf numFmtId="0" fontId="219" fillId="0" borderId="147" xfId="33" applyFont="1" applyBorder="1" applyAlignment="1" applyProtection="1">
      <alignment horizontal="right"/>
    </xf>
    <xf numFmtId="164" fontId="219" fillId="29" borderId="148" xfId="34" applyNumberFormat="1" applyFont="1" applyFill="1" applyBorder="1" applyAlignment="1" applyProtection="1">
      <alignment horizontal="center"/>
    </xf>
    <xf numFmtId="0" fontId="217" fillId="0" borderId="144" xfId="33" applyFont="1" applyBorder="1" applyAlignment="1" applyProtection="1">
      <alignment horizontal="center"/>
    </xf>
    <xf numFmtId="0" fontId="217" fillId="0" borderId="85" xfId="33" applyFont="1" applyBorder="1" applyProtection="1"/>
    <xf numFmtId="0" fontId="217" fillId="0" borderId="85" xfId="33" applyFont="1" applyBorder="1" applyAlignment="1" applyProtection="1"/>
    <xf numFmtId="0" fontId="217" fillId="0" borderId="81" xfId="33" applyFont="1" applyBorder="1" applyAlignment="1" applyProtection="1"/>
    <xf numFmtId="164" fontId="217" fillId="28" borderId="143" xfId="34" applyNumberFormat="1" applyFont="1" applyFill="1" applyBorder="1" applyProtection="1"/>
    <xf numFmtId="0" fontId="217" fillId="0" borderId="44" xfId="33" applyFont="1" applyBorder="1" applyAlignment="1" applyProtection="1">
      <alignment horizontal="center"/>
    </xf>
    <xf numFmtId="0" fontId="217" fillId="0" borderId="0" xfId="33" applyFont="1" applyBorder="1" applyAlignment="1" applyProtection="1"/>
    <xf numFmtId="0" fontId="217" fillId="0" borderId="8" xfId="33" applyFont="1" applyBorder="1" applyAlignment="1" applyProtection="1"/>
    <xf numFmtId="0" fontId="217" fillId="0" borderId="145" xfId="33" applyFont="1" applyBorder="1" applyAlignment="1" applyProtection="1">
      <alignment horizontal="center"/>
    </xf>
    <xf numFmtId="0" fontId="217" fillId="0" borderId="13" xfId="33" applyFont="1" applyBorder="1" applyProtection="1"/>
    <xf numFmtId="0" fontId="217" fillId="0" borderId="13" xfId="33" applyFont="1" applyBorder="1" applyAlignment="1" applyProtection="1"/>
    <xf numFmtId="0" fontId="217" fillId="0" borderId="14" xfId="33" applyFont="1" applyBorder="1" applyAlignment="1" applyProtection="1"/>
    <xf numFmtId="164" fontId="217" fillId="28" borderId="149" xfId="34" applyNumberFormat="1" applyFont="1" applyFill="1" applyBorder="1" applyProtection="1"/>
    <xf numFmtId="0" fontId="217" fillId="0" borderId="146" xfId="33" applyFont="1" applyBorder="1" applyAlignment="1" applyProtection="1">
      <alignment horizontal="center"/>
    </xf>
    <xf numFmtId="0" fontId="217" fillId="0" borderId="147" xfId="33" applyFont="1" applyBorder="1" applyProtection="1"/>
    <xf numFmtId="164" fontId="222" fillId="29" borderId="15" xfId="34" applyNumberFormat="1" applyFont="1" applyFill="1" applyBorder="1" applyAlignment="1" applyProtection="1">
      <alignment horizontal="center" vertical="center"/>
    </xf>
    <xf numFmtId="164" fontId="217" fillId="0" borderId="0" xfId="34" applyNumberFormat="1" applyFont="1" applyProtection="1"/>
    <xf numFmtId="0" fontId="171" fillId="0" borderId="0" xfId="13" applyFont="1" applyProtection="1"/>
    <xf numFmtId="0" fontId="174" fillId="0" borderId="0" xfId="13" applyFont="1" applyAlignment="1" applyProtection="1"/>
    <xf numFmtId="0" fontId="76" fillId="0" borderId="0" xfId="13" applyFont="1" applyAlignment="1" applyProtection="1"/>
    <xf numFmtId="0" fontId="175" fillId="0" borderId="0" xfId="13" applyFont="1" applyAlignment="1" applyProtection="1"/>
    <xf numFmtId="0" fontId="75" fillId="0" borderId="0" xfId="13" applyFont="1" applyProtection="1"/>
    <xf numFmtId="0" fontId="89" fillId="0" borderId="0" xfId="13" applyFont="1" applyProtection="1"/>
    <xf numFmtId="0" fontId="75" fillId="0" borderId="0" xfId="13" applyFont="1" applyAlignment="1" applyProtection="1">
      <alignment vertical="top"/>
    </xf>
    <xf numFmtId="0" fontId="75" fillId="0" borderId="0" xfId="13" applyFont="1" applyAlignment="1" applyProtection="1">
      <alignment horizontal="left"/>
    </xf>
    <xf numFmtId="0" fontId="75" fillId="0" borderId="0" xfId="13" applyFont="1" applyAlignment="1" applyProtection="1"/>
    <xf numFmtId="0" fontId="43" fillId="0" borderId="0" xfId="13" applyFont="1" applyBorder="1" applyAlignment="1" applyProtection="1">
      <alignment horizontal="center" vertical="top"/>
    </xf>
    <xf numFmtId="0" fontId="46" fillId="0" borderId="0" xfId="0" applyFont="1" applyBorder="1" applyAlignment="1" applyProtection="1">
      <alignment horizontal="justify" vertical="top" wrapText="1"/>
    </xf>
    <xf numFmtId="0" fontId="41" fillId="0" borderId="0" xfId="0" applyFont="1" applyFill="1" applyAlignment="1" applyProtection="1">
      <alignment horizontal="center" vertical="center" wrapText="1"/>
    </xf>
    <xf numFmtId="167" fontId="46" fillId="5" borderId="28" xfId="0" applyNumberFormat="1" applyFont="1" applyFill="1" applyBorder="1" applyAlignment="1" applyProtection="1">
      <alignment horizontal="left" vertical="center"/>
    </xf>
    <xf numFmtId="167" fontId="46" fillId="5" borderId="57" xfId="0" applyNumberFormat="1" applyFont="1" applyFill="1" applyBorder="1" applyAlignment="1" applyProtection="1">
      <alignment horizontal="left" vertical="center"/>
    </xf>
    <xf numFmtId="167" fontId="46" fillId="5" borderId="29" xfId="0" applyNumberFormat="1" applyFont="1" applyFill="1" applyBorder="1" applyAlignment="1" applyProtection="1">
      <alignment horizontal="left" vertical="center"/>
    </xf>
    <xf numFmtId="0" fontId="46" fillId="5" borderId="28" xfId="0" applyFont="1" applyFill="1" applyBorder="1" applyAlignment="1" applyProtection="1">
      <alignment horizontal="left" vertical="center"/>
    </xf>
    <xf numFmtId="0" fontId="46" fillId="5" borderId="57" xfId="0" applyFont="1" applyFill="1" applyBorder="1" applyAlignment="1" applyProtection="1">
      <alignment horizontal="left" vertical="center"/>
    </xf>
    <xf numFmtId="0" fontId="46" fillId="5" borderId="29" xfId="0" applyFont="1" applyFill="1" applyBorder="1" applyAlignment="1" applyProtection="1">
      <alignment horizontal="left" vertical="center"/>
    </xf>
    <xf numFmtId="167" fontId="46" fillId="5" borderId="30" xfId="0" applyNumberFormat="1" applyFont="1" applyFill="1" applyBorder="1" applyAlignment="1" applyProtection="1">
      <alignment horizontal="left" vertical="center"/>
    </xf>
    <xf numFmtId="167" fontId="46" fillId="5" borderId="21" xfId="0" applyNumberFormat="1" applyFont="1" applyFill="1" applyBorder="1" applyAlignment="1" applyProtection="1">
      <alignment horizontal="left" vertical="center"/>
    </xf>
    <xf numFmtId="167" fontId="46" fillId="5" borderId="31" xfId="0" applyNumberFormat="1" applyFont="1" applyFill="1" applyBorder="1" applyAlignment="1" applyProtection="1">
      <alignment horizontal="left" vertical="center"/>
    </xf>
    <xf numFmtId="169" fontId="46" fillId="5" borderId="27" xfId="0" applyNumberFormat="1" applyFont="1" applyFill="1" applyBorder="1" applyAlignment="1" applyProtection="1">
      <alignment horizontal="left" vertical="center"/>
    </xf>
    <xf numFmtId="169" fontId="46" fillId="5" borderId="92" xfId="0" applyNumberFormat="1" applyFont="1" applyFill="1" applyBorder="1" applyAlignment="1" applyProtection="1">
      <alignment horizontal="left" vertical="center"/>
    </xf>
    <xf numFmtId="0" fontId="46" fillId="0" borderId="7" xfId="0" applyFont="1" applyBorder="1" applyAlignment="1" applyProtection="1">
      <alignment horizontal="center"/>
    </xf>
    <xf numFmtId="0" fontId="46" fillId="0" borderId="8" xfId="0" applyFont="1" applyBorder="1" applyAlignment="1" applyProtection="1">
      <alignment horizontal="center"/>
    </xf>
    <xf numFmtId="0" fontId="46" fillId="0" borderId="7" xfId="0" applyFont="1" applyFill="1" applyBorder="1" applyAlignment="1" applyProtection="1">
      <alignment horizontal="left" vertical="center"/>
    </xf>
    <xf numFmtId="0" fontId="46" fillId="0" borderId="0" xfId="0" applyFont="1" applyFill="1" applyAlignment="1" applyProtection="1">
      <alignment horizontal="left" vertical="center"/>
    </xf>
    <xf numFmtId="0" fontId="46" fillId="0" borderId="8" xfId="0" applyFont="1" applyFill="1" applyBorder="1" applyAlignment="1" applyProtection="1">
      <alignment horizontal="left" vertical="center"/>
    </xf>
    <xf numFmtId="0" fontId="46" fillId="0" borderId="0" xfId="0" applyFont="1" applyFill="1" applyAlignment="1" applyProtection="1">
      <alignment horizontal="left" vertical="top" wrapText="1"/>
    </xf>
    <xf numFmtId="0" fontId="46" fillId="5" borderId="9" xfId="0" applyFont="1" applyFill="1" applyBorder="1" applyAlignment="1" applyProtection="1">
      <alignment horizontal="left" vertical="center"/>
    </xf>
    <xf numFmtId="0" fontId="46" fillId="5" borderId="13" xfId="0" applyFont="1" applyFill="1" applyBorder="1" applyAlignment="1" applyProtection="1">
      <alignment horizontal="left" vertical="center"/>
    </xf>
    <xf numFmtId="0" fontId="46" fillId="5" borderId="14" xfId="0" applyFont="1" applyFill="1" applyBorder="1" applyAlignment="1" applyProtection="1">
      <alignment horizontal="left" vertical="center"/>
    </xf>
    <xf numFmtId="0" fontId="46" fillId="5" borderId="30" xfId="0" applyFont="1" applyFill="1" applyBorder="1" applyAlignment="1" applyProtection="1">
      <alignment horizontal="left" vertical="center"/>
    </xf>
    <xf numFmtId="0" fontId="46" fillId="5" borderId="21" xfId="0" applyFont="1" applyFill="1" applyBorder="1" applyAlignment="1" applyProtection="1">
      <alignment horizontal="left" vertical="center"/>
    </xf>
    <xf numFmtId="0" fontId="46" fillId="5" borderId="31" xfId="0" applyFont="1" applyFill="1" applyBorder="1" applyAlignment="1" applyProtection="1">
      <alignment horizontal="left" vertical="center"/>
    </xf>
    <xf numFmtId="0" fontId="46" fillId="5" borderId="19" xfId="0" applyFont="1" applyFill="1" applyBorder="1" applyAlignment="1" applyProtection="1">
      <alignment horizontal="left" vertical="center"/>
    </xf>
    <xf numFmtId="174" fontId="46" fillId="5" borderId="9" xfId="0" applyNumberFormat="1" applyFont="1" applyFill="1" applyBorder="1" applyAlignment="1" applyProtection="1">
      <alignment horizontal="left" vertical="center"/>
    </xf>
    <xf numFmtId="174" fontId="46" fillId="5" borderId="37" xfId="0" applyNumberFormat="1" applyFont="1" applyFill="1" applyBorder="1" applyAlignment="1" applyProtection="1">
      <alignment horizontal="left" vertical="center"/>
    </xf>
    <xf numFmtId="0" fontId="46" fillId="0" borderId="0" xfId="0" applyFont="1" applyFill="1" applyBorder="1" applyAlignment="1" applyProtection="1">
      <alignment horizontal="left" vertical="center"/>
    </xf>
    <xf numFmtId="0" fontId="46" fillId="5" borderId="78" xfId="0" applyFont="1" applyFill="1" applyBorder="1" applyAlignment="1" applyProtection="1">
      <alignment horizontal="left" vertical="center"/>
    </xf>
    <xf numFmtId="0" fontId="46" fillId="5" borderId="82" xfId="0" applyFont="1" applyFill="1" applyBorder="1" applyAlignment="1" applyProtection="1">
      <alignment horizontal="left" vertical="center"/>
    </xf>
    <xf numFmtId="0" fontId="46" fillId="5" borderId="79" xfId="0" applyFont="1" applyFill="1" applyBorder="1" applyAlignment="1" applyProtection="1">
      <alignment horizontal="left" vertical="center"/>
    </xf>
    <xf numFmtId="0" fontId="46" fillId="0" borderId="0" xfId="0" applyFont="1" applyFill="1" applyBorder="1" applyAlignment="1" applyProtection="1">
      <alignment horizontal="left" vertical="top" wrapText="1"/>
    </xf>
    <xf numFmtId="0" fontId="54" fillId="0" borderId="0" xfId="0" applyFont="1" applyFill="1" applyBorder="1" applyAlignment="1" applyProtection="1">
      <alignment horizontal="left" wrapText="1"/>
    </xf>
    <xf numFmtId="0" fontId="42" fillId="5" borderId="51" xfId="0" applyFont="1" applyFill="1" applyBorder="1" applyAlignment="1" applyProtection="1">
      <alignment horizontal="left" vertical="center"/>
    </xf>
    <xf numFmtId="0" fontId="42" fillId="5" borderId="52" xfId="0" applyFont="1" applyFill="1" applyBorder="1" applyAlignment="1" applyProtection="1">
      <alignment horizontal="left" vertical="center"/>
    </xf>
    <xf numFmtId="0" fontId="42" fillId="5" borderId="96" xfId="0" applyFont="1" applyFill="1" applyBorder="1" applyAlignment="1" applyProtection="1">
      <alignment horizontal="left" vertical="center"/>
    </xf>
    <xf numFmtId="0" fontId="42" fillId="5" borderId="57" xfId="0" applyFont="1" applyFill="1" applyBorder="1" applyAlignment="1" applyProtection="1">
      <alignment horizontal="left" vertical="center"/>
    </xf>
    <xf numFmtId="0" fontId="42" fillId="5" borderId="29" xfId="0" applyFont="1" applyFill="1" applyBorder="1" applyAlignment="1" applyProtection="1">
      <alignment horizontal="left" vertical="center"/>
    </xf>
    <xf numFmtId="0" fontId="42" fillId="5" borderId="50" xfId="0" applyFont="1" applyFill="1" applyBorder="1" applyAlignment="1" applyProtection="1">
      <alignment horizontal="left" vertical="center"/>
    </xf>
    <xf numFmtId="0" fontId="42" fillId="5" borderId="38" xfId="0" applyFont="1" applyFill="1" applyBorder="1" applyAlignment="1" applyProtection="1">
      <alignment horizontal="left" vertical="center"/>
    </xf>
    <xf numFmtId="0" fontId="42" fillId="5" borderId="77" xfId="0" applyFont="1" applyFill="1" applyBorder="1" applyAlignment="1" applyProtection="1">
      <alignment horizontal="left" vertical="center"/>
    </xf>
    <xf numFmtId="0" fontId="42" fillId="5" borderId="21" xfId="0" applyFont="1" applyFill="1" applyBorder="1" applyAlignment="1" applyProtection="1">
      <alignment horizontal="left" vertical="center"/>
    </xf>
    <xf numFmtId="0" fontId="42" fillId="5" borderId="31" xfId="0" applyFont="1" applyFill="1" applyBorder="1" applyAlignment="1" applyProtection="1">
      <alignment horizontal="left" vertical="center"/>
    </xf>
    <xf numFmtId="0" fontId="42" fillId="5" borderId="30" xfId="0" applyFont="1" applyFill="1" applyBorder="1" applyAlignment="1" applyProtection="1">
      <alignment horizontal="left" vertical="center"/>
    </xf>
    <xf numFmtId="0" fontId="42" fillId="5" borderId="74" xfId="0" applyFont="1" applyFill="1" applyBorder="1" applyAlignment="1" applyProtection="1">
      <alignment horizontal="left" vertical="center"/>
    </xf>
    <xf numFmtId="0" fontId="42" fillId="5" borderId="33" xfId="0" applyFont="1" applyFill="1" applyBorder="1" applyAlignment="1" applyProtection="1">
      <alignment horizontal="left" vertical="center"/>
    </xf>
    <xf numFmtId="0" fontId="42" fillId="5" borderId="58" xfId="0" applyFont="1" applyFill="1" applyBorder="1" applyAlignment="1" applyProtection="1">
      <alignment horizontal="left" vertical="center"/>
    </xf>
    <xf numFmtId="0" fontId="42" fillId="5" borderId="76" xfId="0" applyFont="1" applyFill="1" applyBorder="1" applyAlignment="1" applyProtection="1">
      <alignment horizontal="left" vertical="center"/>
    </xf>
    <xf numFmtId="174" fontId="46" fillId="5" borderId="131" xfId="0" applyNumberFormat="1" applyFont="1" applyFill="1" applyBorder="1" applyAlignment="1" applyProtection="1">
      <alignment horizontal="center" vertical="center"/>
    </xf>
    <xf numFmtId="174" fontId="46" fillId="5" borderId="133" xfId="0" applyNumberFormat="1" applyFont="1" applyFill="1" applyBorder="1" applyAlignment="1" applyProtection="1">
      <alignment horizontal="center" vertical="center"/>
    </xf>
    <xf numFmtId="0" fontId="46" fillId="0" borderId="0" xfId="0" applyFont="1" applyFill="1" applyAlignment="1" applyProtection="1">
      <alignment horizontal="center" vertical="center" wrapText="1"/>
    </xf>
    <xf numFmtId="0" fontId="46" fillId="0" borderId="13" xfId="0" applyFont="1" applyFill="1" applyBorder="1" applyAlignment="1" applyProtection="1">
      <alignment horizontal="center" vertical="center" wrapText="1"/>
    </xf>
    <xf numFmtId="174" fontId="46" fillId="5" borderId="78" xfId="0" applyNumberFormat="1" applyFont="1" applyFill="1" applyBorder="1" applyAlignment="1" applyProtection="1">
      <alignment horizontal="center" vertical="center"/>
    </xf>
    <xf numFmtId="174" fontId="46" fillId="5" borderId="79" xfId="0" applyNumberFormat="1" applyFont="1" applyFill="1" applyBorder="1" applyAlignment="1" applyProtection="1">
      <alignment horizontal="center" vertical="center"/>
    </xf>
    <xf numFmtId="0" fontId="46" fillId="5" borderId="33" xfId="0" applyFont="1" applyFill="1" applyBorder="1" applyAlignment="1" applyProtection="1">
      <alignment horizontal="left" vertical="center"/>
    </xf>
    <xf numFmtId="0" fontId="46" fillId="5" borderId="34" xfId="0" applyFont="1" applyFill="1" applyBorder="1" applyAlignment="1" applyProtection="1">
      <alignment horizontal="left" vertical="center"/>
    </xf>
    <xf numFmtId="0" fontId="42" fillId="5" borderId="78" xfId="0" applyFont="1" applyFill="1" applyBorder="1" applyAlignment="1" applyProtection="1">
      <alignment horizontal="center"/>
    </xf>
    <xf numFmtId="0" fontId="42" fillId="5" borderId="79" xfId="0" applyFont="1" applyFill="1" applyBorder="1" applyAlignment="1" applyProtection="1">
      <alignment horizontal="center"/>
    </xf>
    <xf numFmtId="6" fontId="46" fillId="5" borderId="131" xfId="0" applyNumberFormat="1" applyFont="1" applyFill="1" applyBorder="1" applyAlignment="1" applyProtection="1">
      <alignment horizontal="center" vertical="center"/>
    </xf>
    <xf numFmtId="6" fontId="46" fillId="5" borderId="92" xfId="0" applyNumberFormat="1" applyFont="1" applyFill="1" applyBorder="1" applyAlignment="1" applyProtection="1">
      <alignment horizontal="center" vertical="center"/>
    </xf>
    <xf numFmtId="6" fontId="46" fillId="5" borderId="33" xfId="0" applyNumberFormat="1" applyFont="1" applyFill="1" applyBorder="1" applyAlignment="1" applyProtection="1">
      <alignment horizontal="center" vertical="center"/>
    </xf>
    <xf numFmtId="6" fontId="46" fillId="5" borderId="34" xfId="0" applyNumberFormat="1" applyFont="1" applyFill="1" applyBorder="1" applyAlignment="1" applyProtection="1">
      <alignment horizontal="center" vertical="center"/>
    </xf>
    <xf numFmtId="174" fontId="46" fillId="5" borderId="28" xfId="0" applyNumberFormat="1" applyFont="1" applyFill="1" applyBorder="1" applyAlignment="1" applyProtection="1">
      <alignment horizontal="left" vertical="center"/>
    </xf>
    <xf numFmtId="174" fontId="46" fillId="5" borderId="29" xfId="0" applyNumberFormat="1" applyFont="1" applyFill="1" applyBorder="1" applyAlignment="1" applyProtection="1">
      <alignment horizontal="left" vertical="center"/>
    </xf>
    <xf numFmtId="0" fontId="42" fillId="5" borderId="36" xfId="0" applyFont="1" applyFill="1" applyBorder="1" applyAlignment="1" applyProtection="1">
      <alignment horizontal="left" vertical="top" wrapText="1"/>
    </xf>
    <xf numFmtId="0" fontId="42" fillId="5" borderId="2" xfId="0" applyFont="1" applyFill="1" applyBorder="1" applyAlignment="1" applyProtection="1">
      <alignment horizontal="left" vertical="top" wrapText="1"/>
    </xf>
    <xf numFmtId="0" fontId="42" fillId="5" borderId="37" xfId="0" applyFont="1" applyFill="1" applyBorder="1" applyAlignment="1" applyProtection="1">
      <alignment horizontal="left" vertical="top" wrapText="1"/>
    </xf>
    <xf numFmtId="0" fontId="42" fillId="4" borderId="78" xfId="0" applyFont="1" applyFill="1" applyBorder="1" applyAlignment="1" applyProtection="1">
      <alignment horizontal="left" vertical="top" wrapText="1"/>
    </xf>
    <xf numFmtId="0" fontId="42" fillId="4" borderId="82" xfId="0" applyFont="1" applyFill="1" applyBorder="1" applyAlignment="1" applyProtection="1">
      <alignment horizontal="left" vertical="top" wrapText="1"/>
    </xf>
    <xf numFmtId="0" fontId="42" fillId="4" borderId="79" xfId="0" applyFont="1" applyFill="1" applyBorder="1" applyAlignment="1" applyProtection="1">
      <alignment horizontal="left" vertical="top" wrapText="1"/>
    </xf>
    <xf numFmtId="174" fontId="46" fillId="5" borderId="30" xfId="0" applyNumberFormat="1" applyFont="1" applyFill="1" applyBorder="1" applyAlignment="1" applyProtection="1">
      <alignment horizontal="left" vertical="center"/>
    </xf>
    <xf numFmtId="174" fontId="46" fillId="5" borderId="31" xfId="0" applyNumberFormat="1" applyFont="1" applyFill="1" applyBorder="1" applyAlignment="1" applyProtection="1">
      <alignment horizontal="left" vertical="center"/>
    </xf>
    <xf numFmtId="174" fontId="46" fillId="5" borderId="33" xfId="0" applyNumberFormat="1" applyFont="1" applyFill="1" applyBorder="1" applyAlignment="1" applyProtection="1">
      <alignment horizontal="left" vertical="center"/>
    </xf>
    <xf numFmtId="174" fontId="46" fillId="5" borderId="34" xfId="0" applyNumberFormat="1" applyFont="1" applyFill="1" applyBorder="1" applyAlignment="1" applyProtection="1">
      <alignment horizontal="left" vertical="center"/>
    </xf>
    <xf numFmtId="6" fontId="46" fillId="5" borderId="30" xfId="0" applyNumberFormat="1" applyFont="1" applyFill="1" applyBorder="1" applyAlignment="1" applyProtection="1">
      <alignment horizontal="center" vertical="center"/>
    </xf>
    <xf numFmtId="6" fontId="46" fillId="5" borderId="31" xfId="0" applyNumberFormat="1" applyFont="1" applyFill="1" applyBorder="1" applyAlignment="1" applyProtection="1">
      <alignment horizontal="center" vertical="center"/>
    </xf>
    <xf numFmtId="174" fontId="46" fillId="5" borderId="30" xfId="0" applyNumberFormat="1" applyFont="1" applyFill="1" applyBorder="1" applyAlignment="1" applyProtection="1">
      <alignment horizontal="center" vertical="center"/>
    </xf>
    <xf numFmtId="174" fontId="46" fillId="5" borderId="31" xfId="0" applyNumberFormat="1" applyFont="1" applyFill="1" applyBorder="1" applyAlignment="1" applyProtection="1">
      <alignment horizontal="center" vertical="center"/>
    </xf>
    <xf numFmtId="174" fontId="46" fillId="5" borderId="33" xfId="0" applyNumberFormat="1" applyFont="1" applyFill="1" applyBorder="1" applyAlignment="1" applyProtection="1">
      <alignment horizontal="center" vertical="center"/>
    </xf>
    <xf numFmtId="174" fontId="46" fillId="5" borderId="34" xfId="0" applyNumberFormat="1" applyFont="1" applyFill="1" applyBorder="1" applyAlignment="1" applyProtection="1">
      <alignment horizontal="center" vertical="center"/>
    </xf>
    <xf numFmtId="174" fontId="42" fillId="5" borderId="131" xfId="0" applyNumberFormat="1" applyFont="1" applyFill="1" applyBorder="1" applyAlignment="1" applyProtection="1">
      <alignment horizontal="left" vertical="center"/>
    </xf>
    <xf numFmtId="174" fontId="42" fillId="5" borderId="133" xfId="0" applyNumberFormat="1" applyFont="1" applyFill="1" applyBorder="1" applyAlignment="1" applyProtection="1">
      <alignment horizontal="left" vertical="center"/>
    </xf>
    <xf numFmtId="174" fontId="42" fillId="5" borderId="30" xfId="0" applyNumberFormat="1" applyFont="1" applyFill="1" applyBorder="1" applyAlignment="1" applyProtection="1">
      <alignment horizontal="left" vertical="center"/>
    </xf>
    <xf numFmtId="174" fontId="42" fillId="5" borderId="31" xfId="0" applyNumberFormat="1" applyFont="1" applyFill="1" applyBorder="1" applyAlignment="1" applyProtection="1">
      <alignment horizontal="left" vertical="center"/>
    </xf>
    <xf numFmtId="0" fontId="46" fillId="0" borderId="0" xfId="0" applyFont="1" applyBorder="1" applyAlignment="1" applyProtection="1">
      <alignment horizontal="center"/>
    </xf>
    <xf numFmtId="0" fontId="46" fillId="0" borderId="7" xfId="0" applyFont="1" applyBorder="1" applyAlignment="1" applyProtection="1">
      <alignment horizontal="center" vertical="center"/>
    </xf>
    <xf numFmtId="0" fontId="46" fillId="0" borderId="8" xfId="0" applyFont="1" applyBorder="1" applyAlignment="1" applyProtection="1">
      <alignment horizontal="center" vertical="center"/>
    </xf>
    <xf numFmtId="174" fontId="42" fillId="5" borderId="33" xfId="0" applyNumberFormat="1" applyFont="1" applyFill="1" applyBorder="1" applyAlignment="1" applyProtection="1">
      <alignment horizontal="left" vertical="center"/>
    </xf>
    <xf numFmtId="174" fontId="42" fillId="5" borderId="34" xfId="0" applyNumberFormat="1" applyFont="1" applyFill="1" applyBorder="1" applyAlignment="1" applyProtection="1">
      <alignment horizontal="left" vertical="center"/>
    </xf>
    <xf numFmtId="174" fontId="45" fillId="0" borderId="78" xfId="0" applyNumberFormat="1" applyFont="1" applyFill="1" applyBorder="1" applyAlignment="1" applyProtection="1">
      <alignment horizontal="center" vertical="center"/>
    </xf>
    <xf numFmtId="174" fontId="45" fillId="0" borderId="79" xfId="0" applyNumberFormat="1" applyFont="1" applyFill="1" applyBorder="1" applyAlignment="1" applyProtection="1">
      <alignment horizontal="center" vertical="center"/>
    </xf>
    <xf numFmtId="0" fontId="85" fillId="10" borderId="80" xfId="0" applyFont="1" applyFill="1" applyBorder="1" applyAlignment="1" applyProtection="1">
      <alignment horizontal="left" vertical="top" wrapText="1"/>
    </xf>
    <xf numFmtId="0" fontId="85" fillId="10" borderId="85" xfId="0" applyFont="1" applyFill="1" applyBorder="1" applyAlignment="1" applyProtection="1">
      <alignment horizontal="left" vertical="top" wrapText="1"/>
    </xf>
    <xf numFmtId="0" fontId="85" fillId="10" borderId="81" xfId="0" applyFont="1" applyFill="1" applyBorder="1" applyAlignment="1" applyProtection="1">
      <alignment horizontal="left" vertical="top" wrapText="1"/>
    </xf>
    <xf numFmtId="0" fontId="85" fillId="10" borderId="7" xfId="0" applyFont="1" applyFill="1" applyBorder="1" applyAlignment="1" applyProtection="1">
      <alignment horizontal="left" vertical="top" wrapText="1"/>
    </xf>
    <xf numFmtId="0" fontId="85" fillId="10" borderId="0" xfId="0" applyFont="1" applyFill="1" applyBorder="1" applyAlignment="1" applyProtection="1">
      <alignment horizontal="left" vertical="top" wrapText="1"/>
    </xf>
    <xf numFmtId="0" fontId="85" fillId="10" borderId="8" xfId="0" applyFont="1" applyFill="1" applyBorder="1" applyAlignment="1" applyProtection="1">
      <alignment horizontal="left" vertical="top" wrapText="1"/>
    </xf>
    <xf numFmtId="0" fontId="85" fillId="10" borderId="9" xfId="0" applyFont="1" applyFill="1" applyBorder="1" applyAlignment="1" applyProtection="1">
      <alignment horizontal="left" vertical="top" wrapText="1"/>
    </xf>
    <xf numFmtId="0" fontId="85" fillId="10" borderId="13" xfId="0" applyFont="1" applyFill="1" applyBorder="1" applyAlignment="1" applyProtection="1">
      <alignment horizontal="left" vertical="top" wrapText="1"/>
    </xf>
    <xf numFmtId="0" fontId="85" fillId="10" borderId="14" xfId="0" applyFont="1" applyFill="1" applyBorder="1" applyAlignment="1" applyProtection="1">
      <alignment horizontal="left" vertical="top" wrapText="1"/>
    </xf>
    <xf numFmtId="0" fontId="46" fillId="0" borderId="0" xfId="0" applyFont="1" applyBorder="1" applyAlignment="1" applyProtection="1">
      <alignment horizontal="center" wrapText="1"/>
    </xf>
    <xf numFmtId="0" fontId="46" fillId="0" borderId="13" xfId="0" applyFont="1" applyBorder="1" applyAlignment="1" applyProtection="1">
      <alignment horizontal="center" wrapText="1"/>
    </xf>
    <xf numFmtId="0" fontId="43" fillId="10" borderId="30" xfId="0" applyNumberFormat="1" applyFont="1" applyFill="1" applyBorder="1" applyAlignment="1" applyProtection="1">
      <alignment horizontal="left" vertical="center"/>
    </xf>
    <xf numFmtId="0" fontId="43" fillId="10" borderId="21" xfId="0" applyNumberFormat="1" applyFont="1" applyFill="1" applyBorder="1" applyAlignment="1" applyProtection="1">
      <alignment horizontal="left" vertical="center"/>
    </xf>
    <xf numFmtId="0" fontId="43" fillId="10" borderId="31" xfId="0" applyNumberFormat="1" applyFont="1" applyFill="1" applyBorder="1" applyAlignment="1" applyProtection="1">
      <alignment horizontal="left" vertical="center"/>
    </xf>
    <xf numFmtId="175" fontId="54" fillId="10" borderId="30" xfId="0" applyNumberFormat="1" applyFont="1" applyFill="1" applyBorder="1" applyAlignment="1" applyProtection="1">
      <alignment horizontal="center" vertical="center"/>
    </xf>
    <xf numFmtId="175" fontId="54" fillId="10" borderId="31" xfId="0" applyNumberFormat="1" applyFont="1" applyFill="1" applyBorder="1" applyAlignment="1" applyProtection="1">
      <alignment horizontal="center" vertical="center"/>
    </xf>
    <xf numFmtId="0" fontId="223" fillId="0" borderId="40" xfId="0" applyFont="1" applyBorder="1" applyAlignment="1" applyProtection="1">
      <alignment horizontal="center" wrapText="1"/>
    </xf>
    <xf numFmtId="0" fontId="223" fillId="0" borderId="0" xfId="0" applyFont="1" applyBorder="1" applyAlignment="1" applyProtection="1">
      <alignment horizontal="center" wrapText="1"/>
    </xf>
    <xf numFmtId="0" fontId="223" fillId="0" borderId="94" xfId="0" applyFont="1" applyBorder="1" applyAlignment="1" applyProtection="1">
      <alignment horizontal="center" wrapText="1"/>
    </xf>
    <xf numFmtId="0" fontId="223" fillId="0" borderId="13" xfId="0" applyFont="1" applyBorder="1" applyAlignment="1" applyProtection="1">
      <alignment horizontal="center" wrapText="1"/>
    </xf>
    <xf numFmtId="0" fontId="46" fillId="10" borderId="78" xfId="0" applyFont="1" applyFill="1" applyBorder="1" applyAlignment="1" applyProtection="1">
      <alignment horizontal="left" vertical="center"/>
    </xf>
    <xf numFmtId="0" fontId="46" fillId="10" borderId="82" xfId="0" applyFont="1" applyFill="1" applyBorder="1" applyAlignment="1" applyProtection="1">
      <alignment horizontal="left" vertical="center"/>
    </xf>
    <xf numFmtId="0" fontId="46" fillId="10" borderId="79" xfId="0" applyFont="1" applyFill="1" applyBorder="1" applyAlignment="1" applyProtection="1">
      <alignment horizontal="left" vertical="center"/>
    </xf>
    <xf numFmtId="175" fontId="54" fillId="10" borderId="131" xfId="0" applyNumberFormat="1" applyFont="1" applyFill="1" applyBorder="1" applyAlignment="1" applyProtection="1">
      <alignment horizontal="center" vertical="center"/>
    </xf>
    <xf numFmtId="175" fontId="54" fillId="10" borderId="133" xfId="0" applyNumberFormat="1" applyFont="1" applyFill="1" applyBorder="1" applyAlignment="1" applyProtection="1">
      <alignment horizontal="center" vertical="center"/>
    </xf>
    <xf numFmtId="0" fontId="43" fillId="10" borderId="131" xfId="0" applyNumberFormat="1" applyFont="1" applyFill="1" applyBorder="1" applyAlignment="1" applyProtection="1">
      <alignment horizontal="left" vertical="center"/>
    </xf>
    <xf numFmtId="0" fontId="43" fillId="10" borderId="132" xfId="0" applyNumberFormat="1" applyFont="1" applyFill="1" applyBorder="1" applyAlignment="1" applyProtection="1">
      <alignment horizontal="left" vertical="center"/>
    </xf>
    <xf numFmtId="0" fontId="43" fillId="10" borderId="133" xfId="0" applyNumberFormat="1" applyFont="1" applyFill="1" applyBorder="1" applyAlignment="1" applyProtection="1">
      <alignment horizontal="left" vertical="center"/>
    </xf>
    <xf numFmtId="0" fontId="223" fillId="0" borderId="77" xfId="0" applyFont="1" applyBorder="1" applyAlignment="1" applyProtection="1">
      <alignment horizontal="center"/>
    </xf>
    <xf numFmtId="0" fontId="223" fillId="0" borderId="74" xfId="0" applyFont="1" applyBorder="1" applyAlignment="1" applyProtection="1">
      <alignment horizontal="center"/>
    </xf>
    <xf numFmtId="175" fontId="54" fillId="10" borderId="33" xfId="0" applyNumberFormat="1" applyFont="1" applyFill="1" applyBorder="1" applyAlignment="1" applyProtection="1">
      <alignment horizontal="center" vertical="center"/>
    </xf>
    <xf numFmtId="175" fontId="54" fillId="10" borderId="34" xfId="0" applyNumberFormat="1" applyFont="1" applyFill="1" applyBorder="1" applyAlignment="1" applyProtection="1">
      <alignment horizontal="center" vertical="center"/>
    </xf>
    <xf numFmtId="0" fontId="43" fillId="10" borderId="33" xfId="0" applyNumberFormat="1" applyFont="1" applyFill="1" applyBorder="1" applyAlignment="1" applyProtection="1">
      <alignment horizontal="left" vertical="center"/>
    </xf>
    <xf numFmtId="0" fontId="43" fillId="10" borderId="58" xfId="0" applyNumberFormat="1" applyFont="1" applyFill="1" applyBorder="1" applyAlignment="1" applyProtection="1">
      <alignment horizontal="left" vertical="center"/>
    </xf>
    <xf numFmtId="0" fontId="43" fillId="10" borderId="34" xfId="0" applyNumberFormat="1" applyFont="1" applyFill="1" applyBorder="1" applyAlignment="1" applyProtection="1">
      <alignment horizontal="left" vertical="center"/>
    </xf>
    <xf numFmtId="0" fontId="42" fillId="5" borderId="93" xfId="0" applyFont="1" applyFill="1" applyBorder="1" applyAlignment="1" applyProtection="1">
      <alignment horizontal="left" vertical="center"/>
    </xf>
    <xf numFmtId="0" fontId="42" fillId="5" borderId="48" xfId="0" applyFont="1" applyFill="1" applyBorder="1" applyAlignment="1" applyProtection="1">
      <alignment horizontal="left" vertical="center"/>
    </xf>
    <xf numFmtId="0" fontId="42" fillId="5" borderId="49" xfId="0" applyFont="1" applyFill="1" applyBorder="1" applyAlignment="1" applyProtection="1">
      <alignment horizontal="left" vertical="center"/>
    </xf>
    <xf numFmtId="0" fontId="42" fillId="5" borderId="34" xfId="0" applyFont="1" applyFill="1" applyBorder="1" applyAlignment="1" applyProtection="1">
      <alignment horizontal="left" vertical="center"/>
    </xf>
    <xf numFmtId="0" fontId="86" fillId="5" borderId="78" xfId="0" applyFont="1" applyFill="1" applyBorder="1" applyAlignment="1" applyProtection="1">
      <alignment horizontal="left" vertical="center"/>
    </xf>
    <xf numFmtId="0" fontId="86" fillId="5" borderId="79" xfId="0" applyFont="1" applyFill="1" applyBorder="1" applyAlignment="1" applyProtection="1">
      <alignment horizontal="left" vertical="center"/>
    </xf>
    <xf numFmtId="0" fontId="86" fillId="5" borderId="82" xfId="0" applyFont="1" applyFill="1" applyBorder="1" applyAlignment="1" applyProtection="1">
      <alignment horizontal="left" vertical="center"/>
    </xf>
    <xf numFmtId="0" fontId="42" fillId="5" borderId="28" xfId="0" applyFont="1" applyFill="1" applyBorder="1" applyAlignment="1" applyProtection="1">
      <alignment horizontal="left" vertical="center"/>
    </xf>
    <xf numFmtId="0" fontId="42" fillId="5" borderId="75" xfId="0" applyFont="1" applyFill="1" applyBorder="1" applyAlignment="1" applyProtection="1">
      <alignment horizontal="left" vertical="center"/>
    </xf>
    <xf numFmtId="0" fontId="46" fillId="0" borderId="21" xfId="0" applyFont="1" applyBorder="1" applyProtection="1"/>
    <xf numFmtId="0" fontId="46" fillId="0" borderId="31" xfId="0" applyFont="1" applyBorder="1" applyProtection="1"/>
    <xf numFmtId="0" fontId="46" fillId="5" borderId="7" xfId="0" applyFont="1" applyFill="1" applyBorder="1" applyAlignment="1" applyProtection="1">
      <alignment horizontal="left" vertical="center"/>
    </xf>
    <xf numFmtId="0" fontId="46" fillId="0" borderId="85" xfId="0" applyFont="1" applyBorder="1" applyProtection="1"/>
    <xf numFmtId="0" fontId="46" fillId="0" borderId="37" xfId="0" applyFont="1" applyBorder="1" applyProtection="1"/>
    <xf numFmtId="0" fontId="46" fillId="0" borderId="57" xfId="0" applyFont="1" applyBorder="1" applyProtection="1"/>
    <xf numFmtId="0" fontId="46" fillId="0" borderId="20" xfId="0" applyFont="1" applyBorder="1" applyProtection="1"/>
    <xf numFmtId="0" fontId="46" fillId="0" borderId="92" xfId="0" applyFont="1" applyBorder="1" applyProtection="1"/>
    <xf numFmtId="167" fontId="46" fillId="5" borderId="33" xfId="0" applyNumberFormat="1" applyFont="1" applyFill="1" applyBorder="1" applyAlignment="1" applyProtection="1">
      <alignment horizontal="left" vertical="center"/>
    </xf>
    <xf numFmtId="167" fontId="46" fillId="5" borderId="58" xfId="0" applyNumberFormat="1" applyFont="1" applyFill="1" applyBorder="1" applyAlignment="1" applyProtection="1">
      <alignment horizontal="left" vertical="center"/>
    </xf>
    <xf numFmtId="167" fontId="46" fillId="5" borderId="34" xfId="0" applyNumberFormat="1" applyFont="1" applyFill="1" applyBorder="1" applyAlignment="1" applyProtection="1">
      <alignment horizontal="left" vertical="center"/>
    </xf>
    <xf numFmtId="0" fontId="46" fillId="0" borderId="34" xfId="0" applyFont="1" applyBorder="1" applyAlignment="1" applyProtection="1">
      <alignment horizontal="left"/>
    </xf>
    <xf numFmtId="0" fontId="46" fillId="5" borderId="78" xfId="0" applyNumberFormat="1" applyFont="1" applyFill="1" applyBorder="1" applyAlignment="1" applyProtection="1">
      <alignment horizontal="left" vertical="center"/>
    </xf>
    <xf numFmtId="0" fontId="46" fillId="5" borderId="13" xfId="0" applyNumberFormat="1" applyFont="1" applyFill="1" applyBorder="1" applyAlignment="1" applyProtection="1">
      <alignment horizontal="left" vertical="center"/>
    </xf>
    <xf numFmtId="0" fontId="46" fillId="5" borderId="14" xfId="0" applyNumberFormat="1" applyFont="1" applyFill="1" applyBorder="1" applyAlignment="1" applyProtection="1">
      <alignment horizontal="left" vertical="center"/>
    </xf>
    <xf numFmtId="169" fontId="46" fillId="5" borderId="33" xfId="0" applyNumberFormat="1" applyFont="1" applyFill="1" applyBorder="1" applyAlignment="1" applyProtection="1">
      <alignment horizontal="center" vertical="center"/>
    </xf>
    <xf numFmtId="0" fontId="46" fillId="0" borderId="34" xfId="0" applyFont="1" applyBorder="1" applyProtection="1"/>
    <xf numFmtId="3" fontId="46" fillId="5" borderId="30" xfId="0" applyNumberFormat="1" applyFont="1" applyFill="1" applyBorder="1" applyAlignment="1" applyProtection="1">
      <alignment horizontal="left" vertical="center"/>
    </xf>
    <xf numFmtId="3" fontId="46" fillId="5" borderId="31" xfId="0" applyNumberFormat="1" applyFont="1" applyFill="1" applyBorder="1" applyAlignment="1" applyProtection="1">
      <alignment horizontal="left" vertical="center"/>
    </xf>
    <xf numFmtId="1" fontId="46" fillId="5" borderId="33" xfId="1" applyNumberFormat="1" applyFont="1" applyFill="1" applyBorder="1" applyAlignment="1" applyProtection="1">
      <alignment horizontal="center" vertical="center"/>
    </xf>
    <xf numFmtId="1" fontId="46" fillId="5" borderId="34" xfId="1" applyNumberFormat="1" applyFont="1" applyFill="1" applyBorder="1" applyAlignment="1" applyProtection="1">
      <alignment horizontal="center" vertical="center"/>
    </xf>
    <xf numFmtId="0" fontId="109" fillId="0" borderId="0" xfId="6" applyFont="1" applyFill="1" applyBorder="1" applyAlignment="1" applyProtection="1">
      <alignment horizontal="left" vertical="center"/>
    </xf>
    <xf numFmtId="0" fontId="46" fillId="0" borderId="0" xfId="0" applyFont="1" applyFill="1" applyBorder="1" applyAlignment="1" applyProtection="1">
      <alignment horizontal="left"/>
    </xf>
    <xf numFmtId="0" fontId="46" fillId="5" borderId="26" xfId="0" applyFont="1" applyFill="1" applyBorder="1" applyAlignment="1" applyProtection="1">
      <alignment horizontal="left" vertical="center"/>
    </xf>
    <xf numFmtId="0" fontId="46" fillId="5" borderId="58" xfId="0" applyFont="1" applyFill="1" applyBorder="1" applyAlignment="1" applyProtection="1">
      <alignment horizontal="left" vertical="center"/>
    </xf>
    <xf numFmtId="0" fontId="46" fillId="5" borderId="32" xfId="0" applyFont="1" applyFill="1" applyBorder="1" applyAlignment="1" applyProtection="1">
      <alignment horizontal="left" vertical="center"/>
    </xf>
    <xf numFmtId="0" fontId="46" fillId="5" borderId="30" xfId="0" applyNumberFormat="1" applyFont="1" applyFill="1" applyBorder="1" applyAlignment="1" applyProtection="1">
      <alignment horizontal="left" vertical="center"/>
    </xf>
    <xf numFmtId="0" fontId="46" fillId="5" borderId="31" xfId="0" applyNumberFormat="1" applyFont="1" applyFill="1" applyBorder="1" applyAlignment="1" applyProtection="1">
      <alignment horizontal="left" vertical="center"/>
    </xf>
    <xf numFmtId="38" fontId="46" fillId="5" borderId="80" xfId="0" applyNumberFormat="1" applyFont="1" applyFill="1" applyBorder="1" applyAlignment="1" applyProtection="1">
      <alignment horizontal="left" vertical="center"/>
    </xf>
    <xf numFmtId="38" fontId="46" fillId="5" borderId="85" xfId="0" applyNumberFormat="1" applyFont="1" applyFill="1" applyBorder="1" applyAlignment="1" applyProtection="1">
      <alignment horizontal="left" vertical="center"/>
    </xf>
    <xf numFmtId="38" fontId="46" fillId="5" borderId="2" xfId="0" applyNumberFormat="1" applyFont="1" applyFill="1" applyBorder="1" applyAlignment="1" applyProtection="1">
      <alignment horizontal="left" vertical="center"/>
    </xf>
    <xf numFmtId="38" fontId="46" fillId="5" borderId="81" xfId="0" applyNumberFormat="1" applyFont="1" applyFill="1" applyBorder="1" applyAlignment="1" applyProtection="1">
      <alignment horizontal="left" vertical="center"/>
    </xf>
    <xf numFmtId="0" fontId="46" fillId="5" borderId="36" xfId="0" applyFont="1" applyFill="1" applyBorder="1" applyAlignment="1" applyProtection="1">
      <alignment horizontal="left" vertical="center"/>
    </xf>
    <xf numFmtId="0" fontId="46" fillId="5" borderId="2" xfId="0" applyFont="1" applyFill="1" applyBorder="1" applyAlignment="1" applyProtection="1">
      <alignment horizontal="left" vertical="center"/>
    </xf>
    <xf numFmtId="0" fontId="46" fillId="5" borderId="37" xfId="0" applyFont="1" applyFill="1" applyBorder="1" applyAlignment="1" applyProtection="1">
      <alignment horizontal="left" vertical="center"/>
    </xf>
    <xf numFmtId="38" fontId="46" fillId="5" borderId="30" xfId="0" applyNumberFormat="1" applyFont="1" applyFill="1" applyBorder="1" applyAlignment="1" applyProtection="1">
      <alignment horizontal="left" vertical="center"/>
    </xf>
    <xf numFmtId="38" fontId="46" fillId="5" borderId="21" xfId="0" applyNumberFormat="1" applyFont="1" applyFill="1" applyBorder="1" applyAlignment="1" applyProtection="1">
      <alignment horizontal="left" vertical="center"/>
    </xf>
    <xf numFmtId="38" fontId="46" fillId="5" borderId="31" xfId="0" applyNumberFormat="1" applyFont="1" applyFill="1" applyBorder="1" applyAlignment="1" applyProtection="1">
      <alignment horizontal="left" vertical="center"/>
    </xf>
    <xf numFmtId="38" fontId="46" fillId="5" borderId="7" xfId="0" applyNumberFormat="1" applyFont="1" applyFill="1" applyBorder="1" applyAlignment="1" applyProtection="1">
      <alignment horizontal="left" vertical="center"/>
    </xf>
    <xf numFmtId="38" fontId="46" fillId="5" borderId="0" xfId="0" applyNumberFormat="1" applyFont="1" applyFill="1" applyAlignment="1" applyProtection="1">
      <alignment horizontal="left" vertical="center"/>
    </xf>
    <xf numFmtId="38" fontId="46" fillId="5" borderId="13" xfId="0" applyNumberFormat="1" applyFont="1" applyFill="1" applyBorder="1" applyAlignment="1" applyProtection="1">
      <alignment horizontal="left" vertical="center"/>
    </xf>
    <xf numFmtId="38" fontId="46" fillId="5" borderId="5" xfId="0" applyNumberFormat="1" applyFont="1" applyFill="1" applyBorder="1" applyAlignment="1" applyProtection="1">
      <alignment horizontal="left" vertical="center"/>
    </xf>
    <xf numFmtId="38" fontId="46" fillId="5" borderId="8" xfId="0" applyNumberFormat="1" applyFont="1" applyFill="1" applyBorder="1" applyAlignment="1" applyProtection="1">
      <alignment horizontal="left" vertical="center"/>
    </xf>
    <xf numFmtId="38" fontId="46" fillId="5" borderId="28" xfId="0" applyNumberFormat="1" applyFont="1" applyFill="1" applyBorder="1" applyAlignment="1" applyProtection="1">
      <alignment horizontal="left" vertical="center"/>
    </xf>
    <xf numFmtId="38" fontId="46" fillId="5" borderId="57" xfId="0" applyNumberFormat="1" applyFont="1" applyFill="1" applyBorder="1" applyAlignment="1" applyProtection="1">
      <alignment horizontal="left" vertical="center"/>
    </xf>
    <xf numFmtId="38" fontId="46" fillId="5" borderId="29" xfId="0" applyNumberFormat="1" applyFont="1" applyFill="1" applyBorder="1" applyAlignment="1" applyProtection="1">
      <alignment horizontal="left" vertical="center"/>
    </xf>
    <xf numFmtId="0" fontId="43" fillId="0" borderId="0" xfId="0" applyFont="1" applyFill="1" applyAlignment="1" applyProtection="1">
      <alignment horizontal="left" vertical="top" wrapText="1"/>
    </xf>
    <xf numFmtId="169" fontId="46" fillId="5" borderId="33" xfId="0" applyNumberFormat="1" applyFont="1" applyFill="1" applyBorder="1" applyAlignment="1" applyProtection="1">
      <alignment horizontal="left" vertical="center"/>
    </xf>
    <xf numFmtId="169" fontId="46" fillId="5" borderId="34" xfId="0" applyNumberFormat="1" applyFont="1" applyFill="1" applyBorder="1" applyAlignment="1" applyProtection="1">
      <alignment horizontal="left" vertical="center"/>
    </xf>
    <xf numFmtId="167" fontId="46" fillId="5" borderId="33" xfId="0" applyNumberFormat="1" applyFont="1" applyFill="1" applyBorder="1" applyAlignment="1" applyProtection="1">
      <alignment horizontal="center" vertical="center"/>
    </xf>
    <xf numFmtId="167" fontId="46" fillId="5" borderId="58" xfId="0" applyNumberFormat="1" applyFont="1" applyFill="1" applyBorder="1" applyAlignment="1" applyProtection="1">
      <alignment horizontal="center" vertical="center"/>
    </xf>
    <xf numFmtId="167" fontId="46" fillId="5" borderId="34" xfId="0" applyNumberFormat="1" applyFont="1" applyFill="1" applyBorder="1" applyAlignment="1" applyProtection="1">
      <alignment horizontal="center" vertical="center"/>
    </xf>
    <xf numFmtId="38" fontId="46" fillId="5" borderId="33" xfId="0" applyNumberFormat="1" applyFont="1" applyFill="1" applyBorder="1" applyAlignment="1" applyProtection="1">
      <alignment horizontal="left" vertical="center"/>
    </xf>
    <xf numFmtId="38" fontId="46" fillId="5" borderId="58" xfId="0" applyNumberFormat="1" applyFont="1" applyFill="1" applyBorder="1" applyAlignment="1" applyProtection="1">
      <alignment horizontal="left" vertical="center"/>
    </xf>
    <xf numFmtId="38" fontId="46" fillId="5" borderId="34" xfId="0" applyNumberFormat="1" applyFont="1" applyFill="1" applyBorder="1" applyAlignment="1" applyProtection="1">
      <alignment horizontal="left" vertical="center"/>
    </xf>
    <xf numFmtId="0" fontId="86" fillId="5" borderId="78" xfId="0" applyFont="1" applyFill="1" applyBorder="1" applyAlignment="1" applyProtection="1">
      <alignment horizontal="center" vertical="center"/>
    </xf>
    <xf numFmtId="0" fontId="86" fillId="5" borderId="82" xfId="0" applyFont="1" applyFill="1" applyBorder="1" applyAlignment="1" applyProtection="1">
      <alignment horizontal="center" vertical="center"/>
    </xf>
    <xf numFmtId="0" fontId="86" fillId="5" borderId="79" xfId="0" applyFont="1" applyFill="1" applyBorder="1" applyAlignment="1" applyProtection="1">
      <alignment horizontal="center" vertical="center"/>
    </xf>
    <xf numFmtId="181" fontId="46" fillId="5" borderId="30" xfId="0" applyNumberFormat="1" applyFont="1" applyFill="1" applyBorder="1" applyAlignment="1" applyProtection="1">
      <alignment horizontal="left" vertical="center"/>
    </xf>
    <xf numFmtId="181" fontId="46" fillId="5" borderId="31" xfId="0" applyNumberFormat="1" applyFont="1" applyFill="1" applyBorder="1" applyAlignment="1" applyProtection="1">
      <alignment horizontal="left" vertical="center"/>
    </xf>
    <xf numFmtId="181" fontId="46" fillId="5" borderId="30" xfId="0" quotePrefix="1" applyNumberFormat="1" applyFont="1" applyFill="1" applyBorder="1" applyAlignment="1" applyProtection="1">
      <alignment horizontal="left" vertical="center"/>
    </xf>
    <xf numFmtId="169" fontId="46" fillId="5" borderId="30" xfId="0" applyNumberFormat="1" applyFont="1" applyFill="1" applyBorder="1" applyAlignment="1" applyProtection="1">
      <alignment horizontal="left" vertical="center"/>
    </xf>
    <xf numFmtId="169" fontId="46" fillId="5" borderId="31" xfId="0" applyNumberFormat="1" applyFont="1" applyFill="1" applyBorder="1" applyAlignment="1" applyProtection="1">
      <alignment horizontal="left" vertical="center"/>
    </xf>
    <xf numFmtId="49" fontId="46" fillId="5" borderId="33" xfId="0" applyNumberFormat="1" applyFont="1" applyFill="1" applyBorder="1" applyAlignment="1" applyProtection="1">
      <alignment horizontal="left" vertical="center"/>
    </xf>
    <xf numFmtId="49" fontId="0" fillId="0" borderId="32" xfId="0" applyNumberFormat="1" applyBorder="1" applyProtection="1"/>
    <xf numFmtId="177" fontId="46" fillId="5" borderId="28" xfId="0" applyNumberFormat="1" applyFont="1" applyFill="1" applyBorder="1" applyAlignment="1" applyProtection="1">
      <alignment horizontal="left" vertical="center"/>
    </xf>
    <xf numFmtId="177" fontId="46" fillId="5" borderId="92" xfId="0" applyNumberFormat="1" applyFont="1" applyFill="1" applyBorder="1" applyAlignment="1" applyProtection="1">
      <alignment horizontal="left" vertical="center"/>
    </xf>
    <xf numFmtId="1" fontId="46" fillId="5" borderId="28" xfId="1" applyNumberFormat="1" applyFont="1" applyFill="1" applyBorder="1" applyAlignment="1" applyProtection="1">
      <alignment horizontal="center" vertical="center"/>
    </xf>
    <xf numFmtId="1" fontId="46" fillId="5" borderId="29" xfId="1" applyNumberFormat="1" applyFont="1" applyFill="1" applyBorder="1" applyAlignment="1" applyProtection="1">
      <alignment horizontal="center" vertical="center"/>
    </xf>
    <xf numFmtId="0" fontId="108" fillId="0" borderId="0" xfId="6" applyFont="1" applyFill="1" applyBorder="1" applyAlignment="1" applyProtection="1">
      <alignment horizontal="left" vertical="center"/>
    </xf>
    <xf numFmtId="0" fontId="46" fillId="6" borderId="33" xfId="0" applyNumberFormat="1" applyFont="1" applyFill="1" applyBorder="1" applyAlignment="1" applyProtection="1">
      <alignment horizontal="left" vertical="center"/>
    </xf>
    <xf numFmtId="0" fontId="46" fillId="6" borderId="34" xfId="0" applyNumberFormat="1" applyFont="1" applyFill="1" applyBorder="1" applyAlignment="1" applyProtection="1">
      <alignment horizontal="left" vertical="center"/>
    </xf>
    <xf numFmtId="0" fontId="46" fillId="6" borderId="78" xfId="0" applyFont="1" applyFill="1" applyBorder="1" applyAlignment="1" applyProtection="1">
      <alignment horizontal="left" vertical="center"/>
    </xf>
    <xf numFmtId="0" fontId="46" fillId="6" borderId="14" xfId="0" applyFont="1" applyFill="1" applyBorder="1" applyAlignment="1" applyProtection="1">
      <alignment horizontal="left" vertical="center"/>
    </xf>
    <xf numFmtId="0" fontId="46" fillId="0" borderId="13" xfId="0" applyFont="1" applyFill="1" applyBorder="1" applyAlignment="1" applyProtection="1">
      <alignment horizontal="center"/>
    </xf>
    <xf numFmtId="0" fontId="46" fillId="0" borderId="13" xfId="0" applyFont="1" applyFill="1" applyBorder="1" applyAlignment="1" applyProtection="1">
      <alignment horizontal="center" vertical="center"/>
    </xf>
    <xf numFmtId="0" fontId="46" fillId="5" borderId="20" xfId="0" applyFont="1" applyFill="1" applyBorder="1" applyAlignment="1" applyProtection="1">
      <alignment horizontal="left" vertical="center"/>
    </xf>
    <xf numFmtId="0" fontId="46" fillId="5" borderId="92" xfId="0" applyFont="1" applyFill="1" applyBorder="1" applyAlignment="1" applyProtection="1">
      <alignment horizontal="left" vertical="center"/>
    </xf>
    <xf numFmtId="0" fontId="46" fillId="5" borderId="82" xfId="0" applyNumberFormat="1" applyFont="1" applyFill="1" applyBorder="1" applyAlignment="1" applyProtection="1">
      <alignment horizontal="left" vertical="center"/>
    </xf>
    <xf numFmtId="0" fontId="46" fillId="5" borderId="79" xfId="0" applyNumberFormat="1" applyFont="1" applyFill="1" applyBorder="1" applyAlignment="1" applyProtection="1">
      <alignment horizontal="left" vertical="center"/>
    </xf>
    <xf numFmtId="0" fontId="42" fillId="5" borderId="36" xfId="0" applyFont="1" applyFill="1" applyBorder="1" applyAlignment="1" applyProtection="1">
      <alignment horizontal="left" vertical="center"/>
    </xf>
    <xf numFmtId="0" fontId="42" fillId="5" borderId="2" xfId="0" applyFont="1" applyFill="1" applyBorder="1" applyAlignment="1" applyProtection="1">
      <alignment horizontal="left" vertical="center"/>
    </xf>
    <xf numFmtId="0" fontId="42" fillId="5" borderId="37" xfId="0" applyFont="1" applyFill="1" applyBorder="1" applyAlignment="1" applyProtection="1">
      <alignment horizontal="left" vertical="center"/>
    </xf>
    <xf numFmtId="167" fontId="46" fillId="5" borderId="27" xfId="0" applyNumberFormat="1" applyFont="1" applyFill="1" applyBorder="1" applyAlignment="1" applyProtection="1">
      <alignment horizontal="left" vertical="center"/>
    </xf>
    <xf numFmtId="0" fontId="42" fillId="5" borderId="78" xfId="0" applyFont="1" applyFill="1" applyBorder="1" applyAlignment="1" applyProtection="1">
      <alignment horizontal="left" vertical="center"/>
    </xf>
    <xf numFmtId="0" fontId="42" fillId="5" borderId="82" xfId="0" applyFont="1" applyFill="1" applyBorder="1" applyAlignment="1" applyProtection="1">
      <alignment horizontal="left" vertical="center"/>
    </xf>
    <xf numFmtId="0" fontId="42" fillId="5" borderId="79" xfId="0" applyFont="1" applyFill="1" applyBorder="1" applyAlignment="1" applyProtection="1">
      <alignment horizontal="left" vertical="center"/>
    </xf>
    <xf numFmtId="0" fontId="42" fillId="0" borderId="0" xfId="0" applyFont="1" applyFill="1" applyBorder="1" applyAlignment="1" applyProtection="1">
      <alignment horizontal="center" vertical="center" wrapText="1"/>
    </xf>
    <xf numFmtId="0" fontId="42" fillId="0" borderId="85" xfId="0" applyFont="1" applyFill="1" applyBorder="1" applyAlignment="1" applyProtection="1">
      <alignment horizontal="center" vertical="center" wrapText="1"/>
    </xf>
    <xf numFmtId="169" fontId="46" fillId="5" borderId="21" xfId="0" applyNumberFormat="1" applyFont="1" applyFill="1" applyBorder="1" applyAlignment="1" applyProtection="1">
      <alignment horizontal="left" vertical="center"/>
    </xf>
    <xf numFmtId="0" fontId="55" fillId="8" borderId="53" xfId="0" applyFont="1" applyFill="1" applyBorder="1" applyAlignment="1" applyProtection="1">
      <alignment horizontal="center" vertical="center"/>
    </xf>
    <xf numFmtId="0" fontId="55" fillId="8" borderId="54" xfId="0" applyFont="1" applyFill="1" applyBorder="1" applyAlignment="1" applyProtection="1">
      <alignment horizontal="center" vertical="center"/>
    </xf>
    <xf numFmtId="0" fontId="55" fillId="8" borderId="55" xfId="0" applyFont="1" applyFill="1" applyBorder="1" applyAlignment="1" applyProtection="1">
      <alignment horizontal="center" vertical="center"/>
    </xf>
    <xf numFmtId="0" fontId="56" fillId="16" borderId="56" xfId="0" applyFont="1" applyFill="1" applyBorder="1" applyAlignment="1" applyProtection="1">
      <alignment horizontal="center" vertical="center"/>
    </xf>
    <xf numFmtId="0" fontId="56" fillId="16" borderId="35" xfId="0" applyFont="1" applyFill="1" applyBorder="1" applyAlignment="1" applyProtection="1">
      <alignment horizontal="center" vertical="center"/>
    </xf>
    <xf numFmtId="42" fontId="46" fillId="0" borderId="36" xfId="2" applyNumberFormat="1" applyFont="1" applyFill="1" applyBorder="1" applyAlignment="1" applyProtection="1">
      <alignment horizontal="center" vertical="center"/>
    </xf>
    <xf numFmtId="42" fontId="46" fillId="0" borderId="37" xfId="2" applyNumberFormat="1" applyFont="1" applyFill="1" applyBorder="1" applyAlignment="1" applyProtection="1">
      <alignment horizontal="center" vertical="center"/>
    </xf>
    <xf numFmtId="42" fontId="13" fillId="0" borderId="36" xfId="2" applyNumberFormat="1" applyFont="1" applyFill="1" applyBorder="1" applyAlignment="1" applyProtection="1">
      <alignment horizontal="center" vertical="center"/>
    </xf>
    <xf numFmtId="42" fontId="13" fillId="0" borderId="37" xfId="2" applyNumberFormat="1" applyFont="1" applyFill="1" applyBorder="1" applyAlignment="1" applyProtection="1">
      <alignment horizontal="center" vertical="center"/>
    </xf>
    <xf numFmtId="0" fontId="46" fillId="5" borderId="36" xfId="0" applyFont="1" applyFill="1" applyBorder="1" applyAlignment="1" applyProtection="1">
      <alignment horizontal="center" vertical="center"/>
    </xf>
    <xf numFmtId="0" fontId="46" fillId="5" borderId="37" xfId="0" applyFont="1" applyFill="1" applyBorder="1" applyAlignment="1" applyProtection="1">
      <alignment horizontal="center" vertical="center"/>
    </xf>
    <xf numFmtId="0" fontId="86" fillId="0" borderId="0" xfId="0" applyFont="1" applyFill="1" applyBorder="1" applyAlignment="1" applyProtection="1">
      <alignment horizontal="justify" vertical="center" wrapText="1"/>
    </xf>
    <xf numFmtId="49" fontId="111" fillId="20" borderId="0" xfId="0" applyNumberFormat="1" applyFont="1" applyFill="1" applyBorder="1" applyAlignment="1" applyProtection="1">
      <alignment horizontal="center" vertical="center" wrapText="1"/>
    </xf>
    <xf numFmtId="0" fontId="42" fillId="5" borderId="78" xfId="0" applyFont="1" applyFill="1" applyBorder="1" applyAlignment="1" applyProtection="1">
      <alignment horizontal="center" vertical="center"/>
    </xf>
    <xf numFmtId="0" fontId="42" fillId="5" borderId="79" xfId="0" applyFont="1" applyFill="1" applyBorder="1" applyAlignment="1" applyProtection="1">
      <alignment horizontal="center" vertical="center"/>
    </xf>
    <xf numFmtId="0" fontId="46" fillId="0" borderId="78" xfId="0" applyFont="1" applyFill="1" applyBorder="1" applyAlignment="1" applyProtection="1">
      <alignment horizontal="left" vertical="center" wrapText="1"/>
    </xf>
    <xf numFmtId="0" fontId="46" fillId="0" borderId="82" xfId="0" applyFont="1" applyFill="1" applyBorder="1" applyAlignment="1" applyProtection="1">
      <alignment horizontal="left" vertical="center" wrapText="1"/>
    </xf>
    <xf numFmtId="0" fontId="46" fillId="0" borderId="79" xfId="0" applyFont="1" applyFill="1" applyBorder="1" applyAlignment="1" applyProtection="1">
      <alignment horizontal="left" vertical="center" wrapText="1"/>
    </xf>
    <xf numFmtId="0" fontId="46" fillId="10" borderId="40" xfId="0" applyFont="1" applyFill="1" applyBorder="1" applyAlignment="1" applyProtection="1">
      <alignment horizontal="left" vertical="top" wrapText="1"/>
    </xf>
    <xf numFmtId="0" fontId="46" fillId="10" borderId="0" xfId="0" applyFont="1" applyFill="1" applyBorder="1" applyAlignment="1" applyProtection="1">
      <alignment horizontal="left" vertical="top" wrapText="1"/>
    </xf>
    <xf numFmtId="0" fontId="46" fillId="10" borderId="47" xfId="0" applyFont="1" applyFill="1" applyBorder="1" applyAlignment="1" applyProtection="1">
      <alignment horizontal="left" vertical="top" wrapText="1"/>
    </xf>
    <xf numFmtId="0" fontId="46" fillId="0" borderId="13" xfId="0" applyFont="1" applyBorder="1" applyProtection="1"/>
    <xf numFmtId="0" fontId="46" fillId="0" borderId="0" xfId="0" applyFont="1" applyBorder="1" applyProtection="1"/>
    <xf numFmtId="0" fontId="46" fillId="0" borderId="14" xfId="0" applyFont="1" applyBorder="1" applyProtection="1"/>
    <xf numFmtId="0" fontId="46" fillId="5" borderId="27" xfId="0" applyFont="1" applyFill="1" applyBorder="1" applyAlignment="1" applyProtection="1">
      <alignment horizontal="left" vertical="center"/>
    </xf>
    <xf numFmtId="0" fontId="46" fillId="5" borderId="131" xfId="0" applyFont="1" applyFill="1" applyBorder="1" applyAlignment="1" applyProtection="1">
      <alignment horizontal="left" vertical="center"/>
    </xf>
    <xf numFmtId="0" fontId="46" fillId="5" borderId="132" xfId="0" applyFont="1" applyFill="1" applyBorder="1" applyAlignment="1" applyProtection="1">
      <alignment horizontal="left" vertical="center"/>
    </xf>
    <xf numFmtId="0" fontId="46" fillId="5" borderId="133" xfId="0" applyFont="1" applyFill="1" applyBorder="1" applyAlignment="1" applyProtection="1">
      <alignment horizontal="left" vertical="center"/>
    </xf>
    <xf numFmtId="0" fontId="46" fillId="0" borderId="132" xfId="0" applyFont="1" applyBorder="1" applyProtection="1"/>
    <xf numFmtId="0" fontId="46" fillId="0" borderId="133" xfId="0" applyFont="1" applyBorder="1" applyProtection="1"/>
    <xf numFmtId="167" fontId="46" fillId="5" borderId="131" xfId="0" applyNumberFormat="1" applyFont="1" applyFill="1" applyBorder="1" applyAlignment="1" applyProtection="1">
      <alignment horizontal="left" vertical="center"/>
    </xf>
    <xf numFmtId="167" fontId="46" fillId="0" borderId="132" xfId="0" applyNumberFormat="1" applyFont="1" applyBorder="1" applyProtection="1"/>
    <xf numFmtId="167" fontId="46" fillId="0" borderId="133" xfId="0" applyNumberFormat="1" applyFont="1" applyBorder="1" applyProtection="1"/>
    <xf numFmtId="0" fontId="46" fillId="0" borderId="0" xfId="0" applyFont="1" applyFill="1" applyBorder="1" applyAlignment="1" applyProtection="1">
      <alignment horizontal="right" vertical="center" wrapText="1"/>
    </xf>
    <xf numFmtId="0" fontId="43" fillId="0" borderId="28" xfId="0" applyFont="1" applyFill="1" applyBorder="1" applyAlignment="1" applyProtection="1">
      <alignment horizontal="left" vertical="top" wrapText="1"/>
    </xf>
    <xf numFmtId="0" fontId="43" fillId="0" borderId="57" xfId="0" applyFont="1" applyFill="1" applyBorder="1" applyAlignment="1" applyProtection="1">
      <alignment horizontal="left" vertical="top" wrapText="1"/>
    </xf>
    <xf numFmtId="0" fontId="43" fillId="0" borderId="29" xfId="0" applyFont="1" applyFill="1" applyBorder="1" applyAlignment="1" applyProtection="1">
      <alignment horizontal="left" vertical="top" wrapText="1"/>
    </xf>
    <xf numFmtId="0" fontId="43" fillId="5" borderId="28" xfId="0" applyFont="1" applyFill="1" applyBorder="1" applyAlignment="1" applyProtection="1">
      <alignment horizontal="left" vertical="top" wrapText="1"/>
    </xf>
    <xf numFmtId="0" fontId="43" fillId="5" borderId="57" xfId="0" applyFont="1" applyFill="1" applyBorder="1" applyAlignment="1" applyProtection="1">
      <alignment horizontal="left" vertical="top" wrapText="1"/>
    </xf>
    <xf numFmtId="0" fontId="43" fillId="5" borderId="96" xfId="0" applyFont="1" applyFill="1" applyBorder="1" applyAlignment="1" applyProtection="1">
      <alignment horizontal="left" vertical="top" wrapText="1"/>
    </xf>
    <xf numFmtId="0" fontId="43" fillId="5" borderId="29" xfId="0" applyFont="1" applyFill="1" applyBorder="1" applyAlignment="1" applyProtection="1">
      <alignment horizontal="left" vertical="top" wrapText="1"/>
    </xf>
    <xf numFmtId="0" fontId="43" fillId="0" borderId="30" xfId="0" applyFont="1" applyFill="1" applyBorder="1" applyAlignment="1" applyProtection="1">
      <alignment horizontal="left" vertical="top" wrapText="1"/>
    </xf>
    <xf numFmtId="0" fontId="43" fillId="0" borderId="21" xfId="0" applyFont="1" applyFill="1" applyBorder="1" applyAlignment="1" applyProtection="1">
      <alignment horizontal="left" vertical="top" wrapText="1"/>
    </xf>
    <xf numFmtId="0" fontId="43" fillId="0" borderId="31" xfId="0" applyFont="1" applyFill="1" applyBorder="1" applyAlignment="1" applyProtection="1">
      <alignment horizontal="left" vertical="top" wrapText="1"/>
    </xf>
    <xf numFmtId="0" fontId="43" fillId="5" borderId="30" xfId="0" applyFont="1" applyFill="1" applyBorder="1" applyAlignment="1" applyProtection="1">
      <alignment horizontal="left" vertical="top" wrapText="1"/>
    </xf>
    <xf numFmtId="0" fontId="43" fillId="5" borderId="21" xfId="0" applyFont="1" applyFill="1" applyBorder="1" applyAlignment="1" applyProtection="1">
      <alignment horizontal="left" vertical="top" wrapText="1"/>
    </xf>
    <xf numFmtId="0" fontId="43" fillId="5" borderId="77" xfId="0" applyFont="1" applyFill="1" applyBorder="1" applyAlignment="1" applyProtection="1">
      <alignment horizontal="left" vertical="top" wrapText="1"/>
    </xf>
    <xf numFmtId="0" fontId="43" fillId="5" borderId="31" xfId="0" applyFont="1" applyFill="1" applyBorder="1" applyAlignment="1" applyProtection="1">
      <alignment horizontal="left" vertical="top" wrapText="1"/>
    </xf>
    <xf numFmtId="0" fontId="46" fillId="0" borderId="80" xfId="0" applyFont="1" applyFill="1" applyBorder="1" applyAlignment="1" applyProtection="1">
      <alignment horizontal="left" vertical="top" wrapText="1"/>
    </xf>
    <xf numFmtId="0" fontId="46" fillId="0" borderId="85" xfId="0" applyFont="1" applyFill="1" applyBorder="1" applyAlignment="1" applyProtection="1">
      <alignment horizontal="left" vertical="top" wrapText="1"/>
    </xf>
    <xf numFmtId="0" fontId="46" fillId="0" borderId="7" xfId="0" applyFont="1" applyFill="1" applyBorder="1" applyAlignment="1" applyProtection="1">
      <alignment horizontal="left" vertical="top" wrapText="1"/>
    </xf>
    <xf numFmtId="0" fontId="46" fillId="0" borderId="9" xfId="0" applyFont="1" applyFill="1" applyBorder="1" applyAlignment="1" applyProtection="1">
      <alignment horizontal="left" vertical="top" wrapText="1"/>
    </xf>
    <xf numFmtId="0" fontId="46" fillId="0" borderId="13" xfId="0" applyFont="1" applyFill="1" applyBorder="1" applyAlignment="1" applyProtection="1">
      <alignment horizontal="left" vertical="top" wrapText="1"/>
    </xf>
    <xf numFmtId="0" fontId="46" fillId="0" borderId="80" xfId="0" applyFont="1" applyFill="1" applyBorder="1" applyAlignment="1" applyProtection="1">
      <alignment horizontal="center" vertical="top" wrapText="1"/>
    </xf>
    <xf numFmtId="0" fontId="46" fillId="0" borderId="85" xfId="0" applyFont="1" applyFill="1" applyBorder="1" applyAlignment="1" applyProtection="1">
      <alignment horizontal="center" vertical="top" wrapText="1"/>
    </xf>
    <xf numFmtId="0" fontId="46" fillId="0" borderId="81" xfId="0" applyFont="1" applyFill="1" applyBorder="1" applyAlignment="1" applyProtection="1">
      <alignment horizontal="center" vertical="top" wrapText="1"/>
    </xf>
    <xf numFmtId="0" fontId="46" fillId="0" borderId="7" xfId="0" applyFont="1" applyFill="1" applyBorder="1" applyAlignment="1" applyProtection="1">
      <alignment horizontal="center" vertical="top" wrapText="1"/>
    </xf>
    <xf numFmtId="0" fontId="46" fillId="0" borderId="0" xfId="0" applyFont="1" applyFill="1" applyBorder="1" applyAlignment="1" applyProtection="1">
      <alignment horizontal="center" vertical="top" wrapText="1"/>
    </xf>
    <xf numFmtId="0" fontId="46" fillId="0" borderId="8" xfId="0" applyFont="1" applyFill="1" applyBorder="1" applyAlignment="1" applyProtection="1">
      <alignment horizontal="center" vertical="top" wrapText="1"/>
    </xf>
    <xf numFmtId="0" fontId="46" fillId="0" borderId="84" xfId="0" applyFont="1" applyFill="1" applyBorder="1" applyAlignment="1" applyProtection="1">
      <alignment horizontal="center" vertical="top" wrapText="1"/>
    </xf>
    <xf numFmtId="0" fontId="46" fillId="0" borderId="11" xfId="0" applyFont="1" applyFill="1" applyBorder="1" applyAlignment="1" applyProtection="1">
      <alignment horizontal="center" vertical="top" wrapText="1"/>
    </xf>
    <xf numFmtId="0" fontId="46" fillId="0" borderId="12" xfId="0" applyFont="1" applyFill="1" applyBorder="1" applyAlignment="1" applyProtection="1">
      <alignment horizontal="center" vertical="top" wrapText="1"/>
    </xf>
    <xf numFmtId="0" fontId="54" fillId="0" borderId="84" xfId="0" applyFont="1" applyFill="1" applyBorder="1" applyAlignment="1" applyProtection="1">
      <alignment horizontal="center" vertical="top" wrapText="1"/>
    </xf>
    <xf numFmtId="0" fontId="54" fillId="0" borderId="11" xfId="0" applyFont="1" applyFill="1" applyBorder="1" applyAlignment="1" applyProtection="1">
      <alignment horizontal="center" vertical="top" wrapText="1"/>
    </xf>
    <xf numFmtId="0" fontId="54" fillId="0" borderId="12" xfId="0" applyFont="1" applyFill="1" applyBorder="1" applyAlignment="1" applyProtection="1">
      <alignment horizontal="center" vertical="top" wrapText="1"/>
    </xf>
    <xf numFmtId="0" fontId="85" fillId="0" borderId="80" xfId="0" applyFont="1" applyFill="1" applyBorder="1" applyAlignment="1" applyProtection="1">
      <alignment horizontal="center" vertical="top" wrapText="1"/>
    </xf>
    <xf numFmtId="0" fontId="85" fillId="0" borderId="85" xfId="0" applyFont="1" applyFill="1" applyBorder="1" applyAlignment="1" applyProtection="1">
      <alignment horizontal="center" vertical="top" wrapText="1"/>
    </xf>
    <xf numFmtId="0" fontId="85" fillId="0" borderId="81" xfId="0" applyFont="1" applyFill="1" applyBorder="1" applyAlignment="1" applyProtection="1">
      <alignment horizontal="center" vertical="top" wrapText="1"/>
    </xf>
    <xf numFmtId="0" fontId="85" fillId="0" borderId="7" xfId="0" applyFont="1" applyFill="1" applyBorder="1" applyAlignment="1" applyProtection="1">
      <alignment horizontal="center" vertical="top" wrapText="1"/>
    </xf>
    <xf numFmtId="0" fontId="85" fillId="0" borderId="0" xfId="0" applyFont="1" applyFill="1" applyBorder="1" applyAlignment="1" applyProtection="1">
      <alignment horizontal="center" vertical="top" wrapText="1"/>
    </xf>
    <xf numFmtId="0" fontId="85" fillId="0" borderId="8" xfId="0" applyFont="1" applyFill="1" applyBorder="1" applyAlignment="1" applyProtection="1">
      <alignment horizontal="center" vertical="top" wrapText="1"/>
    </xf>
    <xf numFmtId="0" fontId="43" fillId="0" borderId="26" xfId="0" applyFont="1" applyFill="1" applyBorder="1" applyAlignment="1" applyProtection="1">
      <alignment horizontal="center" wrapText="1"/>
    </xf>
    <xf numFmtId="0" fontId="43" fillId="0" borderId="19" xfId="0" applyFont="1" applyFill="1" applyBorder="1" applyAlignment="1" applyProtection="1">
      <alignment horizontal="center" wrapText="1"/>
    </xf>
    <xf numFmtId="0" fontId="43" fillId="0" borderId="39" xfId="0" applyFont="1" applyFill="1" applyBorder="1" applyAlignment="1" applyProtection="1">
      <alignment horizontal="center" wrapText="1"/>
    </xf>
    <xf numFmtId="0" fontId="43" fillId="0" borderId="9" xfId="0" applyFont="1" applyFill="1" applyBorder="1" applyAlignment="1" applyProtection="1">
      <alignment horizontal="center" wrapText="1"/>
    </xf>
    <xf numFmtId="0" fontId="43" fillId="0" borderId="13" xfId="0" applyFont="1" applyFill="1" applyBorder="1" applyAlignment="1" applyProtection="1">
      <alignment horizontal="center" wrapText="1"/>
    </xf>
    <xf numFmtId="0" fontId="43" fillId="0" borderId="95" xfId="0" applyFont="1" applyFill="1" applyBorder="1" applyAlignment="1" applyProtection="1">
      <alignment horizontal="center" wrapText="1"/>
    </xf>
    <xf numFmtId="0" fontId="46" fillId="0" borderId="14" xfId="0" applyFont="1" applyFill="1" applyBorder="1" applyAlignment="1" applyProtection="1">
      <alignment horizontal="center"/>
    </xf>
    <xf numFmtId="0" fontId="43" fillId="0" borderId="33" xfId="0" applyFont="1" applyFill="1" applyBorder="1" applyAlignment="1" applyProtection="1">
      <alignment horizontal="left" vertical="top" wrapText="1"/>
    </xf>
    <xf numFmtId="0" fontId="43" fillId="0" borderId="58" xfId="0" applyFont="1" applyFill="1" applyBorder="1" applyAlignment="1" applyProtection="1">
      <alignment horizontal="left" vertical="top" wrapText="1"/>
    </xf>
    <xf numFmtId="0" fontId="43" fillId="0" borderId="34" xfId="0" applyFont="1" applyFill="1" applyBorder="1" applyAlignment="1" applyProtection="1">
      <alignment horizontal="left" vertical="top" wrapText="1"/>
    </xf>
    <xf numFmtId="0" fontId="43" fillId="5" borderId="33" xfId="0" applyFont="1" applyFill="1" applyBorder="1" applyAlignment="1" applyProtection="1">
      <alignment horizontal="left" vertical="top" wrapText="1"/>
    </xf>
    <xf numFmtId="0" fontId="43" fillId="5" borderId="58" xfId="0" applyFont="1" applyFill="1" applyBorder="1" applyAlignment="1" applyProtection="1">
      <alignment horizontal="left" vertical="top" wrapText="1"/>
    </xf>
    <xf numFmtId="0" fontId="43" fillId="5" borderId="93" xfId="0" applyFont="1" applyFill="1" applyBorder="1" applyAlignment="1" applyProtection="1">
      <alignment horizontal="left" vertical="top" wrapText="1"/>
    </xf>
    <xf numFmtId="0" fontId="43" fillId="5" borderId="34" xfId="0" applyFont="1" applyFill="1" applyBorder="1" applyAlignment="1" applyProtection="1">
      <alignment horizontal="left" vertical="top" wrapText="1"/>
    </xf>
    <xf numFmtId="0" fontId="42" fillId="4" borderId="36" xfId="0" applyFont="1" applyFill="1" applyBorder="1" applyAlignment="1" applyProtection="1">
      <alignment horizontal="left" vertical="top" wrapText="1"/>
    </xf>
    <xf numFmtId="0" fontId="42" fillId="4" borderId="2" xfId="0" applyFont="1" applyFill="1" applyBorder="1" applyAlignment="1" applyProtection="1">
      <alignment horizontal="left" vertical="top" wrapText="1"/>
    </xf>
    <xf numFmtId="0" fontId="42" fillId="4" borderId="37" xfId="0" applyFont="1" applyFill="1" applyBorder="1" applyAlignment="1" applyProtection="1">
      <alignment horizontal="left" vertical="top" wrapText="1"/>
    </xf>
    <xf numFmtId="167" fontId="46" fillId="5" borderId="9" xfId="0" applyNumberFormat="1" applyFont="1" applyFill="1" applyBorder="1" applyAlignment="1" applyProtection="1">
      <alignment horizontal="left" vertical="center"/>
    </xf>
    <xf numFmtId="167" fontId="46" fillId="5" borderId="37" xfId="0" applyNumberFormat="1" applyFont="1" applyFill="1" applyBorder="1" applyAlignment="1" applyProtection="1">
      <alignment horizontal="left" vertical="center"/>
    </xf>
    <xf numFmtId="0" fontId="46" fillId="5" borderId="9" xfId="0" applyNumberFormat="1" applyFont="1" applyFill="1" applyBorder="1" applyAlignment="1" applyProtection="1">
      <alignment horizontal="left" vertical="center"/>
    </xf>
    <xf numFmtId="0" fontId="46" fillId="0" borderId="19" xfId="0" applyFont="1" applyBorder="1" applyProtection="1"/>
    <xf numFmtId="0" fontId="46" fillId="0" borderId="58" xfId="0" applyFont="1" applyBorder="1" applyProtection="1"/>
    <xf numFmtId="0" fontId="46" fillId="0" borderId="32" xfId="0" applyFont="1" applyBorder="1" applyProtection="1"/>
    <xf numFmtId="0" fontId="46" fillId="0" borderId="31" xfId="0" applyFont="1" applyBorder="1" applyAlignment="1" applyProtection="1">
      <alignment horizontal="left"/>
    </xf>
    <xf numFmtId="0" fontId="46" fillId="0" borderId="29" xfId="0" applyFont="1" applyBorder="1" applyProtection="1"/>
    <xf numFmtId="0" fontId="41" fillId="0" borderId="0" xfId="0" applyFont="1" applyFill="1" applyBorder="1" applyAlignment="1" applyProtection="1">
      <alignment horizontal="center" vertical="center" wrapText="1"/>
    </xf>
    <xf numFmtId="0" fontId="55" fillId="8" borderId="36" xfId="0" applyFont="1" applyFill="1" applyBorder="1" applyAlignment="1" applyProtection="1">
      <alignment horizontal="center" vertical="center"/>
    </xf>
    <xf numFmtId="0" fontId="55" fillId="8" borderId="2" xfId="0" applyFont="1" applyFill="1" applyBorder="1" applyAlignment="1" applyProtection="1">
      <alignment horizontal="center" vertical="center"/>
    </xf>
    <xf numFmtId="0" fontId="55" fillId="8" borderId="37" xfId="0" applyFont="1" applyFill="1" applyBorder="1" applyAlignment="1" applyProtection="1">
      <alignment horizontal="center" vertical="center"/>
    </xf>
    <xf numFmtId="49" fontId="86" fillId="20" borderId="56" xfId="0" applyNumberFormat="1" applyFont="1" applyFill="1" applyBorder="1" applyAlignment="1" applyProtection="1">
      <alignment horizontal="center" vertical="center"/>
    </xf>
    <xf numFmtId="49" fontId="86" fillId="20" borderId="1" xfId="0" applyNumberFormat="1" applyFont="1" applyFill="1" applyBorder="1" applyAlignment="1" applyProtection="1">
      <alignment horizontal="center" vertical="center"/>
    </xf>
    <xf numFmtId="49" fontId="86" fillId="20" borderId="35" xfId="0" applyNumberFormat="1" applyFont="1" applyFill="1" applyBorder="1" applyAlignment="1" applyProtection="1">
      <alignment horizontal="center" vertical="center"/>
    </xf>
    <xf numFmtId="169" fontId="46" fillId="5" borderId="36" xfId="0" applyNumberFormat="1" applyFont="1" applyFill="1" applyBorder="1" applyAlignment="1" applyProtection="1">
      <alignment horizontal="center" vertical="center"/>
    </xf>
    <xf numFmtId="169" fontId="46" fillId="5" borderId="37" xfId="0" applyNumberFormat="1" applyFont="1" applyFill="1" applyBorder="1" applyAlignment="1" applyProtection="1">
      <alignment horizontal="center" vertical="center"/>
    </xf>
    <xf numFmtId="0" fontId="46" fillId="10" borderId="30" xfId="0" applyFont="1" applyFill="1" applyBorder="1" applyAlignment="1" applyProtection="1">
      <alignment horizontal="center" vertical="center"/>
    </xf>
    <xf numFmtId="0" fontId="46" fillId="10" borderId="31" xfId="0" applyFont="1" applyFill="1" applyBorder="1" applyAlignment="1" applyProtection="1">
      <alignment horizontal="center" vertical="center"/>
    </xf>
    <xf numFmtId="0" fontId="43" fillId="5" borderId="190" xfId="0" applyFont="1" applyFill="1" applyBorder="1" applyAlignment="1" applyProtection="1">
      <alignment horizontal="left" vertical="top" wrapText="1"/>
    </xf>
    <xf numFmtId="0" fontId="43" fillId="5" borderId="191" xfId="0" applyFont="1" applyFill="1" applyBorder="1" applyAlignment="1" applyProtection="1">
      <alignment horizontal="left" vertical="top" wrapText="1"/>
    </xf>
    <xf numFmtId="0" fontId="43" fillId="5" borderId="192" xfId="0" applyFont="1" applyFill="1" applyBorder="1" applyAlignment="1" applyProtection="1">
      <alignment horizontal="left" vertical="top" wrapText="1"/>
    </xf>
    <xf numFmtId="0" fontId="41" fillId="0" borderId="0" xfId="0" applyFont="1" applyFill="1" applyAlignment="1" applyProtection="1">
      <alignment horizontal="left" vertical="center" wrapText="1"/>
    </xf>
    <xf numFmtId="0" fontId="42" fillId="4" borderId="86" xfId="0" applyFont="1" applyFill="1" applyBorder="1" applyAlignment="1" applyProtection="1">
      <alignment horizontal="left" vertical="top" wrapText="1"/>
    </xf>
    <xf numFmtId="0" fontId="42" fillId="5" borderId="86" xfId="0" applyFont="1" applyFill="1" applyBorder="1" applyAlignment="1" applyProtection="1">
      <alignment horizontal="left" vertical="top" wrapText="1"/>
    </xf>
    <xf numFmtId="37" fontId="42" fillId="0" borderId="77" xfId="0" applyNumberFormat="1" applyFont="1" applyFill="1" applyBorder="1" applyAlignment="1" applyProtection="1">
      <alignment horizontal="center" vertical="center"/>
    </xf>
    <xf numFmtId="0" fontId="42" fillId="0" borderId="74" xfId="0" applyFont="1" applyFill="1" applyBorder="1" applyAlignment="1" applyProtection="1">
      <alignment horizontal="center" vertical="center"/>
    </xf>
    <xf numFmtId="3" fontId="46" fillId="0" borderId="25" xfId="0" applyNumberFormat="1" applyFont="1" applyFill="1" applyBorder="1" applyAlignment="1" applyProtection="1">
      <alignment horizontal="center" vertical="center"/>
    </xf>
    <xf numFmtId="3" fontId="46" fillId="0" borderId="50" xfId="0" applyNumberFormat="1" applyFont="1" applyFill="1" applyBorder="1" applyAlignment="1" applyProtection="1">
      <alignment horizontal="center" vertical="center"/>
    </xf>
    <xf numFmtId="38" fontId="46" fillId="0" borderId="40" xfId="2" applyNumberFormat="1" applyFont="1" applyFill="1" applyBorder="1" applyAlignment="1" applyProtection="1">
      <alignment horizontal="right" vertical="center"/>
    </xf>
    <xf numFmtId="38" fontId="46" fillId="0" borderId="41" xfId="2" applyNumberFormat="1" applyFont="1" applyFill="1" applyBorder="1" applyAlignment="1" applyProtection="1">
      <alignment horizontal="right" vertical="center"/>
    </xf>
    <xf numFmtId="0" fontId="42" fillId="13" borderId="40" xfId="0" applyFont="1" applyFill="1" applyBorder="1" applyAlignment="1" applyProtection="1">
      <alignment horizontal="left" vertical="top" wrapText="1"/>
    </xf>
    <xf numFmtId="0" fontId="42" fillId="13" borderId="41" xfId="0" applyFont="1" applyFill="1" applyBorder="1" applyAlignment="1" applyProtection="1">
      <alignment horizontal="left" vertical="top" wrapText="1"/>
    </xf>
    <xf numFmtId="0" fontId="42" fillId="13" borderId="42" xfId="0" applyFont="1" applyFill="1" applyBorder="1" applyAlignment="1" applyProtection="1">
      <alignment horizontal="left" vertical="top" wrapText="1"/>
    </xf>
    <xf numFmtId="0" fontId="42" fillId="13" borderId="59" xfId="0" applyFont="1" applyFill="1" applyBorder="1" applyAlignment="1" applyProtection="1">
      <alignment horizontal="left" vertical="top" wrapText="1"/>
    </xf>
    <xf numFmtId="0" fontId="46" fillId="5" borderId="18" xfId="0" applyFont="1" applyFill="1" applyBorder="1" applyAlignment="1" applyProtection="1">
      <alignment horizontal="left" vertical="center" wrapText="1"/>
    </xf>
    <xf numFmtId="0" fontId="46" fillId="5" borderId="33" xfId="0" applyFont="1" applyFill="1" applyBorder="1" applyAlignment="1" applyProtection="1">
      <alignment horizontal="left" vertical="center" wrapText="1"/>
    </xf>
    <xf numFmtId="0" fontId="46" fillId="5" borderId="58" xfId="0" applyFont="1" applyFill="1" applyBorder="1" applyAlignment="1" applyProtection="1">
      <alignment horizontal="left" vertical="center" wrapText="1"/>
    </xf>
    <xf numFmtId="0" fontId="46" fillId="5" borderId="34" xfId="0" applyFont="1" applyFill="1" applyBorder="1" applyAlignment="1" applyProtection="1">
      <alignment horizontal="left" vertical="center" wrapText="1"/>
    </xf>
    <xf numFmtId="38" fontId="46" fillId="5" borderId="18" xfId="0" applyNumberFormat="1" applyFont="1" applyFill="1" applyBorder="1" applyAlignment="1" applyProtection="1">
      <alignment horizontal="right" vertical="center"/>
    </xf>
    <xf numFmtId="38" fontId="54" fillId="0" borderId="9" xfId="2" applyNumberFormat="1" applyFont="1" applyFill="1" applyBorder="1" applyAlignment="1" applyProtection="1">
      <alignment horizontal="center" vertical="center"/>
    </xf>
    <xf numFmtId="38" fontId="54" fillId="0" borderId="14" xfId="2" applyNumberFormat="1" applyFont="1" applyFill="1" applyBorder="1" applyAlignment="1" applyProtection="1">
      <alignment horizontal="center" vertical="center"/>
    </xf>
    <xf numFmtId="38" fontId="54" fillId="0" borderId="36" xfId="2" applyNumberFormat="1" applyFont="1" applyFill="1" applyBorder="1" applyAlignment="1" applyProtection="1">
      <alignment horizontal="center" vertical="center"/>
    </xf>
    <xf numFmtId="38" fontId="54" fillId="0" borderId="37" xfId="2" applyNumberFormat="1" applyFont="1" applyFill="1" applyBorder="1" applyAlignment="1" applyProtection="1">
      <alignment horizontal="center" vertical="center"/>
    </xf>
    <xf numFmtId="38" fontId="54" fillId="0" borderId="56" xfId="0" applyNumberFormat="1" applyFont="1" applyFill="1" applyBorder="1" applyAlignment="1" applyProtection="1">
      <alignment horizontal="center" vertical="center"/>
    </xf>
    <xf numFmtId="38" fontId="54" fillId="0" borderId="35" xfId="0" applyNumberFormat="1" applyFont="1" applyFill="1" applyBorder="1" applyAlignment="1" applyProtection="1">
      <alignment horizontal="center" vertical="center"/>
    </xf>
    <xf numFmtId="0" fontId="46" fillId="5" borderId="16" xfId="0" applyFont="1" applyFill="1" applyBorder="1" applyAlignment="1" applyProtection="1">
      <alignment horizontal="left" vertical="center" wrapText="1"/>
    </xf>
    <xf numFmtId="0" fontId="46" fillId="5" borderId="30" xfId="0" applyFont="1" applyFill="1" applyBorder="1" applyAlignment="1" applyProtection="1">
      <alignment horizontal="left" vertical="center" wrapText="1"/>
    </xf>
    <xf numFmtId="0" fontId="46" fillId="5" borderId="21" xfId="0" applyFont="1" applyFill="1" applyBorder="1" applyAlignment="1" applyProtection="1">
      <alignment horizontal="left" vertical="center" wrapText="1"/>
    </xf>
    <xf numFmtId="0" fontId="46" fillId="5" borderId="31" xfId="0" applyFont="1" applyFill="1" applyBorder="1" applyAlignment="1" applyProtection="1">
      <alignment horizontal="left" vertical="center" wrapText="1"/>
    </xf>
    <xf numFmtId="38" fontId="46" fillId="5" borderId="30" xfId="0" applyNumberFormat="1" applyFont="1" applyFill="1" applyBorder="1" applyAlignment="1" applyProtection="1">
      <alignment horizontal="right" vertical="center"/>
    </xf>
    <xf numFmtId="38" fontId="46" fillId="5" borderId="31" xfId="0" applyNumberFormat="1" applyFont="1" applyFill="1" applyBorder="1" applyAlignment="1" applyProtection="1">
      <alignment horizontal="right" vertical="center"/>
    </xf>
    <xf numFmtId="0" fontId="46" fillId="5" borderId="17" xfId="0" applyFont="1" applyFill="1" applyBorder="1" applyAlignment="1" applyProtection="1">
      <alignment horizontal="left" vertical="center" wrapText="1"/>
    </xf>
    <xf numFmtId="38" fontId="46" fillId="5" borderId="17" xfId="0" applyNumberFormat="1" applyFont="1" applyFill="1" applyBorder="1" applyAlignment="1" applyProtection="1">
      <alignment horizontal="right" vertical="center"/>
    </xf>
    <xf numFmtId="166" fontId="46" fillId="0" borderId="77" xfId="0" applyNumberFormat="1" applyFont="1" applyFill="1" applyBorder="1" applyAlignment="1" applyProtection="1">
      <alignment horizontal="center" vertical="center"/>
    </xf>
    <xf numFmtId="166" fontId="46" fillId="0" borderId="74" xfId="0" applyNumberFormat="1" applyFont="1" applyFill="1" applyBorder="1" applyAlignment="1" applyProtection="1">
      <alignment horizontal="center" vertical="center"/>
    </xf>
    <xf numFmtId="38" fontId="46" fillId="6" borderId="16" xfId="2" applyNumberFormat="1" applyFont="1" applyFill="1" applyBorder="1" applyAlignment="1" applyProtection="1">
      <alignment horizontal="center" vertical="center"/>
    </xf>
    <xf numFmtId="38" fontId="46" fillId="5" borderId="16" xfId="0" applyNumberFormat="1" applyFont="1" applyFill="1" applyBorder="1" applyAlignment="1" applyProtection="1">
      <alignment horizontal="right" vertical="center"/>
    </xf>
    <xf numFmtId="0" fontId="46" fillId="5" borderId="16" xfId="0" applyFont="1" applyFill="1" applyBorder="1" applyAlignment="1" applyProtection="1">
      <alignment vertical="center"/>
    </xf>
    <xf numFmtId="0" fontId="46" fillId="0" borderId="80" xfId="0" applyFont="1" applyFill="1" applyBorder="1" applyAlignment="1" applyProtection="1">
      <alignment vertical="center"/>
    </xf>
    <xf numFmtId="0" fontId="46" fillId="0" borderId="85" xfId="0" applyFont="1" applyFill="1" applyBorder="1" applyAlignment="1" applyProtection="1">
      <alignment vertical="center"/>
    </xf>
    <xf numFmtId="0" fontId="46" fillId="0" borderId="81" xfId="0" applyFont="1" applyFill="1" applyBorder="1" applyAlignment="1" applyProtection="1">
      <alignment vertical="center"/>
    </xf>
    <xf numFmtId="0" fontId="46" fillId="5" borderId="28" xfId="0" applyFont="1" applyFill="1" applyBorder="1" applyAlignment="1" applyProtection="1">
      <alignment horizontal="left" vertical="center" wrapText="1"/>
    </xf>
    <xf numFmtId="0" fontId="46" fillId="5" borderId="57" xfId="0" applyFont="1" applyFill="1" applyBorder="1" applyAlignment="1" applyProtection="1">
      <alignment horizontal="left" vertical="center" wrapText="1"/>
    </xf>
    <xf numFmtId="0" fontId="46" fillId="5" borderId="29" xfId="0" applyFont="1" applyFill="1" applyBorder="1" applyAlignment="1" applyProtection="1">
      <alignment horizontal="left" vertical="center" wrapText="1"/>
    </xf>
    <xf numFmtId="38" fontId="46" fillId="5" borderId="22" xfId="0" applyNumberFormat="1" applyFont="1" applyFill="1" applyBorder="1" applyAlignment="1" applyProtection="1">
      <alignment horizontal="right" vertical="center"/>
    </xf>
    <xf numFmtId="0" fontId="46" fillId="5" borderId="22" xfId="0" applyFont="1" applyFill="1" applyBorder="1" applyAlignment="1" applyProtection="1">
      <alignment vertical="center"/>
    </xf>
    <xf numFmtId="0" fontId="46" fillId="5" borderId="78" xfId="0" applyFont="1" applyFill="1" applyBorder="1" applyAlignment="1" applyProtection="1">
      <alignment horizontal="left" vertical="center" wrapText="1"/>
    </xf>
    <xf numFmtId="0" fontId="46" fillId="5" borderId="79" xfId="0" applyFont="1" applyFill="1" applyBorder="1" applyAlignment="1" applyProtection="1">
      <alignment horizontal="left" vertical="center" wrapText="1"/>
    </xf>
    <xf numFmtId="38" fontId="46" fillId="6" borderId="18" xfId="2" applyNumberFormat="1" applyFont="1" applyFill="1" applyBorder="1" applyAlignment="1" applyProtection="1">
      <alignment horizontal="center" vertical="center"/>
    </xf>
    <xf numFmtId="0" fontId="46" fillId="5" borderId="18" xfId="0" applyFont="1" applyFill="1" applyBorder="1" applyAlignment="1" applyProtection="1">
      <alignment horizontal="center" vertical="center"/>
    </xf>
    <xf numFmtId="0" fontId="46" fillId="5" borderId="17" xfId="0" applyFont="1" applyFill="1" applyBorder="1" applyAlignment="1" applyProtection="1">
      <alignment vertical="center"/>
    </xf>
    <xf numFmtId="38" fontId="46" fillId="0" borderId="82" xfId="2" applyNumberFormat="1" applyFont="1" applyFill="1" applyBorder="1" applyAlignment="1" applyProtection="1">
      <alignment horizontal="center" vertical="center"/>
    </xf>
    <xf numFmtId="0" fontId="46" fillId="0" borderId="82" xfId="0" applyFont="1" applyFill="1" applyBorder="1" applyAlignment="1" applyProtection="1">
      <alignment horizontal="center" vertical="center"/>
    </xf>
    <xf numFmtId="0" fontId="42" fillId="13" borderId="43" xfId="0" applyFont="1" applyFill="1" applyBorder="1" applyAlignment="1" applyProtection="1">
      <alignment horizontal="left" vertical="top" wrapText="1"/>
    </xf>
    <xf numFmtId="0" fontId="42" fillId="13" borderId="39" xfId="0" applyFont="1" applyFill="1" applyBorder="1" applyAlignment="1" applyProtection="1">
      <alignment horizontal="left" vertical="top" wrapText="1"/>
    </xf>
    <xf numFmtId="0" fontId="46" fillId="0" borderId="7" xfId="0" applyFont="1" applyFill="1" applyBorder="1" applyAlignment="1" applyProtection="1">
      <alignment vertical="center"/>
    </xf>
    <xf numFmtId="0" fontId="46" fillId="0" borderId="0" xfId="0" applyFont="1" applyFill="1" applyBorder="1" applyAlignment="1" applyProtection="1">
      <alignment vertical="center"/>
    </xf>
    <xf numFmtId="0" fontId="46" fillId="0" borderId="8" xfId="0" applyFont="1" applyFill="1" applyBorder="1" applyAlignment="1" applyProtection="1">
      <alignment vertical="center"/>
    </xf>
    <xf numFmtId="0" fontId="74" fillId="0" borderId="0" xfId="0" applyFont="1" applyFill="1" applyBorder="1" applyAlignment="1" applyProtection="1">
      <alignment horizontal="center" vertical="center"/>
    </xf>
    <xf numFmtId="0" fontId="65" fillId="0" borderId="0" xfId="0" quotePrefix="1" applyFont="1" applyFill="1" applyBorder="1" applyAlignment="1" applyProtection="1">
      <alignment horizontal="center" vertical="center"/>
    </xf>
    <xf numFmtId="3" fontId="42" fillId="0" borderId="0" xfId="0" applyNumberFormat="1" applyFont="1" applyFill="1" applyBorder="1" applyAlignment="1" applyProtection="1">
      <alignment horizontal="center" vertical="center"/>
    </xf>
    <xf numFmtId="4" fontId="42" fillId="0" borderId="0" xfId="0" applyNumberFormat="1" applyFont="1" applyFill="1" applyBorder="1" applyAlignment="1" applyProtection="1">
      <alignment horizontal="center" vertical="center"/>
    </xf>
    <xf numFmtId="0" fontId="46" fillId="0" borderId="0" xfId="0" applyFont="1" applyFill="1" applyBorder="1" applyAlignment="1" applyProtection="1">
      <alignment horizontal="center" vertical="center"/>
    </xf>
    <xf numFmtId="0" fontId="46" fillId="0" borderId="0" xfId="0" applyFont="1" applyFill="1" applyBorder="1" applyAlignment="1" applyProtection="1">
      <alignment horizontal="center" wrapText="1"/>
    </xf>
    <xf numFmtId="0" fontId="9" fillId="0" borderId="0" xfId="0" applyFont="1" applyFill="1" applyAlignment="1" applyProtection="1">
      <alignment horizontal="left"/>
    </xf>
    <xf numFmtId="0" fontId="46" fillId="5" borderId="17" xfId="0" applyFont="1" applyFill="1" applyBorder="1" applyAlignment="1" applyProtection="1">
      <alignment horizontal="center" vertical="center"/>
    </xf>
    <xf numFmtId="38" fontId="46" fillId="6" borderId="17" xfId="2" applyNumberFormat="1" applyFont="1" applyFill="1" applyBorder="1" applyAlignment="1" applyProtection="1">
      <alignment horizontal="center" vertical="center"/>
    </xf>
    <xf numFmtId="0" fontId="46" fillId="0" borderId="4" xfId="0" applyFont="1" applyFill="1" applyBorder="1" applyAlignment="1" applyProtection="1">
      <alignment vertical="center"/>
    </xf>
    <xf numFmtId="0" fontId="46" fillId="0" borderId="5" xfId="0" applyFont="1" applyFill="1" applyBorder="1" applyAlignment="1" applyProtection="1">
      <alignment vertical="center"/>
    </xf>
    <xf numFmtId="0" fontId="46" fillId="5" borderId="16" xfId="0" applyFont="1" applyFill="1" applyBorder="1" applyAlignment="1" applyProtection="1">
      <alignment horizontal="center" vertical="center"/>
    </xf>
    <xf numFmtId="3" fontId="46" fillId="10" borderId="33" xfId="0" applyNumberFormat="1" applyFont="1" applyFill="1" applyBorder="1" applyAlignment="1" applyProtection="1">
      <alignment horizontal="right" vertical="center"/>
    </xf>
    <xf numFmtId="3" fontId="46" fillId="10" borderId="34" xfId="0" applyNumberFormat="1" applyFont="1" applyFill="1" applyBorder="1" applyAlignment="1" applyProtection="1">
      <alignment horizontal="right" vertical="center"/>
    </xf>
    <xf numFmtId="38" fontId="46" fillId="6" borderId="78" xfId="2" applyNumberFormat="1" applyFont="1" applyFill="1" applyBorder="1" applyAlignment="1" applyProtection="1">
      <alignment horizontal="center" vertical="center"/>
    </xf>
    <xf numFmtId="38" fontId="46" fillId="6" borderId="79" xfId="2" applyNumberFormat="1" applyFont="1" applyFill="1" applyBorder="1" applyAlignment="1" applyProtection="1">
      <alignment horizontal="center" vertical="center"/>
    </xf>
    <xf numFmtId="0" fontId="46" fillId="5" borderId="78" xfId="0" applyFont="1" applyFill="1" applyBorder="1" applyAlignment="1" applyProtection="1">
      <alignment horizontal="center" vertical="center"/>
    </xf>
    <xf numFmtId="0" fontId="46" fillId="5" borderId="79" xfId="0" applyFont="1" applyFill="1" applyBorder="1" applyAlignment="1" applyProtection="1">
      <alignment horizontal="center" vertical="center"/>
    </xf>
    <xf numFmtId="164" fontId="46" fillId="5" borderId="30" xfId="1" applyNumberFormat="1" applyFont="1" applyFill="1" applyBorder="1" applyAlignment="1" applyProtection="1">
      <alignment horizontal="right" vertical="center"/>
    </xf>
    <xf numFmtId="164" fontId="46" fillId="5" borderId="31" xfId="1" applyNumberFormat="1" applyFont="1" applyFill="1" applyBorder="1" applyAlignment="1" applyProtection="1">
      <alignment horizontal="right" vertical="center"/>
    </xf>
    <xf numFmtId="166" fontId="46" fillId="0" borderId="7" xfId="10" applyNumberFormat="1" applyFont="1" applyFill="1" applyBorder="1" applyAlignment="1" applyProtection="1">
      <alignment vertical="center"/>
    </xf>
    <xf numFmtId="166" fontId="46" fillId="0" borderId="0" xfId="10" applyNumberFormat="1" applyFont="1" applyFill="1" applyBorder="1" applyAlignment="1" applyProtection="1">
      <alignment vertical="center"/>
    </xf>
    <xf numFmtId="164" fontId="46" fillId="5" borderId="33" xfId="1" applyNumberFormat="1" applyFont="1" applyFill="1" applyBorder="1" applyAlignment="1" applyProtection="1">
      <alignment horizontal="right" vertical="center"/>
    </xf>
    <xf numFmtId="164" fontId="46" fillId="5" borderId="34" xfId="1" applyNumberFormat="1" applyFont="1" applyFill="1" applyBorder="1" applyAlignment="1" applyProtection="1">
      <alignment horizontal="right" vertical="center"/>
    </xf>
    <xf numFmtId="38" fontId="54" fillId="0" borderId="36" xfId="2" applyNumberFormat="1" applyFont="1" applyFill="1" applyBorder="1" applyAlignment="1" applyProtection="1">
      <alignment horizontal="right" vertical="center"/>
    </xf>
    <xf numFmtId="38" fontId="54" fillId="0" borderId="37" xfId="2" applyNumberFormat="1" applyFont="1" applyFill="1" applyBorder="1" applyAlignment="1" applyProtection="1">
      <alignment horizontal="right" vertical="center"/>
    </xf>
    <xf numFmtId="38" fontId="54" fillId="0" borderId="36" xfId="0" applyNumberFormat="1" applyFont="1" applyFill="1" applyBorder="1" applyAlignment="1" applyProtection="1">
      <alignment horizontal="right" vertical="center"/>
    </xf>
    <xf numFmtId="38" fontId="54" fillId="0" borderId="37" xfId="0" applyNumberFormat="1" applyFont="1" applyFill="1" applyBorder="1" applyAlignment="1" applyProtection="1">
      <alignment horizontal="right" vertical="center"/>
    </xf>
    <xf numFmtId="38" fontId="54" fillId="11" borderId="78" xfId="2" applyNumberFormat="1" applyFont="1" applyFill="1" applyBorder="1" applyAlignment="1" applyProtection="1">
      <alignment horizontal="right" vertical="center"/>
    </xf>
    <xf numFmtId="38" fontId="54" fillId="11" borderId="79" xfId="2" applyNumberFormat="1" applyFont="1" applyFill="1" applyBorder="1" applyAlignment="1" applyProtection="1">
      <alignment horizontal="right" vertical="center"/>
    </xf>
    <xf numFmtId="164" fontId="46" fillId="5" borderId="28" xfId="1" applyNumberFormat="1" applyFont="1" applyFill="1" applyBorder="1" applyAlignment="1" applyProtection="1">
      <alignment horizontal="right" vertical="center"/>
    </xf>
    <xf numFmtId="164" fontId="46" fillId="5" borderId="29" xfId="1" applyNumberFormat="1" applyFont="1" applyFill="1" applyBorder="1" applyAlignment="1" applyProtection="1">
      <alignment horizontal="right" vertical="center"/>
    </xf>
    <xf numFmtId="166" fontId="46" fillId="5" borderId="28" xfId="10" applyNumberFormat="1" applyFont="1" applyFill="1" applyBorder="1" applyAlignment="1" applyProtection="1">
      <alignment horizontal="center" vertical="center"/>
    </xf>
    <xf numFmtId="166" fontId="46" fillId="5" borderId="29" xfId="10" applyNumberFormat="1" applyFont="1" applyFill="1" applyBorder="1" applyAlignment="1" applyProtection="1">
      <alignment horizontal="center" vertical="center"/>
    </xf>
    <xf numFmtId="3" fontId="46" fillId="5" borderId="28" xfId="1" applyNumberFormat="1" applyFont="1" applyFill="1" applyBorder="1" applyAlignment="1" applyProtection="1">
      <alignment horizontal="center" vertical="center"/>
    </xf>
    <xf numFmtId="3" fontId="46" fillId="5" borderId="29" xfId="1" applyNumberFormat="1" applyFont="1" applyFill="1" applyBorder="1" applyAlignment="1" applyProtection="1">
      <alignment horizontal="center" vertical="center"/>
    </xf>
    <xf numFmtId="0" fontId="46" fillId="5" borderId="27" xfId="0" applyFont="1" applyFill="1" applyBorder="1" applyAlignment="1" applyProtection="1">
      <alignment horizontal="left" vertical="center" wrapText="1"/>
    </xf>
    <xf numFmtId="0" fontId="46" fillId="5" borderId="20" xfId="0" applyFont="1" applyFill="1" applyBorder="1" applyAlignment="1" applyProtection="1">
      <alignment horizontal="left" vertical="center" wrapText="1"/>
    </xf>
    <xf numFmtId="0" fontId="46" fillId="5" borderId="92" xfId="0" applyFont="1" applyFill="1" applyBorder="1" applyAlignment="1" applyProtection="1">
      <alignment horizontal="left" vertical="center" wrapText="1"/>
    </xf>
    <xf numFmtId="166" fontId="46" fillId="5" borderId="30" xfId="10" applyNumberFormat="1" applyFont="1" applyFill="1" applyBorder="1" applyAlignment="1" applyProtection="1">
      <alignment horizontal="center" vertical="center"/>
    </xf>
    <xf numFmtId="166" fontId="46" fillId="5" borderId="31" xfId="10" applyNumberFormat="1" applyFont="1" applyFill="1" applyBorder="1" applyAlignment="1" applyProtection="1">
      <alignment horizontal="center" vertical="center"/>
    </xf>
    <xf numFmtId="3" fontId="46" fillId="5" borderId="30" xfId="0" applyNumberFormat="1" applyFont="1" applyFill="1" applyBorder="1" applyAlignment="1" applyProtection="1">
      <alignment horizontal="center" vertical="center"/>
    </xf>
    <xf numFmtId="3" fontId="46" fillId="5" borderId="31" xfId="0" applyNumberFormat="1" applyFont="1" applyFill="1" applyBorder="1" applyAlignment="1" applyProtection="1">
      <alignment horizontal="center" vertical="center"/>
    </xf>
    <xf numFmtId="0" fontId="46" fillId="0" borderId="9" xfId="0" applyFont="1" applyFill="1" applyBorder="1" applyAlignment="1" applyProtection="1">
      <alignment vertical="center"/>
    </xf>
    <xf numFmtId="0" fontId="46" fillId="0" borderId="13" xfId="0" applyFont="1" applyFill="1" applyBorder="1" applyAlignment="1" applyProtection="1">
      <alignment vertical="center"/>
    </xf>
    <xf numFmtId="0" fontId="88" fillId="12" borderId="0" xfId="0" applyFont="1" applyFill="1" applyAlignment="1" applyProtection="1">
      <alignment horizontal="center" vertical="center"/>
    </xf>
    <xf numFmtId="0" fontId="42" fillId="10" borderId="78" xfId="0" applyFont="1" applyFill="1" applyBorder="1" applyAlignment="1" applyProtection="1">
      <alignment horizontal="left" vertical="center"/>
    </xf>
    <xf numFmtId="0" fontId="42" fillId="10" borderId="82" xfId="0" applyFont="1" applyFill="1" applyBorder="1" applyAlignment="1" applyProtection="1">
      <alignment horizontal="left" vertical="center"/>
    </xf>
    <xf numFmtId="0" fontId="42" fillId="10" borderId="79" xfId="0" applyFont="1" applyFill="1" applyBorder="1" applyAlignment="1" applyProtection="1">
      <alignment horizontal="left" vertical="center"/>
    </xf>
    <xf numFmtId="37" fontId="46" fillId="5" borderId="78" xfId="0" applyNumberFormat="1" applyFont="1" applyFill="1" applyBorder="1" applyAlignment="1" applyProtection="1">
      <alignment horizontal="left" vertical="center"/>
    </xf>
    <xf numFmtId="0" fontId="0" fillId="0" borderId="79" xfId="0" applyBorder="1" applyAlignment="1" applyProtection="1">
      <alignment horizontal="left" vertical="center"/>
    </xf>
    <xf numFmtId="37" fontId="46" fillId="5" borderId="80" xfId="0" applyNumberFormat="1" applyFont="1" applyFill="1" applyBorder="1" applyAlignment="1" applyProtection="1">
      <alignment horizontal="left" vertical="center"/>
    </xf>
    <xf numFmtId="0" fontId="0" fillId="0" borderId="81" xfId="0" applyBorder="1" applyAlignment="1" applyProtection="1">
      <alignment horizontal="left" vertical="center"/>
    </xf>
    <xf numFmtId="0" fontId="42" fillId="5" borderId="132" xfId="0" applyFont="1" applyFill="1" applyBorder="1" applyAlignment="1" applyProtection="1">
      <alignment horizontal="left" vertical="center"/>
    </xf>
    <xf numFmtId="0" fontId="42" fillId="10" borderId="33" xfId="0" applyFont="1" applyFill="1" applyBorder="1" applyAlignment="1" applyProtection="1">
      <alignment horizontal="left" vertical="center"/>
    </xf>
    <xf numFmtId="0" fontId="42" fillId="10" borderId="58" xfId="0" applyFont="1" applyFill="1" applyBorder="1" applyAlignment="1" applyProtection="1">
      <alignment horizontal="left" vertical="center"/>
    </xf>
    <xf numFmtId="0" fontId="42" fillId="10" borderId="34" xfId="0" applyFont="1" applyFill="1" applyBorder="1" applyAlignment="1" applyProtection="1">
      <alignment horizontal="left" vertical="center"/>
    </xf>
    <xf numFmtId="49" fontId="102" fillId="20" borderId="78" xfId="0" applyNumberFormat="1" applyFont="1" applyFill="1" applyBorder="1" applyAlignment="1" applyProtection="1">
      <alignment horizontal="center" vertical="center"/>
    </xf>
    <xf numFmtId="49" fontId="102" fillId="20" borderId="82" xfId="0" applyNumberFormat="1" applyFont="1" applyFill="1" applyBorder="1" applyAlignment="1" applyProtection="1">
      <alignment horizontal="center" vertical="center"/>
    </xf>
    <xf numFmtId="49" fontId="102" fillId="20" borderId="79" xfId="0" applyNumberFormat="1" applyFont="1" applyFill="1" applyBorder="1" applyAlignment="1" applyProtection="1">
      <alignment horizontal="center" vertical="center"/>
    </xf>
    <xf numFmtId="3" fontId="46" fillId="10" borderId="78" xfId="0" applyNumberFormat="1" applyFont="1" applyFill="1" applyBorder="1" applyAlignment="1" applyProtection="1">
      <alignment horizontal="left" vertical="center"/>
    </xf>
    <xf numFmtId="3" fontId="46" fillId="10" borderId="79" xfId="0" applyNumberFormat="1" applyFont="1" applyFill="1" applyBorder="1" applyAlignment="1" applyProtection="1">
      <alignment horizontal="left" vertical="center"/>
    </xf>
    <xf numFmtId="0" fontId="46" fillId="0" borderId="0" xfId="0" applyFont="1" applyFill="1" applyAlignment="1" applyProtection="1">
      <alignment horizontal="center" vertical="center"/>
    </xf>
    <xf numFmtId="0" fontId="46" fillId="0" borderId="13" xfId="0" applyFont="1" applyFill="1" applyBorder="1" applyAlignment="1" applyProtection="1">
      <alignment horizontal="left" vertical="center"/>
    </xf>
    <xf numFmtId="166" fontId="46" fillId="5" borderId="33" xfId="10" applyNumberFormat="1" applyFont="1" applyFill="1" applyBorder="1" applyAlignment="1" applyProtection="1">
      <alignment horizontal="center" vertical="center"/>
    </xf>
    <xf numFmtId="166" fontId="46" fillId="5" borderId="34" xfId="10" applyNumberFormat="1" applyFont="1" applyFill="1" applyBorder="1" applyAlignment="1" applyProtection="1">
      <alignment horizontal="center" vertical="center"/>
    </xf>
    <xf numFmtId="3" fontId="46" fillId="5" borderId="33" xfId="0" applyNumberFormat="1" applyFont="1" applyFill="1" applyBorder="1" applyAlignment="1" applyProtection="1">
      <alignment horizontal="center" vertical="center"/>
    </xf>
    <xf numFmtId="3" fontId="46" fillId="5" borderId="34" xfId="0" applyNumberFormat="1" applyFont="1" applyFill="1" applyBorder="1" applyAlignment="1" applyProtection="1">
      <alignment horizontal="center" vertical="center"/>
    </xf>
    <xf numFmtId="0" fontId="30" fillId="8" borderId="36" xfId="0" applyFont="1" applyFill="1" applyBorder="1" applyAlignment="1" applyProtection="1">
      <alignment horizontal="center" vertical="center"/>
    </xf>
    <xf numFmtId="0" fontId="30" fillId="8" borderId="2" xfId="0" applyFont="1" applyFill="1" applyBorder="1" applyAlignment="1" applyProtection="1">
      <alignment horizontal="center" vertical="center"/>
    </xf>
    <xf numFmtId="0" fontId="30" fillId="8" borderId="37" xfId="0" applyFont="1" applyFill="1" applyBorder="1" applyAlignment="1" applyProtection="1">
      <alignment horizontal="center" vertical="center"/>
    </xf>
    <xf numFmtId="8" fontId="13" fillId="0" borderId="0" xfId="0" applyNumberFormat="1" applyFont="1" applyBorder="1" applyAlignment="1" applyProtection="1">
      <alignment horizontal="center"/>
    </xf>
    <xf numFmtId="8" fontId="13" fillId="0" borderId="20" xfId="0" applyNumberFormat="1" applyFont="1" applyBorder="1" applyAlignment="1" applyProtection="1">
      <alignment horizontal="center"/>
    </xf>
    <xf numFmtId="8" fontId="13" fillId="0" borderId="19" xfId="0" applyNumberFormat="1" applyFont="1" applyBorder="1" applyAlignment="1" applyProtection="1">
      <alignment horizontal="center"/>
    </xf>
    <xf numFmtId="0" fontId="9" fillId="0" borderId="13" xfId="0" applyFont="1" applyBorder="1" applyAlignment="1" applyProtection="1">
      <alignment horizontal="center" vertical="center" wrapText="1"/>
    </xf>
    <xf numFmtId="0" fontId="20" fillId="0" borderId="0" xfId="0" applyFont="1" applyAlignment="1" applyProtection="1">
      <alignment horizontal="center" vertical="center"/>
    </xf>
    <xf numFmtId="0" fontId="26" fillId="0" borderId="0" xfId="0" applyFont="1" applyAlignment="1" applyProtection="1">
      <alignment horizontal="center"/>
    </xf>
    <xf numFmtId="0" fontId="26" fillId="0" borderId="0" xfId="0" applyFont="1" applyFill="1" applyAlignment="1" applyProtection="1">
      <alignment horizontal="center"/>
    </xf>
    <xf numFmtId="0" fontId="26" fillId="0" borderId="0" xfId="0" applyFont="1" applyFill="1" applyAlignment="1" applyProtection="1">
      <alignment horizontal="center" vertical="top" wrapText="1"/>
    </xf>
    <xf numFmtId="8" fontId="13" fillId="0" borderId="5" xfId="0" applyNumberFormat="1" applyFont="1" applyBorder="1" applyAlignment="1" applyProtection="1">
      <alignment horizontal="center"/>
    </xf>
    <xf numFmtId="0" fontId="27" fillId="0" borderId="0" xfId="0" applyFont="1" applyAlignment="1" applyProtection="1">
      <alignment horizontal="justify" vertical="top" wrapText="1"/>
    </xf>
    <xf numFmtId="0" fontId="0" fillId="0" borderId="0" xfId="0" applyAlignment="1" applyProtection="1">
      <alignment horizontal="justify" vertical="top" wrapText="1"/>
    </xf>
    <xf numFmtId="0" fontId="9" fillId="0" borderId="0" xfId="0" applyFont="1" applyAlignment="1" applyProtection="1">
      <alignment horizontal="center" wrapText="1"/>
    </xf>
    <xf numFmtId="0" fontId="0" fillId="0" borderId="0" xfId="0" applyAlignment="1" applyProtection="1">
      <alignment horizontal="center" wrapText="1"/>
    </xf>
    <xf numFmtId="4" fontId="63" fillId="0" borderId="42" xfId="0" applyNumberFormat="1" applyFont="1" applyFill="1" applyBorder="1" applyAlignment="1" applyProtection="1">
      <alignment horizontal="right" vertical="center"/>
    </xf>
    <xf numFmtId="4" fontId="63" fillId="0" borderId="59" xfId="0" applyNumberFormat="1" applyFont="1" applyFill="1" applyBorder="1" applyAlignment="1" applyProtection="1">
      <alignment horizontal="right" vertical="center"/>
    </xf>
    <xf numFmtId="0" fontId="54" fillId="0" borderId="43" xfId="0" applyFont="1" applyFill="1" applyBorder="1" applyAlignment="1" applyProtection="1">
      <alignment horizontal="left" vertical="center" wrapText="1"/>
    </xf>
    <xf numFmtId="0" fontId="54" fillId="0" borderId="42" xfId="0" applyFont="1" applyFill="1" applyBorder="1" applyAlignment="1" applyProtection="1">
      <alignment horizontal="left" vertical="center" wrapText="1"/>
    </xf>
    <xf numFmtId="4" fontId="63" fillId="0" borderId="19" xfId="1" applyNumberFormat="1" applyFont="1" applyFill="1" applyBorder="1" applyAlignment="1" applyProtection="1">
      <alignment horizontal="right" vertical="center"/>
    </xf>
    <xf numFmtId="171" fontId="52" fillId="0" borderId="19" xfId="0" applyNumberFormat="1" applyFont="1" applyFill="1" applyBorder="1" applyAlignment="1" applyProtection="1">
      <alignment horizontal="left" vertical="center"/>
    </xf>
    <xf numFmtId="0" fontId="52" fillId="0" borderId="19" xfId="0" applyFont="1" applyFill="1" applyBorder="1" applyAlignment="1" applyProtection="1">
      <alignment horizontal="left" vertical="center"/>
    </xf>
    <xf numFmtId="0" fontId="52" fillId="0" borderId="39" xfId="0" applyFont="1" applyFill="1" applyBorder="1" applyAlignment="1" applyProtection="1">
      <alignment horizontal="left" vertical="center"/>
    </xf>
    <xf numFmtId="4" fontId="63" fillId="0" borderId="20" xfId="1" applyNumberFormat="1" applyFont="1" applyFill="1" applyBorder="1" applyAlignment="1" applyProtection="1">
      <alignment horizontal="right" vertical="center"/>
    </xf>
    <xf numFmtId="0" fontId="52" fillId="0" borderId="20" xfId="0" applyFont="1" applyFill="1" applyBorder="1" applyAlignment="1" applyProtection="1">
      <alignment horizontal="left" vertical="center"/>
    </xf>
    <xf numFmtId="0" fontId="14" fillId="13" borderId="43" xfId="0" applyFont="1" applyFill="1" applyBorder="1" applyAlignment="1" applyProtection="1">
      <alignment horizontal="left" vertical="top" wrapText="1"/>
    </xf>
    <xf numFmtId="0" fontId="14" fillId="13" borderId="39" xfId="0" applyFont="1" applyFill="1" applyBorder="1" applyAlignment="1" applyProtection="1">
      <alignment horizontal="left" vertical="top" wrapText="1"/>
    </xf>
    <xf numFmtId="0" fontId="14" fillId="13" borderId="40" xfId="0" applyFont="1" applyFill="1" applyBorder="1" applyAlignment="1" applyProtection="1">
      <alignment horizontal="left" vertical="top" wrapText="1"/>
    </xf>
    <xf numFmtId="0" fontId="14" fillId="13" borderId="41" xfId="0" applyFont="1" applyFill="1" applyBorder="1" applyAlignment="1" applyProtection="1">
      <alignment horizontal="left" vertical="top" wrapText="1"/>
    </xf>
    <xf numFmtId="0" fontId="14" fillId="13" borderId="42" xfId="0" applyFont="1" applyFill="1" applyBorder="1" applyAlignment="1" applyProtection="1">
      <alignment horizontal="left" vertical="top" wrapText="1"/>
    </xf>
    <xf numFmtId="0" fontId="14" fillId="13" borderId="59" xfId="0" applyFont="1" applyFill="1" applyBorder="1" applyAlignment="1" applyProtection="1">
      <alignment horizontal="left" vertical="top" wrapText="1"/>
    </xf>
    <xf numFmtId="164" fontId="63" fillId="0" borderId="82" xfId="0" applyNumberFormat="1" applyFont="1" applyFill="1" applyBorder="1" applyAlignment="1" applyProtection="1">
      <alignment horizontal="center" vertical="center"/>
    </xf>
    <xf numFmtId="164" fontId="63" fillId="0" borderId="79" xfId="0" applyNumberFormat="1" applyFont="1" applyFill="1" applyBorder="1" applyAlignment="1" applyProtection="1">
      <alignment horizontal="center" vertical="center"/>
    </xf>
    <xf numFmtId="0" fontId="110" fillId="0" borderId="0" xfId="0" applyFont="1" applyFill="1" applyAlignment="1" applyProtection="1">
      <alignment horizontal="center" vertical="center"/>
    </xf>
    <xf numFmtId="0" fontId="14" fillId="13" borderId="77" xfId="0" applyFont="1" applyFill="1" applyBorder="1" applyAlignment="1" applyProtection="1">
      <alignment horizontal="left" vertical="top" wrapText="1"/>
    </xf>
    <xf numFmtId="0" fontId="14" fillId="13" borderId="74" xfId="0" applyFont="1" applyFill="1" applyBorder="1" applyAlignment="1" applyProtection="1">
      <alignment horizontal="left" vertical="top" wrapText="1"/>
    </xf>
    <xf numFmtId="0" fontId="14" fillId="13" borderId="93" xfId="0" applyFont="1" applyFill="1" applyBorder="1" applyAlignment="1" applyProtection="1">
      <alignment horizontal="left" vertical="top" wrapText="1"/>
    </xf>
    <xf numFmtId="0" fontId="14" fillId="13" borderId="76" xfId="0" applyFont="1" applyFill="1" applyBorder="1" applyAlignment="1" applyProtection="1">
      <alignment horizontal="left" vertical="top" wrapText="1"/>
    </xf>
    <xf numFmtId="0" fontId="4" fillId="13" borderId="137" xfId="0" applyFont="1" applyFill="1" applyBorder="1" applyAlignment="1" applyProtection="1">
      <alignment horizontal="left" vertical="top" wrapText="1"/>
    </xf>
    <xf numFmtId="0" fontId="4" fillId="13" borderId="136" xfId="0" applyFont="1" applyFill="1" applyBorder="1" applyAlignment="1" applyProtection="1">
      <alignment horizontal="left" vertical="top" wrapText="1"/>
    </xf>
    <xf numFmtId="49" fontId="136" fillId="20" borderId="0" xfId="0" applyNumberFormat="1" applyFont="1" applyFill="1" applyAlignment="1" applyProtection="1">
      <alignment horizontal="center" vertical="center"/>
    </xf>
    <xf numFmtId="0" fontId="50" fillId="0" borderId="7" xfId="0" applyFont="1" applyFill="1" applyBorder="1" applyAlignment="1" applyProtection="1">
      <alignment horizontal="center" vertical="center" wrapText="1"/>
    </xf>
    <xf numFmtId="0" fontId="50" fillId="0" borderId="0" xfId="0" applyFont="1" applyFill="1" applyBorder="1" applyAlignment="1" applyProtection="1">
      <alignment horizontal="center" vertical="center" wrapText="1"/>
    </xf>
    <xf numFmtId="0" fontId="43" fillId="10" borderId="80" xfId="0" applyFont="1" applyFill="1" applyBorder="1" applyAlignment="1" applyProtection="1">
      <alignment horizontal="center" vertical="center" wrapText="1"/>
    </xf>
    <xf numFmtId="0" fontId="43" fillId="10" borderId="85" xfId="0" applyFont="1" applyFill="1" applyBorder="1" applyAlignment="1" applyProtection="1">
      <alignment horizontal="center" vertical="center" wrapText="1"/>
    </xf>
    <xf numFmtId="0" fontId="43" fillId="10" borderId="81" xfId="0" applyFont="1" applyFill="1" applyBorder="1" applyAlignment="1" applyProtection="1">
      <alignment horizontal="center" vertical="center" wrapText="1"/>
    </xf>
    <xf numFmtId="0" fontId="43" fillId="10" borderId="7" xfId="0" applyFont="1" applyFill="1" applyBorder="1" applyAlignment="1" applyProtection="1">
      <alignment horizontal="center" vertical="center" wrapText="1"/>
    </xf>
    <xf numFmtId="0" fontId="43" fillId="10" borderId="0" xfId="0" applyFont="1" applyFill="1" applyBorder="1" applyAlignment="1" applyProtection="1">
      <alignment horizontal="center" vertical="center" wrapText="1"/>
    </xf>
    <xf numFmtId="0" fontId="43" fillId="10" borderId="8" xfId="0" applyFont="1" applyFill="1" applyBorder="1" applyAlignment="1" applyProtection="1">
      <alignment horizontal="center" vertical="center" wrapText="1"/>
    </xf>
    <xf numFmtId="0" fontId="43" fillId="10" borderId="9" xfId="0" applyFont="1" applyFill="1" applyBorder="1" applyAlignment="1" applyProtection="1">
      <alignment horizontal="center" vertical="center" wrapText="1"/>
    </xf>
    <xf numFmtId="0" fontId="43" fillId="10" borderId="13" xfId="0" applyFont="1" applyFill="1" applyBorder="1" applyAlignment="1" applyProtection="1">
      <alignment horizontal="center" vertical="center" wrapText="1"/>
    </xf>
    <xf numFmtId="0" fontId="43" fillId="10" borderId="14" xfId="0" applyFont="1" applyFill="1" applyBorder="1" applyAlignment="1" applyProtection="1">
      <alignment horizontal="center" vertical="center" wrapText="1"/>
    </xf>
    <xf numFmtId="0" fontId="14" fillId="13" borderId="96" xfId="0" applyFont="1" applyFill="1" applyBorder="1" applyAlignment="1" applyProtection="1">
      <alignment horizontal="left" vertical="top" wrapText="1"/>
    </xf>
    <xf numFmtId="0" fontId="14" fillId="13" borderId="75" xfId="0" applyFont="1" applyFill="1" applyBorder="1" applyAlignment="1" applyProtection="1">
      <alignment horizontal="left" vertical="top" wrapText="1"/>
    </xf>
    <xf numFmtId="0" fontId="235" fillId="0" borderId="62" xfId="0" applyFont="1" applyFill="1" applyBorder="1" applyAlignment="1" applyProtection="1">
      <alignment horizontal="center" vertical="center" wrapText="1"/>
    </xf>
    <xf numFmtId="0" fontId="235" fillId="0" borderId="70" xfId="0" applyFont="1" applyFill="1" applyBorder="1" applyAlignment="1" applyProtection="1">
      <alignment horizontal="center" vertical="center" wrapText="1"/>
    </xf>
    <xf numFmtId="0" fontId="235" fillId="0" borderId="63" xfId="0" applyFont="1" applyFill="1" applyBorder="1" applyAlignment="1" applyProtection="1">
      <alignment horizontal="center" vertical="center" wrapText="1"/>
    </xf>
    <xf numFmtId="0" fontId="235" fillId="0" borderId="44" xfId="0" applyFont="1" applyFill="1" applyBorder="1" applyAlignment="1" applyProtection="1">
      <alignment horizontal="center" vertical="center" wrapText="1"/>
    </xf>
    <xf numFmtId="0" fontId="235" fillId="0" borderId="0" xfId="0" applyFont="1" applyFill="1" applyBorder="1" applyAlignment="1" applyProtection="1">
      <alignment horizontal="center" vertical="center" wrapText="1"/>
    </xf>
    <xf numFmtId="0" fontId="235" fillId="0" borderId="47" xfId="0" applyFont="1" applyFill="1" applyBorder="1" applyAlignment="1" applyProtection="1">
      <alignment horizontal="center" vertical="center" wrapText="1"/>
    </xf>
    <xf numFmtId="0" fontId="54" fillId="0" borderId="0" xfId="0" applyFont="1" applyFill="1" applyAlignment="1" applyProtection="1">
      <alignment horizontal="left"/>
    </xf>
    <xf numFmtId="168" fontId="46" fillId="0" borderId="71" xfId="0" applyNumberFormat="1" applyFont="1" applyFill="1" applyBorder="1" applyAlignment="1" applyProtection="1">
      <alignment horizontal="center" vertical="center"/>
    </xf>
    <xf numFmtId="168" fontId="46" fillId="0" borderId="72" xfId="0" applyNumberFormat="1" applyFont="1" applyFill="1" applyBorder="1" applyAlignment="1" applyProtection="1">
      <alignment horizontal="center" vertical="center"/>
    </xf>
    <xf numFmtId="168" fontId="46" fillId="0" borderId="73" xfId="0" applyNumberFormat="1" applyFont="1" applyFill="1" applyBorder="1" applyAlignment="1" applyProtection="1">
      <alignment horizontal="center" vertical="center"/>
    </xf>
    <xf numFmtId="170" fontId="46" fillId="5" borderId="36" xfId="0" applyNumberFormat="1" applyFont="1" applyFill="1" applyBorder="1" applyAlignment="1" applyProtection="1">
      <alignment horizontal="center" vertical="center"/>
    </xf>
    <xf numFmtId="170" fontId="46" fillId="5" borderId="37" xfId="0" applyNumberFormat="1" applyFont="1" applyFill="1" applyBorder="1" applyAlignment="1" applyProtection="1">
      <alignment horizontal="center" vertical="center"/>
    </xf>
    <xf numFmtId="38" fontId="54" fillId="0" borderId="1" xfId="0" applyNumberFormat="1" applyFont="1" applyFill="1" applyBorder="1" applyAlignment="1" applyProtection="1">
      <alignment horizontal="center" vertical="center"/>
    </xf>
    <xf numFmtId="38" fontId="54" fillId="10" borderId="36" xfId="0" applyNumberFormat="1" applyFont="1" applyFill="1" applyBorder="1" applyAlignment="1" applyProtection="1">
      <alignment horizontal="center" vertical="center"/>
    </xf>
    <xf numFmtId="38" fontId="54" fillId="10" borderId="2" xfId="0" applyNumberFormat="1" applyFont="1" applyFill="1" applyBorder="1" applyAlignment="1" applyProtection="1">
      <alignment horizontal="center" vertical="center"/>
    </xf>
    <xf numFmtId="38" fontId="54" fillId="10" borderId="37" xfId="0" applyNumberFormat="1" applyFont="1" applyFill="1" applyBorder="1" applyAlignment="1" applyProtection="1">
      <alignment horizontal="center" vertical="center"/>
    </xf>
    <xf numFmtId="38" fontId="46" fillId="11" borderId="36" xfId="0" applyNumberFormat="1" applyFont="1" applyFill="1" applyBorder="1" applyAlignment="1" applyProtection="1">
      <alignment horizontal="center" vertical="center"/>
    </xf>
    <xf numFmtId="38" fontId="46" fillId="11" borderId="2" xfId="0" applyNumberFormat="1" applyFont="1" applyFill="1" applyBorder="1" applyAlignment="1" applyProtection="1">
      <alignment horizontal="center" vertical="center"/>
    </xf>
    <xf numFmtId="38" fontId="46" fillId="11" borderId="82" xfId="0" applyNumberFormat="1" applyFont="1" applyFill="1" applyBorder="1" applyAlignment="1" applyProtection="1">
      <alignment horizontal="center" vertical="center"/>
    </xf>
    <xf numFmtId="38" fontId="46" fillId="0" borderId="36" xfId="0" applyNumberFormat="1" applyFont="1" applyFill="1" applyBorder="1" applyAlignment="1" applyProtection="1">
      <alignment horizontal="center" vertical="center"/>
    </xf>
    <xf numFmtId="38" fontId="46" fillId="0" borderId="2" xfId="0" applyNumberFormat="1" applyFont="1" applyFill="1" applyBorder="1" applyAlignment="1" applyProtection="1">
      <alignment horizontal="center" vertical="center"/>
    </xf>
    <xf numFmtId="38" fontId="46" fillId="0" borderId="82" xfId="0" applyNumberFormat="1" applyFont="1" applyFill="1" applyBorder="1" applyAlignment="1" applyProtection="1">
      <alignment horizontal="center" vertical="center"/>
    </xf>
    <xf numFmtId="0" fontId="42" fillId="0" borderId="88" xfId="0" applyFont="1" applyFill="1" applyBorder="1" applyAlignment="1" applyProtection="1">
      <alignment horizontal="center" vertical="center"/>
    </xf>
    <xf numFmtId="0" fontId="42" fillId="0" borderId="89" xfId="0" applyFont="1" applyFill="1" applyBorder="1" applyAlignment="1" applyProtection="1">
      <alignment horizontal="center" vertical="center"/>
    </xf>
    <xf numFmtId="38" fontId="42" fillId="0" borderId="87" xfId="0" applyNumberFormat="1" applyFont="1" applyFill="1" applyBorder="1" applyAlignment="1" applyProtection="1">
      <alignment horizontal="center" vertical="center"/>
    </xf>
    <xf numFmtId="38" fontId="42" fillId="0" borderId="46" xfId="0" applyNumberFormat="1" applyFont="1" applyFill="1" applyBorder="1" applyAlignment="1" applyProtection="1">
      <alignment horizontal="center" vertical="center"/>
    </xf>
    <xf numFmtId="0" fontId="46" fillId="0" borderId="2" xfId="0" applyFont="1" applyFill="1" applyBorder="1" applyAlignment="1" applyProtection="1">
      <alignment horizontal="center" vertical="center"/>
    </xf>
    <xf numFmtId="38" fontId="46" fillId="0" borderId="37" xfId="0" applyNumberFormat="1" applyFont="1" applyFill="1" applyBorder="1" applyAlignment="1" applyProtection="1">
      <alignment horizontal="center" vertical="center"/>
    </xf>
    <xf numFmtId="38" fontId="86" fillId="0" borderId="36" xfId="0" applyNumberFormat="1" applyFont="1" applyFill="1" applyBorder="1" applyAlignment="1" applyProtection="1">
      <alignment horizontal="center" vertical="center"/>
    </xf>
    <xf numFmtId="38" fontId="86" fillId="0" borderId="2" xfId="0" applyNumberFormat="1" applyFont="1" applyFill="1" applyBorder="1" applyAlignment="1" applyProtection="1">
      <alignment horizontal="center" vertical="center"/>
    </xf>
    <xf numFmtId="38" fontId="86" fillId="0" borderId="37" xfId="0" applyNumberFormat="1" applyFont="1" applyFill="1" applyBorder="1" applyAlignment="1" applyProtection="1">
      <alignment horizontal="center" vertical="center"/>
    </xf>
    <xf numFmtId="0" fontId="42" fillId="13" borderId="86" xfId="0" applyFont="1" applyFill="1" applyBorder="1" applyAlignment="1" applyProtection="1">
      <alignment horizontal="left" vertical="top" wrapText="1"/>
    </xf>
    <xf numFmtId="10" fontId="46" fillId="5" borderId="36" xfId="0" applyNumberFormat="1" applyFont="1" applyFill="1" applyBorder="1" applyAlignment="1" applyProtection="1">
      <alignment horizontal="center" vertical="center"/>
    </xf>
    <xf numFmtId="10" fontId="46" fillId="5" borderId="37" xfId="0" applyNumberFormat="1" applyFont="1" applyFill="1" applyBorder="1" applyAlignment="1" applyProtection="1">
      <alignment horizontal="center" vertical="center"/>
    </xf>
    <xf numFmtId="10" fontId="46" fillId="0" borderId="2" xfId="0" applyNumberFormat="1" applyFont="1" applyFill="1" applyBorder="1" applyAlignment="1" applyProtection="1">
      <alignment horizontal="center" vertical="center"/>
    </xf>
    <xf numFmtId="10" fontId="54" fillId="0" borderId="36" xfId="0" applyNumberFormat="1" applyFont="1" applyFill="1" applyBorder="1" applyAlignment="1" applyProtection="1">
      <alignment horizontal="center" vertical="center"/>
    </xf>
    <xf numFmtId="10" fontId="54" fillId="0" borderId="37" xfId="0" applyNumberFormat="1" applyFont="1" applyFill="1" applyBorder="1" applyAlignment="1" applyProtection="1">
      <alignment horizontal="center" vertical="center"/>
    </xf>
    <xf numFmtId="38" fontId="46" fillId="0" borderId="4" xfId="0" applyNumberFormat="1" applyFont="1" applyFill="1" applyBorder="1" applyAlignment="1" applyProtection="1">
      <alignment horizontal="center" vertical="center"/>
    </xf>
    <xf numFmtId="38" fontId="46" fillId="0" borderId="6" xfId="0" applyNumberFormat="1" applyFont="1" applyFill="1" applyBorder="1" applyAlignment="1" applyProtection="1">
      <alignment horizontal="center" vertical="center"/>
    </xf>
    <xf numFmtId="4" fontId="46" fillId="0" borderId="82" xfId="1" applyNumberFormat="1" applyFont="1" applyFill="1" applyBorder="1" applyAlignment="1" applyProtection="1">
      <alignment horizontal="center" vertical="center"/>
    </xf>
    <xf numFmtId="4" fontId="46" fillId="0" borderId="82" xfId="1" applyNumberFormat="1" applyFont="1" applyFill="1" applyBorder="1" applyAlignment="1" applyProtection="1">
      <alignment vertical="center"/>
    </xf>
    <xf numFmtId="4" fontId="46" fillId="0" borderId="79" xfId="1" applyNumberFormat="1" applyFont="1" applyFill="1" applyBorder="1" applyAlignment="1" applyProtection="1">
      <alignment vertical="center"/>
    </xf>
    <xf numFmtId="0" fontId="54" fillId="0" borderId="62" xfId="0" applyFont="1" applyFill="1" applyBorder="1" applyAlignment="1" applyProtection="1">
      <alignment horizontal="center" vertical="center" wrapText="1"/>
    </xf>
    <xf numFmtId="0" fontId="54" fillId="0" borderId="63" xfId="0" applyFont="1" applyFill="1" applyBorder="1" applyAlignment="1" applyProtection="1">
      <alignment horizontal="center" vertical="center" wrapText="1"/>
    </xf>
    <xf numFmtId="0" fontId="54" fillId="0" borderId="45" xfId="0" applyFont="1" applyFill="1" applyBorder="1" applyAlignment="1" applyProtection="1">
      <alignment horizontal="center" vertical="center" wrapText="1"/>
    </xf>
    <xf numFmtId="0" fontId="54" fillId="0" borderId="64" xfId="0" applyFont="1" applyFill="1" applyBorder="1" applyAlignment="1" applyProtection="1">
      <alignment horizontal="center" vertical="center" wrapText="1"/>
    </xf>
    <xf numFmtId="38" fontId="54" fillId="5" borderId="28" xfId="0" applyNumberFormat="1" applyFont="1" applyFill="1" applyBorder="1" applyAlignment="1" applyProtection="1">
      <alignment horizontal="center" vertical="center"/>
    </xf>
    <xf numFmtId="38" fontId="54" fillId="5" borderId="29" xfId="0" applyNumberFormat="1" applyFont="1" applyFill="1" applyBorder="1" applyAlignment="1" applyProtection="1">
      <alignment horizontal="center" vertical="center"/>
    </xf>
    <xf numFmtId="38" fontId="54" fillId="5" borderId="30" xfId="0" applyNumberFormat="1" applyFont="1" applyFill="1" applyBorder="1" applyAlignment="1" applyProtection="1">
      <alignment horizontal="center" vertical="center"/>
    </xf>
    <xf numFmtId="38" fontId="54" fillId="5" borderId="31" xfId="0" applyNumberFormat="1" applyFont="1" applyFill="1" applyBorder="1" applyAlignment="1" applyProtection="1">
      <alignment horizontal="center" vertical="center"/>
    </xf>
    <xf numFmtId="164" fontId="54" fillId="0" borderId="56" xfId="1" applyNumberFormat="1" applyFont="1" applyFill="1" applyBorder="1" applyAlignment="1" applyProtection="1">
      <alignment horizontal="center" vertical="center"/>
    </xf>
    <xf numFmtId="164" fontId="54" fillId="0" borderId="35" xfId="1" applyNumberFormat="1" applyFont="1" applyFill="1" applyBorder="1" applyAlignment="1" applyProtection="1">
      <alignment horizontal="center" vertical="center"/>
    </xf>
    <xf numFmtId="0" fontId="14" fillId="13" borderId="28" xfId="0" applyFont="1" applyFill="1" applyBorder="1" applyAlignment="1" applyProtection="1">
      <alignment horizontal="left" vertical="top" wrapText="1"/>
    </xf>
    <xf numFmtId="0" fontId="46" fillId="5" borderId="13" xfId="0" applyFont="1" applyFill="1" applyBorder="1" applyAlignment="1" applyProtection="1">
      <alignment horizontal="left" vertical="center" wrapText="1"/>
    </xf>
    <xf numFmtId="0" fontId="46" fillId="5" borderId="14" xfId="0" applyFont="1" applyFill="1" applyBorder="1" applyAlignment="1" applyProtection="1">
      <alignment horizontal="left" vertical="center" wrapText="1"/>
    </xf>
    <xf numFmtId="38" fontId="54" fillId="5" borderId="33" xfId="0" applyNumberFormat="1" applyFont="1" applyFill="1" applyBorder="1" applyAlignment="1" applyProtection="1">
      <alignment horizontal="center" vertical="center"/>
    </xf>
    <xf numFmtId="38" fontId="54" fillId="5" borderId="34" xfId="0" applyNumberFormat="1" applyFont="1" applyFill="1" applyBorder="1" applyAlignment="1" applyProtection="1">
      <alignment horizontal="center" vertical="center"/>
    </xf>
    <xf numFmtId="0" fontId="42" fillId="5" borderId="13" xfId="0" applyFont="1" applyFill="1" applyBorder="1" applyAlignment="1" applyProtection="1">
      <alignment horizontal="left" vertical="center" wrapText="1"/>
    </xf>
    <xf numFmtId="0" fontId="42" fillId="5" borderId="14" xfId="0" applyFont="1" applyFill="1" applyBorder="1" applyAlignment="1" applyProtection="1">
      <alignment horizontal="left" vertical="center" wrapText="1"/>
    </xf>
    <xf numFmtId="164" fontId="46" fillId="5" borderId="111" xfId="1" applyNumberFormat="1" applyFont="1" applyFill="1" applyBorder="1" applyAlignment="1" applyProtection="1">
      <alignment horizontal="right" vertical="center"/>
    </xf>
    <xf numFmtId="164" fontId="46" fillId="5" borderId="112" xfId="1" applyNumberFormat="1" applyFont="1" applyFill="1" applyBorder="1" applyAlignment="1" applyProtection="1">
      <alignment horizontal="right" vertical="center"/>
    </xf>
    <xf numFmtId="164" fontId="46" fillId="0" borderId="60" xfId="1" applyNumberFormat="1" applyFont="1" applyFill="1" applyBorder="1" applyAlignment="1" applyProtection="1">
      <alignment horizontal="right" vertical="center"/>
    </xf>
    <xf numFmtId="164" fontId="46" fillId="0" borderId="61" xfId="1" applyNumberFormat="1" applyFont="1" applyFill="1" applyBorder="1" applyAlignment="1" applyProtection="1">
      <alignment horizontal="right" vertical="center"/>
    </xf>
    <xf numFmtId="164" fontId="46" fillId="0" borderId="138" xfId="1" applyNumberFormat="1" applyFont="1" applyFill="1" applyBorder="1" applyAlignment="1" applyProtection="1">
      <alignment horizontal="right" vertical="center"/>
    </xf>
    <xf numFmtId="164" fontId="46" fillId="5" borderId="86" xfId="1" applyNumberFormat="1" applyFont="1" applyFill="1" applyBorder="1" applyAlignment="1" applyProtection="1">
      <alignment horizontal="right" vertical="center"/>
    </xf>
    <xf numFmtId="164" fontId="46" fillId="5" borderId="78" xfId="1" applyNumberFormat="1" applyFont="1" applyFill="1" applyBorder="1" applyAlignment="1" applyProtection="1">
      <alignment horizontal="right" vertical="center"/>
    </xf>
    <xf numFmtId="164" fontId="46" fillId="5" borderId="79" xfId="1" applyNumberFormat="1" applyFont="1" applyFill="1" applyBorder="1" applyAlignment="1" applyProtection="1">
      <alignment horizontal="right" vertical="center"/>
    </xf>
    <xf numFmtId="164" fontId="46" fillId="0" borderId="0" xfId="1" applyNumberFormat="1" applyFont="1" applyFill="1" applyBorder="1" applyAlignment="1" applyProtection="1">
      <alignment horizontal="center" vertical="center"/>
    </xf>
    <xf numFmtId="164" fontId="54" fillId="0" borderId="62" xfId="1" applyNumberFormat="1" applyFont="1" applyFill="1" applyBorder="1" applyAlignment="1" applyProtection="1">
      <alignment horizontal="center" vertical="center" wrapText="1"/>
    </xf>
    <xf numFmtId="164" fontId="54" fillId="0" borderId="63" xfId="1" applyNumberFormat="1" applyFont="1" applyFill="1" applyBorder="1" applyAlignment="1" applyProtection="1">
      <alignment horizontal="center" vertical="center" wrapText="1"/>
    </xf>
    <xf numFmtId="164" fontId="54" fillId="0" borderId="45" xfId="1" applyNumberFormat="1" applyFont="1" applyFill="1" applyBorder="1" applyAlignment="1" applyProtection="1">
      <alignment horizontal="center" vertical="center" wrapText="1"/>
    </xf>
    <xf numFmtId="164" fontId="54" fillId="0" borderId="64" xfId="1" applyNumberFormat="1" applyFont="1" applyFill="1" applyBorder="1" applyAlignment="1" applyProtection="1">
      <alignment horizontal="center" vertical="center" wrapText="1"/>
    </xf>
    <xf numFmtId="0" fontId="54" fillId="0" borderId="56" xfId="0" applyFont="1" applyFill="1" applyBorder="1" applyAlignment="1" applyProtection="1">
      <alignment horizontal="center" vertical="center"/>
    </xf>
    <xf numFmtId="0" fontId="54" fillId="0" borderId="35" xfId="0" applyFont="1" applyFill="1" applyBorder="1" applyAlignment="1" applyProtection="1">
      <alignment horizontal="center" vertical="center"/>
    </xf>
    <xf numFmtId="164" fontId="63" fillId="0" borderId="0" xfId="1" applyNumberFormat="1" applyFont="1" applyFill="1" applyAlignment="1" applyProtection="1">
      <alignment horizontal="center" vertical="center"/>
    </xf>
    <xf numFmtId="164" fontId="63" fillId="0" borderId="8" xfId="1" applyNumberFormat="1" applyFont="1" applyFill="1" applyBorder="1" applyAlignment="1" applyProtection="1">
      <alignment horizontal="center" vertical="center"/>
    </xf>
    <xf numFmtId="0" fontId="42" fillId="5" borderId="20" xfId="0" applyFont="1" applyFill="1" applyBorder="1" applyAlignment="1" applyProtection="1">
      <alignment horizontal="left" vertical="center" wrapText="1"/>
    </xf>
    <xf numFmtId="0" fontId="42" fillId="5" borderId="92" xfId="0" applyFont="1" applyFill="1" applyBorder="1" applyAlignment="1" applyProtection="1">
      <alignment horizontal="left" vertical="center" wrapText="1"/>
    </xf>
    <xf numFmtId="0" fontId="42" fillId="5" borderId="58" xfId="0" applyFont="1" applyFill="1" applyBorder="1" applyAlignment="1" applyProtection="1">
      <alignment horizontal="left" vertical="center" wrapText="1"/>
    </xf>
    <xf numFmtId="0" fontId="42" fillId="5" borderId="34" xfId="0" applyFont="1" applyFill="1" applyBorder="1" applyAlignment="1" applyProtection="1">
      <alignment horizontal="left" vertical="center" wrapText="1"/>
    </xf>
    <xf numFmtId="164" fontId="46" fillId="5" borderId="36" xfId="1" applyNumberFormat="1" applyFont="1" applyFill="1" applyBorder="1" applyAlignment="1" applyProtection="1">
      <alignment horizontal="right" vertical="center"/>
    </xf>
    <xf numFmtId="164" fontId="46" fillId="5" borderId="37" xfId="1" applyNumberFormat="1" applyFont="1" applyFill="1" applyBorder="1" applyAlignment="1" applyProtection="1">
      <alignment horizontal="right" vertical="center"/>
    </xf>
    <xf numFmtId="0" fontId="54" fillId="0" borderId="43" xfId="0" applyFont="1" applyFill="1" applyBorder="1" applyAlignment="1" applyProtection="1">
      <alignment horizontal="center" vertical="center" wrapText="1"/>
    </xf>
    <xf numFmtId="0" fontId="54" fillId="0" borderId="42" xfId="0" applyFont="1" applyFill="1" applyBorder="1" applyAlignment="1" applyProtection="1">
      <alignment horizontal="center" vertical="center" wrapText="1"/>
    </xf>
    <xf numFmtId="0" fontId="14" fillId="0" borderId="13" xfId="0" applyFont="1" applyBorder="1" applyAlignment="1" applyProtection="1">
      <alignment wrapText="1"/>
    </xf>
    <xf numFmtId="0" fontId="14" fillId="0" borderId="14" xfId="0" applyFont="1" applyBorder="1" applyAlignment="1" applyProtection="1">
      <alignment wrapText="1"/>
    </xf>
    <xf numFmtId="0" fontId="105" fillId="0" borderId="104" xfId="0" applyFont="1" applyFill="1" applyBorder="1" applyAlignment="1" applyProtection="1">
      <alignment horizontal="center" vertical="center"/>
    </xf>
    <xf numFmtId="171" fontId="54" fillId="0" borderId="0" xfId="0" applyNumberFormat="1" applyFont="1" applyFill="1" applyBorder="1" applyAlignment="1" applyProtection="1">
      <alignment horizontal="center" vertical="center"/>
    </xf>
    <xf numFmtId="164" fontId="46" fillId="5" borderId="182" xfId="1" applyNumberFormat="1" applyFont="1" applyFill="1" applyBorder="1" applyAlignment="1" applyProtection="1">
      <alignment horizontal="right" vertical="center"/>
    </xf>
    <xf numFmtId="164" fontId="46" fillId="5" borderId="183" xfId="1" applyNumberFormat="1" applyFont="1" applyFill="1" applyBorder="1" applyAlignment="1" applyProtection="1">
      <alignment horizontal="right" vertical="center"/>
    </xf>
    <xf numFmtId="164" fontId="46" fillId="0" borderId="65" xfId="1" applyNumberFormat="1" applyFont="1" applyFill="1" applyBorder="1" applyAlignment="1" applyProtection="1">
      <alignment horizontal="right" vertical="center"/>
    </xf>
    <xf numFmtId="164" fontId="46" fillId="5" borderId="4" xfId="1" applyNumberFormat="1" applyFont="1" applyFill="1" applyBorder="1" applyAlignment="1" applyProtection="1">
      <alignment horizontal="right" vertical="center"/>
    </xf>
    <xf numFmtId="164" fontId="46" fillId="5" borderId="6" xfId="1" applyNumberFormat="1" applyFont="1" applyFill="1" applyBorder="1" applyAlignment="1" applyProtection="1">
      <alignment horizontal="right" vertical="center"/>
    </xf>
    <xf numFmtId="0" fontId="43" fillId="0" borderId="0" xfId="0" applyFont="1" applyFill="1" applyAlignment="1" applyProtection="1">
      <alignment horizontal="center" vertical="center" wrapText="1"/>
    </xf>
    <xf numFmtId="0" fontId="43" fillId="0" borderId="13" xfId="0" applyFont="1" applyFill="1" applyBorder="1" applyAlignment="1" applyProtection="1">
      <alignment horizontal="center" vertical="center" wrapText="1"/>
    </xf>
    <xf numFmtId="38" fontId="43" fillId="0" borderId="84" xfId="0" applyNumberFormat="1" applyFont="1" applyBorder="1" applyAlignment="1" applyProtection="1">
      <alignment horizontal="center" vertical="center"/>
    </xf>
    <xf numFmtId="38" fontId="43" fillId="0" borderId="11" xfId="0" applyNumberFormat="1" applyFont="1" applyBorder="1" applyAlignment="1" applyProtection="1">
      <alignment horizontal="center" vertical="center"/>
    </xf>
    <xf numFmtId="38" fontId="43" fillId="0" borderId="12" xfId="0" applyNumberFormat="1" applyFont="1" applyBorder="1" applyAlignment="1" applyProtection="1">
      <alignment horizontal="center" vertical="center"/>
    </xf>
    <xf numFmtId="0" fontId="55" fillId="8" borderId="7" xfId="0" applyFont="1" applyFill="1" applyBorder="1" applyAlignment="1" applyProtection="1">
      <alignment horizontal="center" vertical="center"/>
    </xf>
    <xf numFmtId="0" fontId="55" fillId="8" borderId="0" xfId="0" applyFont="1" applyFill="1" applyBorder="1" applyAlignment="1" applyProtection="1">
      <alignment horizontal="center" vertical="center"/>
    </xf>
    <xf numFmtId="0" fontId="87" fillId="14" borderId="0" xfId="0" applyFont="1" applyFill="1" applyAlignment="1" applyProtection="1">
      <alignment horizontal="center" vertical="center"/>
    </xf>
    <xf numFmtId="38" fontId="46" fillId="0" borderId="68" xfId="0" applyNumberFormat="1" applyFont="1" applyFill="1" applyBorder="1" applyAlignment="1" applyProtection="1">
      <alignment horizontal="center" vertical="center"/>
    </xf>
    <xf numFmtId="38" fontId="46" fillId="0" borderId="69" xfId="0" applyNumberFormat="1" applyFont="1" applyFill="1" applyBorder="1" applyAlignment="1" applyProtection="1">
      <alignment horizontal="center" vertical="center"/>
    </xf>
    <xf numFmtId="38" fontId="46" fillId="0" borderId="66" xfId="0" applyNumberFormat="1" applyFont="1" applyFill="1" applyBorder="1" applyAlignment="1" applyProtection="1">
      <alignment horizontal="center" vertical="center"/>
    </xf>
    <xf numFmtId="38" fontId="46" fillId="0" borderId="67" xfId="0" applyNumberFormat="1" applyFont="1" applyFill="1" applyBorder="1" applyAlignment="1" applyProtection="1">
      <alignment horizontal="center" vertical="center"/>
    </xf>
    <xf numFmtId="0" fontId="210" fillId="0" borderId="0" xfId="0" applyFont="1" applyBorder="1" applyAlignment="1" applyProtection="1">
      <alignment horizontal="center" wrapText="1"/>
    </xf>
    <xf numFmtId="0" fontId="210" fillId="0" borderId="13" xfId="0" applyFont="1" applyBorder="1" applyAlignment="1" applyProtection="1">
      <alignment horizontal="center" wrapText="1"/>
    </xf>
    <xf numFmtId="0" fontId="43" fillId="0" borderId="0" xfId="0" applyFont="1" applyAlignment="1" applyProtection="1">
      <alignment horizontal="center" wrapText="1"/>
    </xf>
    <xf numFmtId="0" fontId="43" fillId="0" borderId="13" xfId="0" applyFont="1" applyBorder="1" applyAlignment="1" applyProtection="1">
      <alignment horizontal="center" wrapText="1"/>
    </xf>
    <xf numFmtId="164" fontId="114" fillId="0" borderId="7" xfId="1" applyNumberFormat="1" applyFont="1" applyFill="1" applyBorder="1" applyAlignment="1" applyProtection="1">
      <alignment horizontal="center" vertical="top" wrapText="1"/>
    </xf>
    <xf numFmtId="164" fontId="114" fillId="0" borderId="0" xfId="1" applyNumberFormat="1" applyFont="1" applyFill="1" applyAlignment="1" applyProtection="1">
      <alignment horizontal="center" vertical="top" wrapText="1"/>
    </xf>
    <xf numFmtId="164" fontId="114" fillId="0" borderId="8" xfId="1" applyNumberFormat="1" applyFont="1" applyFill="1" applyBorder="1" applyAlignment="1" applyProtection="1">
      <alignment horizontal="center" vertical="top" wrapText="1"/>
    </xf>
    <xf numFmtId="0" fontId="56" fillId="0" borderId="0" xfId="0" applyFont="1" applyFill="1" applyBorder="1" applyAlignment="1" applyProtection="1">
      <alignment horizontal="center" vertical="top" wrapText="1"/>
    </xf>
    <xf numFmtId="0" fontId="80" fillId="0" borderId="77" xfId="0" applyFont="1" applyFill="1" applyBorder="1" applyAlignment="1" applyProtection="1">
      <alignment horizontal="left" vertical="center"/>
    </xf>
    <xf numFmtId="0" fontId="80" fillId="0" borderId="74" xfId="0" applyFont="1" applyFill="1" applyBorder="1" applyAlignment="1" applyProtection="1">
      <alignment horizontal="left" vertical="center"/>
    </xf>
    <xf numFmtId="0" fontId="80" fillId="0" borderId="77" xfId="0" applyFont="1" applyBorder="1" applyAlignment="1" applyProtection="1">
      <alignment horizontal="left" vertical="center"/>
    </xf>
    <xf numFmtId="0" fontId="80" fillId="0" borderId="74" xfId="0" applyFont="1" applyBorder="1" applyAlignment="1" applyProtection="1">
      <alignment horizontal="left" vertical="center"/>
    </xf>
    <xf numFmtId="0" fontId="43" fillId="0" borderId="0" xfId="0" applyFont="1" applyFill="1" applyAlignment="1" applyProtection="1">
      <alignment horizontal="left" vertical="center"/>
    </xf>
    <xf numFmtId="0" fontId="43" fillId="0" borderId="0" xfId="0" applyFont="1" applyFill="1" applyBorder="1" applyAlignment="1" applyProtection="1">
      <alignment horizontal="left" vertical="center"/>
    </xf>
    <xf numFmtId="0" fontId="86" fillId="0" borderId="0" xfId="0" applyFont="1" applyAlignment="1" applyProtection="1">
      <alignment horizontal="center" vertical="center"/>
    </xf>
    <xf numFmtId="3" fontId="46" fillId="0" borderId="78" xfId="1" applyNumberFormat="1" applyFont="1" applyBorder="1" applyAlignment="1" applyProtection="1">
      <alignment horizontal="center" vertical="center"/>
    </xf>
    <xf numFmtId="3" fontId="46" fillId="0" borderId="82" xfId="1" applyNumberFormat="1" applyFont="1" applyBorder="1" applyAlignment="1" applyProtection="1">
      <alignment horizontal="center" vertical="center"/>
    </xf>
    <xf numFmtId="3" fontId="46" fillId="0" borderId="79" xfId="1" applyNumberFormat="1" applyFont="1" applyBorder="1" applyAlignment="1" applyProtection="1">
      <alignment horizontal="center" vertical="center"/>
    </xf>
    <xf numFmtId="0" fontId="42" fillId="0" borderId="43" xfId="1" applyNumberFormat="1" applyFont="1" applyFill="1" applyBorder="1" applyAlignment="1" applyProtection="1">
      <alignment horizontal="left" vertical="top" wrapText="1"/>
    </xf>
    <xf numFmtId="0" fontId="42" fillId="0" borderId="19" xfId="1" applyNumberFormat="1" applyFont="1" applyFill="1" applyBorder="1" applyAlignment="1" applyProtection="1">
      <alignment horizontal="left" vertical="top" wrapText="1"/>
    </xf>
    <xf numFmtId="0" fontId="42" fillId="0" borderId="39" xfId="1" applyNumberFormat="1" applyFont="1" applyFill="1" applyBorder="1" applyAlignment="1" applyProtection="1">
      <alignment horizontal="left" vertical="top" wrapText="1"/>
    </xf>
    <xf numFmtId="0" fontId="42" fillId="0" borderId="42" xfId="1" applyNumberFormat="1" applyFont="1" applyFill="1" applyBorder="1" applyAlignment="1" applyProtection="1">
      <alignment horizontal="left" vertical="top" wrapText="1"/>
    </xf>
    <xf numFmtId="0" fontId="42" fillId="0" borderId="20" xfId="1" applyNumberFormat="1" applyFont="1" applyFill="1" applyBorder="1" applyAlignment="1" applyProtection="1">
      <alignment horizontal="left" vertical="top" wrapText="1"/>
    </xf>
    <xf numFmtId="0" fontId="42" fillId="0" borderId="59" xfId="1" applyNumberFormat="1" applyFont="1" applyFill="1" applyBorder="1" applyAlignment="1" applyProtection="1">
      <alignment horizontal="left" vertical="top" wrapText="1"/>
    </xf>
    <xf numFmtId="0" fontId="43" fillId="5" borderId="84" xfId="1" applyNumberFormat="1" applyFont="1" applyFill="1" applyBorder="1" applyAlignment="1" applyProtection="1">
      <alignment horizontal="left" vertical="top" wrapText="1"/>
    </xf>
    <xf numFmtId="0" fontId="43" fillId="5" borderId="11" xfId="1" applyNumberFormat="1" applyFont="1" applyFill="1" applyBorder="1" applyAlignment="1" applyProtection="1">
      <alignment horizontal="left" vertical="top" wrapText="1"/>
    </xf>
    <xf numFmtId="0" fontId="43" fillId="5" borderId="12" xfId="1" applyNumberFormat="1" applyFont="1" applyFill="1" applyBorder="1" applyAlignment="1" applyProtection="1">
      <alignment horizontal="left" vertical="top" wrapText="1"/>
    </xf>
    <xf numFmtId="0" fontId="43" fillId="5" borderId="16" xfId="1" applyNumberFormat="1" applyFont="1" applyFill="1" applyBorder="1" applyAlignment="1" applyProtection="1">
      <alignment horizontal="left" vertical="top" wrapText="1"/>
    </xf>
    <xf numFmtId="0" fontId="43" fillId="5" borderId="17" xfId="1" applyNumberFormat="1" applyFont="1" applyFill="1" applyBorder="1" applyAlignment="1" applyProtection="1">
      <alignment horizontal="left" vertical="top" wrapText="1"/>
    </xf>
    <xf numFmtId="0" fontId="43" fillId="5" borderId="18" xfId="1" applyNumberFormat="1" applyFont="1" applyFill="1" applyBorder="1" applyAlignment="1" applyProtection="1">
      <alignment horizontal="left" vertical="top" wrapText="1"/>
    </xf>
    <xf numFmtId="0" fontId="43" fillId="5" borderId="10" xfId="1" applyNumberFormat="1" applyFont="1" applyFill="1" applyBorder="1" applyAlignment="1" applyProtection="1">
      <alignment horizontal="left" vertical="top" wrapText="1"/>
    </xf>
    <xf numFmtId="0" fontId="42" fillId="0" borderId="93" xfId="1" applyNumberFormat="1" applyFont="1" applyFill="1" applyBorder="1" applyAlignment="1" applyProtection="1">
      <alignment horizontal="left" vertical="top" wrapText="1"/>
    </xf>
    <xf numFmtId="0" fontId="42" fillId="0" borderId="58" xfId="1" applyNumberFormat="1" applyFont="1" applyFill="1" applyBorder="1" applyAlignment="1" applyProtection="1">
      <alignment horizontal="left" vertical="top" wrapText="1"/>
    </xf>
    <xf numFmtId="0" fontId="42" fillId="0" borderId="76" xfId="1" applyNumberFormat="1" applyFont="1" applyFill="1" applyBorder="1" applyAlignment="1" applyProtection="1">
      <alignment horizontal="left" vertical="top" wrapText="1"/>
    </xf>
    <xf numFmtId="0" fontId="167" fillId="8" borderId="7" xfId="13" applyFont="1" applyFill="1" applyBorder="1" applyAlignment="1" applyProtection="1">
      <alignment horizontal="center" vertical="center"/>
    </xf>
    <xf numFmtId="0" fontId="167" fillId="8" borderId="0" xfId="13" applyFont="1" applyFill="1" applyBorder="1" applyAlignment="1" applyProtection="1">
      <alignment horizontal="center" vertical="center"/>
    </xf>
    <xf numFmtId="0" fontId="10" fillId="13" borderId="78" xfId="13" applyFont="1" applyFill="1" applyBorder="1" applyAlignment="1" applyProtection="1">
      <alignment horizontal="justify" vertical="top" wrapText="1"/>
    </xf>
    <xf numFmtId="0" fontId="10" fillId="13" borderId="82" xfId="13" applyFont="1" applyFill="1" applyBorder="1" applyAlignment="1" applyProtection="1">
      <alignment horizontal="justify" vertical="top" wrapText="1"/>
    </xf>
    <xf numFmtId="0" fontId="10" fillId="13" borderId="79" xfId="13" applyFont="1" applyFill="1" applyBorder="1" applyAlignment="1" applyProtection="1">
      <alignment horizontal="justify" vertical="top" wrapText="1"/>
    </xf>
    <xf numFmtId="0" fontId="9" fillId="0" borderId="0" xfId="13" applyFont="1" applyFill="1" applyAlignment="1" applyProtection="1">
      <alignment horizontal="left" vertical="top" wrapText="1"/>
    </xf>
    <xf numFmtId="0" fontId="86" fillId="20" borderId="62" xfId="0" applyFont="1" applyFill="1" applyBorder="1" applyAlignment="1" applyProtection="1">
      <alignment horizontal="left" vertical="center" wrapText="1"/>
    </xf>
    <xf numFmtId="0" fontId="86" fillId="20" borderId="70" xfId="0" applyFont="1" applyFill="1" applyBorder="1" applyAlignment="1" applyProtection="1">
      <alignment horizontal="left" vertical="center" wrapText="1"/>
    </xf>
    <xf numFmtId="0" fontId="86" fillId="20" borderId="63" xfId="0" applyFont="1" applyFill="1" applyBorder="1" applyAlignment="1" applyProtection="1">
      <alignment horizontal="left" vertical="center" wrapText="1"/>
    </xf>
    <xf numFmtId="0" fontId="86" fillId="20" borderId="44" xfId="0" applyFont="1" applyFill="1" applyBorder="1" applyAlignment="1" applyProtection="1">
      <alignment horizontal="left" vertical="center" wrapText="1"/>
    </xf>
    <xf numFmtId="0" fontId="86" fillId="20" borderId="0" xfId="0" applyFont="1" applyFill="1" applyBorder="1" applyAlignment="1" applyProtection="1">
      <alignment horizontal="left" vertical="center" wrapText="1"/>
    </xf>
    <xf numFmtId="0" fontId="86" fillId="20" borderId="47" xfId="0" applyFont="1" applyFill="1" applyBorder="1" applyAlignment="1" applyProtection="1">
      <alignment horizontal="left" vertical="center" wrapText="1"/>
    </xf>
    <xf numFmtId="0" fontId="86" fillId="20" borderId="45" xfId="0" applyFont="1" applyFill="1" applyBorder="1" applyAlignment="1" applyProtection="1">
      <alignment horizontal="left" vertical="center" wrapText="1"/>
    </xf>
    <xf numFmtId="0" fontId="86" fillId="20" borderId="83" xfId="0" applyFont="1" applyFill="1" applyBorder="1" applyAlignment="1" applyProtection="1">
      <alignment horizontal="left" vertical="center" wrapText="1"/>
    </xf>
    <xf numFmtId="0" fontId="86" fillId="20" borderId="64" xfId="0" applyFont="1" applyFill="1" applyBorder="1" applyAlignment="1" applyProtection="1">
      <alignment horizontal="left" vertical="center" wrapText="1"/>
    </xf>
    <xf numFmtId="0" fontId="141" fillId="0" borderId="0" xfId="0" applyFont="1" applyFill="1" applyAlignment="1" applyProtection="1">
      <alignment horizontal="center" vertical="center" wrapText="1"/>
    </xf>
    <xf numFmtId="0" fontId="14" fillId="5" borderId="36" xfId="0" applyFont="1" applyFill="1" applyBorder="1" applyAlignment="1" applyProtection="1">
      <alignment horizontal="left" vertical="top" wrapText="1"/>
    </xf>
    <xf numFmtId="0" fontId="14" fillId="5" borderId="2" xfId="0" applyFont="1" applyFill="1" applyBorder="1" applyAlignment="1" applyProtection="1">
      <alignment horizontal="left" vertical="top" wrapText="1"/>
    </xf>
    <xf numFmtId="0" fontId="14" fillId="5" borderId="37" xfId="0" applyFont="1" applyFill="1" applyBorder="1" applyAlignment="1" applyProtection="1">
      <alignment horizontal="left" vertical="top" wrapText="1"/>
    </xf>
    <xf numFmtId="0" fontId="14" fillId="13" borderId="36" xfId="0" applyFont="1" applyFill="1" applyBorder="1" applyAlignment="1" applyProtection="1">
      <alignment horizontal="left" vertical="top" wrapText="1"/>
    </xf>
    <xf numFmtId="0" fontId="14" fillId="13" borderId="2" xfId="0" applyFont="1" applyFill="1" applyBorder="1" applyAlignment="1" applyProtection="1">
      <alignment horizontal="left" vertical="top" wrapText="1"/>
    </xf>
    <xf numFmtId="0" fontId="14" fillId="13" borderId="37" xfId="0" applyFont="1" applyFill="1" applyBorder="1" applyAlignment="1" applyProtection="1">
      <alignment horizontal="left" vertical="top" wrapText="1"/>
    </xf>
    <xf numFmtId="0" fontId="9" fillId="0" borderId="0" xfId="0" applyFont="1" applyAlignment="1" applyProtection="1">
      <alignment horizontal="center"/>
    </xf>
    <xf numFmtId="0" fontId="9" fillId="0" borderId="0" xfId="0" applyFont="1" applyBorder="1" applyAlignment="1" applyProtection="1">
      <alignment horizontal="center"/>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5" fillId="10" borderId="78" xfId="0" applyFont="1" applyFill="1" applyBorder="1" applyAlignment="1" applyProtection="1">
      <alignment horizontal="left" vertical="center"/>
    </xf>
    <xf numFmtId="0" fontId="5" fillId="10" borderId="82" xfId="0" applyFont="1" applyFill="1" applyBorder="1" applyAlignment="1" applyProtection="1">
      <alignment horizontal="left" vertical="center"/>
    </xf>
    <xf numFmtId="0" fontId="5" fillId="10" borderId="79" xfId="0" applyFont="1" applyFill="1" applyBorder="1" applyAlignment="1" applyProtection="1">
      <alignment horizontal="left" vertical="center"/>
    </xf>
    <xf numFmtId="0" fontId="4" fillId="5" borderId="36" xfId="0" applyFont="1" applyFill="1" applyBorder="1" applyAlignment="1" applyProtection="1">
      <alignment horizontal="left" vertical="center" wrapText="1"/>
    </xf>
    <xf numFmtId="0" fontId="13" fillId="5" borderId="2" xfId="0" applyFont="1" applyFill="1" applyBorder="1" applyAlignment="1" applyProtection="1">
      <alignment horizontal="left" vertical="center" wrapText="1"/>
    </xf>
    <xf numFmtId="0" fontId="13" fillId="5" borderId="37" xfId="0" applyFont="1" applyFill="1" applyBorder="1" applyAlignment="1" applyProtection="1">
      <alignment horizontal="left" vertical="center" wrapText="1"/>
    </xf>
    <xf numFmtId="174" fontId="13" fillId="5" borderId="36" xfId="0" applyNumberFormat="1" applyFont="1" applyFill="1" applyBorder="1" applyAlignment="1" applyProtection="1">
      <alignment horizontal="left" vertical="center"/>
    </xf>
    <xf numFmtId="174" fontId="13" fillId="5" borderId="37" xfId="0" applyNumberFormat="1" applyFont="1" applyFill="1" applyBorder="1" applyAlignment="1" applyProtection="1">
      <alignment horizontal="left" vertical="center"/>
    </xf>
    <xf numFmtId="0" fontId="13" fillId="5" borderId="36"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0" fillId="8" borderId="7" xfId="0" applyFont="1" applyFill="1" applyBorder="1" applyAlignment="1" applyProtection="1">
      <alignment horizontal="center" vertical="center"/>
    </xf>
    <xf numFmtId="0" fontId="30" fillId="8" borderId="0" xfId="0" applyFont="1" applyFill="1" applyBorder="1" applyAlignment="1" applyProtection="1">
      <alignment horizontal="center" vertical="center"/>
    </xf>
    <xf numFmtId="174" fontId="4" fillId="5" borderId="36" xfId="0" applyNumberFormat="1" applyFont="1" applyFill="1" applyBorder="1" applyAlignment="1" applyProtection="1">
      <alignment horizontal="left" vertical="center"/>
    </xf>
    <xf numFmtId="49" fontId="99" fillId="20" borderId="0" xfId="0" applyNumberFormat="1" applyFont="1" applyFill="1" applyBorder="1" applyAlignment="1" applyProtection="1">
      <alignment horizontal="center"/>
    </xf>
    <xf numFmtId="0" fontId="30" fillId="8" borderId="78" xfId="0" applyFont="1" applyFill="1" applyBorder="1" applyAlignment="1" applyProtection="1">
      <alignment horizontal="center" vertical="center"/>
    </xf>
    <xf numFmtId="0" fontId="30" fillId="8" borderId="82" xfId="0" applyFont="1" applyFill="1" applyBorder="1" applyAlignment="1" applyProtection="1">
      <alignment horizontal="center" vertical="center"/>
    </xf>
    <xf numFmtId="0" fontId="30" fillId="8" borderId="79" xfId="0" applyFont="1" applyFill="1" applyBorder="1" applyAlignment="1" applyProtection="1">
      <alignment horizontal="center" vertical="center"/>
    </xf>
    <xf numFmtId="0" fontId="66" fillId="0" borderId="7" xfId="24" applyFont="1" applyBorder="1" applyAlignment="1" applyProtection="1">
      <alignment horizontal="center" vertical="top"/>
    </xf>
    <xf numFmtId="0" fontId="66" fillId="0" borderId="0" xfId="24" applyFont="1" applyAlignment="1" applyProtection="1">
      <alignment horizontal="center" vertical="top"/>
    </xf>
    <xf numFmtId="0" fontId="4" fillId="13" borderId="30" xfId="0" applyFont="1" applyFill="1" applyBorder="1" applyAlignment="1" applyProtection="1">
      <alignment horizontal="left" vertical="top" wrapText="1"/>
    </xf>
    <xf numFmtId="0" fontId="4" fillId="13" borderId="21" xfId="0" applyFont="1" applyFill="1" applyBorder="1" applyAlignment="1" applyProtection="1">
      <alignment horizontal="left" vertical="top" wrapText="1"/>
    </xf>
    <xf numFmtId="0" fontId="4" fillId="13" borderId="31" xfId="0" applyFont="1" applyFill="1" applyBorder="1" applyAlignment="1" applyProtection="1">
      <alignment horizontal="left" vertical="top" wrapText="1"/>
    </xf>
    <xf numFmtId="3" fontId="80" fillId="0" borderId="0" xfId="0" applyNumberFormat="1" applyFont="1" applyFill="1" applyBorder="1" applyAlignment="1" applyProtection="1">
      <alignment horizontal="left" vertical="top"/>
    </xf>
    <xf numFmtId="0" fontId="176" fillId="0" borderId="0" xfId="0" applyFont="1" applyFill="1" applyAlignment="1" applyProtection="1">
      <alignment horizontal="right"/>
    </xf>
    <xf numFmtId="0" fontId="4" fillId="0" borderId="0" xfId="0" applyFont="1" applyFill="1" applyAlignment="1" applyProtection="1">
      <alignment horizontal="left" vertical="top" wrapText="1"/>
    </xf>
    <xf numFmtId="0" fontId="4" fillId="13" borderId="33" xfId="0" applyFont="1" applyFill="1" applyBorder="1" applyAlignment="1" applyProtection="1">
      <alignment horizontal="left" vertical="top" wrapText="1"/>
    </xf>
    <xf numFmtId="0" fontId="4" fillId="13" borderId="58" xfId="0" applyFont="1" applyFill="1" applyBorder="1" applyAlignment="1" applyProtection="1">
      <alignment horizontal="left" vertical="top" wrapText="1"/>
    </xf>
    <xf numFmtId="0" fontId="4" fillId="13" borderId="34" xfId="0" applyFont="1" applyFill="1" applyBorder="1" applyAlignment="1" applyProtection="1">
      <alignment horizontal="left" vertical="top" wrapText="1"/>
    </xf>
    <xf numFmtId="38" fontId="181" fillId="0" borderId="56" xfId="0" applyNumberFormat="1" applyFont="1" applyFill="1" applyBorder="1" applyAlignment="1" applyProtection="1">
      <alignment horizontal="center" vertical="center"/>
    </xf>
    <xf numFmtId="38" fontId="181" fillId="0" borderId="1" xfId="0" applyNumberFormat="1" applyFont="1" applyFill="1" applyBorder="1" applyAlignment="1" applyProtection="1">
      <alignment horizontal="center" vertical="center"/>
    </xf>
    <xf numFmtId="38" fontId="181" fillId="0" borderId="35" xfId="0" applyNumberFormat="1" applyFont="1" applyFill="1" applyBorder="1" applyAlignment="1" applyProtection="1">
      <alignment horizontal="center" vertical="center"/>
    </xf>
    <xf numFmtId="164" fontId="194" fillId="0" borderId="85" xfId="1" applyNumberFormat="1" applyFont="1" applyFill="1" applyBorder="1" applyAlignment="1" applyProtection="1">
      <alignment horizontal="right" vertical="center" wrapText="1"/>
    </xf>
    <xf numFmtId="164" fontId="194" fillId="0" borderId="0" xfId="1" applyNumberFormat="1" applyFont="1" applyFill="1" applyBorder="1" applyAlignment="1" applyProtection="1">
      <alignment horizontal="right" vertical="center" wrapText="1"/>
    </xf>
    <xf numFmtId="0" fontId="4" fillId="13" borderId="131" xfId="0" applyFont="1" applyFill="1" applyBorder="1" applyAlignment="1" applyProtection="1">
      <alignment horizontal="left" vertical="top" wrapText="1"/>
    </xf>
    <xf numFmtId="0" fontId="4" fillId="13" borderId="132" xfId="0" applyFont="1" applyFill="1" applyBorder="1" applyAlignment="1" applyProtection="1">
      <alignment horizontal="left" vertical="top" wrapText="1"/>
    </xf>
    <xf numFmtId="0" fontId="4" fillId="13" borderId="133" xfId="0" applyFont="1" applyFill="1" applyBorder="1" applyAlignment="1" applyProtection="1">
      <alignment horizontal="left" vertical="top" wrapText="1"/>
    </xf>
    <xf numFmtId="0" fontId="36" fillId="0" borderId="0" xfId="0" applyFont="1" applyFill="1" applyAlignment="1" applyProtection="1">
      <alignment horizontal="left" vertical="top" wrapText="1"/>
    </xf>
    <xf numFmtId="0" fontId="4" fillId="13" borderId="78"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4" fillId="13" borderId="28" xfId="0" applyFont="1" applyFill="1" applyBorder="1" applyAlignment="1" applyProtection="1">
      <alignment horizontal="left" vertical="top" wrapText="1"/>
    </xf>
    <xf numFmtId="0" fontId="4" fillId="13" borderId="57" xfId="0" applyFont="1" applyFill="1" applyBorder="1" applyAlignment="1" applyProtection="1">
      <alignment horizontal="left" vertical="top" wrapText="1"/>
    </xf>
    <xf numFmtId="0" fontId="4" fillId="13" borderId="29" xfId="0" applyFont="1" applyFill="1" applyBorder="1" applyAlignment="1" applyProtection="1">
      <alignment horizontal="left" vertical="top" wrapText="1"/>
    </xf>
    <xf numFmtId="0" fontId="9" fillId="0" borderId="0" xfId="0" applyFont="1" applyFill="1" applyAlignment="1" applyProtection="1">
      <alignment horizontal="left" vertical="center"/>
    </xf>
    <xf numFmtId="0" fontId="41" fillId="0" borderId="7" xfId="0" applyFont="1" applyFill="1" applyBorder="1" applyAlignment="1" applyProtection="1">
      <alignment horizontal="center" vertical="center" wrapText="1"/>
    </xf>
    <xf numFmtId="3" fontId="13" fillId="0" borderId="60" xfId="0" applyNumberFormat="1" applyFont="1" applyFill="1" applyBorder="1" applyAlignment="1" applyProtection="1">
      <alignment horizontal="right" vertical="center"/>
    </xf>
    <xf numFmtId="3" fontId="13" fillId="0" borderId="138" xfId="0" applyNumberFormat="1" applyFont="1" applyFill="1" applyBorder="1" applyAlignment="1" applyProtection="1">
      <alignment horizontal="right" vertical="center"/>
    </xf>
    <xf numFmtId="38" fontId="13" fillId="0" borderId="9" xfId="1" applyNumberFormat="1" applyFont="1" applyFill="1" applyBorder="1" applyAlignment="1" applyProtection="1">
      <alignment horizontal="right" vertical="center"/>
    </xf>
    <xf numFmtId="38" fontId="13" fillId="0" borderId="14" xfId="1" applyNumberFormat="1" applyFont="1" applyFill="1" applyBorder="1" applyAlignment="1" applyProtection="1">
      <alignment horizontal="right" vertical="center"/>
    </xf>
    <xf numFmtId="0" fontId="106" fillId="0" borderId="0" xfId="0" applyFont="1" applyFill="1" applyBorder="1" applyAlignment="1" applyProtection="1">
      <alignment horizontal="center" vertical="center" wrapText="1"/>
    </xf>
    <xf numFmtId="0" fontId="106" fillId="0" borderId="41" xfId="0" applyFont="1" applyFill="1" applyBorder="1" applyAlignment="1" applyProtection="1">
      <alignment horizontal="center" vertical="center" wrapText="1"/>
    </xf>
    <xf numFmtId="1" fontId="172" fillId="0" borderId="40" xfId="0" applyNumberFormat="1" applyFont="1" applyFill="1" applyBorder="1" applyAlignment="1" applyProtection="1">
      <alignment horizontal="center"/>
    </xf>
    <xf numFmtId="1" fontId="172" fillId="0" borderId="0" xfId="0" applyNumberFormat="1" applyFont="1" applyFill="1" applyBorder="1" applyAlignment="1" applyProtection="1">
      <alignment horizontal="center"/>
    </xf>
    <xf numFmtId="1" fontId="172" fillId="0" borderId="41" xfId="0" applyNumberFormat="1" applyFont="1" applyFill="1" applyBorder="1" applyAlignment="1" applyProtection="1">
      <alignment horizontal="center"/>
    </xf>
    <xf numFmtId="38" fontId="13" fillId="5" borderId="111" xfId="1" applyNumberFormat="1" applyFont="1" applyFill="1" applyBorder="1" applyAlignment="1" applyProtection="1">
      <alignment horizontal="right" vertical="center"/>
    </xf>
    <xf numFmtId="38" fontId="13" fillId="5" borderId="112" xfId="1" applyNumberFormat="1" applyFont="1" applyFill="1" applyBorder="1" applyAlignment="1" applyProtection="1">
      <alignment horizontal="right" vertical="center"/>
    </xf>
    <xf numFmtId="38" fontId="13" fillId="0" borderId="60" xfId="1" applyNumberFormat="1" applyFont="1" applyFill="1" applyBorder="1" applyAlignment="1" applyProtection="1">
      <alignment horizontal="right" vertical="center"/>
    </xf>
    <xf numFmtId="38" fontId="13" fillId="0" borderId="61" xfId="1" applyNumberFormat="1" applyFont="1" applyFill="1" applyBorder="1" applyAlignment="1" applyProtection="1">
      <alignment horizontal="right" vertical="center"/>
    </xf>
    <xf numFmtId="38" fontId="13" fillId="5" borderId="28" xfId="1" applyNumberFormat="1" applyFont="1" applyFill="1" applyBorder="1" applyAlignment="1" applyProtection="1">
      <alignment vertical="center"/>
    </xf>
    <xf numFmtId="38" fontId="13" fillId="5" borderId="29" xfId="1" applyNumberFormat="1" applyFont="1" applyFill="1" applyBorder="1" applyAlignment="1" applyProtection="1">
      <alignment vertical="center"/>
    </xf>
    <xf numFmtId="3" fontId="13" fillId="5" borderId="28" xfId="0" applyNumberFormat="1" applyFont="1" applyFill="1" applyBorder="1" applyAlignment="1" applyProtection="1">
      <alignment horizontal="right" vertical="center"/>
    </xf>
    <xf numFmtId="3" fontId="13" fillId="5" borderId="29" xfId="0" applyNumberFormat="1" applyFont="1" applyFill="1" applyBorder="1" applyAlignment="1" applyProtection="1">
      <alignment horizontal="right" vertical="center"/>
    </xf>
    <xf numFmtId="38" fontId="13" fillId="5" borderId="30" xfId="1" applyNumberFormat="1" applyFont="1" applyFill="1" applyBorder="1" applyAlignment="1" applyProtection="1">
      <alignment vertical="center"/>
    </xf>
    <xf numFmtId="38" fontId="13" fillId="5" borderId="31" xfId="1" applyNumberFormat="1" applyFont="1" applyFill="1" applyBorder="1" applyAlignment="1" applyProtection="1">
      <alignment vertical="center"/>
    </xf>
    <xf numFmtId="3" fontId="13" fillId="5" borderId="30" xfId="0" applyNumberFormat="1" applyFont="1" applyFill="1" applyBorder="1" applyAlignment="1" applyProtection="1">
      <alignment horizontal="right" vertical="center"/>
    </xf>
    <xf numFmtId="3" fontId="13" fillId="5" borderId="31" xfId="0" applyNumberFormat="1" applyFont="1" applyFill="1" applyBorder="1" applyAlignment="1" applyProtection="1">
      <alignment horizontal="right" vertical="center"/>
    </xf>
    <xf numFmtId="38" fontId="13" fillId="5" borderId="30" xfId="1" applyNumberFormat="1" applyFont="1" applyFill="1" applyBorder="1" applyAlignment="1" applyProtection="1">
      <alignment horizontal="right" vertical="center"/>
    </xf>
    <xf numFmtId="38" fontId="13" fillId="5" borderId="31" xfId="1" applyNumberFormat="1" applyFont="1" applyFill="1" applyBorder="1" applyAlignment="1" applyProtection="1">
      <alignment horizontal="right" vertical="center"/>
    </xf>
    <xf numFmtId="3" fontId="13" fillId="5" borderId="111" xfId="0" applyNumberFormat="1" applyFont="1" applyFill="1" applyBorder="1" applyAlignment="1" applyProtection="1">
      <alignment horizontal="right" vertical="center"/>
    </xf>
    <xf numFmtId="3" fontId="13" fillId="5" borderId="112" xfId="0" applyNumberFormat="1" applyFont="1" applyFill="1" applyBorder="1" applyAlignment="1" applyProtection="1">
      <alignment horizontal="right" vertical="center"/>
    </xf>
    <xf numFmtId="0" fontId="14" fillId="5" borderId="36" xfId="0" applyFont="1" applyFill="1" applyBorder="1" applyAlignment="1" applyProtection="1">
      <alignment horizontal="left" vertical="center"/>
    </xf>
    <xf numFmtId="0" fontId="14" fillId="5" borderId="2" xfId="0" applyFont="1" applyFill="1" applyBorder="1" applyAlignment="1" applyProtection="1">
      <alignment horizontal="left" vertical="center"/>
    </xf>
    <xf numFmtId="0" fontId="14" fillId="5" borderId="37" xfId="0" applyFont="1" applyFill="1" applyBorder="1" applyAlignment="1" applyProtection="1">
      <alignment horizontal="left" vertical="center"/>
    </xf>
    <xf numFmtId="38" fontId="13" fillId="5" borderId="28" xfId="1" applyNumberFormat="1" applyFont="1" applyFill="1" applyBorder="1" applyAlignment="1" applyProtection="1">
      <alignment horizontal="right" vertical="center"/>
    </xf>
    <xf numFmtId="38" fontId="13" fillId="5" borderId="29" xfId="1"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0" fontId="5" fillId="5" borderId="36"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7" xfId="0" applyFont="1" applyFill="1" applyBorder="1" applyAlignment="1" applyProtection="1">
      <alignment horizontal="left" vertical="center"/>
    </xf>
    <xf numFmtId="3" fontId="13" fillId="0" borderId="61" xfId="0" applyNumberFormat="1" applyFont="1" applyFill="1" applyBorder="1" applyAlignment="1" applyProtection="1">
      <alignment horizontal="right" vertical="center"/>
    </xf>
    <xf numFmtId="38" fontId="5" fillId="5" borderId="78" xfId="0" applyNumberFormat="1" applyFont="1" applyFill="1" applyBorder="1" applyAlignment="1" applyProtection="1">
      <alignment horizontal="left" vertical="center" wrapText="1"/>
    </xf>
    <xf numFmtId="38" fontId="5" fillId="5" borderId="82" xfId="0" applyNumberFormat="1" applyFont="1" applyFill="1" applyBorder="1" applyAlignment="1" applyProtection="1">
      <alignment horizontal="left" vertical="center" wrapText="1"/>
    </xf>
    <xf numFmtId="38" fontId="5" fillId="5" borderId="79" xfId="0" applyNumberFormat="1" applyFont="1" applyFill="1" applyBorder="1" applyAlignment="1" applyProtection="1">
      <alignment horizontal="left" vertical="center" wrapText="1"/>
    </xf>
    <xf numFmtId="3" fontId="13" fillId="5" borderId="26" xfId="0" applyNumberFormat="1" applyFont="1" applyFill="1" applyBorder="1" applyAlignment="1" applyProtection="1">
      <alignment horizontal="right" vertical="center"/>
    </xf>
    <xf numFmtId="3" fontId="13" fillId="5" borderId="32" xfId="0" applyNumberFormat="1" applyFont="1" applyFill="1" applyBorder="1" applyAlignment="1" applyProtection="1">
      <alignment horizontal="right" vertical="center"/>
    </xf>
    <xf numFmtId="0" fontId="97" fillId="0" borderId="0" xfId="0" applyFont="1" applyFill="1" applyAlignment="1" applyProtection="1">
      <alignment horizontal="center" wrapText="1"/>
    </xf>
    <xf numFmtId="0" fontId="14" fillId="0" borderId="0" xfId="0" applyFont="1" applyFill="1" applyBorder="1" applyAlignment="1" applyProtection="1">
      <alignment horizontal="left" vertical="top" wrapText="1"/>
    </xf>
    <xf numFmtId="0" fontId="11" fillId="0" borderId="0" xfId="0" applyFont="1" applyFill="1" applyAlignment="1" applyProtection="1">
      <alignment horizontal="center" wrapText="1"/>
    </xf>
    <xf numFmtId="0" fontId="11" fillId="0" borderId="13" xfId="0" applyFont="1" applyFill="1" applyBorder="1" applyAlignment="1" applyProtection="1">
      <alignment horizontal="center" wrapText="1"/>
    </xf>
    <xf numFmtId="0" fontId="4" fillId="0" borderId="19" xfId="0" applyFont="1" applyFill="1" applyBorder="1" applyAlignment="1" applyProtection="1">
      <alignment horizontal="left" vertical="top" wrapText="1"/>
    </xf>
    <xf numFmtId="0" fontId="4" fillId="0" borderId="0" xfId="0" applyFont="1" applyFill="1" applyBorder="1" applyAlignment="1" applyProtection="1">
      <alignment horizontal="left" vertical="top" wrapText="1"/>
    </xf>
    <xf numFmtId="164" fontId="14" fillId="11" borderId="78" xfId="0" applyNumberFormat="1" applyFont="1" applyFill="1" applyBorder="1" applyAlignment="1" applyProtection="1">
      <alignment horizontal="center" vertical="center"/>
    </xf>
    <xf numFmtId="164" fontId="14" fillId="11" borderId="82" xfId="0" applyNumberFormat="1" applyFont="1" applyFill="1" applyBorder="1" applyAlignment="1" applyProtection="1">
      <alignment horizontal="center" vertical="center"/>
    </xf>
    <xf numFmtId="164" fontId="14" fillId="11" borderId="79"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top" wrapText="1"/>
    </xf>
    <xf numFmtId="0" fontId="194" fillId="0" borderId="80" xfId="0" applyFont="1" applyFill="1" applyBorder="1" applyAlignment="1" applyProtection="1">
      <alignment horizontal="center" vertical="center"/>
    </xf>
    <xf numFmtId="0" fontId="194" fillId="0" borderId="81" xfId="0" applyFont="1" applyFill="1" applyBorder="1" applyAlignment="1" applyProtection="1">
      <alignment horizontal="center" vertical="center"/>
    </xf>
    <xf numFmtId="2" fontId="176" fillId="0" borderId="9" xfId="0" applyNumberFormat="1" applyFont="1" applyFill="1" applyBorder="1" applyAlignment="1" applyProtection="1">
      <alignment horizontal="center" vertical="top"/>
    </xf>
    <xf numFmtId="2" fontId="176" fillId="0" borderId="14" xfId="0" applyNumberFormat="1" applyFont="1" applyFill="1" applyBorder="1" applyAlignment="1" applyProtection="1">
      <alignment horizontal="center" vertical="top"/>
    </xf>
    <xf numFmtId="0" fontId="9" fillId="0" borderId="0" xfId="0" applyFont="1" applyFill="1" applyAlignment="1" applyProtection="1">
      <alignment horizontal="center" vertical="center"/>
    </xf>
    <xf numFmtId="0" fontId="11" fillId="0" borderId="77" xfId="0" applyFont="1" applyFill="1" applyBorder="1" applyAlignment="1" applyProtection="1">
      <alignment horizontal="center" vertical="center"/>
    </xf>
    <xf numFmtId="0" fontId="11" fillId="0" borderId="74" xfId="0" applyFont="1" applyFill="1" applyBorder="1" applyAlignment="1" applyProtection="1">
      <alignment horizontal="center" vertical="center"/>
    </xf>
    <xf numFmtId="0" fontId="97" fillId="0" borderId="0" xfId="0" applyFont="1" applyFill="1" applyAlignment="1" applyProtection="1">
      <alignment horizontal="center" vertical="center" wrapText="1"/>
    </xf>
    <xf numFmtId="0" fontId="36" fillId="0" borderId="0" xfId="0" applyFont="1" applyFill="1" applyAlignment="1" applyProtection="1">
      <alignment horizontal="center" textRotation="90" wrapText="1"/>
    </xf>
    <xf numFmtId="0" fontId="112" fillId="0" borderId="0" xfId="0" applyFont="1" applyFill="1" applyAlignment="1" applyProtection="1">
      <alignment horizontal="center" vertical="center" wrapText="1"/>
    </xf>
    <xf numFmtId="0" fontId="112" fillId="0" borderId="13" xfId="0" applyFont="1" applyFill="1" applyBorder="1" applyAlignment="1" applyProtection="1">
      <alignment horizontal="center" vertical="center" wrapText="1"/>
    </xf>
    <xf numFmtId="0" fontId="11" fillId="0" borderId="85" xfId="0" applyFont="1" applyFill="1" applyBorder="1" applyAlignment="1" applyProtection="1">
      <alignment horizontal="center" wrapText="1"/>
    </xf>
    <xf numFmtId="0" fontId="11" fillId="0" borderId="13" xfId="0" applyFont="1" applyFill="1" applyBorder="1" applyAlignment="1" applyProtection="1">
      <alignment horizontal="center"/>
    </xf>
    <xf numFmtId="0" fontId="11" fillId="0" borderId="0" xfId="0" applyFont="1" applyFill="1" applyAlignment="1" applyProtection="1">
      <alignment horizontal="center" vertical="center" wrapText="1"/>
    </xf>
    <xf numFmtId="0" fontId="11" fillId="0" borderId="13" xfId="0" applyFont="1" applyFill="1" applyBorder="1" applyAlignment="1" applyProtection="1">
      <alignment horizontal="center" vertical="center" wrapText="1"/>
    </xf>
    <xf numFmtId="0" fontId="43" fillId="10" borderId="78" xfId="0" applyNumberFormat="1" applyFont="1" applyFill="1" applyBorder="1" applyAlignment="1" applyProtection="1">
      <alignment horizontal="left" vertical="center"/>
    </xf>
    <xf numFmtId="0" fontId="43" fillId="10" borderId="79" xfId="0" applyNumberFormat="1" applyFont="1" applyFill="1" applyBorder="1" applyAlignment="1" applyProtection="1">
      <alignment horizontal="left" vertical="center"/>
    </xf>
    <xf numFmtId="3" fontId="13" fillId="5" borderId="78" xfId="0" applyNumberFormat="1" applyFont="1" applyFill="1" applyBorder="1" applyAlignment="1" applyProtection="1">
      <alignment horizontal="center" vertical="center"/>
    </xf>
    <xf numFmtId="3" fontId="13" fillId="5" borderId="79" xfId="0" applyNumberFormat="1" applyFont="1" applyFill="1" applyBorder="1" applyAlignment="1" applyProtection="1">
      <alignment horizontal="center" vertical="center"/>
    </xf>
    <xf numFmtId="0" fontId="4" fillId="0" borderId="0" xfId="0" applyFont="1" applyFill="1" applyAlignment="1" applyProtection="1">
      <alignment horizontal="center" wrapText="1"/>
    </xf>
    <xf numFmtId="0" fontId="43" fillId="0" borderId="7" xfId="0" applyFont="1" applyFill="1" applyBorder="1" applyAlignment="1" applyProtection="1">
      <alignment horizontal="left" vertical="center" wrapText="1"/>
    </xf>
    <xf numFmtId="0" fontId="43" fillId="0" borderId="0" xfId="0" applyFont="1" applyFill="1" applyBorder="1" applyAlignment="1" applyProtection="1">
      <alignment horizontal="left" vertical="center" wrapText="1"/>
    </xf>
    <xf numFmtId="0" fontId="79" fillId="0" borderId="0" xfId="0" applyFont="1" applyFill="1" applyAlignment="1" applyProtection="1">
      <alignment horizontal="left" vertical="center" wrapText="1"/>
    </xf>
    <xf numFmtId="0" fontId="43" fillId="0" borderId="0" xfId="0" applyFont="1" applyAlignment="1" applyProtection="1">
      <alignment horizontal="left" vertical="center" wrapText="1"/>
    </xf>
    <xf numFmtId="0" fontId="4" fillId="0" borderId="0" xfId="0" applyFont="1" applyFill="1" applyBorder="1" applyAlignment="1" applyProtection="1">
      <alignment horizontal="left" vertical="center" wrapText="1"/>
    </xf>
    <xf numFmtId="49" fontId="99" fillId="20" borderId="0" xfId="0" quotePrefix="1" applyNumberFormat="1" applyFont="1" applyFill="1" applyBorder="1" applyAlignment="1" applyProtection="1">
      <alignment horizontal="center" vertical="center" wrapText="1"/>
    </xf>
    <xf numFmtId="0" fontId="42" fillId="0" borderId="2" xfId="0" applyFont="1" applyBorder="1" applyAlignment="1" applyProtection="1">
      <alignment horizontal="left" vertical="top" wrapText="1"/>
    </xf>
    <xf numFmtId="0" fontId="42" fillId="0" borderId="37" xfId="0" applyFont="1" applyBorder="1" applyAlignment="1" applyProtection="1">
      <alignment horizontal="left" vertical="top" wrapText="1"/>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14" fillId="0" borderId="84" xfId="0" applyFont="1" applyFill="1" applyBorder="1" applyAlignment="1" applyProtection="1">
      <alignment horizontal="center" wrapText="1"/>
    </xf>
    <xf numFmtId="0" fontId="14" fillId="0" borderId="11" xfId="0" applyFont="1" applyFill="1" applyBorder="1" applyAlignment="1" applyProtection="1">
      <alignment horizontal="center" wrapText="1"/>
    </xf>
    <xf numFmtId="0" fontId="14" fillId="0" borderId="12" xfId="0" applyFont="1" applyFill="1" applyBorder="1" applyAlignment="1" applyProtection="1">
      <alignment horizontal="center" wrapText="1"/>
    </xf>
    <xf numFmtId="0" fontId="14" fillId="0" borderId="86" xfId="0" applyFont="1" applyFill="1" applyBorder="1" applyAlignment="1" applyProtection="1">
      <alignment horizontal="center" wrapText="1"/>
    </xf>
    <xf numFmtId="0" fontId="30" fillId="9" borderId="78" xfId="0" applyFont="1" applyFill="1" applyBorder="1" applyAlignment="1" applyProtection="1">
      <alignment horizontal="center" vertical="center"/>
    </xf>
    <xf numFmtId="0" fontId="0" fillId="0" borderId="82" xfId="0" applyBorder="1" applyProtection="1"/>
    <xf numFmtId="0" fontId="0" fillId="0" borderId="79" xfId="0" applyBorder="1" applyProtection="1"/>
    <xf numFmtId="0" fontId="84" fillId="12" borderId="0" xfId="0" applyFont="1" applyFill="1" applyBorder="1" applyAlignment="1" applyProtection="1">
      <alignment horizontal="center" vertical="center"/>
    </xf>
    <xf numFmtId="0" fontId="9" fillId="0" borderId="0" xfId="0" applyFont="1" applyFill="1" applyAlignment="1" applyProtection="1">
      <alignment horizontal="center"/>
    </xf>
    <xf numFmtId="0" fontId="106" fillId="20" borderId="0" xfId="0" applyNumberFormat="1" applyFont="1" applyFill="1" applyAlignment="1" applyProtection="1">
      <alignment horizontal="center" vertical="center" wrapText="1"/>
    </xf>
    <xf numFmtId="0" fontId="5" fillId="0" borderId="0" xfId="0" applyFont="1" applyFill="1" applyBorder="1" applyAlignment="1" applyProtection="1">
      <alignment horizontal="left" vertical="top" wrapText="1"/>
    </xf>
    <xf numFmtId="0" fontId="15" fillId="13" borderId="100" xfId="0" applyFont="1" applyFill="1" applyBorder="1" applyAlignment="1" applyProtection="1">
      <alignment horizontal="center" vertical="top"/>
    </xf>
    <xf numFmtId="0" fontId="15" fillId="13" borderId="22" xfId="0" applyFont="1" applyFill="1" applyBorder="1" applyAlignment="1" applyProtection="1">
      <alignment horizontal="center" vertical="top"/>
    </xf>
    <xf numFmtId="0" fontId="15" fillId="5" borderId="100" xfId="0" applyFont="1" applyFill="1" applyBorder="1" applyAlignment="1" applyProtection="1">
      <alignment horizontal="center" vertical="top"/>
    </xf>
    <xf numFmtId="0" fontId="15" fillId="5" borderId="22" xfId="0" applyFont="1" applyFill="1" applyBorder="1" applyAlignment="1" applyProtection="1">
      <alignment horizontal="center" vertical="top"/>
    </xf>
    <xf numFmtId="0" fontId="15" fillId="5" borderId="33" xfId="0" applyFont="1" applyFill="1" applyBorder="1" applyAlignment="1" applyProtection="1">
      <alignment horizontal="left" vertical="center"/>
    </xf>
    <xf numFmtId="0" fontId="15" fillId="5" borderId="58" xfId="0" applyFont="1" applyFill="1" applyBorder="1" applyAlignment="1" applyProtection="1">
      <alignment horizontal="left" vertical="center"/>
    </xf>
    <xf numFmtId="0" fontId="15" fillId="5" borderId="34" xfId="0" applyFont="1" applyFill="1" applyBorder="1" applyAlignment="1" applyProtection="1">
      <alignment horizontal="left" vertical="center"/>
    </xf>
    <xf numFmtId="0" fontId="5" fillId="0" borderId="0" xfId="0" applyFont="1" applyFill="1" applyAlignment="1" applyProtection="1">
      <alignment horizontal="left" vertical="center" wrapText="1"/>
    </xf>
    <xf numFmtId="0" fontId="11" fillId="13" borderId="36" xfId="0" applyFont="1" applyFill="1" applyBorder="1" applyAlignment="1" applyProtection="1">
      <alignment horizontal="center" vertical="center"/>
    </xf>
    <xf numFmtId="0" fontId="11" fillId="13" borderId="37" xfId="0" applyFont="1" applyFill="1" applyBorder="1" applyAlignment="1" applyProtection="1">
      <alignment horizontal="center" vertical="center"/>
    </xf>
    <xf numFmtId="0" fontId="5" fillId="5" borderId="36" xfId="0" applyFont="1" applyFill="1" applyBorder="1" applyAlignment="1" applyProtection="1">
      <alignment horizontal="left" vertical="top" wrapText="1"/>
    </xf>
    <xf numFmtId="0" fontId="5" fillId="5" borderId="2" xfId="0" applyFont="1" applyFill="1" applyBorder="1" applyAlignment="1" applyProtection="1">
      <alignment horizontal="left" vertical="top" wrapText="1"/>
    </xf>
    <xf numFmtId="0" fontId="5" fillId="5" borderId="37" xfId="0" applyFont="1" applyFill="1" applyBorder="1" applyAlignment="1" applyProtection="1">
      <alignment horizontal="left" vertical="top" wrapText="1"/>
    </xf>
    <xf numFmtId="0" fontId="43" fillId="10" borderId="119" xfId="0" applyFont="1" applyFill="1" applyBorder="1" applyAlignment="1" applyProtection="1">
      <alignment horizontal="left"/>
    </xf>
    <xf numFmtId="0" fontId="43" fillId="10" borderId="85" xfId="0" applyFont="1" applyFill="1" applyBorder="1" applyAlignment="1" applyProtection="1">
      <alignment horizontal="left"/>
    </xf>
    <xf numFmtId="0" fontId="43" fillId="10" borderId="81" xfId="0" applyFont="1" applyFill="1" applyBorder="1" applyAlignment="1" applyProtection="1">
      <alignment horizontal="left"/>
    </xf>
    <xf numFmtId="0" fontId="5" fillId="0" borderId="0" xfId="0" applyFont="1" applyFill="1" applyBorder="1" applyAlignment="1" applyProtection="1">
      <alignment horizontal="left" vertical="center" wrapText="1"/>
    </xf>
    <xf numFmtId="0" fontId="5" fillId="13" borderId="36" xfId="0" applyFont="1" applyFill="1" applyBorder="1" applyAlignment="1" applyProtection="1">
      <alignment horizontal="left" vertical="top" wrapText="1"/>
    </xf>
    <xf numFmtId="0" fontId="5" fillId="13" borderId="2" xfId="0" applyFont="1" applyFill="1" applyBorder="1" applyAlignment="1" applyProtection="1">
      <alignment horizontal="left" vertical="top" wrapText="1"/>
    </xf>
    <xf numFmtId="0" fontId="5" fillId="13" borderId="37" xfId="0" applyFont="1" applyFill="1" applyBorder="1" applyAlignment="1" applyProtection="1">
      <alignment horizontal="left" vertical="top" wrapText="1"/>
    </xf>
    <xf numFmtId="0" fontId="43" fillId="5" borderId="131" xfId="0" applyFont="1" applyFill="1" applyBorder="1" applyAlignment="1" applyProtection="1">
      <alignment horizontal="left" vertical="top" wrapText="1"/>
    </xf>
    <xf numFmtId="0" fontId="43" fillId="5" borderId="132" xfId="0" applyFont="1" applyFill="1" applyBorder="1" applyAlignment="1" applyProtection="1">
      <alignment horizontal="left" vertical="top" wrapText="1"/>
    </xf>
    <xf numFmtId="0" fontId="196" fillId="20" borderId="62" xfId="0" applyFont="1" applyFill="1" applyBorder="1" applyAlignment="1" applyProtection="1">
      <alignment horizontal="center" vertical="center" wrapText="1"/>
    </xf>
    <xf numFmtId="0" fontId="196" fillId="20" borderId="70" xfId="0" applyFont="1" applyFill="1" applyBorder="1" applyAlignment="1" applyProtection="1">
      <alignment horizontal="center" vertical="center" wrapText="1"/>
    </xf>
    <xf numFmtId="0" fontId="196" fillId="20" borderId="63" xfId="0" applyFont="1" applyFill="1" applyBorder="1" applyAlignment="1" applyProtection="1">
      <alignment horizontal="center" vertical="center" wrapText="1"/>
    </xf>
    <xf numFmtId="0" fontId="196" fillId="20" borderId="44" xfId="0" applyFont="1" applyFill="1" applyBorder="1" applyAlignment="1" applyProtection="1">
      <alignment horizontal="center" vertical="center" wrapText="1"/>
    </xf>
    <xf numFmtId="0" fontId="196" fillId="20" borderId="0" xfId="0" applyFont="1" applyFill="1" applyBorder="1" applyAlignment="1" applyProtection="1">
      <alignment horizontal="center" vertical="center" wrapText="1"/>
    </xf>
    <xf numFmtId="0" fontId="196" fillId="20" borderId="47" xfId="0" applyFont="1" applyFill="1" applyBorder="1" applyAlignment="1" applyProtection="1">
      <alignment horizontal="center" vertical="center" wrapText="1"/>
    </xf>
    <xf numFmtId="0" fontId="196" fillId="20" borderId="45" xfId="0" applyFont="1" applyFill="1" applyBorder="1" applyAlignment="1" applyProtection="1">
      <alignment horizontal="center" vertical="center" wrapText="1"/>
    </xf>
    <xf numFmtId="0" fontId="196" fillId="20" borderId="83" xfId="0" applyFont="1" applyFill="1" applyBorder="1" applyAlignment="1" applyProtection="1">
      <alignment horizontal="center" vertical="center" wrapText="1"/>
    </xf>
    <xf numFmtId="0" fontId="196" fillId="20" borderId="64" xfId="0" applyFont="1" applyFill="1" applyBorder="1" applyAlignment="1" applyProtection="1">
      <alignment horizontal="center" vertical="center" wrapText="1"/>
    </xf>
    <xf numFmtId="10" fontId="15" fillId="5" borderId="26" xfId="0" applyNumberFormat="1" applyFont="1" applyFill="1" applyBorder="1" applyAlignment="1" applyProtection="1">
      <alignment horizontal="left" vertical="center"/>
    </xf>
    <xf numFmtId="10" fontId="15"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5" fillId="5" borderId="86" xfId="0" applyFont="1" applyFill="1" applyBorder="1" applyAlignment="1" applyProtection="1">
      <alignment horizontal="left" vertical="center" wrapText="1"/>
    </xf>
    <xf numFmtId="0" fontId="50" fillId="0" borderId="19" xfId="0" applyFont="1" applyFill="1" applyBorder="1" applyAlignment="1" applyProtection="1">
      <alignment horizontal="center" vertical="top" wrapText="1"/>
    </xf>
    <xf numFmtId="0" fontId="50" fillId="0" borderId="0" xfId="0" applyFont="1" applyFill="1" applyBorder="1" applyAlignment="1" applyProtection="1">
      <alignment horizontal="center" vertical="top" wrapText="1"/>
    </xf>
    <xf numFmtId="0" fontId="50" fillId="0" borderId="13" xfId="0" applyFont="1" applyFill="1" applyBorder="1" applyAlignment="1" applyProtection="1">
      <alignment horizontal="center" vertical="top" wrapText="1"/>
    </xf>
    <xf numFmtId="0" fontId="5" fillId="0" borderId="0" xfId="0" applyFont="1" applyFill="1" applyBorder="1" applyAlignment="1" applyProtection="1">
      <alignment horizontal="center" wrapText="1"/>
    </xf>
    <xf numFmtId="0" fontId="5" fillId="0" borderId="13" xfId="0" applyFont="1" applyFill="1" applyBorder="1" applyAlignment="1" applyProtection="1">
      <alignment horizontal="center" wrapText="1"/>
    </xf>
    <xf numFmtId="0" fontId="15" fillId="13" borderId="78" xfId="0" applyFont="1" applyFill="1" applyBorder="1" applyAlignment="1" applyProtection="1">
      <alignment horizontal="left" vertical="center"/>
    </xf>
    <xf numFmtId="0" fontId="15" fillId="13" borderId="79" xfId="0" applyFont="1" applyFill="1" applyBorder="1" applyAlignment="1" applyProtection="1">
      <alignment horizontal="left" vertical="center"/>
    </xf>
    <xf numFmtId="0" fontId="15" fillId="5" borderId="78" xfId="0" applyFont="1" applyFill="1" applyBorder="1" applyAlignment="1" applyProtection="1">
      <alignment horizontal="left" vertical="center"/>
    </xf>
    <xf numFmtId="0" fontId="15" fillId="5" borderId="82" xfId="0" applyFont="1" applyFill="1" applyBorder="1" applyAlignment="1" applyProtection="1">
      <alignment horizontal="left" vertical="center"/>
    </xf>
    <xf numFmtId="0" fontId="15" fillId="5" borderId="79" xfId="0" applyFont="1" applyFill="1" applyBorder="1" applyAlignment="1" applyProtection="1">
      <alignment horizontal="left" vertical="center"/>
    </xf>
    <xf numFmtId="0" fontId="11" fillId="13" borderId="9" xfId="0" applyFont="1" applyFill="1" applyBorder="1" applyAlignment="1" applyProtection="1">
      <alignment horizontal="center" vertical="center"/>
    </xf>
    <xf numFmtId="0" fontId="11" fillId="13" borderId="14" xfId="0" applyFont="1" applyFill="1" applyBorder="1" applyAlignment="1" applyProtection="1">
      <alignment horizontal="center" vertical="center"/>
    </xf>
    <xf numFmtId="0" fontId="5" fillId="0" borderId="8" xfId="0" applyFont="1" applyFill="1" applyBorder="1" applyAlignment="1" applyProtection="1">
      <alignment horizontal="left" vertical="top" wrapText="1"/>
    </xf>
    <xf numFmtId="0" fontId="20" fillId="13" borderId="78" xfId="0" applyFont="1" applyFill="1" applyBorder="1" applyAlignment="1" applyProtection="1">
      <alignment horizontal="left"/>
    </xf>
    <xf numFmtId="0" fontId="20" fillId="13" borderId="82" xfId="0" applyFont="1" applyFill="1" applyBorder="1" applyAlignment="1" applyProtection="1">
      <alignment horizontal="left"/>
    </xf>
    <xf numFmtId="0" fontId="20" fillId="13" borderId="79" xfId="0" applyFont="1" applyFill="1" applyBorder="1" applyAlignment="1" applyProtection="1">
      <alignment horizontal="left"/>
    </xf>
    <xf numFmtId="0" fontId="181" fillId="0" borderId="43" xfId="0" applyNumberFormat="1" applyFont="1" applyFill="1" applyBorder="1" applyAlignment="1" applyProtection="1">
      <alignment horizontal="center" vertical="center" wrapText="1"/>
    </xf>
    <xf numFmtId="0" fontId="181" fillId="0" borderId="39" xfId="0" applyNumberFormat="1" applyFont="1" applyFill="1" applyBorder="1" applyAlignment="1" applyProtection="1">
      <alignment horizontal="center" vertical="center" wrapText="1"/>
    </xf>
    <xf numFmtId="0" fontId="181" fillId="0" borderId="42" xfId="0" applyNumberFormat="1" applyFont="1" applyFill="1" applyBorder="1" applyAlignment="1" applyProtection="1">
      <alignment horizontal="center" vertical="center" wrapText="1"/>
    </xf>
    <xf numFmtId="0" fontId="181" fillId="0" borderId="59" xfId="0" applyNumberFormat="1" applyFont="1" applyFill="1" applyBorder="1" applyAlignment="1" applyProtection="1">
      <alignment horizontal="center" vertical="center" wrapText="1"/>
    </xf>
    <xf numFmtId="0" fontId="43" fillId="0" borderId="0" xfId="0" applyFont="1" applyFill="1" applyBorder="1" applyAlignment="1" applyProtection="1">
      <alignment horizontal="center" vertical="center" wrapText="1"/>
    </xf>
    <xf numFmtId="6" fontId="6" fillId="13" borderId="80" xfId="0" applyNumberFormat="1" applyFont="1" applyFill="1" applyBorder="1" applyAlignment="1" applyProtection="1">
      <alignment horizontal="center" vertical="center"/>
    </xf>
    <xf numFmtId="6" fontId="6" fillId="13" borderId="81" xfId="0" applyNumberFormat="1" applyFont="1" applyFill="1" applyBorder="1" applyAlignment="1" applyProtection="1">
      <alignment horizontal="center" vertical="center"/>
    </xf>
    <xf numFmtId="6" fontId="6" fillId="13" borderId="9" xfId="0" applyNumberFormat="1" applyFont="1" applyFill="1" applyBorder="1" applyAlignment="1" applyProtection="1">
      <alignment horizontal="center" vertical="center"/>
    </xf>
    <xf numFmtId="6" fontId="6" fillId="13" borderId="14" xfId="0" applyNumberFormat="1" applyFont="1" applyFill="1" applyBorder="1" applyAlignment="1" applyProtection="1">
      <alignment horizontal="center" vertical="center"/>
    </xf>
    <xf numFmtId="0" fontId="43" fillId="13" borderId="30" xfId="0" applyFont="1" applyFill="1" applyBorder="1" applyAlignment="1" applyProtection="1">
      <alignment horizontal="justify" vertical="top" wrapText="1"/>
    </xf>
    <xf numFmtId="0" fontId="43" fillId="13" borderId="21" xfId="0" applyFont="1" applyFill="1" applyBorder="1" applyAlignment="1" applyProtection="1">
      <alignment horizontal="justify" vertical="top" wrapText="1"/>
    </xf>
    <xf numFmtId="0" fontId="43" fillId="13" borderId="31" xfId="0" applyFont="1" applyFill="1" applyBorder="1" applyAlignment="1" applyProtection="1">
      <alignment horizontal="justify" vertical="top" wrapText="1"/>
    </xf>
    <xf numFmtId="3" fontId="5" fillId="5" borderId="115" xfId="1" applyNumberFormat="1" applyFont="1" applyFill="1" applyBorder="1" applyAlignment="1" applyProtection="1">
      <alignment horizontal="center" vertical="center"/>
    </xf>
    <xf numFmtId="3" fontId="5" fillId="5" borderId="116" xfId="1" applyNumberFormat="1" applyFont="1" applyFill="1" applyBorder="1" applyAlignment="1" applyProtection="1">
      <alignment horizontal="center" vertical="center"/>
    </xf>
    <xf numFmtId="0" fontId="15" fillId="5" borderId="28" xfId="0" applyFont="1" applyFill="1" applyBorder="1" applyAlignment="1" applyProtection="1">
      <alignment horizontal="left" vertical="center"/>
    </xf>
    <xf numFmtId="0" fontId="15" fillId="5" borderId="29" xfId="0" applyFont="1" applyFill="1" applyBorder="1" applyAlignment="1" applyProtection="1">
      <alignment horizontal="left" vertical="center"/>
    </xf>
    <xf numFmtId="174" fontId="15" fillId="13" borderId="28" xfId="0" applyNumberFormat="1" applyFont="1" applyFill="1" applyBorder="1" applyAlignment="1" applyProtection="1">
      <alignment horizontal="left" vertical="center"/>
    </xf>
    <xf numFmtId="174" fontId="15" fillId="13" borderId="29" xfId="0" applyNumberFormat="1" applyFont="1" applyFill="1" applyBorder="1" applyAlignment="1" applyProtection="1">
      <alignment horizontal="left" vertical="center"/>
    </xf>
    <xf numFmtId="0" fontId="15" fillId="13" borderId="33" xfId="0" applyFont="1" applyFill="1" applyBorder="1" applyAlignment="1" applyProtection="1">
      <alignment horizontal="left" vertical="center"/>
    </xf>
    <xf numFmtId="0" fontId="15" fillId="13" borderId="34" xfId="0" applyFont="1" applyFill="1" applyBorder="1" applyAlignment="1" applyProtection="1">
      <alignment horizontal="left" vertical="center"/>
    </xf>
    <xf numFmtId="174" fontId="15" fillId="5" borderId="28" xfId="0" applyNumberFormat="1" applyFont="1" applyFill="1" applyBorder="1" applyAlignment="1" applyProtection="1">
      <alignment horizontal="left" vertical="center"/>
    </xf>
    <xf numFmtId="174" fontId="15" fillId="5" borderId="57" xfId="0" applyNumberFormat="1" applyFont="1" applyFill="1" applyBorder="1" applyAlignment="1" applyProtection="1">
      <alignment horizontal="left" vertical="center"/>
    </xf>
    <xf numFmtId="174" fontId="15" fillId="5" borderId="29" xfId="0" applyNumberFormat="1" applyFont="1" applyFill="1" applyBorder="1" applyAlignment="1" applyProtection="1">
      <alignment horizontal="left" vertical="center"/>
    </xf>
    <xf numFmtId="0" fontId="5" fillId="0" borderId="0" xfId="0" applyFont="1" applyFill="1" applyBorder="1" applyAlignment="1" applyProtection="1">
      <alignment horizontal="center"/>
    </xf>
    <xf numFmtId="0" fontId="5" fillId="5" borderId="28" xfId="0" applyFont="1" applyFill="1" applyBorder="1" applyAlignment="1" applyProtection="1">
      <alignment horizontal="left" vertical="top" wrapText="1"/>
    </xf>
    <xf numFmtId="0" fontId="5" fillId="5" borderId="57" xfId="0" applyFont="1" applyFill="1" applyBorder="1" applyAlignment="1" applyProtection="1">
      <alignment horizontal="left" vertical="top" wrapText="1"/>
    </xf>
    <xf numFmtId="0" fontId="5" fillId="5" borderId="29" xfId="0" applyFont="1" applyFill="1" applyBorder="1" applyAlignment="1" applyProtection="1">
      <alignment horizontal="left" vertical="top" wrapText="1"/>
    </xf>
    <xf numFmtId="0" fontId="45" fillId="5" borderId="78"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0" fontId="5" fillId="0" borderId="42" xfId="0" applyFont="1" applyBorder="1" applyAlignment="1" applyProtection="1">
      <alignment horizontal="center" vertical="center"/>
    </xf>
    <xf numFmtId="0" fontId="5" fillId="0" borderId="20" xfId="0" applyFont="1" applyBorder="1" applyAlignment="1" applyProtection="1">
      <alignment horizontal="center" vertical="center"/>
    </xf>
    <xf numFmtId="0" fontId="5" fillId="0" borderId="59" xfId="0" applyFont="1" applyBorder="1" applyAlignment="1" applyProtection="1">
      <alignment horizontal="center" vertical="center"/>
    </xf>
    <xf numFmtId="0" fontId="5" fillId="0" borderId="0" xfId="0" applyFont="1" applyBorder="1" applyAlignment="1" applyProtection="1">
      <alignment horizontal="center" vertical="center"/>
    </xf>
    <xf numFmtId="0" fontId="5" fillId="0" borderId="13" xfId="0" applyFont="1" applyBorder="1" applyAlignment="1" applyProtection="1">
      <alignment horizontal="left" wrapText="1"/>
    </xf>
    <xf numFmtId="0" fontId="42" fillId="0" borderId="0" xfId="0" applyFont="1" applyFill="1" applyAlignment="1" applyProtection="1">
      <alignment horizontal="center" vertical="center"/>
    </xf>
    <xf numFmtId="0" fontId="99" fillId="0" borderId="0" xfId="0" applyFont="1" applyFill="1" applyBorder="1" applyAlignment="1" applyProtection="1">
      <alignment horizontal="center" wrapText="1"/>
    </xf>
    <xf numFmtId="0" fontId="99" fillId="0" borderId="20" xfId="0" applyFont="1" applyFill="1" applyBorder="1" applyAlignment="1" applyProtection="1">
      <alignment horizontal="center" wrapText="1"/>
    </xf>
    <xf numFmtId="3" fontId="160" fillId="0" borderId="43" xfId="0" applyNumberFormat="1" applyFont="1" applyFill="1" applyBorder="1" applyAlignment="1" applyProtection="1">
      <alignment horizontal="center" vertical="center" wrapText="1"/>
    </xf>
    <xf numFmtId="3" fontId="160" fillId="0" borderId="39" xfId="0" applyNumberFormat="1" applyFont="1" applyFill="1" applyBorder="1" applyAlignment="1" applyProtection="1">
      <alignment horizontal="center" vertical="center" wrapText="1"/>
    </xf>
    <xf numFmtId="3" fontId="160" fillId="0" borderId="42" xfId="0" applyNumberFormat="1" applyFont="1" applyFill="1" applyBorder="1" applyAlignment="1" applyProtection="1">
      <alignment horizontal="center" vertical="center" wrapText="1"/>
    </xf>
    <xf numFmtId="3" fontId="160" fillId="0" borderId="59" xfId="0" applyNumberFormat="1" applyFont="1" applyFill="1" applyBorder="1" applyAlignment="1" applyProtection="1">
      <alignment horizontal="center" vertical="center" wrapText="1"/>
    </xf>
    <xf numFmtId="0" fontId="15" fillId="5" borderId="16" xfId="0" applyFont="1" applyFill="1" applyBorder="1" applyAlignment="1" applyProtection="1">
      <alignment horizontal="left" vertical="center"/>
    </xf>
    <xf numFmtId="0" fontId="150" fillId="0" borderId="0" xfId="0" applyFont="1" applyFill="1" applyAlignment="1" applyProtection="1">
      <alignment horizontal="left"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11" fillId="5" borderId="36" xfId="0" applyFont="1" applyFill="1" applyBorder="1" applyAlignment="1" applyProtection="1">
      <alignment horizontal="center" vertical="center" wrapText="1"/>
    </xf>
    <xf numFmtId="0" fontId="11" fillId="5" borderId="37" xfId="0" applyFont="1" applyFill="1" applyBorder="1" applyAlignment="1" applyProtection="1">
      <alignment horizontal="center" vertical="center" wrapText="1"/>
    </xf>
    <xf numFmtId="0" fontId="24" fillId="0" borderId="0" xfId="0" applyFont="1" applyFill="1" applyAlignment="1" applyProtection="1">
      <alignment horizontal="left" vertical="center"/>
    </xf>
    <xf numFmtId="0" fontId="100" fillId="13" borderId="36" xfId="0" applyFont="1" applyFill="1" applyBorder="1" applyAlignment="1" applyProtection="1">
      <alignment horizontal="center" vertical="center"/>
    </xf>
    <xf numFmtId="0" fontId="100" fillId="13" borderId="37" xfId="0" applyFont="1" applyFill="1" applyBorder="1" applyAlignment="1" applyProtection="1">
      <alignment horizontal="center" vertical="center"/>
    </xf>
    <xf numFmtId="0" fontId="95" fillId="0" borderId="0" xfId="0" applyFont="1" applyFill="1" applyAlignment="1" applyProtection="1">
      <alignment horizontal="center" vertical="center" wrapText="1"/>
    </xf>
    <xf numFmtId="0" fontId="95" fillId="0" borderId="8" xfId="0" applyFont="1" applyFill="1" applyBorder="1" applyAlignment="1" applyProtection="1">
      <alignment horizontal="center" vertical="center" wrapText="1"/>
    </xf>
    <xf numFmtId="0" fontId="43" fillId="13" borderId="28" xfId="0" applyFont="1" applyFill="1" applyBorder="1" applyAlignment="1" applyProtection="1">
      <alignment horizontal="justify" vertical="top" wrapText="1"/>
    </xf>
    <xf numFmtId="0" fontId="43" fillId="13" borderId="57" xfId="0" applyFont="1" applyFill="1" applyBorder="1" applyAlignment="1" applyProtection="1">
      <alignment horizontal="justify" vertical="top" wrapText="1"/>
    </xf>
    <xf numFmtId="0" fontId="43" fillId="13" borderId="29" xfId="0" applyFont="1" applyFill="1" applyBorder="1" applyAlignment="1" applyProtection="1">
      <alignment horizontal="justify" vertical="top" wrapText="1"/>
    </xf>
    <xf numFmtId="0" fontId="15" fillId="5" borderId="30" xfId="0" applyFont="1" applyFill="1" applyBorder="1" applyAlignment="1" applyProtection="1">
      <alignment horizontal="left" vertical="center"/>
    </xf>
    <xf numFmtId="0" fontId="15"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15" fillId="5" borderId="84" xfId="0" applyFont="1" applyFill="1" applyBorder="1" applyAlignment="1" applyProtection="1">
      <alignment horizontal="center" vertical="top"/>
    </xf>
    <xf numFmtId="0" fontId="15" fillId="5" borderId="12" xfId="0" applyFont="1" applyFill="1" applyBorder="1" applyAlignment="1" applyProtection="1">
      <alignment horizontal="center" vertical="top"/>
    </xf>
    <xf numFmtId="0" fontId="99" fillId="20" borderId="0" xfId="0" applyNumberFormat="1" applyFont="1" applyFill="1" applyAlignment="1" applyProtection="1">
      <alignment horizontal="center" vertical="center" wrapText="1"/>
    </xf>
    <xf numFmtId="0" fontId="5" fillId="0" borderId="0" xfId="0" applyFont="1" applyFill="1" applyBorder="1" applyAlignment="1" applyProtection="1">
      <alignment horizontal="center" vertical="center" wrapText="1"/>
    </xf>
    <xf numFmtId="0" fontId="43" fillId="13" borderId="33" xfId="0" applyFont="1" applyFill="1" applyBorder="1" applyAlignment="1" applyProtection="1">
      <alignment horizontal="justify" vertical="top" wrapText="1"/>
    </xf>
    <xf numFmtId="0" fontId="43" fillId="13" borderId="58" xfId="0" applyFont="1" applyFill="1" applyBorder="1" applyAlignment="1" applyProtection="1">
      <alignment horizontal="justify" vertical="top" wrapText="1"/>
    </xf>
    <xf numFmtId="0" fontId="43" fillId="13" borderId="34" xfId="0" applyFont="1" applyFill="1" applyBorder="1" applyAlignment="1" applyProtection="1">
      <alignment horizontal="justify" vertical="top" wrapText="1"/>
    </xf>
    <xf numFmtId="0" fontId="5" fillId="13" borderId="86" xfId="0" applyFont="1" applyFill="1" applyBorder="1" applyAlignment="1" applyProtection="1">
      <alignment horizontal="left" vertical="top" wrapText="1"/>
    </xf>
    <xf numFmtId="0" fontId="85" fillId="0" borderId="43" xfId="0" applyFont="1" applyBorder="1" applyAlignment="1" applyProtection="1">
      <alignment horizontal="center" vertical="center"/>
    </xf>
    <xf numFmtId="0" fontId="85" fillId="0" borderId="39" xfId="0" applyFont="1" applyBorder="1" applyAlignment="1" applyProtection="1">
      <alignment horizontal="center" vertical="center"/>
    </xf>
    <xf numFmtId="0" fontId="15" fillId="0" borderId="43" xfId="0" applyFont="1" applyBorder="1" applyAlignment="1" applyProtection="1">
      <alignment horizontal="center" vertical="center"/>
    </xf>
    <xf numFmtId="0" fontId="15" fillId="0" borderId="19" xfId="0" applyFont="1" applyBorder="1" applyAlignment="1" applyProtection="1">
      <alignment horizontal="center" vertical="center"/>
    </xf>
    <xf numFmtId="0" fontId="15" fillId="0" borderId="39" xfId="0" applyFont="1" applyBorder="1" applyAlignment="1" applyProtection="1">
      <alignment horizontal="center" vertical="center"/>
    </xf>
    <xf numFmtId="0" fontId="85" fillId="0" borderId="42" xfId="0" applyFont="1" applyBorder="1" applyAlignment="1" applyProtection="1">
      <alignment horizontal="center" vertical="center"/>
    </xf>
    <xf numFmtId="0" fontId="85" fillId="0" borderId="59" xfId="0" applyFont="1" applyBorder="1" applyAlignment="1" applyProtection="1">
      <alignment horizontal="center" vertical="center"/>
    </xf>
    <xf numFmtId="3" fontId="147" fillId="0" borderId="78" xfId="0" applyNumberFormat="1" applyFont="1" applyFill="1" applyBorder="1" applyAlignment="1" applyProtection="1">
      <alignment horizontal="center" vertical="center" wrapText="1"/>
    </xf>
    <xf numFmtId="3" fontId="147" fillId="0" borderId="79" xfId="0" applyNumberFormat="1" applyFont="1" applyFill="1" applyBorder="1" applyAlignment="1" applyProtection="1">
      <alignment horizontal="center" vertical="center" wrapText="1"/>
    </xf>
    <xf numFmtId="0" fontId="45" fillId="0" borderId="0" xfId="0" applyFont="1" applyFill="1" applyBorder="1" applyAlignment="1" applyProtection="1">
      <alignment horizontal="center" vertical="center" wrapText="1"/>
    </xf>
    <xf numFmtId="0" fontId="45" fillId="0" borderId="20" xfId="0" applyFont="1" applyFill="1" applyBorder="1" applyAlignment="1" applyProtection="1">
      <alignment horizontal="center" vertical="center" wrapText="1"/>
    </xf>
    <xf numFmtId="0" fontId="43" fillId="0" borderId="0" xfId="0" quotePrefix="1" applyFont="1" applyFill="1" applyAlignment="1" applyProtection="1">
      <alignment horizontal="left" vertical="center"/>
    </xf>
    <xf numFmtId="0" fontId="95" fillId="0" borderId="0" xfId="0" applyFont="1" applyFill="1" applyAlignment="1" applyProtection="1">
      <alignment horizontal="left" vertical="top" wrapText="1"/>
    </xf>
    <xf numFmtId="3" fontId="45" fillId="0" borderId="0" xfId="0" applyNumberFormat="1" applyFont="1" applyFill="1" applyBorder="1" applyAlignment="1" applyProtection="1">
      <alignment horizontal="center" vertical="center"/>
    </xf>
    <xf numFmtId="0" fontId="15" fillId="5" borderId="18" xfId="0" applyFont="1" applyFill="1" applyBorder="1" applyAlignment="1" applyProtection="1">
      <alignment horizontal="left" vertical="center"/>
    </xf>
    <xf numFmtId="0" fontId="5" fillId="0" borderId="0" xfId="0" applyFont="1" applyFill="1" applyAlignment="1" applyProtection="1">
      <alignment horizontal="left" vertical="top" wrapText="1"/>
    </xf>
    <xf numFmtId="0" fontId="5" fillId="5" borderId="36" xfId="0" quotePrefix="1" applyFont="1" applyFill="1" applyBorder="1" applyAlignment="1" applyProtection="1">
      <alignment horizontal="left" vertical="top" wrapText="1"/>
    </xf>
    <xf numFmtId="175" fontId="9" fillId="10" borderId="78" xfId="0" applyNumberFormat="1" applyFont="1" applyFill="1" applyBorder="1" applyAlignment="1" applyProtection="1">
      <alignment horizontal="center"/>
    </xf>
    <xf numFmtId="175" fontId="9" fillId="10" borderId="79" xfId="0" applyNumberFormat="1" applyFont="1" applyFill="1" applyBorder="1" applyAlignment="1" applyProtection="1">
      <alignment horizontal="center"/>
    </xf>
    <xf numFmtId="0" fontId="15" fillId="5" borderId="4" xfId="0" applyFont="1" applyFill="1" applyBorder="1" applyAlignment="1" applyProtection="1">
      <alignment horizontal="center"/>
    </xf>
    <xf numFmtId="0" fontId="15" fillId="5" borderId="37" xfId="0" applyFont="1" applyFill="1" applyBorder="1" applyAlignment="1" applyProtection="1">
      <alignment horizontal="center"/>
    </xf>
    <xf numFmtId="0" fontId="15" fillId="13" borderId="36" xfId="0" applyFont="1" applyFill="1" applyBorder="1" applyAlignment="1" applyProtection="1">
      <alignment horizontal="center"/>
    </xf>
    <xf numFmtId="0" fontId="15" fillId="13" borderId="37" xfId="0" applyFont="1" applyFill="1" applyBorder="1" applyAlignment="1" applyProtection="1">
      <alignment horizontal="center"/>
    </xf>
    <xf numFmtId="0" fontId="15" fillId="5" borderId="57" xfId="0" applyFont="1" applyFill="1" applyBorder="1" applyAlignment="1" applyProtection="1">
      <alignment horizontal="left" vertical="center"/>
    </xf>
    <xf numFmtId="0" fontId="0" fillId="0" borderId="29" xfId="0" applyBorder="1" applyAlignment="1" applyProtection="1">
      <alignment horizontal="left" vertical="center"/>
    </xf>
    <xf numFmtId="0" fontId="5" fillId="5" borderId="30" xfId="0" applyFont="1" applyFill="1" applyBorder="1" applyAlignment="1" applyProtection="1">
      <alignment horizontal="left" vertical="top" wrapText="1"/>
    </xf>
    <xf numFmtId="0" fontId="5" fillId="5" borderId="21" xfId="0" applyFont="1" applyFill="1" applyBorder="1" applyAlignment="1" applyProtection="1">
      <alignment horizontal="left" vertical="top" wrapText="1"/>
    </xf>
    <xf numFmtId="0" fontId="5" fillId="5" borderId="31" xfId="0" applyFont="1" applyFill="1" applyBorder="1" applyAlignment="1" applyProtection="1">
      <alignment horizontal="left" vertical="top" wrapText="1"/>
    </xf>
    <xf numFmtId="0" fontId="5" fillId="5" borderId="9" xfId="0" applyFont="1" applyFill="1" applyBorder="1" applyAlignment="1" applyProtection="1">
      <alignment horizontal="left" vertical="center"/>
    </xf>
    <xf numFmtId="0" fontId="5" fillId="5" borderId="13" xfId="0" applyFont="1" applyFill="1" applyBorder="1" applyAlignment="1" applyProtection="1">
      <alignment horizontal="left" vertical="center"/>
    </xf>
    <xf numFmtId="0" fontId="5" fillId="5" borderId="14" xfId="0" applyFont="1" applyFill="1" applyBorder="1" applyAlignment="1" applyProtection="1">
      <alignment horizontal="left" vertical="center"/>
    </xf>
    <xf numFmtId="0" fontId="15" fillId="5" borderId="36" xfId="0" applyFont="1" applyFill="1" applyBorder="1" applyAlignment="1" applyProtection="1">
      <alignment horizontal="left" vertical="center"/>
    </xf>
    <xf numFmtId="0" fontId="15" fillId="5" borderId="2" xfId="0" applyFont="1" applyFill="1" applyBorder="1" applyAlignment="1" applyProtection="1">
      <alignment horizontal="left" vertical="center"/>
    </xf>
    <xf numFmtId="0" fontId="15" fillId="5" borderId="37" xfId="0" applyFont="1" applyFill="1" applyBorder="1" applyAlignment="1" applyProtection="1">
      <alignment horizontal="left" vertical="center"/>
    </xf>
    <xf numFmtId="0" fontId="5" fillId="0" borderId="7" xfId="0" applyFont="1" applyBorder="1" applyAlignment="1" applyProtection="1">
      <alignment horizontal="center" vertical="center"/>
    </xf>
    <xf numFmtId="0" fontId="5" fillId="0" borderId="0" xfId="0" applyFont="1" applyAlignment="1" applyProtection="1">
      <alignment horizontal="center" vertical="center"/>
    </xf>
    <xf numFmtId="0" fontId="5" fillId="0" borderId="8" xfId="0" applyFont="1" applyBorder="1" applyAlignment="1" applyProtection="1">
      <alignment horizontal="center" vertical="center"/>
    </xf>
    <xf numFmtId="0" fontId="15" fillId="5" borderId="36" xfId="0" applyFont="1" applyFill="1" applyBorder="1" applyAlignment="1" applyProtection="1">
      <alignment horizontal="center" vertical="top"/>
    </xf>
    <xf numFmtId="0" fontId="15" fillId="5" borderId="37" xfId="0" applyFont="1" applyFill="1" applyBorder="1" applyAlignment="1" applyProtection="1">
      <alignment horizontal="center" vertical="top"/>
    </xf>
    <xf numFmtId="0" fontId="15" fillId="13" borderId="36" xfId="0" applyFont="1" applyFill="1" applyBorder="1" applyAlignment="1" applyProtection="1">
      <alignment horizontal="center" vertical="top"/>
    </xf>
    <xf numFmtId="0" fontId="15" fillId="13" borderId="37" xfId="0" applyFont="1" applyFill="1" applyBorder="1" applyAlignment="1" applyProtection="1">
      <alignment horizontal="center" vertical="top"/>
    </xf>
    <xf numFmtId="0" fontId="11" fillId="5" borderId="86" xfId="0" applyFont="1" applyFill="1" applyBorder="1" applyAlignment="1" applyProtection="1">
      <alignment horizontal="left" vertical="center"/>
    </xf>
    <xf numFmtId="0" fontId="5" fillId="0" borderId="0" xfId="0" applyFont="1" applyFill="1" applyAlignment="1" applyProtection="1">
      <alignment horizontal="center"/>
    </xf>
    <xf numFmtId="0" fontId="8" fillId="0" borderId="0" xfId="0" applyFont="1" applyFill="1" applyAlignment="1" applyProtection="1">
      <alignment horizontal="center"/>
    </xf>
    <xf numFmtId="0" fontId="5" fillId="5" borderId="131" xfId="0" applyFont="1" applyFill="1" applyBorder="1" applyAlignment="1" applyProtection="1">
      <alignment horizontal="left" vertical="top" wrapText="1"/>
    </xf>
    <xf numFmtId="0" fontId="5" fillId="5" borderId="132" xfId="0" applyFont="1" applyFill="1" applyBorder="1" applyAlignment="1" applyProtection="1">
      <alignment horizontal="left" vertical="top" wrapText="1"/>
    </xf>
    <xf numFmtId="0" fontId="5" fillId="5" borderId="133" xfId="0" applyFont="1" applyFill="1" applyBorder="1" applyAlignment="1" applyProtection="1">
      <alignment horizontal="left" vertical="top" wrapText="1"/>
    </xf>
    <xf numFmtId="0" fontId="43" fillId="5" borderId="133" xfId="0" applyFont="1" applyFill="1" applyBorder="1" applyAlignment="1" applyProtection="1">
      <alignment horizontal="left" vertical="top" wrapText="1"/>
    </xf>
    <xf numFmtId="0" fontId="15" fillId="5" borderId="109" xfId="0" applyFont="1" applyFill="1" applyBorder="1" applyAlignment="1" applyProtection="1">
      <alignment horizontal="left" vertical="center"/>
    </xf>
    <xf numFmtId="0" fontId="15" fillId="5" borderId="90" xfId="0" applyFont="1" applyFill="1" applyBorder="1" applyAlignment="1" applyProtection="1">
      <alignment horizontal="left" vertical="center"/>
    </xf>
    <xf numFmtId="0" fontId="5" fillId="5" borderId="33" xfId="0" applyFont="1" applyFill="1" applyBorder="1" applyAlignment="1" applyProtection="1">
      <alignment horizontal="left" vertical="top" wrapText="1"/>
    </xf>
    <xf numFmtId="0" fontId="5" fillId="5" borderId="58" xfId="0" applyFont="1" applyFill="1" applyBorder="1" applyAlignment="1" applyProtection="1">
      <alignment horizontal="left" vertical="top" wrapText="1"/>
    </xf>
    <xf numFmtId="0" fontId="5" fillId="5" borderId="34" xfId="0" applyFont="1" applyFill="1" applyBorder="1" applyAlignment="1" applyProtection="1">
      <alignment horizontal="left" vertical="top" wrapText="1"/>
    </xf>
    <xf numFmtId="0" fontId="151" fillId="0" borderId="0" xfId="0" applyFont="1" applyFill="1" applyBorder="1" applyAlignment="1" applyProtection="1">
      <alignment horizontal="center" vertical="center"/>
    </xf>
    <xf numFmtId="0" fontId="11" fillId="13" borderId="6" xfId="0" applyFont="1" applyFill="1" applyBorder="1" applyAlignment="1" applyProtection="1">
      <alignment horizontal="center" vertical="center"/>
    </xf>
    <xf numFmtId="0" fontId="11" fillId="13" borderId="80" xfId="0" applyFont="1" applyFill="1" applyBorder="1" applyAlignment="1" applyProtection="1">
      <alignment horizontal="center" vertical="center"/>
    </xf>
    <xf numFmtId="0" fontId="15" fillId="5" borderId="131" xfId="0" applyFont="1" applyFill="1" applyBorder="1" applyAlignment="1" applyProtection="1">
      <alignment horizontal="left" vertical="center"/>
    </xf>
    <xf numFmtId="0" fontId="15" fillId="5" borderId="132" xfId="0" applyFont="1" applyFill="1" applyBorder="1" applyAlignment="1" applyProtection="1">
      <alignment horizontal="left" vertical="center"/>
    </xf>
    <xf numFmtId="0" fontId="15" fillId="5" borderId="133" xfId="0" applyFont="1" applyFill="1" applyBorder="1" applyAlignment="1" applyProtection="1">
      <alignment horizontal="left" vertical="center"/>
    </xf>
    <xf numFmtId="37" fontId="9" fillId="0" borderId="78" xfId="0" applyNumberFormat="1" applyFont="1" applyFill="1" applyBorder="1" applyAlignment="1" applyProtection="1">
      <alignment horizontal="left" vertical="center" wrapText="1"/>
    </xf>
    <xf numFmtId="37" fontId="9" fillId="0" borderId="79" xfId="0" applyNumberFormat="1" applyFont="1" applyFill="1" applyBorder="1" applyAlignment="1" applyProtection="1">
      <alignment horizontal="left" vertical="center" wrapText="1"/>
    </xf>
    <xf numFmtId="175" fontId="11" fillId="10" borderId="78" xfId="0" applyNumberFormat="1" applyFont="1" applyFill="1" applyBorder="1" applyAlignment="1" applyProtection="1">
      <alignment horizontal="center" vertical="center"/>
    </xf>
    <xf numFmtId="175" fontId="11" fillId="10" borderId="79" xfId="0" applyNumberFormat="1" applyFont="1" applyFill="1" applyBorder="1" applyAlignment="1" applyProtection="1">
      <alignment horizontal="center" vertical="center"/>
    </xf>
    <xf numFmtId="0" fontId="20" fillId="5" borderId="78" xfId="0" applyFont="1" applyFill="1" applyBorder="1" applyAlignment="1" applyProtection="1">
      <alignment horizontal="left"/>
    </xf>
    <xf numFmtId="0" fontId="20" fillId="5" borderId="82" xfId="0" applyFont="1" applyFill="1" applyBorder="1" applyAlignment="1" applyProtection="1">
      <alignment horizontal="left"/>
    </xf>
    <xf numFmtId="0" fontId="20" fillId="5" borderId="79" xfId="0" applyFont="1" applyFill="1" applyBorder="1" applyAlignment="1" applyProtection="1">
      <alignment horizontal="left"/>
    </xf>
    <xf numFmtId="0" fontId="43" fillId="5" borderId="28" xfId="0" applyFont="1" applyFill="1" applyBorder="1" applyAlignment="1" applyProtection="1">
      <alignment vertical="top" wrapText="1"/>
    </xf>
    <xf numFmtId="0" fontId="46" fillId="0" borderId="57" xfId="0" applyFont="1" applyBorder="1" applyAlignment="1" applyProtection="1">
      <alignment vertical="top" wrapText="1"/>
    </xf>
    <xf numFmtId="0" fontId="46" fillId="0" borderId="29" xfId="0" applyFont="1" applyBorder="1" applyAlignment="1" applyProtection="1">
      <alignment vertical="top" wrapText="1"/>
    </xf>
    <xf numFmtId="0" fontId="5" fillId="10" borderId="36" xfId="0" applyFont="1" applyFill="1" applyBorder="1" applyAlignment="1" applyProtection="1">
      <alignment horizontal="left" vertical="top"/>
    </xf>
    <xf numFmtId="0" fontId="5" fillId="10" borderId="2" xfId="0" applyFont="1" applyFill="1" applyBorder="1" applyAlignment="1" applyProtection="1">
      <alignment horizontal="left" vertical="top"/>
    </xf>
    <xf numFmtId="0" fontId="5" fillId="10" borderId="37" xfId="0" applyFont="1" applyFill="1" applyBorder="1" applyAlignment="1" applyProtection="1">
      <alignment horizontal="left" vertical="top"/>
    </xf>
    <xf numFmtId="0" fontId="43" fillId="5" borderId="36" xfId="0" applyFont="1" applyFill="1" applyBorder="1" applyAlignment="1" applyProtection="1">
      <alignment horizontal="left" vertical="center" wrapText="1"/>
    </xf>
    <xf numFmtId="0" fontId="43" fillId="5" borderId="2" xfId="0" applyFont="1" applyFill="1" applyBorder="1" applyAlignment="1" applyProtection="1">
      <alignment horizontal="left" vertical="center" wrapText="1"/>
    </xf>
    <xf numFmtId="0" fontId="43" fillId="5" borderId="37" xfId="0" applyFont="1" applyFill="1" applyBorder="1" applyAlignment="1" applyProtection="1">
      <alignment horizontal="left" vertical="center" wrapText="1"/>
    </xf>
    <xf numFmtId="0" fontId="43" fillId="5" borderId="78" xfId="0" applyFont="1" applyFill="1" applyBorder="1" applyAlignment="1" applyProtection="1">
      <alignment horizontal="left" vertical="top" wrapText="1"/>
    </xf>
    <xf numFmtId="0" fontId="43" fillId="5" borderId="82" xfId="0" applyFont="1" applyFill="1" applyBorder="1" applyAlignment="1" applyProtection="1">
      <alignment horizontal="left" vertical="top" wrapText="1"/>
    </xf>
    <xf numFmtId="0" fontId="43" fillId="5" borderId="79" xfId="0" applyFont="1" applyFill="1" applyBorder="1" applyAlignment="1" applyProtection="1">
      <alignment horizontal="left" vertical="top" wrapText="1"/>
    </xf>
    <xf numFmtId="0" fontId="11" fillId="13" borderId="78" xfId="0" applyFont="1" applyFill="1" applyBorder="1" applyAlignment="1" applyProtection="1">
      <alignment horizontal="center" vertical="center"/>
    </xf>
    <xf numFmtId="0" fontId="11" fillId="13" borderId="79" xfId="0" applyFont="1" applyFill="1" applyBorder="1" applyAlignment="1" applyProtection="1">
      <alignment horizontal="center" vertical="center"/>
    </xf>
    <xf numFmtId="0" fontId="5" fillId="5" borderId="78" xfId="0" applyFont="1" applyFill="1" applyBorder="1" applyAlignment="1" applyProtection="1">
      <alignment horizontal="left" vertical="center"/>
    </xf>
    <xf numFmtId="0" fontId="5" fillId="5" borderId="82" xfId="0" applyFont="1" applyFill="1" applyBorder="1" applyAlignment="1" applyProtection="1">
      <alignment horizontal="left" vertical="center"/>
    </xf>
    <xf numFmtId="0" fontId="5" fillId="5" borderId="79" xfId="0" applyFont="1" applyFill="1" applyBorder="1" applyAlignment="1" applyProtection="1">
      <alignment horizontal="left" vertical="center"/>
    </xf>
    <xf numFmtId="0" fontId="15" fillId="0" borderId="0" xfId="0" applyFont="1" applyFill="1" applyBorder="1" applyAlignment="1" applyProtection="1">
      <alignment horizontal="left" vertical="top" wrapText="1"/>
    </xf>
    <xf numFmtId="0" fontId="5" fillId="0" borderId="0" xfId="0" applyFont="1" applyFill="1" applyAlignment="1" applyProtection="1">
      <alignment horizontal="left" wrapText="1"/>
    </xf>
    <xf numFmtId="0" fontId="46" fillId="0" borderId="58" xfId="0" applyFont="1" applyBorder="1" applyAlignment="1" applyProtection="1">
      <alignment horizontal="left" vertical="top" wrapText="1"/>
    </xf>
    <xf numFmtId="0" fontId="46" fillId="0" borderId="34" xfId="0" applyFont="1" applyBorder="1" applyAlignment="1" applyProtection="1">
      <alignment horizontal="left" vertical="top" wrapText="1"/>
    </xf>
    <xf numFmtId="0" fontId="43" fillId="0" borderId="13" xfId="0" applyFont="1" applyFill="1" applyBorder="1" applyAlignment="1" applyProtection="1">
      <alignment horizontal="left" vertical="center" wrapText="1"/>
    </xf>
    <xf numFmtId="0" fontId="15" fillId="13" borderId="17" xfId="0" applyFont="1" applyFill="1" applyBorder="1" applyAlignment="1" applyProtection="1">
      <alignment horizontal="center" vertical="top"/>
    </xf>
    <xf numFmtId="0" fontId="15" fillId="13" borderId="18" xfId="0" applyFont="1" applyFill="1" applyBorder="1" applyAlignment="1" applyProtection="1">
      <alignment horizontal="center" vertical="top"/>
    </xf>
    <xf numFmtId="0" fontId="15" fillId="5" borderId="17" xfId="0" applyFont="1" applyFill="1" applyBorder="1" applyAlignment="1" applyProtection="1">
      <alignment horizontal="center" vertical="top"/>
    </xf>
    <xf numFmtId="0" fontId="15" fillId="5" borderId="18" xfId="0" applyFont="1" applyFill="1" applyBorder="1" applyAlignment="1" applyProtection="1">
      <alignment horizontal="center" vertical="top"/>
    </xf>
    <xf numFmtId="0" fontId="5" fillId="13" borderId="78" xfId="0" applyFont="1" applyFill="1" applyBorder="1" applyAlignment="1" applyProtection="1">
      <alignment horizontal="left" vertical="top" wrapText="1"/>
    </xf>
    <xf numFmtId="0" fontId="5" fillId="13" borderId="82" xfId="0" applyFont="1" applyFill="1" applyBorder="1" applyAlignment="1" applyProtection="1">
      <alignment horizontal="left" vertical="top" wrapText="1"/>
    </xf>
    <xf numFmtId="0" fontId="5" fillId="13" borderId="79" xfId="0" applyFont="1" applyFill="1" applyBorder="1" applyAlignment="1" applyProtection="1">
      <alignment horizontal="left" vertical="top" wrapText="1"/>
    </xf>
    <xf numFmtId="0" fontId="92" fillId="0" borderId="0" xfId="0" applyFont="1" applyFill="1" applyBorder="1" applyAlignment="1" applyProtection="1">
      <alignment horizontal="center" wrapText="1"/>
    </xf>
    <xf numFmtId="0" fontId="92" fillId="0" borderId="13" xfId="0" applyFont="1" applyFill="1" applyBorder="1" applyAlignment="1" applyProtection="1">
      <alignment horizontal="center" wrapText="1"/>
    </xf>
    <xf numFmtId="3" fontId="5" fillId="13" borderId="115" xfId="1" applyNumberFormat="1" applyFont="1" applyFill="1" applyBorder="1" applyAlignment="1" applyProtection="1">
      <alignment horizontal="center" vertical="center"/>
    </xf>
    <xf numFmtId="3" fontId="5" fillId="13" borderId="116" xfId="1" applyNumberFormat="1" applyFont="1" applyFill="1" applyBorder="1" applyAlignment="1" applyProtection="1">
      <alignment horizontal="center" vertical="center"/>
    </xf>
    <xf numFmtId="0" fontId="15" fillId="13" borderId="84" xfId="0" applyFont="1" applyFill="1" applyBorder="1" applyAlignment="1" applyProtection="1">
      <alignment horizontal="center" vertical="top"/>
    </xf>
    <xf numFmtId="0" fontId="15" fillId="13" borderId="12" xfId="0" applyFont="1" applyFill="1" applyBorder="1" applyAlignment="1" applyProtection="1">
      <alignment horizontal="center" vertical="top"/>
    </xf>
    <xf numFmtId="0" fontId="15" fillId="5" borderId="134" xfId="0" applyFont="1" applyFill="1" applyBorder="1" applyAlignment="1" applyProtection="1">
      <alignment horizontal="center" vertical="center"/>
    </xf>
    <xf numFmtId="0" fontId="70" fillId="20" borderId="7" xfId="0" applyFont="1" applyFill="1" applyBorder="1" applyAlignment="1" applyProtection="1">
      <alignment horizontal="center" vertical="center" wrapText="1"/>
    </xf>
    <xf numFmtId="0" fontId="70" fillId="20" borderId="0" xfId="0" applyFont="1" applyFill="1" applyAlignment="1" applyProtection="1">
      <alignment horizontal="center" vertical="center" wrapText="1"/>
    </xf>
    <xf numFmtId="0" fontId="43" fillId="13" borderId="50" xfId="0" applyFont="1" applyFill="1" applyBorder="1" applyAlignment="1" applyProtection="1">
      <alignment horizontal="left" vertical="top" wrapText="1"/>
    </xf>
    <xf numFmtId="0" fontId="43" fillId="13" borderId="38" xfId="0" applyFont="1" applyFill="1" applyBorder="1" applyAlignment="1" applyProtection="1">
      <alignment horizontal="left" vertical="top" wrapText="1"/>
    </xf>
    <xf numFmtId="0" fontId="15" fillId="0" borderId="77" xfId="0" applyFont="1" applyFill="1" applyBorder="1" applyAlignment="1" applyProtection="1">
      <alignment horizontal="center" vertical="top" wrapText="1"/>
    </xf>
    <xf numFmtId="0" fontId="15" fillId="0" borderId="31" xfId="0" applyFont="1" applyFill="1" applyBorder="1" applyAlignment="1" applyProtection="1">
      <alignment horizontal="center" vertical="top" wrapText="1"/>
    </xf>
    <xf numFmtId="0" fontId="46" fillId="13" borderId="49" xfId="0" applyNumberFormat="1" applyFont="1" applyFill="1" applyBorder="1" applyAlignment="1" applyProtection="1">
      <alignment horizontal="center" vertical="center"/>
    </xf>
    <xf numFmtId="0" fontId="46" fillId="13" borderId="24" xfId="0" applyNumberFormat="1" applyFont="1" applyFill="1" applyBorder="1" applyAlignment="1" applyProtection="1">
      <alignment horizontal="center" vertical="center"/>
    </xf>
    <xf numFmtId="0" fontId="5" fillId="0" borderId="0" xfId="0" applyFont="1" applyAlignment="1" applyProtection="1">
      <alignment horizontal="center" wrapText="1"/>
    </xf>
    <xf numFmtId="0" fontId="43" fillId="13" borderId="30" xfId="0" applyFont="1" applyFill="1" applyBorder="1" applyAlignment="1" applyProtection="1">
      <alignment horizontal="left" vertical="top" wrapText="1"/>
    </xf>
    <xf numFmtId="0" fontId="43" fillId="13" borderId="21" xfId="0" applyFont="1" applyFill="1" applyBorder="1" applyAlignment="1" applyProtection="1">
      <alignment horizontal="left" vertical="top" wrapText="1"/>
    </xf>
    <xf numFmtId="0" fontId="43" fillId="13" borderId="74" xfId="0" applyFont="1" applyFill="1" applyBorder="1" applyAlignment="1" applyProtection="1">
      <alignment horizontal="left" vertical="top" wrapText="1"/>
    </xf>
    <xf numFmtId="0" fontId="43" fillId="10" borderId="107" xfId="0" applyFont="1" applyFill="1" applyBorder="1" applyAlignment="1" applyProtection="1">
      <alignment horizontal="left" vertical="top" wrapText="1"/>
    </xf>
    <xf numFmtId="0" fontId="43" fillId="10" borderId="106" xfId="0" applyFont="1" applyFill="1" applyBorder="1" applyAlignment="1" applyProtection="1">
      <alignment horizontal="left" vertical="top" wrapText="1"/>
    </xf>
    <xf numFmtId="0" fontId="43" fillId="10" borderId="99" xfId="0" applyFont="1" applyFill="1" applyBorder="1" applyAlignment="1" applyProtection="1">
      <alignment horizontal="left" vertical="top" wrapText="1"/>
    </xf>
    <xf numFmtId="0" fontId="43" fillId="10" borderId="91" xfId="0" applyFont="1" applyFill="1" applyBorder="1" applyAlignment="1" applyProtection="1">
      <alignment horizontal="left" vertical="top" wrapText="1"/>
    </xf>
    <xf numFmtId="0" fontId="14" fillId="0" borderId="0" xfId="0" applyFont="1" applyFill="1" applyBorder="1" applyAlignment="1" applyProtection="1">
      <alignment horizontal="left" vertical="center" wrapText="1"/>
    </xf>
    <xf numFmtId="0" fontId="5" fillId="0" borderId="7" xfId="0" applyFont="1" applyFill="1" applyBorder="1" applyAlignment="1" applyProtection="1">
      <alignment horizontal="center" vertical="center"/>
    </xf>
    <xf numFmtId="0" fontId="5" fillId="0" borderId="0" xfId="0" applyFont="1" applyFill="1" applyAlignment="1" applyProtection="1">
      <alignment horizontal="center" vertical="center"/>
    </xf>
    <xf numFmtId="0" fontId="105" fillId="0" borderId="0" xfId="0" applyFont="1" applyFill="1" applyAlignment="1" applyProtection="1">
      <alignment horizontal="center" vertical="center" wrapText="1"/>
    </xf>
    <xf numFmtId="0" fontId="43" fillId="0" borderId="93" xfId="0" applyFont="1" applyFill="1" applyBorder="1" applyAlignment="1" applyProtection="1">
      <alignment horizontal="center" vertical="center"/>
    </xf>
    <xf numFmtId="0" fontId="43" fillId="0" borderId="76" xfId="0" applyFont="1" applyFill="1" applyBorder="1" applyAlignment="1" applyProtection="1">
      <alignment horizontal="center" vertical="center"/>
    </xf>
    <xf numFmtId="0" fontId="43" fillId="0" borderId="8" xfId="0" applyFont="1" applyFill="1" applyBorder="1" applyAlignment="1" applyProtection="1">
      <alignment horizontal="center" vertical="center" wrapText="1"/>
    </xf>
    <xf numFmtId="0" fontId="46" fillId="13" borderId="52" xfId="0" applyNumberFormat="1" applyFont="1" applyFill="1" applyBorder="1" applyAlignment="1" applyProtection="1">
      <alignment horizontal="center" vertical="center"/>
    </xf>
    <xf numFmtId="0" fontId="46" fillId="13" borderId="23" xfId="0" applyNumberFormat="1" applyFont="1" applyFill="1" applyBorder="1" applyAlignment="1" applyProtection="1">
      <alignment horizontal="center" vertical="center"/>
    </xf>
    <xf numFmtId="0" fontId="46" fillId="5" borderId="51" xfId="0" applyNumberFormat="1" applyFont="1" applyFill="1" applyBorder="1" applyAlignment="1" applyProtection="1">
      <alignment horizontal="center" vertical="center"/>
    </xf>
    <xf numFmtId="0" fontId="46" fillId="5" borderId="52" xfId="0" applyNumberFormat="1" applyFont="1" applyFill="1" applyBorder="1" applyAlignment="1" applyProtection="1">
      <alignment horizontal="center" vertical="center"/>
    </xf>
    <xf numFmtId="0" fontId="183" fillId="0" borderId="80" xfId="0" applyFont="1" applyFill="1" applyBorder="1" applyAlignment="1" applyProtection="1">
      <alignment horizontal="center" vertical="center" wrapText="1"/>
    </xf>
    <xf numFmtId="0" fontId="183" fillId="0" borderId="85" xfId="0" applyFont="1" applyFill="1" applyBorder="1" applyAlignment="1" applyProtection="1">
      <alignment horizontal="center" vertical="center" wrapText="1"/>
    </xf>
    <xf numFmtId="0" fontId="183" fillId="0" borderId="81" xfId="0" applyFont="1" applyFill="1" applyBorder="1" applyAlignment="1" applyProtection="1">
      <alignment horizontal="center" vertical="center" wrapText="1"/>
    </xf>
    <xf numFmtId="0" fontId="183" fillId="0" borderId="7" xfId="0" applyFont="1" applyFill="1" applyBorder="1" applyAlignment="1" applyProtection="1">
      <alignment horizontal="center" vertical="center" wrapText="1"/>
    </xf>
    <xf numFmtId="0" fontId="183" fillId="0" borderId="0" xfId="0" applyFont="1" applyFill="1" applyBorder="1" applyAlignment="1" applyProtection="1">
      <alignment horizontal="center" vertical="center" wrapText="1"/>
    </xf>
    <xf numFmtId="0" fontId="183" fillId="0" borderId="8" xfId="0" applyFont="1" applyFill="1" applyBorder="1" applyAlignment="1" applyProtection="1">
      <alignment horizontal="center" vertical="center" wrapText="1"/>
    </xf>
    <xf numFmtId="0" fontId="183" fillId="0" borderId="9" xfId="0" applyFont="1" applyFill="1" applyBorder="1" applyAlignment="1" applyProtection="1">
      <alignment horizontal="center" vertical="center" wrapText="1"/>
    </xf>
    <xf numFmtId="0" fontId="183" fillId="0" borderId="13" xfId="0" applyFont="1" applyFill="1" applyBorder="1" applyAlignment="1" applyProtection="1">
      <alignment horizontal="center" vertical="center" wrapText="1"/>
    </xf>
    <xf numFmtId="0" fontId="183" fillId="0" borderId="14" xfId="0" applyFont="1" applyFill="1" applyBorder="1" applyAlignment="1" applyProtection="1">
      <alignment horizontal="center" vertical="center" wrapText="1"/>
    </xf>
    <xf numFmtId="0" fontId="112" fillId="0" borderId="0" xfId="0" applyFont="1" applyFill="1" applyBorder="1" applyAlignment="1" applyProtection="1">
      <alignment horizontal="left" wrapText="1"/>
    </xf>
    <xf numFmtId="0" fontId="46" fillId="13" borderId="93" xfId="0" applyNumberFormat="1" applyFont="1" applyFill="1" applyBorder="1" applyAlignment="1" applyProtection="1">
      <alignment horizontal="center" vertical="center"/>
    </xf>
    <xf numFmtId="0" fontId="46" fillId="13" borderId="34" xfId="0" applyNumberFormat="1" applyFont="1" applyFill="1" applyBorder="1" applyAlignment="1" applyProtection="1">
      <alignment horizontal="center" vertical="center"/>
    </xf>
    <xf numFmtId="0" fontId="99" fillId="0" borderId="0" xfId="0" applyFont="1" applyFill="1" applyAlignment="1" applyProtection="1">
      <alignment horizontal="center" vertical="center"/>
    </xf>
    <xf numFmtId="0" fontId="5" fillId="5" borderId="122" xfId="0" applyFont="1" applyFill="1" applyBorder="1" applyAlignment="1" applyProtection="1">
      <alignment horizontal="left" vertical="top" wrapText="1"/>
    </xf>
    <xf numFmtId="0" fontId="5" fillId="5" borderId="123" xfId="0" applyFont="1" applyFill="1" applyBorder="1" applyAlignment="1" applyProtection="1">
      <alignment horizontal="left" vertical="top" wrapText="1"/>
    </xf>
    <xf numFmtId="0" fontId="5" fillId="5" borderId="124" xfId="0" applyFont="1" applyFill="1" applyBorder="1" applyAlignment="1" applyProtection="1">
      <alignment horizontal="left" vertical="top" wrapText="1"/>
    </xf>
    <xf numFmtId="0" fontId="46" fillId="5" borderId="48" xfId="0" applyNumberFormat="1" applyFont="1" applyFill="1" applyBorder="1" applyAlignment="1" applyProtection="1">
      <alignment horizontal="center" vertical="center"/>
    </xf>
    <xf numFmtId="0" fontId="46" fillId="5" borderId="49" xfId="0" applyNumberFormat="1" applyFont="1" applyFill="1" applyBorder="1" applyAlignment="1" applyProtection="1">
      <alignment horizontal="center" vertical="center"/>
    </xf>
    <xf numFmtId="0" fontId="9" fillId="13" borderId="77" xfId="0" applyFont="1" applyFill="1" applyBorder="1" applyAlignment="1" applyProtection="1">
      <alignment horizontal="center" vertical="top" wrapText="1"/>
    </xf>
    <xf numFmtId="0" fontId="9" fillId="13" borderId="31" xfId="0" applyFont="1" applyFill="1" applyBorder="1" applyAlignment="1" applyProtection="1">
      <alignment horizontal="center" vertical="top" wrapText="1"/>
    </xf>
    <xf numFmtId="0" fontId="5" fillId="0" borderId="141" xfId="0" applyFont="1" applyBorder="1" applyAlignment="1" applyProtection="1">
      <alignment horizontal="center"/>
    </xf>
    <xf numFmtId="0" fontId="5" fillId="0" borderId="0" xfId="0" applyFont="1" applyBorder="1" applyAlignment="1" applyProtection="1">
      <alignment horizontal="left" vertical="top" wrapText="1"/>
    </xf>
    <xf numFmtId="3" fontId="4" fillId="13" borderId="30" xfId="0" applyNumberFormat="1" applyFont="1" applyFill="1" applyBorder="1" applyAlignment="1" applyProtection="1">
      <alignment horizontal="center" vertical="center"/>
    </xf>
    <xf numFmtId="3" fontId="4" fillId="13" borderId="21" xfId="0" applyNumberFormat="1" applyFont="1" applyFill="1" applyBorder="1" applyAlignment="1" applyProtection="1">
      <alignment horizontal="center" vertical="center"/>
    </xf>
    <xf numFmtId="3" fontId="4" fillId="13" borderId="31" xfId="0" applyNumberFormat="1" applyFont="1" applyFill="1" applyBorder="1" applyAlignment="1" applyProtection="1">
      <alignment horizontal="center" vertical="center"/>
    </xf>
    <xf numFmtId="3" fontId="4" fillId="10" borderId="30" xfId="0" applyNumberFormat="1" applyFont="1" applyFill="1" applyBorder="1" applyAlignment="1" applyProtection="1">
      <alignment horizontal="center" vertical="center"/>
    </xf>
    <xf numFmtId="3" fontId="4" fillId="10" borderId="31" xfId="0" applyNumberFormat="1" applyFont="1" applyFill="1" applyBorder="1" applyAlignment="1" applyProtection="1">
      <alignment horizontal="center" vertical="center"/>
    </xf>
    <xf numFmtId="10" fontId="106" fillId="0" borderId="77" xfId="0" applyNumberFormat="1" applyFont="1" applyFill="1" applyBorder="1" applyAlignment="1" applyProtection="1">
      <alignment horizontal="center" vertical="center"/>
    </xf>
    <xf numFmtId="10" fontId="106" fillId="0" borderId="74" xfId="0" applyNumberFormat="1" applyFont="1" applyFill="1" applyBorder="1" applyAlignment="1" applyProtection="1">
      <alignment horizontal="center" vertical="center"/>
    </xf>
    <xf numFmtId="10" fontId="14" fillId="13" borderId="30" xfId="0" applyNumberFormat="1" applyFont="1" applyFill="1" applyBorder="1" applyAlignment="1" applyProtection="1">
      <alignment horizontal="center" vertical="center"/>
    </xf>
    <xf numFmtId="10" fontId="14" fillId="13" borderId="21" xfId="0" applyNumberFormat="1" applyFont="1" applyFill="1" applyBorder="1" applyAlignment="1" applyProtection="1">
      <alignment horizontal="center" vertical="center"/>
    </xf>
    <xf numFmtId="10" fontId="14" fillId="13" borderId="31" xfId="0" applyNumberFormat="1" applyFont="1" applyFill="1" applyBorder="1" applyAlignment="1" applyProtection="1">
      <alignment horizontal="center" vertical="center"/>
    </xf>
    <xf numFmtId="10" fontId="14" fillId="13" borderId="131" xfId="0" applyNumberFormat="1" applyFont="1" applyFill="1" applyBorder="1" applyAlignment="1" applyProtection="1">
      <alignment horizontal="center" vertical="center"/>
    </xf>
    <xf numFmtId="10" fontId="14" fillId="13" borderId="132" xfId="0" applyNumberFormat="1" applyFont="1" applyFill="1" applyBorder="1" applyAlignment="1" applyProtection="1">
      <alignment horizontal="center" vertical="center"/>
    </xf>
    <xf numFmtId="10" fontId="14" fillId="13" borderId="133" xfId="0" applyNumberFormat="1" applyFont="1" applyFill="1" applyBorder="1" applyAlignment="1" applyProtection="1">
      <alignment horizontal="center" vertical="center"/>
    </xf>
    <xf numFmtId="0" fontId="215" fillId="0" borderId="13" xfId="0" applyFont="1" applyBorder="1" applyAlignment="1" applyProtection="1">
      <alignment horizontal="center"/>
    </xf>
    <xf numFmtId="49" fontId="43" fillId="10" borderId="78" xfId="0" applyNumberFormat="1" applyFont="1" applyFill="1" applyBorder="1" applyAlignment="1" applyProtection="1">
      <alignment horizontal="left" vertical="center" wrapText="1"/>
    </xf>
    <xf numFmtId="49" fontId="43" fillId="10" borderId="82" xfId="0" applyNumberFormat="1" applyFont="1" applyFill="1" applyBorder="1" applyAlignment="1" applyProtection="1">
      <alignment horizontal="left" vertical="center" wrapText="1"/>
    </xf>
    <xf numFmtId="49" fontId="43" fillId="10" borderId="79" xfId="0" applyNumberFormat="1" applyFont="1" applyFill="1" applyBorder="1" applyAlignment="1" applyProtection="1">
      <alignment horizontal="left" vertical="center" wrapText="1"/>
    </xf>
    <xf numFmtId="3" fontId="9" fillId="10" borderId="78" xfId="0" applyNumberFormat="1" applyFont="1" applyFill="1" applyBorder="1" applyAlignment="1" applyProtection="1">
      <alignment horizontal="center" vertical="center"/>
    </xf>
    <xf numFmtId="3" fontId="9" fillId="10" borderId="79" xfId="0" applyNumberFormat="1" applyFont="1" applyFill="1" applyBorder="1" applyAlignment="1" applyProtection="1">
      <alignment horizontal="center" vertical="center"/>
    </xf>
    <xf numFmtId="3" fontId="9" fillId="13" borderId="78" xfId="0" applyNumberFormat="1" applyFont="1" applyFill="1" applyBorder="1" applyAlignment="1" applyProtection="1">
      <alignment horizontal="center" vertical="center"/>
    </xf>
    <xf numFmtId="3" fontId="9" fillId="13" borderId="79" xfId="0" applyNumberFormat="1" applyFont="1" applyFill="1" applyBorder="1" applyAlignment="1" applyProtection="1">
      <alignment horizontal="center" vertical="center"/>
    </xf>
    <xf numFmtId="0" fontId="5" fillId="0" borderId="0" xfId="0" applyFont="1" applyAlignment="1" applyProtection="1">
      <alignment horizontal="left" vertical="top" wrapText="1"/>
    </xf>
    <xf numFmtId="0" fontId="86" fillId="0" borderId="0" xfId="0" applyFont="1" applyFill="1" applyAlignment="1" applyProtection="1">
      <alignment horizontal="left" vertical="center" wrapText="1"/>
    </xf>
    <xf numFmtId="0" fontId="158" fillId="0" borderId="0" xfId="0" applyFont="1" applyFill="1" applyBorder="1" applyAlignment="1" applyProtection="1">
      <alignment horizontal="center" vertical="top" wrapText="1"/>
    </xf>
    <xf numFmtId="0" fontId="43" fillId="13" borderId="78" xfId="0" applyFont="1" applyFill="1" applyBorder="1" applyAlignment="1" applyProtection="1">
      <alignment horizontal="left" vertical="top" wrapText="1"/>
    </xf>
    <xf numFmtId="0" fontId="43" fillId="13" borderId="82" xfId="0" applyFont="1" applyFill="1" applyBorder="1" applyAlignment="1" applyProtection="1">
      <alignment horizontal="left" vertical="top" wrapText="1"/>
    </xf>
    <xf numFmtId="0" fontId="43" fillId="13" borderId="79" xfId="0" applyFont="1" applyFill="1" applyBorder="1" applyAlignment="1" applyProtection="1">
      <alignment horizontal="left" vertical="top" wrapText="1"/>
    </xf>
    <xf numFmtId="0" fontId="43" fillId="5" borderId="122" xfId="0" applyFont="1" applyFill="1" applyBorder="1" applyAlignment="1" applyProtection="1">
      <alignment horizontal="left" vertical="top" wrapText="1"/>
    </xf>
    <xf numFmtId="0" fontId="43" fillId="5" borderId="123" xfId="0" applyFont="1" applyFill="1" applyBorder="1" applyAlignment="1" applyProtection="1">
      <alignment horizontal="left" vertical="top" wrapText="1"/>
    </xf>
    <xf numFmtId="0" fontId="43" fillId="5" borderId="124" xfId="0" applyFont="1" applyFill="1" applyBorder="1" applyAlignment="1" applyProtection="1">
      <alignment horizontal="left" vertical="top" wrapText="1"/>
    </xf>
    <xf numFmtId="0" fontId="157" fillId="0" borderId="0" xfId="0" applyFont="1" applyFill="1" applyBorder="1" applyAlignment="1" applyProtection="1">
      <alignment horizontal="center" vertical="top" wrapText="1"/>
    </xf>
    <xf numFmtId="0" fontId="17" fillId="0" borderId="0" xfId="0" applyFont="1" applyAlignment="1" applyProtection="1">
      <alignment horizontal="center"/>
    </xf>
    <xf numFmtId="0" fontId="169" fillId="0" borderId="0" xfId="0" applyFont="1" applyBorder="1" applyAlignment="1" applyProtection="1">
      <alignment horizontal="center" vertical="center" wrapText="1"/>
    </xf>
    <xf numFmtId="0" fontId="5" fillId="5" borderId="18" xfId="0" applyFont="1" applyFill="1" applyBorder="1" applyAlignment="1" applyProtection="1">
      <alignment horizontal="left" vertical="center"/>
    </xf>
    <xf numFmtId="10" fontId="14" fillId="10" borderId="33" xfId="0" applyNumberFormat="1" applyFont="1" applyFill="1" applyBorder="1" applyAlignment="1" applyProtection="1">
      <alignment horizontal="center" vertical="center" wrapText="1"/>
    </xf>
    <xf numFmtId="10" fontId="14" fillId="10" borderId="58" xfId="0" applyNumberFormat="1" applyFont="1" applyFill="1" applyBorder="1" applyAlignment="1" applyProtection="1">
      <alignment horizontal="center" vertical="center" wrapText="1"/>
    </xf>
    <xf numFmtId="10" fontId="14" fillId="10" borderId="34" xfId="0" applyNumberFormat="1" applyFont="1" applyFill="1" applyBorder="1" applyAlignment="1" applyProtection="1">
      <alignment horizontal="center" vertical="center" wrapText="1"/>
    </xf>
    <xf numFmtId="10" fontId="14" fillId="10" borderId="30" xfId="0" applyNumberFormat="1" applyFont="1" applyFill="1" applyBorder="1" applyAlignment="1" applyProtection="1">
      <alignment horizontal="center" vertical="center"/>
    </xf>
    <xf numFmtId="10" fontId="14" fillId="10" borderId="21" xfId="0" applyNumberFormat="1" applyFont="1" applyFill="1" applyBorder="1" applyAlignment="1" applyProtection="1">
      <alignment horizontal="center" vertical="center"/>
    </xf>
    <xf numFmtId="10" fontId="14" fillId="10" borderId="31" xfId="0" applyNumberFormat="1" applyFont="1" applyFill="1" applyBorder="1" applyAlignment="1" applyProtection="1">
      <alignment horizontal="center" vertical="center"/>
    </xf>
    <xf numFmtId="175" fontId="5" fillId="5" borderId="18" xfId="0" applyNumberFormat="1" applyFont="1" applyFill="1" applyBorder="1" applyAlignment="1" applyProtection="1">
      <alignment horizontal="center" vertical="center"/>
    </xf>
    <xf numFmtId="10" fontId="14" fillId="10" borderId="131" xfId="0" applyNumberFormat="1" applyFont="1" applyFill="1" applyBorder="1" applyAlignment="1" applyProtection="1">
      <alignment horizontal="center" vertical="center"/>
    </xf>
    <xf numFmtId="10" fontId="14" fillId="10" borderId="132" xfId="0" applyNumberFormat="1" applyFont="1" applyFill="1" applyBorder="1" applyAlignment="1" applyProtection="1">
      <alignment horizontal="center" vertical="center"/>
    </xf>
    <xf numFmtId="10" fontId="14" fillId="10" borderId="133" xfId="0" applyNumberFormat="1" applyFont="1" applyFill="1" applyBorder="1" applyAlignment="1" applyProtection="1">
      <alignment horizontal="center" vertical="center"/>
    </xf>
    <xf numFmtId="3" fontId="4" fillId="13" borderId="28" xfId="0" applyNumberFormat="1" applyFont="1" applyFill="1" applyBorder="1" applyAlignment="1" applyProtection="1">
      <alignment horizontal="center" vertical="center"/>
    </xf>
    <xf numFmtId="3" fontId="4" fillId="13" borderId="57" xfId="0" applyNumberFormat="1" applyFont="1" applyFill="1" applyBorder="1" applyAlignment="1" applyProtection="1">
      <alignment horizontal="center" vertical="center"/>
    </xf>
    <xf numFmtId="3" fontId="4" fillId="13" borderId="29" xfId="0" applyNumberFormat="1" applyFont="1" applyFill="1" applyBorder="1" applyAlignment="1" applyProtection="1">
      <alignment horizontal="center" vertical="center"/>
    </xf>
    <xf numFmtId="10" fontId="14" fillId="13" borderId="33" xfId="0" applyNumberFormat="1" applyFont="1" applyFill="1" applyBorder="1" applyAlignment="1" applyProtection="1">
      <alignment horizontal="center" vertical="center" wrapText="1"/>
    </xf>
    <xf numFmtId="10" fontId="14" fillId="13" borderId="58" xfId="0" applyNumberFormat="1" applyFont="1" applyFill="1" applyBorder="1" applyAlignment="1" applyProtection="1">
      <alignment horizontal="center" vertical="center" wrapText="1"/>
    </xf>
    <xf numFmtId="10" fontId="14" fillId="13" borderId="34" xfId="0" applyNumberFormat="1" applyFont="1" applyFill="1" applyBorder="1" applyAlignment="1" applyProtection="1">
      <alignment horizontal="center" vertical="center" wrapText="1"/>
    </xf>
    <xf numFmtId="0" fontId="50" fillId="0" borderId="40" xfId="0" applyFont="1" applyFill="1" applyBorder="1" applyAlignment="1" applyProtection="1">
      <alignment horizontal="left" vertical="top" wrapText="1"/>
    </xf>
    <xf numFmtId="0" fontId="50" fillId="0" borderId="0" xfId="0" applyFont="1" applyFill="1" applyBorder="1" applyAlignment="1" applyProtection="1">
      <alignment horizontal="left" vertical="top" wrapText="1"/>
    </xf>
    <xf numFmtId="0" fontId="50" fillId="0" borderId="8" xfId="0" applyFont="1" applyFill="1" applyBorder="1" applyAlignment="1" applyProtection="1">
      <alignment horizontal="left" vertical="top" wrapText="1"/>
    </xf>
    <xf numFmtId="0" fontId="114" fillId="0" borderId="78" xfId="0" applyFont="1" applyBorder="1" applyAlignment="1" applyProtection="1">
      <alignment horizontal="center" vertical="center" wrapText="1"/>
    </xf>
    <xf numFmtId="0" fontId="114" fillId="0" borderId="82" xfId="0" applyFont="1" applyBorder="1" applyAlignment="1" applyProtection="1">
      <alignment horizontal="center" vertical="center" wrapText="1"/>
    </xf>
    <xf numFmtId="0" fontId="114" fillId="0" borderId="79" xfId="0" applyFont="1" applyBorder="1" applyAlignment="1" applyProtection="1">
      <alignment horizontal="center" vertical="center" wrapText="1"/>
    </xf>
    <xf numFmtId="0" fontId="114" fillId="10" borderId="78" xfId="0" applyFont="1" applyFill="1" applyBorder="1" applyAlignment="1" applyProtection="1">
      <alignment horizontal="center" vertical="center" wrapText="1"/>
    </xf>
    <xf numFmtId="0" fontId="114" fillId="10" borderId="82" xfId="0" applyFont="1" applyFill="1" applyBorder="1" applyAlignment="1" applyProtection="1">
      <alignment horizontal="center" vertical="center" wrapText="1"/>
    </xf>
    <xf numFmtId="0" fontId="114" fillId="10" borderId="79" xfId="0" applyFont="1" applyFill="1" applyBorder="1" applyAlignment="1" applyProtection="1">
      <alignment horizontal="center" vertical="center" wrapText="1"/>
    </xf>
    <xf numFmtId="0" fontId="43" fillId="10" borderId="33" xfId="0" applyNumberFormat="1" applyFont="1" applyFill="1" applyBorder="1" applyAlignment="1" applyProtection="1">
      <alignment horizontal="left" vertical="center" wrapText="1"/>
    </xf>
    <xf numFmtId="0" fontId="43" fillId="10" borderId="58" xfId="0" applyNumberFormat="1" applyFont="1" applyFill="1" applyBorder="1" applyAlignment="1" applyProtection="1">
      <alignment horizontal="left" vertical="center" wrapText="1"/>
    </xf>
    <xf numFmtId="0" fontId="43" fillId="10" borderId="34" xfId="0" applyNumberFormat="1" applyFont="1" applyFill="1" applyBorder="1" applyAlignment="1" applyProtection="1">
      <alignment horizontal="left" vertical="center" wrapText="1"/>
    </xf>
    <xf numFmtId="0" fontId="15" fillId="5" borderId="18" xfId="0" applyFont="1" applyFill="1" applyBorder="1" applyAlignment="1" applyProtection="1">
      <alignment horizontal="center" vertical="center"/>
    </xf>
    <xf numFmtId="0" fontId="43" fillId="10" borderId="30" xfId="0" applyNumberFormat="1" applyFont="1" applyFill="1" applyBorder="1" applyAlignment="1" applyProtection="1">
      <alignment horizontal="left" vertical="center" wrapText="1"/>
    </xf>
    <xf numFmtId="0" fontId="43" fillId="10" borderId="21" xfId="0" applyNumberFormat="1" applyFont="1" applyFill="1" applyBorder="1" applyAlignment="1" applyProtection="1">
      <alignment horizontal="left" vertical="center" wrapText="1"/>
    </xf>
    <xf numFmtId="0" fontId="43" fillId="10" borderId="31" xfId="0" applyNumberFormat="1" applyFont="1" applyFill="1" applyBorder="1" applyAlignment="1" applyProtection="1">
      <alignment horizontal="left" vertical="center" wrapText="1"/>
    </xf>
    <xf numFmtId="0" fontId="43" fillId="10" borderId="131" xfId="0" applyNumberFormat="1" applyFont="1" applyFill="1" applyBorder="1" applyAlignment="1" applyProtection="1">
      <alignment horizontal="left" vertical="center" wrapText="1"/>
    </xf>
    <xf numFmtId="0" fontId="43" fillId="10" borderId="132" xfId="0" applyNumberFormat="1" applyFont="1" applyFill="1" applyBorder="1" applyAlignment="1" applyProtection="1">
      <alignment horizontal="left" vertical="center" wrapText="1"/>
    </xf>
    <xf numFmtId="0" fontId="43" fillId="10" borderId="133" xfId="0" applyNumberFormat="1" applyFont="1" applyFill="1" applyBorder="1" applyAlignment="1" applyProtection="1">
      <alignment horizontal="left" vertical="center" wrapText="1"/>
    </xf>
    <xf numFmtId="0" fontId="5" fillId="0" borderId="13" xfId="0" applyFont="1" applyFill="1" applyBorder="1" applyAlignment="1" applyProtection="1">
      <alignment horizontal="center"/>
    </xf>
    <xf numFmtId="3" fontId="4" fillId="0" borderId="28" xfId="0" applyNumberFormat="1" applyFont="1" applyFill="1" applyBorder="1" applyAlignment="1" applyProtection="1">
      <alignment horizontal="center" vertical="center"/>
    </xf>
    <xf numFmtId="3" fontId="4" fillId="0" borderId="29" xfId="0" applyNumberFormat="1" applyFont="1" applyFill="1" applyBorder="1" applyAlignment="1" applyProtection="1">
      <alignment horizontal="center" vertical="center"/>
    </xf>
    <xf numFmtId="0" fontId="43" fillId="10" borderId="27" xfId="0" applyFont="1" applyFill="1" applyBorder="1" applyAlignment="1" applyProtection="1">
      <alignment horizontal="left" vertical="top" wrapText="1"/>
    </xf>
    <xf numFmtId="0" fontId="43" fillId="10" borderId="20" xfId="0" applyFont="1" applyFill="1" applyBorder="1" applyAlignment="1" applyProtection="1">
      <alignment horizontal="left" vertical="top" wrapText="1"/>
    </xf>
    <xf numFmtId="0" fontId="43" fillId="10" borderId="92" xfId="0" applyFont="1" applyFill="1" applyBorder="1" applyAlignment="1" applyProtection="1">
      <alignment horizontal="left" vertical="top" wrapText="1"/>
    </xf>
    <xf numFmtId="0" fontId="43" fillId="10" borderId="30" xfId="0" applyFont="1" applyFill="1" applyBorder="1" applyAlignment="1" applyProtection="1">
      <alignment horizontal="left" vertical="top" wrapText="1"/>
    </xf>
    <xf numFmtId="0" fontId="43" fillId="10" borderId="21" xfId="0" applyFont="1" applyFill="1" applyBorder="1" applyAlignment="1" applyProtection="1">
      <alignment horizontal="left" vertical="top" wrapText="1"/>
    </xf>
    <xf numFmtId="0" fontId="43" fillId="10" borderId="31" xfId="0" applyFont="1" applyFill="1" applyBorder="1" applyAlignment="1" applyProtection="1">
      <alignment horizontal="left" vertical="top" wrapText="1"/>
    </xf>
    <xf numFmtId="0" fontId="43" fillId="10" borderId="33" xfId="0" applyFont="1" applyFill="1" applyBorder="1" applyAlignment="1" applyProtection="1">
      <alignment horizontal="left" vertical="top" wrapText="1"/>
    </xf>
    <xf numFmtId="0" fontId="43" fillId="10" borderId="58" xfId="0" applyFont="1" applyFill="1" applyBorder="1" applyAlignment="1" applyProtection="1">
      <alignment horizontal="left" vertical="top" wrapText="1"/>
    </xf>
    <xf numFmtId="0" fontId="43" fillId="10" borderId="34" xfId="0" applyFont="1" applyFill="1" applyBorder="1" applyAlignment="1" applyProtection="1">
      <alignment horizontal="left" vertical="top" wrapText="1"/>
    </xf>
    <xf numFmtId="0" fontId="43" fillId="13" borderId="33" xfId="0" applyFont="1" applyFill="1" applyBorder="1" applyAlignment="1" applyProtection="1">
      <alignment horizontal="left" vertical="top" wrapText="1"/>
    </xf>
    <xf numFmtId="0" fontId="43" fillId="13" borderId="58" xfId="0" applyFont="1" applyFill="1" applyBorder="1" applyAlignment="1" applyProtection="1">
      <alignment horizontal="left" vertical="top" wrapText="1"/>
    </xf>
    <xf numFmtId="0" fontId="43" fillId="13" borderId="76" xfId="0" applyFont="1" applyFill="1" applyBorder="1" applyAlignment="1" applyProtection="1">
      <alignment horizontal="left" vertical="top" wrapText="1"/>
    </xf>
    <xf numFmtId="0" fontId="5" fillId="5" borderId="134" xfId="0" applyFont="1" applyFill="1" applyBorder="1" applyAlignment="1" applyProtection="1">
      <alignment horizontal="left" vertical="center"/>
    </xf>
    <xf numFmtId="0" fontId="43" fillId="10" borderId="30" xfId="0" applyFont="1" applyFill="1" applyBorder="1" applyAlignment="1" applyProtection="1">
      <alignment horizontal="left" vertical="center" wrapText="1"/>
    </xf>
    <xf numFmtId="0" fontId="43" fillId="10" borderId="21" xfId="0" applyFont="1" applyFill="1" applyBorder="1" applyAlignment="1" applyProtection="1">
      <alignment horizontal="left" vertical="center" wrapText="1"/>
    </xf>
    <xf numFmtId="0" fontId="43" fillId="10" borderId="31" xfId="0" applyFont="1" applyFill="1" applyBorder="1" applyAlignment="1" applyProtection="1">
      <alignment horizontal="left" vertical="center" wrapText="1"/>
    </xf>
    <xf numFmtId="0" fontId="43" fillId="10" borderId="28" xfId="0" applyFont="1" applyFill="1" applyBorder="1" applyAlignment="1" applyProtection="1">
      <alignment horizontal="left" vertical="center" wrapText="1"/>
    </xf>
    <xf numFmtId="0" fontId="43" fillId="10" borderId="57" xfId="0" applyFont="1" applyFill="1" applyBorder="1" applyAlignment="1" applyProtection="1">
      <alignment horizontal="left" vertical="center" wrapText="1"/>
    </xf>
    <xf numFmtId="0" fontId="43" fillId="10" borderId="29" xfId="0" applyFont="1" applyFill="1" applyBorder="1" applyAlignment="1" applyProtection="1">
      <alignment horizontal="left" vertical="center" wrapText="1"/>
    </xf>
    <xf numFmtId="0" fontId="15" fillId="5" borderId="17" xfId="0" applyFont="1" applyFill="1" applyBorder="1" applyAlignment="1" applyProtection="1">
      <alignment horizontal="center" vertical="center"/>
    </xf>
    <xf numFmtId="0" fontId="114" fillId="0" borderId="0" xfId="0" applyFont="1" applyFill="1" applyAlignment="1" applyProtection="1">
      <alignment horizontal="center" vertical="center" wrapText="1"/>
    </xf>
    <xf numFmtId="0" fontId="9" fillId="0" borderId="78" xfId="0" applyFont="1" applyFill="1" applyBorder="1" applyAlignment="1" applyProtection="1">
      <alignment horizontal="center" vertical="center"/>
    </xf>
    <xf numFmtId="0" fontId="9" fillId="0" borderId="79" xfId="0" applyFont="1" applyFill="1" applyBorder="1" applyAlignment="1" applyProtection="1">
      <alignment horizontal="center" vertical="center"/>
    </xf>
    <xf numFmtId="0" fontId="43" fillId="13" borderId="28" xfId="0" applyFont="1" applyFill="1" applyBorder="1" applyAlignment="1" applyProtection="1">
      <alignment horizontal="left" vertical="top" wrapText="1"/>
    </xf>
    <xf numFmtId="0" fontId="43" fillId="13" borderId="57" xfId="0" applyFont="1" applyFill="1" applyBorder="1" applyAlignment="1" applyProtection="1">
      <alignment horizontal="left" vertical="top" wrapText="1"/>
    </xf>
    <xf numFmtId="0" fontId="43" fillId="13" borderId="75" xfId="0" applyFont="1" applyFill="1" applyBorder="1" applyAlignment="1" applyProtection="1">
      <alignment horizontal="left" vertical="top" wrapText="1"/>
    </xf>
    <xf numFmtId="0" fontId="43" fillId="13" borderId="51" xfId="0" applyFont="1" applyFill="1" applyBorder="1" applyAlignment="1" applyProtection="1">
      <alignment horizontal="left" vertical="top" wrapText="1"/>
    </xf>
    <xf numFmtId="0" fontId="43" fillId="13" borderId="52" xfId="0" applyFont="1" applyFill="1" applyBorder="1" applyAlignment="1" applyProtection="1">
      <alignment horizontal="left" vertical="top" wrapText="1"/>
    </xf>
    <xf numFmtId="0" fontId="15" fillId="0" borderId="119" xfId="0" applyFont="1" applyFill="1" applyBorder="1" applyAlignment="1" applyProtection="1">
      <alignment horizontal="center" vertical="top" wrapText="1"/>
    </xf>
    <xf numFmtId="0" fontId="15" fillId="0" borderId="81" xfId="0" applyFont="1" applyFill="1" applyBorder="1" applyAlignment="1" applyProtection="1">
      <alignment horizontal="center" vertical="top" wrapText="1"/>
    </xf>
    <xf numFmtId="0" fontId="45" fillId="0" borderId="13" xfId="0" applyFont="1" applyFill="1" applyBorder="1" applyAlignment="1" applyProtection="1">
      <alignment horizontal="center" vertical="center" wrapText="1"/>
    </xf>
    <xf numFmtId="0" fontId="43" fillId="0" borderId="78" xfId="0" applyFont="1" applyFill="1" applyBorder="1" applyAlignment="1" applyProtection="1">
      <alignment horizontal="center" vertical="center"/>
    </xf>
    <xf numFmtId="0" fontId="43" fillId="0" borderId="79" xfId="0" applyFont="1" applyFill="1" applyBorder="1" applyAlignment="1" applyProtection="1">
      <alignment horizontal="center" vertical="center"/>
    </xf>
    <xf numFmtId="0" fontId="15" fillId="0" borderId="0" xfId="0" applyFont="1" applyFill="1" applyBorder="1" applyAlignment="1" applyProtection="1">
      <alignment horizontal="center" vertical="center" wrapText="1"/>
    </xf>
    <xf numFmtId="0" fontId="15" fillId="0" borderId="9" xfId="0" applyFont="1" applyFill="1" applyBorder="1" applyAlignment="1" applyProtection="1">
      <alignment horizontal="center" vertical="center" wrapText="1"/>
    </xf>
    <xf numFmtId="0" fontId="15" fillId="0" borderId="13" xfId="0" applyFont="1" applyFill="1" applyBorder="1" applyAlignment="1" applyProtection="1">
      <alignment horizontal="center" vertical="center" wrapText="1"/>
    </xf>
    <xf numFmtId="0" fontId="15" fillId="0" borderId="14" xfId="0" applyFont="1" applyFill="1" applyBorder="1" applyAlignment="1" applyProtection="1">
      <alignment horizontal="center" vertical="center" wrapText="1"/>
    </xf>
    <xf numFmtId="0" fontId="15" fillId="0" borderId="0" xfId="0" applyFont="1" applyFill="1" applyBorder="1" applyAlignment="1" applyProtection="1">
      <alignment horizontal="center"/>
    </xf>
    <xf numFmtId="0" fontId="15" fillId="0" borderId="9" xfId="0" applyFont="1" applyFill="1" applyBorder="1" applyAlignment="1" applyProtection="1">
      <alignment horizontal="center"/>
    </xf>
    <xf numFmtId="0" fontId="15" fillId="0" borderId="13" xfId="0" applyFont="1" applyFill="1" applyBorder="1" applyAlignment="1" applyProtection="1">
      <alignment horizontal="center"/>
    </xf>
    <xf numFmtId="0" fontId="15" fillId="0" borderId="14" xfId="0" applyFont="1" applyFill="1" applyBorder="1" applyAlignment="1" applyProtection="1">
      <alignment horizontal="center"/>
    </xf>
    <xf numFmtId="0" fontId="50" fillId="0" borderId="94" xfId="0" applyFont="1" applyFill="1" applyBorder="1" applyAlignment="1" applyProtection="1">
      <alignment horizontal="left" vertical="top" wrapText="1"/>
    </xf>
    <xf numFmtId="0" fontId="50" fillId="0" borderId="13" xfId="0" applyFont="1" applyFill="1" applyBorder="1" applyAlignment="1" applyProtection="1">
      <alignment horizontal="left" vertical="top" wrapText="1"/>
    </xf>
    <xf numFmtId="0" fontId="50" fillId="0" borderId="14" xfId="0" applyFont="1" applyFill="1" applyBorder="1" applyAlignment="1" applyProtection="1">
      <alignment horizontal="left" vertical="top" wrapText="1"/>
    </xf>
    <xf numFmtId="0" fontId="43" fillId="0" borderId="13" xfId="0" applyFont="1" applyFill="1" applyBorder="1" applyAlignment="1" applyProtection="1">
      <alignment horizontal="center"/>
    </xf>
    <xf numFmtId="0" fontId="50" fillId="0" borderId="119" xfId="0" applyFont="1" applyFill="1" applyBorder="1" applyAlignment="1" applyProtection="1">
      <alignment horizontal="left" vertical="top" wrapText="1"/>
    </xf>
    <xf numFmtId="0" fontId="50" fillId="0" borderId="85" xfId="0" applyFont="1" applyFill="1" applyBorder="1" applyAlignment="1" applyProtection="1">
      <alignment horizontal="left" vertical="top" wrapText="1"/>
    </xf>
    <xf numFmtId="49" fontId="102" fillId="20" borderId="0" xfId="0" applyNumberFormat="1" applyFont="1" applyFill="1" applyAlignment="1" applyProtection="1">
      <alignment horizontal="center" vertical="center"/>
    </xf>
    <xf numFmtId="0" fontId="200" fillId="0" borderId="0" xfId="0" applyFont="1" applyFill="1" applyAlignment="1" applyProtection="1">
      <alignment horizontal="left" vertical="center" wrapText="1"/>
    </xf>
    <xf numFmtId="0" fontId="112" fillId="0" borderId="0" xfId="0" applyFont="1" applyAlignment="1" applyProtection="1">
      <alignment horizontal="justify" vertical="center" wrapText="1"/>
    </xf>
    <xf numFmtId="0" fontId="112" fillId="0" borderId="13" xfId="0" applyFont="1" applyBorder="1" applyAlignment="1" applyProtection="1">
      <alignment horizontal="justify" vertical="center" wrapText="1"/>
    </xf>
    <xf numFmtId="0" fontId="11" fillId="0" borderId="38" xfId="0" applyFont="1" applyBorder="1" applyAlignment="1" applyProtection="1">
      <alignment horizontal="center" vertical="center" wrapText="1"/>
    </xf>
    <xf numFmtId="0" fontId="50" fillId="0" borderId="43" xfId="0" applyFont="1" applyFill="1" applyBorder="1" applyAlignment="1" applyProtection="1">
      <alignment horizontal="left" vertical="top" wrapText="1"/>
    </xf>
    <xf numFmtId="0" fontId="50" fillId="0" borderId="19" xfId="0" applyFont="1" applyFill="1" applyBorder="1" applyAlignment="1" applyProtection="1">
      <alignment horizontal="left" vertical="top" wrapText="1"/>
    </xf>
    <xf numFmtId="0" fontId="50" fillId="0" borderId="32" xfId="0" applyFont="1" applyFill="1" applyBorder="1" applyAlignment="1" applyProtection="1">
      <alignment horizontal="left" vertical="top" wrapText="1"/>
    </xf>
    <xf numFmtId="0" fontId="114" fillId="0" borderId="78" xfId="0" applyFont="1" applyBorder="1" applyAlignment="1" applyProtection="1">
      <alignment horizontal="center" vertical="center"/>
    </xf>
    <xf numFmtId="0" fontId="114" fillId="0" borderId="82" xfId="0" applyFont="1" applyBorder="1" applyAlignment="1" applyProtection="1">
      <alignment horizontal="center" vertical="center"/>
    </xf>
    <xf numFmtId="0" fontId="114" fillId="0" borderId="79" xfId="0" applyFont="1" applyBorder="1" applyAlignment="1" applyProtection="1">
      <alignment horizontal="center" vertical="center"/>
    </xf>
    <xf numFmtId="10" fontId="92" fillId="0" borderId="78" xfId="0" applyNumberFormat="1" applyFont="1" applyBorder="1" applyAlignment="1" applyProtection="1">
      <alignment horizontal="center" vertical="center"/>
    </xf>
    <xf numFmtId="10" fontId="92" fillId="0" borderId="79" xfId="0" applyNumberFormat="1" applyFont="1" applyBorder="1" applyAlignment="1" applyProtection="1">
      <alignment horizontal="center" vertical="center"/>
    </xf>
    <xf numFmtId="0" fontId="9" fillId="13" borderId="93" xfId="0" applyFont="1" applyFill="1" applyBorder="1" applyAlignment="1" applyProtection="1">
      <alignment horizontal="center" vertical="top" wrapText="1"/>
    </xf>
    <xf numFmtId="0" fontId="9" fillId="13" borderId="34" xfId="0" applyFont="1" applyFill="1" applyBorder="1" applyAlignment="1" applyProtection="1">
      <alignment horizontal="center" vertical="top" wrapText="1"/>
    </xf>
    <xf numFmtId="0" fontId="114" fillId="0" borderId="159" xfId="0" applyFont="1" applyFill="1" applyBorder="1" applyAlignment="1" applyProtection="1">
      <alignment horizontal="center" vertical="center" wrapText="1"/>
    </xf>
    <xf numFmtId="0" fontId="114" fillId="0" borderId="160" xfId="0" applyFont="1" applyFill="1" applyBorder="1" applyAlignment="1" applyProtection="1">
      <alignment horizontal="center" vertical="center" wrapText="1"/>
    </xf>
    <xf numFmtId="0" fontId="114" fillId="0" borderId="161" xfId="0" applyFont="1" applyFill="1" applyBorder="1" applyAlignment="1" applyProtection="1">
      <alignment horizontal="center" vertical="center" wrapText="1"/>
    </xf>
    <xf numFmtId="0" fontId="114" fillId="0" borderId="162" xfId="0" applyFont="1" applyFill="1" applyBorder="1" applyAlignment="1" applyProtection="1">
      <alignment horizontal="center" vertical="center" wrapText="1"/>
    </xf>
    <xf numFmtId="0" fontId="114" fillId="0" borderId="0" xfId="0" applyFont="1" applyFill="1" applyBorder="1" applyAlignment="1" applyProtection="1">
      <alignment horizontal="center" vertical="center" wrapText="1"/>
    </xf>
    <xf numFmtId="0" fontId="114" fillId="0" borderId="163" xfId="0" applyFont="1" applyFill="1" applyBorder="1" applyAlignment="1" applyProtection="1">
      <alignment horizontal="center" vertical="center" wrapText="1"/>
    </xf>
    <xf numFmtId="0" fontId="114" fillId="0" borderId="164" xfId="0" applyFont="1" applyFill="1" applyBorder="1" applyAlignment="1" applyProtection="1">
      <alignment horizontal="center" vertical="center" wrapText="1"/>
    </xf>
    <xf numFmtId="0" fontId="114" fillId="0" borderId="165" xfId="0" applyFont="1" applyFill="1" applyBorder="1" applyAlignment="1" applyProtection="1">
      <alignment horizontal="center" vertical="center" wrapText="1"/>
    </xf>
    <xf numFmtId="0" fontId="114" fillId="0" borderId="166" xfId="0" applyFont="1" applyFill="1" applyBorder="1" applyAlignment="1" applyProtection="1">
      <alignment horizontal="center" vertical="center" wrapText="1"/>
    </xf>
    <xf numFmtId="0" fontId="46" fillId="13" borderId="96" xfId="0" applyNumberFormat="1" applyFont="1" applyFill="1" applyBorder="1" applyAlignment="1" applyProtection="1">
      <alignment horizontal="center" vertical="center"/>
    </xf>
    <xf numFmtId="0" fontId="46" fillId="13" borderId="29" xfId="0" applyNumberFormat="1" applyFont="1" applyFill="1" applyBorder="1" applyAlignment="1" applyProtection="1">
      <alignment horizontal="center" vertical="center"/>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85" fillId="0" borderId="0" xfId="0" applyFont="1" applyBorder="1" applyAlignment="1" applyProtection="1">
      <alignment horizontal="center"/>
    </xf>
    <xf numFmtId="0" fontId="85" fillId="0" borderId="13" xfId="0" applyFont="1" applyBorder="1" applyAlignment="1" applyProtection="1">
      <alignment horizontal="center"/>
    </xf>
    <xf numFmtId="0" fontId="92" fillId="0" borderId="78" xfId="0" applyFont="1" applyBorder="1" applyAlignment="1" applyProtection="1">
      <alignment horizontal="center" vertical="center"/>
    </xf>
    <xf numFmtId="0" fontId="92" fillId="0" borderId="82" xfId="0" applyFont="1" applyBorder="1" applyAlignment="1" applyProtection="1">
      <alignment horizontal="center" vertical="center"/>
    </xf>
    <xf numFmtId="0" fontId="92" fillId="0" borderId="79" xfId="0" applyFont="1" applyBorder="1" applyAlignment="1" applyProtection="1">
      <alignment horizontal="center" vertical="center"/>
    </xf>
    <xf numFmtId="0" fontId="14" fillId="0" borderId="13" xfId="0" applyFont="1" applyFill="1" applyBorder="1" applyAlignment="1" applyProtection="1">
      <alignment horizontal="center" vertical="center"/>
    </xf>
    <xf numFmtId="38" fontId="43" fillId="0" borderId="0" xfId="0" applyNumberFormat="1"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0" fontId="85" fillId="0" borderId="0" xfId="0" applyFont="1" applyFill="1" applyBorder="1" applyAlignment="1" applyProtection="1">
      <alignment horizontal="left" vertical="center"/>
    </xf>
    <xf numFmtId="3" fontId="11" fillId="0" borderId="77" xfId="0" applyNumberFormat="1" applyFont="1" applyFill="1" applyBorder="1" applyAlignment="1" applyProtection="1">
      <alignment horizontal="center" vertical="center"/>
    </xf>
    <xf numFmtId="3" fontId="11" fillId="0" borderId="74" xfId="0" applyNumberFormat="1" applyFont="1" applyFill="1" applyBorder="1" applyAlignment="1" applyProtection="1">
      <alignment horizontal="center" vertical="center"/>
    </xf>
    <xf numFmtId="0" fontId="5" fillId="0" borderId="13" xfId="0" applyFont="1" applyBorder="1" applyAlignment="1" applyProtection="1">
      <alignment horizontal="center"/>
    </xf>
    <xf numFmtId="0" fontId="5" fillId="0" borderId="0" xfId="0" quotePrefix="1" applyFont="1" applyFill="1" applyAlignment="1" applyProtection="1">
      <alignment horizontal="left" wrapText="1"/>
    </xf>
    <xf numFmtId="38" fontId="4" fillId="0" borderId="78" xfId="0" applyNumberFormat="1" applyFont="1" applyFill="1" applyBorder="1" applyAlignment="1" applyProtection="1">
      <alignment horizontal="center" vertical="center"/>
    </xf>
    <xf numFmtId="38" fontId="4" fillId="0" borderId="82" xfId="0" applyNumberFormat="1" applyFont="1" applyFill="1" applyBorder="1" applyAlignment="1" applyProtection="1">
      <alignment horizontal="center" vertical="center"/>
    </xf>
    <xf numFmtId="38" fontId="4" fillId="0" borderId="79" xfId="0" applyNumberFormat="1" applyFont="1" applyFill="1" applyBorder="1" applyAlignment="1" applyProtection="1">
      <alignment horizontal="center" vertical="center"/>
    </xf>
    <xf numFmtId="4" fontId="70" fillId="0" borderId="33" xfId="0" applyNumberFormat="1" applyFont="1" applyFill="1" applyBorder="1" applyAlignment="1" applyProtection="1">
      <alignment horizontal="center" vertical="center"/>
    </xf>
    <xf numFmtId="4" fontId="70" fillId="0" borderId="34" xfId="0" applyNumberFormat="1" applyFont="1" applyFill="1" applyBorder="1" applyAlignment="1" applyProtection="1">
      <alignment horizontal="center" vertical="center"/>
    </xf>
    <xf numFmtId="0" fontId="77" fillId="0" borderId="0" xfId="0" applyFont="1" applyFill="1" applyAlignment="1" applyProtection="1">
      <alignment horizontal="left" vertical="center" wrapText="1"/>
    </xf>
    <xf numFmtId="0" fontId="180" fillId="20" borderId="80" xfId="0" applyFont="1" applyFill="1" applyBorder="1" applyAlignment="1" applyProtection="1">
      <alignment horizontal="center" vertical="center" wrapText="1"/>
    </xf>
    <xf numFmtId="0" fontId="180" fillId="20" borderId="85" xfId="0" applyFont="1" applyFill="1" applyBorder="1" applyAlignment="1" applyProtection="1">
      <alignment horizontal="center" vertical="center" wrapText="1"/>
    </xf>
    <xf numFmtId="0" fontId="180" fillId="20" borderId="81" xfId="0" applyFont="1" applyFill="1" applyBorder="1" applyAlignment="1" applyProtection="1">
      <alignment horizontal="center" vertical="center" wrapText="1"/>
    </xf>
    <xf numFmtId="0" fontId="180" fillId="20" borderId="7" xfId="0" applyFont="1" applyFill="1" applyBorder="1" applyAlignment="1" applyProtection="1">
      <alignment horizontal="center" vertical="center" wrapText="1"/>
    </xf>
    <xf numFmtId="0" fontId="180" fillId="20" borderId="0" xfId="0" applyFont="1" applyFill="1" applyBorder="1" applyAlignment="1" applyProtection="1">
      <alignment horizontal="center" vertical="center" wrapText="1"/>
    </xf>
    <xf numFmtId="0" fontId="180" fillId="20" borderId="8" xfId="0" applyFont="1" applyFill="1" applyBorder="1" applyAlignment="1" applyProtection="1">
      <alignment horizontal="center" vertical="center" wrapText="1"/>
    </xf>
    <xf numFmtId="0" fontId="180" fillId="20" borderId="9" xfId="0" applyFont="1" applyFill="1" applyBorder="1" applyAlignment="1" applyProtection="1">
      <alignment horizontal="center" vertical="center" wrapText="1"/>
    </xf>
    <xf numFmtId="0" fontId="180" fillId="20" borderId="13" xfId="0" applyFont="1" applyFill="1" applyBorder="1" applyAlignment="1" applyProtection="1">
      <alignment horizontal="center" vertical="center" wrapText="1"/>
    </xf>
    <xf numFmtId="0" fontId="180" fillId="20" borderId="14" xfId="0" applyFont="1" applyFill="1" applyBorder="1" applyAlignment="1" applyProtection="1">
      <alignment horizontal="center" vertical="center" wrapText="1"/>
    </xf>
    <xf numFmtId="0" fontId="46" fillId="5" borderId="51" xfId="0" quotePrefix="1" applyNumberFormat="1" applyFont="1" applyFill="1" applyBorder="1" applyAlignment="1" applyProtection="1">
      <alignment horizontal="center" vertical="center"/>
    </xf>
    <xf numFmtId="0" fontId="5" fillId="0" borderId="8" xfId="0" applyFont="1" applyFill="1" applyBorder="1" applyAlignment="1" applyProtection="1">
      <alignment horizontal="left" vertical="center" wrapText="1"/>
    </xf>
    <xf numFmtId="0" fontId="46" fillId="5" borderId="28" xfId="0" applyNumberFormat="1" applyFont="1" applyFill="1" applyBorder="1" applyAlignment="1" applyProtection="1">
      <alignment horizontal="center" vertical="center"/>
    </xf>
    <xf numFmtId="0" fontId="46" fillId="5" borderId="75" xfId="0" applyNumberFormat="1" applyFont="1" applyFill="1" applyBorder="1" applyAlignment="1" applyProtection="1">
      <alignment horizontal="center" vertical="center"/>
    </xf>
    <xf numFmtId="0" fontId="46" fillId="5" borderId="28" xfId="0" quotePrefix="1" applyNumberFormat="1" applyFont="1" applyFill="1" applyBorder="1" applyAlignment="1" applyProtection="1">
      <alignment horizontal="center" vertical="center"/>
    </xf>
    <xf numFmtId="0" fontId="50" fillId="0" borderId="42" xfId="0" applyFont="1" applyFill="1" applyBorder="1" applyAlignment="1" applyProtection="1">
      <alignment horizontal="left" vertical="top" wrapText="1"/>
    </xf>
    <xf numFmtId="0" fontId="50" fillId="0" borderId="20" xfId="0" applyFont="1" applyFill="1" applyBorder="1" applyAlignment="1" applyProtection="1">
      <alignment horizontal="left" vertical="top" wrapText="1"/>
    </xf>
    <xf numFmtId="0" fontId="50" fillId="0" borderId="92" xfId="0" applyFont="1" applyFill="1" applyBorder="1" applyAlignment="1" applyProtection="1">
      <alignment horizontal="left" vertical="top" wrapText="1"/>
    </xf>
    <xf numFmtId="167" fontId="43" fillId="10" borderId="108" xfId="0" applyNumberFormat="1" applyFont="1" applyFill="1" applyBorder="1" applyAlignment="1" applyProtection="1">
      <alignment horizontal="left" vertical="top" wrapText="1"/>
    </xf>
    <xf numFmtId="167" fontId="43" fillId="10" borderId="98" xfId="0" applyNumberFormat="1" applyFont="1" applyFill="1" applyBorder="1" applyAlignment="1" applyProtection="1">
      <alignment horizontal="left" vertical="top" wrapText="1"/>
    </xf>
    <xf numFmtId="0" fontId="97" fillId="0" borderId="0" xfId="0" applyFont="1" applyFill="1" applyBorder="1" applyAlignment="1" applyProtection="1">
      <alignment horizontal="center"/>
    </xf>
    <xf numFmtId="3" fontId="4" fillId="0" borderId="56" xfId="0" applyNumberFormat="1" applyFont="1" applyFill="1" applyBorder="1" applyAlignment="1" applyProtection="1">
      <alignment horizontal="center" vertical="center"/>
    </xf>
    <xf numFmtId="3" fontId="4" fillId="0" borderId="35" xfId="0" applyNumberFormat="1" applyFont="1" applyFill="1" applyBorder="1" applyAlignment="1" applyProtection="1">
      <alignment horizontal="center" vertical="center"/>
    </xf>
    <xf numFmtId="0" fontId="17" fillId="0" borderId="0" xfId="0" applyFont="1" applyFill="1" applyBorder="1" applyAlignment="1" applyProtection="1">
      <alignment horizontal="left" vertical="center" wrapText="1"/>
    </xf>
    <xf numFmtId="3" fontId="147" fillId="0" borderId="96" xfId="0" applyNumberFormat="1" applyFont="1" applyFill="1" applyBorder="1" applyAlignment="1" applyProtection="1">
      <alignment horizontal="center" vertical="center"/>
    </xf>
    <xf numFmtId="3" fontId="147" fillId="0" borderId="75" xfId="0" applyNumberFormat="1" applyFont="1" applyFill="1" applyBorder="1" applyAlignment="1" applyProtection="1">
      <alignment horizontal="center" vertical="center"/>
    </xf>
    <xf numFmtId="3" fontId="4" fillId="0" borderId="1" xfId="0" applyNumberFormat="1" applyFont="1" applyFill="1" applyBorder="1" applyAlignment="1" applyProtection="1">
      <alignment horizontal="center" vertical="center"/>
    </xf>
    <xf numFmtId="3" fontId="4" fillId="10" borderId="28" xfId="0" applyNumberFormat="1" applyFont="1" applyFill="1" applyBorder="1" applyAlignment="1" applyProtection="1">
      <alignment horizontal="center" vertical="center"/>
    </xf>
    <xf numFmtId="3" fontId="4" fillId="10" borderId="29" xfId="0" applyNumberFormat="1" applyFont="1" applyFill="1" applyBorder="1" applyAlignment="1" applyProtection="1">
      <alignment horizontal="center" vertical="center"/>
    </xf>
    <xf numFmtId="0" fontId="5" fillId="0" borderId="0" xfId="0" quotePrefix="1" applyFont="1" applyAlignment="1" applyProtection="1">
      <alignment horizontal="left" vertical="top" wrapText="1"/>
    </xf>
    <xf numFmtId="0" fontId="5" fillId="0" borderId="13" xfId="0" applyFont="1" applyBorder="1" applyAlignment="1" applyProtection="1">
      <alignment horizontal="center" vertical="center"/>
    </xf>
    <xf numFmtId="4" fontId="70" fillId="0" borderId="78" xfId="0" applyNumberFormat="1" applyFont="1" applyFill="1" applyBorder="1" applyAlignment="1" applyProtection="1">
      <alignment horizontal="center" vertical="center"/>
    </xf>
    <xf numFmtId="4" fontId="70" fillId="0" borderId="82" xfId="0" applyNumberFormat="1" applyFont="1" applyFill="1" applyBorder="1" applyAlignment="1" applyProtection="1">
      <alignment horizontal="center" vertical="center"/>
    </xf>
    <xf numFmtId="4" fontId="70" fillId="0" borderId="79" xfId="0" applyNumberFormat="1" applyFont="1" applyFill="1" applyBorder="1" applyAlignment="1" applyProtection="1">
      <alignment horizontal="center" vertical="center"/>
    </xf>
    <xf numFmtId="0" fontId="11" fillId="10" borderId="77" xfId="0" applyFont="1" applyFill="1" applyBorder="1" applyAlignment="1" applyProtection="1">
      <alignment horizontal="center" vertical="center" wrapText="1"/>
    </xf>
    <xf numFmtId="0" fontId="11" fillId="10" borderId="74" xfId="0" applyFont="1" applyFill="1" applyBorder="1" applyAlignment="1" applyProtection="1">
      <alignment horizontal="center" vertical="center" wrapText="1"/>
    </xf>
    <xf numFmtId="0" fontId="11" fillId="13" borderId="77" xfId="0" applyFont="1" applyFill="1" applyBorder="1" applyAlignment="1" applyProtection="1">
      <alignment horizontal="center" vertical="center" wrapText="1"/>
    </xf>
    <xf numFmtId="0" fontId="11" fillId="13" borderId="74" xfId="0" applyFont="1" applyFill="1" applyBorder="1" applyAlignment="1" applyProtection="1">
      <alignment horizontal="center" vertical="center" wrapText="1"/>
    </xf>
    <xf numFmtId="0" fontId="43" fillId="10" borderId="33" xfId="0" applyFont="1" applyFill="1" applyBorder="1" applyAlignment="1" applyProtection="1">
      <alignment horizontal="left" vertical="center" wrapText="1"/>
    </xf>
    <xf numFmtId="0" fontId="43" fillId="10" borderId="58" xfId="0" applyFont="1" applyFill="1" applyBorder="1" applyAlignment="1" applyProtection="1">
      <alignment horizontal="left" vertical="center" wrapText="1"/>
    </xf>
    <xf numFmtId="0" fontId="43" fillId="10" borderId="34" xfId="0" applyFont="1" applyFill="1" applyBorder="1" applyAlignment="1" applyProtection="1">
      <alignment horizontal="left" vertical="center" wrapText="1"/>
    </xf>
    <xf numFmtId="175" fontId="5" fillId="5" borderId="134" xfId="0" applyNumberFormat="1" applyFont="1" applyFill="1" applyBorder="1" applyAlignment="1" applyProtection="1">
      <alignment horizontal="center" vertical="center"/>
    </xf>
    <xf numFmtId="0" fontId="204" fillId="0" borderId="0" xfId="0" applyFont="1" applyFill="1" applyAlignment="1" applyProtection="1">
      <alignment horizontal="left" vertical="top" wrapText="1"/>
    </xf>
    <xf numFmtId="3" fontId="4" fillId="13" borderId="26" xfId="0" applyNumberFormat="1" applyFont="1" applyFill="1" applyBorder="1" applyAlignment="1" applyProtection="1">
      <alignment horizontal="center" vertical="center"/>
    </xf>
    <xf numFmtId="3" fontId="4" fillId="13" borderId="19" xfId="0" applyNumberFormat="1" applyFont="1" applyFill="1" applyBorder="1" applyAlignment="1" applyProtection="1">
      <alignment horizontal="center" vertical="center"/>
    </xf>
    <xf numFmtId="3" fontId="4" fillId="13" borderId="32" xfId="0" applyNumberFormat="1" applyFont="1" applyFill="1" applyBorder="1" applyAlignment="1" applyProtection="1">
      <alignment horizontal="center" vertical="center"/>
    </xf>
    <xf numFmtId="3" fontId="147" fillId="0" borderId="77" xfId="0" applyNumberFormat="1" applyFont="1" applyFill="1" applyBorder="1" applyAlignment="1" applyProtection="1">
      <alignment horizontal="center" vertical="center"/>
    </xf>
    <xf numFmtId="3" fontId="147" fillId="0" borderId="74" xfId="0" applyNumberFormat="1" applyFont="1" applyFill="1" applyBorder="1" applyAlignment="1" applyProtection="1">
      <alignment horizontal="center" vertical="center"/>
    </xf>
    <xf numFmtId="0" fontId="5" fillId="0" borderId="13" xfId="0" applyFont="1" applyFill="1" applyBorder="1" applyAlignment="1" applyProtection="1">
      <alignment horizontal="left" vertical="center" wrapText="1"/>
    </xf>
    <xf numFmtId="0" fontId="117" fillId="0" borderId="0" xfId="13" applyFont="1" applyAlignment="1" applyProtection="1">
      <alignment horizontal="center"/>
    </xf>
    <xf numFmtId="0" fontId="10" fillId="0" borderId="0" xfId="13" applyFont="1" applyAlignment="1" applyProtection="1">
      <alignment horizontal="justify" vertical="top" wrapText="1"/>
    </xf>
    <xf numFmtId="0" fontId="117" fillId="0" borderId="0" xfId="13" applyFont="1" applyAlignment="1" applyProtection="1">
      <alignment horizontal="justify" vertical="top" wrapText="1"/>
    </xf>
    <xf numFmtId="0" fontId="135" fillId="0" borderId="0" xfId="13" applyFont="1" applyAlignment="1" applyProtection="1">
      <alignment horizontal="justify" vertical="top" wrapText="1"/>
    </xf>
    <xf numFmtId="0" fontId="10" fillId="0" borderId="0" xfId="13" applyFont="1" applyAlignment="1" applyProtection="1">
      <alignment horizontal="justify" vertical="top"/>
    </xf>
    <xf numFmtId="0" fontId="10" fillId="0" borderId="0" xfId="13" applyNumberFormat="1" applyFont="1" applyAlignment="1" applyProtection="1">
      <alignment horizontal="justify" vertical="top" wrapText="1"/>
    </xf>
    <xf numFmtId="0" fontId="10" fillId="0" borderId="0" xfId="13" applyFont="1" applyAlignment="1" applyProtection="1">
      <alignment horizontal="left" vertical="top" wrapText="1"/>
    </xf>
    <xf numFmtId="0" fontId="6" fillId="0" borderId="0" xfId="13" applyFont="1" applyAlignment="1" applyProtection="1">
      <alignment horizontal="center"/>
    </xf>
    <xf numFmtId="6" fontId="6"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180" fontId="10" fillId="0" borderId="0" xfId="13" applyNumberFormat="1" applyFont="1" applyAlignment="1" applyProtection="1">
      <alignment horizontal="left"/>
    </xf>
    <xf numFmtId="0" fontId="10" fillId="0" borderId="70" xfId="13" applyFont="1" applyBorder="1" applyAlignment="1" applyProtection="1">
      <alignment horizontal="left"/>
    </xf>
    <xf numFmtId="0" fontId="10" fillId="0" borderId="0" xfId="13" applyFont="1" applyBorder="1" applyAlignment="1" applyProtection="1">
      <alignment horizontal="left"/>
    </xf>
    <xf numFmtId="9" fontId="10" fillId="0" borderId="0" xfId="10" applyFont="1" applyAlignment="1" applyProtection="1">
      <alignment horizontal="justify" vertical="top" wrapText="1"/>
    </xf>
    <xf numFmtId="9" fontId="135" fillId="0" borderId="0" xfId="10" applyFont="1" applyAlignment="1" applyProtection="1">
      <alignment horizontal="justify" vertical="top" wrapText="1"/>
    </xf>
    <xf numFmtId="0" fontId="10" fillId="0" borderId="0" xfId="13" applyFont="1" applyFill="1" applyAlignment="1" applyProtection="1">
      <alignment horizontal="justify" vertical="top" wrapText="1"/>
    </xf>
    <xf numFmtId="0" fontId="116" fillId="0" borderId="0" xfId="13" applyFont="1" applyFill="1" applyAlignment="1" applyProtection="1">
      <alignment horizontal="justify" vertical="top" wrapText="1"/>
    </xf>
    <xf numFmtId="0" fontId="10" fillId="7" borderId="0" xfId="13" applyFont="1" applyFill="1" applyAlignment="1" applyProtection="1">
      <alignment horizontal="justify" vertical="top" wrapText="1"/>
    </xf>
    <xf numFmtId="0" fontId="10" fillId="0" borderId="0" xfId="13" applyFont="1" applyAlignment="1">
      <alignment horizontal="left"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10" fillId="10" borderId="0" xfId="13" applyFont="1" applyFill="1" applyAlignment="1" applyProtection="1">
      <alignment horizontal="left" vertical="top"/>
    </xf>
    <xf numFmtId="0" fontId="135" fillId="0" borderId="0" xfId="13" applyFont="1" applyAlignment="1" applyProtection="1">
      <alignment horizontal="left"/>
    </xf>
    <xf numFmtId="0" fontId="135" fillId="0" borderId="0" xfId="13" applyFont="1" applyAlignment="1" applyProtection="1"/>
    <xf numFmtId="0" fontId="137" fillId="0" borderId="0" xfId="13" applyFont="1" applyFill="1" applyAlignment="1" applyProtection="1">
      <alignment horizontal="justify" vertical="top" wrapText="1"/>
    </xf>
    <xf numFmtId="0" fontId="132" fillId="10" borderId="0" xfId="13" applyFont="1" applyFill="1" applyAlignment="1" applyProtection="1">
      <alignment horizontal="left" vertical="top" wrapText="1"/>
    </xf>
    <xf numFmtId="0" fontId="135" fillId="0" borderId="0" xfId="13" applyFont="1" applyAlignment="1" applyProtection="1">
      <alignment horizontal="left" vertical="top" wrapText="1"/>
    </xf>
    <xf numFmtId="0" fontId="10" fillId="0" borderId="0" xfId="13" applyFont="1" applyAlignment="1" applyProtection="1">
      <alignment vertical="top" wrapText="1"/>
    </xf>
    <xf numFmtId="180" fontId="117" fillId="0" borderId="0" xfId="13" applyNumberFormat="1" applyFont="1" applyFill="1" applyAlignment="1" applyProtection="1">
      <alignment horizontal="left"/>
    </xf>
    <xf numFmtId="0" fontId="117" fillId="0" borderId="0" xfId="13"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17" fillId="5" borderId="0" xfId="0" applyFont="1" applyFill="1" applyBorder="1" applyAlignment="1" applyProtection="1">
      <alignment horizontal="left" vertical="center"/>
    </xf>
    <xf numFmtId="165" fontId="26" fillId="0" borderId="78" xfId="13" applyNumberFormat="1" applyFont="1" applyBorder="1" applyAlignment="1" applyProtection="1">
      <alignment horizontal="center" vertical="center"/>
    </xf>
    <xf numFmtId="165" fontId="26" fillId="0" borderId="79" xfId="13" applyNumberFormat="1" applyFont="1" applyBorder="1" applyAlignment="1" applyProtection="1">
      <alignment horizontal="center" vertical="center"/>
    </xf>
    <xf numFmtId="0" fontId="149" fillId="0" borderId="0" xfId="13" applyFont="1" applyAlignment="1">
      <alignment horizontal="center" vertical="center"/>
    </xf>
    <xf numFmtId="0" fontId="233" fillId="0" borderId="0" xfId="13" applyFont="1" applyAlignment="1">
      <alignment horizontal="center" vertical="center"/>
    </xf>
    <xf numFmtId="0" fontId="5" fillId="0" borderId="0" xfId="13" applyFont="1" applyAlignment="1">
      <alignment horizontal="center"/>
    </xf>
    <xf numFmtId="0" fontId="11" fillId="0" borderId="77" xfId="13" applyFont="1" applyBorder="1" applyAlignment="1">
      <alignment horizontal="center" vertical="center" wrapText="1"/>
    </xf>
    <xf numFmtId="0" fontId="11" fillId="0" borderId="74" xfId="13" applyFont="1" applyBorder="1" applyAlignment="1">
      <alignment horizontal="center" vertical="center" wrapText="1"/>
    </xf>
    <xf numFmtId="0" fontId="4" fillId="0" borderId="0" xfId="13" applyFont="1" applyAlignment="1" applyProtection="1">
      <alignment horizontal="center"/>
    </xf>
    <xf numFmtId="0" fontId="9" fillId="0" borderId="0" xfId="13" applyFont="1" applyAlignment="1" applyProtection="1">
      <alignment horizontal="center"/>
    </xf>
    <xf numFmtId="0" fontId="4" fillId="10" borderId="0" xfId="13" applyFont="1" applyFill="1" applyAlignment="1" applyProtection="1">
      <alignment horizontal="left"/>
    </xf>
    <xf numFmtId="0" fontId="189" fillId="10" borderId="0" xfId="13" applyFont="1" applyFill="1" applyAlignment="1" applyProtection="1">
      <alignment horizontal="center" vertical="center" wrapText="1"/>
    </xf>
    <xf numFmtId="0" fontId="9" fillId="10" borderId="13" xfId="13" applyFont="1" applyFill="1" applyBorder="1" applyAlignment="1" applyProtection="1">
      <alignment horizontal="left"/>
    </xf>
    <xf numFmtId="0" fontId="9" fillId="10" borderId="0" xfId="13" applyFont="1" applyFill="1" applyAlignment="1" applyProtection="1">
      <alignment horizontal="left" vertical="top" wrapText="1"/>
    </xf>
    <xf numFmtId="0" fontId="4" fillId="10" borderId="21" xfId="13" applyFont="1" applyFill="1" applyBorder="1" applyAlignment="1" applyProtection="1">
      <alignment horizontal="left"/>
    </xf>
    <xf numFmtId="0" fontId="4" fillId="10" borderId="0" xfId="13" applyFont="1" applyFill="1" applyBorder="1" applyAlignment="1" applyProtection="1">
      <alignment horizontal="left" vertical="justify" wrapText="1"/>
    </xf>
    <xf numFmtId="0" fontId="4" fillId="10" borderId="20" xfId="13" applyFont="1" applyFill="1" applyBorder="1" applyAlignment="1" applyProtection="1">
      <alignment horizontal="left" vertical="top" wrapText="1"/>
    </xf>
    <xf numFmtId="0" fontId="4" fillId="10" borderId="19" xfId="13" applyFont="1" applyFill="1" applyBorder="1" applyAlignment="1" applyProtection="1">
      <alignment horizontal="left" vertical="top" wrapText="1"/>
    </xf>
    <xf numFmtId="0" fontId="4" fillId="10" borderId="20" xfId="13" applyFont="1" applyFill="1" applyBorder="1" applyAlignment="1" applyProtection="1">
      <alignment horizontal="left"/>
    </xf>
    <xf numFmtId="167" fontId="4" fillId="10" borderId="21" xfId="13" applyNumberFormat="1" applyFont="1" applyFill="1" applyBorder="1" applyAlignment="1" applyProtection="1">
      <alignment horizontal="left"/>
    </xf>
    <xf numFmtId="0" fontId="4" fillId="10" borderId="117" xfId="13" applyFont="1" applyFill="1" applyBorder="1" applyAlignment="1" applyProtection="1">
      <alignment horizontal="left" vertical="top" wrapText="1"/>
    </xf>
    <xf numFmtId="0" fontId="4" fillId="10" borderId="94" xfId="13" applyFont="1" applyFill="1" applyBorder="1" applyAlignment="1" applyProtection="1">
      <alignment horizontal="left" vertical="top" wrapText="1"/>
    </xf>
    <xf numFmtId="0" fontId="4" fillId="10" borderId="13" xfId="13" applyFont="1" applyFill="1" applyBorder="1" applyAlignment="1" applyProtection="1">
      <alignment horizontal="left" vertical="top"/>
    </xf>
    <xf numFmtId="0" fontId="4" fillId="0" borderId="0" xfId="13" applyFont="1" applyAlignment="1" applyProtection="1">
      <alignment horizontal="left" wrapText="1"/>
    </xf>
    <xf numFmtId="0" fontId="26" fillId="0" borderId="0" xfId="13" applyFont="1" applyAlignment="1" applyProtection="1">
      <alignment horizontal="center"/>
    </xf>
    <xf numFmtId="0" fontId="4" fillId="10" borderId="0" xfId="13" applyFont="1" applyFill="1" applyAlignment="1" applyProtection="1">
      <alignment horizontal="left" vertical="top" wrapText="1"/>
    </xf>
    <xf numFmtId="0" fontId="4" fillId="10" borderId="0" xfId="13" applyFont="1" applyFill="1" applyBorder="1" applyAlignment="1" applyProtection="1">
      <alignment horizontal="left" vertical="top" wrapText="1"/>
    </xf>
    <xf numFmtId="164" fontId="217" fillId="10" borderId="30" xfId="34" applyNumberFormat="1" applyFont="1" applyFill="1" applyBorder="1" applyAlignment="1" applyProtection="1">
      <alignment horizontal="center" vertical="center"/>
    </xf>
    <xf numFmtId="164" fontId="217" fillId="10" borderId="186" xfId="34" applyNumberFormat="1" applyFont="1" applyFill="1" applyBorder="1" applyAlignment="1" applyProtection="1">
      <alignment horizontal="center" vertical="center"/>
    </xf>
    <xf numFmtId="164" fontId="217" fillId="10" borderId="131" xfId="34" applyNumberFormat="1" applyFont="1" applyFill="1" applyBorder="1" applyAlignment="1" applyProtection="1">
      <alignment horizontal="center" vertical="center"/>
    </xf>
    <xf numFmtId="164" fontId="217" fillId="10" borderId="185" xfId="34" applyNumberFormat="1" applyFont="1" applyFill="1" applyBorder="1" applyAlignment="1" applyProtection="1">
      <alignment horizontal="center" vertical="center"/>
    </xf>
    <xf numFmtId="164" fontId="219" fillId="10" borderId="78" xfId="34" applyNumberFormat="1" applyFont="1" applyFill="1" applyBorder="1" applyAlignment="1" applyProtection="1">
      <alignment horizontal="center" vertical="center"/>
    </xf>
    <xf numFmtId="164" fontId="219" fillId="10" borderId="154" xfId="34" applyNumberFormat="1" applyFont="1" applyFill="1" applyBorder="1" applyAlignment="1" applyProtection="1">
      <alignment horizontal="center" vertical="center"/>
    </xf>
    <xf numFmtId="164" fontId="217" fillId="10" borderId="78" xfId="34" applyNumberFormat="1" applyFont="1" applyFill="1" applyBorder="1" applyAlignment="1" applyProtection="1">
      <alignment horizontal="center" vertical="center"/>
    </xf>
    <xf numFmtId="164" fontId="217" fillId="10" borderId="154" xfId="34" applyNumberFormat="1" applyFont="1" applyFill="1" applyBorder="1" applyAlignment="1" applyProtection="1">
      <alignment horizontal="center" vertical="center"/>
    </xf>
    <xf numFmtId="0" fontId="219" fillId="0" borderId="140" xfId="33" applyFont="1" applyFill="1" applyBorder="1" applyAlignment="1" applyProtection="1">
      <alignment horizontal="left" vertical="center"/>
    </xf>
    <xf numFmtId="0" fontId="219" fillId="0" borderId="141" xfId="33" applyFont="1" applyFill="1" applyBorder="1" applyAlignment="1" applyProtection="1">
      <alignment horizontal="left" vertical="center"/>
    </xf>
    <xf numFmtId="0" fontId="219" fillId="0" borderId="155" xfId="33" applyFont="1" applyFill="1" applyBorder="1" applyAlignment="1" applyProtection="1">
      <alignment horizontal="left" vertical="center"/>
    </xf>
    <xf numFmtId="0" fontId="217" fillId="0" borderId="13" xfId="33" applyFont="1" applyBorder="1" applyAlignment="1" applyProtection="1">
      <alignment horizontal="center" vertical="center"/>
    </xf>
    <xf numFmtId="0" fontId="217" fillId="0" borderId="82" xfId="33" applyFont="1" applyBorder="1" applyAlignment="1" applyProtection="1">
      <alignment horizontal="center" vertical="center"/>
    </xf>
    <xf numFmtId="0" fontId="219" fillId="0" borderId="142" xfId="33" applyFont="1" applyFill="1" applyBorder="1" applyAlignment="1" applyProtection="1">
      <alignment horizontal="left" vertical="center"/>
    </xf>
    <xf numFmtId="0" fontId="219" fillId="0" borderId="82" xfId="33" applyFont="1" applyFill="1" applyBorder="1" applyAlignment="1" applyProtection="1">
      <alignment horizontal="left" vertical="center"/>
    </xf>
    <xf numFmtId="0" fontId="219" fillId="0" borderId="154" xfId="33" applyFont="1" applyFill="1" applyBorder="1" applyAlignment="1" applyProtection="1">
      <alignment horizontal="left" vertical="center"/>
    </xf>
    <xf numFmtId="164" fontId="217" fillId="0" borderId="131" xfId="34" applyNumberFormat="1" applyFont="1" applyBorder="1" applyAlignment="1" applyProtection="1">
      <alignment horizontal="left" vertical="center"/>
    </xf>
    <xf numFmtId="164" fontId="217" fillId="0" borderId="132" xfId="34" applyNumberFormat="1" applyFont="1" applyBorder="1" applyAlignment="1" applyProtection="1">
      <alignment horizontal="left" vertical="center"/>
    </xf>
    <xf numFmtId="0" fontId="218" fillId="10" borderId="110" xfId="33" applyFont="1" applyFill="1" applyBorder="1" applyAlignment="1" applyProtection="1">
      <alignment horizontal="center"/>
    </xf>
    <xf numFmtId="0" fontId="218" fillId="10" borderId="135" xfId="33" applyFont="1" applyFill="1" applyBorder="1" applyAlignment="1" applyProtection="1">
      <alignment horizontal="center"/>
    </xf>
    <xf numFmtId="164" fontId="217" fillId="0" borderId="30" xfId="34" applyNumberFormat="1" applyFont="1" applyBorder="1" applyAlignment="1" applyProtection="1">
      <alignment horizontal="left" vertical="center"/>
    </xf>
    <xf numFmtId="164" fontId="217" fillId="0" borderId="21" xfId="34" applyNumberFormat="1" applyFont="1" applyBorder="1" applyAlignment="1" applyProtection="1">
      <alignment horizontal="left" vertical="center"/>
    </xf>
    <xf numFmtId="0" fontId="218" fillId="28" borderId="145" xfId="33" applyFont="1" applyFill="1" applyBorder="1" applyAlignment="1" applyProtection="1">
      <alignment horizontal="center" wrapText="1"/>
    </xf>
    <xf numFmtId="0" fontId="218" fillId="28" borderId="157" xfId="33" applyFont="1" applyFill="1" applyBorder="1" applyAlignment="1" applyProtection="1">
      <alignment horizontal="center" wrapText="1"/>
    </xf>
    <xf numFmtId="0" fontId="218" fillId="28" borderId="146" xfId="33" applyFont="1" applyFill="1" applyBorder="1" applyAlignment="1" applyProtection="1">
      <alignment horizontal="center" wrapText="1"/>
    </xf>
    <xf numFmtId="0" fontId="218" fillId="28" borderId="156" xfId="33" applyFont="1" applyFill="1" applyBorder="1" applyAlignment="1" applyProtection="1">
      <alignment horizontal="center" wrapText="1"/>
    </xf>
    <xf numFmtId="14" fontId="217" fillId="0" borderId="33" xfId="34" applyNumberFormat="1" applyFont="1" applyBorder="1" applyAlignment="1" applyProtection="1">
      <alignment horizontal="left" vertical="center"/>
    </xf>
    <xf numFmtId="14" fontId="217" fillId="0" borderId="58" xfId="34" applyNumberFormat="1" applyFont="1" applyBorder="1" applyAlignment="1" applyProtection="1">
      <alignment horizontal="left" vertical="center"/>
    </xf>
    <xf numFmtId="0" fontId="221" fillId="0" borderId="0" xfId="33" applyFont="1" applyFill="1" applyBorder="1" applyAlignment="1" applyProtection="1">
      <alignment horizontal="center" vertical="center" wrapText="1"/>
    </xf>
    <xf numFmtId="37" fontId="223" fillId="10" borderId="131" xfId="34" applyNumberFormat="1" applyFont="1" applyFill="1" applyBorder="1" applyAlignment="1" applyProtection="1">
      <alignment horizontal="center" vertical="center"/>
    </xf>
    <xf numFmtId="37" fontId="223" fillId="10" borderId="133" xfId="34" applyNumberFormat="1" applyFont="1" applyFill="1" applyBorder="1" applyAlignment="1" applyProtection="1">
      <alignment horizontal="center" vertical="center"/>
    </xf>
    <xf numFmtId="37" fontId="223" fillId="10" borderId="30" xfId="34" applyNumberFormat="1" applyFont="1" applyFill="1" applyBorder="1" applyAlignment="1" applyProtection="1">
      <alignment horizontal="center" vertical="center"/>
    </xf>
    <xf numFmtId="37" fontId="223" fillId="10" borderId="31" xfId="34" applyNumberFormat="1" applyFont="1" applyFill="1" applyBorder="1" applyAlignment="1" applyProtection="1">
      <alignment horizontal="center" vertical="center"/>
    </xf>
    <xf numFmtId="0" fontId="218" fillId="0" borderId="78" xfId="33" applyFont="1" applyFill="1" applyBorder="1" applyAlignment="1" applyProtection="1">
      <alignment horizontal="left"/>
    </xf>
    <xf numFmtId="0" fontId="218" fillId="0" borderId="82" xfId="33" applyFont="1" applyFill="1" applyBorder="1" applyAlignment="1" applyProtection="1">
      <alignment horizontal="left"/>
    </xf>
    <xf numFmtId="0" fontId="218" fillId="0" borderId="79" xfId="33" applyFont="1" applyFill="1" applyBorder="1" applyAlignment="1" applyProtection="1">
      <alignment horizontal="left"/>
    </xf>
    <xf numFmtId="0" fontId="218" fillId="10" borderId="86" xfId="33" applyFont="1" applyFill="1" applyBorder="1" applyAlignment="1" applyProtection="1">
      <alignment horizontal="center"/>
    </xf>
    <xf numFmtId="0" fontId="218" fillId="28" borderId="78" xfId="33" applyFont="1" applyFill="1" applyBorder="1" applyAlignment="1" applyProtection="1">
      <alignment horizontal="center"/>
    </xf>
    <xf numFmtId="0" fontId="218" fillId="28" borderId="82" xfId="33" applyFont="1" applyFill="1" applyBorder="1" applyAlignment="1" applyProtection="1">
      <alignment horizontal="center"/>
    </xf>
    <xf numFmtId="0" fontId="218" fillId="28" borderId="79" xfId="33" applyFont="1" applyFill="1" applyBorder="1" applyAlignment="1" applyProtection="1">
      <alignment horizontal="center"/>
    </xf>
    <xf numFmtId="164" fontId="89" fillId="0" borderId="80" xfId="34" applyNumberFormat="1" applyFont="1" applyFill="1" applyBorder="1" applyAlignment="1" applyProtection="1">
      <alignment horizontal="center" wrapText="1"/>
    </xf>
    <xf numFmtId="164" fontId="89" fillId="0" borderId="81" xfId="34" applyNumberFormat="1" applyFont="1" applyFill="1" applyBorder="1" applyAlignment="1" applyProtection="1">
      <alignment horizontal="center" wrapText="1"/>
    </xf>
    <xf numFmtId="0" fontId="219" fillId="29" borderId="78" xfId="33" applyFont="1" applyFill="1" applyBorder="1" applyAlignment="1" applyProtection="1">
      <alignment horizontal="left"/>
    </xf>
    <xf numFmtId="0" fontId="219" fillId="29" borderId="82" xfId="33" applyFont="1" applyFill="1" applyBorder="1" applyAlignment="1" applyProtection="1">
      <alignment horizontal="left"/>
    </xf>
    <xf numFmtId="0" fontId="219" fillId="29" borderId="79" xfId="33" applyFont="1" applyFill="1" applyBorder="1" applyAlignment="1" applyProtection="1">
      <alignment horizontal="left"/>
    </xf>
    <xf numFmtId="37" fontId="223" fillId="10" borderId="33" xfId="34" applyNumberFormat="1" applyFont="1" applyFill="1" applyBorder="1" applyAlignment="1" applyProtection="1">
      <alignment horizontal="center" vertical="center"/>
    </xf>
    <xf numFmtId="37" fontId="223" fillId="10" borderId="34" xfId="34" applyNumberFormat="1" applyFont="1" applyFill="1" applyBorder="1" applyAlignment="1" applyProtection="1">
      <alignment horizontal="center" vertical="center"/>
    </xf>
    <xf numFmtId="0" fontId="217" fillId="0" borderId="0" xfId="33" applyFont="1" applyBorder="1" applyAlignment="1" applyProtection="1">
      <alignment horizontal="right" vertical="center"/>
    </xf>
    <xf numFmtId="0" fontId="217" fillId="0" borderId="8" xfId="33" applyFont="1" applyBorder="1" applyAlignment="1" applyProtection="1">
      <alignment horizontal="right" vertical="center"/>
    </xf>
    <xf numFmtId="0" fontId="219" fillId="0" borderId="0" xfId="33" applyFont="1" applyBorder="1" applyAlignment="1" applyProtection="1">
      <alignment horizontal="right" vertical="center"/>
    </xf>
    <xf numFmtId="0" fontId="219" fillId="0" borderId="8" xfId="33" applyFont="1" applyBorder="1" applyAlignment="1" applyProtection="1">
      <alignment horizontal="right" vertical="center"/>
    </xf>
    <xf numFmtId="0" fontId="217" fillId="0" borderId="7" xfId="33" applyFont="1" applyBorder="1" applyAlignment="1" applyProtection="1">
      <alignment horizontal="center"/>
    </xf>
    <xf numFmtId="0" fontId="217" fillId="0" borderId="0" xfId="33" applyFont="1" applyAlignment="1" applyProtection="1">
      <alignment horizontal="center"/>
    </xf>
    <xf numFmtId="0" fontId="89" fillId="0" borderId="78" xfId="33" applyFont="1" applyFill="1" applyBorder="1" applyAlignment="1" applyProtection="1">
      <alignment horizontal="center" wrapText="1"/>
    </xf>
    <xf numFmtId="0" fontId="89" fillId="0" borderId="79" xfId="33" applyFont="1" applyFill="1" applyBorder="1" applyAlignment="1" applyProtection="1">
      <alignment horizontal="center" wrapText="1"/>
    </xf>
    <xf numFmtId="164" fontId="89" fillId="11" borderId="82" xfId="34" applyNumberFormat="1" applyFont="1" applyFill="1" applyBorder="1" applyAlignment="1" applyProtection="1">
      <alignment horizontal="center" wrapText="1"/>
    </xf>
    <xf numFmtId="164" fontId="89" fillId="11" borderId="79" xfId="34" applyNumberFormat="1" applyFont="1" applyFill="1" applyBorder="1" applyAlignment="1" applyProtection="1">
      <alignment horizontal="center" wrapText="1"/>
    </xf>
    <xf numFmtId="0" fontId="217" fillId="0" borderId="158" xfId="33" applyFont="1" applyBorder="1" applyProtection="1"/>
    <xf numFmtId="0" fontId="217" fillId="0" borderId="47" xfId="33" applyFont="1" applyBorder="1" applyProtection="1"/>
    <xf numFmtId="0" fontId="217" fillId="28" borderId="132" xfId="33" applyFont="1" applyFill="1" applyBorder="1" applyAlignment="1" applyProtection="1">
      <alignment horizontal="center" vertical="center"/>
    </xf>
    <xf numFmtId="0" fontId="217" fillId="28" borderId="133" xfId="33" applyFont="1" applyFill="1" applyBorder="1" applyAlignment="1" applyProtection="1">
      <alignment horizontal="center" vertical="center"/>
    </xf>
    <xf numFmtId="37" fontId="217" fillId="11" borderId="132" xfId="34" applyNumberFormat="1" applyFont="1" applyFill="1" applyBorder="1" applyAlignment="1" applyProtection="1">
      <alignment horizontal="center" vertical="center"/>
    </xf>
    <xf numFmtId="37" fontId="217" fillId="11" borderId="133" xfId="34" applyNumberFormat="1" applyFont="1" applyFill="1" applyBorder="1" applyAlignment="1" applyProtection="1">
      <alignment horizontal="center" vertical="center"/>
    </xf>
    <xf numFmtId="37" fontId="217" fillId="28" borderId="134" xfId="33" applyNumberFormat="1" applyFont="1" applyFill="1" applyBorder="1" applyAlignment="1" applyProtection="1">
      <alignment horizontal="center" vertical="center"/>
    </xf>
    <xf numFmtId="0" fontId="217" fillId="28" borderId="21" xfId="33" applyFont="1" applyFill="1" applyBorder="1" applyAlignment="1" applyProtection="1">
      <alignment horizontal="center" vertical="center"/>
    </xf>
    <xf numFmtId="0" fontId="217" fillId="28" borderId="31" xfId="33" applyFont="1" applyFill="1" applyBorder="1" applyAlignment="1" applyProtection="1">
      <alignment horizontal="center" vertical="center"/>
    </xf>
    <xf numFmtId="37" fontId="217" fillId="11" borderId="21" xfId="34" applyNumberFormat="1" applyFont="1" applyFill="1" applyBorder="1" applyAlignment="1" applyProtection="1">
      <alignment horizontal="center" vertical="center"/>
    </xf>
    <xf numFmtId="37" fontId="217" fillId="11" borderId="31" xfId="34" applyNumberFormat="1" applyFont="1" applyFill="1" applyBorder="1" applyAlignment="1" applyProtection="1">
      <alignment horizontal="center" vertical="center"/>
    </xf>
    <xf numFmtId="37" fontId="217" fillId="28" borderId="17" xfId="33" applyNumberFormat="1" applyFont="1" applyFill="1" applyBorder="1" applyAlignment="1" applyProtection="1">
      <alignment horizontal="center" vertical="center"/>
    </xf>
    <xf numFmtId="0" fontId="219" fillId="0" borderId="147" xfId="33" applyFont="1" applyBorder="1" applyAlignment="1" applyProtection="1">
      <alignment horizontal="right" vertical="center"/>
    </xf>
    <xf numFmtId="0" fontId="217" fillId="28" borderId="58" xfId="33" applyFont="1" applyFill="1" applyBorder="1" applyAlignment="1" applyProtection="1">
      <alignment horizontal="center" vertical="center"/>
    </xf>
    <xf numFmtId="0" fontId="217" fillId="28" borderId="34" xfId="33" applyFont="1" applyFill="1" applyBorder="1" applyAlignment="1" applyProtection="1">
      <alignment horizontal="center" vertical="center"/>
    </xf>
    <xf numFmtId="37" fontId="217" fillId="11" borderId="58" xfId="34" applyNumberFormat="1" applyFont="1" applyFill="1" applyBorder="1" applyAlignment="1" applyProtection="1">
      <alignment horizontal="center" vertical="center"/>
    </xf>
    <xf numFmtId="37" fontId="217" fillId="11" borderId="34" xfId="34" applyNumberFormat="1" applyFont="1" applyFill="1" applyBorder="1" applyAlignment="1" applyProtection="1">
      <alignment horizontal="center" vertical="center"/>
    </xf>
    <xf numFmtId="37" fontId="217" fillId="28" borderId="18" xfId="33" applyNumberFormat="1" applyFont="1" applyFill="1" applyBorder="1" applyAlignment="1" applyProtection="1">
      <alignment horizontal="center" vertical="center"/>
    </xf>
    <xf numFmtId="166" fontId="217" fillId="28" borderId="188" xfId="35" applyNumberFormat="1" applyFont="1" applyFill="1" applyBorder="1" applyAlignment="1" applyProtection="1">
      <alignment horizontal="center" vertical="center"/>
    </xf>
    <xf numFmtId="166" fontId="217" fillId="28" borderId="156" xfId="35" applyNumberFormat="1" applyFont="1" applyFill="1" applyBorder="1" applyAlignment="1" applyProtection="1">
      <alignment horizontal="center" vertical="center"/>
    </xf>
    <xf numFmtId="43" fontId="217" fillId="28" borderId="33" xfId="34" applyFont="1" applyFill="1" applyBorder="1" applyAlignment="1" applyProtection="1">
      <alignment horizontal="center" vertical="center"/>
    </xf>
    <xf numFmtId="43" fontId="217" fillId="28" borderId="187" xfId="34" applyFont="1" applyFill="1" applyBorder="1" applyAlignment="1" applyProtection="1">
      <alignment horizontal="center" vertical="center"/>
    </xf>
    <xf numFmtId="164" fontId="217" fillId="28" borderId="131" xfId="34" applyNumberFormat="1" applyFont="1" applyFill="1" applyBorder="1" applyAlignment="1" applyProtection="1">
      <alignment horizontal="center" vertical="center"/>
    </xf>
    <xf numFmtId="164" fontId="217" fillId="28" borderId="185" xfId="34" applyNumberFormat="1" applyFont="1" applyFill="1" applyBorder="1" applyAlignment="1" applyProtection="1">
      <alignment horizontal="center" vertical="center"/>
    </xf>
    <xf numFmtId="0" fontId="217" fillId="10" borderId="33" xfId="33" applyFont="1" applyFill="1" applyBorder="1" applyAlignment="1" applyProtection="1">
      <alignment horizontal="center" vertical="center"/>
    </xf>
    <xf numFmtId="0" fontId="217" fillId="10" borderId="187" xfId="33" applyFont="1" applyFill="1" applyBorder="1" applyAlignment="1" applyProtection="1">
      <alignment horizontal="center" vertical="center"/>
    </xf>
    <xf numFmtId="0" fontId="219" fillId="0" borderId="140" xfId="33" applyFont="1" applyFill="1" applyBorder="1" applyAlignment="1">
      <alignment horizontal="left" vertical="center"/>
    </xf>
    <xf numFmtId="0" fontId="219" fillId="0" borderId="141" xfId="33" applyFont="1" applyFill="1" applyBorder="1" applyAlignment="1">
      <alignment horizontal="left" vertical="center"/>
    </xf>
    <xf numFmtId="0" fontId="219" fillId="0" borderId="155" xfId="33" applyFont="1" applyFill="1" applyBorder="1" applyAlignment="1">
      <alignment horizontal="left" vertical="center"/>
    </xf>
    <xf numFmtId="164" fontId="217" fillId="0" borderId="131" xfId="34" applyNumberFormat="1" applyFont="1" applyBorder="1" applyAlignment="1">
      <alignment horizontal="left" vertical="center"/>
    </xf>
    <xf numFmtId="164" fontId="217" fillId="0" borderId="132" xfId="34" applyNumberFormat="1" applyFont="1" applyBorder="1" applyAlignment="1">
      <alignment horizontal="left" vertical="center"/>
    </xf>
    <xf numFmtId="164" fontId="217" fillId="0" borderId="30" xfId="34" applyNumberFormat="1" applyFont="1" applyBorder="1" applyAlignment="1">
      <alignment horizontal="left" vertical="center"/>
    </xf>
    <xf numFmtId="164" fontId="217" fillId="0" borderId="21" xfId="34" applyNumberFormat="1" applyFont="1" applyBorder="1" applyAlignment="1">
      <alignment horizontal="left" vertical="center"/>
    </xf>
    <xf numFmtId="14" fontId="217" fillId="0" borderId="33" xfId="34" applyNumberFormat="1" applyFont="1" applyBorder="1" applyAlignment="1">
      <alignment horizontal="left" vertical="center"/>
    </xf>
    <xf numFmtId="14" fontId="217" fillId="0" borderId="58" xfId="34" applyNumberFormat="1" applyFont="1" applyBorder="1" applyAlignment="1">
      <alignment horizontal="left" vertical="center"/>
    </xf>
    <xf numFmtId="0" fontId="218" fillId="13" borderId="110" xfId="33" applyFont="1" applyFill="1" applyBorder="1" applyAlignment="1">
      <alignment horizontal="center"/>
    </xf>
    <xf numFmtId="0" fontId="218" fillId="13" borderId="135" xfId="33" applyFont="1" applyFill="1" applyBorder="1" applyAlignment="1">
      <alignment horizontal="center"/>
    </xf>
    <xf numFmtId="0" fontId="218" fillId="28" borderId="145" xfId="33" applyFont="1" applyFill="1" applyBorder="1" applyAlignment="1">
      <alignment horizontal="center" wrapText="1"/>
    </xf>
    <xf numFmtId="0" fontId="218" fillId="28" borderId="157" xfId="33" applyFont="1" applyFill="1" applyBorder="1" applyAlignment="1">
      <alignment horizontal="center" wrapText="1"/>
    </xf>
    <xf numFmtId="0" fontId="218" fillId="28" borderId="146" xfId="33" applyFont="1" applyFill="1" applyBorder="1" applyAlignment="1">
      <alignment horizontal="center" wrapText="1"/>
    </xf>
    <xf numFmtId="0" fontId="218" fillId="28" borderId="156" xfId="33" applyFont="1" applyFill="1" applyBorder="1" applyAlignment="1">
      <alignment horizontal="center" wrapText="1"/>
    </xf>
    <xf numFmtId="37" fontId="217" fillId="11" borderId="21" xfId="34" applyNumberFormat="1" applyFont="1" applyFill="1" applyBorder="1" applyAlignment="1" applyProtection="1">
      <alignment horizontal="center" vertical="center"/>
      <protection locked="0"/>
    </xf>
    <xf numFmtId="37" fontId="217" fillId="11" borderId="31" xfId="34" applyNumberFormat="1" applyFont="1" applyFill="1" applyBorder="1" applyAlignment="1" applyProtection="1">
      <alignment horizontal="center" vertical="center"/>
      <protection locked="0"/>
    </xf>
    <xf numFmtId="0" fontId="217" fillId="0" borderId="13" xfId="33" applyFont="1" applyBorder="1" applyAlignment="1">
      <alignment horizontal="center" vertical="center"/>
    </xf>
    <xf numFmtId="0" fontId="217" fillId="0" borderId="82" xfId="33" applyFont="1" applyBorder="1" applyAlignment="1">
      <alignment horizontal="center" vertical="center"/>
    </xf>
    <xf numFmtId="0" fontId="218" fillId="28" borderId="78" xfId="33" applyFont="1" applyFill="1" applyBorder="1" applyAlignment="1">
      <alignment horizontal="center"/>
    </xf>
    <xf numFmtId="0" fontId="218" fillId="28" borderId="82" xfId="33" applyFont="1" applyFill="1" applyBorder="1" applyAlignment="1">
      <alignment horizontal="center"/>
    </xf>
    <xf numFmtId="0" fontId="218" fillId="28" borderId="79" xfId="33" applyFont="1" applyFill="1" applyBorder="1" applyAlignment="1">
      <alignment horizontal="center"/>
    </xf>
    <xf numFmtId="0" fontId="219" fillId="0" borderId="142" xfId="33" applyFont="1" applyFill="1" applyBorder="1" applyAlignment="1">
      <alignment horizontal="left" vertical="center"/>
    </xf>
    <xf numFmtId="0" fontId="219" fillId="0" borderId="82" xfId="33" applyFont="1" applyFill="1" applyBorder="1" applyAlignment="1">
      <alignment horizontal="left" vertical="center"/>
    </xf>
    <xf numFmtId="0" fontId="219" fillId="0" borderId="154" xfId="33" applyFont="1" applyFill="1" applyBorder="1" applyAlignment="1">
      <alignment horizontal="left" vertical="center"/>
    </xf>
    <xf numFmtId="164" fontId="89" fillId="0" borderId="80" xfId="34" applyNumberFormat="1" applyFont="1" applyFill="1" applyBorder="1" applyAlignment="1">
      <alignment horizontal="center" wrapText="1"/>
    </xf>
    <xf numFmtId="164" fontId="89" fillId="0" borderId="81" xfId="34" applyNumberFormat="1" applyFont="1" applyFill="1" applyBorder="1" applyAlignment="1">
      <alignment horizontal="center" wrapText="1"/>
    </xf>
    <xf numFmtId="37" fontId="223" fillId="13" borderId="131" xfId="34" applyNumberFormat="1" applyFont="1" applyFill="1" applyBorder="1" applyAlignment="1" applyProtection="1">
      <alignment horizontal="center" vertical="center"/>
      <protection locked="0"/>
    </xf>
    <xf numFmtId="37" fontId="223" fillId="13" borderId="133" xfId="34" applyNumberFormat="1" applyFont="1" applyFill="1" applyBorder="1" applyAlignment="1" applyProtection="1">
      <alignment horizontal="center" vertical="center"/>
      <protection locked="0"/>
    </xf>
    <xf numFmtId="37" fontId="223" fillId="13" borderId="30" xfId="34" applyNumberFormat="1" applyFont="1" applyFill="1" applyBorder="1" applyAlignment="1" applyProtection="1">
      <alignment horizontal="center" vertical="center"/>
      <protection locked="0"/>
    </xf>
    <xf numFmtId="37" fontId="223" fillId="13" borderId="31" xfId="34" applyNumberFormat="1" applyFont="1" applyFill="1" applyBorder="1" applyAlignment="1" applyProtection="1">
      <alignment horizontal="center" vertical="center"/>
      <protection locked="0"/>
    </xf>
    <xf numFmtId="0" fontId="217" fillId="0" borderId="0" xfId="33" applyFont="1" applyBorder="1" applyAlignment="1">
      <alignment horizontal="right" vertical="center"/>
    </xf>
    <xf numFmtId="0" fontId="217" fillId="0" borderId="8" xfId="33" applyFont="1" applyBorder="1" applyAlignment="1">
      <alignment horizontal="right" vertical="center"/>
    </xf>
    <xf numFmtId="0" fontId="219" fillId="0" borderId="0" xfId="33" applyFont="1" applyBorder="1" applyAlignment="1">
      <alignment horizontal="right" vertical="center"/>
    </xf>
    <xf numFmtId="0" fontId="219" fillId="0" borderId="8" xfId="33" applyFont="1" applyBorder="1" applyAlignment="1">
      <alignment horizontal="right" vertical="center"/>
    </xf>
    <xf numFmtId="0" fontId="217" fillId="0" borderId="7" xfId="33" applyFont="1" applyBorder="1" applyAlignment="1">
      <alignment horizontal="center"/>
    </xf>
    <xf numFmtId="0" fontId="217" fillId="0" borderId="0" xfId="33" applyFont="1" applyAlignment="1">
      <alignment horizontal="center"/>
    </xf>
    <xf numFmtId="0" fontId="89" fillId="0" borderId="78" xfId="33" applyFont="1" applyFill="1" applyBorder="1" applyAlignment="1">
      <alignment horizontal="center" wrapText="1"/>
    </xf>
    <xf numFmtId="0" fontId="89" fillId="0" borderId="79" xfId="33" applyFont="1" applyFill="1" applyBorder="1" applyAlignment="1">
      <alignment horizontal="center" wrapText="1"/>
    </xf>
    <xf numFmtId="164" fontId="89" fillId="11" borderId="82" xfId="34" applyNumberFormat="1" applyFont="1" applyFill="1" applyBorder="1" applyAlignment="1">
      <alignment horizontal="center" wrapText="1"/>
    </xf>
    <xf numFmtId="164" fontId="89" fillId="11" borderId="79" xfId="34" applyNumberFormat="1" applyFont="1" applyFill="1" applyBorder="1" applyAlignment="1">
      <alignment horizontal="center" wrapText="1"/>
    </xf>
    <xf numFmtId="0" fontId="219" fillId="29" borderId="78" xfId="33" applyFont="1" applyFill="1" applyBorder="1" applyAlignment="1">
      <alignment horizontal="left"/>
    </xf>
    <xf numFmtId="0" fontId="219" fillId="29" borderId="82" xfId="33" applyFont="1" applyFill="1" applyBorder="1" applyAlignment="1">
      <alignment horizontal="left"/>
    </xf>
    <xf numFmtId="0" fontId="219" fillId="29" borderId="79" xfId="33" applyFont="1" applyFill="1" applyBorder="1" applyAlignment="1">
      <alignment horizontal="left"/>
    </xf>
    <xf numFmtId="0" fontId="217" fillId="0" borderId="158" xfId="33" applyFont="1" applyBorder="1"/>
    <xf numFmtId="0" fontId="217" fillId="0" borderId="47" xfId="33" applyFont="1" applyBorder="1"/>
    <xf numFmtId="0" fontId="217" fillId="28" borderId="132" xfId="33" applyFont="1" applyFill="1" applyBorder="1" applyAlignment="1">
      <alignment horizontal="center" vertical="center"/>
    </xf>
    <xf numFmtId="0" fontId="217" fillId="28" borderId="133" xfId="33" applyFont="1" applyFill="1" applyBorder="1" applyAlignment="1">
      <alignment horizontal="center" vertical="center"/>
    </xf>
    <xf numFmtId="37" fontId="217" fillId="11" borderId="132" xfId="34" applyNumberFormat="1" applyFont="1" applyFill="1" applyBorder="1" applyAlignment="1" applyProtection="1">
      <alignment horizontal="center" vertical="center"/>
      <protection locked="0"/>
    </xf>
    <xf numFmtId="37" fontId="217" fillId="11" borderId="133" xfId="34" applyNumberFormat="1" applyFont="1" applyFill="1" applyBorder="1" applyAlignment="1" applyProtection="1">
      <alignment horizontal="center" vertical="center"/>
      <protection locked="0"/>
    </xf>
    <xf numFmtId="37" fontId="217" fillId="28" borderId="134" xfId="33" applyNumberFormat="1" applyFont="1" applyFill="1" applyBorder="1" applyAlignment="1">
      <alignment horizontal="center" vertical="center"/>
    </xf>
    <xf numFmtId="0" fontId="217" fillId="28" borderId="21" xfId="33" applyFont="1" applyFill="1" applyBorder="1" applyAlignment="1">
      <alignment horizontal="center" vertical="center"/>
    </xf>
    <xf numFmtId="0" fontId="217" fillId="28" borderId="31" xfId="33" applyFont="1" applyFill="1" applyBorder="1" applyAlignment="1">
      <alignment horizontal="center" vertical="center"/>
    </xf>
    <xf numFmtId="37" fontId="217" fillId="28" borderId="17" xfId="33" applyNumberFormat="1" applyFont="1" applyFill="1" applyBorder="1" applyAlignment="1">
      <alignment horizontal="center" vertical="center"/>
    </xf>
    <xf numFmtId="0" fontId="221" fillId="0" borderId="0" xfId="33" applyFont="1" applyFill="1" applyBorder="1" applyAlignment="1">
      <alignment horizontal="center" vertical="center" wrapText="1"/>
    </xf>
    <xf numFmtId="0" fontId="219" fillId="0" borderId="147" xfId="33" applyFont="1" applyBorder="1" applyAlignment="1">
      <alignment horizontal="right" vertical="center"/>
    </xf>
    <xf numFmtId="0" fontId="218" fillId="0" borderId="78" xfId="33" applyFont="1" applyFill="1" applyBorder="1" applyAlignment="1">
      <alignment horizontal="left"/>
    </xf>
    <xf numFmtId="0" fontId="218" fillId="0" borderId="82" xfId="33" applyFont="1" applyFill="1" applyBorder="1" applyAlignment="1">
      <alignment horizontal="left"/>
    </xf>
    <xf numFmtId="0" fontId="218" fillId="0" borderId="79" xfId="33" applyFont="1" applyFill="1" applyBorder="1" applyAlignment="1">
      <alignment horizontal="left"/>
    </xf>
    <xf numFmtId="0" fontId="218" fillId="13" borderId="86" xfId="33" applyFont="1" applyFill="1" applyBorder="1" applyAlignment="1">
      <alignment horizontal="center"/>
    </xf>
    <xf numFmtId="0" fontId="217" fillId="28" borderId="58" xfId="33" applyFont="1" applyFill="1" applyBorder="1" applyAlignment="1">
      <alignment horizontal="center" vertical="center"/>
    </xf>
    <xf numFmtId="0" fontId="217" fillId="28" borderId="34" xfId="33" applyFont="1" applyFill="1" applyBorder="1" applyAlignment="1">
      <alignment horizontal="center" vertical="center"/>
    </xf>
    <xf numFmtId="37" fontId="217" fillId="11" borderId="58" xfId="34" applyNumberFormat="1" applyFont="1" applyFill="1" applyBorder="1" applyAlignment="1" applyProtection="1">
      <alignment horizontal="center" vertical="center"/>
      <protection locked="0"/>
    </xf>
    <xf numFmtId="37" fontId="217" fillId="11" borderId="34" xfId="34" applyNumberFormat="1" applyFont="1" applyFill="1" applyBorder="1" applyAlignment="1" applyProtection="1">
      <alignment horizontal="center" vertical="center"/>
      <protection locked="0"/>
    </xf>
    <xf numFmtId="37" fontId="217" fillId="28" borderId="18" xfId="33" applyNumberFormat="1" applyFont="1" applyFill="1" applyBorder="1" applyAlignment="1">
      <alignment horizontal="center" vertical="center"/>
    </xf>
    <xf numFmtId="37" fontId="223" fillId="13" borderId="33" xfId="34" applyNumberFormat="1" applyFont="1" applyFill="1" applyBorder="1" applyAlignment="1" applyProtection="1">
      <alignment horizontal="center" vertical="center"/>
      <protection locked="0"/>
    </xf>
    <xf numFmtId="37" fontId="223" fillId="13" borderId="34" xfId="34" applyNumberFormat="1" applyFont="1" applyFill="1" applyBorder="1" applyAlignment="1" applyProtection="1">
      <alignment horizontal="center" vertical="center"/>
      <protection locked="0"/>
    </xf>
    <xf numFmtId="164" fontId="217" fillId="13" borderId="30" xfId="34" applyNumberFormat="1" applyFont="1" applyFill="1" applyBorder="1" applyAlignment="1" applyProtection="1">
      <alignment horizontal="center" vertical="center"/>
      <protection locked="0"/>
    </xf>
    <xf numFmtId="164" fontId="217" fillId="13" borderId="186" xfId="34" applyNumberFormat="1" applyFont="1" applyFill="1" applyBorder="1" applyAlignment="1" applyProtection="1">
      <alignment horizontal="center" vertical="center"/>
      <protection locked="0"/>
    </xf>
    <xf numFmtId="164" fontId="217" fillId="13" borderId="131" xfId="34" applyNumberFormat="1" applyFont="1" applyFill="1" applyBorder="1" applyAlignment="1" applyProtection="1">
      <alignment horizontal="center" vertical="center"/>
      <protection locked="0"/>
    </xf>
    <xf numFmtId="164" fontId="217" fillId="13" borderId="185" xfId="34" applyNumberFormat="1" applyFont="1" applyFill="1" applyBorder="1" applyAlignment="1" applyProtection="1">
      <alignment horizontal="center" vertical="center"/>
      <protection locked="0"/>
    </xf>
    <xf numFmtId="164" fontId="219" fillId="13" borderId="78" xfId="34" applyNumberFormat="1" applyFont="1" applyFill="1" applyBorder="1" applyAlignment="1" applyProtection="1">
      <alignment horizontal="center" vertical="center"/>
      <protection locked="0"/>
    </xf>
    <xf numFmtId="164" fontId="219" fillId="13" borderId="154" xfId="34" applyNumberFormat="1" applyFont="1" applyFill="1" applyBorder="1" applyAlignment="1" applyProtection="1">
      <alignment horizontal="center" vertical="center"/>
      <protection locked="0"/>
    </xf>
    <xf numFmtId="164" fontId="217" fillId="13" borderId="78" xfId="34" applyNumberFormat="1" applyFont="1" applyFill="1" applyBorder="1" applyAlignment="1" applyProtection="1">
      <alignment horizontal="center" vertical="center"/>
      <protection locked="0"/>
    </xf>
    <xf numFmtId="164" fontId="217" fillId="13" borderId="154" xfId="34" applyNumberFormat="1" applyFont="1" applyFill="1" applyBorder="1" applyAlignment="1" applyProtection="1">
      <alignment horizontal="center" vertical="center"/>
      <protection locked="0"/>
    </xf>
    <xf numFmtId="166" fontId="217" fillId="28" borderId="188" xfId="35" applyNumberFormat="1" applyFont="1" applyFill="1" applyBorder="1" applyAlignment="1">
      <alignment horizontal="center" vertical="center"/>
    </xf>
    <xf numFmtId="166" fontId="217" fillId="28" borderId="156" xfId="35" applyNumberFormat="1" applyFont="1" applyFill="1" applyBorder="1" applyAlignment="1">
      <alignment horizontal="center" vertical="center"/>
    </xf>
    <xf numFmtId="43" fontId="217" fillId="28" borderId="33" xfId="34" applyFont="1" applyFill="1" applyBorder="1" applyAlignment="1">
      <alignment horizontal="center" vertical="center"/>
    </xf>
    <xf numFmtId="43" fontId="217" fillId="28" borderId="187" xfId="34" applyFont="1" applyFill="1" applyBorder="1" applyAlignment="1">
      <alignment horizontal="center" vertical="center"/>
    </xf>
    <xf numFmtId="164" fontId="217" fillId="28" borderId="131" xfId="34" applyNumberFormat="1" applyFont="1" applyFill="1" applyBorder="1" applyAlignment="1">
      <alignment horizontal="center" vertical="center"/>
    </xf>
    <xf numFmtId="164" fontId="217" fillId="28" borderId="185" xfId="34" applyNumberFormat="1" applyFont="1" applyFill="1" applyBorder="1" applyAlignment="1">
      <alignment horizontal="center" vertical="center"/>
    </xf>
    <xf numFmtId="0" fontId="217" fillId="13" borderId="33" xfId="33" applyFont="1" applyFill="1" applyBorder="1" applyAlignment="1" applyProtection="1">
      <alignment horizontal="center" vertical="center"/>
      <protection locked="0"/>
    </xf>
    <xf numFmtId="0" fontId="217" fillId="13" borderId="187" xfId="33" applyFont="1" applyFill="1" applyBorder="1" applyAlignment="1" applyProtection="1">
      <alignment horizontal="center" vertical="center"/>
      <protection locked="0"/>
    </xf>
    <xf numFmtId="0" fontId="4" fillId="0" borderId="0" xfId="13" applyFont="1" applyAlignment="1" applyProtection="1">
      <alignment horizontal="justify" vertical="top" wrapText="1"/>
    </xf>
    <xf numFmtId="0" fontId="4" fillId="0" borderId="0" xfId="13" applyFont="1" applyBorder="1" applyAlignment="1" applyProtection="1">
      <alignment horizontal="justify" vertical="top" wrapText="1"/>
    </xf>
    <xf numFmtId="0" fontId="4" fillId="0" borderId="20" xfId="13" applyFont="1" applyBorder="1" applyAlignment="1" applyProtection="1">
      <alignment horizontal="justify" vertical="top" wrapText="1"/>
    </xf>
    <xf numFmtId="0" fontId="4" fillId="0" borderId="0" xfId="13" applyFont="1" applyAlignment="1" applyProtection="1">
      <alignment horizontal="left" vertical="top" wrapText="1"/>
    </xf>
    <xf numFmtId="180" fontId="4" fillId="0" borderId="0" xfId="13" applyNumberFormat="1" applyFont="1" applyFill="1" applyAlignment="1" applyProtection="1">
      <alignment horizontal="left" vertical="top"/>
    </xf>
    <xf numFmtId="0" fontId="4" fillId="10" borderId="0" xfId="13" applyFont="1" applyFill="1" applyAlignment="1" applyProtection="1">
      <alignment horizontal="left" vertical="top"/>
    </xf>
    <xf numFmtId="0" fontId="4" fillId="0" borderId="0" xfId="13" applyFont="1" applyFill="1" applyAlignment="1" applyProtection="1">
      <alignment horizontal="justify" vertical="top" wrapText="1"/>
    </xf>
    <xf numFmtId="0" fontId="187" fillId="0" borderId="0" xfId="13" applyFont="1" applyAlignment="1" applyProtection="1">
      <alignment horizontal="left" vertical="center" wrapText="1"/>
    </xf>
    <xf numFmtId="0" fontId="160" fillId="0" borderId="56" xfId="13" applyFont="1" applyBorder="1" applyAlignment="1" applyProtection="1">
      <alignment horizontal="right" vertical="center"/>
    </xf>
    <xf numFmtId="0" fontId="160" fillId="0" borderId="1" xfId="13" applyFont="1" applyBorder="1" applyAlignment="1" applyProtection="1">
      <alignment horizontal="right" vertical="center"/>
    </xf>
    <xf numFmtId="3" fontId="160" fillId="0" borderId="0" xfId="13" applyNumberFormat="1" applyFont="1" applyAlignment="1" applyProtection="1">
      <alignment horizontal="center" vertical="center"/>
    </xf>
    <xf numFmtId="3" fontId="4" fillId="10" borderId="93" xfId="13" applyNumberFormat="1" applyFill="1" applyBorder="1" applyAlignment="1">
      <alignment horizontal="center" vertical="center"/>
    </xf>
    <xf numFmtId="3" fontId="4" fillId="10" borderId="76" xfId="13" applyNumberFormat="1" applyFill="1" applyBorder="1" applyAlignment="1">
      <alignment horizontal="center" vertical="center"/>
    </xf>
    <xf numFmtId="3" fontId="4" fillId="10" borderId="77" xfId="13" applyNumberFormat="1" applyFill="1" applyBorder="1" applyAlignment="1">
      <alignment horizontal="center" vertical="center"/>
    </xf>
    <xf numFmtId="3" fontId="4" fillId="10" borderId="74" xfId="13" applyNumberFormat="1" applyFill="1" applyBorder="1" applyAlignment="1">
      <alignment horizontal="center" vertical="center"/>
    </xf>
    <xf numFmtId="3" fontId="4" fillId="10" borderId="96" xfId="13" applyNumberFormat="1" applyFill="1" applyBorder="1" applyAlignment="1">
      <alignment horizontal="center" vertical="center"/>
    </xf>
    <xf numFmtId="3" fontId="4" fillId="10" borderId="75" xfId="13" applyNumberFormat="1" applyFill="1" applyBorder="1" applyAlignment="1">
      <alignment horizontal="center" vertical="center"/>
    </xf>
    <xf numFmtId="0" fontId="187" fillId="0" borderId="0" xfId="13" applyFont="1" applyAlignment="1">
      <alignment horizontal="left" vertical="center" wrapText="1"/>
    </xf>
    <xf numFmtId="0" fontId="14" fillId="0" borderId="0" xfId="13" applyFont="1" applyAlignment="1">
      <alignment horizontal="center" wrapText="1"/>
    </xf>
    <xf numFmtId="0" fontId="117" fillId="0" borderId="56" xfId="13" applyFont="1" applyBorder="1" applyAlignment="1">
      <alignment horizontal="center" vertical="center"/>
    </xf>
    <xf numFmtId="0" fontId="117" fillId="0" borderId="1" xfId="13" applyFont="1" applyBorder="1" applyAlignment="1">
      <alignment horizontal="center" vertical="center"/>
    </xf>
    <xf numFmtId="0" fontId="117" fillId="0" borderId="35" xfId="13" applyFont="1" applyBorder="1" applyAlignment="1">
      <alignment horizontal="center" vertical="center"/>
    </xf>
    <xf numFmtId="0" fontId="14" fillId="0" borderId="13" xfId="13" applyFont="1" applyBorder="1" applyAlignment="1">
      <alignment horizontal="center" wrapText="1"/>
    </xf>
    <xf numFmtId="0" fontId="5" fillId="0" borderId="62" xfId="13" applyFont="1" applyBorder="1" applyAlignment="1">
      <alignment horizontal="center" wrapText="1"/>
    </xf>
    <xf numFmtId="0" fontId="5" fillId="0" borderId="67" xfId="13" applyFont="1" applyBorder="1" applyAlignment="1">
      <alignment horizontal="center" wrapText="1"/>
    </xf>
    <xf numFmtId="0" fontId="5" fillId="0" borderId="44" xfId="13" applyFont="1" applyBorder="1" applyAlignment="1">
      <alignment horizontal="center" wrapText="1"/>
    </xf>
    <xf numFmtId="0" fontId="5" fillId="0" borderId="8" xfId="13" applyFont="1" applyBorder="1" applyAlignment="1">
      <alignment horizontal="center" wrapText="1"/>
    </xf>
    <xf numFmtId="0" fontId="4" fillId="0" borderId="70" xfId="13" applyBorder="1" applyAlignment="1">
      <alignment horizontal="center" vertical="center"/>
    </xf>
    <xf numFmtId="0" fontId="4" fillId="0" borderId="0" xfId="13" applyAlignment="1">
      <alignment horizontal="center" vertical="center"/>
    </xf>
    <xf numFmtId="0" fontId="4" fillId="0" borderId="179" xfId="13" applyBorder="1" applyAlignment="1">
      <alignment horizontal="center" vertical="center"/>
    </xf>
    <xf numFmtId="0" fontId="4" fillId="0" borderId="180" xfId="13" applyBorder="1" applyAlignment="1">
      <alignment horizontal="center" vertical="center"/>
    </xf>
    <xf numFmtId="0" fontId="4" fillId="0" borderId="181" xfId="13" applyBorder="1" applyAlignment="1">
      <alignment horizontal="center" vertical="center"/>
    </xf>
    <xf numFmtId="0" fontId="5" fillId="0" borderId="9" xfId="13" applyFont="1" applyBorder="1" applyAlignment="1">
      <alignment horizontal="center" wrapText="1"/>
    </xf>
    <xf numFmtId="0" fontId="5" fillId="0" borderId="13" xfId="13" applyFont="1" applyBorder="1" applyAlignment="1">
      <alignment horizontal="center" wrapText="1"/>
    </xf>
    <xf numFmtId="0" fontId="5" fillId="0" borderId="7" xfId="13" applyFont="1" applyBorder="1" applyAlignment="1">
      <alignment horizontal="center" wrapText="1"/>
    </xf>
    <xf numFmtId="0" fontId="5" fillId="0" borderId="0" xfId="13" applyFont="1" applyAlignment="1">
      <alignment horizontal="center" wrapText="1"/>
    </xf>
    <xf numFmtId="0" fontId="5" fillId="0" borderId="19" xfId="13" applyFont="1" applyBorder="1" applyAlignment="1">
      <alignment horizontal="center" vertical="center" wrapText="1"/>
    </xf>
    <xf numFmtId="0" fontId="5" fillId="0" borderId="0" xfId="13" applyFont="1" applyAlignment="1">
      <alignment horizontal="center" vertical="center" wrapText="1"/>
    </xf>
    <xf numFmtId="0" fontId="5" fillId="0" borderId="157" xfId="13" applyFont="1" applyBorder="1" applyAlignment="1">
      <alignment horizontal="center" wrapText="1"/>
    </xf>
    <xf numFmtId="0" fontId="5" fillId="0" borderId="47" xfId="13" applyFont="1" applyBorder="1" applyAlignment="1">
      <alignment horizontal="center" wrapText="1"/>
    </xf>
    <xf numFmtId="0" fontId="9" fillId="10" borderId="77" xfId="13" applyFont="1" applyFill="1" applyBorder="1" applyAlignment="1">
      <alignment horizontal="center" vertical="center"/>
    </xf>
    <xf numFmtId="0" fontId="9" fillId="10" borderId="21" xfId="13" applyFont="1" applyFill="1" applyBorder="1" applyAlignment="1">
      <alignment horizontal="center" vertical="center"/>
    </xf>
    <xf numFmtId="0" fontId="9" fillId="10" borderId="31" xfId="13" applyFont="1" applyFill="1" applyBorder="1" applyAlignment="1">
      <alignment horizontal="center" vertical="center"/>
    </xf>
    <xf numFmtId="0" fontId="4" fillId="10" borderId="96" xfId="13" applyFill="1" applyBorder="1" applyAlignment="1">
      <alignment horizontal="center" vertical="center"/>
    </xf>
    <xf numFmtId="0" fontId="4" fillId="10" borderId="57" xfId="13" applyFill="1" applyBorder="1" applyAlignment="1">
      <alignment horizontal="center" vertical="center"/>
    </xf>
    <xf numFmtId="0" fontId="4" fillId="10" borderId="29" xfId="13" applyFill="1" applyBorder="1" applyAlignment="1">
      <alignment horizontal="center" vertical="center"/>
    </xf>
    <xf numFmtId="0" fontId="9" fillId="10" borderId="93" xfId="13" applyFont="1" applyFill="1" applyBorder="1" applyAlignment="1">
      <alignment horizontal="center" vertical="center"/>
    </xf>
    <xf numFmtId="0" fontId="9" fillId="10" borderId="58" xfId="13" applyFont="1" applyFill="1" applyBorder="1" applyAlignment="1">
      <alignment horizontal="center" vertical="center"/>
    </xf>
    <xf numFmtId="0" fontId="9" fillId="10" borderId="34" xfId="13" applyFont="1" applyFill="1" applyBorder="1" applyAlignment="1">
      <alignment horizontal="center" vertical="center"/>
    </xf>
    <xf numFmtId="0" fontId="4" fillId="0" borderId="0" xfId="13" applyBorder="1" applyAlignment="1" applyProtection="1">
      <alignment horizontal="left" vertical="top" wrapText="1"/>
    </xf>
    <xf numFmtId="0" fontId="4" fillId="0" borderId="8" xfId="13" applyBorder="1" applyAlignment="1" applyProtection="1">
      <alignment horizontal="left" vertical="top" wrapText="1"/>
    </xf>
    <xf numFmtId="3" fontId="4" fillId="0" borderId="13" xfId="13" applyNumberFormat="1" applyBorder="1" applyAlignment="1" applyProtection="1">
      <alignment horizontal="right"/>
    </xf>
    <xf numFmtId="3" fontId="4" fillId="0" borderId="85" xfId="13" applyNumberFormat="1" applyBorder="1" applyAlignment="1" applyProtection="1">
      <alignment horizontal="right"/>
    </xf>
    <xf numFmtId="3" fontId="4" fillId="0" borderId="0" xfId="13" applyNumberFormat="1" applyBorder="1" applyAlignment="1" applyProtection="1">
      <alignment horizontal="right"/>
    </xf>
    <xf numFmtId="3" fontId="4" fillId="10" borderId="20" xfId="13" applyNumberFormat="1" applyFill="1" applyBorder="1" applyAlignment="1" applyProtection="1">
      <alignment horizontal="right"/>
    </xf>
    <xf numFmtId="3" fontId="4" fillId="10" borderId="21" xfId="13" applyNumberFormat="1" applyFill="1" applyBorder="1" applyAlignment="1" applyProtection="1">
      <alignment horizontal="right"/>
    </xf>
    <xf numFmtId="3" fontId="4" fillId="0" borderId="13" xfId="13" applyNumberFormat="1" applyFont="1" applyBorder="1" applyAlignment="1" applyProtection="1">
      <alignment horizontal="right"/>
    </xf>
    <xf numFmtId="3" fontId="4" fillId="10" borderId="13" xfId="13" applyNumberFormat="1" applyFill="1" applyBorder="1" applyAlignment="1" applyProtection="1">
      <alignment horizontal="right"/>
    </xf>
    <xf numFmtId="0" fontId="4" fillId="0" borderId="43" xfId="13" applyFont="1" applyBorder="1" applyAlignment="1" applyProtection="1">
      <alignment horizontal="left" vertical="top" wrapText="1"/>
    </xf>
    <xf numFmtId="0" fontId="4" fillId="0" borderId="19" xfId="13" applyFont="1" applyBorder="1" applyAlignment="1" applyProtection="1">
      <alignment horizontal="left" vertical="top" wrapText="1"/>
    </xf>
    <xf numFmtId="0" fontId="4" fillId="0" borderId="32" xfId="13" applyFont="1" applyBorder="1" applyAlignment="1" applyProtection="1">
      <alignment horizontal="left" vertical="top" wrapText="1"/>
    </xf>
    <xf numFmtId="0" fontId="4" fillId="0" borderId="42" xfId="13" applyFont="1" applyBorder="1" applyAlignment="1" applyProtection="1">
      <alignment horizontal="left" vertical="top" wrapText="1"/>
    </xf>
    <xf numFmtId="0" fontId="4" fillId="0" borderId="20" xfId="13" applyFont="1" applyBorder="1" applyAlignment="1" applyProtection="1">
      <alignment horizontal="left" vertical="top" wrapText="1"/>
    </xf>
    <xf numFmtId="0" fontId="4" fillId="0" borderId="92" xfId="13" applyFont="1" applyBorder="1" applyAlignment="1" applyProtection="1">
      <alignment horizontal="left" vertical="top" wrapText="1"/>
    </xf>
    <xf numFmtId="0" fontId="6" fillId="0" borderId="0" xfId="13" applyFont="1" applyBorder="1" applyAlignment="1" applyProtection="1">
      <alignment horizontal="center"/>
    </xf>
    <xf numFmtId="0" fontId="4" fillId="0" borderId="86" xfId="13" applyFont="1" applyBorder="1" applyAlignment="1" applyProtection="1">
      <alignment horizontal="center"/>
    </xf>
    <xf numFmtId="3" fontId="11" fillId="0" borderId="42" xfId="13" applyNumberFormat="1" applyFont="1" applyBorder="1" applyAlignment="1" applyProtection="1">
      <alignment horizontal="center"/>
    </xf>
    <xf numFmtId="3" fontId="11" fillId="0" borderId="20" xfId="13" applyNumberFormat="1" applyFont="1" applyBorder="1" applyAlignment="1" applyProtection="1">
      <alignment horizontal="center"/>
    </xf>
    <xf numFmtId="0" fontId="4" fillId="0" borderId="0" xfId="13" applyFont="1" applyBorder="1" applyAlignment="1" applyProtection="1">
      <alignment horizontal="left"/>
    </xf>
    <xf numFmtId="0" fontId="9" fillId="0" borderId="77" xfId="13" applyFont="1" applyBorder="1" applyAlignment="1" applyProtection="1">
      <alignment horizontal="left"/>
    </xf>
    <xf numFmtId="0" fontId="9" fillId="0" borderId="74" xfId="13" applyFont="1" applyBorder="1" applyAlignment="1" applyProtection="1">
      <alignment horizontal="left"/>
    </xf>
    <xf numFmtId="0" fontId="4" fillId="0" borderId="78" xfId="13" applyFont="1" applyBorder="1" applyAlignment="1" applyProtection="1">
      <alignment horizontal="center"/>
    </xf>
    <xf numFmtId="0" fontId="4" fillId="0" borderId="82" xfId="13" applyFont="1" applyBorder="1" applyAlignment="1" applyProtection="1">
      <alignment horizontal="center"/>
    </xf>
    <xf numFmtId="0" fontId="4" fillId="0" borderId="79" xfId="13" applyFont="1" applyBorder="1" applyAlignment="1" applyProtection="1">
      <alignment horizontal="center"/>
    </xf>
    <xf numFmtId="0" fontId="11" fillId="0" borderId="96" xfId="13" applyFont="1" applyBorder="1" applyAlignment="1" applyProtection="1">
      <alignment horizontal="center"/>
    </xf>
    <xf numFmtId="0" fontId="11" fillId="0" borderId="57" xfId="13" applyFont="1" applyBorder="1" applyAlignment="1" applyProtection="1">
      <alignment horizontal="center"/>
    </xf>
    <xf numFmtId="0" fontId="11" fillId="0" borderId="75" xfId="13" applyFont="1" applyBorder="1" applyAlignment="1" applyProtection="1">
      <alignment horizontal="center"/>
    </xf>
    <xf numFmtId="0" fontId="4" fillId="0" borderId="96" xfId="13" applyFont="1" applyBorder="1" applyAlignment="1" applyProtection="1">
      <alignment horizontal="center"/>
    </xf>
    <xf numFmtId="0" fontId="4" fillId="0" borderId="75" xfId="13" applyFont="1" applyBorder="1" applyAlignment="1" applyProtection="1">
      <alignment horizontal="center"/>
    </xf>
    <xf numFmtId="3" fontId="4" fillId="0" borderId="21" xfId="13" applyNumberFormat="1" applyBorder="1" applyAlignment="1" applyProtection="1">
      <alignment horizontal="right" wrapText="1"/>
    </xf>
    <xf numFmtId="3" fontId="4" fillId="0" borderId="21" xfId="13" applyNumberFormat="1" applyBorder="1" applyAlignment="1" applyProtection="1">
      <alignment horizontal="right"/>
    </xf>
    <xf numFmtId="0" fontId="4" fillId="0" borderId="77" xfId="13" applyFont="1" applyBorder="1" applyAlignment="1" applyProtection="1">
      <alignment horizontal="center"/>
    </xf>
    <xf numFmtId="0" fontId="4" fillId="0" borderId="74" xfId="13" applyBorder="1" applyAlignment="1" applyProtection="1">
      <alignment horizontal="center"/>
    </xf>
    <xf numFmtId="0" fontId="4" fillId="0" borderId="7" xfId="13" applyFont="1" applyBorder="1" applyAlignment="1" applyProtection="1">
      <alignment horizontal="center"/>
    </xf>
    <xf numFmtId="0" fontId="4" fillId="0" borderId="0" xfId="13" applyFont="1" applyBorder="1" applyAlignment="1" applyProtection="1">
      <alignment horizontal="center"/>
    </xf>
    <xf numFmtId="0" fontId="4" fillId="0" borderId="8" xfId="13" applyFont="1" applyBorder="1" applyAlignment="1" applyProtection="1">
      <alignment horizontal="left"/>
    </xf>
    <xf numFmtId="0" fontId="9" fillId="0" borderId="7" xfId="13" applyFont="1" applyBorder="1" applyAlignment="1" applyProtection="1">
      <alignment horizontal="center"/>
    </xf>
    <xf numFmtId="0" fontId="9" fillId="0" borderId="0" xfId="13" applyFont="1" applyBorder="1" applyAlignment="1" applyProtection="1">
      <alignment horizontal="center"/>
    </xf>
    <xf numFmtId="0" fontId="9" fillId="0" borderId="8" xfId="13" applyFont="1" applyBorder="1" applyAlignment="1" applyProtection="1">
      <alignment horizontal="center"/>
    </xf>
    <xf numFmtId="0" fontId="97" fillId="0" borderId="77" xfId="0" applyFont="1" applyBorder="1" applyAlignment="1">
      <alignment horizontal="center" vertical="center" wrapText="1"/>
    </xf>
    <xf numFmtId="0" fontId="97" fillId="0" borderId="74" xfId="0" applyFont="1" applyBorder="1" applyAlignment="1">
      <alignment horizontal="center" vertical="center" wrapText="1"/>
    </xf>
    <xf numFmtId="0" fontId="75" fillId="0" borderId="13" xfId="13" applyFont="1" applyBorder="1" applyAlignment="1" applyProtection="1">
      <alignment horizontal="left"/>
    </xf>
    <xf numFmtId="174" fontId="75" fillId="0" borderId="13" xfId="13" applyNumberFormat="1" applyFont="1" applyBorder="1" applyAlignment="1" applyProtection="1">
      <alignment horizontal="left"/>
    </xf>
    <xf numFmtId="0" fontId="43" fillId="0" borderId="85" xfId="13" applyFont="1" applyBorder="1" applyAlignment="1" applyProtection="1">
      <alignment horizontal="center" vertical="top"/>
    </xf>
    <xf numFmtId="0" fontId="43" fillId="0" borderId="0" xfId="13" applyFont="1" applyAlignment="1" applyProtection="1">
      <alignment horizontal="center"/>
    </xf>
    <xf numFmtId="0" fontId="75" fillId="0" borderId="0" xfId="13" applyFont="1" applyAlignment="1" applyProtection="1">
      <alignment horizontal="left"/>
    </xf>
    <xf numFmtId="0" fontId="75" fillId="0" borderId="0" xfId="13" applyFont="1" applyAlignment="1" applyProtection="1">
      <alignment horizontal="justify" vertical="top" wrapText="1"/>
    </xf>
    <xf numFmtId="0" fontId="75" fillId="0" borderId="0" xfId="13" applyFont="1" applyAlignment="1" applyProtection="1">
      <alignment horizontal="left" vertical="top" wrapText="1"/>
    </xf>
    <xf numFmtId="0" fontId="75" fillId="0" borderId="0" xfId="13" applyFont="1" applyAlignment="1" applyProtection="1">
      <alignment horizontal="left" vertical="center" wrapText="1"/>
    </xf>
    <xf numFmtId="0" fontId="75" fillId="0" borderId="0" xfId="13" applyFont="1" applyAlignment="1" applyProtection="1">
      <alignment horizontal="justify" vertical="center" wrapText="1"/>
    </xf>
    <xf numFmtId="3" fontId="43" fillId="0" borderId="17" xfId="10" applyNumberFormat="1" applyFont="1" applyBorder="1" applyAlignment="1" applyProtection="1">
      <alignment horizontal="center" vertical="center"/>
    </xf>
    <xf numFmtId="9" fontId="43" fillId="0" borderId="134" xfId="10" applyFont="1" applyBorder="1" applyAlignment="1" applyProtection="1">
      <alignment horizontal="center" vertical="center"/>
    </xf>
    <xf numFmtId="9" fontId="43" fillId="0" borderId="17" xfId="10" applyFont="1" applyBorder="1" applyAlignment="1" applyProtection="1">
      <alignment horizontal="center" vertical="center"/>
    </xf>
    <xf numFmtId="9" fontId="43" fillId="0" borderId="18" xfId="10" applyFont="1" applyBorder="1" applyAlignment="1" applyProtection="1">
      <alignment horizontal="center" vertical="center"/>
    </xf>
    <xf numFmtId="0" fontId="43" fillId="0" borderId="13" xfId="0" applyFont="1" applyBorder="1" applyAlignment="1" applyProtection="1">
      <alignment horizontal="center" vertical="center"/>
    </xf>
    <xf numFmtId="0" fontId="232" fillId="20" borderId="20" xfId="0" applyFont="1" applyFill="1" applyBorder="1" applyAlignment="1">
      <alignment horizontal="center" vertical="center"/>
    </xf>
    <xf numFmtId="0" fontId="232" fillId="20" borderId="0" xfId="0" applyFont="1" applyFill="1" applyAlignment="1">
      <alignment horizontal="center" vertical="center"/>
    </xf>
    <xf numFmtId="0" fontId="114" fillId="0" borderId="78" xfId="9" applyFont="1" applyBorder="1" applyAlignment="1">
      <alignment horizontal="center" vertical="center"/>
    </xf>
    <xf numFmtId="0" fontId="114" fillId="0" borderId="82" xfId="9" applyFont="1" applyBorder="1" applyAlignment="1">
      <alignment horizontal="center" vertical="center"/>
    </xf>
    <xf numFmtId="0" fontId="114" fillId="0" borderId="79" xfId="9" applyFont="1" applyBorder="1" applyAlignment="1">
      <alignment horizontal="center" vertical="center"/>
    </xf>
    <xf numFmtId="0" fontId="225" fillId="0" borderId="86" xfId="0" quotePrefix="1" applyFont="1" applyBorder="1" applyAlignment="1">
      <alignment horizontal="center"/>
    </xf>
    <xf numFmtId="1" fontId="225" fillId="0" borderId="86" xfId="0" quotePrefix="1" applyNumberFormat="1" applyFont="1" applyBorder="1" applyAlignment="1">
      <alignment horizontal="center" wrapText="1"/>
    </xf>
    <xf numFmtId="3" fontId="43" fillId="0" borderId="36" xfId="1" applyNumberFormat="1" applyFont="1" applyFill="1" applyBorder="1" applyAlignment="1" applyProtection="1">
      <alignment horizontal="center" vertical="center"/>
    </xf>
    <xf numFmtId="3" fontId="43" fillId="0" borderId="37" xfId="1" applyNumberFormat="1" applyFont="1" applyFill="1" applyBorder="1" applyAlignment="1" applyProtection="1">
      <alignment horizontal="center" vertical="center"/>
    </xf>
    <xf numFmtId="38" fontId="43" fillId="0" borderId="17" xfId="0" applyNumberFormat="1" applyFont="1" applyBorder="1" applyAlignment="1">
      <alignment horizontal="center" vertical="center"/>
    </xf>
    <xf numFmtId="38" fontId="43" fillId="0" borderId="134" xfId="0" applyNumberFormat="1" applyFont="1" applyBorder="1" applyAlignment="1">
      <alignment horizontal="center" vertical="center"/>
    </xf>
    <xf numFmtId="38" fontId="43" fillId="0" borderId="18" xfId="0" applyNumberFormat="1" applyFont="1" applyBorder="1" applyAlignment="1">
      <alignment horizontal="center" vertical="center"/>
    </xf>
    <xf numFmtId="38" fontId="43" fillId="0" borderId="86" xfId="0" applyNumberFormat="1" applyFont="1" applyBorder="1" applyAlignment="1">
      <alignment horizontal="center" vertical="center"/>
    </xf>
    <xf numFmtId="0" fontId="43" fillId="0" borderId="78" xfId="0" applyFont="1" applyBorder="1" applyAlignment="1" applyProtection="1">
      <alignment horizontal="center" vertical="center"/>
    </xf>
    <xf numFmtId="0" fontId="43" fillId="0" borderId="79" xfId="0" applyFont="1" applyBorder="1" applyAlignment="1" applyProtection="1">
      <alignment horizontal="center" vertical="center"/>
    </xf>
    <xf numFmtId="3" fontId="43" fillId="0" borderId="134" xfId="10" applyNumberFormat="1" applyFont="1" applyBorder="1" applyAlignment="1" applyProtection="1">
      <alignment horizontal="center" vertical="center"/>
    </xf>
    <xf numFmtId="3" fontId="43" fillId="0" borderId="18" xfId="10" applyNumberFormat="1" applyFont="1" applyBorder="1" applyAlignment="1" applyProtection="1">
      <alignment horizontal="center" vertical="center"/>
    </xf>
    <xf numFmtId="9" fontId="43" fillId="0" borderId="78" xfId="10" applyFont="1" applyBorder="1" applyAlignment="1" applyProtection="1">
      <alignment horizontal="center" vertical="center"/>
    </xf>
    <xf numFmtId="9" fontId="43" fillId="0" borderId="79" xfId="10" applyFont="1" applyBorder="1" applyAlignment="1" applyProtection="1">
      <alignment horizontal="center" vertical="center"/>
    </xf>
    <xf numFmtId="3" fontId="43" fillId="0" borderId="78" xfId="1" applyNumberFormat="1" applyFont="1" applyFill="1" applyBorder="1" applyAlignment="1" applyProtection="1">
      <alignment horizontal="center" vertical="center"/>
    </xf>
    <xf numFmtId="3" fontId="43" fillId="0" borderId="79" xfId="1" applyNumberFormat="1" applyFont="1" applyFill="1" applyBorder="1" applyAlignment="1" applyProtection="1">
      <alignment horizontal="center" vertical="center"/>
    </xf>
    <xf numFmtId="9" fontId="43" fillId="0" borderId="78" xfId="0" applyNumberFormat="1" applyFont="1" applyBorder="1" applyAlignment="1">
      <alignment horizontal="center"/>
    </xf>
    <xf numFmtId="9" fontId="43" fillId="0" borderId="79" xfId="0" applyNumberFormat="1" applyFont="1" applyBorder="1" applyAlignment="1">
      <alignment horizontal="center"/>
    </xf>
    <xf numFmtId="0" fontId="43" fillId="0" borderId="0" xfId="0" applyFont="1" applyAlignment="1" applyProtection="1">
      <alignment horizontal="center" vertical="center" wrapText="1"/>
    </xf>
    <xf numFmtId="9" fontId="43" fillId="0" borderId="3" xfId="10" applyFont="1" applyBorder="1" applyAlignment="1" applyProtection="1">
      <alignment horizontal="center" vertical="center"/>
    </xf>
    <xf numFmtId="0" fontId="45" fillId="0" borderId="36" xfId="0"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0" fontId="45" fillId="0" borderId="37" xfId="0" applyFont="1" applyFill="1" applyBorder="1" applyAlignment="1" applyProtection="1">
      <alignment horizontal="center" vertical="center"/>
    </xf>
    <xf numFmtId="0" fontId="43" fillId="0" borderId="43" xfId="0" applyFont="1" applyBorder="1" applyAlignment="1" applyProtection="1">
      <alignment horizontal="center" vertical="center"/>
    </xf>
    <xf numFmtId="0" fontId="43" fillId="0" borderId="19" xfId="0" applyFont="1" applyBorder="1" applyAlignment="1" applyProtection="1">
      <alignment horizontal="center" vertical="center"/>
    </xf>
    <xf numFmtId="0" fontId="43" fillId="0" borderId="39" xfId="0" applyFont="1" applyBorder="1" applyAlignment="1" applyProtection="1">
      <alignment horizontal="center" vertical="center"/>
    </xf>
  </cellXfs>
  <cellStyles count="37">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 7" xfId="36" xr:uid="{D8F7DBEF-435D-4D4A-990F-E6E97867B6CA}"/>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96">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FFFF00"/>
        </patternFill>
      </fill>
    </dxf>
    <dxf>
      <font>
        <color rgb="FFFF0000"/>
      </font>
      <fill>
        <patternFill>
          <bgColor rgb="FFFFFF00"/>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9900"/>
      <color rgb="FFFF6600"/>
      <color rgb="FFFFFFCC"/>
      <color rgb="FFCC9900"/>
      <color rgb="FF0000FF"/>
      <color rgb="FFCCFFCC"/>
      <color rgb="FF00CC00"/>
      <color rgb="FFCCEC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13</xdr:col>
      <xdr:colOff>47625</xdr:colOff>
      <xdr:row>2127</xdr:row>
      <xdr:rowOff>9525</xdr:rowOff>
    </xdr:from>
    <xdr:to>
      <xdr:col>23</xdr:col>
      <xdr:colOff>438150</xdr:colOff>
      <xdr:row>2200</xdr:row>
      <xdr:rowOff>57150</xdr:rowOff>
    </xdr:to>
    <xdr:sp macro="" textlink="">
      <xdr:nvSpPr>
        <xdr:cNvPr id="2" name="TextBox 1">
          <a:extLst>
            <a:ext uri="{FF2B5EF4-FFF2-40B4-BE49-F238E27FC236}">
              <a16:creationId xmlns:a16="http://schemas.microsoft.com/office/drawing/2014/main" id="{4A0CD586-8BC3-482E-9737-A24F76D77596}"/>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2.bin"/><Relationship Id="rId4" Type="http://schemas.openxmlformats.org/officeDocument/2006/relationships/comments" Target="../comments6.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2.xml"/><Relationship Id="rId1" Type="http://schemas.openxmlformats.org/officeDocument/2006/relationships/printerSettings" Target="../printerSettings/printerSettings23.bin"/><Relationship Id="rId4" Type="http://schemas.openxmlformats.org/officeDocument/2006/relationships/comments" Target="../comments7.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0.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8" Type="http://schemas.openxmlformats.org/officeDocument/2006/relationships/comments" Target="../comments11.xml"/><Relationship Id="rId3" Type="http://schemas.openxmlformats.org/officeDocument/2006/relationships/hyperlink" Target="http://zip4.usps.com/zip4/welcome.jsp" TargetMode="External"/><Relationship Id="rId7" Type="http://schemas.openxmlformats.org/officeDocument/2006/relationships/vmlDrawing" Target="../drawings/vmlDrawing21.vm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6" Type="http://schemas.openxmlformats.org/officeDocument/2006/relationships/drawing" Target="../drawings/drawing3.xml"/><Relationship Id="rId5" Type="http://schemas.openxmlformats.org/officeDocument/2006/relationships/printerSettings" Target="../printerSettings/printerSettings27.bin"/><Relationship Id="rId4" Type="http://schemas.openxmlformats.org/officeDocument/2006/relationships/hyperlink" Target="https://youtu.be/VozXGGf8Ueg" TargetMode="External"/></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topLeftCell="A4" zoomScale="90" zoomScaleNormal="90" workbookViewId="0">
      <selection activeCell="A4" sqref="A1:XFD1048576"/>
    </sheetView>
  </sheetViews>
  <sheetFormatPr defaultColWidth="9.140625" defaultRowHeight="12.75"/>
  <cols>
    <col min="1" max="1" width="171.42578125" style="27" customWidth="1"/>
    <col min="2" max="16384" width="9.140625" style="27"/>
  </cols>
  <sheetData>
    <row r="1" spans="1:6" ht="15" customHeight="1">
      <c r="A1" s="760" t="s">
        <v>940</v>
      </c>
    </row>
    <row r="2" spans="1:6" ht="15" customHeight="1">
      <c r="A2" s="761" t="str">
        <f>'Part I-Project Information'!F35</f>
        <v>West Point Village Phase II</v>
      </c>
    </row>
    <row r="3" spans="1:6" ht="15" customHeight="1">
      <c r="A3" s="761" t="str">
        <f>CONCATENATE('Part I-Project Information'!F39,", ", 'Part I-Project Information'!J40," County")</f>
        <v>West Point, Troup County</v>
      </c>
    </row>
    <row r="4" spans="1:6" ht="12" customHeight="1">
      <c r="A4" s="1197"/>
    </row>
    <row r="5" spans="1:6" ht="72" customHeight="1">
      <c r="A5" s="3131" t="s">
        <v>6851</v>
      </c>
      <c r="B5" s="3132" t="s">
        <v>4080</v>
      </c>
      <c r="C5" s="3132"/>
      <c r="D5" s="3132"/>
      <c r="E5" s="3132"/>
      <c r="F5" s="3132"/>
    </row>
    <row r="6" spans="1:6" ht="6.6" customHeight="1">
      <c r="A6" s="3131"/>
      <c r="B6" s="3132"/>
      <c r="C6" s="3132"/>
      <c r="D6" s="3132"/>
      <c r="E6" s="3132"/>
      <c r="F6" s="3132"/>
    </row>
    <row r="7" spans="1:6" ht="72" customHeight="1">
      <c r="A7" s="3131"/>
      <c r="B7" s="3132"/>
      <c r="C7" s="3132"/>
      <c r="D7" s="3132"/>
      <c r="E7" s="3132"/>
      <c r="F7" s="3132"/>
    </row>
    <row r="8" spans="1:6" ht="6.6" customHeight="1">
      <c r="A8" s="3131"/>
    </row>
    <row r="9" spans="1:6" ht="72" customHeight="1">
      <c r="A9" s="3131"/>
    </row>
    <row r="10" spans="1:6" ht="6.6" customHeight="1">
      <c r="A10" s="3131"/>
    </row>
    <row r="11" spans="1:6" ht="72" customHeight="1">
      <c r="A11" s="3131"/>
    </row>
    <row r="12" spans="1:6" ht="6.6" customHeight="1">
      <c r="A12" s="3131"/>
    </row>
    <row r="13" spans="1:6" ht="72" customHeight="1">
      <c r="A13" s="3131"/>
    </row>
    <row r="14" spans="1:6" ht="6.6" customHeight="1">
      <c r="A14" s="3131"/>
    </row>
    <row r="15" spans="1:6" ht="72" customHeight="1">
      <c r="A15" s="3131"/>
    </row>
    <row r="16" spans="1:6" ht="6.6" customHeight="1">
      <c r="A16" s="3131"/>
    </row>
    <row r="17" spans="1:1" ht="72" customHeight="1">
      <c r="A17" s="3131"/>
    </row>
    <row r="18" spans="1:1" ht="6.6" customHeight="1">
      <c r="A18" s="3131"/>
    </row>
    <row r="19" spans="1:1" ht="72" customHeight="1">
      <c r="A19" s="3131"/>
    </row>
    <row r="20" spans="1:1" ht="6.6" customHeight="1">
      <c r="A20" s="3131"/>
    </row>
    <row r="21" spans="1:1" ht="72" customHeight="1">
      <c r="A21" s="3131"/>
    </row>
    <row r="22" spans="1:1" ht="6.6" customHeight="1">
      <c r="A22" s="3131"/>
    </row>
    <row r="23" spans="1:1" ht="72" customHeight="1">
      <c r="A23" s="3131"/>
    </row>
  </sheetData>
  <sheetProtection algorithmName="SHA-512" hashValue="0Z+6z5U1o9OZ40W3MfBqG0pYimceGxvzSURUTTz8Nuvg/+R+Fyk3jfuLN1Fr0ErBsWwZrKrtq/8fe2zuv6to8g==" saltValue="uPG4nvkaCdquypp5L272QA==" spinCount="100000" sheet="1" objects="1" scenarios="1" selectLockedCells="1" selectUnlockedCells="1"/>
  <mergeCells count="2">
    <mergeCell ref="A5:A23"/>
    <mergeCell ref="B5:F7"/>
  </mergeCells>
  <printOptions horizontalCentered="1"/>
  <pageMargins left="0.25" right="0.25" top="0.5" bottom="0.5" header="0.25" footer="0.3"/>
  <pageSetup scale="79" fitToHeight="0" orientation="landscape" horizontalDpi="1200" verticalDpi="1200" r:id="rId1"/>
  <headerFooter>
    <oddHeader>&amp;L&amp;8Georgia Department of Community Affairs&amp;C2021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6"/>
  <sheetViews>
    <sheetView showGridLines="0" topLeftCell="A2" zoomScale="89" zoomScaleNormal="89" workbookViewId="0">
      <selection activeCell="A2" sqref="A1:XFD1048576"/>
    </sheetView>
  </sheetViews>
  <sheetFormatPr defaultColWidth="9.140625" defaultRowHeight="12.75"/>
  <cols>
    <col min="1" max="1" width="2.85546875" style="8" customWidth="1"/>
    <col min="2" max="2" width="10" style="8" customWidth="1"/>
    <col min="3" max="3" width="7.5703125" style="8" customWidth="1"/>
    <col min="4" max="4" width="6.42578125" style="8" customWidth="1"/>
    <col min="5" max="5" width="6.85546875" style="8" customWidth="1"/>
    <col min="6" max="6" width="8.140625" style="8" customWidth="1"/>
    <col min="7" max="8" width="9.85546875" style="8" customWidth="1"/>
    <col min="9" max="9" width="10.7109375" style="8" customWidth="1"/>
    <col min="10" max="10" width="11.85546875" style="8" customWidth="1"/>
    <col min="11" max="11" width="10.140625" style="8" customWidth="1"/>
    <col min="12" max="12" width="9.85546875" style="8" customWidth="1"/>
    <col min="13" max="14" width="11" style="8" customWidth="1"/>
    <col min="15" max="15" width="13.85546875" style="8" customWidth="1"/>
    <col min="16" max="16" width="15.42578125" style="8" customWidth="1"/>
    <col min="17" max="17" width="12.42578125" style="82" customWidth="1"/>
    <col min="18" max="18" width="9.85546875" style="82" customWidth="1"/>
    <col min="19" max="21" width="7.85546875" style="82" customWidth="1"/>
    <col min="22" max="22" width="59.140625" style="82" customWidth="1"/>
    <col min="23" max="23" width="47.85546875" style="82" customWidth="1"/>
    <col min="24" max="137" width="9.140625" style="430" customWidth="1"/>
    <col min="138" max="138" width="12.5703125" style="430" customWidth="1"/>
    <col min="139" max="139" width="8.140625" style="430" customWidth="1"/>
    <col min="140" max="143" width="7.140625" style="430" customWidth="1"/>
    <col min="144" max="144" width="8.140625" style="430" customWidth="1"/>
    <col min="145" max="148" width="7.140625" style="430" customWidth="1"/>
    <col min="149" max="158" width="9.140625" style="430" customWidth="1"/>
    <col min="159" max="159" width="8.140625" style="430" customWidth="1"/>
    <col min="160" max="163" width="7.140625" style="430" customWidth="1"/>
    <col min="164" max="168" width="9.140625" style="430" customWidth="1"/>
    <col min="169" max="169" width="8.140625" style="430" customWidth="1"/>
    <col min="170" max="173" width="7.140625" style="430" customWidth="1"/>
    <col min="174" max="253" width="9.140625" style="430" customWidth="1"/>
    <col min="254" max="258" width="11.140625" style="430" customWidth="1"/>
    <col min="259" max="273" width="9.140625" style="430" customWidth="1"/>
    <col min="274" max="274" width="10.140625" style="430" customWidth="1"/>
    <col min="275" max="278" width="10" style="430" customWidth="1"/>
    <col min="279" max="282" width="9.140625" style="430" customWidth="1"/>
    <col min="283" max="283" width="9.140625" style="1815" customWidth="1"/>
    <col min="284" max="287" width="9.140625" style="430" customWidth="1"/>
    <col min="288" max="288" width="9.140625" style="1815" customWidth="1"/>
    <col min="289" max="292" width="11.42578125" style="430" customWidth="1"/>
    <col min="293" max="293" width="11.42578125" style="1815" customWidth="1"/>
    <col min="294" max="297" width="11.42578125" style="430" customWidth="1"/>
    <col min="298" max="298" width="11.42578125" style="1815" customWidth="1"/>
    <col min="299" max="313" width="9.140625" style="1815" customWidth="1"/>
    <col min="314" max="318" width="11" style="1815" customWidth="1"/>
    <col min="319" max="319" width="9.140625" style="1815" customWidth="1"/>
    <col min="320" max="325" width="9.140625" style="430" customWidth="1"/>
    <col min="326" max="326" width="9.140625" style="434" customWidth="1"/>
    <col min="327" max="341" width="9.140625" style="430" customWidth="1"/>
    <col min="342" max="343" width="9.140625" style="434" customWidth="1"/>
    <col min="344" max="350" width="10.140625" style="430" customWidth="1"/>
    <col min="351" max="353" width="9.140625" style="430"/>
    <col min="354" max="354" width="10.42578125" style="430" customWidth="1"/>
    <col min="355" max="358" width="10.140625" style="430" customWidth="1"/>
    <col min="359" max="359" width="9.140625" style="430"/>
    <col min="360" max="379" width="9.140625" style="146"/>
    <col min="380" max="380" width="9.140625" style="2807"/>
    <col min="381" max="493" width="9.140625" style="146"/>
    <col min="494" max="16384" width="9.140625" style="82"/>
  </cols>
  <sheetData>
    <row r="1" spans="1:493" s="2807" customFormat="1" hidden="1">
      <c r="B1" s="2807" t="s">
        <v>6705</v>
      </c>
      <c r="C1" s="2807" t="s">
        <v>163</v>
      </c>
      <c r="D1" s="2807" t="s">
        <v>165</v>
      </c>
      <c r="E1" s="2807" t="s">
        <v>6706</v>
      </c>
      <c r="F1" s="2807" t="s">
        <v>6707</v>
      </c>
      <c r="G1" s="2807" t="s">
        <v>6708</v>
      </c>
      <c r="H1" s="2807" t="s">
        <v>6709</v>
      </c>
      <c r="I1" s="2807" t="s">
        <v>6710</v>
      </c>
      <c r="J1" s="2807" t="s">
        <v>6711</v>
      </c>
      <c r="K1" s="2807" t="s">
        <v>3256</v>
      </c>
      <c r="L1" s="2807" t="s">
        <v>6712</v>
      </c>
      <c r="M1" s="2807" t="s">
        <v>6713</v>
      </c>
      <c r="N1" s="2807" t="s">
        <v>6714</v>
      </c>
      <c r="O1" s="2807" t="s">
        <v>6715</v>
      </c>
      <c r="P1" s="2807" t="s">
        <v>367</v>
      </c>
      <c r="Q1" s="2807" t="s">
        <v>6716</v>
      </c>
      <c r="JW1" s="2848"/>
      <c r="KB1" s="2848"/>
      <c r="KG1" s="2848"/>
      <c r="KL1" s="2848"/>
      <c r="KM1" s="2848"/>
      <c r="KN1" s="2848"/>
      <c r="KO1" s="2848"/>
      <c r="KP1" s="2848"/>
      <c r="KQ1" s="2848"/>
      <c r="KR1" s="2848"/>
      <c r="KS1" s="2848"/>
      <c r="KT1" s="2848"/>
      <c r="KU1" s="2848"/>
      <c r="KV1" s="2848"/>
      <c r="KW1" s="2848"/>
      <c r="KX1" s="2848"/>
      <c r="KY1" s="2848"/>
      <c r="KZ1" s="2848"/>
      <c r="LA1" s="2848"/>
      <c r="LB1" s="2848"/>
      <c r="LC1" s="2848"/>
      <c r="LD1" s="2848"/>
      <c r="LE1" s="2848"/>
      <c r="LF1" s="2848"/>
      <c r="LG1" s="2848"/>
      <c r="LN1" s="2849"/>
      <c r="MD1" s="2849"/>
      <c r="ME1" s="2849"/>
    </row>
    <row r="2" spans="1:493" s="90" customFormat="1" ht="14.1" customHeight="1">
      <c r="A2" s="3828" t="str">
        <f>CONCATENATE("PART SIX - PROJECTED REVENUES &amp; EXPENSES","  -  ",'Part I-Project Information'!$O$7," ",'Part I-Project Information'!$F$35,", ",'Part I-Project Information'!F39,", ",'Part I-Project Information'!J40," County")</f>
        <v>PART SIX - PROJECTED REVENUES &amp; EXPENSES  -  2021-067 West Point Village Phase II, West Point, Troup County</v>
      </c>
      <c r="B2" s="3829"/>
      <c r="C2" s="3829"/>
      <c r="D2" s="3829"/>
      <c r="E2" s="3829"/>
      <c r="F2" s="3829"/>
      <c r="G2" s="3829"/>
      <c r="H2" s="3829"/>
      <c r="I2" s="3829"/>
      <c r="J2" s="3829"/>
      <c r="K2" s="3829"/>
      <c r="L2" s="3829"/>
      <c r="M2" s="3829"/>
      <c r="N2" s="3829"/>
      <c r="O2" s="3829"/>
      <c r="P2" s="3829"/>
      <c r="Q2" s="3830"/>
      <c r="T2" s="1499" t="str">
        <f>A2</f>
        <v>PART SIX - PROJECTED REVENUES &amp; EXPENSES  -  2021-067 West Point Village Phase II, West Point, Troup County</v>
      </c>
      <c r="U2" s="1499"/>
      <c r="V2" s="1499"/>
      <c r="W2" s="1499"/>
      <c r="X2" s="432"/>
      <c r="Y2" s="432"/>
      <c r="Z2" s="432"/>
      <c r="AA2" s="432"/>
      <c r="AB2" s="432"/>
      <c r="AC2" s="432"/>
      <c r="AD2" s="432"/>
      <c r="AE2" s="432"/>
      <c r="AF2" s="432"/>
      <c r="AG2" s="432"/>
      <c r="AH2" s="432"/>
      <c r="AI2" s="432"/>
      <c r="AJ2" s="432"/>
      <c r="AK2" s="432"/>
      <c r="AL2" s="432"/>
      <c r="AM2" s="432"/>
      <c r="AN2" s="432"/>
      <c r="AO2" s="432"/>
      <c r="AP2" s="432"/>
      <c r="AQ2" s="432"/>
      <c r="AR2" s="432"/>
      <c r="AS2" s="432"/>
      <c r="AT2" s="432"/>
      <c r="AU2" s="432"/>
      <c r="AV2" s="432"/>
      <c r="AW2" s="432"/>
      <c r="AX2" s="432"/>
      <c r="AY2" s="432"/>
      <c r="AZ2" s="432"/>
      <c r="BA2" s="432"/>
      <c r="BB2" s="432"/>
      <c r="BC2" s="432"/>
      <c r="BD2" s="432"/>
      <c r="BE2" s="432"/>
      <c r="BF2" s="432"/>
      <c r="BG2" s="432"/>
      <c r="BH2" s="432"/>
      <c r="BI2" s="432"/>
      <c r="BJ2" s="432"/>
      <c r="BK2" s="432"/>
      <c r="BL2" s="432"/>
      <c r="BM2" s="432"/>
      <c r="BN2" s="432"/>
      <c r="BO2" s="432"/>
      <c r="BP2" s="432"/>
      <c r="BQ2" s="432"/>
      <c r="BR2" s="432"/>
      <c r="BS2" s="432"/>
      <c r="BT2" s="432"/>
      <c r="BU2" s="432"/>
      <c r="BV2" s="432"/>
      <c r="BW2" s="432"/>
      <c r="BX2" s="432"/>
      <c r="BY2" s="432"/>
      <c r="BZ2" s="432"/>
      <c r="CA2" s="432"/>
      <c r="CB2" s="432"/>
      <c r="CC2" s="432"/>
      <c r="CD2" s="432"/>
      <c r="CE2" s="432"/>
      <c r="CF2" s="432"/>
      <c r="CG2" s="432"/>
      <c r="CH2" s="432"/>
      <c r="CI2" s="432"/>
      <c r="CJ2" s="432"/>
      <c r="CK2" s="432"/>
      <c r="CL2" s="432"/>
      <c r="CM2" s="432"/>
      <c r="CN2" s="432"/>
      <c r="CO2" s="432"/>
      <c r="CP2" s="432"/>
      <c r="CQ2" s="432"/>
      <c r="CR2" s="432"/>
      <c r="CS2" s="432"/>
      <c r="CT2" s="432"/>
      <c r="CU2" s="432"/>
      <c r="CV2" s="432"/>
      <c r="CW2" s="432"/>
      <c r="CX2" s="432"/>
      <c r="CY2" s="432"/>
      <c r="CZ2" s="432"/>
      <c r="DA2" s="432"/>
      <c r="DB2" s="432"/>
      <c r="DC2" s="432"/>
      <c r="DD2" s="432"/>
      <c r="DE2" s="432"/>
      <c r="DF2" s="432"/>
      <c r="DG2" s="432"/>
      <c r="DH2" s="432"/>
      <c r="DI2" s="432"/>
      <c r="DJ2" s="432"/>
      <c r="DK2" s="432"/>
      <c r="DL2" s="432"/>
      <c r="DM2" s="432"/>
      <c r="DN2" s="432"/>
      <c r="DO2" s="432"/>
      <c r="DP2" s="432"/>
      <c r="DQ2" s="432"/>
      <c r="DR2" s="432"/>
      <c r="DS2" s="432"/>
      <c r="DT2" s="432"/>
      <c r="DU2" s="432"/>
      <c r="DV2" s="432"/>
      <c r="DW2" s="432"/>
      <c r="DX2" s="432"/>
      <c r="DY2" s="432"/>
      <c r="DZ2" s="432"/>
      <c r="EA2" s="432"/>
      <c r="EB2" s="432"/>
      <c r="EC2" s="432"/>
      <c r="ED2" s="432"/>
      <c r="EE2" s="432"/>
      <c r="EF2" s="432"/>
      <c r="EG2" s="432"/>
      <c r="EH2" s="432"/>
      <c r="EI2" s="432"/>
      <c r="EJ2" s="432"/>
      <c r="EK2" s="432"/>
      <c r="EL2" s="432"/>
      <c r="EM2" s="432"/>
      <c r="EN2" s="432"/>
      <c r="EO2" s="432"/>
      <c r="EP2" s="432"/>
      <c r="EQ2" s="432"/>
      <c r="ER2" s="432"/>
      <c r="ES2" s="432"/>
      <c r="ET2" s="432"/>
      <c r="EU2" s="432"/>
      <c r="EV2" s="432"/>
      <c r="EW2" s="432"/>
      <c r="EX2" s="432"/>
      <c r="EY2" s="432"/>
      <c r="EZ2" s="432"/>
      <c r="FA2" s="432"/>
      <c r="FB2" s="432"/>
      <c r="FC2" s="432"/>
      <c r="FD2" s="432"/>
      <c r="FE2" s="432"/>
      <c r="FF2" s="432"/>
      <c r="FG2" s="432"/>
      <c r="FH2" s="432"/>
      <c r="FI2" s="432"/>
      <c r="FJ2" s="432"/>
      <c r="FK2" s="432"/>
      <c r="FL2" s="432"/>
      <c r="FM2" s="432"/>
      <c r="FN2" s="432"/>
      <c r="FO2" s="432"/>
      <c r="FP2" s="432"/>
      <c r="FQ2" s="432"/>
      <c r="FR2" s="432"/>
      <c r="FS2" s="432"/>
      <c r="FT2" s="432"/>
      <c r="FU2" s="432"/>
      <c r="FV2" s="432"/>
      <c r="FW2" s="432"/>
      <c r="FX2" s="432"/>
      <c r="FY2" s="432"/>
      <c r="FZ2" s="432"/>
      <c r="GA2" s="432"/>
      <c r="GB2" s="432"/>
      <c r="GC2" s="432"/>
      <c r="GD2" s="432"/>
      <c r="GE2" s="432"/>
      <c r="GF2" s="432"/>
      <c r="GG2" s="432"/>
      <c r="GH2" s="432"/>
      <c r="GI2" s="432"/>
      <c r="GJ2" s="432"/>
      <c r="GK2" s="432"/>
      <c r="GL2" s="432"/>
      <c r="GM2" s="432"/>
      <c r="GN2" s="432"/>
      <c r="GO2" s="432"/>
      <c r="GP2" s="432"/>
      <c r="GQ2" s="432"/>
      <c r="GR2" s="432"/>
      <c r="GS2" s="432"/>
      <c r="GT2" s="432"/>
      <c r="GU2" s="432"/>
      <c r="GV2" s="432"/>
      <c r="GW2" s="432"/>
      <c r="GX2" s="432"/>
      <c r="GY2" s="432"/>
      <c r="GZ2" s="432"/>
      <c r="HA2" s="432"/>
      <c r="HB2" s="432"/>
      <c r="HC2" s="432"/>
      <c r="HD2" s="432"/>
      <c r="HE2" s="432"/>
      <c r="HF2" s="432"/>
      <c r="HG2" s="432"/>
      <c r="HH2" s="432"/>
      <c r="HI2" s="432"/>
      <c r="HJ2" s="432"/>
      <c r="HK2" s="432"/>
      <c r="HL2" s="432"/>
      <c r="HM2" s="432"/>
      <c r="HN2" s="432"/>
      <c r="HO2" s="432"/>
      <c r="HP2" s="432"/>
      <c r="HQ2" s="432"/>
      <c r="HR2" s="432"/>
      <c r="HS2" s="432"/>
      <c r="HT2" s="432"/>
      <c r="HU2" s="432"/>
      <c r="HV2" s="432"/>
      <c r="HW2" s="432"/>
      <c r="HX2" s="1810"/>
      <c r="HY2" s="1810"/>
      <c r="HZ2" s="1810"/>
      <c r="IA2" s="1810"/>
      <c r="IB2" s="1810"/>
      <c r="IC2" s="1810"/>
      <c r="ID2" s="1810"/>
      <c r="IE2" s="1810"/>
      <c r="IF2" s="1810"/>
      <c r="IG2" s="1810"/>
      <c r="IH2" s="1810"/>
      <c r="II2" s="1810"/>
      <c r="IJ2" s="1810"/>
      <c r="IK2" s="1810"/>
      <c r="IL2" s="1810"/>
      <c r="IM2" s="1810"/>
      <c r="IN2" s="1810"/>
      <c r="IO2" s="1810"/>
      <c r="IP2" s="1810"/>
      <c r="IQ2" s="1810"/>
      <c r="IR2" s="1810"/>
      <c r="IS2" s="1810"/>
      <c r="IT2" s="1810"/>
      <c r="IU2" s="1810"/>
      <c r="IV2" s="1810"/>
      <c r="IW2" s="1810"/>
      <c r="IX2" s="1810"/>
      <c r="IY2" s="1810"/>
      <c r="IZ2" s="1810"/>
      <c r="JA2" s="1810"/>
      <c r="JB2" s="1810"/>
      <c r="JC2" s="1810"/>
      <c r="JD2" s="1810"/>
      <c r="JE2" s="1810"/>
      <c r="JF2" s="1810"/>
      <c r="JG2" s="1810"/>
      <c r="JH2" s="1810"/>
      <c r="JI2" s="1810"/>
      <c r="JJ2" s="1810"/>
      <c r="JK2" s="1810"/>
      <c r="JL2" s="1810"/>
      <c r="JM2" s="1810"/>
      <c r="JN2" s="1810"/>
      <c r="JO2" s="1810"/>
      <c r="JP2" s="1810"/>
      <c r="JQ2" s="1810"/>
      <c r="JR2" s="1810"/>
      <c r="JS2" s="1810"/>
      <c r="JT2" s="1810"/>
      <c r="JU2" s="1810"/>
      <c r="JV2" s="1810"/>
      <c r="JW2" s="1810"/>
      <c r="JX2" s="1810"/>
      <c r="JY2" s="1810"/>
      <c r="JZ2" s="1810"/>
      <c r="KA2" s="1810"/>
      <c r="KB2" s="1810"/>
      <c r="KC2" s="1810"/>
      <c r="KD2" s="1810"/>
      <c r="KE2" s="1810"/>
      <c r="KF2" s="1810"/>
      <c r="KG2" s="1810"/>
      <c r="KH2" s="1810"/>
      <c r="KI2" s="1810"/>
      <c r="KJ2" s="1810"/>
      <c r="KK2" s="1810"/>
      <c r="KL2" s="1810"/>
      <c r="KM2" s="432"/>
      <c r="KN2" s="432"/>
      <c r="KO2" s="1811"/>
      <c r="KP2" s="432"/>
      <c r="KQ2" s="432"/>
      <c r="KR2" s="432"/>
      <c r="KS2" s="432"/>
      <c r="KT2" s="1811"/>
      <c r="KU2" s="432"/>
      <c r="KV2" s="432"/>
      <c r="KW2" s="432"/>
      <c r="KX2" s="432"/>
      <c r="KY2" s="1811"/>
      <c r="KZ2" s="432"/>
      <c r="LA2" s="432"/>
      <c r="LB2" s="432"/>
      <c r="LC2" s="432"/>
      <c r="LD2" s="1811"/>
      <c r="LE2" s="432"/>
      <c r="LF2" s="432"/>
      <c r="LG2" s="432"/>
      <c r="LH2" s="432"/>
      <c r="LI2" s="432"/>
      <c r="LJ2" s="432"/>
      <c r="LK2" s="432"/>
      <c r="LL2" s="432"/>
      <c r="LM2" s="432"/>
      <c r="LN2" s="432"/>
      <c r="LO2" s="432"/>
      <c r="LP2" s="432"/>
      <c r="LQ2" s="432"/>
      <c r="LR2" s="432"/>
      <c r="LS2" s="432"/>
      <c r="LT2" s="432"/>
      <c r="LU2" s="432"/>
      <c r="LV2" s="432"/>
      <c r="LW2" s="432"/>
      <c r="LX2" s="432"/>
      <c r="LY2" s="432"/>
      <c r="LZ2" s="432"/>
      <c r="MA2" s="432"/>
      <c r="MB2" s="432"/>
      <c r="MC2" s="432"/>
      <c r="MD2" s="432"/>
      <c r="ME2" s="432"/>
      <c r="MF2" s="432"/>
      <c r="MG2" s="432"/>
      <c r="MH2" s="432"/>
      <c r="MI2" s="432"/>
      <c r="MJ2" s="432"/>
      <c r="MK2" s="93"/>
      <c r="ML2" s="93"/>
      <c r="MM2" s="93"/>
      <c r="MN2" s="93"/>
      <c r="MO2" s="432"/>
      <c r="MP2" s="432"/>
      <c r="MQ2" s="432"/>
      <c r="MR2" s="432"/>
      <c r="MS2" s="432"/>
      <c r="MT2" s="432"/>
      <c r="MU2" s="432"/>
      <c r="MV2" s="93"/>
      <c r="MW2" s="93"/>
      <c r="MX2" s="93"/>
      <c r="MY2" s="93"/>
      <c r="MZ2" s="93"/>
      <c r="NA2" s="93"/>
      <c r="NB2" s="93"/>
      <c r="NC2" s="93"/>
      <c r="ND2" s="93"/>
      <c r="NE2" s="93"/>
      <c r="NF2" s="93"/>
      <c r="NG2" s="93"/>
      <c r="NH2" s="93"/>
      <c r="NI2" s="93"/>
      <c r="NJ2" s="93"/>
      <c r="NK2" s="93"/>
      <c r="NL2" s="93"/>
      <c r="NM2" s="93"/>
      <c r="NN2" s="93"/>
      <c r="NO2" s="93"/>
      <c r="NP2" s="2850"/>
      <c r="NQ2" s="93"/>
      <c r="NR2" s="93"/>
      <c r="NS2" s="93"/>
      <c r="NT2" s="93"/>
      <c r="NU2" s="93"/>
      <c r="NV2" s="93"/>
      <c r="NW2" s="93"/>
      <c r="NX2" s="93"/>
      <c r="NY2" s="93"/>
      <c r="NZ2" s="93"/>
      <c r="OA2" s="93"/>
      <c r="OB2" s="93"/>
      <c r="OC2" s="93"/>
      <c r="OD2" s="93"/>
      <c r="OE2" s="93"/>
      <c r="OF2" s="93"/>
      <c r="OG2" s="93"/>
      <c r="OH2" s="93"/>
      <c r="OI2" s="93"/>
      <c r="OJ2" s="93"/>
      <c r="OK2" s="93"/>
      <c r="OL2" s="93"/>
      <c r="OM2" s="93"/>
      <c r="ON2" s="93"/>
      <c r="OO2" s="93"/>
      <c r="OP2" s="93"/>
      <c r="OQ2" s="93"/>
      <c r="OR2" s="93"/>
      <c r="OS2" s="93"/>
      <c r="OT2" s="93"/>
      <c r="OU2" s="93"/>
      <c r="OV2" s="93"/>
      <c r="OW2" s="93"/>
      <c r="OX2" s="93"/>
      <c r="OY2" s="93"/>
      <c r="OZ2" s="93"/>
      <c r="PA2" s="93"/>
      <c r="PB2" s="93"/>
      <c r="PC2" s="93"/>
      <c r="PD2" s="93"/>
      <c r="PE2" s="93"/>
      <c r="PF2" s="93"/>
      <c r="PG2" s="93"/>
      <c r="PH2" s="93"/>
      <c r="PI2" s="93"/>
      <c r="PJ2" s="93"/>
      <c r="PK2" s="93"/>
      <c r="PL2" s="93"/>
      <c r="PM2" s="93"/>
      <c r="PN2" s="93"/>
      <c r="PO2" s="93"/>
      <c r="PP2" s="93"/>
      <c r="PQ2" s="93"/>
      <c r="PR2" s="93"/>
      <c r="PS2" s="93"/>
      <c r="PT2" s="93"/>
      <c r="PU2" s="93"/>
      <c r="PV2" s="93"/>
      <c r="PW2" s="93"/>
      <c r="PX2" s="93"/>
      <c r="PY2" s="93"/>
      <c r="PZ2" s="93"/>
      <c r="QA2" s="93"/>
      <c r="QB2" s="93"/>
      <c r="QC2" s="93"/>
      <c r="QD2" s="93"/>
      <c r="QE2" s="93"/>
      <c r="QF2" s="93"/>
      <c r="QG2" s="93"/>
      <c r="QH2" s="93"/>
      <c r="QI2" s="93"/>
      <c r="QJ2" s="93"/>
      <c r="QK2" s="93"/>
      <c r="QL2" s="93"/>
      <c r="QM2" s="93"/>
      <c r="QN2" s="93"/>
      <c r="QO2" s="93"/>
      <c r="QP2" s="93"/>
      <c r="QQ2" s="93"/>
      <c r="QR2" s="93"/>
      <c r="QS2" s="93"/>
      <c r="QT2" s="93"/>
      <c r="QU2" s="93"/>
      <c r="QV2" s="93"/>
      <c r="QW2" s="93"/>
      <c r="QX2" s="93"/>
      <c r="QY2" s="93"/>
      <c r="QZ2" s="93"/>
      <c r="RA2" s="93"/>
      <c r="RB2" s="93"/>
      <c r="RC2" s="93"/>
      <c r="RD2" s="93"/>
      <c r="RE2" s="93"/>
      <c r="RF2" s="93"/>
      <c r="RG2" s="93"/>
      <c r="RH2" s="93"/>
      <c r="RI2" s="93"/>
      <c r="RJ2" s="93"/>
      <c r="RK2" s="93"/>
      <c r="RL2" s="93"/>
      <c r="RM2" s="93"/>
      <c r="RN2" s="93"/>
      <c r="RO2" s="93"/>
      <c r="RP2" s="93"/>
      <c r="RQ2" s="93"/>
      <c r="RR2" s="93"/>
      <c r="RS2" s="93"/>
      <c r="RT2" s="93"/>
      <c r="RU2" s="93"/>
      <c r="RV2" s="93"/>
      <c r="RW2" s="93"/>
      <c r="RX2" s="93"/>
      <c r="RY2" s="93"/>
    </row>
    <row r="3" spans="1:493" ht="6" customHeight="1">
      <c r="X3" s="433"/>
      <c r="Y3" s="433"/>
      <c r="Z3" s="433"/>
      <c r="AA3" s="433"/>
      <c r="AB3" s="433"/>
      <c r="AC3" s="433"/>
      <c r="AD3" s="433"/>
      <c r="AE3" s="433"/>
      <c r="AF3" s="433"/>
      <c r="AG3" s="433"/>
      <c r="AH3" s="433"/>
      <c r="AI3" s="433"/>
      <c r="AJ3" s="433"/>
      <c r="AK3" s="433"/>
      <c r="AL3" s="433"/>
      <c r="AM3" s="433"/>
      <c r="AN3" s="433"/>
      <c r="AO3" s="433"/>
      <c r="AP3" s="433"/>
      <c r="AQ3" s="433"/>
      <c r="AR3" s="433"/>
      <c r="AS3" s="433"/>
      <c r="AT3" s="433"/>
      <c r="AU3" s="433"/>
      <c r="AV3" s="433"/>
      <c r="AW3" s="433"/>
      <c r="AX3" s="433"/>
      <c r="AY3" s="433"/>
      <c r="AZ3" s="433"/>
      <c r="BA3" s="433"/>
      <c r="BB3" s="433"/>
      <c r="BC3" s="433"/>
      <c r="BD3" s="433"/>
      <c r="BE3" s="433"/>
      <c r="BF3" s="433"/>
      <c r="BG3" s="433"/>
      <c r="BH3" s="433"/>
      <c r="BI3" s="433"/>
      <c r="BJ3" s="433"/>
      <c r="BK3" s="433"/>
      <c r="BL3" s="433"/>
      <c r="BM3" s="433"/>
      <c r="BN3" s="433"/>
      <c r="BO3" s="433"/>
      <c r="BP3" s="433"/>
      <c r="BQ3" s="433"/>
      <c r="BR3" s="433"/>
      <c r="BS3" s="433"/>
      <c r="BT3" s="433"/>
      <c r="BU3" s="433"/>
      <c r="BV3" s="433"/>
      <c r="BW3" s="433"/>
      <c r="BX3" s="433"/>
      <c r="BY3" s="433"/>
      <c r="BZ3" s="433"/>
      <c r="CA3" s="433"/>
      <c r="CB3" s="433"/>
      <c r="CC3" s="433"/>
      <c r="CD3" s="433"/>
      <c r="CE3" s="433"/>
      <c r="CF3" s="433"/>
      <c r="CG3" s="433"/>
      <c r="CH3" s="433"/>
      <c r="CI3" s="433"/>
      <c r="CJ3" s="433"/>
      <c r="CK3" s="433"/>
      <c r="CL3" s="433"/>
      <c r="CM3" s="433"/>
      <c r="CN3" s="433"/>
      <c r="CO3" s="433"/>
      <c r="CP3" s="433"/>
      <c r="CQ3" s="433"/>
      <c r="CR3" s="433"/>
      <c r="CS3" s="433"/>
      <c r="CT3" s="433"/>
      <c r="CU3" s="433"/>
      <c r="CV3" s="433"/>
      <c r="CW3" s="433"/>
      <c r="CX3" s="433"/>
      <c r="CY3" s="433"/>
      <c r="CZ3" s="433"/>
      <c r="DA3" s="433"/>
      <c r="DB3" s="433"/>
      <c r="DC3" s="433"/>
      <c r="DD3" s="433"/>
      <c r="DE3" s="433"/>
      <c r="DF3" s="433"/>
      <c r="DG3" s="433"/>
      <c r="DH3" s="433"/>
      <c r="DI3" s="433"/>
      <c r="DJ3" s="433"/>
      <c r="DK3" s="433"/>
      <c r="DL3" s="433"/>
      <c r="DM3" s="433"/>
      <c r="DN3" s="433"/>
      <c r="DO3" s="433"/>
      <c r="DP3" s="433"/>
      <c r="DQ3" s="433"/>
      <c r="DR3" s="433"/>
      <c r="DS3" s="433"/>
      <c r="DT3" s="433"/>
      <c r="DU3" s="433"/>
      <c r="DV3" s="433"/>
      <c r="DW3" s="433"/>
      <c r="DX3" s="433"/>
      <c r="DY3" s="433"/>
      <c r="DZ3" s="433"/>
      <c r="EA3" s="433"/>
      <c r="EB3" s="433"/>
      <c r="EC3" s="433"/>
      <c r="ED3" s="433"/>
      <c r="EE3" s="433"/>
      <c r="EF3" s="433"/>
      <c r="EG3" s="433"/>
      <c r="EH3" s="433"/>
      <c r="EI3" s="433"/>
      <c r="EJ3" s="433"/>
      <c r="EK3" s="433"/>
      <c r="EL3" s="433"/>
      <c r="EM3" s="433"/>
      <c r="EN3" s="433"/>
      <c r="EO3" s="433"/>
      <c r="EP3" s="433"/>
      <c r="EQ3" s="433"/>
      <c r="ER3" s="433"/>
      <c r="ES3" s="433"/>
      <c r="ET3" s="433"/>
      <c r="EU3" s="433"/>
      <c r="EV3" s="433"/>
      <c r="EW3" s="433"/>
      <c r="EX3" s="433"/>
      <c r="EY3" s="433"/>
      <c r="EZ3" s="433"/>
      <c r="FA3" s="433"/>
      <c r="FB3" s="433"/>
      <c r="FC3" s="433"/>
      <c r="FD3" s="433"/>
      <c r="FE3" s="433"/>
      <c r="FF3" s="433"/>
      <c r="FG3" s="433"/>
      <c r="FH3" s="433"/>
      <c r="FI3" s="433"/>
      <c r="FJ3" s="433"/>
      <c r="FK3" s="433"/>
      <c r="FL3" s="433"/>
      <c r="FM3" s="433"/>
      <c r="FN3" s="433"/>
      <c r="FO3" s="433"/>
      <c r="FP3" s="433"/>
      <c r="FQ3" s="433"/>
      <c r="FR3" s="433"/>
      <c r="FS3" s="433"/>
      <c r="FT3" s="433"/>
      <c r="FU3" s="433"/>
      <c r="FV3" s="433"/>
      <c r="FW3" s="433"/>
      <c r="FX3" s="433"/>
      <c r="FY3" s="433"/>
      <c r="FZ3" s="433"/>
      <c r="GA3" s="433"/>
      <c r="GB3" s="433"/>
      <c r="GC3" s="433"/>
      <c r="GD3" s="433"/>
      <c r="GE3" s="433"/>
      <c r="GF3" s="433"/>
      <c r="GG3" s="433"/>
      <c r="GH3" s="433"/>
      <c r="GI3" s="433"/>
      <c r="GJ3" s="433"/>
      <c r="GK3" s="433"/>
      <c r="GL3" s="433"/>
      <c r="GM3" s="433"/>
      <c r="GN3" s="433"/>
      <c r="GO3" s="433"/>
      <c r="GP3" s="433"/>
      <c r="GQ3" s="433"/>
      <c r="GR3" s="433"/>
      <c r="GS3" s="433"/>
      <c r="GT3" s="433"/>
      <c r="GU3" s="433"/>
      <c r="GV3" s="433"/>
      <c r="GW3" s="433"/>
      <c r="GX3" s="433"/>
      <c r="GY3" s="433"/>
      <c r="GZ3" s="433"/>
      <c r="HA3" s="433"/>
      <c r="HB3" s="433"/>
      <c r="HC3" s="433"/>
      <c r="HD3" s="433"/>
      <c r="HE3" s="433"/>
      <c r="HF3" s="433"/>
      <c r="HG3" s="433"/>
      <c r="HH3" s="433"/>
      <c r="HI3" s="433"/>
      <c r="HJ3" s="433"/>
      <c r="HK3" s="433"/>
      <c r="HL3" s="433"/>
      <c r="HM3" s="433"/>
      <c r="HN3" s="433"/>
      <c r="HO3" s="433"/>
      <c r="HP3" s="433"/>
      <c r="HQ3" s="433"/>
      <c r="HR3" s="433"/>
      <c r="HS3" s="433"/>
      <c r="HT3" s="433"/>
      <c r="HU3" s="433"/>
      <c r="HV3" s="433"/>
      <c r="HW3" s="433"/>
      <c r="HX3" s="433"/>
      <c r="HY3" s="433"/>
      <c r="HZ3" s="1812"/>
      <c r="IA3" s="1812"/>
      <c r="IB3" s="1812"/>
      <c r="IC3" s="1812"/>
      <c r="ID3" s="1812"/>
      <c r="IE3" s="1812"/>
      <c r="IF3" s="1812"/>
      <c r="IG3" s="1812"/>
      <c r="IH3" s="1812"/>
      <c r="II3" s="1812"/>
      <c r="IJ3" s="1812"/>
      <c r="IK3" s="1812"/>
      <c r="IL3" s="1812"/>
      <c r="IM3" s="1812"/>
      <c r="IN3" s="1812"/>
      <c r="IO3" s="1812"/>
      <c r="IP3" s="1812"/>
      <c r="IQ3" s="1812"/>
      <c r="IR3" s="1812"/>
      <c r="IS3" s="1812"/>
      <c r="IT3" s="1812"/>
      <c r="IU3" s="1812"/>
      <c r="IV3" s="1812"/>
      <c r="IW3" s="1812"/>
      <c r="IX3" s="1812"/>
      <c r="IY3" s="1812"/>
      <c r="IZ3" s="1812"/>
      <c r="JA3" s="1812"/>
      <c r="JB3" s="1812"/>
      <c r="JC3" s="1812"/>
      <c r="JD3" s="1812"/>
      <c r="JE3" s="1812"/>
      <c r="JF3" s="1812"/>
      <c r="JG3" s="1812"/>
      <c r="JH3" s="1812"/>
      <c r="JI3" s="1812"/>
      <c r="JJ3" s="1812"/>
      <c r="JK3" s="1812"/>
      <c r="JL3" s="1812"/>
      <c r="JM3" s="1812"/>
      <c r="JN3" s="1812"/>
      <c r="JO3" s="1812"/>
      <c r="JP3" s="1812"/>
      <c r="JQ3" s="1812"/>
      <c r="JR3" s="1812"/>
      <c r="JS3" s="1812"/>
      <c r="JT3" s="1812"/>
      <c r="JU3" s="1812"/>
      <c r="JV3" s="1812"/>
      <c r="JW3" s="1812"/>
      <c r="JX3" s="1812"/>
      <c r="JY3" s="1812"/>
      <c r="JZ3" s="1812"/>
      <c r="KA3" s="1812"/>
      <c r="KB3" s="1812"/>
      <c r="KC3" s="1812"/>
      <c r="KD3" s="1812"/>
      <c r="KE3" s="1812"/>
      <c r="KF3" s="1812"/>
      <c r="KG3" s="1812"/>
      <c r="KH3" s="1812"/>
      <c r="KI3" s="1812"/>
      <c r="KJ3" s="1812"/>
      <c r="KK3" s="1812"/>
      <c r="KL3" s="1812"/>
      <c r="KM3" s="433"/>
      <c r="KN3" s="433"/>
      <c r="KO3" s="433"/>
      <c r="KP3" s="433"/>
      <c r="KQ3" s="433"/>
      <c r="KR3" s="433"/>
      <c r="KS3" s="433"/>
      <c r="KT3" s="433"/>
      <c r="KU3" s="433"/>
      <c r="KV3" s="433"/>
      <c r="KW3" s="433"/>
      <c r="KX3" s="433"/>
      <c r="KY3" s="433"/>
      <c r="KZ3" s="433"/>
      <c r="LA3" s="433"/>
      <c r="LB3" s="433"/>
      <c r="LC3" s="433"/>
      <c r="LD3" s="433"/>
      <c r="LE3" s="433"/>
      <c r="LF3" s="433"/>
      <c r="LG3" s="430"/>
      <c r="LL3" s="433"/>
      <c r="LM3" s="433"/>
      <c r="LN3" s="433"/>
      <c r="LO3" s="433"/>
      <c r="LP3" s="433"/>
      <c r="LQ3" s="433"/>
      <c r="LR3" s="433"/>
      <c r="LS3" s="433"/>
      <c r="LT3" s="433"/>
      <c r="LU3" s="433"/>
      <c r="LV3" s="433"/>
      <c r="LW3" s="433"/>
      <c r="LX3" s="433"/>
      <c r="LY3" s="433"/>
      <c r="LZ3" s="433"/>
      <c r="MA3" s="433"/>
      <c r="MB3" s="433"/>
      <c r="MC3" s="433"/>
      <c r="MD3" s="433"/>
      <c r="ME3" s="433"/>
      <c r="MK3" s="146"/>
      <c r="ML3" s="146"/>
      <c r="MM3" s="146"/>
      <c r="MN3" s="146"/>
    </row>
    <row r="4" spans="1:493" s="90" customFormat="1" ht="12.6" customHeight="1">
      <c r="A4" s="4" t="s">
        <v>586</v>
      </c>
      <c r="B4" s="4" t="s">
        <v>2260</v>
      </c>
      <c r="C4" s="1"/>
      <c r="D4" s="1585" t="s">
        <v>6307</v>
      </c>
      <c r="E4" s="1585"/>
      <c r="F4" s="1585"/>
      <c r="G4" s="1585"/>
      <c r="H4" s="1585"/>
      <c r="I4" s="1585"/>
      <c r="J4" s="1585"/>
      <c r="K4" s="120"/>
      <c r="L4" s="120"/>
      <c r="M4" s="120"/>
      <c r="O4" s="177" t="s">
        <v>547</v>
      </c>
      <c r="P4" s="3836" t="str">
        <f>'Part I-Project Information'!$O$41</f>
        <v>Troup Co.</v>
      </c>
      <c r="Q4" s="3836"/>
      <c r="T4" s="4" t="str">
        <f>B4</f>
        <v>RENT SCHEDULE</v>
      </c>
      <c r="U4" s="285"/>
      <c r="X4" s="1578"/>
      <c r="Y4" s="1578"/>
      <c r="Z4" s="1578"/>
      <c r="AA4" s="1578"/>
      <c r="AB4" s="1578"/>
      <c r="AC4" s="1578"/>
      <c r="AD4" s="1578"/>
      <c r="AE4" s="1578"/>
      <c r="AF4" s="1578"/>
      <c r="AG4" s="1578"/>
      <c r="AH4" s="1578"/>
      <c r="AI4" s="1578"/>
      <c r="AJ4" s="1578"/>
      <c r="AK4" s="1578"/>
      <c r="AL4" s="1578"/>
      <c r="AM4" s="1578"/>
      <c r="AN4" s="1578"/>
      <c r="AO4" s="1578"/>
      <c r="AP4" s="1578"/>
      <c r="AQ4" s="1578"/>
      <c r="AR4" s="1578"/>
      <c r="AS4" s="1578"/>
      <c r="AT4" s="1578"/>
      <c r="AU4" s="1578"/>
      <c r="AV4" s="1578"/>
      <c r="AW4" s="1578"/>
      <c r="AX4" s="1578"/>
      <c r="AY4" s="1578"/>
      <c r="AZ4" s="1578"/>
      <c r="BA4" s="1578"/>
      <c r="BB4" s="1578"/>
      <c r="BC4" s="1578"/>
      <c r="BD4" s="1578"/>
      <c r="BE4" s="1578"/>
      <c r="BF4" s="1578"/>
      <c r="BG4" s="1578"/>
      <c r="BH4" s="1578"/>
      <c r="BI4" s="1578"/>
      <c r="BJ4" s="1578"/>
      <c r="BK4" s="1578"/>
      <c r="BL4" s="1578"/>
      <c r="BM4" s="1578"/>
      <c r="BN4" s="1578"/>
      <c r="BO4" s="1578"/>
      <c r="BP4" s="1578"/>
      <c r="BQ4" s="1578"/>
      <c r="BR4" s="1578"/>
      <c r="BS4" s="1578"/>
      <c r="BT4" s="1578"/>
      <c r="BU4" s="1578"/>
      <c r="BV4" s="1578"/>
      <c r="BW4" s="1578"/>
      <c r="BX4" s="1578"/>
      <c r="BY4" s="1578"/>
      <c r="BZ4" s="1578"/>
      <c r="CA4" s="1578"/>
      <c r="CB4" s="1578"/>
      <c r="CC4" s="1578"/>
      <c r="CD4" s="1578"/>
      <c r="CE4" s="1578"/>
      <c r="CF4" s="1578"/>
      <c r="CG4" s="1578"/>
      <c r="CH4" s="1578"/>
      <c r="CI4" s="1578"/>
      <c r="CJ4" s="1578"/>
      <c r="CK4" s="1578"/>
      <c r="CL4" s="1578"/>
      <c r="CM4" s="1578"/>
      <c r="CN4" s="1578"/>
      <c r="CO4" s="1578"/>
      <c r="CP4" s="1578"/>
      <c r="CQ4" s="1578"/>
      <c r="CR4" s="1578"/>
      <c r="CS4" s="1578"/>
      <c r="CT4" s="1578"/>
      <c r="CU4" s="1578"/>
      <c r="CV4" s="1578"/>
      <c r="CW4" s="1578"/>
      <c r="CX4" s="1578"/>
      <c r="CY4" s="1578"/>
      <c r="CZ4" s="1578"/>
      <c r="DA4" s="1578"/>
      <c r="DB4" s="1578"/>
      <c r="DC4" s="1578"/>
      <c r="DD4" s="1578"/>
      <c r="DE4" s="1578"/>
      <c r="DF4" s="1578"/>
      <c r="DG4" s="1578"/>
      <c r="DH4" s="1578"/>
      <c r="DI4" s="1578"/>
      <c r="DJ4" s="1578"/>
      <c r="DK4" s="1578"/>
      <c r="DL4" s="1578"/>
      <c r="DM4" s="1578"/>
      <c r="DN4" s="1578"/>
      <c r="DO4" s="1578"/>
      <c r="DP4" s="1578"/>
      <c r="DQ4" s="1578"/>
      <c r="DR4" s="1578"/>
      <c r="DS4" s="1578"/>
      <c r="DT4" s="1578"/>
      <c r="DU4" s="1578"/>
      <c r="DV4" s="1578"/>
      <c r="DW4" s="1578"/>
      <c r="DX4" s="1578"/>
      <c r="DY4" s="1578"/>
      <c r="DZ4" s="1578"/>
      <c r="EA4" s="1578"/>
      <c r="EB4" s="1578"/>
      <c r="EC4" s="1578"/>
      <c r="ED4" s="1578"/>
      <c r="EE4" s="1578"/>
      <c r="EF4" s="1578"/>
      <c r="EG4" s="1578"/>
      <c r="EH4" s="1578"/>
      <c r="EI4" s="1578"/>
      <c r="EJ4" s="1578"/>
      <c r="EK4" s="1578"/>
      <c r="EL4" s="1578"/>
      <c r="EM4" s="1578"/>
      <c r="EN4" s="1578"/>
      <c r="EO4" s="1578"/>
      <c r="EP4" s="1578"/>
      <c r="EQ4" s="1578"/>
      <c r="ER4" s="1578"/>
      <c r="ES4" s="1578"/>
      <c r="ET4" s="1578"/>
      <c r="EU4" s="1578"/>
      <c r="EV4" s="1578"/>
      <c r="EW4" s="1578"/>
      <c r="EX4" s="1578"/>
      <c r="EY4" s="1578"/>
      <c r="EZ4" s="1578"/>
      <c r="FA4" s="1578"/>
      <c r="FB4" s="1578"/>
      <c r="FC4" s="1578"/>
      <c r="FD4" s="1578"/>
      <c r="FE4" s="1578"/>
      <c r="FF4" s="1578"/>
      <c r="FG4" s="1578"/>
      <c r="FH4" s="1578"/>
      <c r="FI4" s="1578"/>
      <c r="FJ4" s="1578"/>
      <c r="FK4" s="1578"/>
      <c r="FL4" s="1578"/>
      <c r="FM4" s="1578"/>
      <c r="FN4" s="1578"/>
      <c r="FO4" s="1578"/>
      <c r="FP4" s="1578"/>
      <c r="FQ4" s="1578"/>
      <c r="FR4" s="1578"/>
      <c r="FS4" s="1578"/>
      <c r="FT4" s="1578"/>
      <c r="FU4" s="1578"/>
      <c r="FV4" s="1578"/>
      <c r="FW4" s="1578"/>
      <c r="FX4" s="1578"/>
      <c r="FY4" s="1578"/>
      <c r="FZ4" s="1578"/>
      <c r="GA4" s="1578"/>
      <c r="GB4" s="1578"/>
      <c r="GC4" s="1578"/>
      <c r="GD4" s="1578"/>
      <c r="GE4" s="1578"/>
      <c r="GF4" s="1578"/>
      <c r="GG4" s="1578"/>
      <c r="GH4" s="1578"/>
      <c r="GI4" s="1578"/>
      <c r="GJ4" s="1578"/>
      <c r="GK4" s="1578"/>
      <c r="GL4" s="1578"/>
      <c r="GM4" s="1578"/>
      <c r="GN4" s="1578"/>
      <c r="GO4" s="1578"/>
      <c r="GP4" s="1578"/>
      <c r="GQ4" s="1578"/>
      <c r="GR4" s="1578"/>
      <c r="GS4" s="1578"/>
      <c r="GT4" s="1578"/>
      <c r="GU4" s="1578"/>
      <c r="GV4" s="1578"/>
      <c r="GW4" s="1578"/>
      <c r="GX4" s="1578"/>
      <c r="GY4" s="1578"/>
      <c r="GZ4" s="1578"/>
      <c r="HA4" s="1578"/>
      <c r="HB4" s="1578"/>
      <c r="HC4" s="1578"/>
      <c r="HD4" s="1578"/>
      <c r="HE4" s="1578"/>
      <c r="HF4" s="1578"/>
      <c r="HG4" s="1578"/>
      <c r="HH4" s="1578"/>
      <c r="HI4" s="1578"/>
      <c r="HJ4" s="1578"/>
      <c r="HK4" s="1578"/>
      <c r="HL4" s="1578"/>
      <c r="HM4" s="1578"/>
      <c r="HN4" s="1578"/>
      <c r="HO4" s="1578"/>
      <c r="HP4" s="1578"/>
      <c r="HQ4" s="1578"/>
      <c r="HR4" s="1578"/>
      <c r="HS4" s="1578"/>
      <c r="HT4" s="1578"/>
      <c r="HU4" s="1578"/>
      <c r="HV4" s="1578"/>
      <c r="HW4" s="1578"/>
      <c r="HX4" s="1578"/>
      <c r="HY4" s="1578"/>
      <c r="HZ4" s="1813"/>
      <c r="IA4" s="1813"/>
      <c r="IB4" s="1813"/>
      <c r="IC4" s="1813"/>
      <c r="ID4" s="1813"/>
      <c r="IE4" s="1812" t="s">
        <v>465</v>
      </c>
      <c r="IF4" s="1812" t="s">
        <v>2328</v>
      </c>
      <c r="IG4" s="1812" t="s">
        <v>2329</v>
      </c>
      <c r="IH4" s="1812" t="s">
        <v>2330</v>
      </c>
      <c r="II4" s="1812" t="s">
        <v>2331</v>
      </c>
      <c r="IJ4" s="1812" t="s">
        <v>465</v>
      </c>
      <c r="IK4" s="1812" t="s">
        <v>2328</v>
      </c>
      <c r="IL4" s="1812" t="s">
        <v>2329</v>
      </c>
      <c r="IM4" s="1812" t="s">
        <v>2330</v>
      </c>
      <c r="IN4" s="1812" t="s">
        <v>2331</v>
      </c>
      <c r="IO4" s="1813"/>
      <c r="IP4" s="1813"/>
      <c r="IQ4" s="1813"/>
      <c r="IR4" s="1813"/>
      <c r="IS4" s="1813"/>
      <c r="IT4" s="1813"/>
      <c r="IU4" s="1813"/>
      <c r="IV4" s="1813"/>
      <c r="IW4" s="1813"/>
      <c r="IX4" s="1813"/>
      <c r="IY4" s="1812" t="s">
        <v>465</v>
      </c>
      <c r="IZ4" s="1812" t="s">
        <v>2328</v>
      </c>
      <c r="JA4" s="1812" t="s">
        <v>2329</v>
      </c>
      <c r="JB4" s="1812" t="s">
        <v>2330</v>
      </c>
      <c r="JC4" s="1812" t="s">
        <v>2331</v>
      </c>
      <c r="JD4" s="1812" t="s">
        <v>465</v>
      </c>
      <c r="JE4" s="1812" t="s">
        <v>2328</v>
      </c>
      <c r="JF4" s="1812" t="s">
        <v>2329</v>
      </c>
      <c r="JG4" s="1812" t="s">
        <v>2330</v>
      </c>
      <c r="JH4" s="1812" t="s">
        <v>2331</v>
      </c>
      <c r="JI4" s="1812" t="s">
        <v>465</v>
      </c>
      <c r="JJ4" s="1812" t="s">
        <v>2328</v>
      </c>
      <c r="JK4" s="1812" t="s">
        <v>2329</v>
      </c>
      <c r="JL4" s="1812" t="s">
        <v>2330</v>
      </c>
      <c r="JM4" s="1812" t="s">
        <v>2331</v>
      </c>
      <c r="JN4" s="1812" t="s">
        <v>465</v>
      </c>
      <c r="JO4" s="1812" t="s">
        <v>2328</v>
      </c>
      <c r="JP4" s="1812" t="s">
        <v>2329</v>
      </c>
      <c r="JQ4" s="1812" t="s">
        <v>2330</v>
      </c>
      <c r="JR4" s="1812" t="s">
        <v>2331</v>
      </c>
      <c r="JS4" s="1812" t="s">
        <v>465</v>
      </c>
      <c r="JT4" s="1812" t="s">
        <v>2328</v>
      </c>
      <c r="JU4" s="1812" t="s">
        <v>2329</v>
      </c>
      <c r="JV4" s="1812" t="s">
        <v>2330</v>
      </c>
      <c r="JW4" s="1812" t="s">
        <v>2331</v>
      </c>
      <c r="JX4" s="1812" t="s">
        <v>465</v>
      </c>
      <c r="JY4" s="1812" t="s">
        <v>2328</v>
      </c>
      <c r="JZ4" s="1812" t="s">
        <v>2329</v>
      </c>
      <c r="KA4" s="1812" t="s">
        <v>2330</v>
      </c>
      <c r="KB4" s="1812" t="s">
        <v>2331</v>
      </c>
      <c r="KC4" s="1812" t="s">
        <v>465</v>
      </c>
      <c r="KD4" s="1812" t="s">
        <v>2328</v>
      </c>
      <c r="KE4" s="1812" t="s">
        <v>2329</v>
      </c>
      <c r="KF4" s="1812" t="s">
        <v>2330</v>
      </c>
      <c r="KG4" s="1812" t="s">
        <v>2331</v>
      </c>
      <c r="KH4" s="1812" t="s">
        <v>465</v>
      </c>
      <c r="KI4" s="1812" t="s">
        <v>2328</v>
      </c>
      <c r="KJ4" s="1812" t="s">
        <v>2329</v>
      </c>
      <c r="KK4" s="1812" t="s">
        <v>2330</v>
      </c>
      <c r="KL4" s="1812" t="s">
        <v>2331</v>
      </c>
      <c r="KM4" s="1812" t="s">
        <v>465</v>
      </c>
      <c r="KN4" s="1812" t="s">
        <v>2328</v>
      </c>
      <c r="KO4" s="1812" t="s">
        <v>2329</v>
      </c>
      <c r="KP4" s="1812" t="s">
        <v>2330</v>
      </c>
      <c r="KQ4" s="1812" t="s">
        <v>2331</v>
      </c>
      <c r="KR4" s="1812" t="s">
        <v>465</v>
      </c>
      <c r="KS4" s="1812" t="s">
        <v>2328</v>
      </c>
      <c r="KT4" s="1812" t="s">
        <v>2329</v>
      </c>
      <c r="KU4" s="1812" t="s">
        <v>2330</v>
      </c>
      <c r="KV4" s="1812" t="s">
        <v>2331</v>
      </c>
      <c r="KW4" s="1812" t="s">
        <v>465</v>
      </c>
      <c r="KX4" s="1812" t="s">
        <v>2328</v>
      </c>
      <c r="KY4" s="1812" t="s">
        <v>2329</v>
      </c>
      <c r="KZ4" s="1812" t="s">
        <v>2330</v>
      </c>
      <c r="LA4" s="1812" t="s">
        <v>2331</v>
      </c>
      <c r="LB4" s="1812" t="s">
        <v>465</v>
      </c>
      <c r="LC4" s="1812" t="s">
        <v>2328</v>
      </c>
      <c r="LD4" s="1812" t="s">
        <v>2329</v>
      </c>
      <c r="LE4" s="1812" t="s">
        <v>2330</v>
      </c>
      <c r="LF4" s="1812" t="s">
        <v>2331</v>
      </c>
      <c r="LG4" s="1578"/>
      <c r="LH4" s="1578"/>
      <c r="LI4" s="1578"/>
      <c r="LJ4" s="1578"/>
      <c r="LK4" s="1578"/>
      <c r="LL4" s="1578"/>
      <c r="LM4" s="1578"/>
      <c r="LN4" s="1578"/>
      <c r="LO4" s="1578"/>
      <c r="LP4" s="1578"/>
      <c r="LQ4" s="1578"/>
      <c r="LR4" s="1578"/>
      <c r="LS4" s="1578"/>
      <c r="LT4" s="1578"/>
      <c r="LU4" s="1578"/>
      <c r="LV4" s="1578"/>
      <c r="LW4" s="1578"/>
      <c r="LX4" s="1578"/>
      <c r="LY4" s="1578"/>
      <c r="LZ4" s="1578"/>
      <c r="MA4" s="1578"/>
      <c r="MB4" s="1578"/>
      <c r="MC4" s="1578"/>
      <c r="MD4" s="1578"/>
      <c r="ME4" s="1578"/>
      <c r="MF4" s="3899" t="s">
        <v>3164</v>
      </c>
      <c r="MG4" s="3899" t="s">
        <v>3165</v>
      </c>
      <c r="MH4" s="3899" t="s">
        <v>3166</v>
      </c>
      <c r="MI4" s="3899" t="s">
        <v>3167</v>
      </c>
      <c r="MJ4" s="3899" t="s">
        <v>3168</v>
      </c>
      <c r="MK4" s="1578"/>
      <c r="ML4" s="1578"/>
      <c r="MM4" s="1578"/>
      <c r="MN4" s="1578"/>
      <c r="MO4" s="1578"/>
      <c r="MP4" s="109"/>
      <c r="MQ4" s="109"/>
      <c r="MR4" s="109"/>
      <c r="MS4" s="1578"/>
      <c r="MT4" s="1578"/>
      <c r="MU4" s="432"/>
      <c r="MV4" s="93"/>
      <c r="MW4" s="93"/>
      <c r="MX4" s="93"/>
      <c r="MY4" s="93"/>
      <c r="MZ4" s="93"/>
      <c r="NA4" s="93"/>
      <c r="NB4" s="93"/>
      <c r="NC4" s="93"/>
      <c r="ND4" s="93"/>
      <c r="NE4" s="93"/>
      <c r="NF4" s="93"/>
      <c r="NG4" s="93"/>
      <c r="NH4" s="93"/>
      <c r="NI4" s="93"/>
      <c r="NJ4" s="93"/>
      <c r="NK4" s="93"/>
      <c r="NL4" s="93"/>
      <c r="NM4" s="93"/>
      <c r="NN4" s="93"/>
      <c r="NO4" s="93"/>
      <c r="NP4" s="2850"/>
      <c r="NQ4" s="93"/>
      <c r="NR4" s="93"/>
      <c r="NS4" s="93"/>
      <c r="NT4" s="93"/>
      <c r="NU4" s="93"/>
      <c r="NV4" s="93"/>
      <c r="NW4" s="93"/>
      <c r="NX4" s="93"/>
      <c r="NY4" s="93"/>
      <c r="NZ4" s="93"/>
      <c r="OA4" s="93"/>
      <c r="OB4" s="93"/>
      <c r="OC4" s="93"/>
      <c r="OD4" s="93"/>
      <c r="OE4" s="93"/>
      <c r="OF4" s="93"/>
      <c r="OG4" s="93"/>
      <c r="OH4" s="93"/>
      <c r="OI4" s="93"/>
      <c r="OJ4" s="93"/>
      <c r="OK4" s="93"/>
      <c r="OL4" s="93"/>
      <c r="OM4" s="93"/>
      <c r="ON4" s="93"/>
      <c r="OO4" s="93"/>
      <c r="OP4" s="93"/>
      <c r="OQ4" s="93"/>
      <c r="OR4" s="93"/>
      <c r="OS4" s="93"/>
      <c r="OT4" s="93"/>
      <c r="OU4" s="93"/>
      <c r="OV4" s="93"/>
      <c r="OW4" s="93"/>
      <c r="OX4" s="93"/>
      <c r="OY4" s="93"/>
      <c r="OZ4" s="93"/>
      <c r="PA4" s="93"/>
      <c r="PB4" s="93"/>
      <c r="PC4" s="93"/>
      <c r="PD4" s="93"/>
      <c r="PE4" s="93"/>
      <c r="PF4" s="93"/>
      <c r="PG4" s="93"/>
      <c r="PH4" s="93"/>
      <c r="PI4" s="93"/>
      <c r="PJ4" s="93"/>
      <c r="PK4" s="93"/>
      <c r="PL4" s="93"/>
      <c r="PM4" s="93"/>
      <c r="PN4" s="93"/>
      <c r="PO4" s="93"/>
      <c r="PP4" s="93"/>
      <c r="PQ4" s="93"/>
      <c r="PR4" s="93"/>
      <c r="PS4" s="93"/>
      <c r="PT4" s="93"/>
      <c r="PU4" s="93"/>
      <c r="PV4" s="93"/>
      <c r="PW4" s="93"/>
      <c r="PX4" s="93"/>
      <c r="PY4" s="93"/>
      <c r="PZ4" s="93"/>
      <c r="QA4" s="93"/>
      <c r="QB4" s="93"/>
      <c r="QC4" s="93"/>
      <c r="QD4" s="93"/>
      <c r="QE4" s="93"/>
      <c r="QF4" s="93"/>
      <c r="QG4" s="93"/>
      <c r="QH4" s="93"/>
      <c r="QI4" s="93"/>
      <c r="QJ4" s="93"/>
      <c r="QK4" s="93"/>
      <c r="QL4" s="93"/>
      <c r="QM4" s="93"/>
      <c r="QN4" s="93"/>
      <c r="QO4" s="93"/>
      <c r="QP4" s="93"/>
      <c r="QQ4" s="93"/>
      <c r="QR4" s="93"/>
      <c r="QS4" s="93"/>
      <c r="QT4" s="93"/>
      <c r="QU4" s="93"/>
      <c r="QV4" s="93"/>
      <c r="QW4" s="93"/>
      <c r="QX4" s="93"/>
      <c r="QY4" s="93"/>
      <c r="QZ4" s="93"/>
      <c r="RA4" s="93"/>
      <c r="RB4" s="93"/>
      <c r="RC4" s="93"/>
      <c r="RD4" s="93"/>
      <c r="RE4" s="93"/>
      <c r="RF4" s="93"/>
      <c r="RG4" s="93"/>
      <c r="RH4" s="93"/>
      <c r="RI4" s="93"/>
      <c r="RJ4" s="93"/>
      <c r="RK4" s="93"/>
      <c r="RL4" s="93"/>
      <c r="RM4" s="93"/>
      <c r="RN4" s="93"/>
      <c r="RO4" s="93"/>
      <c r="RP4" s="93"/>
      <c r="RQ4" s="93"/>
      <c r="RR4" s="93"/>
      <c r="RS4" s="93"/>
      <c r="RT4" s="93"/>
      <c r="RU4" s="93"/>
      <c r="RV4" s="93"/>
      <c r="RW4" s="93"/>
      <c r="RX4" s="93"/>
      <c r="RY4" s="93"/>
    </row>
    <row r="5" spans="1:493" s="90" customFormat="1" ht="3" customHeight="1" thickBot="1">
      <c r="B5" s="4"/>
      <c r="C5" s="1"/>
      <c r="D5" s="1585"/>
      <c r="E5" s="1585"/>
      <c r="F5" s="1585"/>
      <c r="G5" s="1585"/>
      <c r="H5" s="1585"/>
      <c r="I5" s="1585"/>
      <c r="J5" s="1585"/>
      <c r="K5" s="1"/>
      <c r="L5" s="1"/>
      <c r="M5" s="1"/>
      <c r="N5" s="1"/>
      <c r="P5" s="1580"/>
      <c r="Q5" s="3901" t="s">
        <v>3332</v>
      </c>
      <c r="R5" s="2651"/>
      <c r="S5" s="405"/>
      <c r="T5" s="405"/>
      <c r="U5" s="405"/>
      <c r="W5" s="406"/>
      <c r="X5" s="3899" t="s">
        <v>3834</v>
      </c>
      <c r="Y5" s="3899" t="s">
        <v>3835</v>
      </c>
      <c r="Z5" s="3899" t="s">
        <v>3836</v>
      </c>
      <c r="AA5" s="3899" t="s">
        <v>3837</v>
      </c>
      <c r="AB5" s="3899" t="s">
        <v>3838</v>
      </c>
      <c r="AC5" s="3899" t="s">
        <v>3839</v>
      </c>
      <c r="AD5" s="3899" t="s">
        <v>3840</v>
      </c>
      <c r="AE5" s="3899" t="s">
        <v>3841</v>
      </c>
      <c r="AF5" s="3899" t="s">
        <v>3842</v>
      </c>
      <c r="AG5" s="3899" t="s">
        <v>3843</v>
      </c>
      <c r="AH5" s="3899" t="s">
        <v>885</v>
      </c>
      <c r="AI5" s="3899" t="s">
        <v>726</v>
      </c>
      <c r="AJ5" s="3899" t="s">
        <v>727</v>
      </c>
      <c r="AK5" s="3899" t="s">
        <v>728</v>
      </c>
      <c r="AL5" s="3899" t="s">
        <v>729</v>
      </c>
      <c r="AM5" s="3899" t="s">
        <v>886</v>
      </c>
      <c r="AN5" s="3899" t="s">
        <v>2205</v>
      </c>
      <c r="AO5" s="3899" t="s">
        <v>2206</v>
      </c>
      <c r="AP5" s="3899" t="s">
        <v>2207</v>
      </c>
      <c r="AQ5" s="3899" t="s">
        <v>2208</v>
      </c>
      <c r="AR5" s="3899" t="s">
        <v>3845</v>
      </c>
      <c r="AS5" s="3899" t="s">
        <v>3846</v>
      </c>
      <c r="AT5" s="3899" t="s">
        <v>3847</v>
      </c>
      <c r="AU5" s="3899" t="s">
        <v>3848</v>
      </c>
      <c r="AV5" s="3899" t="s">
        <v>3844</v>
      </c>
      <c r="AW5" s="3899" t="s">
        <v>887</v>
      </c>
      <c r="AX5" s="3899" t="s">
        <v>2209</v>
      </c>
      <c r="AY5" s="3899" t="s">
        <v>2210</v>
      </c>
      <c r="AZ5" s="3899" t="s">
        <v>2211</v>
      </c>
      <c r="BA5" s="3899" t="s">
        <v>2212</v>
      </c>
      <c r="BB5" s="3899" t="s">
        <v>3849</v>
      </c>
      <c r="BC5" s="3899" t="s">
        <v>3850</v>
      </c>
      <c r="BD5" s="3899" t="s">
        <v>3851</v>
      </c>
      <c r="BE5" s="3899" t="s">
        <v>3852</v>
      </c>
      <c r="BF5" s="3899" t="s">
        <v>3853</v>
      </c>
      <c r="BG5" s="3899" t="s">
        <v>122</v>
      </c>
      <c r="BH5" s="3899" t="s">
        <v>2213</v>
      </c>
      <c r="BI5" s="3899" t="s">
        <v>2214</v>
      </c>
      <c r="BJ5" s="3899" t="s">
        <v>2215</v>
      </c>
      <c r="BK5" s="3899" t="s">
        <v>1106</v>
      </c>
      <c r="BL5" s="3899" t="s">
        <v>3854</v>
      </c>
      <c r="BM5" s="3899" t="s">
        <v>3855</v>
      </c>
      <c r="BN5" s="3899" t="s">
        <v>3856</v>
      </c>
      <c r="BO5" s="3899" t="s">
        <v>3857</v>
      </c>
      <c r="BP5" s="3899" t="s">
        <v>3858</v>
      </c>
      <c r="BQ5" s="3899" t="s">
        <v>529</v>
      </c>
      <c r="BR5" s="3899" t="s">
        <v>530</v>
      </c>
      <c r="BS5" s="3899" t="s">
        <v>548</v>
      </c>
      <c r="BT5" s="3899" t="s">
        <v>549</v>
      </c>
      <c r="BU5" s="3899" t="s">
        <v>550</v>
      </c>
      <c r="BV5" s="3899" t="s">
        <v>3859</v>
      </c>
      <c r="BW5" s="3899" t="s">
        <v>3860</v>
      </c>
      <c r="BX5" s="3899" t="s">
        <v>3861</v>
      </c>
      <c r="BY5" s="3899" t="s">
        <v>3862</v>
      </c>
      <c r="BZ5" s="3899" t="s">
        <v>3863</v>
      </c>
      <c r="CA5" s="3899" t="s">
        <v>551</v>
      </c>
      <c r="CB5" s="3899" t="s">
        <v>552</v>
      </c>
      <c r="CC5" s="3899" t="s">
        <v>553</v>
      </c>
      <c r="CD5" s="3899" t="s">
        <v>554</v>
      </c>
      <c r="CE5" s="3899" t="s">
        <v>555</v>
      </c>
      <c r="CF5" s="3899" t="s">
        <v>556</v>
      </c>
      <c r="CG5" s="3899" t="s">
        <v>557</v>
      </c>
      <c r="CH5" s="3899" t="s">
        <v>896</v>
      </c>
      <c r="CI5" s="3899" t="s">
        <v>897</v>
      </c>
      <c r="CJ5" s="3899" t="s">
        <v>898</v>
      </c>
      <c r="CK5" s="3899" t="s">
        <v>3869</v>
      </c>
      <c r="CL5" s="3899" t="s">
        <v>3870</v>
      </c>
      <c r="CM5" s="3899" t="s">
        <v>3871</v>
      </c>
      <c r="CN5" s="3899" t="s">
        <v>3872</v>
      </c>
      <c r="CO5" s="3899" t="s">
        <v>3873</v>
      </c>
      <c r="CP5" s="3899" t="s">
        <v>3864</v>
      </c>
      <c r="CQ5" s="3899" t="s">
        <v>3865</v>
      </c>
      <c r="CR5" s="3899" t="s">
        <v>3866</v>
      </c>
      <c r="CS5" s="3899" t="s">
        <v>3867</v>
      </c>
      <c r="CT5" s="3899" t="s">
        <v>3868</v>
      </c>
      <c r="CU5" s="3899" t="s">
        <v>3874</v>
      </c>
      <c r="CV5" s="3899" t="s">
        <v>3875</v>
      </c>
      <c r="CW5" s="3899" t="s">
        <v>3876</v>
      </c>
      <c r="CX5" s="3899" t="s">
        <v>3877</v>
      </c>
      <c r="CY5" s="3899" t="s">
        <v>3878</v>
      </c>
      <c r="CZ5" s="3899" t="s">
        <v>474</v>
      </c>
      <c r="DA5" s="3899" t="s">
        <v>475</v>
      </c>
      <c r="DB5" s="3899" t="s">
        <v>476</v>
      </c>
      <c r="DC5" s="3899" t="s">
        <v>477</v>
      </c>
      <c r="DD5" s="3899" t="s">
        <v>478</v>
      </c>
      <c r="DE5" s="3899" t="s">
        <v>3879</v>
      </c>
      <c r="DF5" s="3899" t="s">
        <v>3880</v>
      </c>
      <c r="DG5" s="3899" t="s">
        <v>3881</v>
      </c>
      <c r="DH5" s="3899" t="s">
        <v>3882</v>
      </c>
      <c r="DI5" s="3899" t="s">
        <v>3883</v>
      </c>
      <c r="DJ5" s="3899" t="s">
        <v>846</v>
      </c>
      <c r="DK5" s="3899" t="s">
        <v>847</v>
      </c>
      <c r="DL5" s="3899" t="s">
        <v>848</v>
      </c>
      <c r="DM5" s="3899" t="s">
        <v>849</v>
      </c>
      <c r="DN5" s="3899" t="s">
        <v>850</v>
      </c>
      <c r="DO5" s="3899" t="s">
        <v>851</v>
      </c>
      <c r="DP5" s="3899" t="s">
        <v>852</v>
      </c>
      <c r="DQ5" s="3899" t="s">
        <v>853</v>
      </c>
      <c r="DR5" s="3899" t="s">
        <v>854</v>
      </c>
      <c r="DS5" s="3899" t="s">
        <v>855</v>
      </c>
      <c r="DT5" s="3899" t="s">
        <v>3884</v>
      </c>
      <c r="DU5" s="3899" t="s">
        <v>3885</v>
      </c>
      <c r="DV5" s="3899" t="s">
        <v>3886</v>
      </c>
      <c r="DW5" s="3899" t="s">
        <v>3887</v>
      </c>
      <c r="DX5" s="3899" t="s">
        <v>3888</v>
      </c>
      <c r="DY5" s="3899" t="s">
        <v>3889</v>
      </c>
      <c r="DZ5" s="3899" t="s">
        <v>3890</v>
      </c>
      <c r="EA5" s="3899" t="s">
        <v>3891</v>
      </c>
      <c r="EB5" s="3899" t="s">
        <v>3892</v>
      </c>
      <c r="EC5" s="3899" t="s">
        <v>3893</v>
      </c>
      <c r="ED5" s="3899" t="s">
        <v>2318</v>
      </c>
      <c r="EE5" s="3899" t="s">
        <v>2319</v>
      </c>
      <c r="EF5" s="3899" t="s">
        <v>2320</v>
      </c>
      <c r="EG5" s="3899" t="s">
        <v>2321</v>
      </c>
      <c r="EH5" s="3899" t="s">
        <v>2322</v>
      </c>
      <c r="EI5" s="3899" t="s">
        <v>3894</v>
      </c>
      <c r="EJ5" s="3899" t="s">
        <v>3895</v>
      </c>
      <c r="EK5" s="3899" t="s">
        <v>3896</v>
      </c>
      <c r="EL5" s="3899" t="s">
        <v>3897</v>
      </c>
      <c r="EM5" s="3899" t="s">
        <v>3898</v>
      </c>
      <c r="EN5" s="3899" t="s">
        <v>3899</v>
      </c>
      <c r="EO5" s="3899" t="s">
        <v>3900</v>
      </c>
      <c r="EP5" s="3899" t="s">
        <v>3901</v>
      </c>
      <c r="EQ5" s="3899" t="s">
        <v>3902</v>
      </c>
      <c r="ER5" s="3899" t="s">
        <v>3903</v>
      </c>
      <c r="ES5" s="3899" t="s">
        <v>110</v>
      </c>
      <c r="ET5" s="3899" t="s">
        <v>1109</v>
      </c>
      <c r="EU5" s="3899" t="s">
        <v>1110</v>
      </c>
      <c r="EV5" s="3899" t="s">
        <v>1167</v>
      </c>
      <c r="EW5" s="3899" t="s">
        <v>1168</v>
      </c>
      <c r="EX5" s="3899" t="s">
        <v>125</v>
      </c>
      <c r="EY5" s="3899" t="s">
        <v>1169</v>
      </c>
      <c r="EZ5" s="3899" t="s">
        <v>1170</v>
      </c>
      <c r="FA5" s="3899" t="s">
        <v>1171</v>
      </c>
      <c r="FB5" s="3899" t="s">
        <v>1172</v>
      </c>
      <c r="FC5" s="3899" t="s">
        <v>3904</v>
      </c>
      <c r="FD5" s="3899" t="s">
        <v>3905</v>
      </c>
      <c r="FE5" s="3899" t="s">
        <v>3906</v>
      </c>
      <c r="FF5" s="3899" t="s">
        <v>3907</v>
      </c>
      <c r="FG5" s="3899" t="s">
        <v>3908</v>
      </c>
      <c r="FH5" s="3899" t="s">
        <v>124</v>
      </c>
      <c r="FI5" s="3899" t="s">
        <v>877</v>
      </c>
      <c r="FJ5" s="3899" t="s">
        <v>878</v>
      </c>
      <c r="FK5" s="3899" t="s">
        <v>879</v>
      </c>
      <c r="FL5" s="3899" t="s">
        <v>880</v>
      </c>
      <c r="FM5" s="3899" t="s">
        <v>3909</v>
      </c>
      <c r="FN5" s="3899" t="s">
        <v>3910</v>
      </c>
      <c r="FO5" s="3899" t="s">
        <v>3911</v>
      </c>
      <c r="FP5" s="3899" t="s">
        <v>3912</v>
      </c>
      <c r="FQ5" s="3899" t="s">
        <v>3913</v>
      </c>
      <c r="FR5" s="3899" t="s">
        <v>123</v>
      </c>
      <c r="FS5" s="3899" t="s">
        <v>881</v>
      </c>
      <c r="FT5" s="3899" t="s">
        <v>882</v>
      </c>
      <c r="FU5" s="3899" t="s">
        <v>883</v>
      </c>
      <c r="FV5" s="3899" t="s">
        <v>884</v>
      </c>
      <c r="FW5" s="3899" t="s">
        <v>776</v>
      </c>
      <c r="FX5" s="3899" t="s">
        <v>777</v>
      </c>
      <c r="FY5" s="3899" t="s">
        <v>778</v>
      </c>
      <c r="FZ5" s="3899" t="s">
        <v>779</v>
      </c>
      <c r="GA5" s="3899" t="s">
        <v>780</v>
      </c>
      <c r="GB5" s="3899" t="s">
        <v>921</v>
      </c>
      <c r="GC5" s="3899" t="s">
        <v>922</v>
      </c>
      <c r="GD5" s="3899" t="s">
        <v>923</v>
      </c>
      <c r="GE5" s="3899" t="s">
        <v>924</v>
      </c>
      <c r="GF5" s="3899" t="s">
        <v>2317</v>
      </c>
      <c r="GG5" s="3899" t="s">
        <v>1378</v>
      </c>
      <c r="GH5" s="3899" t="s">
        <v>1379</v>
      </c>
      <c r="GI5" s="3899" t="s">
        <v>1380</v>
      </c>
      <c r="GJ5" s="3899" t="s">
        <v>1381</v>
      </c>
      <c r="GK5" s="3899" t="s">
        <v>1382</v>
      </c>
      <c r="GL5" s="3899" t="s">
        <v>417</v>
      </c>
      <c r="GM5" s="3899" t="s">
        <v>418</v>
      </c>
      <c r="GN5" s="3899" t="s">
        <v>419</v>
      </c>
      <c r="GO5" s="3899" t="s">
        <v>420</v>
      </c>
      <c r="GP5" s="3899" t="s">
        <v>421</v>
      </c>
      <c r="GQ5" s="3899" t="s">
        <v>14</v>
      </c>
      <c r="GR5" s="3899" t="s">
        <v>15</v>
      </c>
      <c r="GS5" s="3899" t="s">
        <v>16</v>
      </c>
      <c r="GT5" s="3899" t="s">
        <v>17</v>
      </c>
      <c r="GU5" s="3899" t="s">
        <v>18</v>
      </c>
      <c r="GV5" s="3899" t="s">
        <v>213</v>
      </c>
      <c r="GW5" s="3899" t="s">
        <v>214</v>
      </c>
      <c r="GX5" s="3899" t="s">
        <v>215</v>
      </c>
      <c r="GY5" s="3899" t="s">
        <v>1727</v>
      </c>
      <c r="GZ5" s="3899" t="s">
        <v>1728</v>
      </c>
      <c r="HA5" s="3899" t="s">
        <v>1729</v>
      </c>
      <c r="HB5" s="3899" t="s">
        <v>563</v>
      </c>
      <c r="HC5" s="3899" t="s">
        <v>564</v>
      </c>
      <c r="HD5" s="3899" t="s">
        <v>565</v>
      </c>
      <c r="HE5" s="3899" t="s">
        <v>566</v>
      </c>
      <c r="HF5" s="3899" t="s">
        <v>19</v>
      </c>
      <c r="HG5" s="3899" t="s">
        <v>20</v>
      </c>
      <c r="HH5" s="3899" t="s">
        <v>21</v>
      </c>
      <c r="HI5" s="3899" t="s">
        <v>22</v>
      </c>
      <c r="HJ5" s="3899" t="s">
        <v>23</v>
      </c>
      <c r="HK5" s="3899" t="s">
        <v>473</v>
      </c>
      <c r="HL5" s="3899" t="s">
        <v>413</v>
      </c>
      <c r="HM5" s="3899" t="s">
        <v>414</v>
      </c>
      <c r="HN5" s="3899" t="s">
        <v>415</v>
      </c>
      <c r="HO5" s="3899" t="s">
        <v>416</v>
      </c>
      <c r="HP5" s="3899" t="s">
        <v>2106</v>
      </c>
      <c r="HQ5" s="3899" t="s">
        <v>2107</v>
      </c>
      <c r="HR5" s="3899" t="s">
        <v>2108</v>
      </c>
      <c r="HS5" s="3899" t="s">
        <v>1420</v>
      </c>
      <c r="HT5" s="3899" t="s">
        <v>1421</v>
      </c>
      <c r="HU5" s="3899" t="s">
        <v>24</v>
      </c>
      <c r="HV5" s="3899" t="s">
        <v>25</v>
      </c>
      <c r="HW5" s="3899" t="s">
        <v>26</v>
      </c>
      <c r="HX5" s="3899" t="s">
        <v>27</v>
      </c>
      <c r="HY5" s="3899" t="s">
        <v>28</v>
      </c>
      <c r="HZ5" s="1813"/>
      <c r="IA5" s="1813"/>
      <c r="IB5" s="1813"/>
      <c r="IC5" s="1813"/>
      <c r="ID5" s="1813"/>
      <c r="IE5" s="1813"/>
      <c r="IF5" s="1813"/>
      <c r="IG5" s="1813"/>
      <c r="IH5" s="1813"/>
      <c r="II5" s="1813"/>
      <c r="IJ5" s="1813"/>
      <c r="IK5" s="1813"/>
      <c r="IL5" s="1813"/>
      <c r="IM5" s="1813"/>
      <c r="IN5" s="1813"/>
      <c r="IO5" s="1813"/>
      <c r="IP5" s="1813"/>
      <c r="IQ5" s="1813"/>
      <c r="IR5" s="1813"/>
      <c r="IS5" s="1813"/>
      <c r="IT5" s="1813"/>
      <c r="IU5" s="1813"/>
      <c r="IV5" s="1813"/>
      <c r="IW5" s="1813"/>
      <c r="IX5" s="1813"/>
      <c r="IY5" s="1813"/>
      <c r="IZ5" s="1813"/>
      <c r="JA5" s="1813"/>
      <c r="JB5" s="1813"/>
      <c r="JC5" s="1813"/>
      <c r="JD5" s="1813"/>
      <c r="JE5" s="1813"/>
      <c r="JF5" s="1813"/>
      <c r="JG5" s="1813"/>
      <c r="JH5" s="1813"/>
      <c r="JI5" s="1813"/>
      <c r="JJ5" s="1813"/>
      <c r="JK5" s="1813"/>
      <c r="JL5" s="1813"/>
      <c r="JM5" s="1813"/>
      <c r="JN5" s="1813"/>
      <c r="JO5" s="1813"/>
      <c r="JP5" s="1813"/>
      <c r="JQ5" s="1813"/>
      <c r="JR5" s="1813"/>
      <c r="JS5" s="1813"/>
      <c r="JT5" s="1813"/>
      <c r="JU5" s="1813"/>
      <c r="JV5" s="1813"/>
      <c r="JW5" s="1813"/>
      <c r="JX5" s="1813"/>
      <c r="JY5" s="1813"/>
      <c r="JZ5" s="1813"/>
      <c r="KA5" s="1813"/>
      <c r="KB5" s="1813"/>
      <c r="KC5" s="1813"/>
      <c r="KD5" s="1813"/>
      <c r="KE5" s="1813"/>
      <c r="KF5" s="1813"/>
      <c r="KG5" s="1813"/>
      <c r="KH5" s="1813"/>
      <c r="KI5" s="1813"/>
      <c r="KJ5" s="1813"/>
      <c r="KK5" s="1813"/>
      <c r="KL5" s="1813"/>
      <c r="KM5" s="1578"/>
      <c r="KN5" s="1578"/>
      <c r="KO5" s="1578"/>
      <c r="KP5" s="1578"/>
      <c r="KQ5" s="1578"/>
      <c r="KR5" s="1578"/>
      <c r="KS5" s="1578"/>
      <c r="KT5" s="1578"/>
      <c r="KU5" s="1578"/>
      <c r="KV5" s="1578"/>
      <c r="KW5" s="1578"/>
      <c r="KX5" s="1578"/>
      <c r="KY5" s="1578"/>
      <c r="KZ5" s="1578"/>
      <c r="LA5" s="1578"/>
      <c r="LB5" s="1578"/>
      <c r="LC5" s="1578"/>
      <c r="LD5" s="1578"/>
      <c r="LE5" s="1578"/>
      <c r="LF5" s="1578"/>
      <c r="LG5" s="3899" t="s">
        <v>1559</v>
      </c>
      <c r="LH5" s="3899" t="s">
        <v>2404</v>
      </c>
      <c r="LI5" s="3899" t="s">
        <v>2405</v>
      </c>
      <c r="LJ5" s="3899" t="s">
        <v>368</v>
      </c>
      <c r="LK5" s="3899" t="s">
        <v>369</v>
      </c>
      <c r="LL5" s="3899" t="s">
        <v>370</v>
      </c>
      <c r="LM5" s="3899" t="s">
        <v>371</v>
      </c>
      <c r="LN5" s="3899" t="s">
        <v>372</v>
      </c>
      <c r="LO5" s="3899" t="s">
        <v>373</v>
      </c>
      <c r="LP5" s="3899" t="s">
        <v>374</v>
      </c>
      <c r="LQ5" s="3899" t="s">
        <v>194</v>
      </c>
      <c r="LR5" s="3899" t="s">
        <v>195</v>
      </c>
      <c r="LS5" s="3899" t="s">
        <v>196</v>
      </c>
      <c r="LT5" s="3899" t="s">
        <v>197</v>
      </c>
      <c r="LU5" s="3899" t="s">
        <v>198</v>
      </c>
      <c r="LV5" s="3899" t="s">
        <v>199</v>
      </c>
      <c r="LW5" s="3899" t="s">
        <v>200</v>
      </c>
      <c r="LX5" s="3899" t="s">
        <v>201</v>
      </c>
      <c r="LY5" s="3899" t="s">
        <v>202</v>
      </c>
      <c r="LZ5" s="3899" t="s">
        <v>203</v>
      </c>
      <c r="MA5" s="3899" t="s">
        <v>204</v>
      </c>
      <c r="MB5" s="3899" t="s">
        <v>205</v>
      </c>
      <c r="MC5" s="3899" t="s">
        <v>206</v>
      </c>
      <c r="MD5" s="3899" t="s">
        <v>207</v>
      </c>
      <c r="ME5" s="3899" t="s">
        <v>208</v>
      </c>
      <c r="MF5" s="3899"/>
      <c r="MG5" s="3899"/>
      <c r="MH5" s="3899"/>
      <c r="MI5" s="3899"/>
      <c r="MJ5" s="3899"/>
      <c r="MK5" s="1578"/>
      <c r="ML5" s="1578"/>
      <c r="MM5" s="1578"/>
      <c r="MN5" s="1578"/>
      <c r="MO5" s="1578"/>
      <c r="MP5" s="109"/>
      <c r="MQ5" s="109"/>
      <c r="MR5" s="109"/>
      <c r="MS5" s="1578"/>
      <c r="MT5" s="1578"/>
      <c r="MU5" s="432"/>
      <c r="MV5" s="93"/>
      <c r="MW5" s="93"/>
      <c r="MX5" s="93"/>
      <c r="MY5" s="93"/>
      <c r="MZ5" s="93"/>
      <c r="NA5" s="93"/>
      <c r="NB5" s="93"/>
      <c r="NC5" s="93"/>
      <c r="ND5" s="93"/>
      <c r="NE5" s="93"/>
      <c r="NF5" s="93"/>
      <c r="NG5" s="93"/>
      <c r="NH5" s="93"/>
      <c r="NI5" s="93"/>
      <c r="NJ5" s="93"/>
      <c r="NK5" s="93"/>
      <c r="NL5" s="93"/>
      <c r="NM5" s="93"/>
      <c r="NN5" s="93"/>
      <c r="NO5" s="93"/>
      <c r="NP5" s="2850"/>
      <c r="NQ5" s="93"/>
      <c r="NR5" s="93"/>
      <c r="NS5" s="93"/>
      <c r="NT5" s="93"/>
      <c r="NU5" s="93"/>
      <c r="NV5" s="93"/>
      <c r="NW5" s="93"/>
      <c r="NX5" s="93"/>
      <c r="NY5" s="93"/>
      <c r="NZ5" s="93"/>
      <c r="OA5" s="93"/>
      <c r="OB5" s="93"/>
      <c r="OC5" s="93"/>
      <c r="OD5" s="93"/>
      <c r="OE5" s="93"/>
      <c r="OF5" s="93"/>
      <c r="OG5" s="93"/>
      <c r="OH5" s="93"/>
      <c r="OI5" s="93"/>
      <c r="OJ5" s="93"/>
      <c r="OK5" s="93"/>
      <c r="OL5" s="93"/>
      <c r="OM5" s="93"/>
      <c r="ON5" s="93"/>
      <c r="OO5" s="93"/>
      <c r="OP5" s="93"/>
      <c r="OQ5" s="93"/>
      <c r="OR5" s="93"/>
      <c r="OS5" s="93"/>
      <c r="OT5" s="93"/>
      <c r="OU5" s="93"/>
      <c r="OV5" s="93"/>
      <c r="OW5" s="93"/>
      <c r="OX5" s="93"/>
      <c r="OY5" s="93"/>
      <c r="OZ5" s="93"/>
      <c r="PA5" s="93"/>
      <c r="PB5" s="93"/>
      <c r="PC5" s="93"/>
      <c r="PD5" s="93"/>
      <c r="PE5" s="93"/>
      <c r="PF5" s="93"/>
      <c r="PG5" s="93"/>
      <c r="PH5" s="93"/>
      <c r="PI5" s="93"/>
      <c r="PJ5" s="93"/>
      <c r="PK5" s="93"/>
      <c r="PL5" s="93"/>
      <c r="PM5" s="93"/>
      <c r="PN5" s="93"/>
      <c r="PO5" s="93"/>
      <c r="PP5" s="93"/>
      <c r="PQ5" s="93"/>
      <c r="PR5" s="93"/>
      <c r="PS5" s="93"/>
      <c r="PT5" s="93"/>
      <c r="PU5" s="93"/>
      <c r="PV5" s="93"/>
      <c r="PW5" s="93"/>
      <c r="PX5" s="93"/>
      <c r="PY5" s="93"/>
      <c r="PZ5" s="93"/>
      <c r="QA5" s="93"/>
      <c r="QB5" s="93"/>
      <c r="QC5" s="93"/>
      <c r="QD5" s="93"/>
      <c r="QE5" s="93"/>
      <c r="QF5" s="93"/>
      <c r="QG5" s="93"/>
      <c r="QH5" s="93"/>
      <c r="QI5" s="93"/>
      <c r="QJ5" s="93"/>
      <c r="QK5" s="93"/>
      <c r="QL5" s="93"/>
      <c r="QM5" s="93"/>
      <c r="QN5" s="93"/>
      <c r="QO5" s="93"/>
      <c r="QP5" s="93"/>
      <c r="QQ5" s="93"/>
      <c r="QR5" s="93"/>
      <c r="QS5" s="93"/>
      <c r="QT5" s="93"/>
      <c r="QU5" s="93"/>
      <c r="QV5" s="93"/>
      <c r="QW5" s="93"/>
      <c r="QX5" s="93"/>
      <c r="QY5" s="93"/>
      <c r="QZ5" s="93"/>
      <c r="RA5" s="93"/>
      <c r="RB5" s="93"/>
      <c r="RC5" s="93"/>
      <c r="RD5" s="93"/>
      <c r="RE5" s="93"/>
      <c r="RF5" s="93"/>
      <c r="RG5" s="93"/>
      <c r="RH5" s="93"/>
      <c r="RI5" s="93"/>
      <c r="RJ5" s="93"/>
      <c r="RK5" s="93"/>
      <c r="RL5" s="93"/>
      <c r="RM5" s="93"/>
      <c r="RN5" s="93"/>
      <c r="RO5" s="93"/>
      <c r="RP5" s="93"/>
      <c r="RQ5" s="93"/>
      <c r="RR5" s="93"/>
      <c r="RS5" s="93"/>
      <c r="RT5" s="93"/>
      <c r="RU5" s="93"/>
      <c r="RV5" s="93"/>
      <c r="RW5" s="93"/>
      <c r="RX5" s="93"/>
      <c r="RY5" s="93"/>
    </row>
    <row r="6" spans="1:493" s="90" customFormat="1" ht="12.6" customHeight="1" thickBot="1">
      <c r="A6" s="3917" t="str">
        <f>IF(A49&gt;0,"Finish Row!","")</f>
        <v/>
      </c>
      <c r="B6" s="163" t="s">
        <v>6308</v>
      </c>
      <c r="D6" s="1585"/>
      <c r="E6" s="1585"/>
      <c r="F6" s="1585"/>
      <c r="G6" s="2851" t="s">
        <v>193</v>
      </c>
      <c r="H6" s="3831" t="s">
        <v>6310</v>
      </c>
      <c r="I6" s="3832"/>
      <c r="J6" s="3832"/>
      <c r="K6" s="1401" t="s">
        <v>3256</v>
      </c>
      <c r="L6" s="3934" t="str">
        <f>'Part I-Project Information'!$B$7</f>
        <v>2021 Core App
May 10 Rev</v>
      </c>
      <c r="M6" s="3934"/>
      <c r="N6" s="3934"/>
      <c r="O6" s="1784" t="s">
        <v>6286</v>
      </c>
      <c r="P6" s="2852">
        <v>58900</v>
      </c>
      <c r="Q6" s="3901"/>
      <c r="R6" s="2651"/>
      <c r="S6" s="93"/>
      <c r="U6" s="93"/>
      <c r="X6" s="3899"/>
      <c r="Y6" s="3899"/>
      <c r="Z6" s="3899"/>
      <c r="AA6" s="3899"/>
      <c r="AB6" s="3899"/>
      <c r="AC6" s="3899"/>
      <c r="AD6" s="3899"/>
      <c r="AE6" s="3899"/>
      <c r="AF6" s="3899"/>
      <c r="AG6" s="3899"/>
      <c r="AH6" s="3899"/>
      <c r="AI6" s="3899"/>
      <c r="AJ6" s="3899"/>
      <c r="AK6" s="3899"/>
      <c r="AL6" s="3899"/>
      <c r="AM6" s="3899"/>
      <c r="AN6" s="3899"/>
      <c r="AO6" s="3899"/>
      <c r="AP6" s="3899"/>
      <c r="AQ6" s="3899"/>
      <c r="AR6" s="3899"/>
      <c r="AS6" s="3899"/>
      <c r="AT6" s="3899"/>
      <c r="AU6" s="3899"/>
      <c r="AV6" s="3899"/>
      <c r="AW6" s="3899"/>
      <c r="AX6" s="3899"/>
      <c r="AY6" s="3899"/>
      <c r="AZ6" s="3899"/>
      <c r="BA6" s="3899"/>
      <c r="BB6" s="3899"/>
      <c r="BC6" s="3899"/>
      <c r="BD6" s="3899"/>
      <c r="BE6" s="3899"/>
      <c r="BF6" s="3899"/>
      <c r="BG6" s="3899"/>
      <c r="BH6" s="3899"/>
      <c r="BI6" s="3899"/>
      <c r="BJ6" s="3899"/>
      <c r="BK6" s="3899"/>
      <c r="BL6" s="3899"/>
      <c r="BM6" s="3899"/>
      <c r="BN6" s="3899"/>
      <c r="BO6" s="3899"/>
      <c r="BP6" s="3899"/>
      <c r="BQ6" s="3899"/>
      <c r="BR6" s="3899"/>
      <c r="BS6" s="3899"/>
      <c r="BT6" s="3899"/>
      <c r="BU6" s="3899"/>
      <c r="BV6" s="3899"/>
      <c r="BW6" s="3899"/>
      <c r="BX6" s="3899"/>
      <c r="BY6" s="3899"/>
      <c r="BZ6" s="3899"/>
      <c r="CA6" s="3899"/>
      <c r="CB6" s="3899"/>
      <c r="CC6" s="3899"/>
      <c r="CD6" s="3899"/>
      <c r="CE6" s="3899"/>
      <c r="CF6" s="3899"/>
      <c r="CG6" s="3899"/>
      <c r="CH6" s="3899"/>
      <c r="CI6" s="3899"/>
      <c r="CJ6" s="3899"/>
      <c r="CK6" s="3899"/>
      <c r="CL6" s="3899"/>
      <c r="CM6" s="3899"/>
      <c r="CN6" s="3899"/>
      <c r="CO6" s="3899"/>
      <c r="CP6" s="3899"/>
      <c r="CQ6" s="3899"/>
      <c r="CR6" s="3899"/>
      <c r="CS6" s="3899"/>
      <c r="CT6" s="3899"/>
      <c r="CU6" s="3899"/>
      <c r="CV6" s="3899"/>
      <c r="CW6" s="3899"/>
      <c r="CX6" s="3899"/>
      <c r="CY6" s="3899"/>
      <c r="CZ6" s="3899"/>
      <c r="DA6" s="3899"/>
      <c r="DB6" s="3899"/>
      <c r="DC6" s="3899"/>
      <c r="DD6" s="3899"/>
      <c r="DE6" s="3899"/>
      <c r="DF6" s="3899"/>
      <c r="DG6" s="3899"/>
      <c r="DH6" s="3899"/>
      <c r="DI6" s="3899"/>
      <c r="DJ6" s="3899"/>
      <c r="DK6" s="3899"/>
      <c r="DL6" s="3899"/>
      <c r="DM6" s="3899"/>
      <c r="DN6" s="3899"/>
      <c r="DO6" s="3899"/>
      <c r="DP6" s="3899"/>
      <c r="DQ6" s="3899"/>
      <c r="DR6" s="3899"/>
      <c r="DS6" s="3899"/>
      <c r="DT6" s="3899"/>
      <c r="DU6" s="3899"/>
      <c r="DV6" s="3899"/>
      <c r="DW6" s="3899"/>
      <c r="DX6" s="3899"/>
      <c r="DY6" s="3899"/>
      <c r="DZ6" s="3899"/>
      <c r="EA6" s="3899"/>
      <c r="EB6" s="3899"/>
      <c r="EC6" s="3899"/>
      <c r="ED6" s="3899"/>
      <c r="EE6" s="3899"/>
      <c r="EF6" s="3899"/>
      <c r="EG6" s="3899"/>
      <c r="EH6" s="3899"/>
      <c r="EI6" s="3899"/>
      <c r="EJ6" s="3899"/>
      <c r="EK6" s="3899"/>
      <c r="EL6" s="3899"/>
      <c r="EM6" s="3899"/>
      <c r="EN6" s="3899"/>
      <c r="EO6" s="3899"/>
      <c r="EP6" s="3899"/>
      <c r="EQ6" s="3899"/>
      <c r="ER6" s="3899"/>
      <c r="ES6" s="3899"/>
      <c r="ET6" s="3899"/>
      <c r="EU6" s="3899"/>
      <c r="EV6" s="3899"/>
      <c r="EW6" s="3899"/>
      <c r="EX6" s="3899"/>
      <c r="EY6" s="3899"/>
      <c r="EZ6" s="3899"/>
      <c r="FA6" s="3899"/>
      <c r="FB6" s="3899"/>
      <c r="FC6" s="3899"/>
      <c r="FD6" s="3899"/>
      <c r="FE6" s="3899"/>
      <c r="FF6" s="3899"/>
      <c r="FG6" s="3899"/>
      <c r="FH6" s="3899"/>
      <c r="FI6" s="3899"/>
      <c r="FJ6" s="3899"/>
      <c r="FK6" s="3899"/>
      <c r="FL6" s="3899"/>
      <c r="FM6" s="3899"/>
      <c r="FN6" s="3899"/>
      <c r="FO6" s="3899"/>
      <c r="FP6" s="3899"/>
      <c r="FQ6" s="3899"/>
      <c r="FR6" s="3899"/>
      <c r="FS6" s="3899"/>
      <c r="FT6" s="3899"/>
      <c r="FU6" s="3899"/>
      <c r="FV6" s="3899"/>
      <c r="FW6" s="3899"/>
      <c r="FX6" s="3899"/>
      <c r="FY6" s="3899"/>
      <c r="FZ6" s="3899"/>
      <c r="GA6" s="3899"/>
      <c r="GB6" s="3899"/>
      <c r="GC6" s="3899"/>
      <c r="GD6" s="3899"/>
      <c r="GE6" s="3899"/>
      <c r="GF6" s="3899"/>
      <c r="GG6" s="3899"/>
      <c r="GH6" s="3899"/>
      <c r="GI6" s="3899"/>
      <c r="GJ6" s="3899"/>
      <c r="GK6" s="3899"/>
      <c r="GL6" s="3899"/>
      <c r="GM6" s="3899"/>
      <c r="GN6" s="3899"/>
      <c r="GO6" s="3899"/>
      <c r="GP6" s="3899"/>
      <c r="GQ6" s="3899"/>
      <c r="GR6" s="3899"/>
      <c r="GS6" s="3899"/>
      <c r="GT6" s="3899"/>
      <c r="GU6" s="3899"/>
      <c r="GV6" s="3899"/>
      <c r="GW6" s="3899"/>
      <c r="GX6" s="3899"/>
      <c r="GY6" s="3899"/>
      <c r="GZ6" s="3899"/>
      <c r="HA6" s="3899"/>
      <c r="HB6" s="3899"/>
      <c r="HC6" s="3899"/>
      <c r="HD6" s="3899"/>
      <c r="HE6" s="3899"/>
      <c r="HF6" s="3899"/>
      <c r="HG6" s="3899"/>
      <c r="HH6" s="3899"/>
      <c r="HI6" s="3899"/>
      <c r="HJ6" s="3899"/>
      <c r="HK6" s="3899"/>
      <c r="HL6" s="3899"/>
      <c r="HM6" s="3899"/>
      <c r="HN6" s="3899"/>
      <c r="HO6" s="3899"/>
      <c r="HP6" s="3899"/>
      <c r="HQ6" s="3899"/>
      <c r="HR6" s="3899"/>
      <c r="HS6" s="3899"/>
      <c r="HT6" s="3899"/>
      <c r="HU6" s="3899"/>
      <c r="HV6" s="3899"/>
      <c r="HW6" s="3899"/>
      <c r="HX6" s="3899"/>
      <c r="HY6" s="3899"/>
      <c r="HZ6" s="1813"/>
      <c r="IA6" s="1813"/>
      <c r="IB6" s="1813"/>
      <c r="IC6" s="1813"/>
      <c r="ID6" s="1813"/>
      <c r="IE6" s="1813"/>
      <c r="IF6" s="1813"/>
      <c r="IG6" s="1813"/>
      <c r="IH6" s="1813"/>
      <c r="II6" s="1813"/>
      <c r="IJ6" s="1813"/>
      <c r="IK6" s="1813"/>
      <c r="IL6" s="1813"/>
      <c r="IM6" s="1813"/>
      <c r="IN6" s="1813"/>
      <c r="IO6" s="1813"/>
      <c r="IP6" s="1813"/>
      <c r="IQ6" s="1813"/>
      <c r="IR6" s="1813"/>
      <c r="IS6" s="1813"/>
      <c r="IT6" s="1813"/>
      <c r="IU6" s="1813"/>
      <c r="IV6" s="1813"/>
      <c r="IW6" s="1813"/>
      <c r="IX6" s="1813"/>
      <c r="IY6" s="1813"/>
      <c r="IZ6" s="1813"/>
      <c r="JA6" s="1813"/>
      <c r="JB6" s="1813"/>
      <c r="JC6" s="1813"/>
      <c r="JD6" s="1813"/>
      <c r="JE6" s="1813"/>
      <c r="JF6" s="1813"/>
      <c r="JG6" s="1813"/>
      <c r="JH6" s="1813"/>
      <c r="JI6" s="1813"/>
      <c r="JJ6" s="1813"/>
      <c r="JK6" s="1813"/>
      <c r="JL6" s="1813"/>
      <c r="JM6" s="1813"/>
      <c r="JN6" s="1813"/>
      <c r="JO6" s="1813"/>
      <c r="JP6" s="1813"/>
      <c r="JQ6" s="1813"/>
      <c r="JR6" s="1813"/>
      <c r="JS6" s="1813"/>
      <c r="JT6" s="1813"/>
      <c r="JU6" s="1813"/>
      <c r="JV6" s="1813"/>
      <c r="JW6" s="1813"/>
      <c r="JX6" s="1813"/>
      <c r="JY6" s="1813"/>
      <c r="JZ6" s="1813"/>
      <c r="KA6" s="1813"/>
      <c r="KB6" s="1813"/>
      <c r="KC6" s="1813"/>
      <c r="KD6" s="1813"/>
      <c r="KE6" s="1813"/>
      <c r="KF6" s="1813"/>
      <c r="KG6" s="1813"/>
      <c r="KH6" s="1813"/>
      <c r="KI6" s="1813"/>
      <c r="KJ6" s="1813"/>
      <c r="KK6" s="1813"/>
      <c r="KL6" s="1813"/>
      <c r="KM6" s="1578"/>
      <c r="KN6" s="1578"/>
      <c r="KO6" s="1578"/>
      <c r="KP6" s="1578"/>
      <c r="KQ6" s="1578"/>
      <c r="KR6" s="1578"/>
      <c r="KS6" s="1578"/>
      <c r="KT6" s="1578"/>
      <c r="KU6" s="1578"/>
      <c r="KV6" s="1578"/>
      <c r="KW6" s="1578"/>
      <c r="KX6" s="1578"/>
      <c r="KY6" s="1578"/>
      <c r="KZ6" s="1578"/>
      <c r="LA6" s="1578"/>
      <c r="LB6" s="1578"/>
      <c r="LC6" s="1578"/>
      <c r="LD6" s="1578"/>
      <c r="LE6" s="1578"/>
      <c r="LF6" s="1578"/>
      <c r="LG6" s="3899"/>
      <c r="LH6" s="3899"/>
      <c r="LI6" s="3899"/>
      <c r="LJ6" s="3899"/>
      <c r="LK6" s="3899"/>
      <c r="LL6" s="3899"/>
      <c r="LM6" s="3899"/>
      <c r="LN6" s="3899"/>
      <c r="LO6" s="3899"/>
      <c r="LP6" s="3899"/>
      <c r="LQ6" s="3899"/>
      <c r="LR6" s="3899"/>
      <c r="LS6" s="3899"/>
      <c r="LT6" s="3899"/>
      <c r="LU6" s="3899"/>
      <c r="LV6" s="3899"/>
      <c r="LW6" s="3899"/>
      <c r="LX6" s="3899"/>
      <c r="LY6" s="3899"/>
      <c r="LZ6" s="3899"/>
      <c r="MA6" s="3899"/>
      <c r="MB6" s="3899"/>
      <c r="MC6" s="3899"/>
      <c r="MD6" s="3899"/>
      <c r="ME6" s="3899"/>
      <c r="MF6" s="3899"/>
      <c r="MG6" s="3899"/>
      <c r="MH6" s="3899"/>
      <c r="MI6" s="3899"/>
      <c r="MJ6" s="3899"/>
      <c r="MK6" s="3916" t="s">
        <v>3159</v>
      </c>
      <c r="ML6" s="3916" t="s">
        <v>3160</v>
      </c>
      <c r="MM6" s="3916" t="s">
        <v>3161</v>
      </c>
      <c r="MN6" s="3916" t="s">
        <v>3162</v>
      </c>
      <c r="MO6" s="3916" t="s">
        <v>3163</v>
      </c>
      <c r="MP6" s="3899" t="s">
        <v>6585</v>
      </c>
      <c r="MQ6" s="3899" t="s">
        <v>6586</v>
      </c>
      <c r="MR6" s="3899" t="s">
        <v>6587</v>
      </c>
      <c r="MS6" s="3899" t="s">
        <v>6588</v>
      </c>
      <c r="MT6" s="3899" t="s">
        <v>6589</v>
      </c>
      <c r="MU6" s="93"/>
      <c r="MV6" s="93"/>
      <c r="MW6" s="93"/>
      <c r="MX6" s="93"/>
      <c r="MY6" s="93"/>
      <c r="MZ6" s="93"/>
      <c r="NA6" s="93"/>
      <c r="NB6" s="93"/>
      <c r="NC6" s="93"/>
      <c r="ND6" s="93"/>
      <c r="NE6" s="93"/>
      <c r="NF6" s="93"/>
      <c r="NG6" s="93"/>
      <c r="NH6" s="93"/>
      <c r="NI6" s="93"/>
      <c r="NJ6" s="93"/>
      <c r="NK6" s="93"/>
      <c r="NL6" s="93"/>
      <c r="NM6" s="93"/>
      <c r="NN6" s="93"/>
      <c r="NO6" s="93"/>
      <c r="NP6" s="2850"/>
      <c r="NQ6" s="93"/>
      <c r="NR6" s="93"/>
      <c r="NS6" s="93"/>
      <c r="NT6" s="93"/>
      <c r="NU6" s="93"/>
      <c r="NV6" s="93"/>
      <c r="NW6" s="93"/>
      <c r="NX6" s="93"/>
      <c r="NY6" s="93"/>
      <c r="NZ6" s="93"/>
      <c r="OA6" s="93"/>
      <c r="OB6" s="93"/>
      <c r="OC6" s="93"/>
      <c r="OD6" s="93"/>
      <c r="OE6" s="93"/>
      <c r="OF6" s="93"/>
      <c r="OG6" s="93"/>
      <c r="OH6" s="93"/>
      <c r="OI6" s="93"/>
      <c r="OJ6" s="93"/>
      <c r="OK6" s="93"/>
      <c r="OL6" s="93"/>
      <c r="OM6" s="93"/>
      <c r="ON6" s="93"/>
      <c r="OO6" s="93"/>
      <c r="OP6" s="93"/>
      <c r="OQ6" s="93"/>
      <c r="OR6" s="93"/>
      <c r="OS6" s="93"/>
      <c r="OT6" s="93"/>
      <c r="OU6" s="93"/>
      <c r="OV6" s="93"/>
      <c r="OW6" s="93"/>
      <c r="OX6" s="93"/>
      <c r="OY6" s="93"/>
      <c r="OZ6" s="93"/>
      <c r="PA6" s="93"/>
      <c r="PB6" s="93"/>
      <c r="PC6" s="93"/>
      <c r="PD6" s="93"/>
      <c r="PE6" s="93"/>
      <c r="PF6" s="93"/>
      <c r="PG6" s="93"/>
      <c r="PH6" s="93"/>
      <c r="PI6" s="93"/>
      <c r="PJ6" s="93"/>
      <c r="PK6" s="93"/>
      <c r="PL6" s="93"/>
      <c r="PM6" s="93"/>
      <c r="PN6" s="93"/>
      <c r="PO6" s="93"/>
      <c r="PP6" s="93"/>
      <c r="PQ6" s="93"/>
      <c r="PR6" s="93"/>
      <c r="PS6" s="93"/>
      <c r="PT6" s="93"/>
      <c r="PU6" s="93"/>
      <c r="PV6" s="93"/>
      <c r="PW6" s="93"/>
      <c r="PX6" s="93"/>
      <c r="PY6" s="93"/>
      <c r="PZ6" s="93"/>
      <c r="QA6" s="93"/>
      <c r="QB6" s="93"/>
      <c r="QC6" s="93"/>
      <c r="QD6" s="93"/>
      <c r="QE6" s="93"/>
      <c r="QF6" s="93"/>
      <c r="QG6" s="93"/>
      <c r="QH6" s="93"/>
      <c r="QI6" s="93"/>
      <c r="QJ6" s="93"/>
      <c r="QK6" s="93"/>
      <c r="QL6" s="93"/>
      <c r="QM6" s="93"/>
      <c r="QN6" s="93"/>
      <c r="QO6" s="93"/>
      <c r="QP6" s="93"/>
      <c r="QQ6" s="93"/>
      <c r="QR6" s="93"/>
      <c r="QS6" s="93"/>
      <c r="QT6" s="93"/>
      <c r="QU6" s="93"/>
      <c r="QV6" s="93"/>
      <c r="QW6" s="93"/>
      <c r="QX6" s="93"/>
      <c r="QY6" s="93"/>
      <c r="QZ6" s="93"/>
      <c r="RA6" s="93"/>
      <c r="RB6" s="93"/>
      <c r="RC6" s="93"/>
      <c r="RD6" s="93"/>
      <c r="RE6" s="93"/>
      <c r="RF6" s="93"/>
      <c r="RG6" s="93"/>
      <c r="RH6" s="93"/>
      <c r="RI6" s="93"/>
      <c r="RJ6" s="93"/>
      <c r="RK6" s="93"/>
      <c r="RL6" s="93"/>
      <c r="RM6" s="93"/>
      <c r="RN6" s="93"/>
      <c r="RO6" s="93"/>
      <c r="RP6" s="93"/>
      <c r="RQ6" s="93"/>
      <c r="RR6" s="93"/>
      <c r="RS6" s="93"/>
      <c r="RT6" s="93"/>
      <c r="RU6" s="93"/>
      <c r="RV6" s="93"/>
      <c r="RW6" s="93"/>
      <c r="RX6" s="93"/>
      <c r="RY6" s="93"/>
    </row>
    <row r="7" spans="1:493" s="90" customFormat="1" ht="12.6" customHeight="1">
      <c r="A7" s="3917"/>
      <c r="B7" s="29" t="s">
        <v>6309</v>
      </c>
      <c r="E7" s="4"/>
      <c r="G7" s="2853" t="s">
        <v>2771</v>
      </c>
      <c r="I7" s="3922" t="s">
        <v>4277</v>
      </c>
      <c r="J7" s="1401" t="s">
        <v>765</v>
      </c>
      <c r="K7" s="1401" t="s">
        <v>3306</v>
      </c>
      <c r="L7" s="3934"/>
      <c r="M7" s="3934"/>
      <c r="N7" s="3934"/>
      <c r="O7" s="1785" t="s">
        <v>6285</v>
      </c>
      <c r="P7" s="2854" t="s">
        <v>6954</v>
      </c>
      <c r="Q7" s="3901"/>
      <c r="R7" s="3913" t="s">
        <v>2546</v>
      </c>
      <c r="S7" s="3913"/>
      <c r="X7" s="3899"/>
      <c r="Y7" s="3899"/>
      <c r="Z7" s="3899"/>
      <c r="AA7" s="3899"/>
      <c r="AB7" s="3899"/>
      <c r="AC7" s="3899"/>
      <c r="AD7" s="3899"/>
      <c r="AE7" s="3899"/>
      <c r="AF7" s="3899"/>
      <c r="AG7" s="3899"/>
      <c r="AH7" s="3899"/>
      <c r="AI7" s="3899"/>
      <c r="AJ7" s="3899"/>
      <c r="AK7" s="3899"/>
      <c r="AL7" s="3899"/>
      <c r="AM7" s="3899"/>
      <c r="AN7" s="3899"/>
      <c r="AO7" s="3899"/>
      <c r="AP7" s="3899"/>
      <c r="AQ7" s="3899"/>
      <c r="AR7" s="3899"/>
      <c r="AS7" s="3899"/>
      <c r="AT7" s="3899"/>
      <c r="AU7" s="3899"/>
      <c r="AV7" s="3899"/>
      <c r="AW7" s="3899"/>
      <c r="AX7" s="3899"/>
      <c r="AY7" s="3899"/>
      <c r="AZ7" s="3899"/>
      <c r="BA7" s="3899"/>
      <c r="BB7" s="3899"/>
      <c r="BC7" s="3899"/>
      <c r="BD7" s="3899"/>
      <c r="BE7" s="3899"/>
      <c r="BF7" s="3899"/>
      <c r="BG7" s="3899"/>
      <c r="BH7" s="3899"/>
      <c r="BI7" s="3899"/>
      <c r="BJ7" s="3899"/>
      <c r="BK7" s="3899"/>
      <c r="BL7" s="3899"/>
      <c r="BM7" s="3899"/>
      <c r="BN7" s="3899"/>
      <c r="BO7" s="3899"/>
      <c r="BP7" s="3899"/>
      <c r="BQ7" s="3899"/>
      <c r="BR7" s="3899"/>
      <c r="BS7" s="3899"/>
      <c r="BT7" s="3899"/>
      <c r="BU7" s="3899"/>
      <c r="BV7" s="3899"/>
      <c r="BW7" s="3899"/>
      <c r="BX7" s="3899"/>
      <c r="BY7" s="3899"/>
      <c r="BZ7" s="3899"/>
      <c r="CA7" s="3899"/>
      <c r="CB7" s="3899"/>
      <c r="CC7" s="3899"/>
      <c r="CD7" s="3899"/>
      <c r="CE7" s="3899"/>
      <c r="CF7" s="3899"/>
      <c r="CG7" s="3899"/>
      <c r="CH7" s="3899"/>
      <c r="CI7" s="3899"/>
      <c r="CJ7" s="3899"/>
      <c r="CK7" s="3899"/>
      <c r="CL7" s="3899"/>
      <c r="CM7" s="3899"/>
      <c r="CN7" s="3899"/>
      <c r="CO7" s="3899"/>
      <c r="CP7" s="3899"/>
      <c r="CQ7" s="3899"/>
      <c r="CR7" s="3899"/>
      <c r="CS7" s="3899"/>
      <c r="CT7" s="3899"/>
      <c r="CU7" s="3899"/>
      <c r="CV7" s="3899"/>
      <c r="CW7" s="3899"/>
      <c r="CX7" s="3899"/>
      <c r="CY7" s="3899"/>
      <c r="CZ7" s="3899"/>
      <c r="DA7" s="3899"/>
      <c r="DB7" s="3899"/>
      <c r="DC7" s="3899"/>
      <c r="DD7" s="3899"/>
      <c r="DE7" s="3899"/>
      <c r="DF7" s="3899"/>
      <c r="DG7" s="3899"/>
      <c r="DH7" s="3899"/>
      <c r="DI7" s="3899"/>
      <c r="DJ7" s="3899"/>
      <c r="DK7" s="3899"/>
      <c r="DL7" s="3899"/>
      <c r="DM7" s="3899"/>
      <c r="DN7" s="3899"/>
      <c r="DO7" s="3899"/>
      <c r="DP7" s="3899"/>
      <c r="DQ7" s="3899"/>
      <c r="DR7" s="3899"/>
      <c r="DS7" s="3899"/>
      <c r="DT7" s="3899"/>
      <c r="DU7" s="3899"/>
      <c r="DV7" s="3899"/>
      <c r="DW7" s="3899"/>
      <c r="DX7" s="3899"/>
      <c r="DY7" s="3899"/>
      <c r="DZ7" s="3899"/>
      <c r="EA7" s="3899"/>
      <c r="EB7" s="3899"/>
      <c r="EC7" s="3899"/>
      <c r="ED7" s="3899"/>
      <c r="EE7" s="3899"/>
      <c r="EF7" s="3899"/>
      <c r="EG7" s="3899"/>
      <c r="EH7" s="3899"/>
      <c r="EI7" s="3899"/>
      <c r="EJ7" s="3899"/>
      <c r="EK7" s="3899"/>
      <c r="EL7" s="3899"/>
      <c r="EM7" s="3899"/>
      <c r="EN7" s="3899"/>
      <c r="EO7" s="3899"/>
      <c r="EP7" s="3899"/>
      <c r="EQ7" s="3899"/>
      <c r="ER7" s="3899"/>
      <c r="ES7" s="3899"/>
      <c r="ET7" s="3899"/>
      <c r="EU7" s="3899"/>
      <c r="EV7" s="3899"/>
      <c r="EW7" s="3899"/>
      <c r="EX7" s="3899"/>
      <c r="EY7" s="3899"/>
      <c r="EZ7" s="3899"/>
      <c r="FA7" s="3899"/>
      <c r="FB7" s="3899"/>
      <c r="FC7" s="3899"/>
      <c r="FD7" s="3899"/>
      <c r="FE7" s="3899"/>
      <c r="FF7" s="3899"/>
      <c r="FG7" s="3899"/>
      <c r="FH7" s="3899"/>
      <c r="FI7" s="3899"/>
      <c r="FJ7" s="3899"/>
      <c r="FK7" s="3899"/>
      <c r="FL7" s="3899"/>
      <c r="FM7" s="3899"/>
      <c r="FN7" s="3899"/>
      <c r="FO7" s="3899"/>
      <c r="FP7" s="3899"/>
      <c r="FQ7" s="3899"/>
      <c r="FR7" s="3899"/>
      <c r="FS7" s="3899"/>
      <c r="FT7" s="3899"/>
      <c r="FU7" s="3899"/>
      <c r="FV7" s="3899"/>
      <c r="FW7" s="3899"/>
      <c r="FX7" s="3899"/>
      <c r="FY7" s="3899"/>
      <c r="FZ7" s="3899"/>
      <c r="GA7" s="3899"/>
      <c r="GB7" s="3899"/>
      <c r="GC7" s="3899"/>
      <c r="GD7" s="3899"/>
      <c r="GE7" s="3899"/>
      <c r="GF7" s="3899"/>
      <c r="GG7" s="3899"/>
      <c r="GH7" s="3899"/>
      <c r="GI7" s="3899"/>
      <c r="GJ7" s="3899"/>
      <c r="GK7" s="3899"/>
      <c r="GL7" s="3899"/>
      <c r="GM7" s="3899"/>
      <c r="GN7" s="3899"/>
      <c r="GO7" s="3899"/>
      <c r="GP7" s="3899"/>
      <c r="GQ7" s="3899"/>
      <c r="GR7" s="3899"/>
      <c r="GS7" s="3899"/>
      <c r="GT7" s="3899"/>
      <c r="GU7" s="3899"/>
      <c r="GV7" s="3899"/>
      <c r="GW7" s="3899"/>
      <c r="GX7" s="3899"/>
      <c r="GY7" s="3899"/>
      <c r="GZ7" s="3899"/>
      <c r="HA7" s="3899"/>
      <c r="HB7" s="3899"/>
      <c r="HC7" s="3899"/>
      <c r="HD7" s="3899"/>
      <c r="HE7" s="3899"/>
      <c r="HF7" s="3899"/>
      <c r="HG7" s="3899"/>
      <c r="HH7" s="3899"/>
      <c r="HI7" s="3899"/>
      <c r="HJ7" s="3899"/>
      <c r="HK7" s="3899"/>
      <c r="HL7" s="3899"/>
      <c r="HM7" s="3899"/>
      <c r="HN7" s="3899"/>
      <c r="HO7" s="3899"/>
      <c r="HP7" s="3899"/>
      <c r="HQ7" s="3899"/>
      <c r="HR7" s="3899"/>
      <c r="HS7" s="3899"/>
      <c r="HT7" s="3899"/>
      <c r="HU7" s="3899"/>
      <c r="HV7" s="3899"/>
      <c r="HW7" s="3899"/>
      <c r="HX7" s="3899"/>
      <c r="HY7" s="3899"/>
      <c r="HZ7" s="1813"/>
      <c r="IA7" s="1813"/>
      <c r="IB7" s="1813"/>
      <c r="IC7" s="1813"/>
      <c r="ID7" s="1813"/>
      <c r="IE7" s="1813"/>
      <c r="IF7" s="1813"/>
      <c r="IG7" s="1813"/>
      <c r="IH7" s="1813"/>
      <c r="II7" s="1813"/>
      <c r="IJ7" s="1813"/>
      <c r="IK7" s="1813"/>
      <c r="IL7" s="1813"/>
      <c r="IM7" s="1813"/>
      <c r="IN7" s="1813"/>
      <c r="IO7" s="1813"/>
      <c r="IP7" s="1813"/>
      <c r="IQ7" s="1813"/>
      <c r="IR7" s="1813"/>
      <c r="IS7" s="1813"/>
      <c r="IT7" s="1813"/>
      <c r="IU7" s="1813"/>
      <c r="IV7" s="1813"/>
      <c r="IW7" s="1813"/>
      <c r="IX7" s="1813"/>
      <c r="IY7" s="1813"/>
      <c r="IZ7" s="1813"/>
      <c r="JA7" s="1813"/>
      <c r="JB7" s="1813"/>
      <c r="JC7" s="1813"/>
      <c r="JD7" s="1813"/>
      <c r="JE7" s="1813"/>
      <c r="JF7" s="1813"/>
      <c r="JG7" s="1813"/>
      <c r="JH7" s="1813"/>
      <c r="JI7" s="1813"/>
      <c r="JJ7" s="1813"/>
      <c r="JK7" s="1813"/>
      <c r="JL7" s="1813"/>
      <c r="JM7" s="1813"/>
      <c r="JN7" s="1813"/>
      <c r="JO7" s="1813"/>
      <c r="JP7" s="1813"/>
      <c r="JQ7" s="1813"/>
      <c r="JR7" s="1813"/>
      <c r="JS7" s="1813"/>
      <c r="JT7" s="1813"/>
      <c r="JU7" s="1813"/>
      <c r="JV7" s="1813"/>
      <c r="JW7" s="1813"/>
      <c r="JX7" s="1813"/>
      <c r="JY7" s="1813"/>
      <c r="JZ7" s="1813"/>
      <c r="KA7" s="1813"/>
      <c r="KB7" s="1813"/>
      <c r="KC7" s="1813"/>
      <c r="KD7" s="1813"/>
      <c r="KE7" s="1813"/>
      <c r="KF7" s="1813"/>
      <c r="KG7" s="1813"/>
      <c r="KH7" s="1813"/>
      <c r="KI7" s="1813"/>
      <c r="KJ7" s="1813"/>
      <c r="KK7" s="1813"/>
      <c r="KL7" s="1813"/>
      <c r="KM7" s="1578"/>
      <c r="KN7" s="1578"/>
      <c r="KO7" s="1578"/>
      <c r="KP7" s="1578"/>
      <c r="KQ7" s="1578"/>
      <c r="KR7" s="1578"/>
      <c r="KS7" s="1578"/>
      <c r="KT7" s="1578"/>
      <c r="KU7" s="1578"/>
      <c r="KV7" s="1578"/>
      <c r="KW7" s="1578"/>
      <c r="KX7" s="1578"/>
      <c r="KY7" s="1578"/>
      <c r="KZ7" s="1578"/>
      <c r="LA7" s="1578"/>
      <c r="LB7" s="1578"/>
      <c r="LC7" s="1578"/>
      <c r="LD7" s="1578"/>
      <c r="LE7" s="1578"/>
      <c r="LF7" s="1578"/>
      <c r="LG7" s="3899"/>
      <c r="LH7" s="3899"/>
      <c r="LI7" s="3899"/>
      <c r="LJ7" s="3899"/>
      <c r="LK7" s="3899"/>
      <c r="LL7" s="3899"/>
      <c r="LM7" s="3899"/>
      <c r="LN7" s="3899"/>
      <c r="LO7" s="3899"/>
      <c r="LP7" s="3899"/>
      <c r="LQ7" s="3899"/>
      <c r="LR7" s="3899"/>
      <c r="LS7" s="3899"/>
      <c r="LT7" s="3899"/>
      <c r="LU7" s="3899"/>
      <c r="LV7" s="3899"/>
      <c r="LW7" s="3899"/>
      <c r="LX7" s="3899"/>
      <c r="LY7" s="3899"/>
      <c r="LZ7" s="3899"/>
      <c r="MA7" s="3899"/>
      <c r="MB7" s="3899"/>
      <c r="MC7" s="3899"/>
      <c r="MD7" s="3899"/>
      <c r="ME7" s="3899"/>
      <c r="MF7" s="3899"/>
      <c r="MG7" s="3899"/>
      <c r="MH7" s="3899"/>
      <c r="MI7" s="3899"/>
      <c r="MJ7" s="3899"/>
      <c r="MK7" s="3916"/>
      <c r="ML7" s="3916"/>
      <c r="MM7" s="3916"/>
      <c r="MN7" s="3916"/>
      <c r="MO7" s="3916"/>
      <c r="MP7" s="3899"/>
      <c r="MQ7" s="3899"/>
      <c r="MR7" s="3899"/>
      <c r="MS7" s="3899"/>
      <c r="MT7" s="3899"/>
      <c r="MU7" s="93"/>
      <c r="MV7" s="93"/>
      <c r="MW7" s="93"/>
      <c r="MX7" s="93"/>
      <c r="MY7" s="93"/>
      <c r="MZ7" s="93"/>
      <c r="NA7" s="93"/>
      <c r="NB7" s="93"/>
      <c r="NC7" s="93"/>
      <c r="ND7" s="93"/>
      <c r="NE7" s="93"/>
      <c r="NF7" s="93"/>
      <c r="NG7" s="93"/>
      <c r="NH7" s="93"/>
      <c r="NI7" s="93"/>
      <c r="NJ7" s="93"/>
      <c r="NK7" s="93"/>
      <c r="NL7" s="93"/>
      <c r="NM7" s="93"/>
      <c r="NN7" s="93"/>
      <c r="NO7" s="93"/>
      <c r="NP7" s="2850"/>
      <c r="NQ7" s="93"/>
      <c r="NR7" s="93"/>
      <c r="NS7" s="93"/>
      <c r="NT7" s="93"/>
      <c r="NU7" s="93"/>
      <c r="NV7" s="93"/>
      <c r="NW7" s="93"/>
      <c r="NX7" s="93"/>
      <c r="NY7" s="93"/>
      <c r="NZ7" s="93"/>
      <c r="OA7" s="93"/>
      <c r="OB7" s="93"/>
      <c r="OC7" s="93"/>
      <c r="OD7" s="93"/>
      <c r="OE7" s="93"/>
      <c r="OF7" s="93"/>
      <c r="OG7" s="93"/>
      <c r="OH7" s="93"/>
      <c r="OI7" s="93"/>
      <c r="OJ7" s="93"/>
      <c r="OK7" s="93"/>
      <c r="OL7" s="93"/>
      <c r="OM7" s="93"/>
      <c r="ON7" s="93"/>
      <c r="OO7" s="93"/>
      <c r="OP7" s="93"/>
      <c r="OQ7" s="93"/>
      <c r="OR7" s="93"/>
      <c r="OS7" s="93"/>
      <c r="OT7" s="93"/>
      <c r="OU7" s="93"/>
      <c r="OV7" s="93"/>
      <c r="OW7" s="93"/>
      <c r="OX7" s="93"/>
      <c r="OY7" s="93"/>
      <c r="OZ7" s="93"/>
      <c r="PA7" s="93"/>
      <c r="PB7" s="93"/>
      <c r="PC7" s="93"/>
      <c r="PD7" s="93"/>
      <c r="PE7" s="93"/>
      <c r="PF7" s="93"/>
      <c r="PG7" s="93"/>
      <c r="PH7" s="93"/>
      <c r="PI7" s="93"/>
      <c r="PJ7" s="93"/>
      <c r="PK7" s="93"/>
      <c r="PL7" s="93"/>
      <c r="PM7" s="93"/>
      <c r="PN7" s="93"/>
      <c r="PO7" s="93"/>
      <c r="PP7" s="93"/>
      <c r="PQ7" s="93"/>
      <c r="PR7" s="93"/>
      <c r="PS7" s="93"/>
      <c r="PT7" s="93"/>
      <c r="PU7" s="93"/>
      <c r="PV7" s="93"/>
      <c r="PW7" s="93"/>
      <c r="PX7" s="93"/>
      <c r="PY7" s="93"/>
      <c r="PZ7" s="93"/>
      <c r="QA7" s="93"/>
      <c r="QB7" s="93"/>
      <c r="QC7" s="93"/>
      <c r="QD7" s="93"/>
      <c r="QE7" s="93"/>
      <c r="QF7" s="93"/>
      <c r="QG7" s="93"/>
      <c r="QH7" s="93"/>
      <c r="QI7" s="93"/>
      <c r="QJ7" s="93"/>
      <c r="QK7" s="93"/>
      <c r="QL7" s="93"/>
      <c r="QM7" s="93"/>
      <c r="QN7" s="93"/>
      <c r="QO7" s="93"/>
      <c r="QP7" s="93"/>
      <c r="QQ7" s="93"/>
      <c r="QR7" s="93"/>
      <c r="QS7" s="93"/>
      <c r="QT7" s="93"/>
      <c r="QU7" s="93"/>
      <c r="QV7" s="93"/>
      <c r="QW7" s="93"/>
      <c r="QX7" s="93"/>
      <c r="QY7" s="93"/>
      <c r="QZ7" s="93"/>
      <c r="RA7" s="93"/>
      <c r="RB7" s="93"/>
      <c r="RC7" s="93"/>
      <c r="RD7" s="93"/>
      <c r="RE7" s="93"/>
      <c r="RF7" s="93"/>
      <c r="RG7" s="93"/>
      <c r="RH7" s="93"/>
      <c r="RI7" s="93"/>
      <c r="RJ7" s="93"/>
      <c r="RK7" s="93"/>
      <c r="RL7" s="93"/>
      <c r="RM7" s="93"/>
      <c r="RN7" s="93"/>
      <c r="RO7" s="93"/>
      <c r="RP7" s="93"/>
      <c r="RQ7" s="93"/>
      <c r="RR7" s="93"/>
      <c r="RS7" s="93"/>
      <c r="RT7" s="93"/>
      <c r="RU7" s="93"/>
      <c r="RV7" s="93"/>
      <c r="RW7" s="93"/>
      <c r="RX7" s="93"/>
      <c r="RY7" s="93"/>
    </row>
    <row r="8" spans="1:493" s="90" customFormat="1" ht="12.6" customHeight="1">
      <c r="A8" s="3917"/>
      <c r="B8" s="2647" t="s">
        <v>3916</v>
      </c>
      <c r="C8" s="1"/>
      <c r="E8" s="1"/>
      <c r="F8" s="1"/>
      <c r="I8" s="3922"/>
      <c r="J8" s="1401" t="s">
        <v>766</v>
      </c>
      <c r="K8" s="1401" t="s">
        <v>3307</v>
      </c>
      <c r="L8" s="762"/>
      <c r="M8" s="762"/>
      <c r="N8" s="1783" t="s">
        <v>6807</v>
      </c>
      <c r="O8" s="3924" t="s">
        <v>6955</v>
      </c>
      <c r="P8" s="3925"/>
      <c r="Q8" s="3901"/>
      <c r="R8" s="763"/>
      <c r="S8" s="767" t="s">
        <v>2543</v>
      </c>
      <c r="T8" s="405"/>
      <c r="W8" s="406"/>
      <c r="X8" s="3899"/>
      <c r="Y8" s="3899"/>
      <c r="Z8" s="3899"/>
      <c r="AA8" s="3899"/>
      <c r="AB8" s="3899"/>
      <c r="AC8" s="3899"/>
      <c r="AD8" s="3899"/>
      <c r="AE8" s="3899"/>
      <c r="AF8" s="3899"/>
      <c r="AG8" s="3899"/>
      <c r="AH8" s="3899"/>
      <c r="AI8" s="3899"/>
      <c r="AJ8" s="3899"/>
      <c r="AK8" s="3899"/>
      <c r="AL8" s="3899"/>
      <c r="AM8" s="3899"/>
      <c r="AN8" s="3899"/>
      <c r="AO8" s="3899"/>
      <c r="AP8" s="3899"/>
      <c r="AQ8" s="3899"/>
      <c r="AR8" s="3899"/>
      <c r="AS8" s="3899"/>
      <c r="AT8" s="3899"/>
      <c r="AU8" s="3899"/>
      <c r="AV8" s="3899"/>
      <c r="AW8" s="3899"/>
      <c r="AX8" s="3899"/>
      <c r="AY8" s="3899"/>
      <c r="AZ8" s="3899"/>
      <c r="BA8" s="3899"/>
      <c r="BB8" s="3899"/>
      <c r="BC8" s="3899"/>
      <c r="BD8" s="3899"/>
      <c r="BE8" s="3899"/>
      <c r="BF8" s="3899"/>
      <c r="BG8" s="3899"/>
      <c r="BH8" s="3899"/>
      <c r="BI8" s="3899"/>
      <c r="BJ8" s="3899"/>
      <c r="BK8" s="3899"/>
      <c r="BL8" s="3899"/>
      <c r="BM8" s="3899"/>
      <c r="BN8" s="3899"/>
      <c r="BO8" s="3899"/>
      <c r="BP8" s="3899"/>
      <c r="BQ8" s="3899"/>
      <c r="BR8" s="3899"/>
      <c r="BS8" s="3899"/>
      <c r="BT8" s="3899"/>
      <c r="BU8" s="3899"/>
      <c r="BV8" s="3899"/>
      <c r="BW8" s="3899"/>
      <c r="BX8" s="3899"/>
      <c r="BY8" s="3899"/>
      <c r="BZ8" s="3899"/>
      <c r="CA8" s="3899"/>
      <c r="CB8" s="3899"/>
      <c r="CC8" s="3899"/>
      <c r="CD8" s="3899"/>
      <c r="CE8" s="3899"/>
      <c r="CF8" s="3899"/>
      <c r="CG8" s="3899"/>
      <c r="CH8" s="3899"/>
      <c r="CI8" s="3899"/>
      <c r="CJ8" s="3899"/>
      <c r="CK8" s="3899"/>
      <c r="CL8" s="3899"/>
      <c r="CM8" s="3899"/>
      <c r="CN8" s="3899"/>
      <c r="CO8" s="3899"/>
      <c r="CP8" s="3899"/>
      <c r="CQ8" s="3899"/>
      <c r="CR8" s="3899"/>
      <c r="CS8" s="3899"/>
      <c r="CT8" s="3899"/>
      <c r="CU8" s="3899"/>
      <c r="CV8" s="3899"/>
      <c r="CW8" s="3899"/>
      <c r="CX8" s="3899"/>
      <c r="CY8" s="3899"/>
      <c r="CZ8" s="3899"/>
      <c r="DA8" s="3899"/>
      <c r="DB8" s="3899"/>
      <c r="DC8" s="3899"/>
      <c r="DD8" s="3899"/>
      <c r="DE8" s="3899"/>
      <c r="DF8" s="3899"/>
      <c r="DG8" s="3899"/>
      <c r="DH8" s="3899"/>
      <c r="DI8" s="3899"/>
      <c r="DJ8" s="3899"/>
      <c r="DK8" s="3899"/>
      <c r="DL8" s="3899"/>
      <c r="DM8" s="3899"/>
      <c r="DN8" s="3899"/>
      <c r="DO8" s="3899"/>
      <c r="DP8" s="3899"/>
      <c r="DQ8" s="3899"/>
      <c r="DR8" s="3899"/>
      <c r="DS8" s="3899"/>
      <c r="DT8" s="3899"/>
      <c r="DU8" s="3899"/>
      <c r="DV8" s="3899"/>
      <c r="DW8" s="3899"/>
      <c r="DX8" s="3899"/>
      <c r="DY8" s="3899"/>
      <c r="DZ8" s="3899"/>
      <c r="EA8" s="3899"/>
      <c r="EB8" s="3899"/>
      <c r="EC8" s="3899"/>
      <c r="ED8" s="3899"/>
      <c r="EE8" s="3899"/>
      <c r="EF8" s="3899"/>
      <c r="EG8" s="3899"/>
      <c r="EH8" s="3899"/>
      <c r="EI8" s="3899"/>
      <c r="EJ8" s="3899"/>
      <c r="EK8" s="3899"/>
      <c r="EL8" s="3899"/>
      <c r="EM8" s="3899"/>
      <c r="EN8" s="3899"/>
      <c r="EO8" s="3899"/>
      <c r="EP8" s="3899"/>
      <c r="EQ8" s="3899"/>
      <c r="ER8" s="3899"/>
      <c r="ES8" s="3899"/>
      <c r="ET8" s="3899"/>
      <c r="EU8" s="3899"/>
      <c r="EV8" s="3899"/>
      <c r="EW8" s="3899"/>
      <c r="EX8" s="3899"/>
      <c r="EY8" s="3899"/>
      <c r="EZ8" s="3899"/>
      <c r="FA8" s="3899"/>
      <c r="FB8" s="3899"/>
      <c r="FC8" s="3899"/>
      <c r="FD8" s="3899"/>
      <c r="FE8" s="3899"/>
      <c r="FF8" s="3899"/>
      <c r="FG8" s="3899"/>
      <c r="FH8" s="3899"/>
      <c r="FI8" s="3899"/>
      <c r="FJ8" s="3899"/>
      <c r="FK8" s="3899"/>
      <c r="FL8" s="3899"/>
      <c r="FM8" s="3899"/>
      <c r="FN8" s="3899"/>
      <c r="FO8" s="3899"/>
      <c r="FP8" s="3899"/>
      <c r="FQ8" s="3899"/>
      <c r="FR8" s="3899"/>
      <c r="FS8" s="3899"/>
      <c r="FT8" s="3899"/>
      <c r="FU8" s="3899"/>
      <c r="FV8" s="3899"/>
      <c r="FW8" s="3899"/>
      <c r="FX8" s="3899"/>
      <c r="FY8" s="3899"/>
      <c r="FZ8" s="3899"/>
      <c r="GA8" s="3899"/>
      <c r="GB8" s="3899"/>
      <c r="GC8" s="3899"/>
      <c r="GD8" s="3899"/>
      <c r="GE8" s="3899"/>
      <c r="GF8" s="3899"/>
      <c r="GG8" s="3899"/>
      <c r="GH8" s="3899"/>
      <c r="GI8" s="3899"/>
      <c r="GJ8" s="3899"/>
      <c r="GK8" s="3899"/>
      <c r="GL8" s="3899"/>
      <c r="GM8" s="3899"/>
      <c r="GN8" s="3899"/>
      <c r="GO8" s="3899"/>
      <c r="GP8" s="3899"/>
      <c r="GQ8" s="3899"/>
      <c r="GR8" s="3899"/>
      <c r="GS8" s="3899"/>
      <c r="GT8" s="3899"/>
      <c r="GU8" s="3899"/>
      <c r="GV8" s="3899"/>
      <c r="GW8" s="3899"/>
      <c r="GX8" s="3899"/>
      <c r="GY8" s="3899"/>
      <c r="GZ8" s="3899"/>
      <c r="HA8" s="3899"/>
      <c r="HB8" s="3899"/>
      <c r="HC8" s="3899"/>
      <c r="HD8" s="3899"/>
      <c r="HE8" s="3899"/>
      <c r="HF8" s="3899"/>
      <c r="HG8" s="3899"/>
      <c r="HH8" s="3899"/>
      <c r="HI8" s="3899"/>
      <c r="HJ8" s="3899"/>
      <c r="HK8" s="3899"/>
      <c r="HL8" s="3899"/>
      <c r="HM8" s="3899"/>
      <c r="HN8" s="3899"/>
      <c r="HO8" s="3899"/>
      <c r="HP8" s="3899"/>
      <c r="HQ8" s="3899"/>
      <c r="HR8" s="3899"/>
      <c r="HS8" s="3899"/>
      <c r="HT8" s="3899"/>
      <c r="HU8" s="3899"/>
      <c r="HV8" s="3899"/>
      <c r="HW8" s="3899"/>
      <c r="HX8" s="3899"/>
      <c r="HY8" s="3899"/>
      <c r="HZ8" s="1813"/>
      <c r="IA8" s="1813"/>
      <c r="IB8" s="1813"/>
      <c r="IC8" s="1813"/>
      <c r="ID8" s="1813"/>
      <c r="IE8" s="1813"/>
      <c r="IF8" s="1813"/>
      <c r="IG8" s="1813"/>
      <c r="IH8" s="1813"/>
      <c r="II8" s="1813"/>
      <c r="IJ8" s="1813"/>
      <c r="IK8" s="1813"/>
      <c r="IL8" s="1813"/>
      <c r="IM8" s="1813"/>
      <c r="IN8" s="1813"/>
      <c r="IO8" s="1813"/>
      <c r="IP8" s="1813"/>
      <c r="IQ8" s="1813"/>
      <c r="IR8" s="1813"/>
      <c r="IS8" s="1813"/>
      <c r="IT8" s="1813"/>
      <c r="IU8" s="1813"/>
      <c r="IV8" s="1813"/>
      <c r="IW8" s="1813"/>
      <c r="IX8" s="1813"/>
      <c r="IY8" s="1812" t="s">
        <v>539</v>
      </c>
      <c r="IZ8" s="1812" t="s">
        <v>2328</v>
      </c>
      <c r="JA8" s="1812" t="s">
        <v>2329</v>
      </c>
      <c r="JB8" s="1812" t="s">
        <v>2330</v>
      </c>
      <c r="JC8" s="1812" t="s">
        <v>2331</v>
      </c>
      <c r="JD8" s="1812" t="s">
        <v>539</v>
      </c>
      <c r="JE8" s="1812" t="s">
        <v>2328</v>
      </c>
      <c r="JF8" s="1812" t="s">
        <v>2329</v>
      </c>
      <c r="JG8" s="1812" t="s">
        <v>2330</v>
      </c>
      <c r="JH8" s="1812" t="s">
        <v>2331</v>
      </c>
      <c r="JI8" s="1812" t="s">
        <v>539</v>
      </c>
      <c r="JJ8" s="1812" t="s">
        <v>2328</v>
      </c>
      <c r="JK8" s="1812" t="s">
        <v>2329</v>
      </c>
      <c r="JL8" s="1812" t="s">
        <v>2330</v>
      </c>
      <c r="JM8" s="1812" t="s">
        <v>2331</v>
      </c>
      <c r="JN8" s="1812" t="s">
        <v>539</v>
      </c>
      <c r="JO8" s="1812" t="s">
        <v>2328</v>
      </c>
      <c r="JP8" s="1812" t="s">
        <v>2329</v>
      </c>
      <c r="JQ8" s="1812" t="s">
        <v>2330</v>
      </c>
      <c r="JR8" s="1812" t="s">
        <v>2331</v>
      </c>
      <c r="JS8" s="1812" t="s">
        <v>539</v>
      </c>
      <c r="JT8" s="1812" t="s">
        <v>2328</v>
      </c>
      <c r="JU8" s="1812" t="s">
        <v>2329</v>
      </c>
      <c r="JV8" s="1812" t="s">
        <v>2330</v>
      </c>
      <c r="JW8" s="1812" t="s">
        <v>2331</v>
      </c>
      <c r="JX8" s="1812" t="s">
        <v>539</v>
      </c>
      <c r="JY8" s="1812" t="s">
        <v>2328</v>
      </c>
      <c r="JZ8" s="1812" t="s">
        <v>2329</v>
      </c>
      <c r="KA8" s="1812" t="s">
        <v>2330</v>
      </c>
      <c r="KB8" s="1812" t="s">
        <v>2331</v>
      </c>
      <c r="KC8" s="1812" t="s">
        <v>539</v>
      </c>
      <c r="KD8" s="1812" t="s">
        <v>2328</v>
      </c>
      <c r="KE8" s="1812" t="s">
        <v>2329</v>
      </c>
      <c r="KF8" s="1812" t="s">
        <v>2330</v>
      </c>
      <c r="KG8" s="1812" t="s">
        <v>2331</v>
      </c>
      <c r="KH8" s="1812" t="s">
        <v>539</v>
      </c>
      <c r="KI8" s="1812" t="s">
        <v>2328</v>
      </c>
      <c r="KJ8" s="1812" t="s">
        <v>2329</v>
      </c>
      <c r="KK8" s="1812" t="s">
        <v>2330</v>
      </c>
      <c r="KL8" s="1812" t="s">
        <v>2331</v>
      </c>
      <c r="KM8" s="1812" t="s">
        <v>539</v>
      </c>
      <c r="KN8" s="1812" t="s">
        <v>2328</v>
      </c>
      <c r="KO8" s="1812" t="s">
        <v>2329</v>
      </c>
      <c r="KP8" s="1812" t="s">
        <v>2330</v>
      </c>
      <c r="KQ8" s="1812" t="s">
        <v>2331</v>
      </c>
      <c r="KR8" s="1812" t="s">
        <v>539</v>
      </c>
      <c r="KS8" s="1812" t="s">
        <v>2328</v>
      </c>
      <c r="KT8" s="1812" t="s">
        <v>2329</v>
      </c>
      <c r="KU8" s="1812" t="s">
        <v>2330</v>
      </c>
      <c r="KV8" s="1812" t="s">
        <v>2331</v>
      </c>
      <c r="KW8" s="1812" t="s">
        <v>539</v>
      </c>
      <c r="KX8" s="1812" t="s">
        <v>2328</v>
      </c>
      <c r="KY8" s="1812" t="s">
        <v>2329</v>
      </c>
      <c r="KZ8" s="1812" t="s">
        <v>2330</v>
      </c>
      <c r="LA8" s="1812" t="s">
        <v>2331</v>
      </c>
      <c r="LB8" s="1812" t="s">
        <v>539</v>
      </c>
      <c r="LC8" s="1812" t="s">
        <v>2328</v>
      </c>
      <c r="LD8" s="1812" t="s">
        <v>2329</v>
      </c>
      <c r="LE8" s="1812" t="s">
        <v>2330</v>
      </c>
      <c r="LF8" s="1812" t="s">
        <v>2331</v>
      </c>
      <c r="LG8" s="3899"/>
      <c r="LH8" s="3899"/>
      <c r="LI8" s="3899"/>
      <c r="LJ8" s="3899"/>
      <c r="LK8" s="3899"/>
      <c r="LL8" s="3899"/>
      <c r="LM8" s="3899"/>
      <c r="LN8" s="3899"/>
      <c r="LO8" s="3899"/>
      <c r="LP8" s="3899"/>
      <c r="LQ8" s="3899"/>
      <c r="LR8" s="3899"/>
      <c r="LS8" s="3899"/>
      <c r="LT8" s="3899"/>
      <c r="LU8" s="3899"/>
      <c r="LV8" s="3899"/>
      <c r="LW8" s="3899"/>
      <c r="LX8" s="3899"/>
      <c r="LY8" s="3899"/>
      <c r="LZ8" s="3899"/>
      <c r="MA8" s="3899"/>
      <c r="MB8" s="3899"/>
      <c r="MC8" s="3899"/>
      <c r="MD8" s="3899"/>
      <c r="ME8" s="3899"/>
      <c r="MF8" s="3899"/>
      <c r="MG8" s="3899"/>
      <c r="MH8" s="3899"/>
      <c r="MI8" s="3899"/>
      <c r="MJ8" s="3899"/>
      <c r="MK8" s="3916"/>
      <c r="ML8" s="3916"/>
      <c r="MM8" s="3916"/>
      <c r="MN8" s="3916"/>
      <c r="MO8" s="3916"/>
      <c r="MP8" s="3899"/>
      <c r="MQ8" s="3899"/>
      <c r="MR8" s="3899"/>
      <c r="MS8" s="3899"/>
      <c r="MT8" s="3899"/>
      <c r="MU8" s="93"/>
      <c r="MV8" s="93"/>
      <c r="MW8" s="93"/>
      <c r="MX8" s="93"/>
      <c r="MY8" s="93"/>
      <c r="MZ8" s="93"/>
      <c r="NA8" s="93"/>
      <c r="NB8" s="93"/>
      <c r="NC8" s="93"/>
      <c r="ND8" s="93"/>
      <c r="NE8" s="93"/>
      <c r="NF8" s="93"/>
      <c r="NG8" s="93"/>
      <c r="NH8" s="93"/>
      <c r="NI8" s="93"/>
      <c r="NJ8" s="93"/>
      <c r="NK8" s="93"/>
      <c r="NL8" s="93"/>
      <c r="NM8" s="93"/>
      <c r="NN8" s="93"/>
      <c r="NO8" s="93"/>
      <c r="NP8" s="2850"/>
      <c r="NQ8" s="93"/>
      <c r="NR8" s="93"/>
      <c r="NS8" s="93"/>
      <c r="NT8" s="93"/>
      <c r="NU8" s="93"/>
      <c r="NV8" s="93"/>
      <c r="NW8" s="93"/>
      <c r="NX8" s="93"/>
      <c r="NY8" s="93"/>
      <c r="NZ8" s="93"/>
      <c r="OA8" s="93"/>
      <c r="OB8" s="93"/>
      <c r="OC8" s="93"/>
      <c r="OD8" s="93"/>
      <c r="OE8" s="93"/>
      <c r="OF8" s="93"/>
      <c r="OG8" s="93"/>
      <c r="OH8" s="93"/>
      <c r="OI8" s="93"/>
      <c r="OJ8" s="93"/>
      <c r="OK8" s="93"/>
      <c r="OL8" s="93"/>
      <c r="OM8" s="93"/>
      <c r="ON8" s="93"/>
      <c r="OO8" s="93"/>
      <c r="OP8" s="93"/>
      <c r="OQ8" s="93"/>
      <c r="OR8" s="93"/>
      <c r="OS8" s="93"/>
      <c r="OT8" s="93"/>
      <c r="OU8" s="93"/>
      <c r="OV8" s="93"/>
      <c r="OW8" s="93"/>
      <c r="OX8" s="93"/>
      <c r="OY8" s="93"/>
      <c r="OZ8" s="93"/>
      <c r="PA8" s="93"/>
      <c r="PB8" s="93"/>
      <c r="PC8" s="93"/>
      <c r="PD8" s="93"/>
      <c r="PE8" s="93"/>
      <c r="PF8" s="93"/>
      <c r="PG8" s="93"/>
      <c r="PH8" s="93"/>
      <c r="PI8" s="93"/>
      <c r="PJ8" s="93"/>
      <c r="PK8" s="93"/>
      <c r="PL8" s="93"/>
      <c r="PM8" s="93"/>
      <c r="PN8" s="93"/>
      <c r="PO8" s="93"/>
      <c r="PP8" s="93"/>
      <c r="PQ8" s="93"/>
      <c r="PR8" s="93"/>
      <c r="PS8" s="93"/>
      <c r="PT8" s="93"/>
      <c r="PU8" s="93"/>
      <c r="PV8" s="93"/>
      <c r="PW8" s="93"/>
      <c r="PX8" s="93"/>
      <c r="PY8" s="93"/>
      <c r="PZ8" s="93"/>
      <c r="QA8" s="93"/>
      <c r="QB8" s="93"/>
      <c r="QC8" s="93"/>
      <c r="QD8" s="93"/>
      <c r="QE8" s="93"/>
      <c r="QF8" s="93"/>
      <c r="QG8" s="93"/>
      <c r="QH8" s="93"/>
      <c r="QI8" s="93"/>
      <c r="QJ8" s="93"/>
      <c r="QK8" s="93"/>
      <c r="QL8" s="93"/>
      <c r="QM8" s="93"/>
      <c r="QN8" s="93"/>
      <c r="QO8" s="93"/>
      <c r="QP8" s="93"/>
      <c r="QQ8" s="93"/>
      <c r="QR8" s="93"/>
      <c r="QS8" s="93"/>
      <c r="QT8" s="93"/>
      <c r="QU8" s="93"/>
      <c r="QV8" s="93"/>
      <c r="QW8" s="93"/>
      <c r="QX8" s="93"/>
      <c r="QY8" s="93"/>
      <c r="QZ8" s="93"/>
      <c r="RA8" s="93"/>
      <c r="RB8" s="93"/>
      <c r="RC8" s="93"/>
      <c r="RD8" s="93"/>
      <c r="RE8" s="93"/>
      <c r="RF8" s="93"/>
      <c r="RG8" s="93"/>
      <c r="RH8" s="93"/>
      <c r="RI8" s="93"/>
      <c r="RJ8" s="93"/>
      <c r="RK8" s="93"/>
      <c r="RL8" s="93"/>
      <c r="RM8" s="93"/>
      <c r="RN8" s="93"/>
      <c r="RO8" s="93"/>
      <c r="RP8" s="93"/>
      <c r="RQ8" s="93"/>
      <c r="RR8" s="93"/>
      <c r="RS8" s="93"/>
      <c r="RT8" s="93"/>
      <c r="RU8" s="93"/>
      <c r="RV8" s="93"/>
      <c r="RW8" s="93"/>
      <c r="RX8" s="93"/>
      <c r="RY8" s="93"/>
    </row>
    <row r="9" spans="1:493" s="110" customFormat="1" ht="11.25" customHeight="1">
      <c r="A9" s="3917"/>
      <c r="B9" s="1190" t="s">
        <v>3917</v>
      </c>
      <c r="C9" s="1401" t="s">
        <v>164</v>
      </c>
      <c r="D9" s="1401" t="s">
        <v>519</v>
      </c>
      <c r="E9" s="1401" t="s">
        <v>1417</v>
      </c>
      <c r="F9" s="1401" t="s">
        <v>1417</v>
      </c>
      <c r="G9" s="3922" t="s">
        <v>6305</v>
      </c>
      <c r="H9" s="2651" t="s">
        <v>3440</v>
      </c>
      <c r="I9" s="3922"/>
      <c r="J9" s="3918" t="s">
        <v>6296</v>
      </c>
      <c r="K9" s="1401" t="s">
        <v>2295</v>
      </c>
      <c r="L9" s="3914" t="s">
        <v>138</v>
      </c>
      <c r="M9" s="3915"/>
      <c r="N9" s="1401" t="s">
        <v>2261</v>
      </c>
      <c r="O9" s="1401" t="s">
        <v>6810</v>
      </c>
      <c r="P9" s="3920" t="s">
        <v>6533</v>
      </c>
      <c r="Q9" s="3901"/>
      <c r="R9" s="1401" t="s">
        <v>2542</v>
      </c>
      <c r="S9" s="1401" t="s">
        <v>2544</v>
      </c>
      <c r="T9" s="407"/>
      <c r="W9" s="408"/>
      <c r="X9" s="3899"/>
      <c r="Y9" s="3899"/>
      <c r="Z9" s="3899"/>
      <c r="AA9" s="3899"/>
      <c r="AB9" s="3899"/>
      <c r="AC9" s="3899"/>
      <c r="AD9" s="3899"/>
      <c r="AE9" s="3899"/>
      <c r="AF9" s="3899"/>
      <c r="AG9" s="3899"/>
      <c r="AH9" s="3899"/>
      <c r="AI9" s="3899"/>
      <c r="AJ9" s="3899"/>
      <c r="AK9" s="3899"/>
      <c r="AL9" s="3899"/>
      <c r="AM9" s="3899"/>
      <c r="AN9" s="3899"/>
      <c r="AO9" s="3899"/>
      <c r="AP9" s="3899"/>
      <c r="AQ9" s="3899"/>
      <c r="AR9" s="3899"/>
      <c r="AS9" s="3899"/>
      <c r="AT9" s="3899"/>
      <c r="AU9" s="3899"/>
      <c r="AV9" s="3899"/>
      <c r="AW9" s="3899"/>
      <c r="AX9" s="3899"/>
      <c r="AY9" s="3899"/>
      <c r="AZ9" s="3899"/>
      <c r="BA9" s="3899"/>
      <c r="BB9" s="3899"/>
      <c r="BC9" s="3899"/>
      <c r="BD9" s="3899"/>
      <c r="BE9" s="3899"/>
      <c r="BF9" s="3899"/>
      <c r="BG9" s="3899"/>
      <c r="BH9" s="3899"/>
      <c r="BI9" s="3899"/>
      <c r="BJ9" s="3899"/>
      <c r="BK9" s="3899"/>
      <c r="BL9" s="3899"/>
      <c r="BM9" s="3899"/>
      <c r="BN9" s="3899"/>
      <c r="BO9" s="3899"/>
      <c r="BP9" s="3899"/>
      <c r="BQ9" s="3899"/>
      <c r="BR9" s="3899"/>
      <c r="BS9" s="3899"/>
      <c r="BT9" s="3899"/>
      <c r="BU9" s="3899"/>
      <c r="BV9" s="3899"/>
      <c r="BW9" s="3899"/>
      <c r="BX9" s="3899"/>
      <c r="BY9" s="3899"/>
      <c r="BZ9" s="3899"/>
      <c r="CA9" s="3899"/>
      <c r="CB9" s="3899"/>
      <c r="CC9" s="3899"/>
      <c r="CD9" s="3899"/>
      <c r="CE9" s="3899"/>
      <c r="CF9" s="3899"/>
      <c r="CG9" s="3899"/>
      <c r="CH9" s="3899"/>
      <c r="CI9" s="3899"/>
      <c r="CJ9" s="3899"/>
      <c r="CK9" s="3899"/>
      <c r="CL9" s="3899"/>
      <c r="CM9" s="3899"/>
      <c r="CN9" s="3899"/>
      <c r="CO9" s="3899"/>
      <c r="CP9" s="3899"/>
      <c r="CQ9" s="3899"/>
      <c r="CR9" s="3899"/>
      <c r="CS9" s="3899"/>
      <c r="CT9" s="3899"/>
      <c r="CU9" s="3899"/>
      <c r="CV9" s="3899"/>
      <c r="CW9" s="3899"/>
      <c r="CX9" s="3899"/>
      <c r="CY9" s="3899"/>
      <c r="CZ9" s="3899"/>
      <c r="DA9" s="3899"/>
      <c r="DB9" s="3899"/>
      <c r="DC9" s="3899"/>
      <c r="DD9" s="3899"/>
      <c r="DE9" s="3899"/>
      <c r="DF9" s="3899"/>
      <c r="DG9" s="3899"/>
      <c r="DH9" s="3899"/>
      <c r="DI9" s="3899"/>
      <c r="DJ9" s="3899"/>
      <c r="DK9" s="3899"/>
      <c r="DL9" s="3899"/>
      <c r="DM9" s="3899"/>
      <c r="DN9" s="3899"/>
      <c r="DO9" s="3899"/>
      <c r="DP9" s="3899"/>
      <c r="DQ9" s="3899"/>
      <c r="DR9" s="3899"/>
      <c r="DS9" s="3899"/>
      <c r="DT9" s="3899"/>
      <c r="DU9" s="3899"/>
      <c r="DV9" s="3899"/>
      <c r="DW9" s="3899"/>
      <c r="DX9" s="3899"/>
      <c r="DY9" s="3899"/>
      <c r="DZ9" s="3899"/>
      <c r="EA9" s="3899"/>
      <c r="EB9" s="3899"/>
      <c r="EC9" s="3899"/>
      <c r="ED9" s="3899"/>
      <c r="EE9" s="3899"/>
      <c r="EF9" s="3899"/>
      <c r="EG9" s="3899"/>
      <c r="EH9" s="3899"/>
      <c r="EI9" s="3899"/>
      <c r="EJ9" s="3899"/>
      <c r="EK9" s="3899"/>
      <c r="EL9" s="3899"/>
      <c r="EM9" s="3899"/>
      <c r="EN9" s="3899"/>
      <c r="EO9" s="3899"/>
      <c r="EP9" s="3899"/>
      <c r="EQ9" s="3899"/>
      <c r="ER9" s="3899"/>
      <c r="ES9" s="3899"/>
      <c r="ET9" s="3899"/>
      <c r="EU9" s="3899"/>
      <c r="EV9" s="3899"/>
      <c r="EW9" s="3899"/>
      <c r="EX9" s="3899"/>
      <c r="EY9" s="3899"/>
      <c r="EZ9" s="3899"/>
      <c r="FA9" s="3899"/>
      <c r="FB9" s="3899"/>
      <c r="FC9" s="3899"/>
      <c r="FD9" s="3899"/>
      <c r="FE9" s="3899"/>
      <c r="FF9" s="3899"/>
      <c r="FG9" s="3899"/>
      <c r="FH9" s="3899"/>
      <c r="FI9" s="3899"/>
      <c r="FJ9" s="3899"/>
      <c r="FK9" s="3899"/>
      <c r="FL9" s="3899"/>
      <c r="FM9" s="3899"/>
      <c r="FN9" s="3899"/>
      <c r="FO9" s="3899"/>
      <c r="FP9" s="3899"/>
      <c r="FQ9" s="3899"/>
      <c r="FR9" s="3899"/>
      <c r="FS9" s="3899"/>
      <c r="FT9" s="3899"/>
      <c r="FU9" s="3899"/>
      <c r="FV9" s="3899"/>
      <c r="FW9" s="3899"/>
      <c r="FX9" s="3899"/>
      <c r="FY9" s="3899"/>
      <c r="FZ9" s="3899"/>
      <c r="GA9" s="3899"/>
      <c r="GB9" s="3899"/>
      <c r="GC9" s="3899"/>
      <c r="GD9" s="3899"/>
      <c r="GE9" s="3899"/>
      <c r="GF9" s="3899"/>
      <c r="GG9" s="3899"/>
      <c r="GH9" s="3899"/>
      <c r="GI9" s="3899"/>
      <c r="GJ9" s="3899"/>
      <c r="GK9" s="3899"/>
      <c r="GL9" s="3899"/>
      <c r="GM9" s="3899"/>
      <c r="GN9" s="3899"/>
      <c r="GO9" s="3899"/>
      <c r="GP9" s="3899"/>
      <c r="GQ9" s="3899"/>
      <c r="GR9" s="3899"/>
      <c r="GS9" s="3899"/>
      <c r="GT9" s="3899"/>
      <c r="GU9" s="3899"/>
      <c r="GV9" s="3899"/>
      <c r="GW9" s="3899"/>
      <c r="GX9" s="3899"/>
      <c r="GY9" s="3899"/>
      <c r="GZ9" s="3899"/>
      <c r="HA9" s="3899"/>
      <c r="HB9" s="3899"/>
      <c r="HC9" s="3899"/>
      <c r="HD9" s="3899"/>
      <c r="HE9" s="3899"/>
      <c r="HF9" s="3899"/>
      <c r="HG9" s="3899"/>
      <c r="HH9" s="3899"/>
      <c r="HI9" s="3899"/>
      <c r="HJ9" s="3899"/>
      <c r="HK9" s="3899"/>
      <c r="HL9" s="3899"/>
      <c r="HM9" s="3899"/>
      <c r="HN9" s="3899"/>
      <c r="HO9" s="3899"/>
      <c r="HP9" s="3899"/>
      <c r="HQ9" s="3899"/>
      <c r="HR9" s="3899"/>
      <c r="HS9" s="3899"/>
      <c r="HT9" s="3899"/>
      <c r="HU9" s="3899"/>
      <c r="HV9" s="3899"/>
      <c r="HW9" s="3899"/>
      <c r="HX9" s="3899"/>
      <c r="HY9" s="3899"/>
      <c r="HZ9" s="3899" t="s">
        <v>1405</v>
      </c>
      <c r="IA9" s="1812" t="s">
        <v>2328</v>
      </c>
      <c r="IB9" s="1812" t="s">
        <v>2329</v>
      </c>
      <c r="IC9" s="1812" t="s">
        <v>2330</v>
      </c>
      <c r="ID9" s="1812" t="s">
        <v>2331</v>
      </c>
      <c r="IE9" s="3899" t="s">
        <v>2382</v>
      </c>
      <c r="IF9" s="3899" t="s">
        <v>2382</v>
      </c>
      <c r="IG9" s="3899" t="s">
        <v>2382</v>
      </c>
      <c r="IH9" s="3899" t="s">
        <v>2382</v>
      </c>
      <c r="II9" s="3899" t="s">
        <v>2382</v>
      </c>
      <c r="IJ9" s="3899" t="s">
        <v>3119</v>
      </c>
      <c r="IK9" s="3899" t="s">
        <v>3119</v>
      </c>
      <c r="IL9" s="3899" t="s">
        <v>3119</v>
      </c>
      <c r="IM9" s="3899" t="s">
        <v>3119</v>
      </c>
      <c r="IN9" s="3899" t="s">
        <v>3119</v>
      </c>
      <c r="IO9" s="1812" t="s">
        <v>539</v>
      </c>
      <c r="IP9" s="1812" t="s">
        <v>2328</v>
      </c>
      <c r="IQ9" s="1812" t="s">
        <v>2329</v>
      </c>
      <c r="IR9" s="1812" t="s">
        <v>2330</v>
      </c>
      <c r="IS9" s="1812" t="s">
        <v>2331</v>
      </c>
      <c r="IT9" s="1812" t="s">
        <v>539</v>
      </c>
      <c r="IU9" s="1812" t="s">
        <v>2328</v>
      </c>
      <c r="IV9" s="1812" t="s">
        <v>2329</v>
      </c>
      <c r="IW9" s="1812" t="s">
        <v>2330</v>
      </c>
      <c r="IX9" s="1812" t="s">
        <v>2331</v>
      </c>
      <c r="IY9" s="3899" t="s">
        <v>6590</v>
      </c>
      <c r="IZ9" s="3899" t="s">
        <v>6590</v>
      </c>
      <c r="JA9" s="3899" t="s">
        <v>6590</v>
      </c>
      <c r="JB9" s="3899" t="s">
        <v>6590</v>
      </c>
      <c r="JC9" s="3899" t="s">
        <v>6590</v>
      </c>
      <c r="JD9" s="3899" t="s">
        <v>6591</v>
      </c>
      <c r="JE9" s="3899" t="s">
        <v>6591</v>
      </c>
      <c r="JF9" s="3899" t="s">
        <v>6591</v>
      </c>
      <c r="JG9" s="3899" t="s">
        <v>6591</v>
      </c>
      <c r="JH9" s="3899" t="s">
        <v>6591</v>
      </c>
      <c r="JI9" s="3899" t="s">
        <v>6593</v>
      </c>
      <c r="JJ9" s="3899" t="s">
        <v>6593</v>
      </c>
      <c r="JK9" s="3899" t="s">
        <v>6593</v>
      </c>
      <c r="JL9" s="3899" t="s">
        <v>6593</v>
      </c>
      <c r="JM9" s="3899" t="s">
        <v>6593</v>
      </c>
      <c r="JN9" s="3899" t="s">
        <v>6594</v>
      </c>
      <c r="JO9" s="3899" t="s">
        <v>6594</v>
      </c>
      <c r="JP9" s="3899" t="s">
        <v>6594</v>
      </c>
      <c r="JQ9" s="3899" t="s">
        <v>6594</v>
      </c>
      <c r="JR9" s="3899" t="s">
        <v>6594</v>
      </c>
      <c r="JS9" s="3899" t="s">
        <v>6595</v>
      </c>
      <c r="JT9" s="3899" t="s">
        <v>6595</v>
      </c>
      <c r="JU9" s="3899" t="s">
        <v>6595</v>
      </c>
      <c r="JV9" s="3899" t="s">
        <v>6595</v>
      </c>
      <c r="JW9" s="3899" t="s">
        <v>6595</v>
      </c>
      <c r="JX9" s="3899" t="s">
        <v>6811</v>
      </c>
      <c r="JY9" s="3899" t="s">
        <v>6811</v>
      </c>
      <c r="JZ9" s="3899" t="s">
        <v>6811</v>
      </c>
      <c r="KA9" s="3899" t="s">
        <v>6811</v>
      </c>
      <c r="KB9" s="3899" t="s">
        <v>6811</v>
      </c>
      <c r="KC9" s="3899" t="s">
        <v>6828</v>
      </c>
      <c r="KD9" s="3899" t="s">
        <v>6828</v>
      </c>
      <c r="KE9" s="3899" t="s">
        <v>6828</v>
      </c>
      <c r="KF9" s="3899" t="s">
        <v>6828</v>
      </c>
      <c r="KG9" s="3899" t="s">
        <v>6828</v>
      </c>
      <c r="KH9" s="3899" t="s">
        <v>6829</v>
      </c>
      <c r="KI9" s="3899" t="s">
        <v>6829</v>
      </c>
      <c r="KJ9" s="3899" t="s">
        <v>6829</v>
      </c>
      <c r="KK9" s="3899" t="s">
        <v>6829</v>
      </c>
      <c r="KL9" s="3899" t="s">
        <v>6829</v>
      </c>
      <c r="KM9" s="3899" t="s">
        <v>6597</v>
      </c>
      <c r="KN9" s="3899" t="s">
        <v>6597</v>
      </c>
      <c r="KO9" s="3899" t="s">
        <v>6597</v>
      </c>
      <c r="KP9" s="3899" t="s">
        <v>6597</v>
      </c>
      <c r="KQ9" s="3899" t="s">
        <v>6597</v>
      </c>
      <c r="KR9" s="3899" t="s">
        <v>6812</v>
      </c>
      <c r="KS9" s="3899" t="s">
        <v>6812</v>
      </c>
      <c r="KT9" s="3899" t="s">
        <v>6812</v>
      </c>
      <c r="KU9" s="3899" t="s">
        <v>6812</v>
      </c>
      <c r="KV9" s="3899" t="s">
        <v>6812</v>
      </c>
      <c r="KW9" s="3899" t="s">
        <v>6830</v>
      </c>
      <c r="KX9" s="3899" t="s">
        <v>6830</v>
      </c>
      <c r="KY9" s="3899" t="s">
        <v>6830</v>
      </c>
      <c r="KZ9" s="3899" t="s">
        <v>6830</v>
      </c>
      <c r="LA9" s="3899" t="s">
        <v>6830</v>
      </c>
      <c r="LB9" s="3899" t="s">
        <v>6831</v>
      </c>
      <c r="LC9" s="3899" t="s">
        <v>6831</v>
      </c>
      <c r="LD9" s="3899" t="s">
        <v>6831</v>
      </c>
      <c r="LE9" s="3899" t="s">
        <v>6831</v>
      </c>
      <c r="LF9" s="3899" t="s">
        <v>6831</v>
      </c>
      <c r="LG9" s="3899"/>
      <c r="LH9" s="3899"/>
      <c r="LI9" s="3899"/>
      <c r="LJ9" s="3899"/>
      <c r="LK9" s="3899"/>
      <c r="LL9" s="3899"/>
      <c r="LM9" s="3899"/>
      <c r="LN9" s="3899"/>
      <c r="LO9" s="3899"/>
      <c r="LP9" s="3899"/>
      <c r="LQ9" s="3899"/>
      <c r="LR9" s="3899"/>
      <c r="LS9" s="3899"/>
      <c r="LT9" s="3899"/>
      <c r="LU9" s="3899"/>
      <c r="LV9" s="3899"/>
      <c r="LW9" s="3899"/>
      <c r="LX9" s="3899"/>
      <c r="LY9" s="3899"/>
      <c r="LZ9" s="3899"/>
      <c r="MA9" s="3899"/>
      <c r="MB9" s="3899"/>
      <c r="MC9" s="3899"/>
      <c r="MD9" s="3899"/>
      <c r="ME9" s="3899"/>
      <c r="MF9" s="3899"/>
      <c r="MG9" s="3899"/>
      <c r="MH9" s="3899"/>
      <c r="MI9" s="3899"/>
      <c r="MJ9" s="3899"/>
      <c r="MK9" s="3916"/>
      <c r="ML9" s="3916"/>
      <c r="MM9" s="3916"/>
      <c r="MN9" s="3916"/>
      <c r="MO9" s="3916"/>
      <c r="MP9" s="3899"/>
      <c r="MQ9" s="3899"/>
      <c r="MR9" s="3899"/>
      <c r="MS9" s="3899"/>
      <c r="MT9" s="3899"/>
      <c r="MU9" s="89"/>
      <c r="MV9" s="89"/>
      <c r="MW9" s="89"/>
      <c r="MX9" s="89"/>
      <c r="MY9" s="89"/>
      <c r="MZ9" s="89"/>
      <c r="NA9" s="89"/>
      <c r="NB9" s="89"/>
      <c r="NC9" s="89"/>
      <c r="ND9" s="89"/>
      <c r="NE9" s="89"/>
      <c r="NF9" s="89"/>
      <c r="NG9" s="89"/>
      <c r="NH9" s="89"/>
      <c r="NI9" s="89"/>
      <c r="NJ9" s="89"/>
      <c r="NK9" s="89"/>
      <c r="NL9" s="89"/>
      <c r="NM9" s="89"/>
      <c r="NN9" s="89"/>
      <c r="NO9" s="89"/>
      <c r="NP9" s="2855"/>
      <c r="NQ9" s="89"/>
      <c r="NR9" s="89"/>
      <c r="NS9" s="89"/>
      <c r="NT9" s="89"/>
      <c r="NU9" s="89"/>
      <c r="NV9" s="89"/>
      <c r="NW9" s="89"/>
      <c r="NX9" s="89"/>
      <c r="NY9" s="89"/>
      <c r="NZ9" s="89"/>
      <c r="OA9" s="89"/>
      <c r="OB9" s="89"/>
      <c r="OC9" s="89"/>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c r="RY9" s="89"/>
    </row>
    <row r="10" spans="1:493" s="110" customFormat="1" ht="11.25" customHeight="1">
      <c r="A10" s="3917"/>
      <c r="B10" s="1345" t="s">
        <v>4125</v>
      </c>
      <c r="C10" s="1401" t="s">
        <v>163</v>
      </c>
      <c r="D10" s="1401" t="s">
        <v>165</v>
      </c>
      <c r="E10" s="1401" t="s">
        <v>1418</v>
      </c>
      <c r="F10" s="1401" t="s">
        <v>1231</v>
      </c>
      <c r="G10" s="3923"/>
      <c r="H10" s="1401" t="s">
        <v>6306</v>
      </c>
      <c r="I10" s="3923"/>
      <c r="J10" s="3919"/>
      <c r="K10" s="431" t="s">
        <v>338</v>
      </c>
      <c r="L10" s="1401" t="s">
        <v>1469</v>
      </c>
      <c r="M10" s="1401" t="s">
        <v>513</v>
      </c>
      <c r="N10" s="1401" t="s">
        <v>1417</v>
      </c>
      <c r="O10" s="1401" t="s">
        <v>6827</v>
      </c>
      <c r="P10" s="3921"/>
      <c r="Q10" s="3902"/>
      <c r="R10" s="1401" t="s">
        <v>1419</v>
      </c>
      <c r="S10" s="1401" t="s">
        <v>2545</v>
      </c>
      <c r="T10" s="31" t="s">
        <v>1759</v>
      </c>
      <c r="W10" s="31"/>
      <c r="X10" s="3899"/>
      <c r="Y10" s="3899"/>
      <c r="Z10" s="3899"/>
      <c r="AA10" s="3899"/>
      <c r="AB10" s="3899"/>
      <c r="AC10" s="3899"/>
      <c r="AD10" s="3899"/>
      <c r="AE10" s="3899"/>
      <c r="AF10" s="3899"/>
      <c r="AG10" s="3899"/>
      <c r="AH10" s="3899"/>
      <c r="AI10" s="3899"/>
      <c r="AJ10" s="3899"/>
      <c r="AK10" s="3899"/>
      <c r="AL10" s="3899"/>
      <c r="AM10" s="3899"/>
      <c r="AN10" s="3899"/>
      <c r="AO10" s="3899"/>
      <c r="AP10" s="3899"/>
      <c r="AQ10" s="3899"/>
      <c r="AR10" s="3899"/>
      <c r="AS10" s="3899"/>
      <c r="AT10" s="3899"/>
      <c r="AU10" s="3899"/>
      <c r="AV10" s="3899"/>
      <c r="AW10" s="3899"/>
      <c r="AX10" s="3899"/>
      <c r="AY10" s="3899"/>
      <c r="AZ10" s="3899"/>
      <c r="BA10" s="3899"/>
      <c r="BB10" s="3899"/>
      <c r="BC10" s="3899"/>
      <c r="BD10" s="3899"/>
      <c r="BE10" s="3899"/>
      <c r="BF10" s="3899"/>
      <c r="BG10" s="3899"/>
      <c r="BH10" s="3899"/>
      <c r="BI10" s="3899"/>
      <c r="BJ10" s="3899"/>
      <c r="BK10" s="3899"/>
      <c r="BL10" s="3899"/>
      <c r="BM10" s="3899"/>
      <c r="BN10" s="3899"/>
      <c r="BO10" s="3899"/>
      <c r="BP10" s="3899"/>
      <c r="BQ10" s="3899"/>
      <c r="BR10" s="3899"/>
      <c r="BS10" s="3899"/>
      <c r="BT10" s="3899"/>
      <c r="BU10" s="3899"/>
      <c r="BV10" s="3899"/>
      <c r="BW10" s="3899"/>
      <c r="BX10" s="3899"/>
      <c r="BY10" s="3899"/>
      <c r="BZ10" s="3899"/>
      <c r="CA10" s="3899"/>
      <c r="CB10" s="3899"/>
      <c r="CC10" s="3899"/>
      <c r="CD10" s="3899"/>
      <c r="CE10" s="3899"/>
      <c r="CF10" s="3899"/>
      <c r="CG10" s="3899"/>
      <c r="CH10" s="3899"/>
      <c r="CI10" s="3899"/>
      <c r="CJ10" s="3899"/>
      <c r="CK10" s="3899"/>
      <c r="CL10" s="3899"/>
      <c r="CM10" s="3899"/>
      <c r="CN10" s="3899"/>
      <c r="CO10" s="3899"/>
      <c r="CP10" s="3899"/>
      <c r="CQ10" s="3899"/>
      <c r="CR10" s="3899"/>
      <c r="CS10" s="3899"/>
      <c r="CT10" s="3899"/>
      <c r="CU10" s="3899"/>
      <c r="CV10" s="3899"/>
      <c r="CW10" s="3899"/>
      <c r="CX10" s="3899"/>
      <c r="CY10" s="3899"/>
      <c r="CZ10" s="3899"/>
      <c r="DA10" s="3899"/>
      <c r="DB10" s="3899"/>
      <c r="DC10" s="3899"/>
      <c r="DD10" s="3899"/>
      <c r="DE10" s="3899"/>
      <c r="DF10" s="3899"/>
      <c r="DG10" s="3899"/>
      <c r="DH10" s="3899"/>
      <c r="DI10" s="3899"/>
      <c r="DJ10" s="3899"/>
      <c r="DK10" s="3899"/>
      <c r="DL10" s="3899"/>
      <c r="DM10" s="3899"/>
      <c r="DN10" s="3899"/>
      <c r="DO10" s="3899"/>
      <c r="DP10" s="3899"/>
      <c r="DQ10" s="3899"/>
      <c r="DR10" s="3899"/>
      <c r="DS10" s="3899"/>
      <c r="DT10" s="3899"/>
      <c r="DU10" s="3899"/>
      <c r="DV10" s="3899"/>
      <c r="DW10" s="3899"/>
      <c r="DX10" s="3899"/>
      <c r="DY10" s="3899"/>
      <c r="DZ10" s="3899"/>
      <c r="EA10" s="3899"/>
      <c r="EB10" s="3899"/>
      <c r="EC10" s="3899"/>
      <c r="ED10" s="3899"/>
      <c r="EE10" s="3899"/>
      <c r="EF10" s="3899"/>
      <c r="EG10" s="3899"/>
      <c r="EH10" s="3899"/>
      <c r="EI10" s="3899"/>
      <c r="EJ10" s="3899"/>
      <c r="EK10" s="3899"/>
      <c r="EL10" s="3899"/>
      <c r="EM10" s="3899"/>
      <c r="EN10" s="3899"/>
      <c r="EO10" s="3899"/>
      <c r="EP10" s="3899"/>
      <c r="EQ10" s="3899"/>
      <c r="ER10" s="3899"/>
      <c r="ES10" s="3899"/>
      <c r="ET10" s="3899"/>
      <c r="EU10" s="3899"/>
      <c r="EV10" s="3899"/>
      <c r="EW10" s="3899"/>
      <c r="EX10" s="3899"/>
      <c r="EY10" s="3899"/>
      <c r="EZ10" s="3899"/>
      <c r="FA10" s="3899"/>
      <c r="FB10" s="3899"/>
      <c r="FC10" s="3899"/>
      <c r="FD10" s="3899"/>
      <c r="FE10" s="3899"/>
      <c r="FF10" s="3899"/>
      <c r="FG10" s="3899"/>
      <c r="FH10" s="3899"/>
      <c r="FI10" s="3899"/>
      <c r="FJ10" s="3899"/>
      <c r="FK10" s="3899"/>
      <c r="FL10" s="3899"/>
      <c r="FM10" s="3899"/>
      <c r="FN10" s="3899"/>
      <c r="FO10" s="3899"/>
      <c r="FP10" s="3899"/>
      <c r="FQ10" s="3899"/>
      <c r="FR10" s="3899"/>
      <c r="FS10" s="3899"/>
      <c r="FT10" s="3899"/>
      <c r="FU10" s="3899"/>
      <c r="FV10" s="3899"/>
      <c r="FW10" s="3899"/>
      <c r="FX10" s="3899"/>
      <c r="FY10" s="3899"/>
      <c r="FZ10" s="3899"/>
      <c r="GA10" s="3899"/>
      <c r="GB10" s="3899"/>
      <c r="GC10" s="3899"/>
      <c r="GD10" s="3899"/>
      <c r="GE10" s="3899"/>
      <c r="GF10" s="3899"/>
      <c r="GG10" s="3899"/>
      <c r="GH10" s="3899"/>
      <c r="GI10" s="3899"/>
      <c r="GJ10" s="3899"/>
      <c r="GK10" s="3899"/>
      <c r="GL10" s="3899"/>
      <c r="GM10" s="3899"/>
      <c r="GN10" s="3899"/>
      <c r="GO10" s="3899"/>
      <c r="GP10" s="3899"/>
      <c r="GQ10" s="3899"/>
      <c r="GR10" s="3899"/>
      <c r="GS10" s="3899"/>
      <c r="GT10" s="3899"/>
      <c r="GU10" s="3899"/>
      <c r="GV10" s="3899"/>
      <c r="GW10" s="3899"/>
      <c r="GX10" s="3899"/>
      <c r="GY10" s="3899"/>
      <c r="GZ10" s="3899"/>
      <c r="HA10" s="3899"/>
      <c r="HB10" s="3899"/>
      <c r="HC10" s="3899"/>
      <c r="HD10" s="3899"/>
      <c r="HE10" s="3899"/>
      <c r="HF10" s="3899"/>
      <c r="HG10" s="3899"/>
      <c r="HH10" s="3899"/>
      <c r="HI10" s="3899"/>
      <c r="HJ10" s="3899"/>
      <c r="HK10" s="3899"/>
      <c r="HL10" s="3899"/>
      <c r="HM10" s="3899"/>
      <c r="HN10" s="3899"/>
      <c r="HO10" s="3899"/>
      <c r="HP10" s="3899"/>
      <c r="HQ10" s="3899"/>
      <c r="HR10" s="3899"/>
      <c r="HS10" s="3899"/>
      <c r="HT10" s="3899"/>
      <c r="HU10" s="3899"/>
      <c r="HV10" s="3899"/>
      <c r="HW10" s="3899"/>
      <c r="HX10" s="3899"/>
      <c r="HY10" s="3899"/>
      <c r="HZ10" s="3899"/>
      <c r="IA10" s="1812" t="s">
        <v>2381</v>
      </c>
      <c r="IB10" s="1812" t="s">
        <v>2381</v>
      </c>
      <c r="IC10" s="1812" t="s">
        <v>2381</v>
      </c>
      <c r="ID10" s="1812" t="s">
        <v>2381</v>
      </c>
      <c r="IE10" s="3899"/>
      <c r="IF10" s="3899"/>
      <c r="IG10" s="3899"/>
      <c r="IH10" s="3899"/>
      <c r="II10" s="3899"/>
      <c r="IJ10" s="3899"/>
      <c r="IK10" s="3899"/>
      <c r="IL10" s="3899"/>
      <c r="IM10" s="3899"/>
      <c r="IN10" s="3899"/>
      <c r="IO10" s="1812" t="s">
        <v>2383</v>
      </c>
      <c r="IP10" s="1812" t="s">
        <v>2383</v>
      </c>
      <c r="IQ10" s="1812" t="s">
        <v>2383</v>
      </c>
      <c r="IR10" s="1812" t="s">
        <v>2383</v>
      </c>
      <c r="IS10" s="1812" t="s">
        <v>2383</v>
      </c>
      <c r="IT10" s="1812" t="s">
        <v>3120</v>
      </c>
      <c r="IU10" s="1812" t="s">
        <v>3120</v>
      </c>
      <c r="IV10" s="1812" t="s">
        <v>3120</v>
      </c>
      <c r="IW10" s="1812" t="s">
        <v>3120</v>
      </c>
      <c r="IX10" s="1812" t="s">
        <v>3120</v>
      </c>
      <c r="IY10" s="3899"/>
      <c r="IZ10" s="3899"/>
      <c r="JA10" s="3899"/>
      <c r="JB10" s="3899"/>
      <c r="JC10" s="3899"/>
      <c r="JD10" s="3899"/>
      <c r="JE10" s="3899"/>
      <c r="JF10" s="3899"/>
      <c r="JG10" s="3899"/>
      <c r="JH10" s="3899"/>
      <c r="JI10" s="3899"/>
      <c r="JJ10" s="3899"/>
      <c r="JK10" s="3899"/>
      <c r="JL10" s="3899"/>
      <c r="JM10" s="3899"/>
      <c r="JN10" s="3899"/>
      <c r="JO10" s="3899"/>
      <c r="JP10" s="3899"/>
      <c r="JQ10" s="3899"/>
      <c r="JR10" s="3899"/>
      <c r="JS10" s="3899"/>
      <c r="JT10" s="3899"/>
      <c r="JU10" s="3899"/>
      <c r="JV10" s="3899"/>
      <c r="JW10" s="3899"/>
      <c r="JX10" s="3899"/>
      <c r="JY10" s="3899"/>
      <c r="JZ10" s="3899"/>
      <c r="KA10" s="3899"/>
      <c r="KB10" s="3899"/>
      <c r="KC10" s="3899"/>
      <c r="KD10" s="3899"/>
      <c r="KE10" s="3899"/>
      <c r="KF10" s="3899"/>
      <c r="KG10" s="3899"/>
      <c r="KH10" s="3899"/>
      <c r="KI10" s="3899"/>
      <c r="KJ10" s="3899"/>
      <c r="KK10" s="3899"/>
      <c r="KL10" s="3899"/>
      <c r="KM10" s="3899"/>
      <c r="KN10" s="3899"/>
      <c r="KO10" s="3899"/>
      <c r="KP10" s="3899"/>
      <c r="KQ10" s="3899"/>
      <c r="KR10" s="3899"/>
      <c r="KS10" s="3899"/>
      <c r="KT10" s="3899"/>
      <c r="KU10" s="3899"/>
      <c r="KV10" s="3899"/>
      <c r="KW10" s="3899"/>
      <c r="KX10" s="3899"/>
      <c r="KY10" s="3899"/>
      <c r="KZ10" s="3899"/>
      <c r="LA10" s="3899"/>
      <c r="LB10" s="3899"/>
      <c r="LC10" s="3899"/>
      <c r="LD10" s="3899"/>
      <c r="LE10" s="3899"/>
      <c r="LF10" s="3899"/>
      <c r="LG10" s="3899"/>
      <c r="LH10" s="3899"/>
      <c r="LI10" s="3899"/>
      <c r="LJ10" s="3899"/>
      <c r="LK10" s="3899"/>
      <c r="LL10" s="3899"/>
      <c r="LM10" s="3899"/>
      <c r="LN10" s="3899"/>
      <c r="LO10" s="3899"/>
      <c r="LP10" s="3899"/>
      <c r="LQ10" s="3899"/>
      <c r="LR10" s="3899"/>
      <c r="LS10" s="3899"/>
      <c r="LT10" s="3899"/>
      <c r="LU10" s="3899"/>
      <c r="LV10" s="3899"/>
      <c r="LW10" s="3899"/>
      <c r="LX10" s="3899"/>
      <c r="LY10" s="3899"/>
      <c r="LZ10" s="3899"/>
      <c r="MA10" s="3899"/>
      <c r="MB10" s="3899"/>
      <c r="MC10" s="3899"/>
      <c r="MD10" s="3899"/>
      <c r="ME10" s="3899"/>
      <c r="MF10" s="3899"/>
      <c r="MG10" s="3899"/>
      <c r="MH10" s="3899"/>
      <c r="MI10" s="3899"/>
      <c r="MJ10" s="3899"/>
      <c r="MK10" s="3916"/>
      <c r="ML10" s="3916"/>
      <c r="MM10" s="3916"/>
      <c r="MN10" s="3916"/>
      <c r="MO10" s="3916"/>
      <c r="MP10" s="3899"/>
      <c r="MQ10" s="3899"/>
      <c r="MR10" s="3899"/>
      <c r="MS10" s="3899"/>
      <c r="MT10" s="3899"/>
      <c r="MU10" s="89"/>
      <c r="MV10" s="89"/>
      <c r="MW10" s="89"/>
      <c r="MX10" s="89"/>
      <c r="MY10" s="89"/>
      <c r="MZ10" s="89"/>
      <c r="NA10" s="89"/>
      <c r="NB10" s="89"/>
      <c r="NC10" s="89"/>
      <c r="ND10" s="89"/>
      <c r="NE10" s="89"/>
      <c r="NF10" s="89"/>
      <c r="NG10" s="89"/>
      <c r="NH10" s="89"/>
      <c r="NI10" s="89"/>
      <c r="NJ10" s="89"/>
      <c r="NK10" s="89"/>
      <c r="NL10" s="89"/>
      <c r="NM10" s="89"/>
      <c r="NN10" s="89"/>
      <c r="NO10" s="89"/>
      <c r="NP10" s="2855"/>
      <c r="NQ10" s="89"/>
      <c r="NR10" s="89"/>
      <c r="NS10" s="89"/>
      <c r="NT10" s="89"/>
      <c r="NU10" s="89"/>
      <c r="NV10" s="89"/>
      <c r="NW10" s="89"/>
      <c r="NX10" s="89"/>
      <c r="NY10" s="89"/>
      <c r="NZ10" s="89"/>
      <c r="OA10" s="89"/>
      <c r="OB10" s="89"/>
      <c r="OC10" s="89"/>
      <c r="OD10" s="89"/>
      <c r="OE10" s="89"/>
      <c r="OF10" s="89"/>
      <c r="OG10" s="89"/>
      <c r="OH10" s="89"/>
      <c r="OI10" s="89"/>
      <c r="OJ10" s="89"/>
      <c r="OK10" s="89"/>
      <c r="OL10" s="89"/>
      <c r="OM10" s="89"/>
      <c r="ON10" s="89"/>
      <c r="OO10" s="89"/>
      <c r="OP10" s="89"/>
      <c r="OQ10" s="89"/>
      <c r="OR10" s="89"/>
      <c r="OS10" s="89"/>
      <c r="OT10" s="89"/>
      <c r="OU10" s="89"/>
      <c r="OV10" s="89"/>
      <c r="OW10" s="89"/>
      <c r="OX10" s="89"/>
      <c r="OY10" s="89"/>
      <c r="OZ10" s="89"/>
      <c r="PA10" s="89"/>
      <c r="PB10" s="89"/>
      <c r="PC10" s="89"/>
      <c r="PD10" s="89"/>
      <c r="PE10" s="89"/>
      <c r="PF10" s="89"/>
      <c r="PG10" s="89"/>
      <c r="PH10" s="89"/>
      <c r="PI10" s="89"/>
      <c r="PJ10" s="89"/>
      <c r="PK10" s="89"/>
      <c r="PL10" s="89"/>
      <c r="PM10" s="89"/>
      <c r="PN10" s="89"/>
      <c r="PO10" s="89"/>
      <c r="PP10" s="89"/>
      <c r="PQ10" s="89"/>
      <c r="PR10" s="89"/>
      <c r="PS10" s="89"/>
      <c r="PT10" s="89"/>
      <c r="PU10" s="89"/>
      <c r="PV10" s="89"/>
      <c r="PW10" s="89"/>
      <c r="PX10" s="89"/>
      <c r="PY10" s="89"/>
      <c r="PZ10" s="89"/>
      <c r="QA10" s="89"/>
      <c r="QB10" s="89"/>
      <c r="QC10" s="89"/>
      <c r="QD10" s="89"/>
      <c r="QE10" s="89"/>
      <c r="QF10" s="89"/>
      <c r="QG10" s="89"/>
      <c r="QH10" s="89"/>
      <c r="QI10" s="89"/>
      <c r="QJ10" s="89"/>
      <c r="QK10" s="89"/>
      <c r="QL10" s="89"/>
      <c r="QM10" s="89"/>
      <c r="QN10" s="89"/>
      <c r="QO10" s="89"/>
      <c r="QP10" s="89"/>
      <c r="QQ10" s="89"/>
      <c r="QR10" s="89"/>
      <c r="QS10" s="89"/>
      <c r="QT10" s="89"/>
      <c r="QU10" s="89"/>
      <c r="QV10" s="89"/>
      <c r="QW10" s="89"/>
      <c r="QX10" s="89"/>
      <c r="QY10" s="89"/>
      <c r="QZ10" s="89"/>
      <c r="RA10" s="89"/>
      <c r="RB10" s="89"/>
      <c r="RC10" s="89"/>
      <c r="RD10" s="89"/>
      <c r="RE10" s="89"/>
      <c r="RF10" s="89"/>
      <c r="RG10" s="89"/>
      <c r="RH10" s="89"/>
      <c r="RI10" s="89"/>
      <c r="RJ10" s="89"/>
      <c r="RK10" s="89"/>
      <c r="RL10" s="89"/>
      <c r="RM10" s="89"/>
      <c r="RN10" s="89"/>
      <c r="RO10" s="89"/>
      <c r="RP10" s="89"/>
      <c r="RQ10" s="89"/>
      <c r="RR10" s="89"/>
      <c r="RS10" s="89"/>
      <c r="RT10" s="89"/>
      <c r="RU10" s="89"/>
      <c r="RV10" s="89"/>
      <c r="RW10" s="89"/>
      <c r="RX10" s="89"/>
      <c r="RY10" s="89"/>
    </row>
    <row r="11" spans="1:493" ht="13.9" customHeight="1">
      <c r="A11" s="108" t="str">
        <f>IF(AND(E11&gt;0,OR(B11="",C11="",D11="",F11="",G11="", H11="",I11="",N11="",O11="",P11="",Q11="")),1,"")</f>
        <v/>
      </c>
      <c r="B11" s="2856" t="s">
        <v>3827</v>
      </c>
      <c r="C11" s="2857"/>
      <c r="D11" s="2858"/>
      <c r="E11" s="2859"/>
      <c r="F11" s="2859"/>
      <c r="G11" s="2859"/>
      <c r="H11" s="2859"/>
      <c r="I11" s="2860"/>
      <c r="J11" s="2861"/>
      <c r="K11" s="2862"/>
      <c r="L11" s="536">
        <f t="shared" ref="L11:L48" si="0">MAX(0,H11-I11-J11)</f>
        <v>0</v>
      </c>
      <c r="M11" s="536">
        <f t="shared" ref="M11:M48" si="1">MAX(0,E11*L11)</f>
        <v>0</v>
      </c>
      <c r="N11" s="2863"/>
      <c r="O11" s="2864"/>
      <c r="P11" s="2863"/>
      <c r="Q11" s="2865"/>
      <c r="R11" s="2866"/>
      <c r="S11" s="2867"/>
      <c r="T11" s="3847"/>
      <c r="U11" s="3848"/>
      <c r="V11" s="3848"/>
      <c r="W11" s="3849"/>
      <c r="X11" s="430" t="str">
        <f t="shared" ref="X11:X48" si="2">IF(AND(C11="Efficiency",B11=80,NOT(N11="Common Space")),E11,"")</f>
        <v/>
      </c>
      <c r="Y11" s="430" t="str">
        <f t="shared" ref="Y11:Y48" si="3">IF(AND(C11=1,B11=80,NOT(N11="Common Space")),E11,"")</f>
        <v/>
      </c>
      <c r="Z11" s="430" t="str">
        <f t="shared" ref="Z11:Z48" si="4">IF(AND(C11=2,B11=80,NOT(N11="Common Space")),E11,"")</f>
        <v/>
      </c>
      <c r="AA11" s="430" t="str">
        <f t="shared" ref="AA11:AA48" si="5">IF(AND(C11=3,B11=80,NOT(N11="Common Space")),E11,"")</f>
        <v/>
      </c>
      <c r="AB11" s="430" t="str">
        <f t="shared" ref="AB11:AB48" si="6">IF(AND(C11=4,B11=80,NOT(N11="Common Space")),E11,"")</f>
        <v/>
      </c>
      <c r="AC11" s="430" t="str">
        <f t="shared" ref="AC11:AC48" si="7">IF(AND(C11="Efficiency",B11=70,NOT(N11="Common Space")),E11,"")</f>
        <v/>
      </c>
      <c r="AD11" s="430" t="str">
        <f t="shared" ref="AD11:AD48" si="8">IF(AND(C11=1,B11=70,NOT(N11="Common Space")),E11,"")</f>
        <v/>
      </c>
      <c r="AE11" s="430" t="str">
        <f t="shared" ref="AE11:AE48" si="9">IF(AND(C11=2,B11=70,NOT(N11="Common Space")),E11,"")</f>
        <v/>
      </c>
      <c r="AF11" s="430" t="str">
        <f t="shared" ref="AF11:AF48" si="10">IF(AND(C11=3,B11=70,NOT(N11="Common Space")),E11,"")</f>
        <v/>
      </c>
      <c r="AG11" s="430" t="str">
        <f t="shared" ref="AG11:AG48" si="11">IF(AND(C11=4,B11=70,NOT(N11="Common Space")),E11,"")</f>
        <v/>
      </c>
      <c r="AH11" s="430" t="str">
        <f t="shared" ref="AH11:AH48" si="12">IF(AND(C11="Efficiency",B11=60,NOT(N11="Common Space")),E11,"")</f>
        <v/>
      </c>
      <c r="AI11" s="430" t="str">
        <f t="shared" ref="AI11:AI48" si="13">IF(AND(C11=1,B11=60,NOT(N11="Common Space")),E11,"")</f>
        <v/>
      </c>
      <c r="AJ11" s="430" t="str">
        <f t="shared" ref="AJ11:AJ48" si="14">IF(AND(C11=2,B11=60,NOT(N11="Common Space")),E11,"")</f>
        <v/>
      </c>
      <c r="AK11" s="430" t="str">
        <f t="shared" ref="AK11:AK48" si="15">IF(AND(C11=3,B11=60,NOT(N11="Common Space")),E11,"")</f>
        <v/>
      </c>
      <c r="AL11" s="430" t="str">
        <f t="shared" ref="AL11:AL48" si="16">IF(AND(C11=4,B11=60,NOT(N11="Common Space")),E11,"")</f>
        <v/>
      </c>
      <c r="AM11" s="430" t="str">
        <f t="shared" ref="AM11:AM48" si="17">IF(AND(C11="Efficiency",B11=50,NOT(N11="Common Space")),E11,"")</f>
        <v/>
      </c>
      <c r="AN11" s="430" t="str">
        <f t="shared" ref="AN11:AN48" si="18">IF(AND(C11=1,B11=50,NOT(N11="Common Space")),E11,"")</f>
        <v/>
      </c>
      <c r="AO11" s="430" t="str">
        <f t="shared" ref="AO11:AO48" si="19">IF(AND(C11=2,B11=50,NOT(N11="Common Space")),E11,"")</f>
        <v/>
      </c>
      <c r="AP11" s="430" t="str">
        <f t="shared" ref="AP11:AP48" si="20">IF(AND(C11=3,B11=50,NOT(N11="Common Space")),E11,"")</f>
        <v/>
      </c>
      <c r="AQ11" s="430" t="str">
        <f t="shared" ref="AQ11:AQ48" si="21">IF(AND(C11=4,B11=50,NOT(N11="Common Space")),E11,"")</f>
        <v/>
      </c>
      <c r="AR11" s="430" t="str">
        <f t="shared" ref="AR11:AR48" si="22">IF(AND(C11="Efficiency",B11=40,NOT(N11="Common Space")),E11,"")</f>
        <v/>
      </c>
      <c r="AS11" s="430" t="str">
        <f t="shared" ref="AS11:AS48" si="23">IF(AND(C11=1,B11=40,NOT(N11="Common Space")),E11,"")</f>
        <v/>
      </c>
      <c r="AT11" s="430" t="str">
        <f t="shared" ref="AT11:AT48" si="24">IF(AND(C11=2,B11=40,NOT(N11="Common Space")),E11,"")</f>
        <v/>
      </c>
      <c r="AU11" s="430" t="str">
        <f t="shared" ref="AU11:AU48" si="25">IF(AND(C11=3,B11=40,NOT(N11="Common Space")),E11,"")</f>
        <v/>
      </c>
      <c r="AV11" s="430" t="str">
        <f t="shared" ref="AV11:AV48" si="26">IF(AND(C11=4,B11=40,NOT(N11="Common Space")),E11,"")</f>
        <v/>
      </c>
      <c r="AW11" s="430" t="str">
        <f t="shared" ref="AW11:AW48" si="27">IF(AND(C11="Efficiency",B11=30,NOT(N11="Common Space")),E11,"")</f>
        <v/>
      </c>
      <c r="AX11" s="430" t="str">
        <f t="shared" ref="AX11:AX48" si="28">IF(AND(C11=1,B11=30,NOT(N11="Common Space")),E11,"")</f>
        <v/>
      </c>
      <c r="AY11" s="430" t="str">
        <f t="shared" ref="AY11:AY48" si="29">IF(AND(C11=2,B11=30,NOT(N11="Common Space")),E11,"")</f>
        <v/>
      </c>
      <c r="AZ11" s="430" t="str">
        <f t="shared" ref="AZ11:AZ48" si="30">IF(AND(C11=3,B11=30,NOT(N11="Common Space")),E11,"")</f>
        <v/>
      </c>
      <c r="BA11" s="430" t="str">
        <f t="shared" ref="BA11:BA48" si="31">IF(AND(C11=4,B11=30,NOT(N11="Common Space")),E11,"")</f>
        <v/>
      </c>
      <c r="BB11" s="430" t="str">
        <f t="shared" ref="BB11:BB48" si="32">IF(AND(C11="Efficiency",B11=20,NOT(N11="Common Space")),E11,"")</f>
        <v/>
      </c>
      <c r="BC11" s="430" t="str">
        <f t="shared" ref="BC11:BC48" si="33">IF(AND(C11=1,B11=20,NOT(N11="Common Space")),E11,"")</f>
        <v/>
      </c>
      <c r="BD11" s="430" t="str">
        <f t="shared" ref="BD11:BD48" si="34">IF(AND(C11=2,B11=20,NOT(N11="Common Space")),E11,"")</f>
        <v/>
      </c>
      <c r="BE11" s="430" t="str">
        <f t="shared" ref="BE11:BE48" si="35">IF(AND(C11=3,B11=20,NOT(N11="Common Space")),E11,"")</f>
        <v/>
      </c>
      <c r="BF11" s="430" t="str">
        <f t="shared" ref="BF11:BF48" si="36">IF(AND(C11=4,B11=20,NOT(N11="Common Space")),E11,"")</f>
        <v/>
      </c>
      <c r="BG11" s="430" t="str">
        <f t="shared" ref="BG11:BG48" si="37">IF(AND(C11="Efficiency",B11="Unrestricted",NOT(N11="Common Space")),E11,"")</f>
        <v/>
      </c>
      <c r="BH11" s="430" t="str">
        <f t="shared" ref="BH11:BH48" si="38">IF(AND(C11=1,B11="Unrestricted",NOT(N11="Common Space")),E11,"")</f>
        <v/>
      </c>
      <c r="BI11" s="430" t="str">
        <f t="shared" ref="BI11:BI48" si="39">IF(AND(C11=2,B11="Unrestricted",NOT(N11="Common Space")),E11,"")</f>
        <v/>
      </c>
      <c r="BJ11" s="430" t="str">
        <f t="shared" ref="BJ11:BJ48" si="40">IF(AND(C11=3,B11="Unrestricted",NOT(N11="Common Space")),E11,"")</f>
        <v/>
      </c>
      <c r="BK11" s="430" t="str">
        <f t="shared" ref="BK11:BK48" si="41">IF(AND(C11=4,B11="Unrestricted",NOT(N11="Common Space")),E11,"")</f>
        <v/>
      </c>
      <c r="BL11" s="430" t="str">
        <f t="shared" ref="BL11:BL48" si="42">IF(OR(AND($C11="Efficiency",NOT($K11=""),NOT($K11="PHA Oper Sub"),$B11=20,NOT($N11="Common Space")),AND($C11="Efficiency",NOT($K11=""),NOT($K11="PHA Oper Sub"),$B11="HOME 20",NOT($N11="Common Space"))),$E11,"")</f>
        <v/>
      </c>
      <c r="BM11" s="430" t="str">
        <f t="shared" ref="BM11:BM48" si="43">IF(OR(AND($C11=1,NOT($K11=""),NOT($K11="PHA Oper Sub"),$B11=20,NOT($N11="Common Space")),AND($C11=1,NOT($K11=""),NOT($K11="PHA Oper Sub"),$B11="HOME 20",NOT($N11="Common Space"))),$E11,"")</f>
        <v/>
      </c>
      <c r="BN11" s="430" t="str">
        <f t="shared" ref="BN11:BN48" si="44">IF(OR(AND($C11=2,NOT($K11=""),NOT($K11="PHA Oper Sub"),$B11=20,NOT($N11="Common Space")),AND($C11=2,NOT($K11=""),NOT($K11="PHA Oper Sub"),$B11="HOME 20",NOT($N11="Common Space"))),$E11,"")</f>
        <v/>
      </c>
      <c r="BO11" s="430" t="str">
        <f t="shared" ref="BO11:BO48" si="45">IF(OR(AND($C11=3,NOT($K11=""),NOT($K11="PHA Oper Sub"),$B11=20,NOT($N11="Common Space")),AND($C11=3,NOT($K11=""),NOT($K11="PHA Oper Sub"),$B11="HOME 20",NOT($N11="Common Space"))),$E11,"")</f>
        <v/>
      </c>
      <c r="BP11" s="430" t="str">
        <f t="shared" ref="BP11:BP48" si="46">IF(OR(AND($C11=4,NOT($K11=""),NOT($K11="PHA Oper Sub"),$B11=20,NOT($N11="Common Space")),AND($C11=4,NOT($K11=""),NOT($K11="PHA Oper Sub"),$B11="HOME 20",NOT($N11="Common Space"))),$E11,"")</f>
        <v/>
      </c>
      <c r="BQ11" s="430" t="str">
        <f t="shared" ref="BQ11:BQ48" si="47">IF(OR(AND($C11="Efficiency",NOT($K11=""),NOT($K11="PHA Oper Sub"),$B11=30,NOT($N11="Common Space")),AND($C11="Efficiency",NOT($K11=""),NOT($K11="PHA Oper Sub"),$B11="HOME 30",NOT($N11="Common Space"))),$E11,"")</f>
        <v/>
      </c>
      <c r="BR11" s="430" t="str">
        <f t="shared" ref="BR11:BR48" si="48">IF(OR(AND($C11=1,NOT($K11=""),NOT($K11="PHA Oper Sub"),$B11=30,NOT($N11="Common Space")),AND($C11=1,NOT($K11=""),NOT($K11="PHA Oper Sub"),$B11="HOME 30",NOT($N11="Common Space"))),$E11,"")</f>
        <v/>
      </c>
      <c r="BS11" s="430" t="str">
        <f t="shared" ref="BS11:BS48" si="49">IF(OR(AND($C11=2,NOT($K11=""),NOT($K11="PHA Oper Sub"),$B11=30,NOT($N11="Common Space")),AND($C11=2,NOT($K11=""),NOT($K11="PHA Oper Sub"),$B11="HOME 30",NOT($N11="Common Space"))),$E11,"")</f>
        <v/>
      </c>
      <c r="BT11" s="430" t="str">
        <f t="shared" ref="BT11:BT48" si="50">IF(OR(AND($C11=3,NOT($K11=""),NOT($K11="PHA Oper Sub"),$B11=30,NOT($N11="Common Space")),AND($C11=3,NOT($K11=""),NOT($K11="PHA Oper Sub"),$B11="HOME 30",NOT($N11="Common Space"))),$E11,"")</f>
        <v/>
      </c>
      <c r="BU11" s="430" t="str">
        <f t="shared" ref="BU11:BU48" si="51">IF(OR(AND($C11=4,NOT($K11=""),NOT($K11="PHA Oper Sub"),$B11=30,NOT($N11="Common Space")),AND($C11=4,NOT($K11=""),NOT($K11="PHA Oper Sub"),$B11="HOME 30",NOT($N11="Common Space"))),$E11,"")</f>
        <v/>
      </c>
      <c r="BV11" s="430" t="str">
        <f t="shared" ref="BV11:BV48" si="52">IF(OR(AND($C11="Efficiency",NOT($K11=""),NOT($K11="PHA Oper Sub"),$B11=40,NOT($N11="Common Space")),AND($C11="Efficiency",NOT($K11=""),NOT($K11="PHA Oper Sub"),$B11="HOME 40",NOT($N11="Common Space"))),$E11,"")</f>
        <v/>
      </c>
      <c r="BW11" s="430" t="str">
        <f t="shared" ref="BW11:BW48" si="53">IF(OR(AND($C11=1,NOT($K11=""),NOT($K11="PHA Oper Sub"),$B11=40,NOT($N11="Common Space")),AND($C11=1,NOT($K11=""),NOT($K11="PHA Oper Sub"),$B11="HOME 40",NOT($N11="Common Space"))),$E11,"")</f>
        <v/>
      </c>
      <c r="BX11" s="430" t="str">
        <f t="shared" ref="BX11:BX48" si="54">IF(OR(AND($C11=2,NOT($K11=""),NOT($K11="PHA Oper Sub"),$B11=40,NOT($N11="Common Space")),AND($C11=2,NOT($K11=""),NOT($K11="PHA Oper Sub"),$B11="HOME 40",NOT($N11="Common Space"))),$E11,"")</f>
        <v/>
      </c>
      <c r="BY11" s="430" t="str">
        <f t="shared" ref="BY11:BY48" si="55">IF(OR(AND($C11=3,NOT($K11=""),NOT($K11="PHA Oper Sub"),$B11=40,NOT($N11="Common Space")),AND($C11=3,NOT($K11=""),NOT($K11="PHA Oper Sub"),$B11="HOME 40",NOT($N11="Common Space"))),$E11,"")</f>
        <v/>
      </c>
      <c r="BZ11" s="430" t="str">
        <f t="shared" ref="BZ11:BZ48" si="56">IF(OR(AND($C11=4,NOT($K11=""),NOT($K11="PHA Oper Sub"),$B11=40,NOT($N11="Common Space")),AND($C11=4,NOT($K11=""),NOT($K11="PHA Oper Sub"),$B11="HOME 40",NOT($N11="Common Space"))),$E11,"")</f>
        <v/>
      </c>
      <c r="CA11" s="430" t="str">
        <f t="shared" ref="CA11:CA48" si="57">IF(OR(AND($C11="Efficiency",NOT($K11=""),NOT($K11="PHA Oper Sub"),NOT($K11=0),$B11=50,NOT($N11="Common Space")),AND($C11="Efficiency",NOT($K11=""),NOT($K11=0),NOT($K11="PHA Oper Sub"),$B11="HOME 50",NOT($N11="Common Space"))),$E11,"")</f>
        <v/>
      </c>
      <c r="CB11" s="430" t="str">
        <f t="shared" ref="CB11:CB48" si="58">IF(OR(AND($C11=1,NOT($K11=""),NOT($K11=0),NOT($K11="PHA Oper Sub"),$B11=50,NOT($N11="Common Space")),AND($C11=1,NOT($K11=""),NOT($K11=0),NOT($K11="PHA Oper Sub"),$B11="HOME 50",NOT($N11="Common Space"))),$E11,"")</f>
        <v/>
      </c>
      <c r="CC11" s="430" t="str">
        <f t="shared" ref="CC11:CC48" si="59">IF(OR(AND($C11=2,NOT($K11=""),NOT($K11=0),NOT($K11="PHA Oper Sub"),$B11=50,NOT($N11="Common Space")),AND($C11=2,NOT($K11=""),NOT($K11=0),NOT($K11="PHA Oper Sub"),$B11="HOME 50",NOT($N11="Common Space"))),$E11,"")</f>
        <v/>
      </c>
      <c r="CD11" s="430" t="str">
        <f t="shared" ref="CD11:CD48" si="60">IF(OR(AND($C11=3,NOT($K11=""),NOT($K11=0),NOT($K11="PHA Oper Sub"),$B11=50,NOT($N11="Common Space")),AND($C11=3,NOT($K11=""),NOT($K11=0),NOT($K11="PHA Oper Sub"),$B11="HOME 50",NOT($N11="Common Space"))),$E11,"")</f>
        <v/>
      </c>
      <c r="CE11" s="430" t="str">
        <f t="shared" ref="CE11:CE48" si="61">IF(OR(AND($C11=4,NOT($K11=""),NOT($K11=0),NOT($K11="PHA Oper Sub"),$B11=50,NOT($N11="Common Space")),AND($C11=4,NOT($K11=""),NOT($K11=0),NOT($K11="PHA Oper Sub"),$B11="HOME 50",NOT($N11="Common Space"))),$E11,"")</f>
        <v/>
      </c>
      <c r="CF11" s="430" t="str">
        <f t="shared" ref="CF11:CF48" si="62">IF(OR(AND($C11="Efficiency",NOT($K11=""),NOT($K11=0),NOT($K11="PHA Oper Sub"),$B11=60,NOT($N11="Common Space")),AND($C11="Efficiency",NOT($K11=""),NOT($K11=0),NOT($K11="PHA Oper Sub"),$B11="HOME 60",NOT($N11="Common Space"))),$E11,"")</f>
        <v/>
      </c>
      <c r="CG11" s="430" t="str">
        <f t="shared" ref="CG11:CG48" si="63">IF(OR(AND($C11=1,NOT($K11=""),NOT($K11=0),NOT($K11="PHA Oper Sub"),$B11=60,NOT($N11="Common Space")),AND($C11=1,NOT($K11=""),NOT($K11=0),NOT($K11="PHA Oper Sub"),$B11="HOME 60",NOT($N11="Common Space"))),$E11,"")</f>
        <v/>
      </c>
      <c r="CH11" s="430" t="str">
        <f t="shared" ref="CH11:CH48" si="64">IF(OR(AND($C11=2,NOT($K11=""),NOT($K11=0),NOT($K11="PHA Oper Sub"),$B11=60,NOT($N11="Common Space")),AND($C11=2,NOT($K11=""),NOT($K11=0),NOT($K11="PHA Oper Sub"),$B11="HOME 60",NOT($N11="Common Space"))),$E11,"")</f>
        <v/>
      </c>
      <c r="CI11" s="430" t="str">
        <f t="shared" ref="CI11:CI48" si="65">IF(OR(AND($C11=3,NOT($K11=""),NOT($K11=0),NOT($K11="PHA Oper Sub"),$B11=60,NOT($N11="Common Space")),AND($C11=3,NOT($K11=""),NOT($K11=0),NOT($K11="PHA Oper Sub"),$B11="HOME 60",NOT($N11="Common Space"))),$E11,"")</f>
        <v/>
      </c>
      <c r="CJ11" s="430" t="str">
        <f t="shared" ref="CJ11:CJ48" si="66">IF(OR(AND($C11=4,NOT($K11=""),NOT($K11=0),NOT($K11="PHA Oper Sub"),$B11=60,NOT($N11="Common Space")),AND($C11=4,NOT($K11=""),NOT($K11=0),NOT($K11="PHA Oper Sub"),$B11="HOME 60",NOT($N11="Common Space"))),$E11,"")</f>
        <v/>
      </c>
      <c r="CK11" s="430" t="str">
        <f t="shared" ref="CK11:CK48" si="67">IF(OR(AND($C11="Efficiency",NOT($K11=""),NOT($K11="PHA Oper Sub"),$B11=70,NOT($N11="Common Space")),AND($C11="Efficiency",NOT($K11=""),NOT($K11="PHA Oper Sub"),$B11="HOME 70",NOT($N11="Common Space"))),$E11,"")</f>
        <v/>
      </c>
      <c r="CL11" s="430" t="str">
        <f t="shared" ref="CL11:CL48" si="68">IF(OR(AND($C11=1,NOT($K11=""),NOT($K11="PHA Oper Sub"),$B11=70,NOT($N11="Common Space")),AND($C11=1,NOT($K11=""),NOT($K11="PHA Oper Sub"),$B11="HOME 70",NOT($N11="Common Space"))),$E11,"")</f>
        <v/>
      </c>
      <c r="CM11" s="430" t="str">
        <f t="shared" ref="CM11:CM48" si="69">IF(OR(AND($C11=2,NOT($K11=""),NOT($K11="PHA Oper Sub"),$B11=70,NOT($N11="Common Space")),AND($C11=2,NOT($K11=""),NOT($K11="PHA Oper Sub"),$B11="HOME 70",NOT($N11="Common Space"))),$E11,"")</f>
        <v/>
      </c>
      <c r="CN11" s="430" t="str">
        <f t="shared" ref="CN11:CN48" si="70">IF(OR(AND($C11=3,NOT($K11=""),NOT($K11="PHA Oper Sub"),$B11=70,NOT($N11="Common Space")),AND($C11=3,NOT($K11=""),NOT($K11="PHA Oper Sub"),$B11="HOME 70",NOT($N11="Common Space"))),$E11,"")</f>
        <v/>
      </c>
      <c r="CO11" s="430" t="str">
        <f t="shared" ref="CO11:CO48" si="71">IF(OR(AND($C11=4,NOT($K11=""),NOT($K11="PHA Oper Sub"),$B11=70,NOT($N11="Common Space")),AND($C11=4,NOT($K11=""),NOT($K11="PHA Oper Sub"),$B11="HOME 70",NOT($N11="Common Space"))),$E11,"")</f>
        <v/>
      </c>
      <c r="CP11" s="430" t="str">
        <f t="shared" ref="CP11:CP48" si="72">IF(OR(AND($C11="Efficiency",NOT($K11=""),NOT($K11="PHA Oper Sub"),$B11=80,NOT($N11="Common Space")),AND($C11="Efficiency",NOT($K11=""),NOT($K11="PHA Oper Sub"),$B11="HOME 80",NOT($N11="Common Space"))),$E11,"")</f>
        <v/>
      </c>
      <c r="CQ11" s="430" t="str">
        <f t="shared" ref="CQ11:CQ48" si="73">IF(OR(AND($C11=1,NOT($K11=""),NOT($K11="PHA Oper Sub"),$B11=80,NOT($N11="Common Space")),AND($C11=1,NOT($K11=""),NOT($K11="PHA Oper Sub"),$B11="HOME 80",NOT($N11="Common Space"))),$E11,"")</f>
        <v/>
      </c>
      <c r="CR11" s="430" t="str">
        <f t="shared" ref="CR11:CR48" si="74">IF(OR(AND($C11=2,NOT($K11=""),NOT($K11="PHA Oper Sub"),$B11=80,NOT($N11="Common Space")),AND($C11=2,NOT($K11=""),NOT($K11="PHA Oper Sub"),$B11="HOME 80",NOT($N11="Common Space"))),$E11,"")</f>
        <v/>
      </c>
      <c r="CS11" s="430" t="str">
        <f t="shared" ref="CS11:CS48" si="75">IF(OR(AND($C11=3,NOT($K11=""),NOT($K11="PHA Oper Sub"),$B11=80,NOT($N11="Common Space")),AND($C11=3,NOT($K11=""),NOT($K11="PHA Oper Sub"),$B11="HOME 80",NOT($N11="Common Space"))),$E11,"")</f>
        <v/>
      </c>
      <c r="CT11" s="430" t="str">
        <f t="shared" ref="CT11:CT48" si="76">IF(OR(AND($C11=4,NOT($K11=""),NOT($K11="PHA Oper Sub"),$B11=80,NOT($N11="Common Space")),AND($C11=4,NOT($K11=""),NOT($K11="PHA Oper Sub"),$B11="HOME 80",NOT($N11="Common Space"))),$E11,"")</f>
        <v/>
      </c>
      <c r="CU11" s="430" t="str">
        <f t="shared" ref="CU11:CU48" si="77">IF(OR(AND($C11="Efficiency",$K11="PHA Oper Sub",$B11=20,NOT($N11="Common Space")),AND($C11="Efficiency",$K11="PHA Oper Sub",$B11="HOME 20",NOT($N11="Common Space"))),$E11,"")</f>
        <v/>
      </c>
      <c r="CV11" s="430" t="str">
        <f t="shared" ref="CV11:CV48" si="78">IF(OR(AND($C11=1,$K11="PHA Oper Sub",$B11=20,NOT($N11="Common Space")),AND($C11=1,$K11="PHA Oper Sub",$B11="HOME 20",NOT($N11="Common Space"))),$E11,"")</f>
        <v/>
      </c>
      <c r="CW11" s="430" t="str">
        <f t="shared" ref="CW11:CW48" si="79">IF(OR(AND($C11=2,$K11="PHA Oper Sub",$B11=20,NOT($N11="Common Space")),AND($C11=2,$K11="PHA Oper Sub",$B11="HOME 20",NOT($N11="Common Space"))),$E11,"")</f>
        <v/>
      </c>
      <c r="CX11" s="430" t="str">
        <f t="shared" ref="CX11:CX48" si="80">IF(OR(AND($C11=3,$K11="PHA Oper Sub",$B11=20,NOT($N11="Common Space")),AND($C11=3,$K11="PHA Oper Sub",$B11="HOME 20",NOT($N11="Common Space"))),$E11,"")</f>
        <v/>
      </c>
      <c r="CY11" s="430" t="str">
        <f t="shared" ref="CY11:CY48" si="81">IF(OR(AND($C11=4,$K11="PHA Oper Sub",$B11=20,NOT($N11="Common Space")),AND($C11=4,$K11="PHA Oper Sub",$B11="HOME 20",NOT($N11="Common Space"))),$E11,"")</f>
        <v/>
      </c>
      <c r="CZ11" s="430" t="str">
        <f t="shared" ref="CZ11:CZ48" si="82">IF(OR(AND($C11="Efficiency",$K11="PHA Oper Sub",$B11=30,NOT($N11="Common Space")),AND($C11="Efficiency",$K11="PHA Oper Sub",$B11="HOME 30",NOT($N11="Common Space"))),$E11,"")</f>
        <v/>
      </c>
      <c r="DA11" s="430" t="str">
        <f t="shared" ref="DA11:DA48" si="83">IF(OR(AND($C11=1,$K11="PHA Oper Sub",$B11=30,NOT($N11="Common Space")),AND($C11=1,$K11="PHA Oper Sub",$B11="HOME 30",NOT($N11="Common Space"))),$E11,"")</f>
        <v/>
      </c>
      <c r="DB11" s="430" t="str">
        <f t="shared" ref="DB11:DB48" si="84">IF(OR(AND($C11=2,$K11="PHA Oper Sub",$B11=30,NOT($N11="Common Space")),AND($C11=2,$K11="PHA Oper Sub",$B11="HOME 30",NOT($N11="Common Space"))),$E11,"")</f>
        <v/>
      </c>
      <c r="DC11" s="430" t="str">
        <f t="shared" ref="DC11:DC48" si="85">IF(OR(AND($C11=3,$K11="PHA Oper Sub",$B11=30,NOT($N11="Common Space")),AND($C11=3,$K11="PHA Oper Sub",$B11="HOME 30",NOT($N11="Common Space"))),$E11,"")</f>
        <v/>
      </c>
      <c r="DD11" s="430" t="str">
        <f t="shared" ref="DD11:DD48" si="86">IF(OR(AND($C11=4,$K11="PHA Oper Sub",$B11=30,NOT($N11="Common Space")),AND($C11=4,$K11="PHA Oper Sub",$B11="HOME 30",NOT($N11="Common Space"))),$E11,"")</f>
        <v/>
      </c>
      <c r="DE11" s="430" t="str">
        <f t="shared" ref="DE11:DE48" si="87">IF(OR(AND($C11="Efficiency",$K11="PHA Oper Sub",$B11=40,NOT($N11="Common Space")),AND($C11="Efficiency",$K11="PHA Oper Sub",$B11="HOME 40",NOT($N11="Common Space"))),$E11,"")</f>
        <v/>
      </c>
      <c r="DF11" s="430" t="str">
        <f t="shared" ref="DF11:DF48" si="88">IF(OR(AND($C11=1,$K11="PHA Oper Sub",$B11=40,NOT($N11="Common Space")),AND($C11=1,$K11="PHA Oper Sub",$B11="HOME 40",NOT($N11="Common Space"))),$E11,"")</f>
        <v/>
      </c>
      <c r="DG11" s="430" t="str">
        <f t="shared" ref="DG11:DG48" si="89">IF(OR(AND($C11=2,$K11="PHA Oper Sub",$B11=40,NOT($N11="Common Space")),AND($C11=2,$K11="PHA Oper Sub",$B11="HOME 40",NOT($N11="Common Space"))),$E11,"")</f>
        <v/>
      </c>
      <c r="DH11" s="430" t="str">
        <f t="shared" ref="DH11:DH48" si="90">IF(OR(AND($C11=3,$K11="PHA Oper Sub",$B11=40,NOT($N11="Common Space")),AND($C11=3,$K11="PHA Oper Sub",$B11="HOME 40",NOT($N11="Common Space"))),$E11,"")</f>
        <v/>
      </c>
      <c r="DI11" s="430" t="str">
        <f t="shared" ref="DI11:DI48" si="91">IF(OR(AND($C11=4,$K11="PHA Oper Sub",$B11=40,NOT($N11="Common Space")),AND($C11=4,$K11="PHA Oper Sub",$B11="HOME 40",NOT($N11="Common Space"))),$E11,"")</f>
        <v/>
      </c>
      <c r="DJ11" s="430" t="str">
        <f t="shared" ref="DJ11:DJ48" si="92">IF(OR(AND($C11="Efficiency",$K11="PHA Oper Sub",$B11=50,NOT($N11="Common Space")),AND($C11="Efficiency",$K11="PHA Oper Sub",$B11="HOME 50",NOT($N11="Common Space"))),$E11,"")</f>
        <v/>
      </c>
      <c r="DK11" s="430" t="str">
        <f t="shared" ref="DK11:DK48" si="93">IF(OR(AND($C11=1,$K11="PHA Oper Sub",$B11=50,NOT($N11="Common Space")),AND($C11=1,$K11="PHA Oper Sub",$B11="HOME 50",NOT($N11="Common Space"))),$E11,"")</f>
        <v/>
      </c>
      <c r="DL11" s="430" t="str">
        <f t="shared" ref="DL11:DL48" si="94">IF(OR(AND($C11=2,$K11="PHA Oper Sub",$B11=50,NOT($N11="Common Space")),AND($C11=2,$K11="PHA Oper Sub",$B11="HOME 50",NOT($N11="Common Space"))),$E11,"")</f>
        <v/>
      </c>
      <c r="DM11" s="430" t="str">
        <f t="shared" ref="DM11:DM48" si="95">IF(OR(AND($C11=3,$K11="PHA Oper Sub",$B11=50,NOT($N11="Common Space")),AND($C11=3,$K11="PHA Oper Sub",$B11="HOME 50",NOT($N11="Common Space"))),$E11,"")</f>
        <v/>
      </c>
      <c r="DN11" s="430" t="str">
        <f t="shared" ref="DN11:DN48" si="96">IF(OR(AND($C11=4,$K11="PHA Oper Sub",$B11=50,NOT($N11="Common Space")),AND($C11=4,$K11="PHA Oper Sub",$B11="HOME 50",NOT($N11="Common Space"))),$E11,"")</f>
        <v/>
      </c>
      <c r="DO11" s="430" t="str">
        <f t="shared" ref="DO11:DO48" si="97">IF(OR(AND($C11="Efficiency",$K11="PHA Oper Sub",$B11=60,NOT($N11="Common Space")),AND($C11="Efficiency",$K11="PHA Oper Sub",$B11="HOME 60",NOT($N11="Common Space"))),$E11,"")</f>
        <v/>
      </c>
      <c r="DP11" s="430" t="str">
        <f t="shared" ref="DP11:DP48" si="98">IF(OR(AND($C11=1,$K11="PHA Oper Sub",$B11=60,NOT($N11="Common Space")),AND($C11=1,$K11="PHA Oper Sub",$B11="HOME 60",NOT($N11="Common Space"))),$E11,"")</f>
        <v/>
      </c>
      <c r="DQ11" s="430" t="str">
        <f t="shared" ref="DQ11:DQ48" si="99">IF(OR(AND($C11=2,$K11="PHA Oper Sub",$B11=60,NOT($N11="Common Space")),AND($C11=2,$K11="PHA Oper Sub",$B11="HOME 60",NOT($N11="Common Space"))),$E11,"")</f>
        <v/>
      </c>
      <c r="DR11" s="430" t="str">
        <f t="shared" ref="DR11:DR48" si="100">IF(OR(AND($C11=3,$K11="PHA Oper Sub",$B11=60,NOT($N11="Common Space")),AND($C11=3,$K11="PHA Oper Sub",$B11="HOME 60",NOT($N11="Common Space"))),$E11,"")</f>
        <v/>
      </c>
      <c r="DS11" s="430" t="str">
        <f t="shared" ref="DS11:DS48" si="101">IF(OR(AND($C11=4,$K11="PHA Oper Sub",$B11=60,NOT($N11="Common Space")),AND($C11=4,$K11="PHA Oper Sub",$B11="HOME 60",NOT($N11="Common Space"))),$E11,"")</f>
        <v/>
      </c>
      <c r="DT11" s="430" t="str">
        <f t="shared" ref="DT11:DT48" si="102">IF(OR(AND($C11="Efficiency",$K11="PHA Oper Sub",$B11=70,NOT($N11="Common Space")),AND($C11="Efficiency",$K11="PHA Oper Sub",$B11="HOME 70",NOT($N11="Common Space"))),$E11,"")</f>
        <v/>
      </c>
      <c r="DU11" s="430" t="str">
        <f t="shared" ref="DU11:DU48" si="103">IF(OR(AND($C11=1,$K11="PHA Oper Sub",$B11=70,NOT($N11="Common Space")),AND($C11=1,$K11="PHA Oper Sub",$B11="HOME 70",NOT($N11="Common Space"))),$E11,"")</f>
        <v/>
      </c>
      <c r="DV11" s="430" t="str">
        <f t="shared" ref="DV11:DV48" si="104">IF(OR(AND($C11=2,$K11="PHA Oper Sub",$B11=70,NOT($N11="Common Space")),AND($C11=2,$K11="PHA Oper Sub",$B11="HOME 70",NOT($N11="Common Space"))),$E11,"")</f>
        <v/>
      </c>
      <c r="DW11" s="430" t="str">
        <f t="shared" ref="DW11:DW48" si="105">IF(OR(AND($C11=3,$K11="PHA Oper Sub",$B11=70,NOT($N11="Common Space")),AND($C11=3,$K11="PHA Oper Sub",$B11="HOME 70",NOT($N11="Common Space"))),$E11,"")</f>
        <v/>
      </c>
      <c r="DX11" s="430" t="str">
        <f t="shared" ref="DX11:DX48" si="106">IF(OR(AND($C11=4,$K11="PHA Oper Sub",$B11=70,NOT($N11="Common Space")),AND($C11=4,$K11="PHA Oper Sub",$B11="HOME 70",NOT($N11="Common Space"))),$E11,"")</f>
        <v/>
      </c>
      <c r="DY11" s="430" t="str">
        <f t="shared" ref="DY11:DY48" si="107">IF(OR(AND($C11="Efficiency",$K11="PHA Oper Sub",$B11=80,NOT($N11="Common Space")),AND($C11="Efficiency",$K11="PHA Oper Sub",$B11="HOME 80",NOT($N11="Common Space"))),$E11,"")</f>
        <v/>
      </c>
      <c r="DZ11" s="430" t="str">
        <f t="shared" ref="DZ11:DZ48" si="108">IF(OR(AND($C11=1,$K11="PHA Oper Sub",$B11=80,NOT($N11="Common Space")),AND($C11=1,$K11="PHA Oper Sub",$B11="HOME 80",NOT($N11="Common Space"))),$E11,"")</f>
        <v/>
      </c>
      <c r="EA11" s="430" t="str">
        <f t="shared" ref="EA11:EA48" si="109">IF(OR(AND($C11=2,$K11="PHA Oper Sub",$B11=80,NOT($N11="Common Space")),AND($C11=2,$K11="PHA Oper Sub",$B11="HOME 80",NOT($N11="Common Space"))),$E11,"")</f>
        <v/>
      </c>
      <c r="EB11" s="430" t="str">
        <f t="shared" ref="EB11:EB48" si="110">IF(OR(AND($C11=3,$K11="PHA Oper Sub",$B11=80,NOT($N11="Common Space")),AND($C11=3,$K11="PHA Oper Sub",$B11="HOME 80",NOT($N11="Common Space"))),$E11,"")</f>
        <v/>
      </c>
      <c r="EC11" s="430" t="str">
        <f t="shared" ref="EC11:EC48" si="111">IF(OR(AND($C11=4,$K11="PHA Oper Sub",$B11=80,NOT($N11="Common Space")),AND($C11=4,$K11="PHA Oper Sub",$B11="HOME 80",NOT($N11="Common Space"))),$E11,"")</f>
        <v/>
      </c>
      <c r="ED11" s="430" t="str">
        <f t="shared" ref="ED11:ED48" si="112">IF(AND(C11="Efficiency",N11="Common Space"),E11,"")</f>
        <v/>
      </c>
      <c r="EE11" s="430" t="str">
        <f t="shared" ref="EE11:EE48" si="113">IF(AND(C11=1,N11="Common Space"),E11,"")</f>
        <v/>
      </c>
      <c r="EF11" s="430" t="str">
        <f t="shared" ref="EF11:EF48" si="114">IF(AND(C11=2,N11="Common Space"),E11,"")</f>
        <v/>
      </c>
      <c r="EG11" s="430" t="str">
        <f t="shared" ref="EG11:EG48" si="115">IF(AND(C11=3,N11="Common Space"),E11,"")</f>
        <v/>
      </c>
      <c r="EH11" s="430" t="str">
        <f t="shared" ref="EH11:EH48" si="116">IF(AND(C11=4,N11="Common Space"),E11,"")</f>
        <v/>
      </c>
      <c r="EI11" s="430" t="str">
        <f t="shared" ref="EI11:EI48" si="117">IF(OR(AND($C11="Efficiency",$B11=80,NOT($N11="Common Space")),AND($C11="Efficiency",$B11="HOME 80",NOT($N11="Common Space"))),$E11*$F11,"")</f>
        <v/>
      </c>
      <c r="EJ11" s="430" t="str">
        <f t="shared" ref="EJ11:EJ48" si="118">IF(OR(AND($C11=1,$B11=80,NOT($N11="Common Space")),AND($C11=1,$B11="HOME 80",NOT($N11="Common Space"))),$E11*$F11,"")</f>
        <v/>
      </c>
      <c r="EK11" s="430" t="str">
        <f t="shared" ref="EK11:EK48" si="119">IF(OR(AND($C11=2,$B11=80,NOT($N11="Common Space")),AND($C11=2,$B11="HOME 80",NOT($N11="Common Space"))),$E11*$F11,"")</f>
        <v/>
      </c>
      <c r="EL11" s="430" t="str">
        <f t="shared" ref="EL11:EL48" si="120">IF(OR(AND($C11=3,$B11=80,NOT($N11="Common Space")),AND($C11=3,$B11="HOME 80",NOT($N11="Common Space"))),$E11*$F11,"")</f>
        <v/>
      </c>
      <c r="EM11" s="430" t="str">
        <f t="shared" ref="EM11:EM48" si="121">IF(OR(AND($C11=4,$B11=80,NOT($N11="Common Space")),AND($C11=4,$B11="HOME 80",NOT($N11="Common Space"))),$E11*$F11,"")</f>
        <v/>
      </c>
      <c r="EN11" s="430" t="str">
        <f t="shared" ref="EN11:EN48" si="122">IF(OR(AND($C11="Efficiency",$B11=70,NOT($N11="Common Space")),AND($C11="Efficiency",$B11="HOME 70",NOT($N11="Common Space"))),$E11*$F11,"")</f>
        <v/>
      </c>
      <c r="EO11" s="430" t="str">
        <f t="shared" ref="EO11:EO48" si="123">IF(OR(AND($C11=1,$B11=70,NOT($N11="Common Space")),AND($C11=1,$B11="HOME 70",NOT($N11="Common Space"))),$E11*$F11,"")</f>
        <v/>
      </c>
      <c r="EP11" s="430" t="str">
        <f t="shared" ref="EP11:EP48" si="124">IF(OR(AND($C11=2,$B11=70,NOT($N11="Common Space")),AND($C11=2,$B11="HOME 70",NOT($N11="Common Space"))),$E11*$F11,"")</f>
        <v/>
      </c>
      <c r="EQ11" s="430" t="str">
        <f t="shared" ref="EQ11:EQ48" si="125">IF(OR(AND($C11=3,$B11=70,NOT($N11="Common Space")),AND($C11=3,$B11="HOME 70",NOT($N11="Common Space"))),$E11*$F11,"")</f>
        <v/>
      </c>
      <c r="ER11" s="430" t="str">
        <f t="shared" ref="ER11:ER48" si="126">IF(OR(AND($C11=4,$B11=70,NOT($N11="Common Space")),AND($C11=4,$B11="HOME 70",NOT($N11="Common Space"))),$E11*$F11,"")</f>
        <v/>
      </c>
      <c r="ES11" s="430" t="str">
        <f t="shared" ref="ES11:ES48" si="127">IF(OR(AND($C11="Efficiency",$B11=60,NOT($N11="Common Space")),AND($C11="Efficiency",$B11="HOME 60",NOT($N11="Common Space"))),$E11*$F11,"")</f>
        <v/>
      </c>
      <c r="ET11" s="430" t="str">
        <f t="shared" ref="ET11:ET48" si="128">IF(OR(AND($C11=1,$B11=60,NOT($N11="Common Space")),AND($C11=1,$B11="HOME 60",NOT($N11="Common Space"))),$E11*$F11,"")</f>
        <v/>
      </c>
      <c r="EU11" s="430" t="str">
        <f t="shared" ref="EU11:EU48" si="129">IF(OR(AND($C11=2,$B11=60,NOT($N11="Common Space")),AND($C11=2,$B11="HOME 60",NOT($N11="Common Space"))),$E11*$F11,"")</f>
        <v/>
      </c>
      <c r="EV11" s="430" t="str">
        <f t="shared" ref="EV11:EV48" si="130">IF(OR(AND($C11=3,$B11=60,NOT($N11="Common Space")),AND($C11=3,$B11="HOME 60",NOT($N11="Common Space"))),$E11*$F11,"")</f>
        <v/>
      </c>
      <c r="EW11" s="430" t="str">
        <f t="shared" ref="EW11:EW48" si="131">IF(OR(AND($C11=4,$B11=60,NOT($N11="Common Space")),AND($C11=4,$B11="HOME 60",NOT($N11="Common Space"))),$E11*$F11,"")</f>
        <v/>
      </c>
      <c r="EX11" s="430" t="str">
        <f t="shared" ref="EX11:EX48" si="132">IF(OR(AND($C11="Efficiency",$B11=50,NOT($N11="Common Space")),AND($C11="Efficiency",$B11="HOME 50",NOT($N11="Common Space"))),$E11*$F11,"")</f>
        <v/>
      </c>
      <c r="EY11" s="430" t="str">
        <f t="shared" ref="EY11:EY48" si="133">IF(OR(AND($C11=1,$B11=50,NOT($N11="Common Space")),AND($C11=1,$B11="HOME 50",NOT($N11="Common Space"))),$E11*$F11,"")</f>
        <v/>
      </c>
      <c r="EZ11" s="430" t="str">
        <f t="shared" ref="EZ11:EZ48" si="134">IF(OR(AND($C11=2,$B11=50,NOT($N11="Common Space")),AND($C11=2,$B11="HOME 50",NOT($N11="Common Space"))),$E11*$F11,"")</f>
        <v/>
      </c>
      <c r="FA11" s="430" t="str">
        <f t="shared" ref="FA11:FA48" si="135">IF(OR(AND($C11=3,$B11=50,NOT($N11="Common Space")),AND($C11=3,$B11="HOME 50",NOT($N11="Common Space"))),$E11*$F11,"")</f>
        <v/>
      </c>
      <c r="FB11" s="430" t="str">
        <f t="shared" ref="FB11:FB48" si="136">IF(OR(AND($C11=4,$B11=50,NOT($N11="Common Space")),AND($C11=4,$B11="HOME 50",NOT($N11="Common Space"))),$E11*$F11,"")</f>
        <v/>
      </c>
      <c r="FC11" s="430" t="str">
        <f t="shared" ref="FC11:FC48" si="137">IF(OR(AND($C11="Efficiency",$B11=40,NOT($N11="Common Space")),AND($C11="Efficiency",$B11="HOME 40",NOT($N11="Common Space"))),$E11*$F11,"")</f>
        <v/>
      </c>
      <c r="FD11" s="430" t="str">
        <f t="shared" ref="FD11:FD48" si="138">IF(OR(AND($C11=1,$B11=40,NOT($N11="Common Space")),AND($C11=1,$B11="HOME 40",NOT($N11="Common Space"))),$E11*$F11,"")</f>
        <v/>
      </c>
      <c r="FE11" s="430" t="str">
        <f t="shared" ref="FE11:FE48" si="139">IF(OR(AND($C11=2,$B11=40,NOT($N11="Common Space")),AND($C11=2,$B11="HOME 40",NOT($N11="Common Space"))),$E11*$F11,"")</f>
        <v/>
      </c>
      <c r="FF11" s="430" t="str">
        <f t="shared" ref="FF11:FF48" si="140">IF(OR(AND($C11=3,$B11=40,NOT($N11="Common Space")),AND($C11=3,$B11="HOME 40",NOT($N11="Common Space"))),$E11*$F11,"")</f>
        <v/>
      </c>
      <c r="FG11" s="430" t="str">
        <f t="shared" ref="FG11:FG48" si="141">IF(OR(AND($C11=4,$B11=40,NOT($N11="Common Space")),AND($C11=4,$B11="HOME 40",NOT($N11="Common Space"))),$E11*$F11,"")</f>
        <v/>
      </c>
      <c r="FH11" s="430" t="str">
        <f t="shared" ref="FH11:FH48" si="142">IF(OR(AND($C11="Efficiency",$B11=30,NOT($N11="Common Space")),AND($C11="Efficiency",$B11="HOME 30",NOT($N11="Common Space"))),$E11*$F11,"")</f>
        <v/>
      </c>
      <c r="FI11" s="430" t="str">
        <f t="shared" ref="FI11:FI48" si="143">IF(OR(AND($C11=1,$B11=30,NOT($N11="Common Space")),AND($C11=1,$B11="HOME 30",NOT($N11="Common Space"))),$E11*$F11,"")</f>
        <v/>
      </c>
      <c r="FJ11" s="430" t="str">
        <f t="shared" ref="FJ11:FJ48" si="144">IF(OR(AND($C11=2,$B11=30,NOT($N11="Common Space")),AND($C11=2,$B11="HOME 30",NOT($N11="Common Space"))),$E11*$F11,"")</f>
        <v/>
      </c>
      <c r="FK11" s="430" t="str">
        <f t="shared" ref="FK11:FK48" si="145">IF(OR(AND($C11=3,$B11=30,NOT($N11="Common Space")),AND($C11=3,$B11="HOME 30",NOT($N11="Common Space"))),$E11*$F11,"")</f>
        <v/>
      </c>
      <c r="FL11" s="430" t="str">
        <f t="shared" ref="FL11:FL48" si="146">IF(OR(AND($C11=4,$B11=30,NOT($N11="Common Space")),AND($C11=4,$B11="HOME 30",NOT($N11="Common Space"))),$E11*$F11,"")</f>
        <v/>
      </c>
      <c r="FM11" s="430" t="str">
        <f t="shared" ref="FM11:FM48" si="147">IF(OR(AND($C11="Efficiency",$B11=20,NOT($N11="Common Space")),AND($C11="Efficiency",$B11="HOME 20",NOT($N11="Common Space"))),$E11*$F11,"")</f>
        <v/>
      </c>
      <c r="FN11" s="430" t="str">
        <f t="shared" ref="FN11:FN48" si="148">IF(OR(AND($C11=1,$B11=20,NOT($N11="Common Space")),AND($C11=1,$B11="HOME 20",NOT($N11="Common Space"))),$E11*$F11,"")</f>
        <v/>
      </c>
      <c r="FO11" s="430" t="str">
        <f t="shared" ref="FO11:FO48" si="149">IF(OR(AND($C11=2,$B11=20,NOT($N11="Common Space")),AND($C11=2,$B11="HOME 20",NOT($N11="Common Space"))),$E11*$F11,"")</f>
        <v/>
      </c>
      <c r="FP11" s="430" t="str">
        <f t="shared" ref="FP11:FP48" si="150">IF(OR(AND($C11=3,$B11=20,NOT($N11="Common Space")),AND($C11=3,$B11="HOME 20",NOT($N11="Common Space"))),$E11*$F11,"")</f>
        <v/>
      </c>
      <c r="FQ11" s="430" t="str">
        <f t="shared" ref="FQ11:FQ48" si="151">IF(OR(AND($C11=4,$B11=20,NOT($N11="Common Space")),AND($C11=4,$B11="HOME 20",NOT($N11="Common Space"))),$E11*$F11,"")</f>
        <v/>
      </c>
      <c r="FR11" s="430" t="str">
        <f t="shared" ref="FR11:FR48" si="152">IF(AND(C11="Efficiency",B11="Unrestricted",NOT(N11="Common Space")),E11*F11,"")</f>
        <v/>
      </c>
      <c r="FS11" s="430" t="str">
        <f t="shared" ref="FS11:FS48" si="153">IF(AND(C11=1,B11="Unrestricted",NOT(N11="Common Space")),E11*F11,"")</f>
        <v/>
      </c>
      <c r="FT11" s="430" t="str">
        <f t="shared" ref="FT11:FT48" si="154">IF(AND(C11=2,B11="Unrestricted",NOT(N11="Common Space")),E11*F11,"")</f>
        <v/>
      </c>
      <c r="FU11" s="430" t="str">
        <f t="shared" ref="FU11:FU48" si="155">IF(AND(C11=3,B11="Unrestricted",NOT(N11="Common Space")),E11*F11,"")</f>
        <v/>
      </c>
      <c r="FV11" s="430" t="str">
        <f t="shared" ref="FV11:FV48" si="156">IF(AND(C11=4,B11="Unrestricted",NOT(N11="Common Space")),E11*F11,"")</f>
        <v/>
      </c>
      <c r="FW11" s="430" t="str">
        <f t="shared" ref="FW11:FW48" si="157">IF(AND(C11="Efficiency",NOT(K11=""),NOT($K11=0),NOT(N11="Common Space")),E11*F11,"")</f>
        <v/>
      </c>
      <c r="FX11" s="430" t="str">
        <f t="shared" ref="FX11:FX48" si="158">IF(AND(C11=1,NOT(K11=""),NOT($K11=0),NOT(N11="Common Space")),E11*F11,"")</f>
        <v/>
      </c>
      <c r="FY11" s="430" t="str">
        <f t="shared" ref="FY11:FY48" si="159">IF(AND(C11=2,NOT(K11=""),NOT($K11=0),NOT(N11="Common Space")),E11*F11,"")</f>
        <v/>
      </c>
      <c r="FZ11" s="430" t="str">
        <f t="shared" ref="FZ11:FZ48" si="160">IF(AND(C11=3,NOT(K11=""),NOT($K11=0),NOT(N11="Common Space")),E11*F11,"")</f>
        <v/>
      </c>
      <c r="GA11" s="430" t="str">
        <f t="shared" ref="GA11:GA48" si="161">IF(AND(C11=4,NOT(K11=""),NOT($K11=0),NOT(N11="Common Space")),E11*F11,"")</f>
        <v/>
      </c>
      <c r="GB11" s="430" t="str">
        <f t="shared" ref="GB11:GB48" si="162">IF(AND(C11="Efficiency",N11="Common Space"),E11*F11,"")</f>
        <v/>
      </c>
      <c r="GC11" s="430" t="str">
        <f t="shared" ref="GC11:GC48" si="163">IF(AND(C11=1,N11="Common Space"),E11*F11,"")</f>
        <v/>
      </c>
      <c r="GD11" s="430" t="str">
        <f t="shared" ref="GD11:GD48" si="164">IF(AND(C11=2,N11="Common Space"),E11*F11,"")</f>
        <v/>
      </c>
      <c r="GE11" s="430" t="str">
        <f t="shared" ref="GE11:GE48" si="165">IF(AND(C11=3,N11="Common Space"),E11*F11,"")</f>
        <v/>
      </c>
      <c r="GF11" s="430" t="str">
        <f t="shared" ref="GF11:GF48" si="166">IF(AND(C11=4,N11="Common Space"),E11*F11,"")</f>
        <v/>
      </c>
      <c r="GG11" s="430" t="str">
        <f t="shared" ref="GG11:GG48" si="167">IF(AND($C11="Efficiency", $P11="New Construction",NOT($B11="Unrestricted"),NOT($B11="NSP 120"),NOT($B11="N/A-CS"),NOT($N11="Common Space")),$E11,"")</f>
        <v/>
      </c>
      <c r="GH11" s="430" t="str">
        <f t="shared" ref="GH11:GH48" si="168">IF(AND($C11=1, $P11="New Construction",NOT($B11="Unrestricted"),NOT($B11="NSP 120"),NOT($B11="N/A-CS"),NOT($N11="Common Space")),$E11,"")</f>
        <v/>
      </c>
      <c r="GI11" s="430" t="str">
        <f t="shared" ref="GI11:GI48" si="169">IF(AND($C11=2, $P11="New Construction",NOT($B11="Unrestricted"),NOT($B11="NSP 120"),NOT($B11="N/A-CS"),NOT($N11="Common Space")),$E11,"")</f>
        <v/>
      </c>
      <c r="GJ11" s="430" t="str">
        <f t="shared" ref="GJ11:GJ48" si="170">IF(AND($C11=3, $P11="New Construction",NOT($B11="Unrestricted"),NOT($B11="NSP 120"),NOT($B11="N/A-CS"),NOT($N11="Common Space")),$E11,"")</f>
        <v/>
      </c>
      <c r="GK11" s="430" t="str">
        <f t="shared" ref="GK11:GK48" si="171">IF(AND($C11=4, $P11="New Construction",NOT($B11="Unrestricted"),NOT($B11="NSP 120"),NOT($B11="N/A-CS"),NOT($N11="Common Space")),$E11,"")</f>
        <v/>
      </c>
      <c r="GL11" s="430" t="str">
        <f t="shared" ref="GL11:GL48" si="172">IF(AND($C11="Efficiency", $P11="New Construction",$B11="Unrestricted",NOT($B11="N/A-CS"),NOT($N11="Common Space")),$E11,"")</f>
        <v/>
      </c>
      <c r="GM11" s="430" t="str">
        <f t="shared" ref="GM11:GM48" si="173">IF(AND($C11=1, $P11="New Construction",$B11="Unrestricted",NOT($B11="N/A-CS"),NOT($N11="Common Space")),$E11,"")</f>
        <v/>
      </c>
      <c r="GN11" s="430" t="str">
        <f t="shared" ref="GN11:GN48" si="174">IF(AND($C11=2, $P11="New Construction",$B11="Unrestricted",NOT($B11="N/A-CS"),NOT($N11="Common Space")),$E11,"")</f>
        <v/>
      </c>
      <c r="GO11" s="430" t="str">
        <f t="shared" ref="GO11:GO48" si="175">IF(AND($C11=3, $P11="New Construction",$B11="Unrestricted",NOT($B11="N/A-CS"),NOT($N11="Common Space")),$E11,"")</f>
        <v/>
      </c>
      <c r="GP11" s="430" t="str">
        <f t="shared" ref="GP11:GP48" si="176">IF(AND($C11=4, $P11="New Construction",$B11="Unrestricted",NOT($B11="N/A-CS"),NOT($N11="Common Space")),$E11,"")</f>
        <v/>
      </c>
      <c r="GQ11" s="430" t="str">
        <f t="shared" ref="GQ11:GQ48" si="177">IF(AND($C11="Efficiency", $P11="New Construction",$B11="N/A-CS",$N11="Common Space"),$E11,"")</f>
        <v/>
      </c>
      <c r="GR11" s="430" t="str">
        <f t="shared" ref="GR11:GR48" si="178">IF(AND($C11=1, $P11="New Construction",$B11="N/A-CS",$N11="Common Space"),$E11,"")</f>
        <v/>
      </c>
      <c r="GS11" s="430" t="str">
        <f t="shared" ref="GS11:GS48" si="179">IF(AND($C11=2, $P11="New Construction",$B11="N/A-CS",$N11="Common Space"),$E11,"")</f>
        <v/>
      </c>
      <c r="GT11" s="430" t="str">
        <f t="shared" ref="GT11:GT48" si="180">IF(AND($C11=3, $P11="New Construction",$B11="N/A-CS",$N11="Common Space"),$E11,"")</f>
        <v/>
      </c>
      <c r="GU11" s="430" t="str">
        <f t="shared" ref="GU11:GU48" si="181">IF(AND($C11=4, $P11="New Construction",$B11="N/A-CS",$N11="Common Space"),$E11,"")</f>
        <v/>
      </c>
      <c r="GV11" s="430" t="str">
        <f t="shared" ref="GV11:GV48" si="182">IF(AND($C11="Efficiency", $P11="Acquisition/Rehab",NOT($B11="Unrestricted"),NOT($B11="NSP 120"),NOT($B11="N/A-CS"),NOT($N11="Common Space")),$E11,"")</f>
        <v/>
      </c>
      <c r="GW11" s="430" t="str">
        <f t="shared" ref="GW11:GW48" si="183">IF(AND($C11=1, $P11="Acquisition/Rehab",NOT($B11="Unrestricted"),NOT($B11="NSP 120"),NOT($B11="N/A-CS"),NOT($N11="Common Space")),$E11,"")</f>
        <v/>
      </c>
      <c r="GX11" s="430" t="str">
        <f t="shared" ref="GX11:GX48" si="184">IF(AND($C11=2, $P11="Acquisition/Rehab",NOT($B11="Unrestricted"),NOT($B11="NSP 120"),NOT($B11="N/A-CS"),NOT($N11="Common Space")),$E11,"")</f>
        <v/>
      </c>
      <c r="GY11" s="430" t="str">
        <f t="shared" ref="GY11:GY48" si="185">IF(AND($C11=3, $P11="Acquisition/Rehab",NOT($B11="Unrestricted"),NOT($B11="NSP 120"),NOT($B11="N/A-CS"),NOT($N11="Common Space")),$E11,"")</f>
        <v/>
      </c>
      <c r="GZ11" s="430" t="str">
        <f t="shared" ref="GZ11:GZ48" si="186">IF(AND($C11=4, $P11="Acquisition/Rehab",NOT($B11="Unrestricted"),NOT($B11="NSP 120"),NOT($B11="N/A-CS"),NOT($N11="Common Space")),$E11,"")</f>
        <v/>
      </c>
      <c r="HA11" s="430" t="str">
        <f t="shared" ref="HA11:HA48" si="187">IF(AND($C11="Efficiency", $P11="Acquisition/Rehab",$B11="Unrestricted",NOT($B11="N/A-CS"),NOT($N11="Common Space")),$E11,"")</f>
        <v/>
      </c>
      <c r="HB11" s="430" t="str">
        <f t="shared" ref="HB11:HB48" si="188">IF(AND($C11=1, $P11="Acquisition/Rehab",$B11="Unrestricted",NOT($B11="N/A-CS"),NOT($N11="Common Space")),$E11,"")</f>
        <v/>
      </c>
      <c r="HC11" s="430" t="str">
        <f t="shared" ref="HC11:HC48" si="189">IF(AND($C11=2, $P11="Acquisition/Rehab",$B11="Unrestricted",NOT($B11="N/A-CS"),NOT($N11="Common Space")),$E11,"")</f>
        <v/>
      </c>
      <c r="HD11" s="430" t="str">
        <f t="shared" ref="HD11:HD48" si="190">IF(AND($C11=3, $P11="Acquisition/Rehab",$B11="Unrestricted",NOT($B11="N/A-CS"),NOT($N11="Common Space")),$E11,"")</f>
        <v/>
      </c>
      <c r="HE11" s="430" t="str">
        <f t="shared" ref="HE11:HE48" si="191">IF(AND($C11=4, $P11="Acquisition/Rehab",$B11="Unrestricted",NOT($B11="N/A-CS"),NOT($N11="Common Space")),$E11,"")</f>
        <v/>
      </c>
      <c r="HF11" s="430" t="str">
        <f t="shared" ref="HF11:HF48" si="192">IF(AND($C11="Efficiency", $P11="Acquisition/Rehab",$B11="N/A-CS",$N11="Common Space"),$E11,"")</f>
        <v/>
      </c>
      <c r="HG11" s="430" t="str">
        <f t="shared" ref="HG11:HG48" si="193">IF(AND($C11=1, $P11="Acquisition/Rehab",$B11="N/A-CS",$N11="Common Space"),$E11,"")</f>
        <v/>
      </c>
      <c r="HH11" s="430" t="str">
        <f t="shared" ref="HH11:HH48" si="194">IF(AND($C11=2, $P11="Acquisition/Rehab",$B11="N/A-CS",$N11="Common Space"),$E11,"")</f>
        <v/>
      </c>
      <c r="HI11" s="430" t="str">
        <f t="shared" ref="HI11:HI48" si="195">IF(AND($C11=3, $P11="Acquisition/Rehab",$B11="N/A-CS",$N11="Common Space"),$E11,"")</f>
        <v/>
      </c>
      <c r="HJ11" s="430" t="str">
        <f t="shared" ref="HJ11:HJ48" si="196">IF(AND($C11=4, $P11="Acquisition/Rehab",$B11="N/A-CS",$N11="Common Space"),$E11,"")</f>
        <v/>
      </c>
      <c r="HK11" s="430" t="str">
        <f t="shared" ref="HK11:HK48" si="197">IF(AND($C11="Efficiency", $P11="Rehabilitation",NOT($B11="Unrestricted"),NOT($B11="NSP 120"),NOT($B11="N/A-CS"),NOT($N11="Common Space")),$E11,"")</f>
        <v/>
      </c>
      <c r="HL11" s="430" t="str">
        <f t="shared" ref="HL11:HL48" si="198">IF(AND($C11=1, $P11="Rehabilitation",NOT($B11="Unrestricted"),NOT($B11="NSP 120"),NOT($B11="N/A-CS"),NOT($N11="Common Space")),$E11,"")</f>
        <v/>
      </c>
      <c r="HM11" s="430" t="str">
        <f t="shared" ref="HM11:HM48" si="199">IF(AND($C11=2, $P11="Rehabilitation",NOT($B11="Unrestricted"),NOT($B11="NSP 120"),NOT($B11="N/A-CS"),NOT($N11="Common Space")),$E11,"")</f>
        <v/>
      </c>
      <c r="HN11" s="430" t="str">
        <f t="shared" ref="HN11:HN48" si="200">IF(AND($C11=3, $P11="Rehabilitation",NOT($B11="Unrestricted"),NOT($B11="NSP 120"),NOT($B11="N/A-CS"),NOT($N11="Common Space")),$E11,"")</f>
        <v/>
      </c>
      <c r="HO11" s="430" t="str">
        <f t="shared" ref="HO11:HO48" si="201">IF(AND($C11=4, $P11="Rehabilitation",NOT($B11="Unrestricted"),NOT($B11="NSP 120"),NOT($B11="N/A-CS"),NOT($N11="Common Space")),$E11,"")</f>
        <v/>
      </c>
      <c r="HP11" s="430" t="str">
        <f t="shared" ref="HP11:HP48" si="202">IF(AND($C11="Efficiency", $P11="Rehabilitation",$B11="Unrestricted",NOT($B11="N/A-CS"),NOT($N11="Common Space")),$E11,"")</f>
        <v/>
      </c>
      <c r="HQ11" s="430" t="str">
        <f t="shared" ref="HQ11:HQ48" si="203">IF(AND($C11=1, $P11="Rehabilitation",$B11="Unrestricted",NOT($B11="N/A-CS"),NOT($N11="Common Space")),$E11,"")</f>
        <v/>
      </c>
      <c r="HR11" s="430" t="str">
        <f t="shared" ref="HR11:HR48" si="204">IF(AND($C11=2, $P11="Rehabilitation",$B11="Unrestricted",NOT($B11="N/A-CS"),NOT($N11="Common Space")),$E11,"")</f>
        <v/>
      </c>
      <c r="HS11" s="430" t="str">
        <f t="shared" ref="HS11:HS48" si="205">IF(AND($C11=3, $P11="Rehabilitation",$B11="Unrestricted",NOT($B11="N/A-CS"),NOT($N11="Common Space")),$E11,"")</f>
        <v/>
      </c>
      <c r="HT11" s="430" t="str">
        <f t="shared" ref="HT11:HT48" si="206">IF(AND($C11=4, $P11="Rehabilitation",$B11="Unrestricted",NOT($B11="N/A-CS"),NOT($N11="Common Space")),$E11,"")</f>
        <v/>
      </c>
      <c r="HU11" s="430" t="str">
        <f t="shared" ref="HU11:HU48" si="207">IF(AND($C11="Efficiency", $P11="Rehabilitation",$B11="N/A-CS",$N11="Common Space"),$E11,"")</f>
        <v/>
      </c>
      <c r="HV11" s="430" t="str">
        <f t="shared" ref="HV11:HV48" si="208">IF(AND($C11=1, $P11="Rehabilitation",$B11="N/A-CS",$N11="Common Space"),$E11,"")</f>
        <v/>
      </c>
      <c r="HW11" s="430" t="str">
        <f t="shared" ref="HW11:HW48" si="209">IF(AND($C11=2, $P11="Rehabilitation",$B11="N/A-CS",$N11="Common Space"),$E11,"")</f>
        <v/>
      </c>
      <c r="HX11" s="430" t="str">
        <f t="shared" ref="HX11:HX48" si="210">IF(AND($C11=3, $P11="Rehabilitation",$B11="N/A-CS",$N11="Common Space"),$E11,"")</f>
        <v/>
      </c>
      <c r="HY11" s="430" t="str">
        <f t="shared" ref="HY11:HY48" si="211">IF(AND($C11=4, $P11="Rehabilitation",$B11="N/A-CS",$N11="Common Space"),$E11,"")</f>
        <v/>
      </c>
      <c r="HZ11" s="1814" t="str">
        <f t="shared" ref="HZ11:HZ48" si="212">IF(AND($C11="Efficiency", NOT(OR($O11="SF Detached",$O11="Mfd Home",$O11="Semi-Detached",$O11="Row House/TH"))),$E11,"")</f>
        <v/>
      </c>
      <c r="IA11" s="1814" t="str">
        <f t="shared" ref="IA11:IA48" si="213">IF(AND($C11=1, NOT(OR($O11="SF Detached",$O11="Mfd Home",$O11="Semi-Detached",$O11="Row House/TH"))),$E11,"")</f>
        <v/>
      </c>
      <c r="IB11" s="1814" t="str">
        <f t="shared" ref="IB11:IB48" si="214">IF(AND($C11=2, NOT(OR($O11="SF Detached",$O11="Mfd Home",$O11="Semi-Detached",$O11="Row House/TH"))),$E11,"")</f>
        <v/>
      </c>
      <c r="IC11" s="1814" t="str">
        <f t="shared" ref="IC11:IC48" si="215">IF(AND($C11=3, NOT(OR($O11="SF Detached",$O11="Mfd Home",$O11="Semi-Detached",$O11="Row House/TH"))),$E11,"")</f>
        <v/>
      </c>
      <c r="ID11" s="1814" t="str">
        <f t="shared" ref="ID11:ID48" si="216">IF(AND($C11=4, NOT(OR($O11="SF Detached",$O11="Mfd Home",$O11="Semi-Detached",$O11="Row House/TH"))),$E11,"")</f>
        <v/>
      </c>
      <c r="IE11" s="1814" t="str">
        <f t="shared" ref="IE11:IE48" si="217">IF(AND($C11="Efficiency", $O11="SF Detached",NOT($Q11="Yes")),$E11,"")</f>
        <v/>
      </c>
      <c r="IF11" s="1814" t="str">
        <f t="shared" ref="IF11:IF48" si="218">IF(AND($C11=1, $O11="SF Detached",NOT($Q11="Yes")),$E11,"")</f>
        <v/>
      </c>
      <c r="IG11" s="1814" t="str">
        <f t="shared" ref="IG11:IG48" si="219">IF(AND($C11=2, $O11="SF Detached",NOT($Q11="Yes")),$E11,"")</f>
        <v/>
      </c>
      <c r="IH11" s="1814" t="str">
        <f t="shared" ref="IH11:IH48" si="220">IF(AND($C11=3, $O11="SF Detached",NOT($Q11="Yes")),$E11,"")</f>
        <v/>
      </c>
      <c r="II11" s="1814" t="str">
        <f t="shared" ref="II11:II48" si="221">IF(AND($C11=4, $O11="SF Detached",NOT($Q11="Yes")),$E11,"")</f>
        <v/>
      </c>
      <c r="IJ11" s="1814" t="str">
        <f t="shared" ref="IJ11:IJ48" si="222">IF(AND($C11="Efficiency", $O11="SF Detached",$Q11="Yes"),$E11,"")</f>
        <v/>
      </c>
      <c r="IK11" s="1814" t="str">
        <f t="shared" ref="IK11:IK48" si="223">IF(AND($C11=1, $O11="SF Detached",$Q11="Yes"),$E11,"")</f>
        <v/>
      </c>
      <c r="IL11" s="1814" t="str">
        <f t="shared" ref="IL11:IL48" si="224">IF(AND($C11=2, $O11="SF Detached",$Q11="Yes"),$E11,"")</f>
        <v/>
      </c>
      <c r="IM11" s="1814" t="str">
        <f t="shared" ref="IM11:IM48" si="225">IF(AND($C11=3, $O11="SF Detached",$Q11="Yes"),$E11,"")</f>
        <v/>
      </c>
      <c r="IN11" s="1814" t="str">
        <f t="shared" ref="IN11:IN48" si="226">IF(AND($C11=4, $O11="SF Detached",$Q11="Yes"),$E11,"")</f>
        <v/>
      </c>
      <c r="IO11" s="1814" t="str">
        <f t="shared" ref="IO11:IO48" si="227">IF(AND($C11="Efficiency", $O11="Mfd Home",NOT($Q11="Yes")),$E11,"")</f>
        <v/>
      </c>
      <c r="IP11" s="1814" t="str">
        <f t="shared" ref="IP11:IP48" si="228">IF(AND($C11=1, $O11="Mfd Home",NOT($Q11="Yes")),$E11,"")</f>
        <v/>
      </c>
      <c r="IQ11" s="1814" t="str">
        <f t="shared" ref="IQ11:IQ48" si="229">IF(AND($C11=2, $O11="Mfd Home",NOT($Q11="Yes")),$E11,"")</f>
        <v/>
      </c>
      <c r="IR11" s="1814" t="str">
        <f t="shared" ref="IR11:IR48" si="230">IF(AND($C11=3, $O11="Mfd Home",NOT($Q11="Yes")),$E11,"")</f>
        <v/>
      </c>
      <c r="IS11" s="1814" t="str">
        <f t="shared" ref="IS11:IS48" si="231">IF(AND($C11=4, $O11="Mfd Home",NOT($Q11="Yes")),$E11,"")</f>
        <v/>
      </c>
      <c r="IT11" s="1814" t="str">
        <f t="shared" ref="IT11:IT48" si="232">IF(AND($C11="Efficiency", $O11="Mfd Home",$Q11="Yes"),$E11,"")</f>
        <v/>
      </c>
      <c r="IU11" s="1814" t="str">
        <f t="shared" ref="IU11:IU48" si="233">IF(AND($C11=1, $O11="Mfd Home",$Q11="Yes"),$E11,"")</f>
        <v/>
      </c>
      <c r="IV11" s="1814" t="str">
        <f t="shared" ref="IV11:IV48" si="234">IF(AND($C11=2, $O11="Mfd Home",$Q11="Yes"),$E11,"")</f>
        <v/>
      </c>
      <c r="IW11" s="1814" t="str">
        <f t="shared" ref="IW11:IW48" si="235">IF(AND($C11=3, $O11="Mfd Home",$Q11="Yes"),$E11,"")</f>
        <v/>
      </c>
      <c r="IX11" s="1814" t="str">
        <f t="shared" ref="IX11:IX48" si="236">IF(AND($C11=4, $O11="Mfd Home",$Q11="Yes"),$E11,"")</f>
        <v/>
      </c>
      <c r="IY11" s="1814" t="str">
        <f t="shared" ref="IY11:IY48" si="237">IF(AND($C11="Efficiency", $O11="Semi-Detached",NOT($Q11="Yes")),$E11,"")</f>
        <v/>
      </c>
      <c r="IZ11" s="1814" t="str">
        <f t="shared" ref="IZ11:IZ48" si="238">IF(AND($C11=1, $O11="Semi-Detached",NOT($Q11="Yes")),$E11,"")</f>
        <v/>
      </c>
      <c r="JA11" s="1814" t="str">
        <f t="shared" ref="JA11:JA48" si="239">IF(AND($C11=2, $O11="Semi-Detached",NOT($Q11="Yes")),$E11,"")</f>
        <v/>
      </c>
      <c r="JB11" s="1814" t="str">
        <f t="shared" ref="JB11:JB48" si="240">IF(AND($C11=3, $O11="Semi-Detached",NOT($Q11="Yes")),$E11,"")</f>
        <v/>
      </c>
      <c r="JC11" s="1814" t="str">
        <f t="shared" ref="JC11:JC48" si="241">IF(AND($C11=4, $O11="Semi-Detached",NOT($Q11="Yes")),$E11,"")</f>
        <v/>
      </c>
      <c r="JD11" s="1814" t="str">
        <f t="shared" ref="JD11:JD48" si="242">IF(AND($C11="Efficiency", $O11="Semi-Detached",$Q11="Yes"),$E11,"")</f>
        <v/>
      </c>
      <c r="JE11" s="1814" t="str">
        <f t="shared" ref="JE11:JE48" si="243">IF(AND($C11=1, $O11="Semi-Detached",$Q11="Yes"),$E11,"")</f>
        <v/>
      </c>
      <c r="JF11" s="1814" t="str">
        <f t="shared" ref="JF11:JF48" si="244">IF(AND($C11=2, $O11="Semi-Detached",$Q11="Yes"),$E11,"")</f>
        <v/>
      </c>
      <c r="JG11" s="1814" t="str">
        <f t="shared" ref="JG11:JG48" si="245">IF(AND($C11=3, $O11="Semi-Detached",$Q11="Yes"),$E11,"")</f>
        <v/>
      </c>
      <c r="JH11" s="1814" t="str">
        <f t="shared" ref="JH11:JH48" si="246">IF(AND($C11=4, $O11="Semi-Detached",$Q11="Yes"),$E11,"")</f>
        <v/>
      </c>
      <c r="JI11" s="1814" t="str">
        <f t="shared" ref="JI11:JI48" si="247">IF(AND($C11="Efficiency", $O11="Row House/TH",NOT($Q11="Yes")),$E11,"")</f>
        <v/>
      </c>
      <c r="JJ11" s="1814" t="str">
        <f t="shared" ref="JJ11:JJ48" si="248">IF(AND($C11=1, $O11="Row House/TH",NOT($Q11="Yes")),$E11,"")</f>
        <v/>
      </c>
      <c r="JK11" s="1814" t="str">
        <f t="shared" ref="JK11:JK48" si="249">IF(AND($C11=2, $O11="Row House/TH",NOT($Q11="Yes")),$E11,"")</f>
        <v/>
      </c>
      <c r="JL11" s="1814" t="str">
        <f t="shared" ref="JL11:JL48" si="250">IF(AND($C11=3, $O11="Row House/TH",NOT($Q11="Yes")),$E11,"")</f>
        <v/>
      </c>
      <c r="JM11" s="1814" t="str">
        <f t="shared" ref="JM11:JM48" si="251">IF(AND($C11=4, $O11="Row House/TH",NOT($Q11="Yes")),$E11,"")</f>
        <v/>
      </c>
      <c r="JN11" s="1814" t="str">
        <f t="shared" ref="JN11:JN48" si="252">IF(AND($C11="Efficiency", $O11="Row House/TH",$Q11="Yes"),$E11,"")</f>
        <v/>
      </c>
      <c r="JO11" s="1814" t="str">
        <f t="shared" ref="JO11:JO48" si="253">IF(AND($C11=1, $O11="Row House/TH",$Q11="Yes"),$E11,"")</f>
        <v/>
      </c>
      <c r="JP11" s="1814" t="str">
        <f t="shared" ref="JP11:JP48" si="254">IF(AND($C11=2, $O11="Row House/TH",$Q11="Yes"),$E11,"")</f>
        <v/>
      </c>
      <c r="JQ11" s="1814" t="str">
        <f t="shared" ref="JQ11:JQ48" si="255">IF(AND($C11=3, $O11="Row House/TH",$Q11="Yes"),$E11,"")</f>
        <v/>
      </c>
      <c r="JR11" s="1814" t="str">
        <f t="shared" ref="JR11:JR48" si="256">IF(AND($C11=4, $O11="Row House/TH",$Q11="Yes"),$E11,"")</f>
        <v/>
      </c>
      <c r="JS11" s="1814" t="str">
        <f t="shared" ref="JS11:JS48" si="257">IF(AND($C11="Efficiency", $O11="Low-Rise Apt",NOT($Q11="Yes")),$E11,"")</f>
        <v/>
      </c>
      <c r="JT11" s="1814" t="str">
        <f t="shared" ref="JT11:JT48" si="258">IF(AND($C11=1, $O11="Low-Rise Apt",NOT($Q11="Yes")),$E11,"")</f>
        <v/>
      </c>
      <c r="JU11" s="1814" t="str">
        <f t="shared" ref="JU11:JU48" si="259">IF(AND($C11=2, $O11="Low-Rise Apt",NOT($Q11="Yes")),$E11,"")</f>
        <v/>
      </c>
      <c r="JV11" s="1814" t="str">
        <f t="shared" ref="JV11:JV48" si="260">IF(AND($C11=3, $O11="Low-Rise Apt",NOT($Q11="Yes")),$E11,"")</f>
        <v/>
      </c>
      <c r="JW11" s="1814" t="str">
        <f t="shared" ref="JW11:JW48" si="261">IF(AND($C11=4, $O11="Low-Rise Apt",NOT($Q11="Yes")),$E11,"")</f>
        <v/>
      </c>
      <c r="JX11" s="1814" t="str">
        <f t="shared" ref="JX11:JX48" si="262">IF(AND($C11="Efficiency", $O11="Low-Rise Elevator",NOT($Q11="Yes")),$E11,"")</f>
        <v/>
      </c>
      <c r="JY11" s="1814" t="str">
        <f t="shared" ref="JY11:JY48" si="263">IF(AND($C11=1, $O11="Low-Rise Elevator",NOT($Q11="Yes")),$E11,"")</f>
        <v/>
      </c>
      <c r="JZ11" s="1814" t="str">
        <f t="shared" ref="JZ11:JZ48" si="264">IF(AND($C11=2, $O11="Low-Rise Elevator",NOT($Q11="Yes")),$E11,"")</f>
        <v/>
      </c>
      <c r="KA11" s="1814" t="str">
        <f t="shared" ref="KA11:KA48" si="265">IF(AND($C11=3, $O11="Low-Rise Elevator",NOT($Q11="Yes")),$E11,"")</f>
        <v/>
      </c>
      <c r="KB11" s="1814" t="str">
        <f t="shared" ref="KB11:KB48" si="266">IF(AND($C11=4, $O11="Low-Rise Elevator",NOT($Q11="Yes")),$E11,"")</f>
        <v/>
      </c>
      <c r="KC11" s="1814" t="str">
        <f t="shared" ref="KC11:KC48" si="267">IF(AND($C11="Efficiency", $O11="Low-Rise Apt",$Q11="Yes"),$E11,"")</f>
        <v/>
      </c>
      <c r="KD11" s="1814" t="str">
        <f t="shared" ref="KD11:KD48" si="268">IF(AND($C11=1, $O11="Low-Rise Apt",$Q11="Yes"),$E11,"")</f>
        <v/>
      </c>
      <c r="KE11" s="1814" t="str">
        <f t="shared" ref="KE11:KE48" si="269">IF(AND($C11=2, $O11="Low-Rise Apt",$Q11="Yes"),$E11,"")</f>
        <v/>
      </c>
      <c r="KF11" s="1814" t="str">
        <f t="shared" ref="KF11:KF48" si="270">IF(AND($C11=3, $O11="Low-Rise Apt",$Q11="Yes"),$E11,"")</f>
        <v/>
      </c>
      <c r="KG11" s="1814" t="str">
        <f t="shared" ref="KG11:KG48" si="271">IF(AND($C11=4, $O11="Low-Rise Apt",$Q11="Yes"),$E11,"")</f>
        <v/>
      </c>
      <c r="KH11" s="1814" t="str">
        <f t="shared" ref="KH11:KH48" si="272">IF(AND($C11="Efficiency", $O11="Low-Rise Elevator",$Q11="Yes"),$E11,"")</f>
        <v/>
      </c>
      <c r="KI11" s="1814" t="str">
        <f t="shared" ref="KI11:KI48" si="273">IF(AND($C11=1, $O11="Low-Rise Elevator",$Q11="Yes"),$E11,"")</f>
        <v/>
      </c>
      <c r="KJ11" s="1814" t="str">
        <f t="shared" ref="KJ11:KJ48" si="274">IF(AND($C11=2, $O11="Low-Rise Elevator",$Q11="Yes"),$E11,"")</f>
        <v/>
      </c>
      <c r="KK11" s="1814" t="str">
        <f t="shared" ref="KK11:KK48" si="275">IF(AND($C11=3, $O11="Low-Rise Elevator",$Q11="Yes"),$E11,"")</f>
        <v/>
      </c>
      <c r="KL11" s="1814" t="str">
        <f t="shared" ref="KL11:KL48" si="276">IF(AND($C11=4, $O11="Low-Rise Elevator",$Q11="Yes"),$E11,"")</f>
        <v/>
      </c>
      <c r="KM11" s="1814" t="str">
        <f t="shared" ref="KM11:KM48" si="277">IF(AND($C11="Efficiency", $O11="High-Rise Apt",NOT($Q11="Yes")),$E11,"")</f>
        <v/>
      </c>
      <c r="KN11" s="1814" t="str">
        <f t="shared" ref="KN11:KN48" si="278">IF(AND($C11=1, $O11="High-Rise Apt",NOT($Q11="Yes")),$E11,"")</f>
        <v/>
      </c>
      <c r="KO11" s="1814" t="str">
        <f t="shared" ref="KO11:KO48" si="279">IF(AND($C11=2, $O11="High-Rise Apt",NOT($Q11="Yes")),$E11,"")</f>
        <v/>
      </c>
      <c r="KP11" s="1814" t="str">
        <f t="shared" ref="KP11:KP48" si="280">IF(AND($C11=3, $O11="High-Rise Apt",NOT($Q11="Yes")),$E11,"")</f>
        <v/>
      </c>
      <c r="KQ11" s="1814" t="str">
        <f t="shared" ref="KQ11:KQ48" si="281">IF(AND($C11=4, $O11="High-Rise Apt",NOT($Q11="Yes")),$E11,"")</f>
        <v/>
      </c>
      <c r="KR11" s="1814" t="str">
        <f t="shared" ref="KR11:KR48" si="282">IF(AND($C11="Efficiency", $O11="High-Rise Elevator",NOT($Q11="Yes")),$E11,"")</f>
        <v/>
      </c>
      <c r="KS11" s="1814" t="str">
        <f t="shared" ref="KS11:KS48" si="283">IF(AND($C11=1, $O11="High-Rise Elevator",NOT($Q11="Yes")),$E11,"")</f>
        <v/>
      </c>
      <c r="KT11" s="1814" t="str">
        <f t="shared" ref="KT11:KT48" si="284">IF(AND($C11=2, $O11="High-Rise Elevator",NOT($Q11="Yes")),$E11,"")</f>
        <v/>
      </c>
      <c r="KU11" s="1814" t="str">
        <f t="shared" ref="KU11:KU48" si="285">IF(AND($C11=3, $O11="High-Rise Elevator",NOT($Q11="Yes")),$E11,"")</f>
        <v/>
      </c>
      <c r="KV11" s="1814" t="str">
        <f t="shared" ref="KV11:KV48" si="286">IF(AND($C11=4, $O11="High-Rise Elevator",NOT($Q11="Yes")),$E11,"")</f>
        <v/>
      </c>
      <c r="KW11" s="1814" t="str">
        <f t="shared" ref="KW11:KW48" si="287">IF(AND($C11="Efficiency", $O11="High-Rise Apt",$Q11="Yes"),$E11,"")</f>
        <v/>
      </c>
      <c r="KX11" s="1814" t="str">
        <f t="shared" ref="KX11:KX48" si="288">IF(AND($C11=1, $O11="High-Rise Apt",$Q11="Yes"),$E11,"")</f>
        <v/>
      </c>
      <c r="KY11" s="1814" t="str">
        <f t="shared" ref="KY11:KY48" si="289">IF(AND($C11=2, $O11="High-Rise Apt",$Q11="Yes"),$E11,"")</f>
        <v/>
      </c>
      <c r="KZ11" s="1814" t="str">
        <f t="shared" ref="KZ11:KZ48" si="290">IF(AND($C11=3, $O11="High-Rise Apt",$Q11="Yes"),$E11,"")</f>
        <v/>
      </c>
      <c r="LA11" s="1814" t="str">
        <f t="shared" ref="LA11:LA48" si="291">IF(AND($C11=4, $O11="High-Rise Apt",$Q11="Yes"),$E11,"")</f>
        <v/>
      </c>
      <c r="LB11" s="1814" t="str">
        <f t="shared" ref="LB11:LB48" si="292">IF(AND($C11="Efficiency", $O11="High-Rise Elevator",$Q11="Yes"),$E11,"")</f>
        <v/>
      </c>
      <c r="LC11" s="1814" t="str">
        <f t="shared" ref="LC11:LC48" si="293">IF(AND($C11=1, $O11="High-Rise Elevator",$Q11="Yes"),$E11,"")</f>
        <v/>
      </c>
      <c r="LD11" s="1814" t="str">
        <f t="shared" ref="LD11:LD48" si="294">IF(AND($C11=2, $O11="High-Rise Elevator",$Q11="Yes"),$E11,"")</f>
        <v/>
      </c>
      <c r="LE11" s="1814" t="str">
        <f t="shared" ref="LE11:LE48" si="295">IF(AND($C11=3, $O11="High-Rise Elevator",$Q11="Yes"),$E11,"")</f>
        <v/>
      </c>
      <c r="LF11" s="1814" t="str">
        <f t="shared" ref="LF11:LF48" si="296">IF(AND($C11=4, $O11="High-Rise Elevator",$Q11="Yes"),$E11,"")</f>
        <v/>
      </c>
      <c r="LG11" s="1786" t="str">
        <f t="shared" ref="LG11:LG48" si="297">IF(AND($B11="NSP 120% AMI",$C11="Efficiency", NOT($N11="Common Space")),$E11,"")</f>
        <v/>
      </c>
      <c r="LH11" s="1786" t="str">
        <f t="shared" ref="LH11:LH48" si="298">IF(AND($B11="NSP 120% AMI",$C11=1,NOT($N11="Common Space")),$E11,"")</f>
        <v/>
      </c>
      <c r="LI11" s="1786" t="str">
        <f t="shared" ref="LI11:LI48" si="299">IF(AND($B11="NSP 120% AMI",$C11=2,NOT($N11="Common Space")),$E11,"")</f>
        <v/>
      </c>
      <c r="LJ11" s="1786" t="str">
        <f t="shared" ref="LJ11:LJ48" si="300">IF(AND($B11="NSP 120% AMI",$C11=3,NOT($N11="Common Space")),$E11,"")</f>
        <v/>
      </c>
      <c r="LK11" s="1786" t="str">
        <f t="shared" ref="LK11:LK48" si="301">IF(AND($B11="NSP 120% AMI",$C11=4,NOT($N11="Common Space")),$E11,"")</f>
        <v/>
      </c>
      <c r="LL11" s="430" t="str">
        <f t="shared" ref="LL11:LL48" si="302">IF(AND(C11="Efficiency",B11="NSP 120% AMI",NOT(N11="Common Space")),E11*F11,"")</f>
        <v/>
      </c>
      <c r="LM11" s="430" t="str">
        <f t="shared" ref="LM11:LM48" si="303">IF(AND(C11=1,B11="NSP 120% AMI",NOT(N11="Common Space")),E11*F11,"")</f>
        <v/>
      </c>
      <c r="LN11" s="430" t="str">
        <f t="shared" ref="LN11:LN48" si="304">IF(AND(C11=2,B11="NSP 120% AMI",NOT(N11="Common Space")),E11*F11,"")</f>
        <v/>
      </c>
      <c r="LO11" s="430" t="str">
        <f t="shared" ref="LO11:LO48" si="305">IF(AND(C11=3,B11="NSP 120% AMI",NOT(N11="Common Space")),E11*F11,"")</f>
        <v/>
      </c>
      <c r="LP11" s="430" t="str">
        <f t="shared" ref="LP11:LP48" si="306">IF(AND(C11=4,B11="NSP 120% AMI",NOT(N11="Common Space")),E11*F11,"")</f>
        <v/>
      </c>
      <c r="LQ11" s="430" t="str">
        <f t="shared" ref="LQ11:LQ48" si="307">IF(AND($C11="Efficiency", $P11="New Construction",$B11="NSP 120% AMI",NOT($N11="Common Space")),$E11,"")</f>
        <v/>
      </c>
      <c r="LR11" s="430" t="str">
        <f t="shared" ref="LR11:LR48" si="308">IF(AND($C11=1, $P11="New Construction",$B11="NSP 120% AMI",NOT($N11="Common Space")),$E11,"")</f>
        <v/>
      </c>
      <c r="LS11" s="430" t="str">
        <f t="shared" ref="LS11:LS48" si="309">IF(AND($C11=2, $P11="New Construction",$B11="NSP 120% AMI",NOT($N11="Common Space")),$E11,"")</f>
        <v/>
      </c>
      <c r="LT11" s="430" t="str">
        <f t="shared" ref="LT11:LT48" si="310">IF(AND($C11=3, $P11="New Construction",$B11="NSP 120% AMI",NOT($N11="Common Space")),$E11,"")</f>
        <v/>
      </c>
      <c r="LU11" s="430" t="str">
        <f t="shared" ref="LU11:LU48" si="311">IF(AND($C11=4, $P11="New Construction",$B11="NSP 120% AMI",NOT($N11="Common Space")),$E11,"")</f>
        <v/>
      </c>
      <c r="LV11" s="430" t="str">
        <f t="shared" ref="LV11:LV48" si="312">IF(AND($C11="Efficiency", $P11="Acquisition/Rehab",$B11="NSP 120% AMI",NOT($N11="Common Space")),$E11,"")</f>
        <v/>
      </c>
      <c r="LW11" s="430" t="str">
        <f t="shared" ref="LW11:LW48" si="313">IF(AND($C11=1, $P11="Acquisition/Rehab",$B11="NSP 120% AMI",NOT($N11="Common Space")),$E11,"")</f>
        <v/>
      </c>
      <c r="LX11" s="430" t="str">
        <f t="shared" ref="LX11:LX48" si="314">IF(AND($C11=2, $P11="Acquisition/Rehab",$B11="NSP 120% AMI",NOT($N11="Common Space")),$E11,"")</f>
        <v/>
      </c>
      <c r="LY11" s="430" t="str">
        <f t="shared" ref="LY11:LY48" si="315">IF(AND($C11=3, $P11="Acquisition/Rehab",$B11="NSP 120% AMI",NOT($N11="Common Space")),$E11,"")</f>
        <v/>
      </c>
      <c r="LZ11" s="430" t="str">
        <f t="shared" ref="LZ11:LZ48" si="316">IF(AND($C11=4, $P11="Acquisition/Rehab",$B11="NSP 120% AMI",NOT($N11="Common Space")),$E11,"")</f>
        <v/>
      </c>
      <c r="MA11" s="430" t="str">
        <f t="shared" ref="MA11:MA48" si="317">IF(AND($C11="Efficiency", $P11="Rehabilitation",$B11="NSP 120% AMI",NOT($N11="Common Space")),$E11,"")</f>
        <v/>
      </c>
      <c r="MB11" s="430" t="str">
        <f t="shared" ref="MB11:MB48" si="318">IF(AND($C11=1, $P11="Rehabilitation",$B11="NSP 120% AMI",NOT($N11="Common Space")),$E11,"")</f>
        <v/>
      </c>
      <c r="MC11" s="430" t="str">
        <f t="shared" ref="MC11:MC48" si="319">IF(AND($C11=2, $P11="Rehabilitation",$B11="NSP 120% AMI",NOT($N11="Common Space")),$E11,"")</f>
        <v/>
      </c>
      <c r="MD11" s="430" t="str">
        <f t="shared" ref="MD11:MD48" si="320">IF(AND($C11=3, $P11="Rehabilitation",$B11="NSP 120% AMI",NOT($N11="Common Space")),$E11,"")</f>
        <v/>
      </c>
      <c r="ME11" s="430" t="str">
        <f t="shared" ref="ME11:ME48" si="321">IF(AND($C11=4, $P11="Rehabilitation",$B11="NSP 120% AMI",NOT($N11="Common Space")),$E11,"")</f>
        <v/>
      </c>
      <c r="MF11" s="1815">
        <f>IF(AND($C11="Efficiency",$E11&gt;0,OR($O11="Low-Rise Apt",$O11="Low-Rise Elevator",$O11="High-Rise Apt",$O11="High-Rise Elevator",$O11="Row House/TH"),OR($P11="Acquisition/Rehab",$P11="Rehabilitation"),NOT($Q11="Yes")),$E11,0)</f>
        <v>0</v>
      </c>
      <c r="MG11" s="1815">
        <f>IF(AND($C11=1,$E11&gt;0,OR($O11="Low-Rise Apt",$O11="Low-Rise Elevator",$O11="High-Rise Apt",$O11="High-Rise Elevator",$O11="Row House/TH"),OR($P11="Acquisition/Rehab",$P11="Rehabilitation"),NOT($Q11="Yes")),$E11,0)</f>
        <v>0</v>
      </c>
      <c r="MH11" s="1815">
        <f>IF(AND($C11=2,$E11&gt;0,OR($O11="Low-Rise Apt",$O11="Low-Rise Elevator",$O11="High-Rise Apt",$O11="High-Rise Elevator",$O11="Row House/TH"),OR($P11="Acquisition/Rehab",$P11="Rehabilitation"),NOT($Q11="Yes")),$E11,0)</f>
        <v>0</v>
      </c>
      <c r="MI11" s="1815">
        <f>IF(AND($C11=3,$E11&gt;0,OR($O11="Low-Rise Apt",$O11="Low-Rise Elevator",$O11="High-Rise Apt",$O11="High-Rise Elevator",$O11="Row House/TH"),OR($P11="Acquisition/Rehab",$P11="Rehabilitation"),NOT($Q11="Yes")),$E11,0)</f>
        <v>0</v>
      </c>
      <c r="MJ11" s="1815">
        <f>IF(AND($C11=4,$E11&gt;0,OR($O11="Low-Rise Apt",$O11="Low-Rise Elevator",$O11="High-Rise Apt",$O11="High-Rise Elevator",$O11="Row House/TH"),OR($P11="Acquisition/Rehab",$P11="Rehabilitation"),NOT($Q11="Yes")),$E11,0)</f>
        <v>0</v>
      </c>
      <c r="MK11" s="1815">
        <f>IF(AND($C11="Efficiency",$E11&gt;0,OR($O11="Low-Rise Apt",$O11="Low-Rise Elevator",$O11="High-Rise Apt",$O11="High-Rise Elevator",$O11="Row House/TH"),$P11="New Construction"),$E11,0)</f>
        <v>0</v>
      </c>
      <c r="ML11" s="1815">
        <f>IF(AND($C11=1,$E11&gt;0,OR($O11="Low-Rise Apt",$O11="Low-Rise Elevator",$O11="High-Rise Apt",$O11="High-Rise Elevator",$O11="Row House/TH"),$P11="New Construction"),$E11,0)</f>
        <v>0</v>
      </c>
      <c r="MM11" s="1815">
        <f>IF(AND($C11=2,$E11&gt;0,OR($O11="Low-Rise Apt",$O11="Low-Rise Elevator",$O11="High-Rise Apt",$O11="High-Rise Elevator",$O11="Row House/TH"),$P11="New Construction"),$E11,0)</f>
        <v>0</v>
      </c>
      <c r="MN11" s="1815">
        <f>IF(AND($C11=3,$E11&gt;0,OR($O11="Low-Rise Apt",$O11="Low-Rise Elevator",$O11="High-Rise Apt",$O11="High-Rise Elevator",$O11="Row House/TH"),$P11="New Construction"),$E11,0)</f>
        <v>0</v>
      </c>
      <c r="MO11" s="1815">
        <f>IF(AND($C11=4,$E11&gt;0,OR($O11="Low-Rise Apt",$O11="Low-Rise Elevator",$O11="High-Rise Apt",$O11="High-Rise Elevator",$O11="Row House/TH"),$P11="New Construction"),$E11,0)</f>
        <v>0</v>
      </c>
      <c r="MP11" s="1815">
        <f t="shared" ref="MP11:MP48" si="322">IF(AND($C11="Efficiency",$E11&gt;0,OR($O11="SF Detached",$O11="Semi-Detached",$O11="Mfd Home"),NOT($Q11="Yes")),$E11,0)</f>
        <v>0</v>
      </c>
      <c r="MQ11" s="1815">
        <f t="shared" ref="MQ11:MQ48" si="323">IF(AND($C11=1,$E11&gt;0,OR($O11="SF Detached",$O11="Semi-Detached",$O11="Mfd Home"),NOT($Q11="Yes")),$E11,0)</f>
        <v>0</v>
      </c>
      <c r="MR11" s="1815">
        <f t="shared" ref="MR11:MR48" si="324">IF(AND($C11=2,$E11&gt;0,OR($O11="SF Detached",$O11="Semi-Detached",$O11="Mfd Home"),NOT($Q11="Yes")),$E11,0)</f>
        <v>0</v>
      </c>
      <c r="MS11" s="1815">
        <f t="shared" ref="MS11:MS48" si="325">IF(AND($C11=3,$E11&gt;0,OR($O11="SF Detached",$O11="Semi-Detached",$O11="Mfd Home"),NOT($Q11="Yes")),$E11,0)</f>
        <v>0</v>
      </c>
      <c r="MT11" s="1815">
        <f t="shared" ref="MT11:MT48" si="326">IF(AND($C11=4,$E11&gt;0,OR($O11="SF Detached",$O11="Semi-Detached",$O11="Mfd Home"),NOT($Q11="Yes")),$E11,0)</f>
        <v>0</v>
      </c>
      <c r="NP11" s="2807" t="s">
        <v>6717</v>
      </c>
    </row>
    <row r="12" spans="1:493" ht="13.9" customHeight="1">
      <c r="A12" s="108" t="str">
        <f t="shared" ref="A12:A48" si="327">IF(AND(E12&gt;0,OR(B12="",C12="",D12="",F12="",G12="", H12="",I12="",N12="",O12="",P12="",Q12="")),1,"")</f>
        <v/>
      </c>
      <c r="B12" s="2868" t="s">
        <v>3827</v>
      </c>
      <c r="C12" s="2869"/>
      <c r="D12" s="2870"/>
      <c r="E12" s="2871"/>
      <c r="F12" s="2871"/>
      <c r="G12" s="2871"/>
      <c r="H12" s="2871"/>
      <c r="I12" s="2871"/>
      <c r="J12" s="2872"/>
      <c r="K12" s="2873"/>
      <c r="L12" s="537">
        <f t="shared" si="0"/>
        <v>0</v>
      </c>
      <c r="M12" s="537">
        <f t="shared" si="1"/>
        <v>0</v>
      </c>
      <c r="N12" s="2712"/>
      <c r="O12" s="2874"/>
      <c r="P12" s="2712"/>
      <c r="Q12" s="2875"/>
      <c r="R12" s="2876"/>
      <c r="S12" s="2877"/>
      <c r="T12" s="3833"/>
      <c r="U12" s="3834"/>
      <c r="V12" s="3834"/>
      <c r="W12" s="3835"/>
      <c r="X12" s="430" t="str">
        <f t="shared" si="2"/>
        <v/>
      </c>
      <c r="Y12" s="430" t="str">
        <f t="shared" si="3"/>
        <v/>
      </c>
      <c r="Z12" s="430" t="str">
        <f t="shared" si="4"/>
        <v/>
      </c>
      <c r="AA12" s="430" t="str">
        <f t="shared" si="5"/>
        <v/>
      </c>
      <c r="AB12" s="430" t="str">
        <f t="shared" si="6"/>
        <v/>
      </c>
      <c r="AC12" s="430" t="str">
        <f t="shared" si="7"/>
        <v/>
      </c>
      <c r="AD12" s="430" t="str">
        <f t="shared" si="8"/>
        <v/>
      </c>
      <c r="AE12" s="430" t="str">
        <f t="shared" si="9"/>
        <v/>
      </c>
      <c r="AF12" s="430" t="str">
        <f t="shared" si="10"/>
        <v/>
      </c>
      <c r="AG12" s="430" t="str">
        <f t="shared" si="11"/>
        <v/>
      </c>
      <c r="AH12" s="430" t="str">
        <f t="shared" si="12"/>
        <v/>
      </c>
      <c r="AI12" s="430" t="str">
        <f t="shared" si="13"/>
        <v/>
      </c>
      <c r="AJ12" s="430" t="str">
        <f t="shared" si="14"/>
        <v/>
      </c>
      <c r="AK12" s="430" t="str">
        <f t="shared" si="15"/>
        <v/>
      </c>
      <c r="AL12" s="430" t="str">
        <f t="shared" si="16"/>
        <v/>
      </c>
      <c r="AM12" s="430" t="str">
        <f t="shared" si="17"/>
        <v/>
      </c>
      <c r="AN12" s="430" t="str">
        <f t="shared" si="18"/>
        <v/>
      </c>
      <c r="AO12" s="430" t="str">
        <f t="shared" si="19"/>
        <v/>
      </c>
      <c r="AP12" s="430" t="str">
        <f t="shared" si="20"/>
        <v/>
      </c>
      <c r="AQ12" s="430" t="str">
        <f t="shared" si="21"/>
        <v/>
      </c>
      <c r="AR12" s="430" t="str">
        <f t="shared" si="22"/>
        <v/>
      </c>
      <c r="AS12" s="430" t="str">
        <f t="shared" si="23"/>
        <v/>
      </c>
      <c r="AT12" s="430" t="str">
        <f t="shared" si="24"/>
        <v/>
      </c>
      <c r="AU12" s="430" t="str">
        <f t="shared" si="25"/>
        <v/>
      </c>
      <c r="AV12" s="430" t="str">
        <f t="shared" si="26"/>
        <v/>
      </c>
      <c r="AW12" s="430" t="str">
        <f t="shared" si="27"/>
        <v/>
      </c>
      <c r="AX12" s="430" t="str">
        <f t="shared" si="28"/>
        <v/>
      </c>
      <c r="AY12" s="430" t="str">
        <f t="shared" si="29"/>
        <v/>
      </c>
      <c r="AZ12" s="430" t="str">
        <f t="shared" si="30"/>
        <v/>
      </c>
      <c r="BA12" s="430" t="str">
        <f t="shared" si="31"/>
        <v/>
      </c>
      <c r="BB12" s="430" t="str">
        <f t="shared" si="32"/>
        <v/>
      </c>
      <c r="BC12" s="430" t="str">
        <f t="shared" si="33"/>
        <v/>
      </c>
      <c r="BD12" s="430" t="str">
        <f t="shared" si="34"/>
        <v/>
      </c>
      <c r="BE12" s="430" t="str">
        <f t="shared" si="35"/>
        <v/>
      </c>
      <c r="BF12" s="430" t="str">
        <f t="shared" si="36"/>
        <v/>
      </c>
      <c r="BG12" s="430" t="str">
        <f t="shared" si="37"/>
        <v/>
      </c>
      <c r="BH12" s="430" t="str">
        <f t="shared" si="38"/>
        <v/>
      </c>
      <c r="BI12" s="430" t="str">
        <f t="shared" si="39"/>
        <v/>
      </c>
      <c r="BJ12" s="430" t="str">
        <f t="shared" si="40"/>
        <v/>
      </c>
      <c r="BK12" s="430" t="str">
        <f t="shared" si="41"/>
        <v/>
      </c>
      <c r="BL12" s="430" t="str">
        <f t="shared" si="42"/>
        <v/>
      </c>
      <c r="BM12" s="430" t="str">
        <f t="shared" si="43"/>
        <v/>
      </c>
      <c r="BN12" s="430" t="str">
        <f t="shared" si="44"/>
        <v/>
      </c>
      <c r="BO12" s="430" t="str">
        <f t="shared" si="45"/>
        <v/>
      </c>
      <c r="BP12" s="430" t="str">
        <f t="shared" si="46"/>
        <v/>
      </c>
      <c r="BQ12" s="430" t="str">
        <f t="shared" si="47"/>
        <v/>
      </c>
      <c r="BR12" s="430" t="str">
        <f t="shared" si="48"/>
        <v/>
      </c>
      <c r="BS12" s="430" t="str">
        <f t="shared" si="49"/>
        <v/>
      </c>
      <c r="BT12" s="430" t="str">
        <f t="shared" si="50"/>
        <v/>
      </c>
      <c r="BU12" s="430" t="str">
        <f t="shared" si="51"/>
        <v/>
      </c>
      <c r="BV12" s="430" t="str">
        <f t="shared" si="52"/>
        <v/>
      </c>
      <c r="BW12" s="430" t="str">
        <f t="shared" si="53"/>
        <v/>
      </c>
      <c r="BX12" s="430" t="str">
        <f t="shared" si="54"/>
        <v/>
      </c>
      <c r="BY12" s="430" t="str">
        <f t="shared" si="55"/>
        <v/>
      </c>
      <c r="BZ12" s="430" t="str">
        <f t="shared" si="56"/>
        <v/>
      </c>
      <c r="CA12" s="430" t="str">
        <f t="shared" si="57"/>
        <v/>
      </c>
      <c r="CB12" s="430" t="str">
        <f t="shared" si="58"/>
        <v/>
      </c>
      <c r="CC12" s="430" t="str">
        <f t="shared" si="59"/>
        <v/>
      </c>
      <c r="CD12" s="430" t="str">
        <f t="shared" si="60"/>
        <v/>
      </c>
      <c r="CE12" s="430" t="str">
        <f t="shared" si="61"/>
        <v/>
      </c>
      <c r="CF12" s="430" t="str">
        <f t="shared" si="62"/>
        <v/>
      </c>
      <c r="CG12" s="430" t="str">
        <f t="shared" si="63"/>
        <v/>
      </c>
      <c r="CH12" s="430" t="str">
        <f t="shared" si="64"/>
        <v/>
      </c>
      <c r="CI12" s="430" t="str">
        <f t="shared" si="65"/>
        <v/>
      </c>
      <c r="CJ12" s="430" t="str">
        <f t="shared" si="66"/>
        <v/>
      </c>
      <c r="CK12" s="430" t="str">
        <f t="shared" si="67"/>
        <v/>
      </c>
      <c r="CL12" s="430" t="str">
        <f t="shared" si="68"/>
        <v/>
      </c>
      <c r="CM12" s="430" t="str">
        <f t="shared" si="69"/>
        <v/>
      </c>
      <c r="CN12" s="430" t="str">
        <f t="shared" si="70"/>
        <v/>
      </c>
      <c r="CO12" s="430" t="str">
        <f t="shared" si="71"/>
        <v/>
      </c>
      <c r="CP12" s="430" t="str">
        <f t="shared" si="72"/>
        <v/>
      </c>
      <c r="CQ12" s="430" t="str">
        <f t="shared" si="73"/>
        <v/>
      </c>
      <c r="CR12" s="430" t="str">
        <f t="shared" si="74"/>
        <v/>
      </c>
      <c r="CS12" s="430" t="str">
        <f t="shared" si="75"/>
        <v/>
      </c>
      <c r="CT12" s="430" t="str">
        <f t="shared" si="76"/>
        <v/>
      </c>
      <c r="CU12" s="430" t="str">
        <f t="shared" si="77"/>
        <v/>
      </c>
      <c r="CV12" s="430" t="str">
        <f t="shared" si="78"/>
        <v/>
      </c>
      <c r="CW12" s="430" t="str">
        <f t="shared" si="79"/>
        <v/>
      </c>
      <c r="CX12" s="430" t="str">
        <f t="shared" si="80"/>
        <v/>
      </c>
      <c r="CY12" s="430" t="str">
        <f t="shared" si="81"/>
        <v/>
      </c>
      <c r="CZ12" s="430" t="str">
        <f t="shared" si="82"/>
        <v/>
      </c>
      <c r="DA12" s="430" t="str">
        <f t="shared" si="83"/>
        <v/>
      </c>
      <c r="DB12" s="430" t="str">
        <f t="shared" si="84"/>
        <v/>
      </c>
      <c r="DC12" s="430" t="str">
        <f t="shared" si="85"/>
        <v/>
      </c>
      <c r="DD12" s="430" t="str">
        <f t="shared" si="86"/>
        <v/>
      </c>
      <c r="DE12" s="430" t="str">
        <f t="shared" si="87"/>
        <v/>
      </c>
      <c r="DF12" s="430" t="str">
        <f t="shared" si="88"/>
        <v/>
      </c>
      <c r="DG12" s="430" t="str">
        <f t="shared" si="89"/>
        <v/>
      </c>
      <c r="DH12" s="430" t="str">
        <f t="shared" si="90"/>
        <v/>
      </c>
      <c r="DI12" s="430" t="str">
        <f t="shared" si="91"/>
        <v/>
      </c>
      <c r="DJ12" s="430" t="str">
        <f t="shared" si="92"/>
        <v/>
      </c>
      <c r="DK12" s="430" t="str">
        <f t="shared" si="93"/>
        <v/>
      </c>
      <c r="DL12" s="430" t="str">
        <f t="shared" si="94"/>
        <v/>
      </c>
      <c r="DM12" s="430" t="str">
        <f t="shared" si="95"/>
        <v/>
      </c>
      <c r="DN12" s="430" t="str">
        <f t="shared" si="96"/>
        <v/>
      </c>
      <c r="DO12" s="430" t="str">
        <f t="shared" si="97"/>
        <v/>
      </c>
      <c r="DP12" s="430" t="str">
        <f t="shared" si="98"/>
        <v/>
      </c>
      <c r="DQ12" s="430" t="str">
        <f t="shared" si="99"/>
        <v/>
      </c>
      <c r="DR12" s="430" t="str">
        <f t="shared" si="100"/>
        <v/>
      </c>
      <c r="DS12" s="430" t="str">
        <f t="shared" si="101"/>
        <v/>
      </c>
      <c r="DT12" s="430" t="str">
        <f t="shared" si="102"/>
        <v/>
      </c>
      <c r="DU12" s="430" t="str">
        <f t="shared" si="103"/>
        <v/>
      </c>
      <c r="DV12" s="430" t="str">
        <f t="shared" si="104"/>
        <v/>
      </c>
      <c r="DW12" s="430" t="str">
        <f t="shared" si="105"/>
        <v/>
      </c>
      <c r="DX12" s="430" t="str">
        <f t="shared" si="106"/>
        <v/>
      </c>
      <c r="DY12" s="430" t="str">
        <f t="shared" si="107"/>
        <v/>
      </c>
      <c r="DZ12" s="430" t="str">
        <f t="shared" si="108"/>
        <v/>
      </c>
      <c r="EA12" s="430" t="str">
        <f t="shared" si="109"/>
        <v/>
      </c>
      <c r="EB12" s="430" t="str">
        <f t="shared" si="110"/>
        <v/>
      </c>
      <c r="EC12" s="430" t="str">
        <f t="shared" si="111"/>
        <v/>
      </c>
      <c r="ED12" s="430" t="str">
        <f t="shared" si="112"/>
        <v/>
      </c>
      <c r="EE12" s="430" t="str">
        <f t="shared" si="113"/>
        <v/>
      </c>
      <c r="EF12" s="430" t="str">
        <f t="shared" si="114"/>
        <v/>
      </c>
      <c r="EG12" s="430" t="str">
        <f t="shared" si="115"/>
        <v/>
      </c>
      <c r="EH12" s="430" t="str">
        <f t="shared" si="116"/>
        <v/>
      </c>
      <c r="EI12" s="430" t="str">
        <f t="shared" si="117"/>
        <v/>
      </c>
      <c r="EJ12" s="430" t="str">
        <f t="shared" si="118"/>
        <v/>
      </c>
      <c r="EK12" s="430" t="str">
        <f t="shared" si="119"/>
        <v/>
      </c>
      <c r="EL12" s="430" t="str">
        <f t="shared" si="120"/>
        <v/>
      </c>
      <c r="EM12" s="430" t="str">
        <f t="shared" si="121"/>
        <v/>
      </c>
      <c r="EN12" s="430" t="str">
        <f t="shared" si="122"/>
        <v/>
      </c>
      <c r="EO12" s="430" t="str">
        <f t="shared" si="123"/>
        <v/>
      </c>
      <c r="EP12" s="430" t="str">
        <f t="shared" si="124"/>
        <v/>
      </c>
      <c r="EQ12" s="430" t="str">
        <f t="shared" si="125"/>
        <v/>
      </c>
      <c r="ER12" s="430" t="str">
        <f t="shared" si="126"/>
        <v/>
      </c>
      <c r="ES12" s="430" t="str">
        <f t="shared" si="127"/>
        <v/>
      </c>
      <c r="ET12" s="430" t="str">
        <f t="shared" si="128"/>
        <v/>
      </c>
      <c r="EU12" s="430" t="str">
        <f t="shared" si="129"/>
        <v/>
      </c>
      <c r="EV12" s="430" t="str">
        <f t="shared" si="130"/>
        <v/>
      </c>
      <c r="EW12" s="430" t="str">
        <f t="shared" si="131"/>
        <v/>
      </c>
      <c r="EX12" s="430" t="str">
        <f t="shared" si="132"/>
        <v/>
      </c>
      <c r="EY12" s="430" t="str">
        <f t="shared" si="133"/>
        <v/>
      </c>
      <c r="EZ12" s="430" t="str">
        <f t="shared" si="134"/>
        <v/>
      </c>
      <c r="FA12" s="430" t="str">
        <f t="shared" si="135"/>
        <v/>
      </c>
      <c r="FB12" s="430" t="str">
        <f t="shared" si="136"/>
        <v/>
      </c>
      <c r="FC12" s="430" t="str">
        <f t="shared" si="137"/>
        <v/>
      </c>
      <c r="FD12" s="430" t="str">
        <f t="shared" si="138"/>
        <v/>
      </c>
      <c r="FE12" s="430" t="str">
        <f t="shared" si="139"/>
        <v/>
      </c>
      <c r="FF12" s="430" t="str">
        <f t="shared" si="140"/>
        <v/>
      </c>
      <c r="FG12" s="430" t="str">
        <f t="shared" si="141"/>
        <v/>
      </c>
      <c r="FH12" s="430" t="str">
        <f t="shared" si="142"/>
        <v/>
      </c>
      <c r="FI12" s="430" t="str">
        <f t="shared" si="143"/>
        <v/>
      </c>
      <c r="FJ12" s="430" t="str">
        <f t="shared" si="144"/>
        <v/>
      </c>
      <c r="FK12" s="430" t="str">
        <f t="shared" si="145"/>
        <v/>
      </c>
      <c r="FL12" s="430" t="str">
        <f t="shared" si="146"/>
        <v/>
      </c>
      <c r="FM12" s="430" t="str">
        <f t="shared" si="147"/>
        <v/>
      </c>
      <c r="FN12" s="430" t="str">
        <f t="shared" si="148"/>
        <v/>
      </c>
      <c r="FO12" s="430" t="str">
        <f t="shared" si="149"/>
        <v/>
      </c>
      <c r="FP12" s="430" t="str">
        <f t="shared" si="150"/>
        <v/>
      </c>
      <c r="FQ12" s="430" t="str">
        <f t="shared" si="151"/>
        <v/>
      </c>
      <c r="FR12" s="430" t="str">
        <f t="shared" si="152"/>
        <v/>
      </c>
      <c r="FS12" s="430" t="str">
        <f t="shared" si="153"/>
        <v/>
      </c>
      <c r="FT12" s="430" t="str">
        <f t="shared" si="154"/>
        <v/>
      </c>
      <c r="FU12" s="430" t="str">
        <f t="shared" si="155"/>
        <v/>
      </c>
      <c r="FV12" s="430" t="str">
        <f t="shared" si="156"/>
        <v/>
      </c>
      <c r="FW12" s="430" t="str">
        <f t="shared" si="157"/>
        <v/>
      </c>
      <c r="FX12" s="430" t="str">
        <f t="shared" si="158"/>
        <v/>
      </c>
      <c r="FY12" s="430" t="str">
        <f t="shared" si="159"/>
        <v/>
      </c>
      <c r="FZ12" s="430" t="str">
        <f t="shared" si="160"/>
        <v/>
      </c>
      <c r="GA12" s="430" t="str">
        <f t="shared" si="161"/>
        <v/>
      </c>
      <c r="GB12" s="430" t="str">
        <f t="shared" si="162"/>
        <v/>
      </c>
      <c r="GC12" s="430" t="str">
        <f t="shared" si="163"/>
        <v/>
      </c>
      <c r="GD12" s="430" t="str">
        <f t="shared" si="164"/>
        <v/>
      </c>
      <c r="GE12" s="430" t="str">
        <f t="shared" si="165"/>
        <v/>
      </c>
      <c r="GF12" s="430" t="str">
        <f t="shared" si="166"/>
        <v/>
      </c>
      <c r="GG12" s="430" t="str">
        <f t="shared" si="167"/>
        <v/>
      </c>
      <c r="GH12" s="430" t="str">
        <f t="shared" si="168"/>
        <v/>
      </c>
      <c r="GI12" s="430" t="str">
        <f t="shared" si="169"/>
        <v/>
      </c>
      <c r="GJ12" s="430" t="str">
        <f t="shared" si="170"/>
        <v/>
      </c>
      <c r="GK12" s="430" t="str">
        <f t="shared" si="171"/>
        <v/>
      </c>
      <c r="GL12" s="430" t="str">
        <f t="shared" si="172"/>
        <v/>
      </c>
      <c r="GM12" s="430" t="str">
        <f t="shared" si="173"/>
        <v/>
      </c>
      <c r="GN12" s="430" t="str">
        <f t="shared" si="174"/>
        <v/>
      </c>
      <c r="GO12" s="430" t="str">
        <f t="shared" si="175"/>
        <v/>
      </c>
      <c r="GP12" s="430" t="str">
        <f t="shared" si="176"/>
        <v/>
      </c>
      <c r="GQ12" s="430" t="str">
        <f t="shared" si="177"/>
        <v/>
      </c>
      <c r="GR12" s="430" t="str">
        <f t="shared" si="178"/>
        <v/>
      </c>
      <c r="GS12" s="430" t="str">
        <f t="shared" si="179"/>
        <v/>
      </c>
      <c r="GT12" s="430" t="str">
        <f t="shared" si="180"/>
        <v/>
      </c>
      <c r="GU12" s="430" t="str">
        <f t="shared" si="181"/>
        <v/>
      </c>
      <c r="GV12" s="430" t="str">
        <f t="shared" si="182"/>
        <v/>
      </c>
      <c r="GW12" s="430" t="str">
        <f t="shared" si="183"/>
        <v/>
      </c>
      <c r="GX12" s="430" t="str">
        <f t="shared" si="184"/>
        <v/>
      </c>
      <c r="GY12" s="430" t="str">
        <f t="shared" si="185"/>
        <v/>
      </c>
      <c r="GZ12" s="430" t="str">
        <f t="shared" si="186"/>
        <v/>
      </c>
      <c r="HA12" s="430" t="str">
        <f t="shared" si="187"/>
        <v/>
      </c>
      <c r="HB12" s="430" t="str">
        <f t="shared" si="188"/>
        <v/>
      </c>
      <c r="HC12" s="430" t="str">
        <f t="shared" si="189"/>
        <v/>
      </c>
      <c r="HD12" s="430" t="str">
        <f t="shared" si="190"/>
        <v/>
      </c>
      <c r="HE12" s="430" t="str">
        <f t="shared" si="191"/>
        <v/>
      </c>
      <c r="HF12" s="430" t="str">
        <f t="shared" si="192"/>
        <v/>
      </c>
      <c r="HG12" s="430" t="str">
        <f t="shared" si="193"/>
        <v/>
      </c>
      <c r="HH12" s="430" t="str">
        <f t="shared" si="194"/>
        <v/>
      </c>
      <c r="HI12" s="430" t="str">
        <f t="shared" si="195"/>
        <v/>
      </c>
      <c r="HJ12" s="430" t="str">
        <f t="shared" si="196"/>
        <v/>
      </c>
      <c r="HK12" s="430" t="str">
        <f t="shared" si="197"/>
        <v/>
      </c>
      <c r="HL12" s="430" t="str">
        <f t="shared" si="198"/>
        <v/>
      </c>
      <c r="HM12" s="430" t="str">
        <f t="shared" si="199"/>
        <v/>
      </c>
      <c r="HN12" s="430" t="str">
        <f t="shared" si="200"/>
        <v/>
      </c>
      <c r="HO12" s="430" t="str">
        <f t="shared" si="201"/>
        <v/>
      </c>
      <c r="HP12" s="430" t="str">
        <f t="shared" si="202"/>
        <v/>
      </c>
      <c r="HQ12" s="430" t="str">
        <f t="shared" si="203"/>
        <v/>
      </c>
      <c r="HR12" s="430" t="str">
        <f t="shared" si="204"/>
        <v/>
      </c>
      <c r="HS12" s="430" t="str">
        <f t="shared" si="205"/>
        <v/>
      </c>
      <c r="HT12" s="430" t="str">
        <f t="shared" si="206"/>
        <v/>
      </c>
      <c r="HU12" s="430" t="str">
        <f t="shared" si="207"/>
        <v/>
      </c>
      <c r="HV12" s="430" t="str">
        <f t="shared" si="208"/>
        <v/>
      </c>
      <c r="HW12" s="430" t="str">
        <f t="shared" si="209"/>
        <v/>
      </c>
      <c r="HX12" s="430" t="str">
        <f t="shared" si="210"/>
        <v/>
      </c>
      <c r="HY12" s="430" t="str">
        <f t="shared" si="211"/>
        <v/>
      </c>
      <c r="HZ12" s="1814" t="str">
        <f t="shared" si="212"/>
        <v/>
      </c>
      <c r="IA12" s="1814" t="str">
        <f t="shared" si="213"/>
        <v/>
      </c>
      <c r="IB12" s="1814" t="str">
        <f t="shared" si="214"/>
        <v/>
      </c>
      <c r="IC12" s="1814" t="str">
        <f t="shared" si="215"/>
        <v/>
      </c>
      <c r="ID12" s="1814" t="str">
        <f t="shared" si="216"/>
        <v/>
      </c>
      <c r="IE12" s="1814" t="str">
        <f t="shared" si="217"/>
        <v/>
      </c>
      <c r="IF12" s="1814" t="str">
        <f t="shared" si="218"/>
        <v/>
      </c>
      <c r="IG12" s="1814" t="str">
        <f t="shared" si="219"/>
        <v/>
      </c>
      <c r="IH12" s="1814" t="str">
        <f t="shared" si="220"/>
        <v/>
      </c>
      <c r="II12" s="1814" t="str">
        <f t="shared" si="221"/>
        <v/>
      </c>
      <c r="IJ12" s="1814" t="str">
        <f t="shared" si="222"/>
        <v/>
      </c>
      <c r="IK12" s="1814" t="str">
        <f t="shared" si="223"/>
        <v/>
      </c>
      <c r="IL12" s="1814" t="str">
        <f t="shared" si="224"/>
        <v/>
      </c>
      <c r="IM12" s="1814" t="str">
        <f t="shared" si="225"/>
        <v/>
      </c>
      <c r="IN12" s="1814" t="str">
        <f t="shared" si="226"/>
        <v/>
      </c>
      <c r="IO12" s="1814" t="str">
        <f t="shared" si="227"/>
        <v/>
      </c>
      <c r="IP12" s="1814" t="str">
        <f t="shared" si="228"/>
        <v/>
      </c>
      <c r="IQ12" s="1814" t="str">
        <f t="shared" si="229"/>
        <v/>
      </c>
      <c r="IR12" s="1814" t="str">
        <f t="shared" si="230"/>
        <v/>
      </c>
      <c r="IS12" s="1814" t="str">
        <f t="shared" si="231"/>
        <v/>
      </c>
      <c r="IT12" s="1814" t="str">
        <f t="shared" si="232"/>
        <v/>
      </c>
      <c r="IU12" s="1814" t="str">
        <f t="shared" si="233"/>
        <v/>
      </c>
      <c r="IV12" s="1814" t="str">
        <f t="shared" si="234"/>
        <v/>
      </c>
      <c r="IW12" s="1814" t="str">
        <f t="shared" si="235"/>
        <v/>
      </c>
      <c r="IX12" s="1814" t="str">
        <f t="shared" si="236"/>
        <v/>
      </c>
      <c r="IY12" s="1814" t="str">
        <f t="shared" si="237"/>
        <v/>
      </c>
      <c r="IZ12" s="1814" t="str">
        <f t="shared" si="238"/>
        <v/>
      </c>
      <c r="JA12" s="1814" t="str">
        <f t="shared" si="239"/>
        <v/>
      </c>
      <c r="JB12" s="1814" t="str">
        <f t="shared" si="240"/>
        <v/>
      </c>
      <c r="JC12" s="1814" t="str">
        <f t="shared" si="241"/>
        <v/>
      </c>
      <c r="JD12" s="1814" t="str">
        <f t="shared" si="242"/>
        <v/>
      </c>
      <c r="JE12" s="1814" t="str">
        <f t="shared" si="243"/>
        <v/>
      </c>
      <c r="JF12" s="1814" t="str">
        <f t="shared" si="244"/>
        <v/>
      </c>
      <c r="JG12" s="1814" t="str">
        <f t="shared" si="245"/>
        <v/>
      </c>
      <c r="JH12" s="1814" t="str">
        <f t="shared" si="246"/>
        <v/>
      </c>
      <c r="JI12" s="1814" t="str">
        <f t="shared" si="247"/>
        <v/>
      </c>
      <c r="JJ12" s="1814" t="str">
        <f t="shared" si="248"/>
        <v/>
      </c>
      <c r="JK12" s="1814" t="str">
        <f t="shared" si="249"/>
        <v/>
      </c>
      <c r="JL12" s="1814" t="str">
        <f t="shared" si="250"/>
        <v/>
      </c>
      <c r="JM12" s="1814" t="str">
        <f t="shared" si="251"/>
        <v/>
      </c>
      <c r="JN12" s="1814" t="str">
        <f t="shared" si="252"/>
        <v/>
      </c>
      <c r="JO12" s="1814" t="str">
        <f t="shared" si="253"/>
        <v/>
      </c>
      <c r="JP12" s="1814" t="str">
        <f t="shared" si="254"/>
        <v/>
      </c>
      <c r="JQ12" s="1814" t="str">
        <f t="shared" si="255"/>
        <v/>
      </c>
      <c r="JR12" s="1814" t="str">
        <f t="shared" si="256"/>
        <v/>
      </c>
      <c r="JS12" s="1814" t="str">
        <f t="shared" si="257"/>
        <v/>
      </c>
      <c r="JT12" s="1814" t="str">
        <f t="shared" si="258"/>
        <v/>
      </c>
      <c r="JU12" s="1814" t="str">
        <f t="shared" si="259"/>
        <v/>
      </c>
      <c r="JV12" s="1814" t="str">
        <f t="shared" si="260"/>
        <v/>
      </c>
      <c r="JW12" s="1814" t="str">
        <f t="shared" si="261"/>
        <v/>
      </c>
      <c r="JX12" s="1814" t="str">
        <f t="shared" si="262"/>
        <v/>
      </c>
      <c r="JY12" s="1814" t="str">
        <f t="shared" si="263"/>
        <v/>
      </c>
      <c r="JZ12" s="1814" t="str">
        <f t="shared" si="264"/>
        <v/>
      </c>
      <c r="KA12" s="1814" t="str">
        <f t="shared" si="265"/>
        <v/>
      </c>
      <c r="KB12" s="1814" t="str">
        <f t="shared" si="266"/>
        <v/>
      </c>
      <c r="KC12" s="1814" t="str">
        <f t="shared" si="267"/>
        <v/>
      </c>
      <c r="KD12" s="1814" t="str">
        <f t="shared" si="268"/>
        <v/>
      </c>
      <c r="KE12" s="1814" t="str">
        <f t="shared" si="269"/>
        <v/>
      </c>
      <c r="KF12" s="1814" t="str">
        <f t="shared" si="270"/>
        <v/>
      </c>
      <c r="KG12" s="1814" t="str">
        <f t="shared" si="271"/>
        <v/>
      </c>
      <c r="KH12" s="1814" t="str">
        <f t="shared" si="272"/>
        <v/>
      </c>
      <c r="KI12" s="1814" t="str">
        <f t="shared" si="273"/>
        <v/>
      </c>
      <c r="KJ12" s="1814" t="str">
        <f t="shared" si="274"/>
        <v/>
      </c>
      <c r="KK12" s="1814" t="str">
        <f t="shared" si="275"/>
        <v/>
      </c>
      <c r="KL12" s="1814" t="str">
        <f t="shared" si="276"/>
        <v/>
      </c>
      <c r="KM12" s="1814" t="str">
        <f t="shared" si="277"/>
        <v/>
      </c>
      <c r="KN12" s="1814" t="str">
        <f t="shared" si="278"/>
        <v/>
      </c>
      <c r="KO12" s="1814" t="str">
        <f t="shared" si="279"/>
        <v/>
      </c>
      <c r="KP12" s="1814" t="str">
        <f t="shared" si="280"/>
        <v/>
      </c>
      <c r="KQ12" s="1814" t="str">
        <f t="shared" si="281"/>
        <v/>
      </c>
      <c r="KR12" s="1814" t="str">
        <f t="shared" si="282"/>
        <v/>
      </c>
      <c r="KS12" s="1814" t="str">
        <f t="shared" si="283"/>
        <v/>
      </c>
      <c r="KT12" s="1814" t="str">
        <f t="shared" si="284"/>
        <v/>
      </c>
      <c r="KU12" s="1814" t="str">
        <f t="shared" si="285"/>
        <v/>
      </c>
      <c r="KV12" s="1814" t="str">
        <f t="shared" si="286"/>
        <v/>
      </c>
      <c r="KW12" s="1814" t="str">
        <f t="shared" si="287"/>
        <v/>
      </c>
      <c r="KX12" s="1814" t="str">
        <f t="shared" si="288"/>
        <v/>
      </c>
      <c r="KY12" s="1814" t="str">
        <f t="shared" si="289"/>
        <v/>
      </c>
      <c r="KZ12" s="1814" t="str">
        <f t="shared" si="290"/>
        <v/>
      </c>
      <c r="LA12" s="1814" t="str">
        <f t="shared" si="291"/>
        <v/>
      </c>
      <c r="LB12" s="1814" t="str">
        <f t="shared" si="292"/>
        <v/>
      </c>
      <c r="LC12" s="1814" t="str">
        <f t="shared" si="293"/>
        <v/>
      </c>
      <c r="LD12" s="1814" t="str">
        <f t="shared" si="294"/>
        <v/>
      </c>
      <c r="LE12" s="1814" t="str">
        <f t="shared" si="295"/>
        <v/>
      </c>
      <c r="LF12" s="1814" t="str">
        <f t="shared" si="296"/>
        <v/>
      </c>
      <c r="LG12" s="1786" t="str">
        <f t="shared" si="297"/>
        <v/>
      </c>
      <c r="LH12" s="1786" t="str">
        <f t="shared" si="298"/>
        <v/>
      </c>
      <c r="LI12" s="1786" t="str">
        <f t="shared" si="299"/>
        <v/>
      </c>
      <c r="LJ12" s="1786" t="str">
        <f t="shared" si="300"/>
        <v/>
      </c>
      <c r="LK12" s="1786" t="str">
        <f t="shared" si="301"/>
        <v/>
      </c>
      <c r="LL12" s="430" t="str">
        <f t="shared" si="302"/>
        <v/>
      </c>
      <c r="LM12" s="430" t="str">
        <f t="shared" si="303"/>
        <v/>
      </c>
      <c r="LN12" s="430" t="str">
        <f t="shared" si="304"/>
        <v/>
      </c>
      <c r="LO12" s="430" t="str">
        <f t="shared" si="305"/>
        <v/>
      </c>
      <c r="LP12" s="430" t="str">
        <f t="shared" si="306"/>
        <v/>
      </c>
      <c r="LQ12" s="430" t="str">
        <f t="shared" si="307"/>
        <v/>
      </c>
      <c r="LR12" s="430" t="str">
        <f t="shared" si="308"/>
        <v/>
      </c>
      <c r="LS12" s="430" t="str">
        <f t="shared" si="309"/>
        <v/>
      </c>
      <c r="LT12" s="430" t="str">
        <f t="shared" si="310"/>
        <v/>
      </c>
      <c r="LU12" s="430" t="str">
        <f t="shared" si="311"/>
        <v/>
      </c>
      <c r="LV12" s="430" t="str">
        <f t="shared" si="312"/>
        <v/>
      </c>
      <c r="LW12" s="430" t="str">
        <f t="shared" si="313"/>
        <v/>
      </c>
      <c r="LX12" s="430" t="str">
        <f t="shared" si="314"/>
        <v/>
      </c>
      <c r="LY12" s="430" t="str">
        <f t="shared" si="315"/>
        <v/>
      </c>
      <c r="LZ12" s="430" t="str">
        <f t="shared" si="316"/>
        <v/>
      </c>
      <c r="MA12" s="430" t="str">
        <f t="shared" si="317"/>
        <v/>
      </c>
      <c r="MB12" s="430" t="str">
        <f t="shared" si="318"/>
        <v/>
      </c>
      <c r="MC12" s="430" t="str">
        <f t="shared" si="319"/>
        <v/>
      </c>
      <c r="MD12" s="430" t="str">
        <f t="shared" si="320"/>
        <v/>
      </c>
      <c r="ME12" s="430" t="str">
        <f t="shared" si="321"/>
        <v/>
      </c>
      <c r="MF12" s="1815">
        <f t="shared" ref="MF12:MF48" si="328">IF(AND($C12="Efficiency",$E12&gt;0,OR($O12="Low-Rise Apt",$O12="Low-Rise Elevator",$O12="High-Rise Apt",$O12="High-Rise Elevator",$O12="Row House/TH"),OR($P12="Acquisition/Rehab",$P12="Rehabilitation"),NOT($Q12="Yes")),$E12,0)</f>
        <v>0</v>
      </c>
      <c r="MG12" s="1815">
        <f t="shared" ref="MG12:MG48" si="329">IF(AND($C12=1,$E12&gt;0,OR($O12="Low-Rise Apt",$O12="Low-Rise Elevator",$O12="High-Rise Apt",$O12="High-Rise Elevator",$O12="Row House/TH"),OR($P12="Acquisition/Rehab",$P12="Rehabilitation"),NOT($Q12="Yes")),$E12,0)</f>
        <v>0</v>
      </c>
      <c r="MH12" s="1815">
        <f t="shared" ref="MH12:MH48" si="330">IF(AND($C12=2,$E12&gt;0,OR($O12="Low-Rise Apt",$O12="Low-Rise Elevator",$O12="High-Rise Apt",$O12="High-Rise Elevator",$O12="Row House/TH"),OR($P12="Acquisition/Rehab",$P12="Rehabilitation"),NOT($Q12="Yes")),$E12,0)</f>
        <v>0</v>
      </c>
      <c r="MI12" s="1815">
        <f t="shared" ref="MI12:MI48" si="331">IF(AND($C12=3,$E12&gt;0,OR($O12="Low-Rise Apt",$O12="Low-Rise Elevator",$O12="High-Rise Apt",$O12="High-Rise Elevator",$O12="Row House/TH"),OR($P12="Acquisition/Rehab",$P12="Rehabilitation"),NOT($Q12="Yes")),$E12,0)</f>
        <v>0</v>
      </c>
      <c r="MJ12" s="1815">
        <f t="shared" ref="MJ12:MJ48" si="332">IF(AND($C12=4,$E12&gt;0,OR($O12="Low-Rise Apt",$O12="Low-Rise Elevator",$O12="High-Rise Apt",$O12="High-Rise Elevator",$O12="Row House/TH"),OR($P12="Acquisition/Rehab",$P12="Rehabilitation"),NOT($Q12="Yes")),$E12,0)</f>
        <v>0</v>
      </c>
      <c r="MK12" s="1815">
        <f t="shared" ref="MK12:MK48" si="333">IF(AND($C12="Efficiency",$E12&gt;0,OR($O12="Low-Rise Apt",$O12="Low-Rise Elevator",$O12="High-Rise Apt",$O12="High-Rise Elevator",$O12="Row House/TH"),$P12="New Construction"),$E12,0)</f>
        <v>0</v>
      </c>
      <c r="ML12" s="1815">
        <f t="shared" ref="ML12:ML48" si="334">IF(AND($C12=1,$E12&gt;0,OR($O12="Low-Rise Apt",$O12="Low-Rise Elevator",$O12="High-Rise Apt",$O12="High-Rise Elevator",$O12="Row House/TH"),$P12="New Construction"),$E12,0)</f>
        <v>0</v>
      </c>
      <c r="MM12" s="1815">
        <f t="shared" ref="MM12:MM48" si="335">IF(AND($C12=2,$E12&gt;0,OR($O12="Low-Rise Apt",$O12="Low-Rise Elevator",$O12="High-Rise Apt",$O12="High-Rise Elevator",$O12="Row House/TH"),$P12="New Construction"),$E12,0)</f>
        <v>0</v>
      </c>
      <c r="MN12" s="1815">
        <f t="shared" ref="MN12:MN48" si="336">IF(AND($C12=3,$E12&gt;0,OR($O12="Low-Rise Apt",$O12="Low-Rise Elevator",$O12="High-Rise Apt",$O12="High-Rise Elevator",$O12="Row House/TH"),$P12="New Construction"),$E12,0)</f>
        <v>0</v>
      </c>
      <c r="MO12" s="1815">
        <f t="shared" ref="MO12:MO48" si="337">IF(AND($C12=4,$E12&gt;0,OR($O12="Low-Rise Apt",$O12="Low-Rise Elevator",$O12="High-Rise Apt",$O12="High-Rise Elevator",$O12="Row House/TH"),$P12="New Construction"),$E12,0)</f>
        <v>0</v>
      </c>
      <c r="MP12" s="1815">
        <f t="shared" si="322"/>
        <v>0</v>
      </c>
      <c r="MQ12" s="1815">
        <f t="shared" si="323"/>
        <v>0</v>
      </c>
      <c r="MR12" s="1815">
        <f t="shared" si="324"/>
        <v>0</v>
      </c>
      <c r="MS12" s="1815">
        <f t="shared" si="325"/>
        <v>0</v>
      </c>
      <c r="MT12" s="1815">
        <f t="shared" si="326"/>
        <v>0</v>
      </c>
      <c r="NP12" s="2807" t="s">
        <v>6718</v>
      </c>
    </row>
    <row r="13" spans="1:493" ht="13.9" customHeight="1">
      <c r="A13" s="108" t="str">
        <f t="shared" si="327"/>
        <v/>
      </c>
      <c r="B13" s="2868" t="s">
        <v>292</v>
      </c>
      <c r="C13" s="2869">
        <v>1</v>
      </c>
      <c r="D13" s="2870">
        <v>1</v>
      </c>
      <c r="E13" s="2871">
        <v>3</v>
      </c>
      <c r="F13" s="2871">
        <v>680</v>
      </c>
      <c r="G13" s="2871" t="s">
        <v>931</v>
      </c>
      <c r="H13" s="2871">
        <v>515</v>
      </c>
      <c r="I13" s="2871">
        <v>0</v>
      </c>
      <c r="J13" s="2872"/>
      <c r="K13" s="2873"/>
      <c r="L13" s="537">
        <f t="shared" si="0"/>
        <v>515</v>
      </c>
      <c r="M13" s="537">
        <f t="shared" si="1"/>
        <v>1545</v>
      </c>
      <c r="N13" s="2712" t="s">
        <v>2771</v>
      </c>
      <c r="O13" s="2874" t="s">
        <v>6596</v>
      </c>
      <c r="P13" s="2712" t="s">
        <v>2191</v>
      </c>
      <c r="Q13" s="2875" t="s">
        <v>2771</v>
      </c>
      <c r="R13" s="2876"/>
      <c r="S13" s="2877"/>
      <c r="T13" s="3833"/>
      <c r="U13" s="3834"/>
      <c r="V13" s="3834"/>
      <c r="W13" s="3835"/>
      <c r="X13" s="430" t="str">
        <f t="shared" si="2"/>
        <v/>
      </c>
      <c r="Y13" s="430" t="str">
        <f t="shared" si="3"/>
        <v/>
      </c>
      <c r="Z13" s="430" t="str">
        <f t="shared" si="4"/>
        <v/>
      </c>
      <c r="AA13" s="430" t="str">
        <f t="shared" si="5"/>
        <v/>
      </c>
      <c r="AB13" s="430" t="str">
        <f t="shared" si="6"/>
        <v/>
      </c>
      <c r="AC13" s="430" t="str">
        <f t="shared" si="7"/>
        <v/>
      </c>
      <c r="AD13" s="430" t="str">
        <f t="shared" si="8"/>
        <v/>
      </c>
      <c r="AE13" s="430" t="str">
        <f t="shared" si="9"/>
        <v/>
      </c>
      <c r="AF13" s="430" t="str">
        <f t="shared" si="10"/>
        <v/>
      </c>
      <c r="AG13" s="430" t="str">
        <f t="shared" si="11"/>
        <v/>
      </c>
      <c r="AH13" s="430" t="str">
        <f t="shared" si="12"/>
        <v/>
      </c>
      <c r="AI13" s="430" t="str">
        <f t="shared" si="13"/>
        <v/>
      </c>
      <c r="AJ13" s="430" t="str">
        <f t="shared" si="14"/>
        <v/>
      </c>
      <c r="AK13" s="430" t="str">
        <f t="shared" si="15"/>
        <v/>
      </c>
      <c r="AL13" s="430" t="str">
        <f t="shared" si="16"/>
        <v/>
      </c>
      <c r="AM13" s="430" t="str">
        <f t="shared" si="17"/>
        <v/>
      </c>
      <c r="AN13" s="430" t="str">
        <f t="shared" si="18"/>
        <v/>
      </c>
      <c r="AO13" s="430" t="str">
        <f t="shared" si="19"/>
        <v/>
      </c>
      <c r="AP13" s="430" t="str">
        <f t="shared" si="20"/>
        <v/>
      </c>
      <c r="AQ13" s="430" t="str">
        <f t="shared" si="21"/>
        <v/>
      </c>
      <c r="AR13" s="430" t="str">
        <f t="shared" si="22"/>
        <v/>
      </c>
      <c r="AS13" s="430" t="str">
        <f t="shared" si="23"/>
        <v/>
      </c>
      <c r="AT13" s="430" t="str">
        <f t="shared" si="24"/>
        <v/>
      </c>
      <c r="AU13" s="430" t="str">
        <f t="shared" si="25"/>
        <v/>
      </c>
      <c r="AV13" s="430" t="str">
        <f t="shared" si="26"/>
        <v/>
      </c>
      <c r="AW13" s="430" t="str">
        <f t="shared" si="27"/>
        <v/>
      </c>
      <c r="AX13" s="430" t="str">
        <f t="shared" si="28"/>
        <v/>
      </c>
      <c r="AY13" s="430" t="str">
        <f t="shared" si="29"/>
        <v/>
      </c>
      <c r="AZ13" s="430" t="str">
        <f t="shared" si="30"/>
        <v/>
      </c>
      <c r="BA13" s="430" t="str">
        <f t="shared" si="31"/>
        <v/>
      </c>
      <c r="BB13" s="430" t="str">
        <f t="shared" si="32"/>
        <v/>
      </c>
      <c r="BC13" s="430" t="str">
        <f t="shared" si="33"/>
        <v/>
      </c>
      <c r="BD13" s="430" t="str">
        <f t="shared" si="34"/>
        <v/>
      </c>
      <c r="BE13" s="430" t="str">
        <f t="shared" si="35"/>
        <v/>
      </c>
      <c r="BF13" s="430" t="str">
        <f t="shared" si="36"/>
        <v/>
      </c>
      <c r="BG13" s="430" t="str">
        <f t="shared" si="37"/>
        <v/>
      </c>
      <c r="BH13" s="430">
        <f t="shared" si="38"/>
        <v>3</v>
      </c>
      <c r="BI13" s="430" t="str">
        <f t="shared" si="39"/>
        <v/>
      </c>
      <c r="BJ13" s="430" t="str">
        <f t="shared" si="40"/>
        <v/>
      </c>
      <c r="BK13" s="430" t="str">
        <f t="shared" si="41"/>
        <v/>
      </c>
      <c r="BL13" s="430" t="str">
        <f t="shared" si="42"/>
        <v/>
      </c>
      <c r="BM13" s="430" t="str">
        <f t="shared" si="43"/>
        <v/>
      </c>
      <c r="BN13" s="430" t="str">
        <f t="shared" si="44"/>
        <v/>
      </c>
      <c r="BO13" s="430" t="str">
        <f t="shared" si="45"/>
        <v/>
      </c>
      <c r="BP13" s="430" t="str">
        <f t="shared" si="46"/>
        <v/>
      </c>
      <c r="BQ13" s="430" t="str">
        <f t="shared" si="47"/>
        <v/>
      </c>
      <c r="BR13" s="430" t="str">
        <f t="shared" si="48"/>
        <v/>
      </c>
      <c r="BS13" s="430" t="str">
        <f t="shared" si="49"/>
        <v/>
      </c>
      <c r="BT13" s="430" t="str">
        <f t="shared" si="50"/>
        <v/>
      </c>
      <c r="BU13" s="430" t="str">
        <f t="shared" si="51"/>
        <v/>
      </c>
      <c r="BV13" s="430" t="str">
        <f t="shared" si="52"/>
        <v/>
      </c>
      <c r="BW13" s="430" t="str">
        <f t="shared" si="53"/>
        <v/>
      </c>
      <c r="BX13" s="430" t="str">
        <f t="shared" si="54"/>
        <v/>
      </c>
      <c r="BY13" s="430" t="str">
        <f t="shared" si="55"/>
        <v/>
      </c>
      <c r="BZ13" s="430" t="str">
        <f t="shared" si="56"/>
        <v/>
      </c>
      <c r="CA13" s="430" t="str">
        <f t="shared" si="57"/>
        <v/>
      </c>
      <c r="CB13" s="430" t="str">
        <f t="shared" si="58"/>
        <v/>
      </c>
      <c r="CC13" s="430" t="str">
        <f t="shared" si="59"/>
        <v/>
      </c>
      <c r="CD13" s="430" t="str">
        <f t="shared" si="60"/>
        <v/>
      </c>
      <c r="CE13" s="430" t="str">
        <f t="shared" si="61"/>
        <v/>
      </c>
      <c r="CF13" s="430" t="str">
        <f t="shared" si="62"/>
        <v/>
      </c>
      <c r="CG13" s="430" t="str">
        <f t="shared" si="63"/>
        <v/>
      </c>
      <c r="CH13" s="430" t="str">
        <f t="shared" si="64"/>
        <v/>
      </c>
      <c r="CI13" s="430" t="str">
        <f t="shared" si="65"/>
        <v/>
      </c>
      <c r="CJ13" s="430" t="str">
        <f t="shared" si="66"/>
        <v/>
      </c>
      <c r="CK13" s="430" t="str">
        <f t="shared" si="67"/>
        <v/>
      </c>
      <c r="CL13" s="430" t="str">
        <f t="shared" si="68"/>
        <v/>
      </c>
      <c r="CM13" s="430" t="str">
        <f t="shared" si="69"/>
        <v/>
      </c>
      <c r="CN13" s="430" t="str">
        <f t="shared" si="70"/>
        <v/>
      </c>
      <c r="CO13" s="430" t="str">
        <f t="shared" si="71"/>
        <v/>
      </c>
      <c r="CP13" s="430" t="str">
        <f t="shared" si="72"/>
        <v/>
      </c>
      <c r="CQ13" s="430" t="str">
        <f t="shared" si="73"/>
        <v/>
      </c>
      <c r="CR13" s="430" t="str">
        <f t="shared" si="74"/>
        <v/>
      </c>
      <c r="CS13" s="430" t="str">
        <f t="shared" si="75"/>
        <v/>
      </c>
      <c r="CT13" s="430" t="str">
        <f t="shared" si="76"/>
        <v/>
      </c>
      <c r="CU13" s="430" t="str">
        <f t="shared" si="77"/>
        <v/>
      </c>
      <c r="CV13" s="430" t="str">
        <f t="shared" si="78"/>
        <v/>
      </c>
      <c r="CW13" s="430" t="str">
        <f t="shared" si="79"/>
        <v/>
      </c>
      <c r="CX13" s="430" t="str">
        <f t="shared" si="80"/>
        <v/>
      </c>
      <c r="CY13" s="430" t="str">
        <f t="shared" si="81"/>
        <v/>
      </c>
      <c r="CZ13" s="430" t="str">
        <f t="shared" si="82"/>
        <v/>
      </c>
      <c r="DA13" s="430" t="str">
        <f t="shared" si="83"/>
        <v/>
      </c>
      <c r="DB13" s="430" t="str">
        <f t="shared" si="84"/>
        <v/>
      </c>
      <c r="DC13" s="430" t="str">
        <f t="shared" si="85"/>
        <v/>
      </c>
      <c r="DD13" s="430" t="str">
        <f t="shared" si="86"/>
        <v/>
      </c>
      <c r="DE13" s="430" t="str">
        <f t="shared" si="87"/>
        <v/>
      </c>
      <c r="DF13" s="430" t="str">
        <f t="shared" si="88"/>
        <v/>
      </c>
      <c r="DG13" s="430" t="str">
        <f t="shared" si="89"/>
        <v/>
      </c>
      <c r="DH13" s="430" t="str">
        <f t="shared" si="90"/>
        <v/>
      </c>
      <c r="DI13" s="430" t="str">
        <f t="shared" si="91"/>
        <v/>
      </c>
      <c r="DJ13" s="430" t="str">
        <f t="shared" si="92"/>
        <v/>
      </c>
      <c r="DK13" s="430" t="str">
        <f t="shared" si="93"/>
        <v/>
      </c>
      <c r="DL13" s="430" t="str">
        <f t="shared" si="94"/>
        <v/>
      </c>
      <c r="DM13" s="430" t="str">
        <f t="shared" si="95"/>
        <v/>
      </c>
      <c r="DN13" s="430" t="str">
        <f t="shared" si="96"/>
        <v/>
      </c>
      <c r="DO13" s="430" t="str">
        <f t="shared" si="97"/>
        <v/>
      </c>
      <c r="DP13" s="430" t="str">
        <f t="shared" si="98"/>
        <v/>
      </c>
      <c r="DQ13" s="430" t="str">
        <f t="shared" si="99"/>
        <v/>
      </c>
      <c r="DR13" s="430" t="str">
        <f t="shared" si="100"/>
        <v/>
      </c>
      <c r="DS13" s="430" t="str">
        <f t="shared" si="101"/>
        <v/>
      </c>
      <c r="DT13" s="430" t="str">
        <f t="shared" si="102"/>
        <v/>
      </c>
      <c r="DU13" s="430" t="str">
        <f t="shared" si="103"/>
        <v/>
      </c>
      <c r="DV13" s="430" t="str">
        <f t="shared" si="104"/>
        <v/>
      </c>
      <c r="DW13" s="430" t="str">
        <f t="shared" si="105"/>
        <v/>
      </c>
      <c r="DX13" s="430" t="str">
        <f t="shared" si="106"/>
        <v/>
      </c>
      <c r="DY13" s="430" t="str">
        <f t="shared" si="107"/>
        <v/>
      </c>
      <c r="DZ13" s="430" t="str">
        <f t="shared" si="108"/>
        <v/>
      </c>
      <c r="EA13" s="430" t="str">
        <f t="shared" si="109"/>
        <v/>
      </c>
      <c r="EB13" s="430" t="str">
        <f t="shared" si="110"/>
        <v/>
      </c>
      <c r="EC13" s="430" t="str">
        <f t="shared" si="111"/>
        <v/>
      </c>
      <c r="ED13" s="430" t="str">
        <f t="shared" si="112"/>
        <v/>
      </c>
      <c r="EE13" s="430" t="str">
        <f t="shared" si="113"/>
        <v/>
      </c>
      <c r="EF13" s="430" t="str">
        <f t="shared" si="114"/>
        <v/>
      </c>
      <c r="EG13" s="430" t="str">
        <f t="shared" si="115"/>
        <v/>
      </c>
      <c r="EH13" s="430" t="str">
        <f t="shared" si="116"/>
        <v/>
      </c>
      <c r="EI13" s="430" t="str">
        <f t="shared" si="117"/>
        <v/>
      </c>
      <c r="EJ13" s="430" t="str">
        <f t="shared" si="118"/>
        <v/>
      </c>
      <c r="EK13" s="430" t="str">
        <f t="shared" si="119"/>
        <v/>
      </c>
      <c r="EL13" s="430" t="str">
        <f t="shared" si="120"/>
        <v/>
      </c>
      <c r="EM13" s="430" t="str">
        <f t="shared" si="121"/>
        <v/>
      </c>
      <c r="EN13" s="430" t="str">
        <f t="shared" si="122"/>
        <v/>
      </c>
      <c r="EO13" s="430" t="str">
        <f t="shared" si="123"/>
        <v/>
      </c>
      <c r="EP13" s="430" t="str">
        <f t="shared" si="124"/>
        <v/>
      </c>
      <c r="EQ13" s="430" t="str">
        <f t="shared" si="125"/>
        <v/>
      </c>
      <c r="ER13" s="430" t="str">
        <f t="shared" si="126"/>
        <v/>
      </c>
      <c r="ES13" s="430" t="str">
        <f t="shared" si="127"/>
        <v/>
      </c>
      <c r="ET13" s="430" t="str">
        <f t="shared" si="128"/>
        <v/>
      </c>
      <c r="EU13" s="430" t="str">
        <f t="shared" si="129"/>
        <v/>
      </c>
      <c r="EV13" s="430" t="str">
        <f t="shared" si="130"/>
        <v/>
      </c>
      <c r="EW13" s="430" t="str">
        <f t="shared" si="131"/>
        <v/>
      </c>
      <c r="EX13" s="430" t="str">
        <f t="shared" si="132"/>
        <v/>
      </c>
      <c r="EY13" s="430" t="str">
        <f t="shared" si="133"/>
        <v/>
      </c>
      <c r="EZ13" s="430" t="str">
        <f t="shared" si="134"/>
        <v/>
      </c>
      <c r="FA13" s="430" t="str">
        <f t="shared" si="135"/>
        <v/>
      </c>
      <c r="FB13" s="430" t="str">
        <f t="shared" si="136"/>
        <v/>
      </c>
      <c r="FC13" s="430" t="str">
        <f t="shared" si="137"/>
        <v/>
      </c>
      <c r="FD13" s="430" t="str">
        <f t="shared" si="138"/>
        <v/>
      </c>
      <c r="FE13" s="430" t="str">
        <f t="shared" si="139"/>
        <v/>
      </c>
      <c r="FF13" s="430" t="str">
        <f t="shared" si="140"/>
        <v/>
      </c>
      <c r="FG13" s="430" t="str">
        <f t="shared" si="141"/>
        <v/>
      </c>
      <c r="FH13" s="430" t="str">
        <f t="shared" si="142"/>
        <v/>
      </c>
      <c r="FI13" s="430" t="str">
        <f t="shared" si="143"/>
        <v/>
      </c>
      <c r="FJ13" s="430" t="str">
        <f t="shared" si="144"/>
        <v/>
      </c>
      <c r="FK13" s="430" t="str">
        <f t="shared" si="145"/>
        <v/>
      </c>
      <c r="FL13" s="430" t="str">
        <f t="shared" si="146"/>
        <v/>
      </c>
      <c r="FM13" s="430" t="str">
        <f t="shared" si="147"/>
        <v/>
      </c>
      <c r="FN13" s="430" t="str">
        <f t="shared" si="148"/>
        <v/>
      </c>
      <c r="FO13" s="430" t="str">
        <f t="shared" si="149"/>
        <v/>
      </c>
      <c r="FP13" s="430" t="str">
        <f t="shared" si="150"/>
        <v/>
      </c>
      <c r="FQ13" s="430" t="str">
        <f t="shared" si="151"/>
        <v/>
      </c>
      <c r="FR13" s="430" t="str">
        <f t="shared" si="152"/>
        <v/>
      </c>
      <c r="FS13" s="430">
        <f t="shared" si="153"/>
        <v>2040</v>
      </c>
      <c r="FT13" s="430" t="str">
        <f t="shared" si="154"/>
        <v/>
      </c>
      <c r="FU13" s="430" t="str">
        <f t="shared" si="155"/>
        <v/>
      </c>
      <c r="FV13" s="430" t="str">
        <f t="shared" si="156"/>
        <v/>
      </c>
      <c r="FW13" s="430" t="str">
        <f t="shared" si="157"/>
        <v/>
      </c>
      <c r="FX13" s="430" t="str">
        <f t="shared" si="158"/>
        <v/>
      </c>
      <c r="FY13" s="430" t="str">
        <f t="shared" si="159"/>
        <v/>
      </c>
      <c r="FZ13" s="430" t="str">
        <f t="shared" si="160"/>
        <v/>
      </c>
      <c r="GA13" s="430" t="str">
        <f t="shared" si="161"/>
        <v/>
      </c>
      <c r="GB13" s="430" t="str">
        <f t="shared" si="162"/>
        <v/>
      </c>
      <c r="GC13" s="430" t="str">
        <f t="shared" si="163"/>
        <v/>
      </c>
      <c r="GD13" s="430" t="str">
        <f t="shared" si="164"/>
        <v/>
      </c>
      <c r="GE13" s="430" t="str">
        <f t="shared" si="165"/>
        <v/>
      </c>
      <c r="GF13" s="430" t="str">
        <f t="shared" si="166"/>
        <v/>
      </c>
      <c r="GG13" s="430" t="str">
        <f t="shared" si="167"/>
        <v/>
      </c>
      <c r="GH13" s="430" t="str">
        <f t="shared" si="168"/>
        <v/>
      </c>
      <c r="GI13" s="430" t="str">
        <f t="shared" si="169"/>
        <v/>
      </c>
      <c r="GJ13" s="430" t="str">
        <f t="shared" si="170"/>
        <v/>
      </c>
      <c r="GK13" s="430" t="str">
        <f t="shared" si="171"/>
        <v/>
      </c>
      <c r="GL13" s="430" t="str">
        <f t="shared" si="172"/>
        <v/>
      </c>
      <c r="GM13" s="430">
        <f t="shared" si="173"/>
        <v>3</v>
      </c>
      <c r="GN13" s="430" t="str">
        <f t="shared" si="174"/>
        <v/>
      </c>
      <c r="GO13" s="430" t="str">
        <f t="shared" si="175"/>
        <v/>
      </c>
      <c r="GP13" s="430" t="str">
        <f t="shared" si="176"/>
        <v/>
      </c>
      <c r="GQ13" s="430" t="str">
        <f t="shared" si="177"/>
        <v/>
      </c>
      <c r="GR13" s="430" t="str">
        <f t="shared" si="178"/>
        <v/>
      </c>
      <c r="GS13" s="430" t="str">
        <f t="shared" si="179"/>
        <v/>
      </c>
      <c r="GT13" s="430" t="str">
        <f t="shared" si="180"/>
        <v/>
      </c>
      <c r="GU13" s="430" t="str">
        <f t="shared" si="181"/>
        <v/>
      </c>
      <c r="GV13" s="430" t="str">
        <f t="shared" si="182"/>
        <v/>
      </c>
      <c r="GW13" s="430" t="str">
        <f t="shared" si="183"/>
        <v/>
      </c>
      <c r="GX13" s="430" t="str">
        <f t="shared" si="184"/>
        <v/>
      </c>
      <c r="GY13" s="430" t="str">
        <f t="shared" si="185"/>
        <v/>
      </c>
      <c r="GZ13" s="430" t="str">
        <f t="shared" si="186"/>
        <v/>
      </c>
      <c r="HA13" s="430" t="str">
        <f t="shared" si="187"/>
        <v/>
      </c>
      <c r="HB13" s="430" t="str">
        <f t="shared" si="188"/>
        <v/>
      </c>
      <c r="HC13" s="430" t="str">
        <f t="shared" si="189"/>
        <v/>
      </c>
      <c r="HD13" s="430" t="str">
        <f t="shared" si="190"/>
        <v/>
      </c>
      <c r="HE13" s="430" t="str">
        <f t="shared" si="191"/>
        <v/>
      </c>
      <c r="HF13" s="430" t="str">
        <f t="shared" si="192"/>
        <v/>
      </c>
      <c r="HG13" s="430" t="str">
        <f t="shared" si="193"/>
        <v/>
      </c>
      <c r="HH13" s="430" t="str">
        <f t="shared" si="194"/>
        <v/>
      </c>
      <c r="HI13" s="430" t="str">
        <f t="shared" si="195"/>
        <v/>
      </c>
      <c r="HJ13" s="430" t="str">
        <f t="shared" si="196"/>
        <v/>
      </c>
      <c r="HK13" s="430" t="str">
        <f t="shared" si="197"/>
        <v/>
      </c>
      <c r="HL13" s="430" t="str">
        <f t="shared" si="198"/>
        <v/>
      </c>
      <c r="HM13" s="430" t="str">
        <f t="shared" si="199"/>
        <v/>
      </c>
      <c r="HN13" s="430" t="str">
        <f t="shared" si="200"/>
        <v/>
      </c>
      <c r="HO13" s="430" t="str">
        <f t="shared" si="201"/>
        <v/>
      </c>
      <c r="HP13" s="430" t="str">
        <f t="shared" si="202"/>
        <v/>
      </c>
      <c r="HQ13" s="430" t="str">
        <f t="shared" si="203"/>
        <v/>
      </c>
      <c r="HR13" s="430" t="str">
        <f t="shared" si="204"/>
        <v/>
      </c>
      <c r="HS13" s="430" t="str">
        <f t="shared" si="205"/>
        <v/>
      </c>
      <c r="HT13" s="430" t="str">
        <f t="shared" si="206"/>
        <v/>
      </c>
      <c r="HU13" s="430" t="str">
        <f t="shared" si="207"/>
        <v/>
      </c>
      <c r="HV13" s="430" t="str">
        <f t="shared" si="208"/>
        <v/>
      </c>
      <c r="HW13" s="430" t="str">
        <f t="shared" si="209"/>
        <v/>
      </c>
      <c r="HX13" s="430" t="str">
        <f t="shared" si="210"/>
        <v/>
      </c>
      <c r="HY13" s="430" t="str">
        <f t="shared" si="211"/>
        <v/>
      </c>
      <c r="HZ13" s="1814" t="str">
        <f t="shared" si="212"/>
        <v/>
      </c>
      <c r="IA13" s="1814">
        <f t="shared" si="213"/>
        <v>3</v>
      </c>
      <c r="IB13" s="1814" t="str">
        <f t="shared" si="214"/>
        <v/>
      </c>
      <c r="IC13" s="1814" t="str">
        <f t="shared" si="215"/>
        <v/>
      </c>
      <c r="ID13" s="1814" t="str">
        <f t="shared" si="216"/>
        <v/>
      </c>
      <c r="IE13" s="1814" t="str">
        <f t="shared" si="217"/>
        <v/>
      </c>
      <c r="IF13" s="1814" t="str">
        <f t="shared" si="218"/>
        <v/>
      </c>
      <c r="IG13" s="1814" t="str">
        <f t="shared" si="219"/>
        <v/>
      </c>
      <c r="IH13" s="1814" t="str">
        <f t="shared" si="220"/>
        <v/>
      </c>
      <c r="II13" s="1814" t="str">
        <f t="shared" si="221"/>
        <v/>
      </c>
      <c r="IJ13" s="1814" t="str">
        <f t="shared" si="222"/>
        <v/>
      </c>
      <c r="IK13" s="1814" t="str">
        <f t="shared" si="223"/>
        <v/>
      </c>
      <c r="IL13" s="1814" t="str">
        <f t="shared" si="224"/>
        <v/>
      </c>
      <c r="IM13" s="1814" t="str">
        <f t="shared" si="225"/>
        <v/>
      </c>
      <c r="IN13" s="1814" t="str">
        <f t="shared" si="226"/>
        <v/>
      </c>
      <c r="IO13" s="1814" t="str">
        <f t="shared" si="227"/>
        <v/>
      </c>
      <c r="IP13" s="1814" t="str">
        <f t="shared" si="228"/>
        <v/>
      </c>
      <c r="IQ13" s="1814" t="str">
        <f t="shared" si="229"/>
        <v/>
      </c>
      <c r="IR13" s="1814" t="str">
        <f t="shared" si="230"/>
        <v/>
      </c>
      <c r="IS13" s="1814" t="str">
        <f t="shared" si="231"/>
        <v/>
      </c>
      <c r="IT13" s="1814" t="str">
        <f t="shared" si="232"/>
        <v/>
      </c>
      <c r="IU13" s="1814" t="str">
        <f t="shared" si="233"/>
        <v/>
      </c>
      <c r="IV13" s="1814" t="str">
        <f t="shared" si="234"/>
        <v/>
      </c>
      <c r="IW13" s="1814" t="str">
        <f t="shared" si="235"/>
        <v/>
      </c>
      <c r="IX13" s="1814" t="str">
        <f t="shared" si="236"/>
        <v/>
      </c>
      <c r="IY13" s="1814" t="str">
        <f t="shared" si="237"/>
        <v/>
      </c>
      <c r="IZ13" s="1814" t="str">
        <f t="shared" si="238"/>
        <v/>
      </c>
      <c r="JA13" s="1814" t="str">
        <f t="shared" si="239"/>
        <v/>
      </c>
      <c r="JB13" s="1814" t="str">
        <f t="shared" si="240"/>
        <v/>
      </c>
      <c r="JC13" s="1814" t="str">
        <f t="shared" si="241"/>
        <v/>
      </c>
      <c r="JD13" s="1814" t="str">
        <f t="shared" si="242"/>
        <v/>
      </c>
      <c r="JE13" s="1814" t="str">
        <f t="shared" si="243"/>
        <v/>
      </c>
      <c r="JF13" s="1814" t="str">
        <f t="shared" si="244"/>
        <v/>
      </c>
      <c r="JG13" s="1814" t="str">
        <f t="shared" si="245"/>
        <v/>
      </c>
      <c r="JH13" s="1814" t="str">
        <f t="shared" si="246"/>
        <v/>
      </c>
      <c r="JI13" s="1814" t="str">
        <f t="shared" si="247"/>
        <v/>
      </c>
      <c r="JJ13" s="1814" t="str">
        <f t="shared" si="248"/>
        <v/>
      </c>
      <c r="JK13" s="1814" t="str">
        <f t="shared" si="249"/>
        <v/>
      </c>
      <c r="JL13" s="1814" t="str">
        <f t="shared" si="250"/>
        <v/>
      </c>
      <c r="JM13" s="1814" t="str">
        <f t="shared" si="251"/>
        <v/>
      </c>
      <c r="JN13" s="1814" t="str">
        <f t="shared" si="252"/>
        <v/>
      </c>
      <c r="JO13" s="1814" t="str">
        <f t="shared" si="253"/>
        <v/>
      </c>
      <c r="JP13" s="1814" t="str">
        <f t="shared" si="254"/>
        <v/>
      </c>
      <c r="JQ13" s="1814" t="str">
        <f t="shared" si="255"/>
        <v/>
      </c>
      <c r="JR13" s="1814" t="str">
        <f t="shared" si="256"/>
        <v/>
      </c>
      <c r="JS13" s="1814" t="str">
        <f t="shared" si="257"/>
        <v/>
      </c>
      <c r="JT13" s="1814">
        <f t="shared" si="258"/>
        <v>3</v>
      </c>
      <c r="JU13" s="1814" t="str">
        <f t="shared" si="259"/>
        <v/>
      </c>
      <c r="JV13" s="1814" t="str">
        <f t="shared" si="260"/>
        <v/>
      </c>
      <c r="JW13" s="1814" t="str">
        <f t="shared" si="261"/>
        <v/>
      </c>
      <c r="JX13" s="1814" t="str">
        <f t="shared" si="262"/>
        <v/>
      </c>
      <c r="JY13" s="1814" t="str">
        <f t="shared" si="263"/>
        <v/>
      </c>
      <c r="JZ13" s="1814" t="str">
        <f t="shared" si="264"/>
        <v/>
      </c>
      <c r="KA13" s="1814" t="str">
        <f t="shared" si="265"/>
        <v/>
      </c>
      <c r="KB13" s="1814" t="str">
        <f t="shared" si="266"/>
        <v/>
      </c>
      <c r="KC13" s="1814" t="str">
        <f t="shared" si="267"/>
        <v/>
      </c>
      <c r="KD13" s="1814" t="str">
        <f t="shared" si="268"/>
        <v/>
      </c>
      <c r="KE13" s="1814" t="str">
        <f t="shared" si="269"/>
        <v/>
      </c>
      <c r="KF13" s="1814" t="str">
        <f t="shared" si="270"/>
        <v/>
      </c>
      <c r="KG13" s="1814" t="str">
        <f t="shared" si="271"/>
        <v/>
      </c>
      <c r="KH13" s="1814" t="str">
        <f t="shared" si="272"/>
        <v/>
      </c>
      <c r="KI13" s="1814" t="str">
        <f t="shared" si="273"/>
        <v/>
      </c>
      <c r="KJ13" s="1814" t="str">
        <f t="shared" si="274"/>
        <v/>
      </c>
      <c r="KK13" s="1814" t="str">
        <f t="shared" si="275"/>
        <v/>
      </c>
      <c r="KL13" s="1814" t="str">
        <f t="shared" si="276"/>
        <v/>
      </c>
      <c r="KM13" s="1814" t="str">
        <f t="shared" si="277"/>
        <v/>
      </c>
      <c r="KN13" s="1814" t="str">
        <f t="shared" si="278"/>
        <v/>
      </c>
      <c r="KO13" s="1814" t="str">
        <f t="shared" si="279"/>
        <v/>
      </c>
      <c r="KP13" s="1814" t="str">
        <f t="shared" si="280"/>
        <v/>
      </c>
      <c r="KQ13" s="1814" t="str">
        <f t="shared" si="281"/>
        <v/>
      </c>
      <c r="KR13" s="1814" t="str">
        <f t="shared" si="282"/>
        <v/>
      </c>
      <c r="KS13" s="1814" t="str">
        <f t="shared" si="283"/>
        <v/>
      </c>
      <c r="KT13" s="1814" t="str">
        <f t="shared" si="284"/>
        <v/>
      </c>
      <c r="KU13" s="1814" t="str">
        <f t="shared" si="285"/>
        <v/>
      </c>
      <c r="KV13" s="1814" t="str">
        <f t="shared" si="286"/>
        <v/>
      </c>
      <c r="KW13" s="1814" t="str">
        <f t="shared" si="287"/>
        <v/>
      </c>
      <c r="KX13" s="1814" t="str">
        <f t="shared" si="288"/>
        <v/>
      </c>
      <c r="KY13" s="1814" t="str">
        <f t="shared" si="289"/>
        <v/>
      </c>
      <c r="KZ13" s="1814" t="str">
        <f t="shared" si="290"/>
        <v/>
      </c>
      <c r="LA13" s="1814" t="str">
        <f t="shared" si="291"/>
        <v/>
      </c>
      <c r="LB13" s="1814" t="str">
        <f t="shared" si="292"/>
        <v/>
      </c>
      <c r="LC13" s="1814" t="str">
        <f t="shared" si="293"/>
        <v/>
      </c>
      <c r="LD13" s="1814" t="str">
        <f t="shared" si="294"/>
        <v/>
      </c>
      <c r="LE13" s="1814" t="str">
        <f t="shared" si="295"/>
        <v/>
      </c>
      <c r="LF13" s="1814" t="str">
        <f t="shared" si="296"/>
        <v/>
      </c>
      <c r="LG13" s="1786" t="str">
        <f t="shared" si="297"/>
        <v/>
      </c>
      <c r="LH13" s="1786" t="str">
        <f t="shared" si="298"/>
        <v/>
      </c>
      <c r="LI13" s="1786" t="str">
        <f t="shared" si="299"/>
        <v/>
      </c>
      <c r="LJ13" s="1786" t="str">
        <f t="shared" si="300"/>
        <v/>
      </c>
      <c r="LK13" s="1786" t="str">
        <f t="shared" si="301"/>
        <v/>
      </c>
      <c r="LL13" s="430" t="str">
        <f t="shared" si="302"/>
        <v/>
      </c>
      <c r="LM13" s="430" t="str">
        <f t="shared" si="303"/>
        <v/>
      </c>
      <c r="LN13" s="430" t="str">
        <f t="shared" si="304"/>
        <v/>
      </c>
      <c r="LO13" s="430" t="str">
        <f t="shared" si="305"/>
        <v/>
      </c>
      <c r="LP13" s="430" t="str">
        <f t="shared" si="306"/>
        <v/>
      </c>
      <c r="LQ13" s="430" t="str">
        <f t="shared" si="307"/>
        <v/>
      </c>
      <c r="LR13" s="430" t="str">
        <f t="shared" si="308"/>
        <v/>
      </c>
      <c r="LS13" s="430" t="str">
        <f t="shared" si="309"/>
        <v/>
      </c>
      <c r="LT13" s="430" t="str">
        <f t="shared" si="310"/>
        <v/>
      </c>
      <c r="LU13" s="430" t="str">
        <f t="shared" si="311"/>
        <v/>
      </c>
      <c r="LV13" s="430" t="str">
        <f t="shared" si="312"/>
        <v/>
      </c>
      <c r="LW13" s="430" t="str">
        <f t="shared" si="313"/>
        <v/>
      </c>
      <c r="LX13" s="430" t="str">
        <f t="shared" si="314"/>
        <v/>
      </c>
      <c r="LY13" s="430" t="str">
        <f t="shared" si="315"/>
        <v/>
      </c>
      <c r="LZ13" s="430" t="str">
        <f t="shared" si="316"/>
        <v/>
      </c>
      <c r="MA13" s="430" t="str">
        <f t="shared" si="317"/>
        <v/>
      </c>
      <c r="MB13" s="430" t="str">
        <f t="shared" si="318"/>
        <v/>
      </c>
      <c r="MC13" s="430" t="str">
        <f t="shared" si="319"/>
        <v/>
      </c>
      <c r="MD13" s="430" t="str">
        <f t="shared" si="320"/>
        <v/>
      </c>
      <c r="ME13" s="430" t="str">
        <f t="shared" si="321"/>
        <v/>
      </c>
      <c r="MF13" s="1815">
        <f t="shared" si="328"/>
        <v>0</v>
      </c>
      <c r="MG13" s="1815">
        <f t="shared" si="329"/>
        <v>0</v>
      </c>
      <c r="MH13" s="1815">
        <f t="shared" si="330"/>
        <v>0</v>
      </c>
      <c r="MI13" s="1815">
        <f t="shared" si="331"/>
        <v>0</v>
      </c>
      <c r="MJ13" s="1815">
        <f t="shared" si="332"/>
        <v>0</v>
      </c>
      <c r="MK13" s="1815">
        <f t="shared" si="333"/>
        <v>0</v>
      </c>
      <c r="ML13" s="1815">
        <f t="shared" si="334"/>
        <v>3</v>
      </c>
      <c r="MM13" s="1815">
        <f t="shared" si="335"/>
        <v>0</v>
      </c>
      <c r="MN13" s="1815">
        <f t="shared" si="336"/>
        <v>0</v>
      </c>
      <c r="MO13" s="1815">
        <f t="shared" si="337"/>
        <v>0</v>
      </c>
      <c r="MP13" s="1815">
        <f t="shared" si="322"/>
        <v>0</v>
      </c>
      <c r="MQ13" s="1815">
        <f t="shared" si="323"/>
        <v>0</v>
      </c>
      <c r="MR13" s="1815">
        <f t="shared" si="324"/>
        <v>0</v>
      </c>
      <c r="MS13" s="1815">
        <f t="shared" si="325"/>
        <v>0</v>
      </c>
      <c r="MT13" s="1815">
        <f t="shared" si="326"/>
        <v>0</v>
      </c>
      <c r="NP13" s="2807" t="s">
        <v>6719</v>
      </c>
    </row>
    <row r="14" spans="1:493" ht="13.9" customHeight="1">
      <c r="A14" s="108" t="str">
        <f t="shared" si="327"/>
        <v/>
      </c>
      <c r="B14" s="2868" t="s">
        <v>292</v>
      </c>
      <c r="C14" s="2869">
        <v>2</v>
      </c>
      <c r="D14" s="2870">
        <v>1</v>
      </c>
      <c r="E14" s="2871">
        <v>2</v>
      </c>
      <c r="F14" s="2871">
        <v>880</v>
      </c>
      <c r="G14" s="2871" t="s">
        <v>931</v>
      </c>
      <c r="H14" s="2871">
        <v>615</v>
      </c>
      <c r="I14" s="2871">
        <v>0</v>
      </c>
      <c r="J14" s="2872"/>
      <c r="K14" s="2873"/>
      <c r="L14" s="537">
        <f t="shared" si="0"/>
        <v>615</v>
      </c>
      <c r="M14" s="537">
        <f t="shared" si="1"/>
        <v>1230</v>
      </c>
      <c r="N14" s="2712" t="s">
        <v>2771</v>
      </c>
      <c r="O14" s="2874" t="s">
        <v>6596</v>
      </c>
      <c r="P14" s="2712" t="s">
        <v>2191</v>
      </c>
      <c r="Q14" s="2875" t="s">
        <v>2771</v>
      </c>
      <c r="R14" s="2876"/>
      <c r="S14" s="2877"/>
      <c r="T14" s="3833"/>
      <c r="U14" s="3834"/>
      <c r="V14" s="3834"/>
      <c r="W14" s="3835"/>
      <c r="X14" s="430" t="str">
        <f t="shared" si="2"/>
        <v/>
      </c>
      <c r="Y14" s="430" t="str">
        <f t="shared" si="3"/>
        <v/>
      </c>
      <c r="Z14" s="430" t="str">
        <f t="shared" si="4"/>
        <v/>
      </c>
      <c r="AA14" s="430" t="str">
        <f t="shared" si="5"/>
        <v/>
      </c>
      <c r="AB14" s="430" t="str">
        <f t="shared" si="6"/>
        <v/>
      </c>
      <c r="AC14" s="430" t="str">
        <f t="shared" si="7"/>
        <v/>
      </c>
      <c r="AD14" s="430" t="str">
        <f t="shared" si="8"/>
        <v/>
      </c>
      <c r="AE14" s="430" t="str">
        <f t="shared" si="9"/>
        <v/>
      </c>
      <c r="AF14" s="430" t="str">
        <f t="shared" si="10"/>
        <v/>
      </c>
      <c r="AG14" s="430" t="str">
        <f t="shared" si="11"/>
        <v/>
      </c>
      <c r="AH14" s="430" t="str">
        <f t="shared" si="12"/>
        <v/>
      </c>
      <c r="AI14" s="430" t="str">
        <f t="shared" si="13"/>
        <v/>
      </c>
      <c r="AJ14" s="430" t="str">
        <f t="shared" si="14"/>
        <v/>
      </c>
      <c r="AK14" s="430" t="str">
        <f t="shared" si="15"/>
        <v/>
      </c>
      <c r="AL14" s="430" t="str">
        <f t="shared" si="16"/>
        <v/>
      </c>
      <c r="AM14" s="430" t="str">
        <f t="shared" si="17"/>
        <v/>
      </c>
      <c r="AN14" s="430" t="str">
        <f t="shared" si="18"/>
        <v/>
      </c>
      <c r="AO14" s="430" t="str">
        <f t="shared" si="19"/>
        <v/>
      </c>
      <c r="AP14" s="430" t="str">
        <f t="shared" si="20"/>
        <v/>
      </c>
      <c r="AQ14" s="430" t="str">
        <f t="shared" si="21"/>
        <v/>
      </c>
      <c r="AR14" s="430" t="str">
        <f t="shared" si="22"/>
        <v/>
      </c>
      <c r="AS14" s="430" t="str">
        <f t="shared" si="23"/>
        <v/>
      </c>
      <c r="AT14" s="430" t="str">
        <f t="shared" si="24"/>
        <v/>
      </c>
      <c r="AU14" s="430" t="str">
        <f t="shared" si="25"/>
        <v/>
      </c>
      <c r="AV14" s="430" t="str">
        <f t="shared" si="26"/>
        <v/>
      </c>
      <c r="AW14" s="430" t="str">
        <f t="shared" si="27"/>
        <v/>
      </c>
      <c r="AX14" s="430" t="str">
        <f t="shared" si="28"/>
        <v/>
      </c>
      <c r="AY14" s="430" t="str">
        <f t="shared" si="29"/>
        <v/>
      </c>
      <c r="AZ14" s="430" t="str">
        <f t="shared" si="30"/>
        <v/>
      </c>
      <c r="BA14" s="430" t="str">
        <f t="shared" si="31"/>
        <v/>
      </c>
      <c r="BB14" s="430" t="str">
        <f t="shared" si="32"/>
        <v/>
      </c>
      <c r="BC14" s="430" t="str">
        <f t="shared" si="33"/>
        <v/>
      </c>
      <c r="BD14" s="430" t="str">
        <f t="shared" si="34"/>
        <v/>
      </c>
      <c r="BE14" s="430" t="str">
        <f t="shared" si="35"/>
        <v/>
      </c>
      <c r="BF14" s="430" t="str">
        <f t="shared" si="36"/>
        <v/>
      </c>
      <c r="BG14" s="430" t="str">
        <f t="shared" si="37"/>
        <v/>
      </c>
      <c r="BH14" s="430" t="str">
        <f t="shared" si="38"/>
        <v/>
      </c>
      <c r="BI14" s="430">
        <f t="shared" si="39"/>
        <v>2</v>
      </c>
      <c r="BJ14" s="430" t="str">
        <f t="shared" si="40"/>
        <v/>
      </c>
      <c r="BK14" s="430" t="str">
        <f t="shared" si="41"/>
        <v/>
      </c>
      <c r="BL14" s="430" t="str">
        <f t="shared" si="42"/>
        <v/>
      </c>
      <c r="BM14" s="430" t="str">
        <f t="shared" si="43"/>
        <v/>
      </c>
      <c r="BN14" s="430" t="str">
        <f t="shared" si="44"/>
        <v/>
      </c>
      <c r="BO14" s="430" t="str">
        <f t="shared" si="45"/>
        <v/>
      </c>
      <c r="BP14" s="430" t="str">
        <f t="shared" si="46"/>
        <v/>
      </c>
      <c r="BQ14" s="430" t="str">
        <f t="shared" si="47"/>
        <v/>
      </c>
      <c r="BR14" s="430" t="str">
        <f t="shared" si="48"/>
        <v/>
      </c>
      <c r="BS14" s="430" t="str">
        <f t="shared" si="49"/>
        <v/>
      </c>
      <c r="BT14" s="430" t="str">
        <f t="shared" si="50"/>
        <v/>
      </c>
      <c r="BU14" s="430" t="str">
        <f t="shared" si="51"/>
        <v/>
      </c>
      <c r="BV14" s="430" t="str">
        <f t="shared" si="52"/>
        <v/>
      </c>
      <c r="BW14" s="430" t="str">
        <f t="shared" si="53"/>
        <v/>
      </c>
      <c r="BX14" s="430" t="str">
        <f t="shared" si="54"/>
        <v/>
      </c>
      <c r="BY14" s="430" t="str">
        <f t="shared" si="55"/>
        <v/>
      </c>
      <c r="BZ14" s="430" t="str">
        <f t="shared" si="56"/>
        <v/>
      </c>
      <c r="CA14" s="430" t="str">
        <f t="shared" si="57"/>
        <v/>
      </c>
      <c r="CB14" s="430" t="str">
        <f t="shared" si="58"/>
        <v/>
      </c>
      <c r="CC14" s="430" t="str">
        <f t="shared" si="59"/>
        <v/>
      </c>
      <c r="CD14" s="430" t="str">
        <f t="shared" si="60"/>
        <v/>
      </c>
      <c r="CE14" s="430" t="str">
        <f t="shared" si="61"/>
        <v/>
      </c>
      <c r="CF14" s="430" t="str">
        <f t="shared" si="62"/>
        <v/>
      </c>
      <c r="CG14" s="430" t="str">
        <f t="shared" si="63"/>
        <v/>
      </c>
      <c r="CH14" s="430" t="str">
        <f t="shared" si="64"/>
        <v/>
      </c>
      <c r="CI14" s="430" t="str">
        <f t="shared" si="65"/>
        <v/>
      </c>
      <c r="CJ14" s="430" t="str">
        <f t="shared" si="66"/>
        <v/>
      </c>
      <c r="CK14" s="430" t="str">
        <f t="shared" si="67"/>
        <v/>
      </c>
      <c r="CL14" s="430" t="str">
        <f t="shared" si="68"/>
        <v/>
      </c>
      <c r="CM14" s="430" t="str">
        <f t="shared" si="69"/>
        <v/>
      </c>
      <c r="CN14" s="430" t="str">
        <f t="shared" si="70"/>
        <v/>
      </c>
      <c r="CO14" s="430" t="str">
        <f t="shared" si="71"/>
        <v/>
      </c>
      <c r="CP14" s="430" t="str">
        <f t="shared" si="72"/>
        <v/>
      </c>
      <c r="CQ14" s="430" t="str">
        <f t="shared" si="73"/>
        <v/>
      </c>
      <c r="CR14" s="430" t="str">
        <f t="shared" si="74"/>
        <v/>
      </c>
      <c r="CS14" s="430" t="str">
        <f t="shared" si="75"/>
        <v/>
      </c>
      <c r="CT14" s="430" t="str">
        <f t="shared" si="76"/>
        <v/>
      </c>
      <c r="CU14" s="430" t="str">
        <f t="shared" si="77"/>
        <v/>
      </c>
      <c r="CV14" s="430" t="str">
        <f t="shared" si="78"/>
        <v/>
      </c>
      <c r="CW14" s="430" t="str">
        <f t="shared" si="79"/>
        <v/>
      </c>
      <c r="CX14" s="430" t="str">
        <f t="shared" si="80"/>
        <v/>
      </c>
      <c r="CY14" s="430" t="str">
        <f t="shared" si="81"/>
        <v/>
      </c>
      <c r="CZ14" s="430" t="str">
        <f t="shared" si="82"/>
        <v/>
      </c>
      <c r="DA14" s="430" t="str">
        <f t="shared" si="83"/>
        <v/>
      </c>
      <c r="DB14" s="430" t="str">
        <f t="shared" si="84"/>
        <v/>
      </c>
      <c r="DC14" s="430" t="str">
        <f t="shared" si="85"/>
        <v/>
      </c>
      <c r="DD14" s="430" t="str">
        <f t="shared" si="86"/>
        <v/>
      </c>
      <c r="DE14" s="430" t="str">
        <f t="shared" si="87"/>
        <v/>
      </c>
      <c r="DF14" s="430" t="str">
        <f t="shared" si="88"/>
        <v/>
      </c>
      <c r="DG14" s="430" t="str">
        <f t="shared" si="89"/>
        <v/>
      </c>
      <c r="DH14" s="430" t="str">
        <f t="shared" si="90"/>
        <v/>
      </c>
      <c r="DI14" s="430" t="str">
        <f t="shared" si="91"/>
        <v/>
      </c>
      <c r="DJ14" s="430" t="str">
        <f t="shared" si="92"/>
        <v/>
      </c>
      <c r="DK14" s="430" t="str">
        <f t="shared" si="93"/>
        <v/>
      </c>
      <c r="DL14" s="430" t="str">
        <f t="shared" si="94"/>
        <v/>
      </c>
      <c r="DM14" s="430" t="str">
        <f t="shared" si="95"/>
        <v/>
      </c>
      <c r="DN14" s="430" t="str">
        <f t="shared" si="96"/>
        <v/>
      </c>
      <c r="DO14" s="430" t="str">
        <f t="shared" si="97"/>
        <v/>
      </c>
      <c r="DP14" s="430" t="str">
        <f t="shared" si="98"/>
        <v/>
      </c>
      <c r="DQ14" s="430" t="str">
        <f t="shared" si="99"/>
        <v/>
      </c>
      <c r="DR14" s="430" t="str">
        <f t="shared" si="100"/>
        <v/>
      </c>
      <c r="DS14" s="430" t="str">
        <f t="shared" si="101"/>
        <v/>
      </c>
      <c r="DT14" s="430" t="str">
        <f t="shared" si="102"/>
        <v/>
      </c>
      <c r="DU14" s="430" t="str">
        <f t="shared" si="103"/>
        <v/>
      </c>
      <c r="DV14" s="430" t="str">
        <f t="shared" si="104"/>
        <v/>
      </c>
      <c r="DW14" s="430" t="str">
        <f t="shared" si="105"/>
        <v/>
      </c>
      <c r="DX14" s="430" t="str">
        <f t="shared" si="106"/>
        <v/>
      </c>
      <c r="DY14" s="430" t="str">
        <f t="shared" si="107"/>
        <v/>
      </c>
      <c r="DZ14" s="430" t="str">
        <f t="shared" si="108"/>
        <v/>
      </c>
      <c r="EA14" s="430" t="str">
        <f t="shared" si="109"/>
        <v/>
      </c>
      <c r="EB14" s="430" t="str">
        <f t="shared" si="110"/>
        <v/>
      </c>
      <c r="EC14" s="430" t="str">
        <f t="shared" si="111"/>
        <v/>
      </c>
      <c r="ED14" s="430" t="str">
        <f t="shared" si="112"/>
        <v/>
      </c>
      <c r="EE14" s="430" t="str">
        <f t="shared" si="113"/>
        <v/>
      </c>
      <c r="EF14" s="430" t="str">
        <f t="shared" si="114"/>
        <v/>
      </c>
      <c r="EG14" s="430" t="str">
        <f t="shared" si="115"/>
        <v/>
      </c>
      <c r="EH14" s="430" t="str">
        <f t="shared" si="116"/>
        <v/>
      </c>
      <c r="EI14" s="430" t="str">
        <f t="shared" si="117"/>
        <v/>
      </c>
      <c r="EJ14" s="430" t="str">
        <f t="shared" si="118"/>
        <v/>
      </c>
      <c r="EK14" s="430" t="str">
        <f t="shared" si="119"/>
        <v/>
      </c>
      <c r="EL14" s="430" t="str">
        <f t="shared" si="120"/>
        <v/>
      </c>
      <c r="EM14" s="430" t="str">
        <f t="shared" si="121"/>
        <v/>
      </c>
      <c r="EN14" s="430" t="str">
        <f t="shared" si="122"/>
        <v/>
      </c>
      <c r="EO14" s="430" t="str">
        <f t="shared" si="123"/>
        <v/>
      </c>
      <c r="EP14" s="430" t="str">
        <f t="shared" si="124"/>
        <v/>
      </c>
      <c r="EQ14" s="430" t="str">
        <f t="shared" si="125"/>
        <v/>
      </c>
      <c r="ER14" s="430" t="str">
        <f t="shared" si="126"/>
        <v/>
      </c>
      <c r="ES14" s="430" t="str">
        <f t="shared" si="127"/>
        <v/>
      </c>
      <c r="ET14" s="430" t="str">
        <f t="shared" si="128"/>
        <v/>
      </c>
      <c r="EU14" s="430" t="str">
        <f t="shared" si="129"/>
        <v/>
      </c>
      <c r="EV14" s="430" t="str">
        <f t="shared" si="130"/>
        <v/>
      </c>
      <c r="EW14" s="430" t="str">
        <f t="shared" si="131"/>
        <v/>
      </c>
      <c r="EX14" s="430" t="str">
        <f t="shared" si="132"/>
        <v/>
      </c>
      <c r="EY14" s="430" t="str">
        <f t="shared" si="133"/>
        <v/>
      </c>
      <c r="EZ14" s="430" t="str">
        <f t="shared" si="134"/>
        <v/>
      </c>
      <c r="FA14" s="430" t="str">
        <f t="shared" si="135"/>
        <v/>
      </c>
      <c r="FB14" s="430" t="str">
        <f t="shared" si="136"/>
        <v/>
      </c>
      <c r="FC14" s="430" t="str">
        <f t="shared" si="137"/>
        <v/>
      </c>
      <c r="FD14" s="430" t="str">
        <f t="shared" si="138"/>
        <v/>
      </c>
      <c r="FE14" s="430" t="str">
        <f t="shared" si="139"/>
        <v/>
      </c>
      <c r="FF14" s="430" t="str">
        <f t="shared" si="140"/>
        <v/>
      </c>
      <c r="FG14" s="430" t="str">
        <f t="shared" si="141"/>
        <v/>
      </c>
      <c r="FH14" s="430" t="str">
        <f t="shared" si="142"/>
        <v/>
      </c>
      <c r="FI14" s="430" t="str">
        <f t="shared" si="143"/>
        <v/>
      </c>
      <c r="FJ14" s="430" t="str">
        <f t="shared" si="144"/>
        <v/>
      </c>
      <c r="FK14" s="430" t="str">
        <f t="shared" si="145"/>
        <v/>
      </c>
      <c r="FL14" s="430" t="str">
        <f t="shared" si="146"/>
        <v/>
      </c>
      <c r="FM14" s="430" t="str">
        <f t="shared" si="147"/>
        <v/>
      </c>
      <c r="FN14" s="430" t="str">
        <f t="shared" si="148"/>
        <v/>
      </c>
      <c r="FO14" s="430" t="str">
        <f t="shared" si="149"/>
        <v/>
      </c>
      <c r="FP14" s="430" t="str">
        <f t="shared" si="150"/>
        <v/>
      </c>
      <c r="FQ14" s="430" t="str">
        <f t="shared" si="151"/>
        <v/>
      </c>
      <c r="FR14" s="430" t="str">
        <f t="shared" si="152"/>
        <v/>
      </c>
      <c r="FS14" s="430" t="str">
        <f t="shared" si="153"/>
        <v/>
      </c>
      <c r="FT14" s="430">
        <f t="shared" si="154"/>
        <v>1760</v>
      </c>
      <c r="FU14" s="430" t="str">
        <f t="shared" si="155"/>
        <v/>
      </c>
      <c r="FV14" s="430" t="str">
        <f t="shared" si="156"/>
        <v/>
      </c>
      <c r="FW14" s="430" t="str">
        <f t="shared" si="157"/>
        <v/>
      </c>
      <c r="FX14" s="430" t="str">
        <f t="shared" si="158"/>
        <v/>
      </c>
      <c r="FY14" s="430" t="str">
        <f t="shared" si="159"/>
        <v/>
      </c>
      <c r="FZ14" s="430" t="str">
        <f t="shared" si="160"/>
        <v/>
      </c>
      <c r="GA14" s="430" t="str">
        <f t="shared" si="161"/>
        <v/>
      </c>
      <c r="GB14" s="430" t="str">
        <f t="shared" si="162"/>
        <v/>
      </c>
      <c r="GC14" s="430" t="str">
        <f t="shared" si="163"/>
        <v/>
      </c>
      <c r="GD14" s="430" t="str">
        <f t="shared" si="164"/>
        <v/>
      </c>
      <c r="GE14" s="430" t="str">
        <f t="shared" si="165"/>
        <v/>
      </c>
      <c r="GF14" s="430" t="str">
        <f t="shared" si="166"/>
        <v/>
      </c>
      <c r="GG14" s="430" t="str">
        <f t="shared" si="167"/>
        <v/>
      </c>
      <c r="GH14" s="430" t="str">
        <f t="shared" si="168"/>
        <v/>
      </c>
      <c r="GI14" s="430" t="str">
        <f t="shared" si="169"/>
        <v/>
      </c>
      <c r="GJ14" s="430" t="str">
        <f t="shared" si="170"/>
        <v/>
      </c>
      <c r="GK14" s="430" t="str">
        <f t="shared" si="171"/>
        <v/>
      </c>
      <c r="GL14" s="430" t="str">
        <f t="shared" si="172"/>
        <v/>
      </c>
      <c r="GM14" s="430" t="str">
        <f t="shared" si="173"/>
        <v/>
      </c>
      <c r="GN14" s="430">
        <f t="shared" si="174"/>
        <v>2</v>
      </c>
      <c r="GO14" s="430" t="str">
        <f t="shared" si="175"/>
        <v/>
      </c>
      <c r="GP14" s="430" t="str">
        <f t="shared" si="176"/>
        <v/>
      </c>
      <c r="GQ14" s="430" t="str">
        <f t="shared" si="177"/>
        <v/>
      </c>
      <c r="GR14" s="430" t="str">
        <f t="shared" si="178"/>
        <v/>
      </c>
      <c r="GS14" s="430" t="str">
        <f t="shared" si="179"/>
        <v/>
      </c>
      <c r="GT14" s="430" t="str">
        <f t="shared" si="180"/>
        <v/>
      </c>
      <c r="GU14" s="430" t="str">
        <f t="shared" si="181"/>
        <v/>
      </c>
      <c r="GV14" s="430" t="str">
        <f t="shared" si="182"/>
        <v/>
      </c>
      <c r="GW14" s="430" t="str">
        <f t="shared" si="183"/>
        <v/>
      </c>
      <c r="GX14" s="430" t="str">
        <f t="shared" si="184"/>
        <v/>
      </c>
      <c r="GY14" s="430" t="str">
        <f t="shared" si="185"/>
        <v/>
      </c>
      <c r="GZ14" s="430" t="str">
        <f t="shared" si="186"/>
        <v/>
      </c>
      <c r="HA14" s="430" t="str">
        <f t="shared" si="187"/>
        <v/>
      </c>
      <c r="HB14" s="430" t="str">
        <f t="shared" si="188"/>
        <v/>
      </c>
      <c r="HC14" s="430" t="str">
        <f t="shared" si="189"/>
        <v/>
      </c>
      <c r="HD14" s="430" t="str">
        <f t="shared" si="190"/>
        <v/>
      </c>
      <c r="HE14" s="430" t="str">
        <f t="shared" si="191"/>
        <v/>
      </c>
      <c r="HF14" s="430" t="str">
        <f t="shared" si="192"/>
        <v/>
      </c>
      <c r="HG14" s="430" t="str">
        <f t="shared" si="193"/>
        <v/>
      </c>
      <c r="HH14" s="430" t="str">
        <f t="shared" si="194"/>
        <v/>
      </c>
      <c r="HI14" s="430" t="str">
        <f t="shared" si="195"/>
        <v/>
      </c>
      <c r="HJ14" s="430" t="str">
        <f t="shared" si="196"/>
        <v/>
      </c>
      <c r="HK14" s="430" t="str">
        <f t="shared" si="197"/>
        <v/>
      </c>
      <c r="HL14" s="430" t="str">
        <f t="shared" si="198"/>
        <v/>
      </c>
      <c r="HM14" s="430" t="str">
        <f t="shared" si="199"/>
        <v/>
      </c>
      <c r="HN14" s="430" t="str">
        <f t="shared" si="200"/>
        <v/>
      </c>
      <c r="HO14" s="430" t="str">
        <f t="shared" si="201"/>
        <v/>
      </c>
      <c r="HP14" s="430" t="str">
        <f t="shared" si="202"/>
        <v/>
      </c>
      <c r="HQ14" s="430" t="str">
        <f t="shared" si="203"/>
        <v/>
      </c>
      <c r="HR14" s="430" t="str">
        <f t="shared" si="204"/>
        <v/>
      </c>
      <c r="HS14" s="430" t="str">
        <f t="shared" si="205"/>
        <v/>
      </c>
      <c r="HT14" s="430" t="str">
        <f t="shared" si="206"/>
        <v/>
      </c>
      <c r="HU14" s="430" t="str">
        <f t="shared" si="207"/>
        <v/>
      </c>
      <c r="HV14" s="430" t="str">
        <f t="shared" si="208"/>
        <v/>
      </c>
      <c r="HW14" s="430" t="str">
        <f t="shared" si="209"/>
        <v/>
      </c>
      <c r="HX14" s="430" t="str">
        <f t="shared" si="210"/>
        <v/>
      </c>
      <c r="HY14" s="430" t="str">
        <f t="shared" si="211"/>
        <v/>
      </c>
      <c r="HZ14" s="1814" t="str">
        <f t="shared" si="212"/>
        <v/>
      </c>
      <c r="IA14" s="1814" t="str">
        <f t="shared" si="213"/>
        <v/>
      </c>
      <c r="IB14" s="1814">
        <f t="shared" si="214"/>
        <v>2</v>
      </c>
      <c r="IC14" s="1814" t="str">
        <f t="shared" si="215"/>
        <v/>
      </c>
      <c r="ID14" s="1814" t="str">
        <f t="shared" si="216"/>
        <v/>
      </c>
      <c r="IE14" s="1814" t="str">
        <f t="shared" si="217"/>
        <v/>
      </c>
      <c r="IF14" s="1814" t="str">
        <f t="shared" si="218"/>
        <v/>
      </c>
      <c r="IG14" s="1814" t="str">
        <f t="shared" si="219"/>
        <v/>
      </c>
      <c r="IH14" s="1814" t="str">
        <f t="shared" si="220"/>
        <v/>
      </c>
      <c r="II14" s="1814" t="str">
        <f t="shared" si="221"/>
        <v/>
      </c>
      <c r="IJ14" s="1814" t="str">
        <f t="shared" si="222"/>
        <v/>
      </c>
      <c r="IK14" s="1814" t="str">
        <f t="shared" si="223"/>
        <v/>
      </c>
      <c r="IL14" s="1814" t="str">
        <f t="shared" si="224"/>
        <v/>
      </c>
      <c r="IM14" s="1814" t="str">
        <f t="shared" si="225"/>
        <v/>
      </c>
      <c r="IN14" s="1814" t="str">
        <f t="shared" si="226"/>
        <v/>
      </c>
      <c r="IO14" s="1814" t="str">
        <f t="shared" si="227"/>
        <v/>
      </c>
      <c r="IP14" s="1814" t="str">
        <f t="shared" si="228"/>
        <v/>
      </c>
      <c r="IQ14" s="1814" t="str">
        <f t="shared" si="229"/>
        <v/>
      </c>
      <c r="IR14" s="1814" t="str">
        <f t="shared" si="230"/>
        <v/>
      </c>
      <c r="IS14" s="1814" t="str">
        <f t="shared" si="231"/>
        <v/>
      </c>
      <c r="IT14" s="1814" t="str">
        <f t="shared" si="232"/>
        <v/>
      </c>
      <c r="IU14" s="1814" t="str">
        <f t="shared" si="233"/>
        <v/>
      </c>
      <c r="IV14" s="1814" t="str">
        <f t="shared" si="234"/>
        <v/>
      </c>
      <c r="IW14" s="1814" t="str">
        <f t="shared" si="235"/>
        <v/>
      </c>
      <c r="IX14" s="1814" t="str">
        <f t="shared" si="236"/>
        <v/>
      </c>
      <c r="IY14" s="1814" t="str">
        <f t="shared" si="237"/>
        <v/>
      </c>
      <c r="IZ14" s="1814" t="str">
        <f t="shared" si="238"/>
        <v/>
      </c>
      <c r="JA14" s="1814" t="str">
        <f t="shared" si="239"/>
        <v/>
      </c>
      <c r="JB14" s="1814" t="str">
        <f t="shared" si="240"/>
        <v/>
      </c>
      <c r="JC14" s="1814" t="str">
        <f t="shared" si="241"/>
        <v/>
      </c>
      <c r="JD14" s="1814" t="str">
        <f t="shared" si="242"/>
        <v/>
      </c>
      <c r="JE14" s="1814" t="str">
        <f t="shared" si="243"/>
        <v/>
      </c>
      <c r="JF14" s="1814" t="str">
        <f t="shared" si="244"/>
        <v/>
      </c>
      <c r="JG14" s="1814" t="str">
        <f t="shared" si="245"/>
        <v/>
      </c>
      <c r="JH14" s="1814" t="str">
        <f t="shared" si="246"/>
        <v/>
      </c>
      <c r="JI14" s="1814" t="str">
        <f t="shared" si="247"/>
        <v/>
      </c>
      <c r="JJ14" s="1814" t="str">
        <f t="shared" si="248"/>
        <v/>
      </c>
      <c r="JK14" s="1814" t="str">
        <f t="shared" si="249"/>
        <v/>
      </c>
      <c r="JL14" s="1814" t="str">
        <f t="shared" si="250"/>
        <v/>
      </c>
      <c r="JM14" s="1814" t="str">
        <f t="shared" si="251"/>
        <v/>
      </c>
      <c r="JN14" s="1814" t="str">
        <f t="shared" si="252"/>
        <v/>
      </c>
      <c r="JO14" s="1814" t="str">
        <f t="shared" si="253"/>
        <v/>
      </c>
      <c r="JP14" s="1814" t="str">
        <f t="shared" si="254"/>
        <v/>
      </c>
      <c r="JQ14" s="1814" t="str">
        <f t="shared" si="255"/>
        <v/>
      </c>
      <c r="JR14" s="1814" t="str">
        <f t="shared" si="256"/>
        <v/>
      </c>
      <c r="JS14" s="1814" t="str">
        <f t="shared" si="257"/>
        <v/>
      </c>
      <c r="JT14" s="1814" t="str">
        <f t="shared" si="258"/>
        <v/>
      </c>
      <c r="JU14" s="1814">
        <f t="shared" si="259"/>
        <v>2</v>
      </c>
      <c r="JV14" s="1814" t="str">
        <f t="shared" si="260"/>
        <v/>
      </c>
      <c r="JW14" s="1814" t="str">
        <f t="shared" si="261"/>
        <v/>
      </c>
      <c r="JX14" s="1814" t="str">
        <f t="shared" si="262"/>
        <v/>
      </c>
      <c r="JY14" s="1814" t="str">
        <f t="shared" si="263"/>
        <v/>
      </c>
      <c r="JZ14" s="1814" t="str">
        <f t="shared" si="264"/>
        <v/>
      </c>
      <c r="KA14" s="1814" t="str">
        <f t="shared" si="265"/>
        <v/>
      </c>
      <c r="KB14" s="1814" t="str">
        <f t="shared" si="266"/>
        <v/>
      </c>
      <c r="KC14" s="1814" t="str">
        <f t="shared" si="267"/>
        <v/>
      </c>
      <c r="KD14" s="1814" t="str">
        <f t="shared" si="268"/>
        <v/>
      </c>
      <c r="KE14" s="1814" t="str">
        <f t="shared" si="269"/>
        <v/>
      </c>
      <c r="KF14" s="1814" t="str">
        <f t="shared" si="270"/>
        <v/>
      </c>
      <c r="KG14" s="1814" t="str">
        <f t="shared" si="271"/>
        <v/>
      </c>
      <c r="KH14" s="1814" t="str">
        <f t="shared" si="272"/>
        <v/>
      </c>
      <c r="KI14" s="1814" t="str">
        <f t="shared" si="273"/>
        <v/>
      </c>
      <c r="KJ14" s="1814" t="str">
        <f t="shared" si="274"/>
        <v/>
      </c>
      <c r="KK14" s="1814" t="str">
        <f t="shared" si="275"/>
        <v/>
      </c>
      <c r="KL14" s="1814" t="str">
        <f t="shared" si="276"/>
        <v/>
      </c>
      <c r="KM14" s="1814" t="str">
        <f t="shared" si="277"/>
        <v/>
      </c>
      <c r="KN14" s="1814" t="str">
        <f t="shared" si="278"/>
        <v/>
      </c>
      <c r="KO14" s="1814" t="str">
        <f t="shared" si="279"/>
        <v/>
      </c>
      <c r="KP14" s="1814" t="str">
        <f t="shared" si="280"/>
        <v/>
      </c>
      <c r="KQ14" s="1814" t="str">
        <f t="shared" si="281"/>
        <v/>
      </c>
      <c r="KR14" s="1814" t="str">
        <f t="shared" si="282"/>
        <v/>
      </c>
      <c r="KS14" s="1814" t="str">
        <f t="shared" si="283"/>
        <v/>
      </c>
      <c r="KT14" s="1814" t="str">
        <f t="shared" si="284"/>
        <v/>
      </c>
      <c r="KU14" s="1814" t="str">
        <f t="shared" si="285"/>
        <v/>
      </c>
      <c r="KV14" s="1814" t="str">
        <f t="shared" si="286"/>
        <v/>
      </c>
      <c r="KW14" s="1814" t="str">
        <f t="shared" si="287"/>
        <v/>
      </c>
      <c r="KX14" s="1814" t="str">
        <f t="shared" si="288"/>
        <v/>
      </c>
      <c r="KY14" s="1814" t="str">
        <f t="shared" si="289"/>
        <v/>
      </c>
      <c r="KZ14" s="1814" t="str">
        <f t="shared" si="290"/>
        <v/>
      </c>
      <c r="LA14" s="1814" t="str">
        <f t="shared" si="291"/>
        <v/>
      </c>
      <c r="LB14" s="1814" t="str">
        <f t="shared" si="292"/>
        <v/>
      </c>
      <c r="LC14" s="1814" t="str">
        <f t="shared" si="293"/>
        <v/>
      </c>
      <c r="LD14" s="1814" t="str">
        <f t="shared" si="294"/>
        <v/>
      </c>
      <c r="LE14" s="1814" t="str">
        <f t="shared" si="295"/>
        <v/>
      </c>
      <c r="LF14" s="1814" t="str">
        <f t="shared" si="296"/>
        <v/>
      </c>
      <c r="LG14" s="1786" t="str">
        <f t="shared" si="297"/>
        <v/>
      </c>
      <c r="LH14" s="1786" t="str">
        <f t="shared" si="298"/>
        <v/>
      </c>
      <c r="LI14" s="1786" t="str">
        <f t="shared" si="299"/>
        <v/>
      </c>
      <c r="LJ14" s="1786" t="str">
        <f t="shared" si="300"/>
        <v/>
      </c>
      <c r="LK14" s="1786" t="str">
        <f t="shared" si="301"/>
        <v/>
      </c>
      <c r="LL14" s="430" t="str">
        <f t="shared" si="302"/>
        <v/>
      </c>
      <c r="LM14" s="430" t="str">
        <f t="shared" si="303"/>
        <v/>
      </c>
      <c r="LN14" s="430" t="str">
        <f t="shared" si="304"/>
        <v/>
      </c>
      <c r="LO14" s="430" t="str">
        <f t="shared" si="305"/>
        <v/>
      </c>
      <c r="LP14" s="430" t="str">
        <f t="shared" si="306"/>
        <v/>
      </c>
      <c r="LQ14" s="430" t="str">
        <f t="shared" si="307"/>
        <v/>
      </c>
      <c r="LR14" s="430" t="str">
        <f t="shared" si="308"/>
        <v/>
      </c>
      <c r="LS14" s="430" t="str">
        <f t="shared" si="309"/>
        <v/>
      </c>
      <c r="LT14" s="430" t="str">
        <f t="shared" si="310"/>
        <v/>
      </c>
      <c r="LU14" s="430" t="str">
        <f t="shared" si="311"/>
        <v/>
      </c>
      <c r="LV14" s="430" t="str">
        <f t="shared" si="312"/>
        <v/>
      </c>
      <c r="LW14" s="430" t="str">
        <f t="shared" si="313"/>
        <v/>
      </c>
      <c r="LX14" s="430" t="str">
        <f t="shared" si="314"/>
        <v/>
      </c>
      <c r="LY14" s="430" t="str">
        <f t="shared" si="315"/>
        <v/>
      </c>
      <c r="LZ14" s="430" t="str">
        <f t="shared" si="316"/>
        <v/>
      </c>
      <c r="MA14" s="430" t="str">
        <f t="shared" si="317"/>
        <v/>
      </c>
      <c r="MB14" s="430" t="str">
        <f t="shared" si="318"/>
        <v/>
      </c>
      <c r="MC14" s="430" t="str">
        <f t="shared" si="319"/>
        <v/>
      </c>
      <c r="MD14" s="430" t="str">
        <f t="shared" si="320"/>
        <v/>
      </c>
      <c r="ME14" s="430" t="str">
        <f t="shared" si="321"/>
        <v/>
      </c>
      <c r="MF14" s="1815">
        <f t="shared" si="328"/>
        <v>0</v>
      </c>
      <c r="MG14" s="1815">
        <f t="shared" si="329"/>
        <v>0</v>
      </c>
      <c r="MH14" s="1815">
        <f t="shared" si="330"/>
        <v>0</v>
      </c>
      <c r="MI14" s="1815">
        <f t="shared" si="331"/>
        <v>0</v>
      </c>
      <c r="MJ14" s="1815">
        <f t="shared" si="332"/>
        <v>0</v>
      </c>
      <c r="MK14" s="1815">
        <f t="shared" si="333"/>
        <v>0</v>
      </c>
      <c r="ML14" s="1815">
        <f t="shared" si="334"/>
        <v>0</v>
      </c>
      <c r="MM14" s="1815">
        <f t="shared" si="335"/>
        <v>2</v>
      </c>
      <c r="MN14" s="1815">
        <f t="shared" si="336"/>
        <v>0</v>
      </c>
      <c r="MO14" s="1815">
        <f t="shared" si="337"/>
        <v>0</v>
      </c>
      <c r="MP14" s="1815">
        <f t="shared" si="322"/>
        <v>0</v>
      </c>
      <c r="MQ14" s="1815">
        <f t="shared" si="323"/>
        <v>0</v>
      </c>
      <c r="MR14" s="1815">
        <f t="shared" si="324"/>
        <v>0</v>
      </c>
      <c r="MS14" s="1815">
        <f t="shared" si="325"/>
        <v>0</v>
      </c>
      <c r="MT14" s="1815">
        <f t="shared" si="326"/>
        <v>0</v>
      </c>
      <c r="NP14" s="2807" t="s">
        <v>6720</v>
      </c>
    </row>
    <row r="15" spans="1:493" ht="13.9" customHeight="1">
      <c r="A15" s="108" t="str">
        <f t="shared" si="327"/>
        <v/>
      </c>
      <c r="B15" s="2868" t="s">
        <v>292</v>
      </c>
      <c r="C15" s="2869">
        <v>3</v>
      </c>
      <c r="D15" s="2870">
        <v>2</v>
      </c>
      <c r="E15" s="2871">
        <v>3</v>
      </c>
      <c r="F15" s="2871">
        <v>1180</v>
      </c>
      <c r="G15" s="2871" t="s">
        <v>931</v>
      </c>
      <c r="H15" s="2871">
        <v>715</v>
      </c>
      <c r="I15" s="2871">
        <v>0</v>
      </c>
      <c r="J15" s="2872"/>
      <c r="K15" s="2873"/>
      <c r="L15" s="537">
        <f t="shared" si="0"/>
        <v>715</v>
      </c>
      <c r="M15" s="537">
        <f t="shared" si="1"/>
        <v>2145</v>
      </c>
      <c r="N15" s="2712" t="s">
        <v>2771</v>
      </c>
      <c r="O15" s="2874" t="s">
        <v>6596</v>
      </c>
      <c r="P15" s="2712" t="s">
        <v>2191</v>
      </c>
      <c r="Q15" s="2875" t="s">
        <v>2771</v>
      </c>
      <c r="R15" s="2876"/>
      <c r="S15" s="2877"/>
      <c r="T15" s="3833"/>
      <c r="U15" s="3834"/>
      <c r="V15" s="3834"/>
      <c r="W15" s="3835"/>
      <c r="X15" s="430" t="str">
        <f t="shared" si="2"/>
        <v/>
      </c>
      <c r="Y15" s="430" t="str">
        <f t="shared" si="3"/>
        <v/>
      </c>
      <c r="Z15" s="430" t="str">
        <f t="shared" si="4"/>
        <v/>
      </c>
      <c r="AA15" s="430" t="str">
        <f t="shared" si="5"/>
        <v/>
      </c>
      <c r="AB15" s="430" t="str">
        <f t="shared" si="6"/>
        <v/>
      </c>
      <c r="AC15" s="430" t="str">
        <f t="shared" si="7"/>
        <v/>
      </c>
      <c r="AD15" s="430" t="str">
        <f t="shared" si="8"/>
        <v/>
      </c>
      <c r="AE15" s="430" t="str">
        <f t="shared" si="9"/>
        <v/>
      </c>
      <c r="AF15" s="430" t="str">
        <f t="shared" si="10"/>
        <v/>
      </c>
      <c r="AG15" s="430" t="str">
        <f t="shared" si="11"/>
        <v/>
      </c>
      <c r="AH15" s="430" t="str">
        <f t="shared" si="12"/>
        <v/>
      </c>
      <c r="AI15" s="430" t="str">
        <f t="shared" si="13"/>
        <v/>
      </c>
      <c r="AJ15" s="430" t="str">
        <f t="shared" si="14"/>
        <v/>
      </c>
      <c r="AK15" s="430" t="str">
        <f t="shared" si="15"/>
        <v/>
      </c>
      <c r="AL15" s="430" t="str">
        <f t="shared" si="16"/>
        <v/>
      </c>
      <c r="AM15" s="430" t="str">
        <f t="shared" si="17"/>
        <v/>
      </c>
      <c r="AN15" s="430" t="str">
        <f t="shared" si="18"/>
        <v/>
      </c>
      <c r="AO15" s="430" t="str">
        <f t="shared" si="19"/>
        <v/>
      </c>
      <c r="AP15" s="430" t="str">
        <f t="shared" si="20"/>
        <v/>
      </c>
      <c r="AQ15" s="430" t="str">
        <f t="shared" si="21"/>
        <v/>
      </c>
      <c r="AR15" s="430" t="str">
        <f t="shared" si="22"/>
        <v/>
      </c>
      <c r="AS15" s="430" t="str">
        <f t="shared" si="23"/>
        <v/>
      </c>
      <c r="AT15" s="430" t="str">
        <f t="shared" si="24"/>
        <v/>
      </c>
      <c r="AU15" s="430" t="str">
        <f t="shared" si="25"/>
        <v/>
      </c>
      <c r="AV15" s="430" t="str">
        <f t="shared" si="26"/>
        <v/>
      </c>
      <c r="AW15" s="430" t="str">
        <f t="shared" si="27"/>
        <v/>
      </c>
      <c r="AX15" s="430" t="str">
        <f t="shared" si="28"/>
        <v/>
      </c>
      <c r="AY15" s="430" t="str">
        <f t="shared" si="29"/>
        <v/>
      </c>
      <c r="AZ15" s="430" t="str">
        <f t="shared" si="30"/>
        <v/>
      </c>
      <c r="BA15" s="430" t="str">
        <f t="shared" si="31"/>
        <v/>
      </c>
      <c r="BB15" s="430" t="str">
        <f t="shared" si="32"/>
        <v/>
      </c>
      <c r="BC15" s="430" t="str">
        <f t="shared" si="33"/>
        <v/>
      </c>
      <c r="BD15" s="430" t="str">
        <f t="shared" si="34"/>
        <v/>
      </c>
      <c r="BE15" s="430" t="str">
        <f t="shared" si="35"/>
        <v/>
      </c>
      <c r="BF15" s="430" t="str">
        <f t="shared" si="36"/>
        <v/>
      </c>
      <c r="BG15" s="430" t="str">
        <f t="shared" si="37"/>
        <v/>
      </c>
      <c r="BH15" s="430" t="str">
        <f t="shared" si="38"/>
        <v/>
      </c>
      <c r="BI15" s="430" t="str">
        <f t="shared" si="39"/>
        <v/>
      </c>
      <c r="BJ15" s="430">
        <f t="shared" si="40"/>
        <v>3</v>
      </c>
      <c r="BK15" s="430" t="str">
        <f t="shared" si="41"/>
        <v/>
      </c>
      <c r="BL15" s="430" t="str">
        <f t="shared" si="42"/>
        <v/>
      </c>
      <c r="BM15" s="430" t="str">
        <f t="shared" si="43"/>
        <v/>
      </c>
      <c r="BN15" s="430" t="str">
        <f t="shared" si="44"/>
        <v/>
      </c>
      <c r="BO15" s="430" t="str">
        <f t="shared" si="45"/>
        <v/>
      </c>
      <c r="BP15" s="430" t="str">
        <f t="shared" si="46"/>
        <v/>
      </c>
      <c r="BQ15" s="430" t="str">
        <f t="shared" si="47"/>
        <v/>
      </c>
      <c r="BR15" s="430" t="str">
        <f t="shared" si="48"/>
        <v/>
      </c>
      <c r="BS15" s="430" t="str">
        <f t="shared" si="49"/>
        <v/>
      </c>
      <c r="BT15" s="430" t="str">
        <f t="shared" si="50"/>
        <v/>
      </c>
      <c r="BU15" s="430" t="str">
        <f t="shared" si="51"/>
        <v/>
      </c>
      <c r="BV15" s="430" t="str">
        <f t="shared" si="52"/>
        <v/>
      </c>
      <c r="BW15" s="430" t="str">
        <f t="shared" si="53"/>
        <v/>
      </c>
      <c r="BX15" s="430" t="str">
        <f t="shared" si="54"/>
        <v/>
      </c>
      <c r="BY15" s="430" t="str">
        <f t="shared" si="55"/>
        <v/>
      </c>
      <c r="BZ15" s="430" t="str">
        <f t="shared" si="56"/>
        <v/>
      </c>
      <c r="CA15" s="430" t="str">
        <f t="shared" si="57"/>
        <v/>
      </c>
      <c r="CB15" s="430" t="str">
        <f t="shared" si="58"/>
        <v/>
      </c>
      <c r="CC15" s="430" t="str">
        <f t="shared" si="59"/>
        <v/>
      </c>
      <c r="CD15" s="430" t="str">
        <f t="shared" si="60"/>
        <v/>
      </c>
      <c r="CE15" s="430" t="str">
        <f t="shared" si="61"/>
        <v/>
      </c>
      <c r="CF15" s="430" t="str">
        <f t="shared" si="62"/>
        <v/>
      </c>
      <c r="CG15" s="430" t="str">
        <f t="shared" si="63"/>
        <v/>
      </c>
      <c r="CH15" s="430" t="str">
        <f t="shared" si="64"/>
        <v/>
      </c>
      <c r="CI15" s="430" t="str">
        <f t="shared" si="65"/>
        <v/>
      </c>
      <c r="CJ15" s="430" t="str">
        <f t="shared" si="66"/>
        <v/>
      </c>
      <c r="CK15" s="430" t="str">
        <f t="shared" si="67"/>
        <v/>
      </c>
      <c r="CL15" s="430" t="str">
        <f t="shared" si="68"/>
        <v/>
      </c>
      <c r="CM15" s="430" t="str">
        <f t="shared" si="69"/>
        <v/>
      </c>
      <c r="CN15" s="430" t="str">
        <f t="shared" si="70"/>
        <v/>
      </c>
      <c r="CO15" s="430" t="str">
        <f t="shared" si="71"/>
        <v/>
      </c>
      <c r="CP15" s="430" t="str">
        <f t="shared" si="72"/>
        <v/>
      </c>
      <c r="CQ15" s="430" t="str">
        <f t="shared" si="73"/>
        <v/>
      </c>
      <c r="CR15" s="430" t="str">
        <f t="shared" si="74"/>
        <v/>
      </c>
      <c r="CS15" s="430" t="str">
        <f t="shared" si="75"/>
        <v/>
      </c>
      <c r="CT15" s="430" t="str">
        <f t="shared" si="76"/>
        <v/>
      </c>
      <c r="CU15" s="430" t="str">
        <f t="shared" si="77"/>
        <v/>
      </c>
      <c r="CV15" s="430" t="str">
        <f t="shared" si="78"/>
        <v/>
      </c>
      <c r="CW15" s="430" t="str">
        <f t="shared" si="79"/>
        <v/>
      </c>
      <c r="CX15" s="430" t="str">
        <f t="shared" si="80"/>
        <v/>
      </c>
      <c r="CY15" s="430" t="str">
        <f t="shared" si="81"/>
        <v/>
      </c>
      <c r="CZ15" s="430" t="str">
        <f t="shared" si="82"/>
        <v/>
      </c>
      <c r="DA15" s="430" t="str">
        <f t="shared" si="83"/>
        <v/>
      </c>
      <c r="DB15" s="430" t="str">
        <f t="shared" si="84"/>
        <v/>
      </c>
      <c r="DC15" s="430" t="str">
        <f t="shared" si="85"/>
        <v/>
      </c>
      <c r="DD15" s="430" t="str">
        <f t="shared" si="86"/>
        <v/>
      </c>
      <c r="DE15" s="430" t="str">
        <f t="shared" si="87"/>
        <v/>
      </c>
      <c r="DF15" s="430" t="str">
        <f t="shared" si="88"/>
        <v/>
      </c>
      <c r="DG15" s="430" t="str">
        <f t="shared" si="89"/>
        <v/>
      </c>
      <c r="DH15" s="430" t="str">
        <f t="shared" si="90"/>
        <v/>
      </c>
      <c r="DI15" s="430" t="str">
        <f t="shared" si="91"/>
        <v/>
      </c>
      <c r="DJ15" s="430" t="str">
        <f t="shared" si="92"/>
        <v/>
      </c>
      <c r="DK15" s="430" t="str">
        <f t="shared" si="93"/>
        <v/>
      </c>
      <c r="DL15" s="430" t="str">
        <f t="shared" si="94"/>
        <v/>
      </c>
      <c r="DM15" s="430" t="str">
        <f t="shared" si="95"/>
        <v/>
      </c>
      <c r="DN15" s="430" t="str">
        <f t="shared" si="96"/>
        <v/>
      </c>
      <c r="DO15" s="430" t="str">
        <f t="shared" si="97"/>
        <v/>
      </c>
      <c r="DP15" s="430" t="str">
        <f t="shared" si="98"/>
        <v/>
      </c>
      <c r="DQ15" s="430" t="str">
        <f t="shared" si="99"/>
        <v/>
      </c>
      <c r="DR15" s="430" t="str">
        <f t="shared" si="100"/>
        <v/>
      </c>
      <c r="DS15" s="430" t="str">
        <f t="shared" si="101"/>
        <v/>
      </c>
      <c r="DT15" s="430" t="str">
        <f t="shared" si="102"/>
        <v/>
      </c>
      <c r="DU15" s="430" t="str">
        <f t="shared" si="103"/>
        <v/>
      </c>
      <c r="DV15" s="430" t="str">
        <f t="shared" si="104"/>
        <v/>
      </c>
      <c r="DW15" s="430" t="str">
        <f t="shared" si="105"/>
        <v/>
      </c>
      <c r="DX15" s="430" t="str">
        <f t="shared" si="106"/>
        <v/>
      </c>
      <c r="DY15" s="430" t="str">
        <f t="shared" si="107"/>
        <v/>
      </c>
      <c r="DZ15" s="430" t="str">
        <f t="shared" si="108"/>
        <v/>
      </c>
      <c r="EA15" s="430" t="str">
        <f t="shared" si="109"/>
        <v/>
      </c>
      <c r="EB15" s="430" t="str">
        <f t="shared" si="110"/>
        <v/>
      </c>
      <c r="EC15" s="430" t="str">
        <f t="shared" si="111"/>
        <v/>
      </c>
      <c r="ED15" s="430" t="str">
        <f t="shared" si="112"/>
        <v/>
      </c>
      <c r="EE15" s="430" t="str">
        <f t="shared" si="113"/>
        <v/>
      </c>
      <c r="EF15" s="430" t="str">
        <f t="shared" si="114"/>
        <v/>
      </c>
      <c r="EG15" s="430" t="str">
        <f t="shared" si="115"/>
        <v/>
      </c>
      <c r="EH15" s="430" t="str">
        <f t="shared" si="116"/>
        <v/>
      </c>
      <c r="EI15" s="430" t="str">
        <f t="shared" si="117"/>
        <v/>
      </c>
      <c r="EJ15" s="430" t="str">
        <f t="shared" si="118"/>
        <v/>
      </c>
      <c r="EK15" s="430" t="str">
        <f t="shared" si="119"/>
        <v/>
      </c>
      <c r="EL15" s="430" t="str">
        <f t="shared" si="120"/>
        <v/>
      </c>
      <c r="EM15" s="430" t="str">
        <f t="shared" si="121"/>
        <v/>
      </c>
      <c r="EN15" s="430" t="str">
        <f t="shared" si="122"/>
        <v/>
      </c>
      <c r="EO15" s="430" t="str">
        <f t="shared" si="123"/>
        <v/>
      </c>
      <c r="EP15" s="430" t="str">
        <f t="shared" si="124"/>
        <v/>
      </c>
      <c r="EQ15" s="430" t="str">
        <f t="shared" si="125"/>
        <v/>
      </c>
      <c r="ER15" s="430" t="str">
        <f t="shared" si="126"/>
        <v/>
      </c>
      <c r="ES15" s="430" t="str">
        <f t="shared" si="127"/>
        <v/>
      </c>
      <c r="ET15" s="430" t="str">
        <f t="shared" si="128"/>
        <v/>
      </c>
      <c r="EU15" s="430" t="str">
        <f t="shared" si="129"/>
        <v/>
      </c>
      <c r="EV15" s="430" t="str">
        <f t="shared" si="130"/>
        <v/>
      </c>
      <c r="EW15" s="430" t="str">
        <f t="shared" si="131"/>
        <v/>
      </c>
      <c r="EX15" s="430" t="str">
        <f t="shared" si="132"/>
        <v/>
      </c>
      <c r="EY15" s="430" t="str">
        <f t="shared" si="133"/>
        <v/>
      </c>
      <c r="EZ15" s="430" t="str">
        <f t="shared" si="134"/>
        <v/>
      </c>
      <c r="FA15" s="430" t="str">
        <f t="shared" si="135"/>
        <v/>
      </c>
      <c r="FB15" s="430" t="str">
        <f t="shared" si="136"/>
        <v/>
      </c>
      <c r="FC15" s="430" t="str">
        <f t="shared" si="137"/>
        <v/>
      </c>
      <c r="FD15" s="430" t="str">
        <f t="shared" si="138"/>
        <v/>
      </c>
      <c r="FE15" s="430" t="str">
        <f t="shared" si="139"/>
        <v/>
      </c>
      <c r="FF15" s="430" t="str">
        <f t="shared" si="140"/>
        <v/>
      </c>
      <c r="FG15" s="430" t="str">
        <f t="shared" si="141"/>
        <v/>
      </c>
      <c r="FH15" s="430" t="str">
        <f t="shared" si="142"/>
        <v/>
      </c>
      <c r="FI15" s="430" t="str">
        <f t="shared" si="143"/>
        <v/>
      </c>
      <c r="FJ15" s="430" t="str">
        <f t="shared" si="144"/>
        <v/>
      </c>
      <c r="FK15" s="430" t="str">
        <f t="shared" si="145"/>
        <v/>
      </c>
      <c r="FL15" s="430" t="str">
        <f t="shared" si="146"/>
        <v/>
      </c>
      <c r="FM15" s="430" t="str">
        <f t="shared" si="147"/>
        <v/>
      </c>
      <c r="FN15" s="430" t="str">
        <f t="shared" si="148"/>
        <v/>
      </c>
      <c r="FO15" s="430" t="str">
        <f t="shared" si="149"/>
        <v/>
      </c>
      <c r="FP15" s="430" t="str">
        <f t="shared" si="150"/>
        <v/>
      </c>
      <c r="FQ15" s="430" t="str">
        <f t="shared" si="151"/>
        <v/>
      </c>
      <c r="FR15" s="430" t="str">
        <f t="shared" si="152"/>
        <v/>
      </c>
      <c r="FS15" s="430" t="str">
        <f t="shared" si="153"/>
        <v/>
      </c>
      <c r="FT15" s="430" t="str">
        <f t="shared" si="154"/>
        <v/>
      </c>
      <c r="FU15" s="430">
        <f t="shared" si="155"/>
        <v>3540</v>
      </c>
      <c r="FV15" s="430" t="str">
        <f t="shared" si="156"/>
        <v/>
      </c>
      <c r="FW15" s="430" t="str">
        <f t="shared" si="157"/>
        <v/>
      </c>
      <c r="FX15" s="430" t="str">
        <f t="shared" si="158"/>
        <v/>
      </c>
      <c r="FY15" s="430" t="str">
        <f t="shared" si="159"/>
        <v/>
      </c>
      <c r="FZ15" s="430" t="str">
        <f t="shared" si="160"/>
        <v/>
      </c>
      <c r="GA15" s="430" t="str">
        <f t="shared" si="161"/>
        <v/>
      </c>
      <c r="GB15" s="430" t="str">
        <f t="shared" si="162"/>
        <v/>
      </c>
      <c r="GC15" s="430" t="str">
        <f t="shared" si="163"/>
        <v/>
      </c>
      <c r="GD15" s="430" t="str">
        <f t="shared" si="164"/>
        <v/>
      </c>
      <c r="GE15" s="430" t="str">
        <f t="shared" si="165"/>
        <v/>
      </c>
      <c r="GF15" s="430" t="str">
        <f t="shared" si="166"/>
        <v/>
      </c>
      <c r="GG15" s="430" t="str">
        <f t="shared" si="167"/>
        <v/>
      </c>
      <c r="GH15" s="430" t="str">
        <f t="shared" si="168"/>
        <v/>
      </c>
      <c r="GI15" s="430" t="str">
        <f t="shared" si="169"/>
        <v/>
      </c>
      <c r="GJ15" s="430" t="str">
        <f t="shared" si="170"/>
        <v/>
      </c>
      <c r="GK15" s="430" t="str">
        <f t="shared" si="171"/>
        <v/>
      </c>
      <c r="GL15" s="430" t="str">
        <f t="shared" si="172"/>
        <v/>
      </c>
      <c r="GM15" s="430" t="str">
        <f t="shared" si="173"/>
        <v/>
      </c>
      <c r="GN15" s="430" t="str">
        <f t="shared" si="174"/>
        <v/>
      </c>
      <c r="GO15" s="430">
        <f t="shared" si="175"/>
        <v>3</v>
      </c>
      <c r="GP15" s="430" t="str">
        <f t="shared" si="176"/>
        <v/>
      </c>
      <c r="GQ15" s="430" t="str">
        <f t="shared" si="177"/>
        <v/>
      </c>
      <c r="GR15" s="430" t="str">
        <f t="shared" si="178"/>
        <v/>
      </c>
      <c r="GS15" s="430" t="str">
        <f t="shared" si="179"/>
        <v/>
      </c>
      <c r="GT15" s="430" t="str">
        <f t="shared" si="180"/>
        <v/>
      </c>
      <c r="GU15" s="430" t="str">
        <f t="shared" si="181"/>
        <v/>
      </c>
      <c r="GV15" s="430" t="str">
        <f t="shared" si="182"/>
        <v/>
      </c>
      <c r="GW15" s="430" t="str">
        <f t="shared" si="183"/>
        <v/>
      </c>
      <c r="GX15" s="430" t="str">
        <f t="shared" si="184"/>
        <v/>
      </c>
      <c r="GY15" s="430" t="str">
        <f t="shared" si="185"/>
        <v/>
      </c>
      <c r="GZ15" s="430" t="str">
        <f t="shared" si="186"/>
        <v/>
      </c>
      <c r="HA15" s="430" t="str">
        <f t="shared" si="187"/>
        <v/>
      </c>
      <c r="HB15" s="430" t="str">
        <f t="shared" si="188"/>
        <v/>
      </c>
      <c r="HC15" s="430" t="str">
        <f t="shared" si="189"/>
        <v/>
      </c>
      <c r="HD15" s="430" t="str">
        <f t="shared" si="190"/>
        <v/>
      </c>
      <c r="HE15" s="430" t="str">
        <f t="shared" si="191"/>
        <v/>
      </c>
      <c r="HF15" s="430" t="str">
        <f t="shared" si="192"/>
        <v/>
      </c>
      <c r="HG15" s="430" t="str">
        <f t="shared" si="193"/>
        <v/>
      </c>
      <c r="HH15" s="430" t="str">
        <f t="shared" si="194"/>
        <v/>
      </c>
      <c r="HI15" s="430" t="str">
        <f t="shared" si="195"/>
        <v/>
      </c>
      <c r="HJ15" s="430" t="str">
        <f t="shared" si="196"/>
        <v/>
      </c>
      <c r="HK15" s="430" t="str">
        <f t="shared" si="197"/>
        <v/>
      </c>
      <c r="HL15" s="430" t="str">
        <f t="shared" si="198"/>
        <v/>
      </c>
      <c r="HM15" s="430" t="str">
        <f t="shared" si="199"/>
        <v/>
      </c>
      <c r="HN15" s="430" t="str">
        <f t="shared" si="200"/>
        <v/>
      </c>
      <c r="HO15" s="430" t="str">
        <f t="shared" si="201"/>
        <v/>
      </c>
      <c r="HP15" s="430" t="str">
        <f t="shared" si="202"/>
        <v/>
      </c>
      <c r="HQ15" s="430" t="str">
        <f t="shared" si="203"/>
        <v/>
      </c>
      <c r="HR15" s="430" t="str">
        <f t="shared" si="204"/>
        <v/>
      </c>
      <c r="HS15" s="430" t="str">
        <f t="shared" si="205"/>
        <v/>
      </c>
      <c r="HT15" s="430" t="str">
        <f t="shared" si="206"/>
        <v/>
      </c>
      <c r="HU15" s="430" t="str">
        <f t="shared" si="207"/>
        <v/>
      </c>
      <c r="HV15" s="430" t="str">
        <f t="shared" si="208"/>
        <v/>
      </c>
      <c r="HW15" s="430" t="str">
        <f t="shared" si="209"/>
        <v/>
      </c>
      <c r="HX15" s="430" t="str">
        <f t="shared" si="210"/>
        <v/>
      </c>
      <c r="HY15" s="430" t="str">
        <f t="shared" si="211"/>
        <v/>
      </c>
      <c r="HZ15" s="1814" t="str">
        <f t="shared" si="212"/>
        <v/>
      </c>
      <c r="IA15" s="1814" t="str">
        <f t="shared" si="213"/>
        <v/>
      </c>
      <c r="IB15" s="1814" t="str">
        <f t="shared" si="214"/>
        <v/>
      </c>
      <c r="IC15" s="1814">
        <f t="shared" si="215"/>
        <v>3</v>
      </c>
      <c r="ID15" s="1814" t="str">
        <f t="shared" si="216"/>
        <v/>
      </c>
      <c r="IE15" s="1814" t="str">
        <f t="shared" si="217"/>
        <v/>
      </c>
      <c r="IF15" s="1814" t="str">
        <f t="shared" si="218"/>
        <v/>
      </c>
      <c r="IG15" s="1814" t="str">
        <f t="shared" si="219"/>
        <v/>
      </c>
      <c r="IH15" s="1814" t="str">
        <f t="shared" si="220"/>
        <v/>
      </c>
      <c r="II15" s="1814" t="str">
        <f t="shared" si="221"/>
        <v/>
      </c>
      <c r="IJ15" s="1814" t="str">
        <f t="shared" si="222"/>
        <v/>
      </c>
      <c r="IK15" s="1814" t="str">
        <f t="shared" si="223"/>
        <v/>
      </c>
      <c r="IL15" s="1814" t="str">
        <f t="shared" si="224"/>
        <v/>
      </c>
      <c r="IM15" s="1814" t="str">
        <f t="shared" si="225"/>
        <v/>
      </c>
      <c r="IN15" s="1814" t="str">
        <f t="shared" si="226"/>
        <v/>
      </c>
      <c r="IO15" s="1814" t="str">
        <f t="shared" si="227"/>
        <v/>
      </c>
      <c r="IP15" s="1814" t="str">
        <f t="shared" si="228"/>
        <v/>
      </c>
      <c r="IQ15" s="1814" t="str">
        <f t="shared" si="229"/>
        <v/>
      </c>
      <c r="IR15" s="1814" t="str">
        <f t="shared" si="230"/>
        <v/>
      </c>
      <c r="IS15" s="1814" t="str">
        <f t="shared" si="231"/>
        <v/>
      </c>
      <c r="IT15" s="1814" t="str">
        <f t="shared" si="232"/>
        <v/>
      </c>
      <c r="IU15" s="1814" t="str">
        <f t="shared" si="233"/>
        <v/>
      </c>
      <c r="IV15" s="1814" t="str">
        <f t="shared" si="234"/>
        <v/>
      </c>
      <c r="IW15" s="1814" t="str">
        <f t="shared" si="235"/>
        <v/>
      </c>
      <c r="IX15" s="1814" t="str">
        <f t="shared" si="236"/>
        <v/>
      </c>
      <c r="IY15" s="1814" t="str">
        <f t="shared" si="237"/>
        <v/>
      </c>
      <c r="IZ15" s="1814" t="str">
        <f t="shared" si="238"/>
        <v/>
      </c>
      <c r="JA15" s="1814" t="str">
        <f t="shared" si="239"/>
        <v/>
      </c>
      <c r="JB15" s="1814" t="str">
        <f t="shared" si="240"/>
        <v/>
      </c>
      <c r="JC15" s="1814" t="str">
        <f t="shared" si="241"/>
        <v/>
      </c>
      <c r="JD15" s="1814" t="str">
        <f t="shared" si="242"/>
        <v/>
      </c>
      <c r="JE15" s="1814" t="str">
        <f t="shared" si="243"/>
        <v/>
      </c>
      <c r="JF15" s="1814" t="str">
        <f t="shared" si="244"/>
        <v/>
      </c>
      <c r="JG15" s="1814" t="str">
        <f t="shared" si="245"/>
        <v/>
      </c>
      <c r="JH15" s="1814" t="str">
        <f t="shared" si="246"/>
        <v/>
      </c>
      <c r="JI15" s="1814" t="str">
        <f t="shared" si="247"/>
        <v/>
      </c>
      <c r="JJ15" s="1814" t="str">
        <f t="shared" si="248"/>
        <v/>
      </c>
      <c r="JK15" s="1814" t="str">
        <f t="shared" si="249"/>
        <v/>
      </c>
      <c r="JL15" s="1814" t="str">
        <f t="shared" si="250"/>
        <v/>
      </c>
      <c r="JM15" s="1814" t="str">
        <f t="shared" si="251"/>
        <v/>
      </c>
      <c r="JN15" s="1814" t="str">
        <f t="shared" si="252"/>
        <v/>
      </c>
      <c r="JO15" s="1814" t="str">
        <f t="shared" si="253"/>
        <v/>
      </c>
      <c r="JP15" s="1814" t="str">
        <f t="shared" si="254"/>
        <v/>
      </c>
      <c r="JQ15" s="1814" t="str">
        <f t="shared" si="255"/>
        <v/>
      </c>
      <c r="JR15" s="1814" t="str">
        <f t="shared" si="256"/>
        <v/>
      </c>
      <c r="JS15" s="1814" t="str">
        <f t="shared" si="257"/>
        <v/>
      </c>
      <c r="JT15" s="1814" t="str">
        <f t="shared" si="258"/>
        <v/>
      </c>
      <c r="JU15" s="1814" t="str">
        <f t="shared" si="259"/>
        <v/>
      </c>
      <c r="JV15" s="1814">
        <f t="shared" si="260"/>
        <v>3</v>
      </c>
      <c r="JW15" s="1814" t="str">
        <f t="shared" si="261"/>
        <v/>
      </c>
      <c r="JX15" s="1814" t="str">
        <f t="shared" si="262"/>
        <v/>
      </c>
      <c r="JY15" s="1814" t="str">
        <f t="shared" si="263"/>
        <v/>
      </c>
      <c r="JZ15" s="1814" t="str">
        <f t="shared" si="264"/>
        <v/>
      </c>
      <c r="KA15" s="1814" t="str">
        <f t="shared" si="265"/>
        <v/>
      </c>
      <c r="KB15" s="1814" t="str">
        <f t="shared" si="266"/>
        <v/>
      </c>
      <c r="KC15" s="1814" t="str">
        <f t="shared" si="267"/>
        <v/>
      </c>
      <c r="KD15" s="1814" t="str">
        <f t="shared" si="268"/>
        <v/>
      </c>
      <c r="KE15" s="1814" t="str">
        <f t="shared" si="269"/>
        <v/>
      </c>
      <c r="KF15" s="1814" t="str">
        <f t="shared" si="270"/>
        <v/>
      </c>
      <c r="KG15" s="1814" t="str">
        <f t="shared" si="271"/>
        <v/>
      </c>
      <c r="KH15" s="1814" t="str">
        <f t="shared" si="272"/>
        <v/>
      </c>
      <c r="KI15" s="1814" t="str">
        <f t="shared" si="273"/>
        <v/>
      </c>
      <c r="KJ15" s="1814" t="str">
        <f t="shared" si="274"/>
        <v/>
      </c>
      <c r="KK15" s="1814" t="str">
        <f t="shared" si="275"/>
        <v/>
      </c>
      <c r="KL15" s="1814" t="str">
        <f t="shared" si="276"/>
        <v/>
      </c>
      <c r="KM15" s="1814" t="str">
        <f t="shared" si="277"/>
        <v/>
      </c>
      <c r="KN15" s="1814" t="str">
        <f t="shared" si="278"/>
        <v/>
      </c>
      <c r="KO15" s="1814" t="str">
        <f t="shared" si="279"/>
        <v/>
      </c>
      <c r="KP15" s="1814" t="str">
        <f t="shared" si="280"/>
        <v/>
      </c>
      <c r="KQ15" s="1814" t="str">
        <f t="shared" si="281"/>
        <v/>
      </c>
      <c r="KR15" s="1814" t="str">
        <f t="shared" si="282"/>
        <v/>
      </c>
      <c r="KS15" s="1814" t="str">
        <f t="shared" si="283"/>
        <v/>
      </c>
      <c r="KT15" s="1814" t="str">
        <f t="shared" si="284"/>
        <v/>
      </c>
      <c r="KU15" s="1814" t="str">
        <f t="shared" si="285"/>
        <v/>
      </c>
      <c r="KV15" s="1814" t="str">
        <f t="shared" si="286"/>
        <v/>
      </c>
      <c r="KW15" s="1814" t="str">
        <f t="shared" si="287"/>
        <v/>
      </c>
      <c r="KX15" s="1814" t="str">
        <f t="shared" si="288"/>
        <v/>
      </c>
      <c r="KY15" s="1814" t="str">
        <f t="shared" si="289"/>
        <v/>
      </c>
      <c r="KZ15" s="1814" t="str">
        <f t="shared" si="290"/>
        <v/>
      </c>
      <c r="LA15" s="1814" t="str">
        <f t="shared" si="291"/>
        <v/>
      </c>
      <c r="LB15" s="1814" t="str">
        <f t="shared" si="292"/>
        <v/>
      </c>
      <c r="LC15" s="1814" t="str">
        <f t="shared" si="293"/>
        <v/>
      </c>
      <c r="LD15" s="1814" t="str">
        <f t="shared" si="294"/>
        <v/>
      </c>
      <c r="LE15" s="1814" t="str">
        <f t="shared" si="295"/>
        <v/>
      </c>
      <c r="LF15" s="1814" t="str">
        <f t="shared" si="296"/>
        <v/>
      </c>
      <c r="LG15" s="1786" t="str">
        <f t="shared" si="297"/>
        <v/>
      </c>
      <c r="LH15" s="1786" t="str">
        <f t="shared" si="298"/>
        <v/>
      </c>
      <c r="LI15" s="1786" t="str">
        <f t="shared" si="299"/>
        <v/>
      </c>
      <c r="LJ15" s="1786" t="str">
        <f t="shared" si="300"/>
        <v/>
      </c>
      <c r="LK15" s="1786" t="str">
        <f t="shared" si="301"/>
        <v/>
      </c>
      <c r="LL15" s="430" t="str">
        <f t="shared" si="302"/>
        <v/>
      </c>
      <c r="LM15" s="430" t="str">
        <f t="shared" si="303"/>
        <v/>
      </c>
      <c r="LN15" s="430" t="str">
        <f t="shared" si="304"/>
        <v/>
      </c>
      <c r="LO15" s="430" t="str">
        <f t="shared" si="305"/>
        <v/>
      </c>
      <c r="LP15" s="430" t="str">
        <f t="shared" si="306"/>
        <v/>
      </c>
      <c r="LQ15" s="430" t="str">
        <f t="shared" si="307"/>
        <v/>
      </c>
      <c r="LR15" s="430" t="str">
        <f t="shared" si="308"/>
        <v/>
      </c>
      <c r="LS15" s="430" t="str">
        <f t="shared" si="309"/>
        <v/>
      </c>
      <c r="LT15" s="430" t="str">
        <f t="shared" si="310"/>
        <v/>
      </c>
      <c r="LU15" s="430" t="str">
        <f t="shared" si="311"/>
        <v/>
      </c>
      <c r="LV15" s="430" t="str">
        <f t="shared" si="312"/>
        <v/>
      </c>
      <c r="LW15" s="430" t="str">
        <f t="shared" si="313"/>
        <v/>
      </c>
      <c r="LX15" s="430" t="str">
        <f t="shared" si="314"/>
        <v/>
      </c>
      <c r="LY15" s="430" t="str">
        <f t="shared" si="315"/>
        <v/>
      </c>
      <c r="LZ15" s="430" t="str">
        <f t="shared" si="316"/>
        <v/>
      </c>
      <c r="MA15" s="430" t="str">
        <f t="shared" si="317"/>
        <v/>
      </c>
      <c r="MB15" s="430" t="str">
        <f t="shared" si="318"/>
        <v/>
      </c>
      <c r="MC15" s="430" t="str">
        <f t="shared" si="319"/>
        <v/>
      </c>
      <c r="MD15" s="430" t="str">
        <f t="shared" si="320"/>
        <v/>
      </c>
      <c r="ME15" s="430" t="str">
        <f t="shared" si="321"/>
        <v/>
      </c>
      <c r="MF15" s="1815">
        <f t="shared" si="328"/>
        <v>0</v>
      </c>
      <c r="MG15" s="1815">
        <f t="shared" si="329"/>
        <v>0</v>
      </c>
      <c r="MH15" s="1815">
        <f t="shared" si="330"/>
        <v>0</v>
      </c>
      <c r="MI15" s="1815">
        <f t="shared" si="331"/>
        <v>0</v>
      </c>
      <c r="MJ15" s="1815">
        <f t="shared" si="332"/>
        <v>0</v>
      </c>
      <c r="MK15" s="1815">
        <f t="shared" si="333"/>
        <v>0</v>
      </c>
      <c r="ML15" s="1815">
        <f t="shared" si="334"/>
        <v>0</v>
      </c>
      <c r="MM15" s="1815">
        <f t="shared" si="335"/>
        <v>0</v>
      </c>
      <c r="MN15" s="1815">
        <f t="shared" si="336"/>
        <v>3</v>
      </c>
      <c r="MO15" s="1815">
        <f t="shared" si="337"/>
        <v>0</v>
      </c>
      <c r="MP15" s="1815">
        <f t="shared" si="322"/>
        <v>0</v>
      </c>
      <c r="MQ15" s="1815">
        <f t="shared" si="323"/>
        <v>0</v>
      </c>
      <c r="MR15" s="1815">
        <f t="shared" si="324"/>
        <v>0</v>
      </c>
      <c r="MS15" s="1815">
        <f t="shared" si="325"/>
        <v>0</v>
      </c>
      <c r="MT15" s="1815">
        <f t="shared" si="326"/>
        <v>0</v>
      </c>
      <c r="NP15" s="2807" t="s">
        <v>6721</v>
      </c>
    </row>
    <row r="16" spans="1:493" ht="13.9" customHeight="1">
      <c r="A16" s="108" t="str">
        <f t="shared" si="327"/>
        <v/>
      </c>
      <c r="B16" s="2868" t="s">
        <v>292</v>
      </c>
      <c r="C16" s="2869"/>
      <c r="D16" s="2870"/>
      <c r="E16" s="2871"/>
      <c r="F16" s="2871"/>
      <c r="G16" s="2871"/>
      <c r="H16" s="2871"/>
      <c r="I16" s="2871"/>
      <c r="J16" s="2872"/>
      <c r="K16" s="2873"/>
      <c r="L16" s="537">
        <f t="shared" si="0"/>
        <v>0</v>
      </c>
      <c r="M16" s="537">
        <f t="shared" si="1"/>
        <v>0</v>
      </c>
      <c r="N16" s="2712"/>
      <c r="O16" s="2874"/>
      <c r="P16" s="2712"/>
      <c r="Q16" s="2875"/>
      <c r="R16" s="2876"/>
      <c r="S16" s="2877"/>
      <c r="T16" s="3833"/>
      <c r="U16" s="3834"/>
      <c r="V16" s="3834"/>
      <c r="W16" s="3835"/>
      <c r="X16" s="430" t="str">
        <f t="shared" si="2"/>
        <v/>
      </c>
      <c r="Y16" s="430" t="str">
        <f t="shared" si="3"/>
        <v/>
      </c>
      <c r="Z16" s="430" t="str">
        <f t="shared" si="4"/>
        <v/>
      </c>
      <c r="AA16" s="430" t="str">
        <f t="shared" si="5"/>
        <v/>
      </c>
      <c r="AB16" s="430" t="str">
        <f t="shared" si="6"/>
        <v/>
      </c>
      <c r="AC16" s="430" t="str">
        <f t="shared" si="7"/>
        <v/>
      </c>
      <c r="AD16" s="430" t="str">
        <f t="shared" si="8"/>
        <v/>
      </c>
      <c r="AE16" s="430" t="str">
        <f t="shared" si="9"/>
        <v/>
      </c>
      <c r="AF16" s="430" t="str">
        <f t="shared" si="10"/>
        <v/>
      </c>
      <c r="AG16" s="430" t="str">
        <f t="shared" si="11"/>
        <v/>
      </c>
      <c r="AH16" s="430" t="str">
        <f t="shared" si="12"/>
        <v/>
      </c>
      <c r="AI16" s="430" t="str">
        <f t="shared" si="13"/>
        <v/>
      </c>
      <c r="AJ16" s="430" t="str">
        <f t="shared" si="14"/>
        <v/>
      </c>
      <c r="AK16" s="430" t="str">
        <f t="shared" si="15"/>
        <v/>
      </c>
      <c r="AL16" s="430" t="str">
        <f t="shared" si="16"/>
        <v/>
      </c>
      <c r="AM16" s="430" t="str">
        <f t="shared" si="17"/>
        <v/>
      </c>
      <c r="AN16" s="430" t="str">
        <f t="shared" si="18"/>
        <v/>
      </c>
      <c r="AO16" s="430" t="str">
        <f t="shared" si="19"/>
        <v/>
      </c>
      <c r="AP16" s="430" t="str">
        <f t="shared" si="20"/>
        <v/>
      </c>
      <c r="AQ16" s="430" t="str">
        <f t="shared" si="21"/>
        <v/>
      </c>
      <c r="AR16" s="430" t="str">
        <f t="shared" si="22"/>
        <v/>
      </c>
      <c r="AS16" s="430" t="str">
        <f t="shared" si="23"/>
        <v/>
      </c>
      <c r="AT16" s="430" t="str">
        <f t="shared" si="24"/>
        <v/>
      </c>
      <c r="AU16" s="430" t="str">
        <f t="shared" si="25"/>
        <v/>
      </c>
      <c r="AV16" s="430" t="str">
        <f t="shared" si="26"/>
        <v/>
      </c>
      <c r="AW16" s="430" t="str">
        <f t="shared" si="27"/>
        <v/>
      </c>
      <c r="AX16" s="430" t="str">
        <f t="shared" si="28"/>
        <v/>
      </c>
      <c r="AY16" s="430" t="str">
        <f t="shared" si="29"/>
        <v/>
      </c>
      <c r="AZ16" s="430" t="str">
        <f t="shared" si="30"/>
        <v/>
      </c>
      <c r="BA16" s="430" t="str">
        <f t="shared" si="31"/>
        <v/>
      </c>
      <c r="BB16" s="430" t="str">
        <f t="shared" si="32"/>
        <v/>
      </c>
      <c r="BC16" s="430" t="str">
        <f t="shared" si="33"/>
        <v/>
      </c>
      <c r="BD16" s="430" t="str">
        <f t="shared" si="34"/>
        <v/>
      </c>
      <c r="BE16" s="430" t="str">
        <f t="shared" si="35"/>
        <v/>
      </c>
      <c r="BF16" s="430" t="str">
        <f t="shared" si="36"/>
        <v/>
      </c>
      <c r="BG16" s="430" t="str">
        <f t="shared" si="37"/>
        <v/>
      </c>
      <c r="BH16" s="430" t="str">
        <f t="shared" si="38"/>
        <v/>
      </c>
      <c r="BI16" s="430" t="str">
        <f t="shared" si="39"/>
        <v/>
      </c>
      <c r="BJ16" s="430" t="str">
        <f t="shared" si="40"/>
        <v/>
      </c>
      <c r="BK16" s="430" t="str">
        <f t="shared" si="41"/>
        <v/>
      </c>
      <c r="BL16" s="430" t="str">
        <f t="shared" si="42"/>
        <v/>
      </c>
      <c r="BM16" s="430" t="str">
        <f t="shared" si="43"/>
        <v/>
      </c>
      <c r="BN16" s="430" t="str">
        <f t="shared" si="44"/>
        <v/>
      </c>
      <c r="BO16" s="430" t="str">
        <f t="shared" si="45"/>
        <v/>
      </c>
      <c r="BP16" s="430" t="str">
        <f t="shared" si="46"/>
        <v/>
      </c>
      <c r="BQ16" s="430" t="str">
        <f t="shared" si="47"/>
        <v/>
      </c>
      <c r="BR16" s="430" t="str">
        <f t="shared" si="48"/>
        <v/>
      </c>
      <c r="BS16" s="430" t="str">
        <f t="shared" si="49"/>
        <v/>
      </c>
      <c r="BT16" s="430" t="str">
        <f t="shared" si="50"/>
        <v/>
      </c>
      <c r="BU16" s="430" t="str">
        <f t="shared" si="51"/>
        <v/>
      </c>
      <c r="BV16" s="430" t="str">
        <f t="shared" si="52"/>
        <v/>
      </c>
      <c r="BW16" s="430" t="str">
        <f t="shared" si="53"/>
        <v/>
      </c>
      <c r="BX16" s="430" t="str">
        <f t="shared" si="54"/>
        <v/>
      </c>
      <c r="BY16" s="430" t="str">
        <f t="shared" si="55"/>
        <v/>
      </c>
      <c r="BZ16" s="430" t="str">
        <f t="shared" si="56"/>
        <v/>
      </c>
      <c r="CA16" s="430" t="str">
        <f t="shared" si="57"/>
        <v/>
      </c>
      <c r="CB16" s="430" t="str">
        <f t="shared" si="58"/>
        <v/>
      </c>
      <c r="CC16" s="430" t="str">
        <f t="shared" si="59"/>
        <v/>
      </c>
      <c r="CD16" s="430" t="str">
        <f t="shared" si="60"/>
        <v/>
      </c>
      <c r="CE16" s="430" t="str">
        <f t="shared" si="61"/>
        <v/>
      </c>
      <c r="CF16" s="430" t="str">
        <f t="shared" si="62"/>
        <v/>
      </c>
      <c r="CG16" s="430" t="str">
        <f t="shared" si="63"/>
        <v/>
      </c>
      <c r="CH16" s="430" t="str">
        <f t="shared" si="64"/>
        <v/>
      </c>
      <c r="CI16" s="430" t="str">
        <f t="shared" si="65"/>
        <v/>
      </c>
      <c r="CJ16" s="430" t="str">
        <f t="shared" si="66"/>
        <v/>
      </c>
      <c r="CK16" s="430" t="str">
        <f t="shared" si="67"/>
        <v/>
      </c>
      <c r="CL16" s="430" t="str">
        <f t="shared" si="68"/>
        <v/>
      </c>
      <c r="CM16" s="430" t="str">
        <f t="shared" si="69"/>
        <v/>
      </c>
      <c r="CN16" s="430" t="str">
        <f t="shared" si="70"/>
        <v/>
      </c>
      <c r="CO16" s="430" t="str">
        <f t="shared" si="71"/>
        <v/>
      </c>
      <c r="CP16" s="430" t="str">
        <f t="shared" si="72"/>
        <v/>
      </c>
      <c r="CQ16" s="430" t="str">
        <f t="shared" si="73"/>
        <v/>
      </c>
      <c r="CR16" s="430" t="str">
        <f t="shared" si="74"/>
        <v/>
      </c>
      <c r="CS16" s="430" t="str">
        <f t="shared" si="75"/>
        <v/>
      </c>
      <c r="CT16" s="430" t="str">
        <f t="shared" si="76"/>
        <v/>
      </c>
      <c r="CU16" s="430" t="str">
        <f t="shared" si="77"/>
        <v/>
      </c>
      <c r="CV16" s="430" t="str">
        <f t="shared" si="78"/>
        <v/>
      </c>
      <c r="CW16" s="430" t="str">
        <f t="shared" si="79"/>
        <v/>
      </c>
      <c r="CX16" s="430" t="str">
        <f t="shared" si="80"/>
        <v/>
      </c>
      <c r="CY16" s="430" t="str">
        <f t="shared" si="81"/>
        <v/>
      </c>
      <c r="CZ16" s="430" t="str">
        <f t="shared" si="82"/>
        <v/>
      </c>
      <c r="DA16" s="430" t="str">
        <f t="shared" si="83"/>
        <v/>
      </c>
      <c r="DB16" s="430" t="str">
        <f t="shared" si="84"/>
        <v/>
      </c>
      <c r="DC16" s="430" t="str">
        <f t="shared" si="85"/>
        <v/>
      </c>
      <c r="DD16" s="430" t="str">
        <f t="shared" si="86"/>
        <v/>
      </c>
      <c r="DE16" s="430" t="str">
        <f t="shared" si="87"/>
        <v/>
      </c>
      <c r="DF16" s="430" t="str">
        <f t="shared" si="88"/>
        <v/>
      </c>
      <c r="DG16" s="430" t="str">
        <f t="shared" si="89"/>
        <v/>
      </c>
      <c r="DH16" s="430" t="str">
        <f t="shared" si="90"/>
        <v/>
      </c>
      <c r="DI16" s="430" t="str">
        <f t="shared" si="91"/>
        <v/>
      </c>
      <c r="DJ16" s="430" t="str">
        <f t="shared" si="92"/>
        <v/>
      </c>
      <c r="DK16" s="430" t="str">
        <f t="shared" si="93"/>
        <v/>
      </c>
      <c r="DL16" s="430" t="str">
        <f t="shared" si="94"/>
        <v/>
      </c>
      <c r="DM16" s="430" t="str">
        <f t="shared" si="95"/>
        <v/>
      </c>
      <c r="DN16" s="430" t="str">
        <f t="shared" si="96"/>
        <v/>
      </c>
      <c r="DO16" s="430" t="str">
        <f t="shared" si="97"/>
        <v/>
      </c>
      <c r="DP16" s="430" t="str">
        <f t="shared" si="98"/>
        <v/>
      </c>
      <c r="DQ16" s="430" t="str">
        <f t="shared" si="99"/>
        <v/>
      </c>
      <c r="DR16" s="430" t="str">
        <f t="shared" si="100"/>
        <v/>
      </c>
      <c r="DS16" s="430" t="str">
        <f t="shared" si="101"/>
        <v/>
      </c>
      <c r="DT16" s="430" t="str">
        <f t="shared" si="102"/>
        <v/>
      </c>
      <c r="DU16" s="430" t="str">
        <f t="shared" si="103"/>
        <v/>
      </c>
      <c r="DV16" s="430" t="str">
        <f t="shared" si="104"/>
        <v/>
      </c>
      <c r="DW16" s="430" t="str">
        <f t="shared" si="105"/>
        <v/>
      </c>
      <c r="DX16" s="430" t="str">
        <f t="shared" si="106"/>
        <v/>
      </c>
      <c r="DY16" s="430" t="str">
        <f t="shared" si="107"/>
        <v/>
      </c>
      <c r="DZ16" s="430" t="str">
        <f t="shared" si="108"/>
        <v/>
      </c>
      <c r="EA16" s="430" t="str">
        <f t="shared" si="109"/>
        <v/>
      </c>
      <c r="EB16" s="430" t="str">
        <f t="shared" si="110"/>
        <v/>
      </c>
      <c r="EC16" s="430" t="str">
        <f t="shared" si="111"/>
        <v/>
      </c>
      <c r="ED16" s="430" t="str">
        <f t="shared" si="112"/>
        <v/>
      </c>
      <c r="EE16" s="430" t="str">
        <f t="shared" si="113"/>
        <v/>
      </c>
      <c r="EF16" s="430" t="str">
        <f t="shared" si="114"/>
        <v/>
      </c>
      <c r="EG16" s="430" t="str">
        <f t="shared" si="115"/>
        <v/>
      </c>
      <c r="EH16" s="430" t="str">
        <f t="shared" si="116"/>
        <v/>
      </c>
      <c r="EI16" s="430" t="str">
        <f t="shared" si="117"/>
        <v/>
      </c>
      <c r="EJ16" s="430" t="str">
        <f t="shared" si="118"/>
        <v/>
      </c>
      <c r="EK16" s="430" t="str">
        <f t="shared" si="119"/>
        <v/>
      </c>
      <c r="EL16" s="430" t="str">
        <f t="shared" si="120"/>
        <v/>
      </c>
      <c r="EM16" s="430" t="str">
        <f t="shared" si="121"/>
        <v/>
      </c>
      <c r="EN16" s="430" t="str">
        <f t="shared" si="122"/>
        <v/>
      </c>
      <c r="EO16" s="430" t="str">
        <f t="shared" si="123"/>
        <v/>
      </c>
      <c r="EP16" s="430" t="str">
        <f t="shared" si="124"/>
        <v/>
      </c>
      <c r="EQ16" s="430" t="str">
        <f t="shared" si="125"/>
        <v/>
      </c>
      <c r="ER16" s="430" t="str">
        <f t="shared" si="126"/>
        <v/>
      </c>
      <c r="ES16" s="430" t="str">
        <f t="shared" si="127"/>
        <v/>
      </c>
      <c r="ET16" s="430" t="str">
        <f t="shared" si="128"/>
        <v/>
      </c>
      <c r="EU16" s="430" t="str">
        <f t="shared" si="129"/>
        <v/>
      </c>
      <c r="EV16" s="430" t="str">
        <f t="shared" si="130"/>
        <v/>
      </c>
      <c r="EW16" s="430" t="str">
        <f t="shared" si="131"/>
        <v/>
      </c>
      <c r="EX16" s="430" t="str">
        <f t="shared" si="132"/>
        <v/>
      </c>
      <c r="EY16" s="430" t="str">
        <f t="shared" si="133"/>
        <v/>
      </c>
      <c r="EZ16" s="430" t="str">
        <f t="shared" si="134"/>
        <v/>
      </c>
      <c r="FA16" s="430" t="str">
        <f t="shared" si="135"/>
        <v/>
      </c>
      <c r="FB16" s="430" t="str">
        <f t="shared" si="136"/>
        <v/>
      </c>
      <c r="FC16" s="430" t="str">
        <f t="shared" si="137"/>
        <v/>
      </c>
      <c r="FD16" s="430" t="str">
        <f t="shared" si="138"/>
        <v/>
      </c>
      <c r="FE16" s="430" t="str">
        <f t="shared" si="139"/>
        <v/>
      </c>
      <c r="FF16" s="430" t="str">
        <f t="shared" si="140"/>
        <v/>
      </c>
      <c r="FG16" s="430" t="str">
        <f t="shared" si="141"/>
        <v/>
      </c>
      <c r="FH16" s="430" t="str">
        <f t="shared" si="142"/>
        <v/>
      </c>
      <c r="FI16" s="430" t="str">
        <f t="shared" si="143"/>
        <v/>
      </c>
      <c r="FJ16" s="430" t="str">
        <f t="shared" si="144"/>
        <v/>
      </c>
      <c r="FK16" s="430" t="str">
        <f t="shared" si="145"/>
        <v/>
      </c>
      <c r="FL16" s="430" t="str">
        <f t="shared" si="146"/>
        <v/>
      </c>
      <c r="FM16" s="430" t="str">
        <f t="shared" si="147"/>
        <v/>
      </c>
      <c r="FN16" s="430" t="str">
        <f t="shared" si="148"/>
        <v/>
      </c>
      <c r="FO16" s="430" t="str">
        <f t="shared" si="149"/>
        <v/>
      </c>
      <c r="FP16" s="430" t="str">
        <f t="shared" si="150"/>
        <v/>
      </c>
      <c r="FQ16" s="430" t="str">
        <f t="shared" si="151"/>
        <v/>
      </c>
      <c r="FR16" s="430" t="str">
        <f t="shared" si="152"/>
        <v/>
      </c>
      <c r="FS16" s="430" t="str">
        <f t="shared" si="153"/>
        <v/>
      </c>
      <c r="FT16" s="430" t="str">
        <f t="shared" si="154"/>
        <v/>
      </c>
      <c r="FU16" s="430" t="str">
        <f t="shared" si="155"/>
        <v/>
      </c>
      <c r="FV16" s="430" t="str">
        <f t="shared" si="156"/>
        <v/>
      </c>
      <c r="FW16" s="430" t="str">
        <f t="shared" si="157"/>
        <v/>
      </c>
      <c r="FX16" s="430" t="str">
        <f t="shared" si="158"/>
        <v/>
      </c>
      <c r="FY16" s="430" t="str">
        <f t="shared" si="159"/>
        <v/>
      </c>
      <c r="FZ16" s="430" t="str">
        <f t="shared" si="160"/>
        <v/>
      </c>
      <c r="GA16" s="430" t="str">
        <f t="shared" si="161"/>
        <v/>
      </c>
      <c r="GB16" s="430" t="str">
        <f t="shared" si="162"/>
        <v/>
      </c>
      <c r="GC16" s="430" t="str">
        <f t="shared" si="163"/>
        <v/>
      </c>
      <c r="GD16" s="430" t="str">
        <f t="shared" si="164"/>
        <v/>
      </c>
      <c r="GE16" s="430" t="str">
        <f t="shared" si="165"/>
        <v/>
      </c>
      <c r="GF16" s="430" t="str">
        <f t="shared" si="166"/>
        <v/>
      </c>
      <c r="GG16" s="430" t="str">
        <f t="shared" si="167"/>
        <v/>
      </c>
      <c r="GH16" s="430" t="str">
        <f t="shared" si="168"/>
        <v/>
      </c>
      <c r="GI16" s="430" t="str">
        <f t="shared" si="169"/>
        <v/>
      </c>
      <c r="GJ16" s="430" t="str">
        <f t="shared" si="170"/>
        <v/>
      </c>
      <c r="GK16" s="430" t="str">
        <f t="shared" si="171"/>
        <v/>
      </c>
      <c r="GL16" s="430" t="str">
        <f t="shared" si="172"/>
        <v/>
      </c>
      <c r="GM16" s="430" t="str">
        <f t="shared" si="173"/>
        <v/>
      </c>
      <c r="GN16" s="430" t="str">
        <f t="shared" si="174"/>
        <v/>
      </c>
      <c r="GO16" s="430" t="str">
        <f t="shared" si="175"/>
        <v/>
      </c>
      <c r="GP16" s="430" t="str">
        <f t="shared" si="176"/>
        <v/>
      </c>
      <c r="GQ16" s="430" t="str">
        <f t="shared" si="177"/>
        <v/>
      </c>
      <c r="GR16" s="430" t="str">
        <f t="shared" si="178"/>
        <v/>
      </c>
      <c r="GS16" s="430" t="str">
        <f t="shared" si="179"/>
        <v/>
      </c>
      <c r="GT16" s="430" t="str">
        <f t="shared" si="180"/>
        <v/>
      </c>
      <c r="GU16" s="430" t="str">
        <f t="shared" si="181"/>
        <v/>
      </c>
      <c r="GV16" s="430" t="str">
        <f t="shared" si="182"/>
        <v/>
      </c>
      <c r="GW16" s="430" t="str">
        <f t="shared" si="183"/>
        <v/>
      </c>
      <c r="GX16" s="430" t="str">
        <f t="shared" si="184"/>
        <v/>
      </c>
      <c r="GY16" s="430" t="str">
        <f t="shared" si="185"/>
        <v/>
      </c>
      <c r="GZ16" s="430" t="str">
        <f t="shared" si="186"/>
        <v/>
      </c>
      <c r="HA16" s="430" t="str">
        <f t="shared" si="187"/>
        <v/>
      </c>
      <c r="HB16" s="430" t="str">
        <f t="shared" si="188"/>
        <v/>
      </c>
      <c r="HC16" s="430" t="str">
        <f t="shared" si="189"/>
        <v/>
      </c>
      <c r="HD16" s="430" t="str">
        <f t="shared" si="190"/>
        <v/>
      </c>
      <c r="HE16" s="430" t="str">
        <f t="shared" si="191"/>
        <v/>
      </c>
      <c r="HF16" s="430" t="str">
        <f t="shared" si="192"/>
        <v/>
      </c>
      <c r="HG16" s="430" t="str">
        <f t="shared" si="193"/>
        <v/>
      </c>
      <c r="HH16" s="430" t="str">
        <f t="shared" si="194"/>
        <v/>
      </c>
      <c r="HI16" s="430" t="str">
        <f t="shared" si="195"/>
        <v/>
      </c>
      <c r="HJ16" s="430" t="str">
        <f t="shared" si="196"/>
        <v/>
      </c>
      <c r="HK16" s="430" t="str">
        <f t="shared" si="197"/>
        <v/>
      </c>
      <c r="HL16" s="430" t="str">
        <f t="shared" si="198"/>
        <v/>
      </c>
      <c r="HM16" s="430" t="str">
        <f t="shared" si="199"/>
        <v/>
      </c>
      <c r="HN16" s="430" t="str">
        <f t="shared" si="200"/>
        <v/>
      </c>
      <c r="HO16" s="430" t="str">
        <f t="shared" si="201"/>
        <v/>
      </c>
      <c r="HP16" s="430" t="str">
        <f t="shared" si="202"/>
        <v/>
      </c>
      <c r="HQ16" s="430" t="str">
        <f t="shared" si="203"/>
        <v/>
      </c>
      <c r="HR16" s="430" t="str">
        <f t="shared" si="204"/>
        <v/>
      </c>
      <c r="HS16" s="430" t="str">
        <f t="shared" si="205"/>
        <v/>
      </c>
      <c r="HT16" s="430" t="str">
        <f t="shared" si="206"/>
        <v/>
      </c>
      <c r="HU16" s="430" t="str">
        <f t="shared" si="207"/>
        <v/>
      </c>
      <c r="HV16" s="430" t="str">
        <f t="shared" si="208"/>
        <v/>
      </c>
      <c r="HW16" s="430" t="str">
        <f t="shared" si="209"/>
        <v/>
      </c>
      <c r="HX16" s="430" t="str">
        <f t="shared" si="210"/>
        <v/>
      </c>
      <c r="HY16" s="430" t="str">
        <f t="shared" si="211"/>
        <v/>
      </c>
      <c r="HZ16" s="1814" t="str">
        <f t="shared" si="212"/>
        <v/>
      </c>
      <c r="IA16" s="1814" t="str">
        <f t="shared" si="213"/>
        <v/>
      </c>
      <c r="IB16" s="1814" t="str">
        <f t="shared" si="214"/>
        <v/>
      </c>
      <c r="IC16" s="1814" t="str">
        <f t="shared" si="215"/>
        <v/>
      </c>
      <c r="ID16" s="1814" t="str">
        <f t="shared" si="216"/>
        <v/>
      </c>
      <c r="IE16" s="1814" t="str">
        <f t="shared" si="217"/>
        <v/>
      </c>
      <c r="IF16" s="1814" t="str">
        <f t="shared" si="218"/>
        <v/>
      </c>
      <c r="IG16" s="1814" t="str">
        <f t="shared" si="219"/>
        <v/>
      </c>
      <c r="IH16" s="1814" t="str">
        <f t="shared" si="220"/>
        <v/>
      </c>
      <c r="II16" s="1814" t="str">
        <f t="shared" si="221"/>
        <v/>
      </c>
      <c r="IJ16" s="1814" t="str">
        <f t="shared" si="222"/>
        <v/>
      </c>
      <c r="IK16" s="1814" t="str">
        <f t="shared" si="223"/>
        <v/>
      </c>
      <c r="IL16" s="1814" t="str">
        <f t="shared" si="224"/>
        <v/>
      </c>
      <c r="IM16" s="1814" t="str">
        <f t="shared" si="225"/>
        <v/>
      </c>
      <c r="IN16" s="1814" t="str">
        <f t="shared" si="226"/>
        <v/>
      </c>
      <c r="IO16" s="1814" t="str">
        <f t="shared" si="227"/>
        <v/>
      </c>
      <c r="IP16" s="1814" t="str">
        <f t="shared" si="228"/>
        <v/>
      </c>
      <c r="IQ16" s="1814" t="str">
        <f t="shared" si="229"/>
        <v/>
      </c>
      <c r="IR16" s="1814" t="str">
        <f t="shared" si="230"/>
        <v/>
      </c>
      <c r="IS16" s="1814" t="str">
        <f t="shared" si="231"/>
        <v/>
      </c>
      <c r="IT16" s="1814" t="str">
        <f t="shared" si="232"/>
        <v/>
      </c>
      <c r="IU16" s="1814" t="str">
        <f t="shared" si="233"/>
        <v/>
      </c>
      <c r="IV16" s="1814" t="str">
        <f t="shared" si="234"/>
        <v/>
      </c>
      <c r="IW16" s="1814" t="str">
        <f t="shared" si="235"/>
        <v/>
      </c>
      <c r="IX16" s="1814" t="str">
        <f t="shared" si="236"/>
        <v/>
      </c>
      <c r="IY16" s="1814" t="str">
        <f t="shared" si="237"/>
        <v/>
      </c>
      <c r="IZ16" s="1814" t="str">
        <f t="shared" si="238"/>
        <v/>
      </c>
      <c r="JA16" s="1814" t="str">
        <f t="shared" si="239"/>
        <v/>
      </c>
      <c r="JB16" s="1814" t="str">
        <f t="shared" si="240"/>
        <v/>
      </c>
      <c r="JC16" s="1814" t="str">
        <f t="shared" si="241"/>
        <v/>
      </c>
      <c r="JD16" s="1814" t="str">
        <f t="shared" si="242"/>
        <v/>
      </c>
      <c r="JE16" s="1814" t="str">
        <f t="shared" si="243"/>
        <v/>
      </c>
      <c r="JF16" s="1814" t="str">
        <f t="shared" si="244"/>
        <v/>
      </c>
      <c r="JG16" s="1814" t="str">
        <f t="shared" si="245"/>
        <v/>
      </c>
      <c r="JH16" s="1814" t="str">
        <f t="shared" si="246"/>
        <v/>
      </c>
      <c r="JI16" s="1814" t="str">
        <f t="shared" si="247"/>
        <v/>
      </c>
      <c r="JJ16" s="1814" t="str">
        <f t="shared" si="248"/>
        <v/>
      </c>
      <c r="JK16" s="1814" t="str">
        <f t="shared" si="249"/>
        <v/>
      </c>
      <c r="JL16" s="1814" t="str">
        <f t="shared" si="250"/>
        <v/>
      </c>
      <c r="JM16" s="1814" t="str">
        <f t="shared" si="251"/>
        <v/>
      </c>
      <c r="JN16" s="1814" t="str">
        <f t="shared" si="252"/>
        <v/>
      </c>
      <c r="JO16" s="1814" t="str">
        <f t="shared" si="253"/>
        <v/>
      </c>
      <c r="JP16" s="1814" t="str">
        <f t="shared" si="254"/>
        <v/>
      </c>
      <c r="JQ16" s="1814" t="str">
        <f t="shared" si="255"/>
        <v/>
      </c>
      <c r="JR16" s="1814" t="str">
        <f t="shared" si="256"/>
        <v/>
      </c>
      <c r="JS16" s="1814" t="str">
        <f t="shared" si="257"/>
        <v/>
      </c>
      <c r="JT16" s="1814" t="str">
        <f t="shared" si="258"/>
        <v/>
      </c>
      <c r="JU16" s="1814" t="str">
        <f t="shared" si="259"/>
        <v/>
      </c>
      <c r="JV16" s="1814" t="str">
        <f t="shared" si="260"/>
        <v/>
      </c>
      <c r="JW16" s="1814" t="str">
        <f t="shared" si="261"/>
        <v/>
      </c>
      <c r="JX16" s="1814" t="str">
        <f t="shared" si="262"/>
        <v/>
      </c>
      <c r="JY16" s="1814" t="str">
        <f t="shared" si="263"/>
        <v/>
      </c>
      <c r="JZ16" s="1814" t="str">
        <f t="shared" si="264"/>
        <v/>
      </c>
      <c r="KA16" s="1814" t="str">
        <f t="shared" si="265"/>
        <v/>
      </c>
      <c r="KB16" s="1814" t="str">
        <f t="shared" si="266"/>
        <v/>
      </c>
      <c r="KC16" s="1814" t="str">
        <f t="shared" si="267"/>
        <v/>
      </c>
      <c r="KD16" s="1814" t="str">
        <f t="shared" si="268"/>
        <v/>
      </c>
      <c r="KE16" s="1814" t="str">
        <f t="shared" si="269"/>
        <v/>
      </c>
      <c r="KF16" s="1814" t="str">
        <f t="shared" si="270"/>
        <v/>
      </c>
      <c r="KG16" s="1814" t="str">
        <f t="shared" si="271"/>
        <v/>
      </c>
      <c r="KH16" s="1814" t="str">
        <f t="shared" si="272"/>
        <v/>
      </c>
      <c r="KI16" s="1814" t="str">
        <f t="shared" si="273"/>
        <v/>
      </c>
      <c r="KJ16" s="1814" t="str">
        <f t="shared" si="274"/>
        <v/>
      </c>
      <c r="KK16" s="1814" t="str">
        <f t="shared" si="275"/>
        <v/>
      </c>
      <c r="KL16" s="1814" t="str">
        <f t="shared" si="276"/>
        <v/>
      </c>
      <c r="KM16" s="1814" t="str">
        <f t="shared" si="277"/>
        <v/>
      </c>
      <c r="KN16" s="1814" t="str">
        <f t="shared" si="278"/>
        <v/>
      </c>
      <c r="KO16" s="1814" t="str">
        <f t="shared" si="279"/>
        <v/>
      </c>
      <c r="KP16" s="1814" t="str">
        <f t="shared" si="280"/>
        <v/>
      </c>
      <c r="KQ16" s="1814" t="str">
        <f t="shared" si="281"/>
        <v/>
      </c>
      <c r="KR16" s="1814" t="str">
        <f t="shared" si="282"/>
        <v/>
      </c>
      <c r="KS16" s="1814" t="str">
        <f t="shared" si="283"/>
        <v/>
      </c>
      <c r="KT16" s="1814" t="str">
        <f t="shared" si="284"/>
        <v/>
      </c>
      <c r="KU16" s="1814" t="str">
        <f t="shared" si="285"/>
        <v/>
      </c>
      <c r="KV16" s="1814" t="str">
        <f t="shared" si="286"/>
        <v/>
      </c>
      <c r="KW16" s="1814" t="str">
        <f t="shared" si="287"/>
        <v/>
      </c>
      <c r="KX16" s="1814" t="str">
        <f t="shared" si="288"/>
        <v/>
      </c>
      <c r="KY16" s="1814" t="str">
        <f t="shared" si="289"/>
        <v/>
      </c>
      <c r="KZ16" s="1814" t="str">
        <f t="shared" si="290"/>
        <v/>
      </c>
      <c r="LA16" s="1814" t="str">
        <f t="shared" si="291"/>
        <v/>
      </c>
      <c r="LB16" s="1814" t="str">
        <f t="shared" si="292"/>
        <v/>
      </c>
      <c r="LC16" s="1814" t="str">
        <f t="shared" si="293"/>
        <v/>
      </c>
      <c r="LD16" s="1814" t="str">
        <f t="shared" si="294"/>
        <v/>
      </c>
      <c r="LE16" s="1814" t="str">
        <f t="shared" si="295"/>
        <v/>
      </c>
      <c r="LF16" s="1814" t="str">
        <f t="shared" si="296"/>
        <v/>
      </c>
      <c r="LG16" s="1786" t="str">
        <f t="shared" si="297"/>
        <v/>
      </c>
      <c r="LH16" s="1786" t="str">
        <f t="shared" si="298"/>
        <v/>
      </c>
      <c r="LI16" s="1786" t="str">
        <f t="shared" si="299"/>
        <v/>
      </c>
      <c r="LJ16" s="1786" t="str">
        <f t="shared" si="300"/>
        <v/>
      </c>
      <c r="LK16" s="1786" t="str">
        <f t="shared" si="301"/>
        <v/>
      </c>
      <c r="LL16" s="430" t="str">
        <f t="shared" si="302"/>
        <v/>
      </c>
      <c r="LM16" s="430" t="str">
        <f t="shared" si="303"/>
        <v/>
      </c>
      <c r="LN16" s="430" t="str">
        <f t="shared" si="304"/>
        <v/>
      </c>
      <c r="LO16" s="430" t="str">
        <f t="shared" si="305"/>
        <v/>
      </c>
      <c r="LP16" s="430" t="str">
        <f t="shared" si="306"/>
        <v/>
      </c>
      <c r="LQ16" s="430" t="str">
        <f t="shared" si="307"/>
        <v/>
      </c>
      <c r="LR16" s="430" t="str">
        <f t="shared" si="308"/>
        <v/>
      </c>
      <c r="LS16" s="430" t="str">
        <f t="shared" si="309"/>
        <v/>
      </c>
      <c r="LT16" s="430" t="str">
        <f t="shared" si="310"/>
        <v/>
      </c>
      <c r="LU16" s="430" t="str">
        <f t="shared" si="311"/>
        <v/>
      </c>
      <c r="LV16" s="430" t="str">
        <f t="shared" si="312"/>
        <v/>
      </c>
      <c r="LW16" s="430" t="str">
        <f t="shared" si="313"/>
        <v/>
      </c>
      <c r="LX16" s="430" t="str">
        <f t="shared" si="314"/>
        <v/>
      </c>
      <c r="LY16" s="430" t="str">
        <f t="shared" si="315"/>
        <v/>
      </c>
      <c r="LZ16" s="430" t="str">
        <f t="shared" si="316"/>
        <v/>
      </c>
      <c r="MA16" s="430" t="str">
        <f t="shared" si="317"/>
        <v/>
      </c>
      <c r="MB16" s="430" t="str">
        <f t="shared" si="318"/>
        <v/>
      </c>
      <c r="MC16" s="430" t="str">
        <f t="shared" si="319"/>
        <v/>
      </c>
      <c r="MD16" s="430" t="str">
        <f t="shared" si="320"/>
        <v/>
      </c>
      <c r="ME16" s="430" t="str">
        <f t="shared" si="321"/>
        <v/>
      </c>
      <c r="MF16" s="1815">
        <f t="shared" si="328"/>
        <v>0</v>
      </c>
      <c r="MG16" s="1815">
        <f t="shared" si="329"/>
        <v>0</v>
      </c>
      <c r="MH16" s="1815">
        <f t="shared" si="330"/>
        <v>0</v>
      </c>
      <c r="MI16" s="1815">
        <f t="shared" si="331"/>
        <v>0</v>
      </c>
      <c r="MJ16" s="1815">
        <f t="shared" si="332"/>
        <v>0</v>
      </c>
      <c r="MK16" s="1815">
        <f t="shared" si="333"/>
        <v>0</v>
      </c>
      <c r="ML16" s="1815">
        <f t="shared" si="334"/>
        <v>0</v>
      </c>
      <c r="MM16" s="1815">
        <f t="shared" si="335"/>
        <v>0</v>
      </c>
      <c r="MN16" s="1815">
        <f t="shared" si="336"/>
        <v>0</v>
      </c>
      <c r="MO16" s="1815">
        <f t="shared" si="337"/>
        <v>0</v>
      </c>
      <c r="MP16" s="1815">
        <f t="shared" si="322"/>
        <v>0</v>
      </c>
      <c r="MQ16" s="1815">
        <f t="shared" si="323"/>
        <v>0</v>
      </c>
      <c r="MR16" s="1815">
        <f t="shared" si="324"/>
        <v>0</v>
      </c>
      <c r="MS16" s="1815">
        <f t="shared" si="325"/>
        <v>0</v>
      </c>
      <c r="MT16" s="1815">
        <f t="shared" si="326"/>
        <v>0</v>
      </c>
      <c r="NP16" s="2807" t="s">
        <v>6722</v>
      </c>
    </row>
    <row r="17" spans="1:380" ht="13.9" customHeight="1" thickBot="1">
      <c r="A17" s="108" t="str">
        <f t="shared" si="327"/>
        <v/>
      </c>
      <c r="B17" s="2878" t="s">
        <v>292</v>
      </c>
      <c r="C17" s="2879"/>
      <c r="D17" s="2880"/>
      <c r="E17" s="2881"/>
      <c r="F17" s="2881"/>
      <c r="G17" s="2881"/>
      <c r="H17" s="2881"/>
      <c r="I17" s="2881"/>
      <c r="J17" s="2882"/>
      <c r="K17" s="2883"/>
      <c r="L17" s="1189">
        <f t="shared" si="0"/>
        <v>0</v>
      </c>
      <c r="M17" s="1189">
        <f t="shared" si="1"/>
        <v>0</v>
      </c>
      <c r="N17" s="2884"/>
      <c r="O17" s="2885"/>
      <c r="P17" s="2884"/>
      <c r="Q17" s="2886"/>
      <c r="R17" s="2876"/>
      <c r="S17" s="2877"/>
      <c r="T17" s="3833"/>
      <c r="U17" s="3834"/>
      <c r="V17" s="3834"/>
      <c r="W17" s="3835"/>
      <c r="X17" s="430" t="str">
        <f t="shared" si="2"/>
        <v/>
      </c>
      <c r="Y17" s="430" t="str">
        <f t="shared" si="3"/>
        <v/>
      </c>
      <c r="Z17" s="430" t="str">
        <f t="shared" si="4"/>
        <v/>
      </c>
      <c r="AA17" s="430" t="str">
        <f t="shared" si="5"/>
        <v/>
      </c>
      <c r="AB17" s="430" t="str">
        <f t="shared" si="6"/>
        <v/>
      </c>
      <c r="AC17" s="430" t="str">
        <f t="shared" si="7"/>
        <v/>
      </c>
      <c r="AD17" s="430" t="str">
        <f t="shared" si="8"/>
        <v/>
      </c>
      <c r="AE17" s="430" t="str">
        <f t="shared" si="9"/>
        <v/>
      </c>
      <c r="AF17" s="430" t="str">
        <f t="shared" si="10"/>
        <v/>
      </c>
      <c r="AG17" s="430" t="str">
        <f t="shared" si="11"/>
        <v/>
      </c>
      <c r="AH17" s="430" t="str">
        <f t="shared" si="12"/>
        <v/>
      </c>
      <c r="AI17" s="430" t="str">
        <f t="shared" si="13"/>
        <v/>
      </c>
      <c r="AJ17" s="430" t="str">
        <f t="shared" si="14"/>
        <v/>
      </c>
      <c r="AK17" s="430" t="str">
        <f t="shared" si="15"/>
        <v/>
      </c>
      <c r="AL17" s="430" t="str">
        <f t="shared" si="16"/>
        <v/>
      </c>
      <c r="AM17" s="430" t="str">
        <f t="shared" si="17"/>
        <v/>
      </c>
      <c r="AN17" s="430" t="str">
        <f t="shared" si="18"/>
        <v/>
      </c>
      <c r="AO17" s="430" t="str">
        <f t="shared" si="19"/>
        <v/>
      </c>
      <c r="AP17" s="430" t="str">
        <f t="shared" si="20"/>
        <v/>
      </c>
      <c r="AQ17" s="430" t="str">
        <f t="shared" si="21"/>
        <v/>
      </c>
      <c r="AR17" s="430" t="str">
        <f t="shared" si="22"/>
        <v/>
      </c>
      <c r="AS17" s="430" t="str">
        <f t="shared" si="23"/>
        <v/>
      </c>
      <c r="AT17" s="430" t="str">
        <f t="shared" si="24"/>
        <v/>
      </c>
      <c r="AU17" s="430" t="str">
        <f t="shared" si="25"/>
        <v/>
      </c>
      <c r="AV17" s="430" t="str">
        <f t="shared" si="26"/>
        <v/>
      </c>
      <c r="AW17" s="430" t="str">
        <f t="shared" si="27"/>
        <v/>
      </c>
      <c r="AX17" s="430" t="str">
        <f t="shared" si="28"/>
        <v/>
      </c>
      <c r="AY17" s="430" t="str">
        <f t="shared" si="29"/>
        <v/>
      </c>
      <c r="AZ17" s="430" t="str">
        <f t="shared" si="30"/>
        <v/>
      </c>
      <c r="BA17" s="430" t="str">
        <f t="shared" si="31"/>
        <v/>
      </c>
      <c r="BB17" s="430" t="str">
        <f t="shared" si="32"/>
        <v/>
      </c>
      <c r="BC17" s="430" t="str">
        <f t="shared" si="33"/>
        <v/>
      </c>
      <c r="BD17" s="430" t="str">
        <f t="shared" si="34"/>
        <v/>
      </c>
      <c r="BE17" s="430" t="str">
        <f t="shared" si="35"/>
        <v/>
      </c>
      <c r="BF17" s="430" t="str">
        <f t="shared" si="36"/>
        <v/>
      </c>
      <c r="BG17" s="430" t="str">
        <f t="shared" si="37"/>
        <v/>
      </c>
      <c r="BH17" s="430" t="str">
        <f t="shared" si="38"/>
        <v/>
      </c>
      <c r="BI17" s="430" t="str">
        <f t="shared" si="39"/>
        <v/>
      </c>
      <c r="BJ17" s="430" t="str">
        <f t="shared" si="40"/>
        <v/>
      </c>
      <c r="BK17" s="430" t="str">
        <f t="shared" si="41"/>
        <v/>
      </c>
      <c r="BL17" s="430" t="str">
        <f t="shared" si="42"/>
        <v/>
      </c>
      <c r="BM17" s="430" t="str">
        <f t="shared" si="43"/>
        <v/>
      </c>
      <c r="BN17" s="430" t="str">
        <f t="shared" si="44"/>
        <v/>
      </c>
      <c r="BO17" s="430" t="str">
        <f t="shared" si="45"/>
        <v/>
      </c>
      <c r="BP17" s="430" t="str">
        <f t="shared" si="46"/>
        <v/>
      </c>
      <c r="BQ17" s="430" t="str">
        <f t="shared" si="47"/>
        <v/>
      </c>
      <c r="BR17" s="430" t="str">
        <f t="shared" si="48"/>
        <v/>
      </c>
      <c r="BS17" s="430" t="str">
        <f t="shared" si="49"/>
        <v/>
      </c>
      <c r="BT17" s="430" t="str">
        <f t="shared" si="50"/>
        <v/>
      </c>
      <c r="BU17" s="430" t="str">
        <f t="shared" si="51"/>
        <v/>
      </c>
      <c r="BV17" s="430" t="str">
        <f t="shared" si="52"/>
        <v/>
      </c>
      <c r="BW17" s="430" t="str">
        <f t="shared" si="53"/>
        <v/>
      </c>
      <c r="BX17" s="430" t="str">
        <f t="shared" si="54"/>
        <v/>
      </c>
      <c r="BY17" s="430" t="str">
        <f t="shared" si="55"/>
        <v/>
      </c>
      <c r="BZ17" s="430" t="str">
        <f t="shared" si="56"/>
        <v/>
      </c>
      <c r="CA17" s="430" t="str">
        <f t="shared" si="57"/>
        <v/>
      </c>
      <c r="CB17" s="430" t="str">
        <f t="shared" si="58"/>
        <v/>
      </c>
      <c r="CC17" s="430" t="str">
        <f t="shared" si="59"/>
        <v/>
      </c>
      <c r="CD17" s="430" t="str">
        <f t="shared" si="60"/>
        <v/>
      </c>
      <c r="CE17" s="430" t="str">
        <f t="shared" si="61"/>
        <v/>
      </c>
      <c r="CF17" s="430" t="str">
        <f t="shared" si="62"/>
        <v/>
      </c>
      <c r="CG17" s="430" t="str">
        <f t="shared" si="63"/>
        <v/>
      </c>
      <c r="CH17" s="430" t="str">
        <f t="shared" si="64"/>
        <v/>
      </c>
      <c r="CI17" s="430" t="str">
        <f t="shared" si="65"/>
        <v/>
      </c>
      <c r="CJ17" s="430" t="str">
        <f t="shared" si="66"/>
        <v/>
      </c>
      <c r="CK17" s="430" t="str">
        <f t="shared" si="67"/>
        <v/>
      </c>
      <c r="CL17" s="430" t="str">
        <f t="shared" si="68"/>
        <v/>
      </c>
      <c r="CM17" s="430" t="str">
        <f t="shared" si="69"/>
        <v/>
      </c>
      <c r="CN17" s="430" t="str">
        <f t="shared" si="70"/>
        <v/>
      </c>
      <c r="CO17" s="430" t="str">
        <f t="shared" si="71"/>
        <v/>
      </c>
      <c r="CP17" s="430" t="str">
        <f t="shared" si="72"/>
        <v/>
      </c>
      <c r="CQ17" s="430" t="str">
        <f t="shared" si="73"/>
        <v/>
      </c>
      <c r="CR17" s="430" t="str">
        <f t="shared" si="74"/>
        <v/>
      </c>
      <c r="CS17" s="430" t="str">
        <f t="shared" si="75"/>
        <v/>
      </c>
      <c r="CT17" s="430" t="str">
        <f t="shared" si="76"/>
        <v/>
      </c>
      <c r="CU17" s="430" t="str">
        <f t="shared" si="77"/>
        <v/>
      </c>
      <c r="CV17" s="430" t="str">
        <f t="shared" si="78"/>
        <v/>
      </c>
      <c r="CW17" s="430" t="str">
        <f t="shared" si="79"/>
        <v/>
      </c>
      <c r="CX17" s="430" t="str">
        <f t="shared" si="80"/>
        <v/>
      </c>
      <c r="CY17" s="430" t="str">
        <f t="shared" si="81"/>
        <v/>
      </c>
      <c r="CZ17" s="430" t="str">
        <f t="shared" si="82"/>
        <v/>
      </c>
      <c r="DA17" s="430" t="str">
        <f t="shared" si="83"/>
        <v/>
      </c>
      <c r="DB17" s="430" t="str">
        <f t="shared" si="84"/>
        <v/>
      </c>
      <c r="DC17" s="430" t="str">
        <f t="shared" si="85"/>
        <v/>
      </c>
      <c r="DD17" s="430" t="str">
        <f t="shared" si="86"/>
        <v/>
      </c>
      <c r="DE17" s="430" t="str">
        <f t="shared" si="87"/>
        <v/>
      </c>
      <c r="DF17" s="430" t="str">
        <f t="shared" si="88"/>
        <v/>
      </c>
      <c r="DG17" s="430" t="str">
        <f t="shared" si="89"/>
        <v/>
      </c>
      <c r="DH17" s="430" t="str">
        <f t="shared" si="90"/>
        <v/>
      </c>
      <c r="DI17" s="430" t="str">
        <f t="shared" si="91"/>
        <v/>
      </c>
      <c r="DJ17" s="430" t="str">
        <f t="shared" si="92"/>
        <v/>
      </c>
      <c r="DK17" s="430" t="str">
        <f t="shared" si="93"/>
        <v/>
      </c>
      <c r="DL17" s="430" t="str">
        <f t="shared" si="94"/>
        <v/>
      </c>
      <c r="DM17" s="430" t="str">
        <f t="shared" si="95"/>
        <v/>
      </c>
      <c r="DN17" s="430" t="str">
        <f t="shared" si="96"/>
        <v/>
      </c>
      <c r="DO17" s="430" t="str">
        <f t="shared" si="97"/>
        <v/>
      </c>
      <c r="DP17" s="430" t="str">
        <f t="shared" si="98"/>
        <v/>
      </c>
      <c r="DQ17" s="430" t="str">
        <f t="shared" si="99"/>
        <v/>
      </c>
      <c r="DR17" s="430" t="str">
        <f t="shared" si="100"/>
        <v/>
      </c>
      <c r="DS17" s="430" t="str">
        <f t="shared" si="101"/>
        <v/>
      </c>
      <c r="DT17" s="430" t="str">
        <f t="shared" si="102"/>
        <v/>
      </c>
      <c r="DU17" s="430" t="str">
        <f t="shared" si="103"/>
        <v/>
      </c>
      <c r="DV17" s="430" t="str">
        <f t="shared" si="104"/>
        <v/>
      </c>
      <c r="DW17" s="430" t="str">
        <f t="shared" si="105"/>
        <v/>
      </c>
      <c r="DX17" s="430" t="str">
        <f t="shared" si="106"/>
        <v/>
      </c>
      <c r="DY17" s="430" t="str">
        <f t="shared" si="107"/>
        <v/>
      </c>
      <c r="DZ17" s="430" t="str">
        <f t="shared" si="108"/>
        <v/>
      </c>
      <c r="EA17" s="430" t="str">
        <f t="shared" si="109"/>
        <v/>
      </c>
      <c r="EB17" s="430" t="str">
        <f t="shared" si="110"/>
        <v/>
      </c>
      <c r="EC17" s="430" t="str">
        <f t="shared" si="111"/>
        <v/>
      </c>
      <c r="ED17" s="430" t="str">
        <f t="shared" si="112"/>
        <v/>
      </c>
      <c r="EE17" s="430" t="str">
        <f t="shared" si="113"/>
        <v/>
      </c>
      <c r="EF17" s="430" t="str">
        <f t="shared" si="114"/>
        <v/>
      </c>
      <c r="EG17" s="430" t="str">
        <f t="shared" si="115"/>
        <v/>
      </c>
      <c r="EH17" s="430" t="str">
        <f t="shared" si="116"/>
        <v/>
      </c>
      <c r="EI17" s="430" t="str">
        <f t="shared" si="117"/>
        <v/>
      </c>
      <c r="EJ17" s="430" t="str">
        <f t="shared" si="118"/>
        <v/>
      </c>
      <c r="EK17" s="430" t="str">
        <f t="shared" si="119"/>
        <v/>
      </c>
      <c r="EL17" s="430" t="str">
        <f t="shared" si="120"/>
        <v/>
      </c>
      <c r="EM17" s="430" t="str">
        <f t="shared" si="121"/>
        <v/>
      </c>
      <c r="EN17" s="430" t="str">
        <f t="shared" si="122"/>
        <v/>
      </c>
      <c r="EO17" s="430" t="str">
        <f t="shared" si="123"/>
        <v/>
      </c>
      <c r="EP17" s="430" t="str">
        <f t="shared" si="124"/>
        <v/>
      </c>
      <c r="EQ17" s="430" t="str">
        <f t="shared" si="125"/>
        <v/>
      </c>
      <c r="ER17" s="430" t="str">
        <f t="shared" si="126"/>
        <v/>
      </c>
      <c r="ES17" s="430" t="str">
        <f t="shared" si="127"/>
        <v/>
      </c>
      <c r="ET17" s="430" t="str">
        <f t="shared" si="128"/>
        <v/>
      </c>
      <c r="EU17" s="430" t="str">
        <f t="shared" si="129"/>
        <v/>
      </c>
      <c r="EV17" s="430" t="str">
        <f t="shared" si="130"/>
        <v/>
      </c>
      <c r="EW17" s="430" t="str">
        <f t="shared" si="131"/>
        <v/>
      </c>
      <c r="EX17" s="430" t="str">
        <f t="shared" si="132"/>
        <v/>
      </c>
      <c r="EY17" s="430" t="str">
        <f t="shared" si="133"/>
        <v/>
      </c>
      <c r="EZ17" s="430" t="str">
        <f t="shared" si="134"/>
        <v/>
      </c>
      <c r="FA17" s="430" t="str">
        <f t="shared" si="135"/>
        <v/>
      </c>
      <c r="FB17" s="430" t="str">
        <f t="shared" si="136"/>
        <v/>
      </c>
      <c r="FC17" s="430" t="str">
        <f t="shared" si="137"/>
        <v/>
      </c>
      <c r="FD17" s="430" t="str">
        <f t="shared" si="138"/>
        <v/>
      </c>
      <c r="FE17" s="430" t="str">
        <f t="shared" si="139"/>
        <v/>
      </c>
      <c r="FF17" s="430" t="str">
        <f t="shared" si="140"/>
        <v/>
      </c>
      <c r="FG17" s="430" t="str">
        <f t="shared" si="141"/>
        <v/>
      </c>
      <c r="FH17" s="430" t="str">
        <f t="shared" si="142"/>
        <v/>
      </c>
      <c r="FI17" s="430" t="str">
        <f t="shared" si="143"/>
        <v/>
      </c>
      <c r="FJ17" s="430" t="str">
        <f t="shared" si="144"/>
        <v/>
      </c>
      <c r="FK17" s="430" t="str">
        <f t="shared" si="145"/>
        <v/>
      </c>
      <c r="FL17" s="430" t="str">
        <f t="shared" si="146"/>
        <v/>
      </c>
      <c r="FM17" s="430" t="str">
        <f t="shared" si="147"/>
        <v/>
      </c>
      <c r="FN17" s="430" t="str">
        <f t="shared" si="148"/>
        <v/>
      </c>
      <c r="FO17" s="430" t="str">
        <f t="shared" si="149"/>
        <v/>
      </c>
      <c r="FP17" s="430" t="str">
        <f t="shared" si="150"/>
        <v/>
      </c>
      <c r="FQ17" s="430" t="str">
        <f t="shared" si="151"/>
        <v/>
      </c>
      <c r="FR17" s="430" t="str">
        <f t="shared" si="152"/>
        <v/>
      </c>
      <c r="FS17" s="430" t="str">
        <f t="shared" si="153"/>
        <v/>
      </c>
      <c r="FT17" s="430" t="str">
        <f t="shared" si="154"/>
        <v/>
      </c>
      <c r="FU17" s="430" t="str">
        <f t="shared" si="155"/>
        <v/>
      </c>
      <c r="FV17" s="430" t="str">
        <f t="shared" si="156"/>
        <v/>
      </c>
      <c r="FW17" s="430" t="str">
        <f t="shared" si="157"/>
        <v/>
      </c>
      <c r="FX17" s="430" t="str">
        <f t="shared" si="158"/>
        <v/>
      </c>
      <c r="FY17" s="430" t="str">
        <f t="shared" si="159"/>
        <v/>
      </c>
      <c r="FZ17" s="430" t="str">
        <f t="shared" si="160"/>
        <v/>
      </c>
      <c r="GA17" s="430" t="str">
        <f t="shared" si="161"/>
        <v/>
      </c>
      <c r="GB17" s="430" t="str">
        <f t="shared" si="162"/>
        <v/>
      </c>
      <c r="GC17" s="430" t="str">
        <f t="shared" si="163"/>
        <v/>
      </c>
      <c r="GD17" s="430" t="str">
        <f t="shared" si="164"/>
        <v/>
      </c>
      <c r="GE17" s="430" t="str">
        <f t="shared" si="165"/>
        <v/>
      </c>
      <c r="GF17" s="430" t="str">
        <f t="shared" si="166"/>
        <v/>
      </c>
      <c r="GG17" s="430" t="str">
        <f t="shared" si="167"/>
        <v/>
      </c>
      <c r="GH17" s="430" t="str">
        <f t="shared" si="168"/>
        <v/>
      </c>
      <c r="GI17" s="430" t="str">
        <f t="shared" si="169"/>
        <v/>
      </c>
      <c r="GJ17" s="430" t="str">
        <f t="shared" si="170"/>
        <v/>
      </c>
      <c r="GK17" s="430" t="str">
        <f t="shared" si="171"/>
        <v/>
      </c>
      <c r="GL17" s="430" t="str">
        <f t="shared" si="172"/>
        <v/>
      </c>
      <c r="GM17" s="430" t="str">
        <f t="shared" si="173"/>
        <v/>
      </c>
      <c r="GN17" s="430" t="str">
        <f t="shared" si="174"/>
        <v/>
      </c>
      <c r="GO17" s="430" t="str">
        <f t="shared" si="175"/>
        <v/>
      </c>
      <c r="GP17" s="430" t="str">
        <f t="shared" si="176"/>
        <v/>
      </c>
      <c r="GQ17" s="430" t="str">
        <f t="shared" si="177"/>
        <v/>
      </c>
      <c r="GR17" s="430" t="str">
        <f t="shared" si="178"/>
        <v/>
      </c>
      <c r="GS17" s="430" t="str">
        <f t="shared" si="179"/>
        <v/>
      </c>
      <c r="GT17" s="430" t="str">
        <f t="shared" si="180"/>
        <v/>
      </c>
      <c r="GU17" s="430" t="str">
        <f t="shared" si="181"/>
        <v/>
      </c>
      <c r="GV17" s="430" t="str">
        <f t="shared" si="182"/>
        <v/>
      </c>
      <c r="GW17" s="430" t="str">
        <f t="shared" si="183"/>
        <v/>
      </c>
      <c r="GX17" s="430" t="str">
        <f t="shared" si="184"/>
        <v/>
      </c>
      <c r="GY17" s="430" t="str">
        <f t="shared" si="185"/>
        <v/>
      </c>
      <c r="GZ17" s="430" t="str">
        <f t="shared" si="186"/>
        <v/>
      </c>
      <c r="HA17" s="430" t="str">
        <f t="shared" si="187"/>
        <v/>
      </c>
      <c r="HB17" s="430" t="str">
        <f t="shared" si="188"/>
        <v/>
      </c>
      <c r="HC17" s="430" t="str">
        <f t="shared" si="189"/>
        <v/>
      </c>
      <c r="HD17" s="430" t="str">
        <f t="shared" si="190"/>
        <v/>
      </c>
      <c r="HE17" s="430" t="str">
        <f t="shared" si="191"/>
        <v/>
      </c>
      <c r="HF17" s="430" t="str">
        <f t="shared" si="192"/>
        <v/>
      </c>
      <c r="HG17" s="430" t="str">
        <f t="shared" si="193"/>
        <v/>
      </c>
      <c r="HH17" s="430" t="str">
        <f t="shared" si="194"/>
        <v/>
      </c>
      <c r="HI17" s="430" t="str">
        <f t="shared" si="195"/>
        <v/>
      </c>
      <c r="HJ17" s="430" t="str">
        <f t="shared" si="196"/>
        <v/>
      </c>
      <c r="HK17" s="430" t="str">
        <f t="shared" si="197"/>
        <v/>
      </c>
      <c r="HL17" s="430" t="str">
        <f t="shared" si="198"/>
        <v/>
      </c>
      <c r="HM17" s="430" t="str">
        <f t="shared" si="199"/>
        <v/>
      </c>
      <c r="HN17" s="430" t="str">
        <f t="shared" si="200"/>
        <v/>
      </c>
      <c r="HO17" s="430" t="str">
        <f t="shared" si="201"/>
        <v/>
      </c>
      <c r="HP17" s="430" t="str">
        <f t="shared" si="202"/>
        <v/>
      </c>
      <c r="HQ17" s="430" t="str">
        <f t="shared" si="203"/>
        <v/>
      </c>
      <c r="HR17" s="430" t="str">
        <f t="shared" si="204"/>
        <v/>
      </c>
      <c r="HS17" s="430" t="str">
        <f t="shared" si="205"/>
        <v/>
      </c>
      <c r="HT17" s="430" t="str">
        <f t="shared" si="206"/>
        <v/>
      </c>
      <c r="HU17" s="430" t="str">
        <f t="shared" si="207"/>
        <v/>
      </c>
      <c r="HV17" s="430" t="str">
        <f t="shared" si="208"/>
        <v/>
      </c>
      <c r="HW17" s="430" t="str">
        <f t="shared" si="209"/>
        <v/>
      </c>
      <c r="HX17" s="430" t="str">
        <f t="shared" si="210"/>
        <v/>
      </c>
      <c r="HY17" s="430" t="str">
        <f t="shared" si="211"/>
        <v/>
      </c>
      <c r="HZ17" s="1814" t="str">
        <f t="shared" si="212"/>
        <v/>
      </c>
      <c r="IA17" s="1814" t="str">
        <f t="shared" si="213"/>
        <v/>
      </c>
      <c r="IB17" s="1814" t="str">
        <f t="shared" si="214"/>
        <v/>
      </c>
      <c r="IC17" s="1814" t="str">
        <f t="shared" si="215"/>
        <v/>
      </c>
      <c r="ID17" s="1814" t="str">
        <f t="shared" si="216"/>
        <v/>
      </c>
      <c r="IE17" s="1814" t="str">
        <f t="shared" si="217"/>
        <v/>
      </c>
      <c r="IF17" s="1814" t="str">
        <f t="shared" si="218"/>
        <v/>
      </c>
      <c r="IG17" s="1814" t="str">
        <f t="shared" si="219"/>
        <v/>
      </c>
      <c r="IH17" s="1814" t="str">
        <f t="shared" si="220"/>
        <v/>
      </c>
      <c r="II17" s="1814" t="str">
        <f t="shared" si="221"/>
        <v/>
      </c>
      <c r="IJ17" s="1814" t="str">
        <f t="shared" si="222"/>
        <v/>
      </c>
      <c r="IK17" s="1814" t="str">
        <f t="shared" si="223"/>
        <v/>
      </c>
      <c r="IL17" s="1814" t="str">
        <f t="shared" si="224"/>
        <v/>
      </c>
      <c r="IM17" s="1814" t="str">
        <f t="shared" si="225"/>
        <v/>
      </c>
      <c r="IN17" s="1814" t="str">
        <f t="shared" si="226"/>
        <v/>
      </c>
      <c r="IO17" s="1814" t="str">
        <f t="shared" si="227"/>
        <v/>
      </c>
      <c r="IP17" s="1814" t="str">
        <f t="shared" si="228"/>
        <v/>
      </c>
      <c r="IQ17" s="1814" t="str">
        <f t="shared" si="229"/>
        <v/>
      </c>
      <c r="IR17" s="1814" t="str">
        <f t="shared" si="230"/>
        <v/>
      </c>
      <c r="IS17" s="1814" t="str">
        <f t="shared" si="231"/>
        <v/>
      </c>
      <c r="IT17" s="1814" t="str">
        <f t="shared" si="232"/>
        <v/>
      </c>
      <c r="IU17" s="1814" t="str">
        <f t="shared" si="233"/>
        <v/>
      </c>
      <c r="IV17" s="1814" t="str">
        <f t="shared" si="234"/>
        <v/>
      </c>
      <c r="IW17" s="1814" t="str">
        <f t="shared" si="235"/>
        <v/>
      </c>
      <c r="IX17" s="1814" t="str">
        <f t="shared" si="236"/>
        <v/>
      </c>
      <c r="IY17" s="1814" t="str">
        <f t="shared" si="237"/>
        <v/>
      </c>
      <c r="IZ17" s="1814" t="str">
        <f t="shared" si="238"/>
        <v/>
      </c>
      <c r="JA17" s="1814" t="str">
        <f t="shared" si="239"/>
        <v/>
      </c>
      <c r="JB17" s="1814" t="str">
        <f t="shared" si="240"/>
        <v/>
      </c>
      <c r="JC17" s="1814" t="str">
        <f t="shared" si="241"/>
        <v/>
      </c>
      <c r="JD17" s="1814" t="str">
        <f t="shared" si="242"/>
        <v/>
      </c>
      <c r="JE17" s="1814" t="str">
        <f t="shared" si="243"/>
        <v/>
      </c>
      <c r="JF17" s="1814" t="str">
        <f t="shared" si="244"/>
        <v/>
      </c>
      <c r="JG17" s="1814" t="str">
        <f t="shared" si="245"/>
        <v/>
      </c>
      <c r="JH17" s="1814" t="str">
        <f t="shared" si="246"/>
        <v/>
      </c>
      <c r="JI17" s="1814" t="str">
        <f t="shared" si="247"/>
        <v/>
      </c>
      <c r="JJ17" s="1814" t="str">
        <f t="shared" si="248"/>
        <v/>
      </c>
      <c r="JK17" s="1814" t="str">
        <f t="shared" si="249"/>
        <v/>
      </c>
      <c r="JL17" s="1814" t="str">
        <f t="shared" si="250"/>
        <v/>
      </c>
      <c r="JM17" s="1814" t="str">
        <f t="shared" si="251"/>
        <v/>
      </c>
      <c r="JN17" s="1814" t="str">
        <f t="shared" si="252"/>
        <v/>
      </c>
      <c r="JO17" s="1814" t="str">
        <f t="shared" si="253"/>
        <v/>
      </c>
      <c r="JP17" s="1814" t="str">
        <f t="shared" si="254"/>
        <v/>
      </c>
      <c r="JQ17" s="1814" t="str">
        <f t="shared" si="255"/>
        <v/>
      </c>
      <c r="JR17" s="1814" t="str">
        <f t="shared" si="256"/>
        <v/>
      </c>
      <c r="JS17" s="1814" t="str">
        <f t="shared" si="257"/>
        <v/>
      </c>
      <c r="JT17" s="1814" t="str">
        <f t="shared" si="258"/>
        <v/>
      </c>
      <c r="JU17" s="1814" t="str">
        <f t="shared" si="259"/>
        <v/>
      </c>
      <c r="JV17" s="1814" t="str">
        <f t="shared" si="260"/>
        <v/>
      </c>
      <c r="JW17" s="1814" t="str">
        <f t="shared" si="261"/>
        <v/>
      </c>
      <c r="JX17" s="1814" t="str">
        <f t="shared" si="262"/>
        <v/>
      </c>
      <c r="JY17" s="1814" t="str">
        <f t="shared" si="263"/>
        <v/>
      </c>
      <c r="JZ17" s="1814" t="str">
        <f t="shared" si="264"/>
        <v/>
      </c>
      <c r="KA17" s="1814" t="str">
        <f t="shared" si="265"/>
        <v/>
      </c>
      <c r="KB17" s="1814" t="str">
        <f t="shared" si="266"/>
        <v/>
      </c>
      <c r="KC17" s="1814" t="str">
        <f t="shared" si="267"/>
        <v/>
      </c>
      <c r="KD17" s="1814" t="str">
        <f t="shared" si="268"/>
        <v/>
      </c>
      <c r="KE17" s="1814" t="str">
        <f t="shared" si="269"/>
        <v/>
      </c>
      <c r="KF17" s="1814" t="str">
        <f t="shared" si="270"/>
        <v/>
      </c>
      <c r="KG17" s="1814" t="str">
        <f t="shared" si="271"/>
        <v/>
      </c>
      <c r="KH17" s="1814" t="str">
        <f t="shared" si="272"/>
        <v/>
      </c>
      <c r="KI17" s="1814" t="str">
        <f t="shared" si="273"/>
        <v/>
      </c>
      <c r="KJ17" s="1814" t="str">
        <f t="shared" si="274"/>
        <v/>
      </c>
      <c r="KK17" s="1814" t="str">
        <f t="shared" si="275"/>
        <v/>
      </c>
      <c r="KL17" s="1814" t="str">
        <f t="shared" si="276"/>
        <v/>
      </c>
      <c r="KM17" s="1814" t="str">
        <f t="shared" si="277"/>
        <v/>
      </c>
      <c r="KN17" s="1814" t="str">
        <f t="shared" si="278"/>
        <v/>
      </c>
      <c r="KO17" s="1814" t="str">
        <f t="shared" si="279"/>
        <v/>
      </c>
      <c r="KP17" s="1814" t="str">
        <f t="shared" si="280"/>
        <v/>
      </c>
      <c r="KQ17" s="1814" t="str">
        <f t="shared" si="281"/>
        <v/>
      </c>
      <c r="KR17" s="1814" t="str">
        <f t="shared" si="282"/>
        <v/>
      </c>
      <c r="KS17" s="1814" t="str">
        <f t="shared" si="283"/>
        <v/>
      </c>
      <c r="KT17" s="1814" t="str">
        <f t="shared" si="284"/>
        <v/>
      </c>
      <c r="KU17" s="1814" t="str">
        <f t="shared" si="285"/>
        <v/>
      </c>
      <c r="KV17" s="1814" t="str">
        <f t="shared" si="286"/>
        <v/>
      </c>
      <c r="KW17" s="1814" t="str">
        <f t="shared" si="287"/>
        <v/>
      </c>
      <c r="KX17" s="1814" t="str">
        <f t="shared" si="288"/>
        <v/>
      </c>
      <c r="KY17" s="1814" t="str">
        <f t="shared" si="289"/>
        <v/>
      </c>
      <c r="KZ17" s="1814" t="str">
        <f t="shared" si="290"/>
        <v/>
      </c>
      <c r="LA17" s="1814" t="str">
        <f t="shared" si="291"/>
        <v/>
      </c>
      <c r="LB17" s="1814" t="str">
        <f t="shared" si="292"/>
        <v/>
      </c>
      <c r="LC17" s="1814" t="str">
        <f t="shared" si="293"/>
        <v/>
      </c>
      <c r="LD17" s="1814" t="str">
        <f t="shared" si="294"/>
        <v/>
      </c>
      <c r="LE17" s="1814" t="str">
        <f t="shared" si="295"/>
        <v/>
      </c>
      <c r="LF17" s="1814" t="str">
        <f t="shared" si="296"/>
        <v/>
      </c>
      <c r="LG17" s="1786" t="str">
        <f t="shared" si="297"/>
        <v/>
      </c>
      <c r="LH17" s="1786" t="str">
        <f t="shared" si="298"/>
        <v/>
      </c>
      <c r="LI17" s="1786" t="str">
        <f t="shared" si="299"/>
        <v/>
      </c>
      <c r="LJ17" s="1786" t="str">
        <f t="shared" si="300"/>
        <v/>
      </c>
      <c r="LK17" s="1786" t="str">
        <f t="shared" si="301"/>
        <v/>
      </c>
      <c r="LL17" s="430" t="str">
        <f t="shared" si="302"/>
        <v/>
      </c>
      <c r="LM17" s="430" t="str">
        <f t="shared" si="303"/>
        <v/>
      </c>
      <c r="LN17" s="430" t="str">
        <f t="shared" si="304"/>
        <v/>
      </c>
      <c r="LO17" s="430" t="str">
        <f t="shared" si="305"/>
        <v/>
      </c>
      <c r="LP17" s="430" t="str">
        <f t="shared" si="306"/>
        <v/>
      </c>
      <c r="LQ17" s="430" t="str">
        <f t="shared" si="307"/>
        <v/>
      </c>
      <c r="LR17" s="430" t="str">
        <f t="shared" si="308"/>
        <v/>
      </c>
      <c r="LS17" s="430" t="str">
        <f t="shared" si="309"/>
        <v/>
      </c>
      <c r="LT17" s="430" t="str">
        <f t="shared" si="310"/>
        <v/>
      </c>
      <c r="LU17" s="430" t="str">
        <f t="shared" si="311"/>
        <v/>
      </c>
      <c r="LV17" s="430" t="str">
        <f t="shared" si="312"/>
        <v/>
      </c>
      <c r="LW17" s="430" t="str">
        <f t="shared" si="313"/>
        <v/>
      </c>
      <c r="LX17" s="430" t="str">
        <f t="shared" si="314"/>
        <v/>
      </c>
      <c r="LY17" s="430" t="str">
        <f t="shared" si="315"/>
        <v/>
      </c>
      <c r="LZ17" s="430" t="str">
        <f t="shared" si="316"/>
        <v/>
      </c>
      <c r="MA17" s="430" t="str">
        <f t="shared" si="317"/>
        <v/>
      </c>
      <c r="MB17" s="430" t="str">
        <f t="shared" si="318"/>
        <v/>
      </c>
      <c r="MC17" s="430" t="str">
        <f t="shared" si="319"/>
        <v/>
      </c>
      <c r="MD17" s="430" t="str">
        <f t="shared" si="320"/>
        <v/>
      </c>
      <c r="ME17" s="430" t="str">
        <f t="shared" si="321"/>
        <v/>
      </c>
      <c r="MF17" s="1815">
        <f t="shared" si="328"/>
        <v>0</v>
      </c>
      <c r="MG17" s="1815">
        <f t="shared" si="329"/>
        <v>0</v>
      </c>
      <c r="MH17" s="1815">
        <f t="shared" si="330"/>
        <v>0</v>
      </c>
      <c r="MI17" s="1815">
        <f t="shared" si="331"/>
        <v>0</v>
      </c>
      <c r="MJ17" s="1815">
        <f t="shared" si="332"/>
        <v>0</v>
      </c>
      <c r="MK17" s="1815">
        <f t="shared" si="333"/>
        <v>0</v>
      </c>
      <c r="ML17" s="1815">
        <f t="shared" si="334"/>
        <v>0</v>
      </c>
      <c r="MM17" s="1815">
        <f t="shared" si="335"/>
        <v>0</v>
      </c>
      <c r="MN17" s="1815">
        <f t="shared" si="336"/>
        <v>0</v>
      </c>
      <c r="MO17" s="1815">
        <f t="shared" si="337"/>
        <v>0</v>
      </c>
      <c r="MP17" s="1815">
        <f t="shared" si="322"/>
        <v>0</v>
      </c>
      <c r="MQ17" s="1815">
        <f t="shared" si="323"/>
        <v>0</v>
      </c>
      <c r="MR17" s="1815">
        <f t="shared" si="324"/>
        <v>0</v>
      </c>
      <c r="MS17" s="1815">
        <f t="shared" si="325"/>
        <v>0</v>
      </c>
      <c r="MT17" s="1815">
        <f t="shared" si="326"/>
        <v>0</v>
      </c>
      <c r="NP17" s="2807" t="s">
        <v>6723</v>
      </c>
    </row>
    <row r="18" spans="1:380" ht="13.9" customHeight="1">
      <c r="A18" s="108" t="str">
        <f t="shared" si="327"/>
        <v/>
      </c>
      <c r="B18" s="2887"/>
      <c r="C18" s="2888"/>
      <c r="D18" s="2889"/>
      <c r="E18" s="2890"/>
      <c r="F18" s="2890"/>
      <c r="G18" s="2890"/>
      <c r="H18" s="2890"/>
      <c r="I18" s="2890"/>
      <c r="J18" s="2891">
        <f>IF(C18="",0,HLOOKUP(C18,'Part V-Utility Allowances'!$I$11:$M$22,12))</f>
        <v>0</v>
      </c>
      <c r="K18" s="2892"/>
      <c r="L18" s="1188">
        <f t="shared" si="0"/>
        <v>0</v>
      </c>
      <c r="M18" s="1188">
        <f t="shared" si="1"/>
        <v>0</v>
      </c>
      <c r="N18" s="2893"/>
      <c r="O18" s="2894"/>
      <c r="P18" s="2893"/>
      <c r="Q18" s="2895"/>
      <c r="R18" s="2876"/>
      <c r="S18" s="2877"/>
      <c r="T18" s="3833"/>
      <c r="U18" s="3834"/>
      <c r="V18" s="3834"/>
      <c r="W18" s="3835"/>
      <c r="X18" s="430" t="str">
        <f t="shared" si="2"/>
        <v/>
      </c>
      <c r="Y18" s="430" t="str">
        <f t="shared" si="3"/>
        <v/>
      </c>
      <c r="Z18" s="430" t="str">
        <f t="shared" si="4"/>
        <v/>
      </c>
      <c r="AA18" s="430" t="str">
        <f t="shared" si="5"/>
        <v/>
      </c>
      <c r="AB18" s="430" t="str">
        <f t="shared" si="6"/>
        <v/>
      </c>
      <c r="AC18" s="430" t="str">
        <f t="shared" si="7"/>
        <v/>
      </c>
      <c r="AD18" s="430" t="str">
        <f t="shared" si="8"/>
        <v/>
      </c>
      <c r="AE18" s="430" t="str">
        <f t="shared" si="9"/>
        <v/>
      </c>
      <c r="AF18" s="430" t="str">
        <f t="shared" si="10"/>
        <v/>
      </c>
      <c r="AG18" s="430" t="str">
        <f t="shared" si="11"/>
        <v/>
      </c>
      <c r="AH18" s="430" t="str">
        <f t="shared" si="12"/>
        <v/>
      </c>
      <c r="AI18" s="430" t="str">
        <f t="shared" si="13"/>
        <v/>
      </c>
      <c r="AJ18" s="430" t="str">
        <f t="shared" si="14"/>
        <v/>
      </c>
      <c r="AK18" s="430" t="str">
        <f t="shared" si="15"/>
        <v/>
      </c>
      <c r="AL18" s="430" t="str">
        <f t="shared" si="16"/>
        <v/>
      </c>
      <c r="AM18" s="430" t="str">
        <f t="shared" si="17"/>
        <v/>
      </c>
      <c r="AN18" s="430" t="str">
        <f t="shared" si="18"/>
        <v/>
      </c>
      <c r="AO18" s="430" t="str">
        <f t="shared" si="19"/>
        <v/>
      </c>
      <c r="AP18" s="430" t="str">
        <f t="shared" si="20"/>
        <v/>
      </c>
      <c r="AQ18" s="430" t="str">
        <f t="shared" si="21"/>
        <v/>
      </c>
      <c r="AR18" s="430" t="str">
        <f t="shared" si="22"/>
        <v/>
      </c>
      <c r="AS18" s="430" t="str">
        <f t="shared" si="23"/>
        <v/>
      </c>
      <c r="AT18" s="430" t="str">
        <f t="shared" si="24"/>
        <v/>
      </c>
      <c r="AU18" s="430" t="str">
        <f t="shared" si="25"/>
        <v/>
      </c>
      <c r="AV18" s="430" t="str">
        <f t="shared" si="26"/>
        <v/>
      </c>
      <c r="AW18" s="430" t="str">
        <f t="shared" si="27"/>
        <v/>
      </c>
      <c r="AX18" s="430" t="str">
        <f t="shared" si="28"/>
        <v/>
      </c>
      <c r="AY18" s="430" t="str">
        <f t="shared" si="29"/>
        <v/>
      </c>
      <c r="AZ18" s="430" t="str">
        <f t="shared" si="30"/>
        <v/>
      </c>
      <c r="BA18" s="430" t="str">
        <f t="shared" si="31"/>
        <v/>
      </c>
      <c r="BB18" s="430" t="str">
        <f t="shared" si="32"/>
        <v/>
      </c>
      <c r="BC18" s="430" t="str">
        <f t="shared" si="33"/>
        <v/>
      </c>
      <c r="BD18" s="430" t="str">
        <f t="shared" si="34"/>
        <v/>
      </c>
      <c r="BE18" s="430" t="str">
        <f t="shared" si="35"/>
        <v/>
      </c>
      <c r="BF18" s="430" t="str">
        <f t="shared" si="36"/>
        <v/>
      </c>
      <c r="BG18" s="430" t="str">
        <f t="shared" si="37"/>
        <v/>
      </c>
      <c r="BH18" s="430" t="str">
        <f t="shared" si="38"/>
        <v/>
      </c>
      <c r="BI18" s="430" t="str">
        <f t="shared" si="39"/>
        <v/>
      </c>
      <c r="BJ18" s="430" t="str">
        <f t="shared" si="40"/>
        <v/>
      </c>
      <c r="BK18" s="430" t="str">
        <f t="shared" si="41"/>
        <v/>
      </c>
      <c r="BL18" s="430" t="str">
        <f t="shared" si="42"/>
        <v/>
      </c>
      <c r="BM18" s="430" t="str">
        <f t="shared" si="43"/>
        <v/>
      </c>
      <c r="BN18" s="430" t="str">
        <f t="shared" si="44"/>
        <v/>
      </c>
      <c r="BO18" s="430" t="str">
        <f t="shared" si="45"/>
        <v/>
      </c>
      <c r="BP18" s="430" t="str">
        <f t="shared" si="46"/>
        <v/>
      </c>
      <c r="BQ18" s="430" t="str">
        <f t="shared" si="47"/>
        <v/>
      </c>
      <c r="BR18" s="430" t="str">
        <f t="shared" si="48"/>
        <v/>
      </c>
      <c r="BS18" s="430" t="str">
        <f t="shared" si="49"/>
        <v/>
      </c>
      <c r="BT18" s="430" t="str">
        <f t="shared" si="50"/>
        <v/>
      </c>
      <c r="BU18" s="430" t="str">
        <f t="shared" si="51"/>
        <v/>
      </c>
      <c r="BV18" s="430" t="str">
        <f t="shared" si="52"/>
        <v/>
      </c>
      <c r="BW18" s="430" t="str">
        <f t="shared" si="53"/>
        <v/>
      </c>
      <c r="BX18" s="430" t="str">
        <f t="shared" si="54"/>
        <v/>
      </c>
      <c r="BY18" s="430" t="str">
        <f t="shared" si="55"/>
        <v/>
      </c>
      <c r="BZ18" s="430" t="str">
        <f t="shared" si="56"/>
        <v/>
      </c>
      <c r="CA18" s="430" t="str">
        <f t="shared" si="57"/>
        <v/>
      </c>
      <c r="CB18" s="430" t="str">
        <f t="shared" si="58"/>
        <v/>
      </c>
      <c r="CC18" s="430" t="str">
        <f t="shared" si="59"/>
        <v/>
      </c>
      <c r="CD18" s="430" t="str">
        <f t="shared" si="60"/>
        <v/>
      </c>
      <c r="CE18" s="430" t="str">
        <f t="shared" si="61"/>
        <v/>
      </c>
      <c r="CF18" s="430" t="str">
        <f t="shared" si="62"/>
        <v/>
      </c>
      <c r="CG18" s="430" t="str">
        <f t="shared" si="63"/>
        <v/>
      </c>
      <c r="CH18" s="430" t="str">
        <f t="shared" si="64"/>
        <v/>
      </c>
      <c r="CI18" s="430" t="str">
        <f t="shared" si="65"/>
        <v/>
      </c>
      <c r="CJ18" s="430" t="str">
        <f t="shared" si="66"/>
        <v/>
      </c>
      <c r="CK18" s="430" t="str">
        <f t="shared" si="67"/>
        <v/>
      </c>
      <c r="CL18" s="430" t="str">
        <f t="shared" si="68"/>
        <v/>
      </c>
      <c r="CM18" s="430" t="str">
        <f t="shared" si="69"/>
        <v/>
      </c>
      <c r="CN18" s="430" t="str">
        <f t="shared" si="70"/>
        <v/>
      </c>
      <c r="CO18" s="430" t="str">
        <f t="shared" si="71"/>
        <v/>
      </c>
      <c r="CP18" s="430" t="str">
        <f t="shared" si="72"/>
        <v/>
      </c>
      <c r="CQ18" s="430" t="str">
        <f t="shared" si="73"/>
        <v/>
      </c>
      <c r="CR18" s="430" t="str">
        <f t="shared" si="74"/>
        <v/>
      </c>
      <c r="CS18" s="430" t="str">
        <f t="shared" si="75"/>
        <v/>
      </c>
      <c r="CT18" s="430" t="str">
        <f t="shared" si="76"/>
        <v/>
      </c>
      <c r="CU18" s="430" t="str">
        <f t="shared" si="77"/>
        <v/>
      </c>
      <c r="CV18" s="430" t="str">
        <f t="shared" si="78"/>
        <v/>
      </c>
      <c r="CW18" s="430" t="str">
        <f t="shared" si="79"/>
        <v/>
      </c>
      <c r="CX18" s="430" t="str">
        <f t="shared" si="80"/>
        <v/>
      </c>
      <c r="CY18" s="430" t="str">
        <f t="shared" si="81"/>
        <v/>
      </c>
      <c r="CZ18" s="430" t="str">
        <f t="shared" si="82"/>
        <v/>
      </c>
      <c r="DA18" s="430" t="str">
        <f t="shared" si="83"/>
        <v/>
      </c>
      <c r="DB18" s="430" t="str">
        <f t="shared" si="84"/>
        <v/>
      </c>
      <c r="DC18" s="430" t="str">
        <f t="shared" si="85"/>
        <v/>
      </c>
      <c r="DD18" s="430" t="str">
        <f t="shared" si="86"/>
        <v/>
      </c>
      <c r="DE18" s="430" t="str">
        <f t="shared" si="87"/>
        <v/>
      </c>
      <c r="DF18" s="430" t="str">
        <f t="shared" si="88"/>
        <v/>
      </c>
      <c r="DG18" s="430" t="str">
        <f t="shared" si="89"/>
        <v/>
      </c>
      <c r="DH18" s="430" t="str">
        <f t="shared" si="90"/>
        <v/>
      </c>
      <c r="DI18" s="430" t="str">
        <f t="shared" si="91"/>
        <v/>
      </c>
      <c r="DJ18" s="430" t="str">
        <f t="shared" si="92"/>
        <v/>
      </c>
      <c r="DK18" s="430" t="str">
        <f t="shared" si="93"/>
        <v/>
      </c>
      <c r="DL18" s="430" t="str">
        <f t="shared" si="94"/>
        <v/>
      </c>
      <c r="DM18" s="430" t="str">
        <f t="shared" si="95"/>
        <v/>
      </c>
      <c r="DN18" s="430" t="str">
        <f t="shared" si="96"/>
        <v/>
      </c>
      <c r="DO18" s="430" t="str">
        <f t="shared" si="97"/>
        <v/>
      </c>
      <c r="DP18" s="430" t="str">
        <f t="shared" si="98"/>
        <v/>
      </c>
      <c r="DQ18" s="430" t="str">
        <f t="shared" si="99"/>
        <v/>
      </c>
      <c r="DR18" s="430" t="str">
        <f t="shared" si="100"/>
        <v/>
      </c>
      <c r="DS18" s="430" t="str">
        <f t="shared" si="101"/>
        <v/>
      </c>
      <c r="DT18" s="430" t="str">
        <f t="shared" si="102"/>
        <v/>
      </c>
      <c r="DU18" s="430" t="str">
        <f t="shared" si="103"/>
        <v/>
      </c>
      <c r="DV18" s="430" t="str">
        <f t="shared" si="104"/>
        <v/>
      </c>
      <c r="DW18" s="430" t="str">
        <f t="shared" si="105"/>
        <v/>
      </c>
      <c r="DX18" s="430" t="str">
        <f t="shared" si="106"/>
        <v/>
      </c>
      <c r="DY18" s="430" t="str">
        <f t="shared" si="107"/>
        <v/>
      </c>
      <c r="DZ18" s="430" t="str">
        <f t="shared" si="108"/>
        <v/>
      </c>
      <c r="EA18" s="430" t="str">
        <f t="shared" si="109"/>
        <v/>
      </c>
      <c r="EB18" s="430" t="str">
        <f t="shared" si="110"/>
        <v/>
      </c>
      <c r="EC18" s="430" t="str">
        <f t="shared" si="111"/>
        <v/>
      </c>
      <c r="ED18" s="430" t="str">
        <f t="shared" si="112"/>
        <v/>
      </c>
      <c r="EE18" s="430" t="str">
        <f t="shared" si="113"/>
        <v/>
      </c>
      <c r="EF18" s="430" t="str">
        <f t="shared" si="114"/>
        <v/>
      </c>
      <c r="EG18" s="430" t="str">
        <f t="shared" si="115"/>
        <v/>
      </c>
      <c r="EH18" s="430" t="str">
        <f t="shared" si="116"/>
        <v/>
      </c>
      <c r="EI18" s="430" t="str">
        <f t="shared" si="117"/>
        <v/>
      </c>
      <c r="EJ18" s="430" t="str">
        <f t="shared" si="118"/>
        <v/>
      </c>
      <c r="EK18" s="430" t="str">
        <f t="shared" si="119"/>
        <v/>
      </c>
      <c r="EL18" s="430" t="str">
        <f t="shared" si="120"/>
        <v/>
      </c>
      <c r="EM18" s="430" t="str">
        <f t="shared" si="121"/>
        <v/>
      </c>
      <c r="EN18" s="430" t="str">
        <f t="shared" si="122"/>
        <v/>
      </c>
      <c r="EO18" s="430" t="str">
        <f t="shared" si="123"/>
        <v/>
      </c>
      <c r="EP18" s="430" t="str">
        <f t="shared" si="124"/>
        <v/>
      </c>
      <c r="EQ18" s="430" t="str">
        <f t="shared" si="125"/>
        <v/>
      </c>
      <c r="ER18" s="430" t="str">
        <f t="shared" si="126"/>
        <v/>
      </c>
      <c r="ES18" s="430" t="str">
        <f t="shared" si="127"/>
        <v/>
      </c>
      <c r="ET18" s="430" t="str">
        <f t="shared" si="128"/>
        <v/>
      </c>
      <c r="EU18" s="430" t="str">
        <f t="shared" si="129"/>
        <v/>
      </c>
      <c r="EV18" s="430" t="str">
        <f t="shared" si="130"/>
        <v/>
      </c>
      <c r="EW18" s="430" t="str">
        <f t="shared" si="131"/>
        <v/>
      </c>
      <c r="EX18" s="430" t="str">
        <f t="shared" si="132"/>
        <v/>
      </c>
      <c r="EY18" s="430" t="str">
        <f t="shared" si="133"/>
        <v/>
      </c>
      <c r="EZ18" s="430" t="str">
        <f t="shared" si="134"/>
        <v/>
      </c>
      <c r="FA18" s="430" t="str">
        <f t="shared" si="135"/>
        <v/>
      </c>
      <c r="FB18" s="430" t="str">
        <f t="shared" si="136"/>
        <v/>
      </c>
      <c r="FC18" s="430" t="str">
        <f t="shared" si="137"/>
        <v/>
      </c>
      <c r="FD18" s="430" t="str">
        <f t="shared" si="138"/>
        <v/>
      </c>
      <c r="FE18" s="430" t="str">
        <f t="shared" si="139"/>
        <v/>
      </c>
      <c r="FF18" s="430" t="str">
        <f t="shared" si="140"/>
        <v/>
      </c>
      <c r="FG18" s="430" t="str">
        <f t="shared" si="141"/>
        <v/>
      </c>
      <c r="FH18" s="430" t="str">
        <f t="shared" si="142"/>
        <v/>
      </c>
      <c r="FI18" s="430" t="str">
        <f t="shared" si="143"/>
        <v/>
      </c>
      <c r="FJ18" s="430" t="str">
        <f t="shared" si="144"/>
        <v/>
      </c>
      <c r="FK18" s="430" t="str">
        <f t="shared" si="145"/>
        <v/>
      </c>
      <c r="FL18" s="430" t="str">
        <f t="shared" si="146"/>
        <v/>
      </c>
      <c r="FM18" s="430" t="str">
        <f t="shared" si="147"/>
        <v/>
      </c>
      <c r="FN18" s="430" t="str">
        <f t="shared" si="148"/>
        <v/>
      </c>
      <c r="FO18" s="430" t="str">
        <f t="shared" si="149"/>
        <v/>
      </c>
      <c r="FP18" s="430" t="str">
        <f t="shared" si="150"/>
        <v/>
      </c>
      <c r="FQ18" s="430" t="str">
        <f t="shared" si="151"/>
        <v/>
      </c>
      <c r="FR18" s="430" t="str">
        <f t="shared" si="152"/>
        <v/>
      </c>
      <c r="FS18" s="430" t="str">
        <f t="shared" si="153"/>
        <v/>
      </c>
      <c r="FT18" s="430" t="str">
        <f t="shared" si="154"/>
        <v/>
      </c>
      <c r="FU18" s="430" t="str">
        <f t="shared" si="155"/>
        <v/>
      </c>
      <c r="FV18" s="430" t="str">
        <f t="shared" si="156"/>
        <v/>
      </c>
      <c r="FW18" s="430" t="str">
        <f t="shared" si="157"/>
        <v/>
      </c>
      <c r="FX18" s="430" t="str">
        <f t="shared" si="158"/>
        <v/>
      </c>
      <c r="FY18" s="430" t="str">
        <f t="shared" si="159"/>
        <v/>
      </c>
      <c r="FZ18" s="430" t="str">
        <f t="shared" si="160"/>
        <v/>
      </c>
      <c r="GA18" s="430" t="str">
        <f t="shared" si="161"/>
        <v/>
      </c>
      <c r="GB18" s="430" t="str">
        <f t="shared" si="162"/>
        <v/>
      </c>
      <c r="GC18" s="430" t="str">
        <f t="shared" si="163"/>
        <v/>
      </c>
      <c r="GD18" s="430" t="str">
        <f t="shared" si="164"/>
        <v/>
      </c>
      <c r="GE18" s="430" t="str">
        <f t="shared" si="165"/>
        <v/>
      </c>
      <c r="GF18" s="430" t="str">
        <f t="shared" si="166"/>
        <v/>
      </c>
      <c r="GG18" s="430" t="str">
        <f t="shared" si="167"/>
        <v/>
      </c>
      <c r="GH18" s="430" t="str">
        <f t="shared" si="168"/>
        <v/>
      </c>
      <c r="GI18" s="430" t="str">
        <f t="shared" si="169"/>
        <v/>
      </c>
      <c r="GJ18" s="430" t="str">
        <f t="shared" si="170"/>
        <v/>
      </c>
      <c r="GK18" s="430" t="str">
        <f t="shared" si="171"/>
        <v/>
      </c>
      <c r="GL18" s="430" t="str">
        <f t="shared" si="172"/>
        <v/>
      </c>
      <c r="GM18" s="430" t="str">
        <f t="shared" si="173"/>
        <v/>
      </c>
      <c r="GN18" s="430" t="str">
        <f t="shared" si="174"/>
        <v/>
      </c>
      <c r="GO18" s="430" t="str">
        <f t="shared" si="175"/>
        <v/>
      </c>
      <c r="GP18" s="430" t="str">
        <f t="shared" si="176"/>
        <v/>
      </c>
      <c r="GQ18" s="430" t="str">
        <f t="shared" si="177"/>
        <v/>
      </c>
      <c r="GR18" s="430" t="str">
        <f t="shared" si="178"/>
        <v/>
      </c>
      <c r="GS18" s="430" t="str">
        <f t="shared" si="179"/>
        <v/>
      </c>
      <c r="GT18" s="430" t="str">
        <f t="shared" si="180"/>
        <v/>
      </c>
      <c r="GU18" s="430" t="str">
        <f t="shared" si="181"/>
        <v/>
      </c>
      <c r="GV18" s="430" t="str">
        <f t="shared" si="182"/>
        <v/>
      </c>
      <c r="GW18" s="430" t="str">
        <f t="shared" si="183"/>
        <v/>
      </c>
      <c r="GX18" s="430" t="str">
        <f t="shared" si="184"/>
        <v/>
      </c>
      <c r="GY18" s="430" t="str">
        <f t="shared" si="185"/>
        <v/>
      </c>
      <c r="GZ18" s="430" t="str">
        <f t="shared" si="186"/>
        <v/>
      </c>
      <c r="HA18" s="430" t="str">
        <f t="shared" si="187"/>
        <v/>
      </c>
      <c r="HB18" s="430" t="str">
        <f t="shared" si="188"/>
        <v/>
      </c>
      <c r="HC18" s="430" t="str">
        <f t="shared" si="189"/>
        <v/>
      </c>
      <c r="HD18" s="430" t="str">
        <f t="shared" si="190"/>
        <v/>
      </c>
      <c r="HE18" s="430" t="str">
        <f t="shared" si="191"/>
        <v/>
      </c>
      <c r="HF18" s="430" t="str">
        <f t="shared" si="192"/>
        <v/>
      </c>
      <c r="HG18" s="430" t="str">
        <f t="shared" si="193"/>
        <v/>
      </c>
      <c r="HH18" s="430" t="str">
        <f t="shared" si="194"/>
        <v/>
      </c>
      <c r="HI18" s="430" t="str">
        <f t="shared" si="195"/>
        <v/>
      </c>
      <c r="HJ18" s="430" t="str">
        <f t="shared" si="196"/>
        <v/>
      </c>
      <c r="HK18" s="430" t="str">
        <f t="shared" si="197"/>
        <v/>
      </c>
      <c r="HL18" s="430" t="str">
        <f t="shared" si="198"/>
        <v/>
      </c>
      <c r="HM18" s="430" t="str">
        <f t="shared" si="199"/>
        <v/>
      </c>
      <c r="HN18" s="430" t="str">
        <f t="shared" si="200"/>
        <v/>
      </c>
      <c r="HO18" s="430" t="str">
        <f t="shared" si="201"/>
        <v/>
      </c>
      <c r="HP18" s="430" t="str">
        <f t="shared" si="202"/>
        <v/>
      </c>
      <c r="HQ18" s="430" t="str">
        <f t="shared" si="203"/>
        <v/>
      </c>
      <c r="HR18" s="430" t="str">
        <f t="shared" si="204"/>
        <v/>
      </c>
      <c r="HS18" s="430" t="str">
        <f t="shared" si="205"/>
        <v/>
      </c>
      <c r="HT18" s="430" t="str">
        <f t="shared" si="206"/>
        <v/>
      </c>
      <c r="HU18" s="430" t="str">
        <f t="shared" si="207"/>
        <v/>
      </c>
      <c r="HV18" s="430" t="str">
        <f t="shared" si="208"/>
        <v/>
      </c>
      <c r="HW18" s="430" t="str">
        <f t="shared" si="209"/>
        <v/>
      </c>
      <c r="HX18" s="430" t="str">
        <f t="shared" si="210"/>
        <v/>
      </c>
      <c r="HY18" s="430" t="str">
        <f t="shared" si="211"/>
        <v/>
      </c>
      <c r="HZ18" s="1814" t="str">
        <f t="shared" si="212"/>
        <v/>
      </c>
      <c r="IA18" s="1814" t="str">
        <f t="shared" si="213"/>
        <v/>
      </c>
      <c r="IB18" s="1814" t="str">
        <f t="shared" si="214"/>
        <v/>
      </c>
      <c r="IC18" s="1814" t="str">
        <f t="shared" si="215"/>
        <v/>
      </c>
      <c r="ID18" s="1814" t="str">
        <f t="shared" si="216"/>
        <v/>
      </c>
      <c r="IE18" s="1814" t="str">
        <f t="shared" si="217"/>
        <v/>
      </c>
      <c r="IF18" s="1814" t="str">
        <f t="shared" si="218"/>
        <v/>
      </c>
      <c r="IG18" s="1814" t="str">
        <f t="shared" si="219"/>
        <v/>
      </c>
      <c r="IH18" s="1814" t="str">
        <f t="shared" si="220"/>
        <v/>
      </c>
      <c r="II18" s="1814" t="str">
        <f t="shared" si="221"/>
        <v/>
      </c>
      <c r="IJ18" s="1814" t="str">
        <f t="shared" si="222"/>
        <v/>
      </c>
      <c r="IK18" s="1814" t="str">
        <f t="shared" si="223"/>
        <v/>
      </c>
      <c r="IL18" s="1814" t="str">
        <f t="shared" si="224"/>
        <v/>
      </c>
      <c r="IM18" s="1814" t="str">
        <f t="shared" si="225"/>
        <v/>
      </c>
      <c r="IN18" s="1814" t="str">
        <f t="shared" si="226"/>
        <v/>
      </c>
      <c r="IO18" s="1814" t="str">
        <f t="shared" si="227"/>
        <v/>
      </c>
      <c r="IP18" s="1814" t="str">
        <f t="shared" si="228"/>
        <v/>
      </c>
      <c r="IQ18" s="1814" t="str">
        <f t="shared" si="229"/>
        <v/>
      </c>
      <c r="IR18" s="1814" t="str">
        <f t="shared" si="230"/>
        <v/>
      </c>
      <c r="IS18" s="1814" t="str">
        <f t="shared" si="231"/>
        <v/>
      </c>
      <c r="IT18" s="1814" t="str">
        <f t="shared" si="232"/>
        <v/>
      </c>
      <c r="IU18" s="1814" t="str">
        <f t="shared" si="233"/>
        <v/>
      </c>
      <c r="IV18" s="1814" t="str">
        <f t="shared" si="234"/>
        <v/>
      </c>
      <c r="IW18" s="1814" t="str">
        <f t="shared" si="235"/>
        <v/>
      </c>
      <c r="IX18" s="1814" t="str">
        <f t="shared" si="236"/>
        <v/>
      </c>
      <c r="IY18" s="1814" t="str">
        <f t="shared" si="237"/>
        <v/>
      </c>
      <c r="IZ18" s="1814" t="str">
        <f t="shared" si="238"/>
        <v/>
      </c>
      <c r="JA18" s="1814" t="str">
        <f t="shared" si="239"/>
        <v/>
      </c>
      <c r="JB18" s="1814" t="str">
        <f t="shared" si="240"/>
        <v/>
      </c>
      <c r="JC18" s="1814" t="str">
        <f t="shared" si="241"/>
        <v/>
      </c>
      <c r="JD18" s="1814" t="str">
        <f t="shared" si="242"/>
        <v/>
      </c>
      <c r="JE18" s="1814" t="str">
        <f t="shared" si="243"/>
        <v/>
      </c>
      <c r="JF18" s="1814" t="str">
        <f t="shared" si="244"/>
        <v/>
      </c>
      <c r="JG18" s="1814" t="str">
        <f t="shared" si="245"/>
        <v/>
      </c>
      <c r="JH18" s="1814" t="str">
        <f t="shared" si="246"/>
        <v/>
      </c>
      <c r="JI18" s="1814" t="str">
        <f t="shared" si="247"/>
        <v/>
      </c>
      <c r="JJ18" s="1814" t="str">
        <f t="shared" si="248"/>
        <v/>
      </c>
      <c r="JK18" s="1814" t="str">
        <f t="shared" si="249"/>
        <v/>
      </c>
      <c r="JL18" s="1814" t="str">
        <f t="shared" si="250"/>
        <v/>
      </c>
      <c r="JM18" s="1814" t="str">
        <f t="shared" si="251"/>
        <v/>
      </c>
      <c r="JN18" s="1814" t="str">
        <f t="shared" si="252"/>
        <v/>
      </c>
      <c r="JO18" s="1814" t="str">
        <f t="shared" si="253"/>
        <v/>
      </c>
      <c r="JP18" s="1814" t="str">
        <f t="shared" si="254"/>
        <v/>
      </c>
      <c r="JQ18" s="1814" t="str">
        <f t="shared" si="255"/>
        <v/>
      </c>
      <c r="JR18" s="1814" t="str">
        <f t="shared" si="256"/>
        <v/>
      </c>
      <c r="JS18" s="1814" t="str">
        <f t="shared" si="257"/>
        <v/>
      </c>
      <c r="JT18" s="1814" t="str">
        <f t="shared" si="258"/>
        <v/>
      </c>
      <c r="JU18" s="1814" t="str">
        <f t="shared" si="259"/>
        <v/>
      </c>
      <c r="JV18" s="1814" t="str">
        <f t="shared" si="260"/>
        <v/>
      </c>
      <c r="JW18" s="1814" t="str">
        <f t="shared" si="261"/>
        <v/>
      </c>
      <c r="JX18" s="1814" t="str">
        <f t="shared" si="262"/>
        <v/>
      </c>
      <c r="JY18" s="1814" t="str">
        <f t="shared" si="263"/>
        <v/>
      </c>
      <c r="JZ18" s="1814" t="str">
        <f t="shared" si="264"/>
        <v/>
      </c>
      <c r="KA18" s="1814" t="str">
        <f t="shared" si="265"/>
        <v/>
      </c>
      <c r="KB18" s="1814" t="str">
        <f t="shared" si="266"/>
        <v/>
      </c>
      <c r="KC18" s="1814" t="str">
        <f t="shared" si="267"/>
        <v/>
      </c>
      <c r="KD18" s="1814" t="str">
        <f t="shared" si="268"/>
        <v/>
      </c>
      <c r="KE18" s="1814" t="str">
        <f t="shared" si="269"/>
        <v/>
      </c>
      <c r="KF18" s="1814" t="str">
        <f t="shared" si="270"/>
        <v/>
      </c>
      <c r="KG18" s="1814" t="str">
        <f t="shared" si="271"/>
        <v/>
      </c>
      <c r="KH18" s="1814" t="str">
        <f t="shared" si="272"/>
        <v/>
      </c>
      <c r="KI18" s="1814" t="str">
        <f t="shared" si="273"/>
        <v/>
      </c>
      <c r="KJ18" s="1814" t="str">
        <f t="shared" si="274"/>
        <v/>
      </c>
      <c r="KK18" s="1814" t="str">
        <f t="shared" si="275"/>
        <v/>
      </c>
      <c r="KL18" s="1814" t="str">
        <f t="shared" si="276"/>
        <v/>
      </c>
      <c r="KM18" s="1814" t="str">
        <f t="shared" si="277"/>
        <v/>
      </c>
      <c r="KN18" s="1814" t="str">
        <f t="shared" si="278"/>
        <v/>
      </c>
      <c r="KO18" s="1814" t="str">
        <f t="shared" si="279"/>
        <v/>
      </c>
      <c r="KP18" s="1814" t="str">
        <f t="shared" si="280"/>
        <v/>
      </c>
      <c r="KQ18" s="1814" t="str">
        <f t="shared" si="281"/>
        <v/>
      </c>
      <c r="KR18" s="1814" t="str">
        <f t="shared" si="282"/>
        <v/>
      </c>
      <c r="KS18" s="1814" t="str">
        <f t="shared" si="283"/>
        <v/>
      </c>
      <c r="KT18" s="1814" t="str">
        <f t="shared" si="284"/>
        <v/>
      </c>
      <c r="KU18" s="1814" t="str">
        <f t="shared" si="285"/>
        <v/>
      </c>
      <c r="KV18" s="1814" t="str">
        <f t="shared" si="286"/>
        <v/>
      </c>
      <c r="KW18" s="1814" t="str">
        <f t="shared" si="287"/>
        <v/>
      </c>
      <c r="KX18" s="1814" t="str">
        <f t="shared" si="288"/>
        <v/>
      </c>
      <c r="KY18" s="1814" t="str">
        <f t="shared" si="289"/>
        <v/>
      </c>
      <c r="KZ18" s="1814" t="str">
        <f t="shared" si="290"/>
        <v/>
      </c>
      <c r="LA18" s="1814" t="str">
        <f t="shared" si="291"/>
        <v/>
      </c>
      <c r="LB18" s="1814" t="str">
        <f t="shared" si="292"/>
        <v/>
      </c>
      <c r="LC18" s="1814" t="str">
        <f t="shared" si="293"/>
        <v/>
      </c>
      <c r="LD18" s="1814" t="str">
        <f t="shared" si="294"/>
        <v/>
      </c>
      <c r="LE18" s="1814" t="str">
        <f t="shared" si="295"/>
        <v/>
      </c>
      <c r="LF18" s="1814" t="str">
        <f t="shared" si="296"/>
        <v/>
      </c>
      <c r="LG18" s="1786" t="str">
        <f t="shared" si="297"/>
        <v/>
      </c>
      <c r="LH18" s="1786" t="str">
        <f t="shared" si="298"/>
        <v/>
      </c>
      <c r="LI18" s="1786" t="str">
        <f t="shared" si="299"/>
        <v/>
      </c>
      <c r="LJ18" s="1786" t="str">
        <f t="shared" si="300"/>
        <v/>
      </c>
      <c r="LK18" s="1786" t="str">
        <f t="shared" si="301"/>
        <v/>
      </c>
      <c r="LL18" s="430" t="str">
        <f t="shared" si="302"/>
        <v/>
      </c>
      <c r="LM18" s="430" t="str">
        <f t="shared" si="303"/>
        <v/>
      </c>
      <c r="LN18" s="430" t="str">
        <f t="shared" si="304"/>
        <v/>
      </c>
      <c r="LO18" s="430" t="str">
        <f t="shared" si="305"/>
        <v/>
      </c>
      <c r="LP18" s="430" t="str">
        <f t="shared" si="306"/>
        <v/>
      </c>
      <c r="LQ18" s="430" t="str">
        <f t="shared" si="307"/>
        <v/>
      </c>
      <c r="LR18" s="430" t="str">
        <f t="shared" si="308"/>
        <v/>
      </c>
      <c r="LS18" s="430" t="str">
        <f t="shared" si="309"/>
        <v/>
      </c>
      <c r="LT18" s="430" t="str">
        <f t="shared" si="310"/>
        <v/>
      </c>
      <c r="LU18" s="430" t="str">
        <f t="shared" si="311"/>
        <v/>
      </c>
      <c r="LV18" s="430" t="str">
        <f t="shared" si="312"/>
        <v/>
      </c>
      <c r="LW18" s="430" t="str">
        <f t="shared" si="313"/>
        <v/>
      </c>
      <c r="LX18" s="430" t="str">
        <f t="shared" si="314"/>
        <v/>
      </c>
      <c r="LY18" s="430" t="str">
        <f t="shared" si="315"/>
        <v/>
      </c>
      <c r="LZ18" s="430" t="str">
        <f t="shared" si="316"/>
        <v/>
      </c>
      <c r="MA18" s="430" t="str">
        <f t="shared" si="317"/>
        <v/>
      </c>
      <c r="MB18" s="430" t="str">
        <f t="shared" si="318"/>
        <v/>
      </c>
      <c r="MC18" s="430" t="str">
        <f t="shared" si="319"/>
        <v/>
      </c>
      <c r="MD18" s="430" t="str">
        <f t="shared" si="320"/>
        <v/>
      </c>
      <c r="ME18" s="430" t="str">
        <f t="shared" si="321"/>
        <v/>
      </c>
      <c r="MF18" s="1815">
        <f t="shared" si="328"/>
        <v>0</v>
      </c>
      <c r="MG18" s="1815">
        <f t="shared" si="329"/>
        <v>0</v>
      </c>
      <c r="MH18" s="1815">
        <f t="shared" si="330"/>
        <v>0</v>
      </c>
      <c r="MI18" s="1815">
        <f t="shared" si="331"/>
        <v>0</v>
      </c>
      <c r="MJ18" s="1815">
        <f t="shared" si="332"/>
        <v>0</v>
      </c>
      <c r="MK18" s="1815">
        <f t="shared" si="333"/>
        <v>0</v>
      </c>
      <c r="ML18" s="1815">
        <f t="shared" si="334"/>
        <v>0</v>
      </c>
      <c r="MM18" s="1815">
        <f t="shared" si="335"/>
        <v>0</v>
      </c>
      <c r="MN18" s="1815">
        <f t="shared" si="336"/>
        <v>0</v>
      </c>
      <c r="MO18" s="1815">
        <f t="shared" si="337"/>
        <v>0</v>
      </c>
      <c r="MP18" s="1815">
        <f t="shared" si="322"/>
        <v>0</v>
      </c>
      <c r="MQ18" s="1815">
        <f t="shared" si="323"/>
        <v>0</v>
      </c>
      <c r="MR18" s="1815">
        <f t="shared" si="324"/>
        <v>0</v>
      </c>
      <c r="MS18" s="1815">
        <f t="shared" si="325"/>
        <v>0</v>
      </c>
      <c r="MT18" s="1815">
        <f t="shared" si="326"/>
        <v>0</v>
      </c>
      <c r="NP18" s="2807" t="s">
        <v>6724</v>
      </c>
    </row>
    <row r="19" spans="1:380" ht="13.9" customHeight="1">
      <c r="A19" s="108" t="str">
        <f t="shared" si="327"/>
        <v/>
      </c>
      <c r="B19" s="2896">
        <v>60</v>
      </c>
      <c r="C19" s="2869">
        <v>2</v>
      </c>
      <c r="D19" s="2870">
        <v>1</v>
      </c>
      <c r="E19" s="2871">
        <v>25</v>
      </c>
      <c r="F19" s="2871">
        <v>880</v>
      </c>
      <c r="G19" s="2871">
        <v>856</v>
      </c>
      <c r="H19" s="2871">
        <v>933</v>
      </c>
      <c r="I19" s="2871">
        <v>0</v>
      </c>
      <c r="J19" s="2897">
        <v>121</v>
      </c>
      <c r="K19" s="2873" t="s">
        <v>6537</v>
      </c>
      <c r="L19" s="537">
        <f t="shared" si="0"/>
        <v>812</v>
      </c>
      <c r="M19" s="537">
        <f t="shared" si="1"/>
        <v>20300</v>
      </c>
      <c r="N19" s="2712" t="s">
        <v>2771</v>
      </c>
      <c r="O19" s="2874" t="s">
        <v>6596</v>
      </c>
      <c r="P19" s="2712" t="s">
        <v>2191</v>
      </c>
      <c r="Q19" s="2875" t="s">
        <v>2771</v>
      </c>
      <c r="R19" s="2876"/>
      <c r="S19" s="2877"/>
      <c r="T19" s="3833"/>
      <c r="U19" s="3834"/>
      <c r="V19" s="3834"/>
      <c r="W19" s="3835"/>
      <c r="X19" s="430" t="str">
        <f t="shared" si="2"/>
        <v/>
      </c>
      <c r="Y19" s="430" t="str">
        <f t="shared" si="3"/>
        <v/>
      </c>
      <c r="Z19" s="430" t="str">
        <f t="shared" si="4"/>
        <v/>
      </c>
      <c r="AA19" s="430" t="str">
        <f t="shared" si="5"/>
        <v/>
      </c>
      <c r="AB19" s="430" t="str">
        <f t="shared" si="6"/>
        <v/>
      </c>
      <c r="AC19" s="430" t="str">
        <f t="shared" si="7"/>
        <v/>
      </c>
      <c r="AD19" s="430" t="str">
        <f t="shared" si="8"/>
        <v/>
      </c>
      <c r="AE19" s="430" t="str">
        <f t="shared" si="9"/>
        <v/>
      </c>
      <c r="AF19" s="430" t="str">
        <f t="shared" si="10"/>
        <v/>
      </c>
      <c r="AG19" s="430" t="str">
        <f t="shared" si="11"/>
        <v/>
      </c>
      <c r="AH19" s="430" t="str">
        <f t="shared" si="12"/>
        <v/>
      </c>
      <c r="AI19" s="430" t="str">
        <f t="shared" si="13"/>
        <v/>
      </c>
      <c r="AJ19" s="430">
        <f t="shared" si="14"/>
        <v>25</v>
      </c>
      <c r="AK19" s="430" t="str">
        <f t="shared" si="15"/>
        <v/>
      </c>
      <c r="AL19" s="430" t="str">
        <f t="shared" si="16"/>
        <v/>
      </c>
      <c r="AM19" s="430" t="str">
        <f t="shared" si="17"/>
        <v/>
      </c>
      <c r="AN19" s="430" t="str">
        <f t="shared" si="18"/>
        <v/>
      </c>
      <c r="AO19" s="430" t="str">
        <f t="shared" si="19"/>
        <v/>
      </c>
      <c r="AP19" s="430" t="str">
        <f t="shared" si="20"/>
        <v/>
      </c>
      <c r="AQ19" s="430" t="str">
        <f t="shared" si="21"/>
        <v/>
      </c>
      <c r="AR19" s="430" t="str">
        <f t="shared" si="22"/>
        <v/>
      </c>
      <c r="AS19" s="430" t="str">
        <f t="shared" si="23"/>
        <v/>
      </c>
      <c r="AT19" s="430" t="str">
        <f t="shared" si="24"/>
        <v/>
      </c>
      <c r="AU19" s="430" t="str">
        <f t="shared" si="25"/>
        <v/>
      </c>
      <c r="AV19" s="430" t="str">
        <f t="shared" si="26"/>
        <v/>
      </c>
      <c r="AW19" s="430" t="str">
        <f t="shared" si="27"/>
        <v/>
      </c>
      <c r="AX19" s="430" t="str">
        <f t="shared" si="28"/>
        <v/>
      </c>
      <c r="AY19" s="430" t="str">
        <f t="shared" si="29"/>
        <v/>
      </c>
      <c r="AZ19" s="430" t="str">
        <f t="shared" si="30"/>
        <v/>
      </c>
      <c r="BA19" s="430" t="str">
        <f t="shared" si="31"/>
        <v/>
      </c>
      <c r="BB19" s="430" t="str">
        <f t="shared" si="32"/>
        <v/>
      </c>
      <c r="BC19" s="430" t="str">
        <f t="shared" si="33"/>
        <v/>
      </c>
      <c r="BD19" s="430" t="str">
        <f t="shared" si="34"/>
        <v/>
      </c>
      <c r="BE19" s="430" t="str">
        <f t="shared" si="35"/>
        <v/>
      </c>
      <c r="BF19" s="430" t="str">
        <f t="shared" si="36"/>
        <v/>
      </c>
      <c r="BG19" s="430" t="str">
        <f t="shared" si="37"/>
        <v/>
      </c>
      <c r="BH19" s="430" t="str">
        <f t="shared" si="38"/>
        <v/>
      </c>
      <c r="BI19" s="430" t="str">
        <f t="shared" si="39"/>
        <v/>
      </c>
      <c r="BJ19" s="430" t="str">
        <f t="shared" si="40"/>
        <v/>
      </c>
      <c r="BK19" s="430" t="str">
        <f t="shared" si="41"/>
        <v/>
      </c>
      <c r="BL19" s="430" t="str">
        <f t="shared" si="42"/>
        <v/>
      </c>
      <c r="BM19" s="430" t="str">
        <f t="shared" si="43"/>
        <v/>
      </c>
      <c r="BN19" s="430" t="str">
        <f t="shared" si="44"/>
        <v/>
      </c>
      <c r="BO19" s="430" t="str">
        <f t="shared" si="45"/>
        <v/>
      </c>
      <c r="BP19" s="430" t="str">
        <f t="shared" si="46"/>
        <v/>
      </c>
      <c r="BQ19" s="430" t="str">
        <f t="shared" si="47"/>
        <v/>
      </c>
      <c r="BR19" s="430" t="str">
        <f t="shared" si="48"/>
        <v/>
      </c>
      <c r="BS19" s="430" t="str">
        <f t="shared" si="49"/>
        <v/>
      </c>
      <c r="BT19" s="430" t="str">
        <f t="shared" si="50"/>
        <v/>
      </c>
      <c r="BU19" s="430" t="str">
        <f t="shared" si="51"/>
        <v/>
      </c>
      <c r="BV19" s="430" t="str">
        <f t="shared" si="52"/>
        <v/>
      </c>
      <c r="BW19" s="430" t="str">
        <f t="shared" si="53"/>
        <v/>
      </c>
      <c r="BX19" s="430" t="str">
        <f t="shared" si="54"/>
        <v/>
      </c>
      <c r="BY19" s="430" t="str">
        <f t="shared" si="55"/>
        <v/>
      </c>
      <c r="BZ19" s="430" t="str">
        <f t="shared" si="56"/>
        <v/>
      </c>
      <c r="CA19" s="430" t="str">
        <f t="shared" si="57"/>
        <v/>
      </c>
      <c r="CB19" s="430" t="str">
        <f t="shared" si="58"/>
        <v/>
      </c>
      <c r="CC19" s="430" t="str">
        <f t="shared" si="59"/>
        <v/>
      </c>
      <c r="CD19" s="430" t="str">
        <f t="shared" si="60"/>
        <v/>
      </c>
      <c r="CE19" s="430" t="str">
        <f t="shared" si="61"/>
        <v/>
      </c>
      <c r="CF19" s="430" t="str">
        <f t="shared" si="62"/>
        <v/>
      </c>
      <c r="CG19" s="430" t="str">
        <f t="shared" si="63"/>
        <v/>
      </c>
      <c r="CH19" s="430">
        <f t="shared" si="64"/>
        <v>25</v>
      </c>
      <c r="CI19" s="430" t="str">
        <f t="shared" si="65"/>
        <v/>
      </c>
      <c r="CJ19" s="430" t="str">
        <f t="shared" si="66"/>
        <v/>
      </c>
      <c r="CK19" s="430" t="str">
        <f t="shared" si="67"/>
        <v/>
      </c>
      <c r="CL19" s="430" t="str">
        <f t="shared" si="68"/>
        <v/>
      </c>
      <c r="CM19" s="430" t="str">
        <f t="shared" si="69"/>
        <v/>
      </c>
      <c r="CN19" s="430" t="str">
        <f t="shared" si="70"/>
        <v/>
      </c>
      <c r="CO19" s="430" t="str">
        <f t="shared" si="71"/>
        <v/>
      </c>
      <c r="CP19" s="430" t="str">
        <f t="shared" si="72"/>
        <v/>
      </c>
      <c r="CQ19" s="430" t="str">
        <f t="shared" si="73"/>
        <v/>
      </c>
      <c r="CR19" s="430" t="str">
        <f t="shared" si="74"/>
        <v/>
      </c>
      <c r="CS19" s="430" t="str">
        <f t="shared" si="75"/>
        <v/>
      </c>
      <c r="CT19" s="430" t="str">
        <f t="shared" si="76"/>
        <v/>
      </c>
      <c r="CU19" s="430" t="str">
        <f t="shared" si="77"/>
        <v/>
      </c>
      <c r="CV19" s="430" t="str">
        <f t="shared" si="78"/>
        <v/>
      </c>
      <c r="CW19" s="430" t="str">
        <f t="shared" si="79"/>
        <v/>
      </c>
      <c r="CX19" s="430" t="str">
        <f t="shared" si="80"/>
        <v/>
      </c>
      <c r="CY19" s="430" t="str">
        <f t="shared" si="81"/>
        <v/>
      </c>
      <c r="CZ19" s="430" t="str">
        <f t="shared" si="82"/>
        <v/>
      </c>
      <c r="DA19" s="430" t="str">
        <f t="shared" si="83"/>
        <v/>
      </c>
      <c r="DB19" s="430" t="str">
        <f t="shared" si="84"/>
        <v/>
      </c>
      <c r="DC19" s="430" t="str">
        <f t="shared" si="85"/>
        <v/>
      </c>
      <c r="DD19" s="430" t="str">
        <f t="shared" si="86"/>
        <v/>
      </c>
      <c r="DE19" s="430" t="str">
        <f t="shared" si="87"/>
        <v/>
      </c>
      <c r="DF19" s="430" t="str">
        <f t="shared" si="88"/>
        <v/>
      </c>
      <c r="DG19" s="430" t="str">
        <f t="shared" si="89"/>
        <v/>
      </c>
      <c r="DH19" s="430" t="str">
        <f t="shared" si="90"/>
        <v/>
      </c>
      <c r="DI19" s="430" t="str">
        <f t="shared" si="91"/>
        <v/>
      </c>
      <c r="DJ19" s="430" t="str">
        <f t="shared" si="92"/>
        <v/>
      </c>
      <c r="DK19" s="430" t="str">
        <f t="shared" si="93"/>
        <v/>
      </c>
      <c r="DL19" s="430" t="str">
        <f t="shared" si="94"/>
        <v/>
      </c>
      <c r="DM19" s="430" t="str">
        <f t="shared" si="95"/>
        <v/>
      </c>
      <c r="DN19" s="430" t="str">
        <f t="shared" si="96"/>
        <v/>
      </c>
      <c r="DO19" s="430" t="str">
        <f t="shared" si="97"/>
        <v/>
      </c>
      <c r="DP19" s="430" t="str">
        <f t="shared" si="98"/>
        <v/>
      </c>
      <c r="DQ19" s="430" t="str">
        <f t="shared" si="99"/>
        <v/>
      </c>
      <c r="DR19" s="430" t="str">
        <f t="shared" si="100"/>
        <v/>
      </c>
      <c r="DS19" s="430" t="str">
        <f t="shared" si="101"/>
        <v/>
      </c>
      <c r="DT19" s="430" t="str">
        <f t="shared" si="102"/>
        <v/>
      </c>
      <c r="DU19" s="430" t="str">
        <f t="shared" si="103"/>
        <v/>
      </c>
      <c r="DV19" s="430" t="str">
        <f t="shared" si="104"/>
        <v/>
      </c>
      <c r="DW19" s="430" t="str">
        <f t="shared" si="105"/>
        <v/>
      </c>
      <c r="DX19" s="430" t="str">
        <f t="shared" si="106"/>
        <v/>
      </c>
      <c r="DY19" s="430" t="str">
        <f t="shared" si="107"/>
        <v/>
      </c>
      <c r="DZ19" s="430" t="str">
        <f t="shared" si="108"/>
        <v/>
      </c>
      <c r="EA19" s="430" t="str">
        <f t="shared" si="109"/>
        <v/>
      </c>
      <c r="EB19" s="430" t="str">
        <f t="shared" si="110"/>
        <v/>
      </c>
      <c r="EC19" s="430" t="str">
        <f t="shared" si="111"/>
        <v/>
      </c>
      <c r="ED19" s="430" t="str">
        <f t="shared" si="112"/>
        <v/>
      </c>
      <c r="EE19" s="430" t="str">
        <f t="shared" si="113"/>
        <v/>
      </c>
      <c r="EF19" s="430" t="str">
        <f t="shared" si="114"/>
        <v/>
      </c>
      <c r="EG19" s="430" t="str">
        <f t="shared" si="115"/>
        <v/>
      </c>
      <c r="EH19" s="430" t="str">
        <f t="shared" si="116"/>
        <v/>
      </c>
      <c r="EI19" s="430" t="str">
        <f t="shared" si="117"/>
        <v/>
      </c>
      <c r="EJ19" s="430" t="str">
        <f t="shared" si="118"/>
        <v/>
      </c>
      <c r="EK19" s="430" t="str">
        <f t="shared" si="119"/>
        <v/>
      </c>
      <c r="EL19" s="430" t="str">
        <f t="shared" si="120"/>
        <v/>
      </c>
      <c r="EM19" s="430" t="str">
        <f t="shared" si="121"/>
        <v/>
      </c>
      <c r="EN19" s="430" t="str">
        <f t="shared" si="122"/>
        <v/>
      </c>
      <c r="EO19" s="430" t="str">
        <f t="shared" si="123"/>
        <v/>
      </c>
      <c r="EP19" s="430" t="str">
        <f t="shared" si="124"/>
        <v/>
      </c>
      <c r="EQ19" s="430" t="str">
        <f t="shared" si="125"/>
        <v/>
      </c>
      <c r="ER19" s="430" t="str">
        <f t="shared" si="126"/>
        <v/>
      </c>
      <c r="ES19" s="430" t="str">
        <f t="shared" si="127"/>
        <v/>
      </c>
      <c r="ET19" s="430" t="str">
        <f t="shared" si="128"/>
        <v/>
      </c>
      <c r="EU19" s="430">
        <f t="shared" si="129"/>
        <v>22000</v>
      </c>
      <c r="EV19" s="430" t="str">
        <f t="shared" si="130"/>
        <v/>
      </c>
      <c r="EW19" s="430" t="str">
        <f t="shared" si="131"/>
        <v/>
      </c>
      <c r="EX19" s="430" t="str">
        <f t="shared" si="132"/>
        <v/>
      </c>
      <c r="EY19" s="430" t="str">
        <f t="shared" si="133"/>
        <v/>
      </c>
      <c r="EZ19" s="430" t="str">
        <f t="shared" si="134"/>
        <v/>
      </c>
      <c r="FA19" s="430" t="str">
        <f t="shared" si="135"/>
        <v/>
      </c>
      <c r="FB19" s="430" t="str">
        <f t="shared" si="136"/>
        <v/>
      </c>
      <c r="FC19" s="430" t="str">
        <f t="shared" si="137"/>
        <v/>
      </c>
      <c r="FD19" s="430" t="str">
        <f t="shared" si="138"/>
        <v/>
      </c>
      <c r="FE19" s="430" t="str">
        <f t="shared" si="139"/>
        <v/>
      </c>
      <c r="FF19" s="430" t="str">
        <f t="shared" si="140"/>
        <v/>
      </c>
      <c r="FG19" s="430" t="str">
        <f t="shared" si="141"/>
        <v/>
      </c>
      <c r="FH19" s="430" t="str">
        <f t="shared" si="142"/>
        <v/>
      </c>
      <c r="FI19" s="430" t="str">
        <f t="shared" si="143"/>
        <v/>
      </c>
      <c r="FJ19" s="430" t="str">
        <f t="shared" si="144"/>
        <v/>
      </c>
      <c r="FK19" s="430" t="str">
        <f t="shared" si="145"/>
        <v/>
      </c>
      <c r="FL19" s="430" t="str">
        <f t="shared" si="146"/>
        <v/>
      </c>
      <c r="FM19" s="430" t="str">
        <f t="shared" si="147"/>
        <v/>
      </c>
      <c r="FN19" s="430" t="str">
        <f t="shared" si="148"/>
        <v/>
      </c>
      <c r="FO19" s="430" t="str">
        <f t="shared" si="149"/>
        <v/>
      </c>
      <c r="FP19" s="430" t="str">
        <f t="shared" si="150"/>
        <v/>
      </c>
      <c r="FQ19" s="430" t="str">
        <f t="shared" si="151"/>
        <v/>
      </c>
      <c r="FR19" s="430" t="str">
        <f t="shared" si="152"/>
        <v/>
      </c>
      <c r="FS19" s="430" t="str">
        <f t="shared" si="153"/>
        <v/>
      </c>
      <c r="FT19" s="430" t="str">
        <f t="shared" si="154"/>
        <v/>
      </c>
      <c r="FU19" s="430" t="str">
        <f t="shared" si="155"/>
        <v/>
      </c>
      <c r="FV19" s="430" t="str">
        <f t="shared" si="156"/>
        <v/>
      </c>
      <c r="FW19" s="430" t="str">
        <f t="shared" si="157"/>
        <v/>
      </c>
      <c r="FX19" s="430" t="str">
        <f t="shared" si="158"/>
        <v/>
      </c>
      <c r="FY19" s="430">
        <f t="shared" si="159"/>
        <v>22000</v>
      </c>
      <c r="FZ19" s="430" t="str">
        <f t="shared" si="160"/>
        <v/>
      </c>
      <c r="GA19" s="430" t="str">
        <f t="shared" si="161"/>
        <v/>
      </c>
      <c r="GB19" s="430" t="str">
        <f t="shared" si="162"/>
        <v/>
      </c>
      <c r="GC19" s="430" t="str">
        <f t="shared" si="163"/>
        <v/>
      </c>
      <c r="GD19" s="430" t="str">
        <f t="shared" si="164"/>
        <v/>
      </c>
      <c r="GE19" s="430" t="str">
        <f t="shared" si="165"/>
        <v/>
      </c>
      <c r="GF19" s="430" t="str">
        <f t="shared" si="166"/>
        <v/>
      </c>
      <c r="GG19" s="430" t="str">
        <f t="shared" si="167"/>
        <v/>
      </c>
      <c r="GH19" s="430" t="str">
        <f t="shared" si="168"/>
        <v/>
      </c>
      <c r="GI19" s="430">
        <f t="shared" si="169"/>
        <v>25</v>
      </c>
      <c r="GJ19" s="430" t="str">
        <f t="shared" si="170"/>
        <v/>
      </c>
      <c r="GK19" s="430" t="str">
        <f t="shared" si="171"/>
        <v/>
      </c>
      <c r="GL19" s="430" t="str">
        <f t="shared" si="172"/>
        <v/>
      </c>
      <c r="GM19" s="430" t="str">
        <f t="shared" si="173"/>
        <v/>
      </c>
      <c r="GN19" s="430" t="str">
        <f t="shared" si="174"/>
        <v/>
      </c>
      <c r="GO19" s="430" t="str">
        <f t="shared" si="175"/>
        <v/>
      </c>
      <c r="GP19" s="430" t="str">
        <f t="shared" si="176"/>
        <v/>
      </c>
      <c r="GQ19" s="430" t="str">
        <f t="shared" si="177"/>
        <v/>
      </c>
      <c r="GR19" s="430" t="str">
        <f t="shared" si="178"/>
        <v/>
      </c>
      <c r="GS19" s="430" t="str">
        <f t="shared" si="179"/>
        <v/>
      </c>
      <c r="GT19" s="430" t="str">
        <f t="shared" si="180"/>
        <v/>
      </c>
      <c r="GU19" s="430" t="str">
        <f t="shared" si="181"/>
        <v/>
      </c>
      <c r="GV19" s="430" t="str">
        <f t="shared" si="182"/>
        <v/>
      </c>
      <c r="GW19" s="430" t="str">
        <f t="shared" si="183"/>
        <v/>
      </c>
      <c r="GX19" s="430" t="str">
        <f t="shared" si="184"/>
        <v/>
      </c>
      <c r="GY19" s="430" t="str">
        <f t="shared" si="185"/>
        <v/>
      </c>
      <c r="GZ19" s="430" t="str">
        <f t="shared" si="186"/>
        <v/>
      </c>
      <c r="HA19" s="430" t="str">
        <f t="shared" si="187"/>
        <v/>
      </c>
      <c r="HB19" s="430" t="str">
        <f t="shared" si="188"/>
        <v/>
      </c>
      <c r="HC19" s="430" t="str">
        <f t="shared" si="189"/>
        <v/>
      </c>
      <c r="HD19" s="430" t="str">
        <f t="shared" si="190"/>
        <v/>
      </c>
      <c r="HE19" s="430" t="str">
        <f t="shared" si="191"/>
        <v/>
      </c>
      <c r="HF19" s="430" t="str">
        <f t="shared" si="192"/>
        <v/>
      </c>
      <c r="HG19" s="430" t="str">
        <f t="shared" si="193"/>
        <v/>
      </c>
      <c r="HH19" s="430" t="str">
        <f t="shared" si="194"/>
        <v/>
      </c>
      <c r="HI19" s="430" t="str">
        <f t="shared" si="195"/>
        <v/>
      </c>
      <c r="HJ19" s="430" t="str">
        <f t="shared" si="196"/>
        <v/>
      </c>
      <c r="HK19" s="430" t="str">
        <f t="shared" si="197"/>
        <v/>
      </c>
      <c r="HL19" s="430" t="str">
        <f t="shared" si="198"/>
        <v/>
      </c>
      <c r="HM19" s="430" t="str">
        <f t="shared" si="199"/>
        <v/>
      </c>
      <c r="HN19" s="430" t="str">
        <f t="shared" si="200"/>
        <v/>
      </c>
      <c r="HO19" s="430" t="str">
        <f t="shared" si="201"/>
        <v/>
      </c>
      <c r="HP19" s="430" t="str">
        <f t="shared" si="202"/>
        <v/>
      </c>
      <c r="HQ19" s="430" t="str">
        <f t="shared" si="203"/>
        <v/>
      </c>
      <c r="HR19" s="430" t="str">
        <f t="shared" si="204"/>
        <v/>
      </c>
      <c r="HS19" s="430" t="str">
        <f t="shared" si="205"/>
        <v/>
      </c>
      <c r="HT19" s="430" t="str">
        <f t="shared" si="206"/>
        <v/>
      </c>
      <c r="HU19" s="430" t="str">
        <f t="shared" si="207"/>
        <v/>
      </c>
      <c r="HV19" s="430" t="str">
        <f t="shared" si="208"/>
        <v/>
      </c>
      <c r="HW19" s="430" t="str">
        <f t="shared" si="209"/>
        <v/>
      </c>
      <c r="HX19" s="430" t="str">
        <f t="shared" si="210"/>
        <v/>
      </c>
      <c r="HY19" s="430" t="str">
        <f t="shared" si="211"/>
        <v/>
      </c>
      <c r="HZ19" s="1814" t="str">
        <f t="shared" si="212"/>
        <v/>
      </c>
      <c r="IA19" s="1814" t="str">
        <f t="shared" si="213"/>
        <v/>
      </c>
      <c r="IB19" s="1814">
        <f t="shared" si="214"/>
        <v>25</v>
      </c>
      <c r="IC19" s="1814" t="str">
        <f t="shared" si="215"/>
        <v/>
      </c>
      <c r="ID19" s="1814" t="str">
        <f t="shared" si="216"/>
        <v/>
      </c>
      <c r="IE19" s="1814" t="str">
        <f t="shared" si="217"/>
        <v/>
      </c>
      <c r="IF19" s="1814" t="str">
        <f t="shared" si="218"/>
        <v/>
      </c>
      <c r="IG19" s="1814" t="str">
        <f t="shared" si="219"/>
        <v/>
      </c>
      <c r="IH19" s="1814" t="str">
        <f t="shared" si="220"/>
        <v/>
      </c>
      <c r="II19" s="1814" t="str">
        <f t="shared" si="221"/>
        <v/>
      </c>
      <c r="IJ19" s="1814" t="str">
        <f t="shared" si="222"/>
        <v/>
      </c>
      <c r="IK19" s="1814" t="str">
        <f t="shared" si="223"/>
        <v/>
      </c>
      <c r="IL19" s="1814" t="str">
        <f t="shared" si="224"/>
        <v/>
      </c>
      <c r="IM19" s="1814" t="str">
        <f t="shared" si="225"/>
        <v/>
      </c>
      <c r="IN19" s="1814" t="str">
        <f t="shared" si="226"/>
        <v/>
      </c>
      <c r="IO19" s="1814" t="str">
        <f t="shared" si="227"/>
        <v/>
      </c>
      <c r="IP19" s="1814" t="str">
        <f t="shared" si="228"/>
        <v/>
      </c>
      <c r="IQ19" s="1814" t="str">
        <f t="shared" si="229"/>
        <v/>
      </c>
      <c r="IR19" s="1814" t="str">
        <f t="shared" si="230"/>
        <v/>
      </c>
      <c r="IS19" s="1814" t="str">
        <f t="shared" si="231"/>
        <v/>
      </c>
      <c r="IT19" s="1814" t="str">
        <f t="shared" si="232"/>
        <v/>
      </c>
      <c r="IU19" s="1814" t="str">
        <f t="shared" si="233"/>
        <v/>
      </c>
      <c r="IV19" s="1814" t="str">
        <f t="shared" si="234"/>
        <v/>
      </c>
      <c r="IW19" s="1814" t="str">
        <f t="shared" si="235"/>
        <v/>
      </c>
      <c r="IX19" s="1814" t="str">
        <f t="shared" si="236"/>
        <v/>
      </c>
      <c r="IY19" s="1814" t="str">
        <f t="shared" si="237"/>
        <v/>
      </c>
      <c r="IZ19" s="1814" t="str">
        <f t="shared" si="238"/>
        <v/>
      </c>
      <c r="JA19" s="1814" t="str">
        <f t="shared" si="239"/>
        <v/>
      </c>
      <c r="JB19" s="1814" t="str">
        <f t="shared" si="240"/>
        <v/>
      </c>
      <c r="JC19" s="1814" t="str">
        <f t="shared" si="241"/>
        <v/>
      </c>
      <c r="JD19" s="1814" t="str">
        <f t="shared" si="242"/>
        <v/>
      </c>
      <c r="JE19" s="1814" t="str">
        <f t="shared" si="243"/>
        <v/>
      </c>
      <c r="JF19" s="1814" t="str">
        <f t="shared" si="244"/>
        <v/>
      </c>
      <c r="JG19" s="1814" t="str">
        <f t="shared" si="245"/>
        <v/>
      </c>
      <c r="JH19" s="1814" t="str">
        <f t="shared" si="246"/>
        <v/>
      </c>
      <c r="JI19" s="1814" t="str">
        <f t="shared" si="247"/>
        <v/>
      </c>
      <c r="JJ19" s="1814" t="str">
        <f t="shared" si="248"/>
        <v/>
      </c>
      <c r="JK19" s="1814" t="str">
        <f t="shared" si="249"/>
        <v/>
      </c>
      <c r="JL19" s="1814" t="str">
        <f t="shared" si="250"/>
        <v/>
      </c>
      <c r="JM19" s="1814" t="str">
        <f t="shared" si="251"/>
        <v/>
      </c>
      <c r="JN19" s="1814" t="str">
        <f t="shared" si="252"/>
        <v/>
      </c>
      <c r="JO19" s="1814" t="str">
        <f t="shared" si="253"/>
        <v/>
      </c>
      <c r="JP19" s="1814" t="str">
        <f t="shared" si="254"/>
        <v/>
      </c>
      <c r="JQ19" s="1814" t="str">
        <f t="shared" si="255"/>
        <v/>
      </c>
      <c r="JR19" s="1814" t="str">
        <f t="shared" si="256"/>
        <v/>
      </c>
      <c r="JS19" s="1814" t="str">
        <f t="shared" si="257"/>
        <v/>
      </c>
      <c r="JT19" s="1814" t="str">
        <f t="shared" si="258"/>
        <v/>
      </c>
      <c r="JU19" s="1814">
        <f t="shared" si="259"/>
        <v>25</v>
      </c>
      <c r="JV19" s="1814" t="str">
        <f t="shared" si="260"/>
        <v/>
      </c>
      <c r="JW19" s="1814" t="str">
        <f t="shared" si="261"/>
        <v/>
      </c>
      <c r="JX19" s="1814" t="str">
        <f t="shared" si="262"/>
        <v/>
      </c>
      <c r="JY19" s="1814" t="str">
        <f t="shared" si="263"/>
        <v/>
      </c>
      <c r="JZ19" s="1814" t="str">
        <f t="shared" si="264"/>
        <v/>
      </c>
      <c r="KA19" s="1814" t="str">
        <f t="shared" si="265"/>
        <v/>
      </c>
      <c r="KB19" s="1814" t="str">
        <f t="shared" si="266"/>
        <v/>
      </c>
      <c r="KC19" s="1814" t="str">
        <f t="shared" si="267"/>
        <v/>
      </c>
      <c r="KD19" s="1814" t="str">
        <f t="shared" si="268"/>
        <v/>
      </c>
      <c r="KE19" s="1814" t="str">
        <f t="shared" si="269"/>
        <v/>
      </c>
      <c r="KF19" s="1814" t="str">
        <f t="shared" si="270"/>
        <v/>
      </c>
      <c r="KG19" s="1814" t="str">
        <f t="shared" si="271"/>
        <v/>
      </c>
      <c r="KH19" s="1814" t="str">
        <f t="shared" si="272"/>
        <v/>
      </c>
      <c r="KI19" s="1814" t="str">
        <f t="shared" si="273"/>
        <v/>
      </c>
      <c r="KJ19" s="1814" t="str">
        <f t="shared" si="274"/>
        <v/>
      </c>
      <c r="KK19" s="1814" t="str">
        <f t="shared" si="275"/>
        <v/>
      </c>
      <c r="KL19" s="1814" t="str">
        <f t="shared" si="276"/>
        <v/>
      </c>
      <c r="KM19" s="1814" t="str">
        <f t="shared" si="277"/>
        <v/>
      </c>
      <c r="KN19" s="1814" t="str">
        <f t="shared" si="278"/>
        <v/>
      </c>
      <c r="KO19" s="1814" t="str">
        <f t="shared" si="279"/>
        <v/>
      </c>
      <c r="KP19" s="1814" t="str">
        <f t="shared" si="280"/>
        <v/>
      </c>
      <c r="KQ19" s="1814" t="str">
        <f t="shared" si="281"/>
        <v/>
      </c>
      <c r="KR19" s="1814" t="str">
        <f t="shared" si="282"/>
        <v/>
      </c>
      <c r="KS19" s="1814" t="str">
        <f t="shared" si="283"/>
        <v/>
      </c>
      <c r="KT19" s="1814" t="str">
        <f t="shared" si="284"/>
        <v/>
      </c>
      <c r="KU19" s="1814" t="str">
        <f t="shared" si="285"/>
        <v/>
      </c>
      <c r="KV19" s="1814" t="str">
        <f t="shared" si="286"/>
        <v/>
      </c>
      <c r="KW19" s="1814" t="str">
        <f t="shared" si="287"/>
        <v/>
      </c>
      <c r="KX19" s="1814" t="str">
        <f t="shared" si="288"/>
        <v/>
      </c>
      <c r="KY19" s="1814" t="str">
        <f t="shared" si="289"/>
        <v/>
      </c>
      <c r="KZ19" s="1814" t="str">
        <f t="shared" si="290"/>
        <v/>
      </c>
      <c r="LA19" s="1814" t="str">
        <f t="shared" si="291"/>
        <v/>
      </c>
      <c r="LB19" s="1814" t="str">
        <f t="shared" si="292"/>
        <v/>
      </c>
      <c r="LC19" s="1814" t="str">
        <f t="shared" si="293"/>
        <v/>
      </c>
      <c r="LD19" s="1814" t="str">
        <f t="shared" si="294"/>
        <v/>
      </c>
      <c r="LE19" s="1814" t="str">
        <f t="shared" si="295"/>
        <v/>
      </c>
      <c r="LF19" s="1814" t="str">
        <f t="shared" si="296"/>
        <v/>
      </c>
      <c r="LG19" s="1786" t="str">
        <f t="shared" si="297"/>
        <v/>
      </c>
      <c r="LH19" s="1786" t="str">
        <f t="shared" si="298"/>
        <v/>
      </c>
      <c r="LI19" s="1786" t="str">
        <f t="shared" si="299"/>
        <v/>
      </c>
      <c r="LJ19" s="1786" t="str">
        <f t="shared" si="300"/>
        <v/>
      </c>
      <c r="LK19" s="1786" t="str">
        <f t="shared" si="301"/>
        <v/>
      </c>
      <c r="LL19" s="430" t="str">
        <f t="shared" si="302"/>
        <v/>
      </c>
      <c r="LM19" s="430" t="str">
        <f t="shared" si="303"/>
        <v/>
      </c>
      <c r="LN19" s="430" t="str">
        <f t="shared" si="304"/>
        <v/>
      </c>
      <c r="LO19" s="430" t="str">
        <f t="shared" si="305"/>
        <v/>
      </c>
      <c r="LP19" s="430" t="str">
        <f t="shared" si="306"/>
        <v/>
      </c>
      <c r="LQ19" s="430" t="str">
        <f t="shared" si="307"/>
        <v/>
      </c>
      <c r="LR19" s="430" t="str">
        <f t="shared" si="308"/>
        <v/>
      </c>
      <c r="LS19" s="430" t="str">
        <f t="shared" si="309"/>
        <v/>
      </c>
      <c r="LT19" s="430" t="str">
        <f t="shared" si="310"/>
        <v/>
      </c>
      <c r="LU19" s="430" t="str">
        <f t="shared" si="311"/>
        <v/>
      </c>
      <c r="LV19" s="430" t="str">
        <f t="shared" si="312"/>
        <v/>
      </c>
      <c r="LW19" s="430" t="str">
        <f t="shared" si="313"/>
        <v/>
      </c>
      <c r="LX19" s="430" t="str">
        <f t="shared" si="314"/>
        <v/>
      </c>
      <c r="LY19" s="430" t="str">
        <f t="shared" si="315"/>
        <v/>
      </c>
      <c r="LZ19" s="430" t="str">
        <f t="shared" si="316"/>
        <v/>
      </c>
      <c r="MA19" s="430" t="str">
        <f t="shared" si="317"/>
        <v/>
      </c>
      <c r="MB19" s="430" t="str">
        <f t="shared" si="318"/>
        <v/>
      </c>
      <c r="MC19" s="430" t="str">
        <f t="shared" si="319"/>
        <v/>
      </c>
      <c r="MD19" s="430" t="str">
        <f t="shared" si="320"/>
        <v/>
      </c>
      <c r="ME19" s="430" t="str">
        <f t="shared" si="321"/>
        <v/>
      </c>
      <c r="MF19" s="1815">
        <f t="shared" si="328"/>
        <v>0</v>
      </c>
      <c r="MG19" s="1815">
        <f t="shared" si="329"/>
        <v>0</v>
      </c>
      <c r="MH19" s="1815">
        <f t="shared" si="330"/>
        <v>0</v>
      </c>
      <c r="MI19" s="1815">
        <f t="shared" si="331"/>
        <v>0</v>
      </c>
      <c r="MJ19" s="1815">
        <f t="shared" si="332"/>
        <v>0</v>
      </c>
      <c r="MK19" s="1815">
        <f t="shared" si="333"/>
        <v>0</v>
      </c>
      <c r="ML19" s="1815">
        <f t="shared" si="334"/>
        <v>0</v>
      </c>
      <c r="MM19" s="1815">
        <f t="shared" si="335"/>
        <v>25</v>
      </c>
      <c r="MN19" s="1815">
        <f t="shared" si="336"/>
        <v>0</v>
      </c>
      <c r="MO19" s="1815">
        <f t="shared" si="337"/>
        <v>0</v>
      </c>
      <c r="MP19" s="1815">
        <f t="shared" si="322"/>
        <v>0</v>
      </c>
      <c r="MQ19" s="1815">
        <f t="shared" si="323"/>
        <v>0</v>
      </c>
      <c r="MR19" s="1815">
        <f t="shared" si="324"/>
        <v>0</v>
      </c>
      <c r="MS19" s="1815">
        <f t="shared" si="325"/>
        <v>0</v>
      </c>
      <c r="MT19" s="1815">
        <f t="shared" si="326"/>
        <v>0</v>
      </c>
      <c r="NP19" s="2807" t="s">
        <v>6725</v>
      </c>
    </row>
    <row r="20" spans="1:380" ht="13.9" customHeight="1">
      <c r="A20" s="108" t="str">
        <f t="shared" si="327"/>
        <v/>
      </c>
      <c r="B20" s="2896">
        <v>60</v>
      </c>
      <c r="C20" s="2869">
        <v>3</v>
      </c>
      <c r="D20" s="2870">
        <v>2</v>
      </c>
      <c r="E20" s="2871">
        <v>7</v>
      </c>
      <c r="F20" s="2871">
        <v>1180</v>
      </c>
      <c r="G20" s="2871">
        <v>989</v>
      </c>
      <c r="H20" s="2871">
        <v>1244</v>
      </c>
      <c r="I20" s="2871">
        <v>0</v>
      </c>
      <c r="J20" s="2897">
        <v>149</v>
      </c>
      <c r="K20" s="2873" t="s">
        <v>6537</v>
      </c>
      <c r="L20" s="537">
        <f t="shared" si="0"/>
        <v>1095</v>
      </c>
      <c r="M20" s="537">
        <f t="shared" si="1"/>
        <v>7665</v>
      </c>
      <c r="N20" s="2712" t="s">
        <v>2771</v>
      </c>
      <c r="O20" s="2874" t="s">
        <v>6596</v>
      </c>
      <c r="P20" s="2712" t="s">
        <v>2191</v>
      </c>
      <c r="Q20" s="2875" t="s">
        <v>2771</v>
      </c>
      <c r="R20" s="2876"/>
      <c r="S20" s="2877"/>
      <c r="T20" s="3833"/>
      <c r="U20" s="3834"/>
      <c r="V20" s="3834"/>
      <c r="W20" s="3835"/>
      <c r="X20" s="430" t="str">
        <f t="shared" si="2"/>
        <v/>
      </c>
      <c r="Y20" s="430" t="str">
        <f t="shared" si="3"/>
        <v/>
      </c>
      <c r="Z20" s="430" t="str">
        <f t="shared" si="4"/>
        <v/>
      </c>
      <c r="AA20" s="430" t="str">
        <f t="shared" si="5"/>
        <v/>
      </c>
      <c r="AB20" s="430" t="str">
        <f t="shared" si="6"/>
        <v/>
      </c>
      <c r="AC20" s="430" t="str">
        <f t="shared" si="7"/>
        <v/>
      </c>
      <c r="AD20" s="430" t="str">
        <f t="shared" si="8"/>
        <v/>
      </c>
      <c r="AE20" s="430" t="str">
        <f t="shared" si="9"/>
        <v/>
      </c>
      <c r="AF20" s="430" t="str">
        <f t="shared" si="10"/>
        <v/>
      </c>
      <c r="AG20" s="430" t="str">
        <f t="shared" si="11"/>
        <v/>
      </c>
      <c r="AH20" s="430" t="str">
        <f t="shared" si="12"/>
        <v/>
      </c>
      <c r="AI20" s="430" t="str">
        <f t="shared" si="13"/>
        <v/>
      </c>
      <c r="AJ20" s="430" t="str">
        <f t="shared" si="14"/>
        <v/>
      </c>
      <c r="AK20" s="430">
        <f t="shared" si="15"/>
        <v>7</v>
      </c>
      <c r="AL20" s="430" t="str">
        <f t="shared" si="16"/>
        <v/>
      </c>
      <c r="AM20" s="430" t="str">
        <f t="shared" si="17"/>
        <v/>
      </c>
      <c r="AN20" s="430" t="str">
        <f t="shared" si="18"/>
        <v/>
      </c>
      <c r="AO20" s="430" t="str">
        <f t="shared" si="19"/>
        <v/>
      </c>
      <c r="AP20" s="430" t="str">
        <f t="shared" si="20"/>
        <v/>
      </c>
      <c r="AQ20" s="430" t="str">
        <f t="shared" si="21"/>
        <v/>
      </c>
      <c r="AR20" s="430" t="str">
        <f t="shared" si="22"/>
        <v/>
      </c>
      <c r="AS20" s="430" t="str">
        <f t="shared" si="23"/>
        <v/>
      </c>
      <c r="AT20" s="430" t="str">
        <f t="shared" si="24"/>
        <v/>
      </c>
      <c r="AU20" s="430" t="str">
        <f t="shared" si="25"/>
        <v/>
      </c>
      <c r="AV20" s="430" t="str">
        <f t="shared" si="26"/>
        <v/>
      </c>
      <c r="AW20" s="430" t="str">
        <f t="shared" si="27"/>
        <v/>
      </c>
      <c r="AX20" s="430" t="str">
        <f t="shared" si="28"/>
        <v/>
      </c>
      <c r="AY20" s="430" t="str">
        <f t="shared" si="29"/>
        <v/>
      </c>
      <c r="AZ20" s="430" t="str">
        <f t="shared" si="30"/>
        <v/>
      </c>
      <c r="BA20" s="430" t="str">
        <f t="shared" si="31"/>
        <v/>
      </c>
      <c r="BB20" s="430" t="str">
        <f t="shared" si="32"/>
        <v/>
      </c>
      <c r="BC20" s="430" t="str">
        <f t="shared" si="33"/>
        <v/>
      </c>
      <c r="BD20" s="430" t="str">
        <f t="shared" si="34"/>
        <v/>
      </c>
      <c r="BE20" s="430" t="str">
        <f t="shared" si="35"/>
        <v/>
      </c>
      <c r="BF20" s="430" t="str">
        <f t="shared" si="36"/>
        <v/>
      </c>
      <c r="BG20" s="430" t="str">
        <f t="shared" si="37"/>
        <v/>
      </c>
      <c r="BH20" s="430" t="str">
        <f t="shared" si="38"/>
        <v/>
      </c>
      <c r="BI20" s="430" t="str">
        <f t="shared" si="39"/>
        <v/>
      </c>
      <c r="BJ20" s="430" t="str">
        <f t="shared" si="40"/>
        <v/>
      </c>
      <c r="BK20" s="430" t="str">
        <f t="shared" si="41"/>
        <v/>
      </c>
      <c r="BL20" s="430" t="str">
        <f t="shared" si="42"/>
        <v/>
      </c>
      <c r="BM20" s="430" t="str">
        <f t="shared" si="43"/>
        <v/>
      </c>
      <c r="BN20" s="430" t="str">
        <f t="shared" si="44"/>
        <v/>
      </c>
      <c r="BO20" s="430" t="str">
        <f t="shared" si="45"/>
        <v/>
      </c>
      <c r="BP20" s="430" t="str">
        <f t="shared" si="46"/>
        <v/>
      </c>
      <c r="BQ20" s="430" t="str">
        <f t="shared" si="47"/>
        <v/>
      </c>
      <c r="BR20" s="430" t="str">
        <f t="shared" si="48"/>
        <v/>
      </c>
      <c r="BS20" s="430" t="str">
        <f t="shared" si="49"/>
        <v/>
      </c>
      <c r="BT20" s="430" t="str">
        <f t="shared" si="50"/>
        <v/>
      </c>
      <c r="BU20" s="430" t="str">
        <f t="shared" si="51"/>
        <v/>
      </c>
      <c r="BV20" s="430" t="str">
        <f t="shared" si="52"/>
        <v/>
      </c>
      <c r="BW20" s="430" t="str">
        <f t="shared" si="53"/>
        <v/>
      </c>
      <c r="BX20" s="430" t="str">
        <f t="shared" si="54"/>
        <v/>
      </c>
      <c r="BY20" s="430" t="str">
        <f t="shared" si="55"/>
        <v/>
      </c>
      <c r="BZ20" s="430" t="str">
        <f t="shared" si="56"/>
        <v/>
      </c>
      <c r="CA20" s="430" t="str">
        <f t="shared" si="57"/>
        <v/>
      </c>
      <c r="CB20" s="430" t="str">
        <f t="shared" si="58"/>
        <v/>
      </c>
      <c r="CC20" s="430" t="str">
        <f t="shared" si="59"/>
        <v/>
      </c>
      <c r="CD20" s="430" t="str">
        <f t="shared" si="60"/>
        <v/>
      </c>
      <c r="CE20" s="430" t="str">
        <f t="shared" si="61"/>
        <v/>
      </c>
      <c r="CF20" s="430" t="str">
        <f t="shared" si="62"/>
        <v/>
      </c>
      <c r="CG20" s="430" t="str">
        <f t="shared" si="63"/>
        <v/>
      </c>
      <c r="CH20" s="430" t="str">
        <f t="shared" si="64"/>
        <v/>
      </c>
      <c r="CI20" s="430">
        <f t="shared" si="65"/>
        <v>7</v>
      </c>
      <c r="CJ20" s="430" t="str">
        <f t="shared" si="66"/>
        <v/>
      </c>
      <c r="CK20" s="430" t="str">
        <f t="shared" si="67"/>
        <v/>
      </c>
      <c r="CL20" s="430" t="str">
        <f t="shared" si="68"/>
        <v/>
      </c>
      <c r="CM20" s="430" t="str">
        <f t="shared" si="69"/>
        <v/>
      </c>
      <c r="CN20" s="430" t="str">
        <f t="shared" si="70"/>
        <v/>
      </c>
      <c r="CO20" s="430" t="str">
        <f t="shared" si="71"/>
        <v/>
      </c>
      <c r="CP20" s="430" t="str">
        <f t="shared" si="72"/>
        <v/>
      </c>
      <c r="CQ20" s="430" t="str">
        <f t="shared" si="73"/>
        <v/>
      </c>
      <c r="CR20" s="430" t="str">
        <f t="shared" si="74"/>
        <v/>
      </c>
      <c r="CS20" s="430" t="str">
        <f t="shared" si="75"/>
        <v/>
      </c>
      <c r="CT20" s="430" t="str">
        <f t="shared" si="76"/>
        <v/>
      </c>
      <c r="CU20" s="430" t="str">
        <f t="shared" si="77"/>
        <v/>
      </c>
      <c r="CV20" s="430" t="str">
        <f t="shared" si="78"/>
        <v/>
      </c>
      <c r="CW20" s="430" t="str">
        <f t="shared" si="79"/>
        <v/>
      </c>
      <c r="CX20" s="430" t="str">
        <f t="shared" si="80"/>
        <v/>
      </c>
      <c r="CY20" s="430" t="str">
        <f t="shared" si="81"/>
        <v/>
      </c>
      <c r="CZ20" s="430" t="str">
        <f t="shared" si="82"/>
        <v/>
      </c>
      <c r="DA20" s="430" t="str">
        <f t="shared" si="83"/>
        <v/>
      </c>
      <c r="DB20" s="430" t="str">
        <f t="shared" si="84"/>
        <v/>
      </c>
      <c r="DC20" s="430" t="str">
        <f t="shared" si="85"/>
        <v/>
      </c>
      <c r="DD20" s="430" t="str">
        <f t="shared" si="86"/>
        <v/>
      </c>
      <c r="DE20" s="430" t="str">
        <f t="shared" si="87"/>
        <v/>
      </c>
      <c r="DF20" s="430" t="str">
        <f t="shared" si="88"/>
        <v/>
      </c>
      <c r="DG20" s="430" t="str">
        <f t="shared" si="89"/>
        <v/>
      </c>
      <c r="DH20" s="430" t="str">
        <f t="shared" si="90"/>
        <v/>
      </c>
      <c r="DI20" s="430" t="str">
        <f t="shared" si="91"/>
        <v/>
      </c>
      <c r="DJ20" s="430" t="str">
        <f t="shared" si="92"/>
        <v/>
      </c>
      <c r="DK20" s="430" t="str">
        <f t="shared" si="93"/>
        <v/>
      </c>
      <c r="DL20" s="430" t="str">
        <f t="shared" si="94"/>
        <v/>
      </c>
      <c r="DM20" s="430" t="str">
        <f t="shared" si="95"/>
        <v/>
      </c>
      <c r="DN20" s="430" t="str">
        <f t="shared" si="96"/>
        <v/>
      </c>
      <c r="DO20" s="430" t="str">
        <f t="shared" si="97"/>
        <v/>
      </c>
      <c r="DP20" s="430" t="str">
        <f t="shared" si="98"/>
        <v/>
      </c>
      <c r="DQ20" s="430" t="str">
        <f t="shared" si="99"/>
        <v/>
      </c>
      <c r="DR20" s="430" t="str">
        <f t="shared" si="100"/>
        <v/>
      </c>
      <c r="DS20" s="430" t="str">
        <f t="shared" si="101"/>
        <v/>
      </c>
      <c r="DT20" s="430" t="str">
        <f t="shared" si="102"/>
        <v/>
      </c>
      <c r="DU20" s="430" t="str">
        <f t="shared" si="103"/>
        <v/>
      </c>
      <c r="DV20" s="430" t="str">
        <f t="shared" si="104"/>
        <v/>
      </c>
      <c r="DW20" s="430" t="str">
        <f t="shared" si="105"/>
        <v/>
      </c>
      <c r="DX20" s="430" t="str">
        <f t="shared" si="106"/>
        <v/>
      </c>
      <c r="DY20" s="430" t="str">
        <f t="shared" si="107"/>
        <v/>
      </c>
      <c r="DZ20" s="430" t="str">
        <f t="shared" si="108"/>
        <v/>
      </c>
      <c r="EA20" s="430" t="str">
        <f t="shared" si="109"/>
        <v/>
      </c>
      <c r="EB20" s="430" t="str">
        <f t="shared" si="110"/>
        <v/>
      </c>
      <c r="EC20" s="430" t="str">
        <f t="shared" si="111"/>
        <v/>
      </c>
      <c r="ED20" s="430" t="str">
        <f t="shared" si="112"/>
        <v/>
      </c>
      <c r="EE20" s="430" t="str">
        <f t="shared" si="113"/>
        <v/>
      </c>
      <c r="EF20" s="430" t="str">
        <f t="shared" si="114"/>
        <v/>
      </c>
      <c r="EG20" s="430" t="str">
        <f t="shared" si="115"/>
        <v/>
      </c>
      <c r="EH20" s="430" t="str">
        <f t="shared" si="116"/>
        <v/>
      </c>
      <c r="EI20" s="430" t="str">
        <f t="shared" si="117"/>
        <v/>
      </c>
      <c r="EJ20" s="430" t="str">
        <f t="shared" si="118"/>
        <v/>
      </c>
      <c r="EK20" s="430" t="str">
        <f t="shared" si="119"/>
        <v/>
      </c>
      <c r="EL20" s="430" t="str">
        <f t="shared" si="120"/>
        <v/>
      </c>
      <c r="EM20" s="430" t="str">
        <f t="shared" si="121"/>
        <v/>
      </c>
      <c r="EN20" s="430" t="str">
        <f t="shared" si="122"/>
        <v/>
      </c>
      <c r="EO20" s="430" t="str">
        <f t="shared" si="123"/>
        <v/>
      </c>
      <c r="EP20" s="430" t="str">
        <f t="shared" si="124"/>
        <v/>
      </c>
      <c r="EQ20" s="430" t="str">
        <f t="shared" si="125"/>
        <v/>
      </c>
      <c r="ER20" s="430" t="str">
        <f t="shared" si="126"/>
        <v/>
      </c>
      <c r="ES20" s="430" t="str">
        <f t="shared" si="127"/>
        <v/>
      </c>
      <c r="ET20" s="430" t="str">
        <f t="shared" si="128"/>
        <v/>
      </c>
      <c r="EU20" s="430" t="str">
        <f t="shared" si="129"/>
        <v/>
      </c>
      <c r="EV20" s="430">
        <f t="shared" si="130"/>
        <v>8260</v>
      </c>
      <c r="EW20" s="430" t="str">
        <f t="shared" si="131"/>
        <v/>
      </c>
      <c r="EX20" s="430" t="str">
        <f t="shared" si="132"/>
        <v/>
      </c>
      <c r="EY20" s="430" t="str">
        <f t="shared" si="133"/>
        <v/>
      </c>
      <c r="EZ20" s="430" t="str">
        <f t="shared" si="134"/>
        <v/>
      </c>
      <c r="FA20" s="430" t="str">
        <f t="shared" si="135"/>
        <v/>
      </c>
      <c r="FB20" s="430" t="str">
        <f t="shared" si="136"/>
        <v/>
      </c>
      <c r="FC20" s="430" t="str">
        <f t="shared" si="137"/>
        <v/>
      </c>
      <c r="FD20" s="430" t="str">
        <f t="shared" si="138"/>
        <v/>
      </c>
      <c r="FE20" s="430" t="str">
        <f t="shared" si="139"/>
        <v/>
      </c>
      <c r="FF20" s="430" t="str">
        <f t="shared" si="140"/>
        <v/>
      </c>
      <c r="FG20" s="430" t="str">
        <f t="shared" si="141"/>
        <v/>
      </c>
      <c r="FH20" s="430" t="str">
        <f t="shared" si="142"/>
        <v/>
      </c>
      <c r="FI20" s="430" t="str">
        <f t="shared" si="143"/>
        <v/>
      </c>
      <c r="FJ20" s="430" t="str">
        <f t="shared" si="144"/>
        <v/>
      </c>
      <c r="FK20" s="430" t="str">
        <f t="shared" si="145"/>
        <v/>
      </c>
      <c r="FL20" s="430" t="str">
        <f t="shared" si="146"/>
        <v/>
      </c>
      <c r="FM20" s="430" t="str">
        <f t="shared" si="147"/>
        <v/>
      </c>
      <c r="FN20" s="430" t="str">
        <f t="shared" si="148"/>
        <v/>
      </c>
      <c r="FO20" s="430" t="str">
        <f t="shared" si="149"/>
        <v/>
      </c>
      <c r="FP20" s="430" t="str">
        <f t="shared" si="150"/>
        <v/>
      </c>
      <c r="FQ20" s="430" t="str">
        <f t="shared" si="151"/>
        <v/>
      </c>
      <c r="FR20" s="430" t="str">
        <f t="shared" si="152"/>
        <v/>
      </c>
      <c r="FS20" s="430" t="str">
        <f t="shared" si="153"/>
        <v/>
      </c>
      <c r="FT20" s="430" t="str">
        <f t="shared" si="154"/>
        <v/>
      </c>
      <c r="FU20" s="430" t="str">
        <f t="shared" si="155"/>
        <v/>
      </c>
      <c r="FV20" s="430" t="str">
        <f t="shared" si="156"/>
        <v/>
      </c>
      <c r="FW20" s="430" t="str">
        <f t="shared" si="157"/>
        <v/>
      </c>
      <c r="FX20" s="430" t="str">
        <f t="shared" si="158"/>
        <v/>
      </c>
      <c r="FY20" s="430" t="str">
        <f t="shared" si="159"/>
        <v/>
      </c>
      <c r="FZ20" s="430">
        <f t="shared" si="160"/>
        <v>8260</v>
      </c>
      <c r="GA20" s="430" t="str">
        <f t="shared" si="161"/>
        <v/>
      </c>
      <c r="GB20" s="430" t="str">
        <f t="shared" si="162"/>
        <v/>
      </c>
      <c r="GC20" s="430" t="str">
        <f t="shared" si="163"/>
        <v/>
      </c>
      <c r="GD20" s="430" t="str">
        <f t="shared" si="164"/>
        <v/>
      </c>
      <c r="GE20" s="430" t="str">
        <f t="shared" si="165"/>
        <v/>
      </c>
      <c r="GF20" s="430" t="str">
        <f t="shared" si="166"/>
        <v/>
      </c>
      <c r="GG20" s="430" t="str">
        <f t="shared" si="167"/>
        <v/>
      </c>
      <c r="GH20" s="430" t="str">
        <f t="shared" si="168"/>
        <v/>
      </c>
      <c r="GI20" s="430" t="str">
        <f t="shared" si="169"/>
        <v/>
      </c>
      <c r="GJ20" s="430">
        <f t="shared" si="170"/>
        <v>7</v>
      </c>
      <c r="GK20" s="430" t="str">
        <f t="shared" si="171"/>
        <v/>
      </c>
      <c r="GL20" s="430" t="str">
        <f t="shared" si="172"/>
        <v/>
      </c>
      <c r="GM20" s="430" t="str">
        <f t="shared" si="173"/>
        <v/>
      </c>
      <c r="GN20" s="430" t="str">
        <f t="shared" si="174"/>
        <v/>
      </c>
      <c r="GO20" s="430" t="str">
        <f t="shared" si="175"/>
        <v/>
      </c>
      <c r="GP20" s="430" t="str">
        <f t="shared" si="176"/>
        <v/>
      </c>
      <c r="GQ20" s="430" t="str">
        <f t="shared" si="177"/>
        <v/>
      </c>
      <c r="GR20" s="430" t="str">
        <f t="shared" si="178"/>
        <v/>
      </c>
      <c r="GS20" s="430" t="str">
        <f t="shared" si="179"/>
        <v/>
      </c>
      <c r="GT20" s="430" t="str">
        <f t="shared" si="180"/>
        <v/>
      </c>
      <c r="GU20" s="430" t="str">
        <f t="shared" si="181"/>
        <v/>
      </c>
      <c r="GV20" s="430" t="str">
        <f t="shared" si="182"/>
        <v/>
      </c>
      <c r="GW20" s="430" t="str">
        <f t="shared" si="183"/>
        <v/>
      </c>
      <c r="GX20" s="430" t="str">
        <f t="shared" si="184"/>
        <v/>
      </c>
      <c r="GY20" s="430" t="str">
        <f t="shared" si="185"/>
        <v/>
      </c>
      <c r="GZ20" s="430" t="str">
        <f t="shared" si="186"/>
        <v/>
      </c>
      <c r="HA20" s="430" t="str">
        <f t="shared" si="187"/>
        <v/>
      </c>
      <c r="HB20" s="430" t="str">
        <f t="shared" si="188"/>
        <v/>
      </c>
      <c r="HC20" s="430" t="str">
        <f t="shared" si="189"/>
        <v/>
      </c>
      <c r="HD20" s="430" t="str">
        <f t="shared" si="190"/>
        <v/>
      </c>
      <c r="HE20" s="430" t="str">
        <f t="shared" si="191"/>
        <v/>
      </c>
      <c r="HF20" s="430" t="str">
        <f t="shared" si="192"/>
        <v/>
      </c>
      <c r="HG20" s="430" t="str">
        <f t="shared" si="193"/>
        <v/>
      </c>
      <c r="HH20" s="430" t="str">
        <f t="shared" si="194"/>
        <v/>
      </c>
      <c r="HI20" s="430" t="str">
        <f t="shared" si="195"/>
        <v/>
      </c>
      <c r="HJ20" s="430" t="str">
        <f t="shared" si="196"/>
        <v/>
      </c>
      <c r="HK20" s="430" t="str">
        <f t="shared" si="197"/>
        <v/>
      </c>
      <c r="HL20" s="430" t="str">
        <f t="shared" si="198"/>
        <v/>
      </c>
      <c r="HM20" s="430" t="str">
        <f t="shared" si="199"/>
        <v/>
      </c>
      <c r="HN20" s="430" t="str">
        <f t="shared" si="200"/>
        <v/>
      </c>
      <c r="HO20" s="430" t="str">
        <f t="shared" si="201"/>
        <v/>
      </c>
      <c r="HP20" s="430" t="str">
        <f t="shared" si="202"/>
        <v/>
      </c>
      <c r="HQ20" s="430" t="str">
        <f t="shared" si="203"/>
        <v/>
      </c>
      <c r="HR20" s="430" t="str">
        <f t="shared" si="204"/>
        <v/>
      </c>
      <c r="HS20" s="430" t="str">
        <f t="shared" si="205"/>
        <v/>
      </c>
      <c r="HT20" s="430" t="str">
        <f t="shared" si="206"/>
        <v/>
      </c>
      <c r="HU20" s="430" t="str">
        <f t="shared" si="207"/>
        <v/>
      </c>
      <c r="HV20" s="430" t="str">
        <f t="shared" si="208"/>
        <v/>
      </c>
      <c r="HW20" s="430" t="str">
        <f t="shared" si="209"/>
        <v/>
      </c>
      <c r="HX20" s="430" t="str">
        <f t="shared" si="210"/>
        <v/>
      </c>
      <c r="HY20" s="430" t="str">
        <f t="shared" si="211"/>
        <v/>
      </c>
      <c r="HZ20" s="1814" t="str">
        <f t="shared" si="212"/>
        <v/>
      </c>
      <c r="IA20" s="1814" t="str">
        <f t="shared" si="213"/>
        <v/>
      </c>
      <c r="IB20" s="1814" t="str">
        <f t="shared" si="214"/>
        <v/>
      </c>
      <c r="IC20" s="1814">
        <f t="shared" si="215"/>
        <v>7</v>
      </c>
      <c r="ID20" s="1814" t="str">
        <f t="shared" si="216"/>
        <v/>
      </c>
      <c r="IE20" s="1814" t="str">
        <f t="shared" si="217"/>
        <v/>
      </c>
      <c r="IF20" s="1814" t="str">
        <f t="shared" si="218"/>
        <v/>
      </c>
      <c r="IG20" s="1814" t="str">
        <f t="shared" si="219"/>
        <v/>
      </c>
      <c r="IH20" s="1814" t="str">
        <f t="shared" si="220"/>
        <v/>
      </c>
      <c r="II20" s="1814" t="str">
        <f t="shared" si="221"/>
        <v/>
      </c>
      <c r="IJ20" s="1814" t="str">
        <f t="shared" si="222"/>
        <v/>
      </c>
      <c r="IK20" s="1814" t="str">
        <f t="shared" si="223"/>
        <v/>
      </c>
      <c r="IL20" s="1814" t="str">
        <f t="shared" si="224"/>
        <v/>
      </c>
      <c r="IM20" s="1814" t="str">
        <f t="shared" si="225"/>
        <v/>
      </c>
      <c r="IN20" s="1814" t="str">
        <f t="shared" si="226"/>
        <v/>
      </c>
      <c r="IO20" s="1814" t="str">
        <f t="shared" si="227"/>
        <v/>
      </c>
      <c r="IP20" s="1814" t="str">
        <f t="shared" si="228"/>
        <v/>
      </c>
      <c r="IQ20" s="1814" t="str">
        <f t="shared" si="229"/>
        <v/>
      </c>
      <c r="IR20" s="1814" t="str">
        <f t="shared" si="230"/>
        <v/>
      </c>
      <c r="IS20" s="1814" t="str">
        <f t="shared" si="231"/>
        <v/>
      </c>
      <c r="IT20" s="1814" t="str">
        <f t="shared" si="232"/>
        <v/>
      </c>
      <c r="IU20" s="1814" t="str">
        <f t="shared" si="233"/>
        <v/>
      </c>
      <c r="IV20" s="1814" t="str">
        <f t="shared" si="234"/>
        <v/>
      </c>
      <c r="IW20" s="1814" t="str">
        <f t="shared" si="235"/>
        <v/>
      </c>
      <c r="IX20" s="1814" t="str">
        <f t="shared" si="236"/>
        <v/>
      </c>
      <c r="IY20" s="1814" t="str">
        <f t="shared" si="237"/>
        <v/>
      </c>
      <c r="IZ20" s="1814" t="str">
        <f t="shared" si="238"/>
        <v/>
      </c>
      <c r="JA20" s="1814" t="str">
        <f t="shared" si="239"/>
        <v/>
      </c>
      <c r="JB20" s="1814" t="str">
        <f t="shared" si="240"/>
        <v/>
      </c>
      <c r="JC20" s="1814" t="str">
        <f t="shared" si="241"/>
        <v/>
      </c>
      <c r="JD20" s="1814" t="str">
        <f t="shared" si="242"/>
        <v/>
      </c>
      <c r="JE20" s="1814" t="str">
        <f t="shared" si="243"/>
        <v/>
      </c>
      <c r="JF20" s="1814" t="str">
        <f t="shared" si="244"/>
        <v/>
      </c>
      <c r="JG20" s="1814" t="str">
        <f t="shared" si="245"/>
        <v/>
      </c>
      <c r="JH20" s="1814" t="str">
        <f t="shared" si="246"/>
        <v/>
      </c>
      <c r="JI20" s="1814" t="str">
        <f t="shared" si="247"/>
        <v/>
      </c>
      <c r="JJ20" s="1814" t="str">
        <f t="shared" si="248"/>
        <v/>
      </c>
      <c r="JK20" s="1814" t="str">
        <f t="shared" si="249"/>
        <v/>
      </c>
      <c r="JL20" s="1814" t="str">
        <f t="shared" si="250"/>
        <v/>
      </c>
      <c r="JM20" s="1814" t="str">
        <f t="shared" si="251"/>
        <v/>
      </c>
      <c r="JN20" s="1814" t="str">
        <f t="shared" si="252"/>
        <v/>
      </c>
      <c r="JO20" s="1814" t="str">
        <f t="shared" si="253"/>
        <v/>
      </c>
      <c r="JP20" s="1814" t="str">
        <f t="shared" si="254"/>
        <v/>
      </c>
      <c r="JQ20" s="1814" t="str">
        <f t="shared" si="255"/>
        <v/>
      </c>
      <c r="JR20" s="1814" t="str">
        <f t="shared" si="256"/>
        <v/>
      </c>
      <c r="JS20" s="1814" t="str">
        <f t="shared" si="257"/>
        <v/>
      </c>
      <c r="JT20" s="1814" t="str">
        <f t="shared" si="258"/>
        <v/>
      </c>
      <c r="JU20" s="1814" t="str">
        <f t="shared" si="259"/>
        <v/>
      </c>
      <c r="JV20" s="1814">
        <f t="shared" si="260"/>
        <v>7</v>
      </c>
      <c r="JW20" s="1814" t="str">
        <f t="shared" si="261"/>
        <v/>
      </c>
      <c r="JX20" s="1814" t="str">
        <f t="shared" si="262"/>
        <v/>
      </c>
      <c r="JY20" s="1814" t="str">
        <f t="shared" si="263"/>
        <v/>
      </c>
      <c r="JZ20" s="1814" t="str">
        <f t="shared" si="264"/>
        <v/>
      </c>
      <c r="KA20" s="1814" t="str">
        <f t="shared" si="265"/>
        <v/>
      </c>
      <c r="KB20" s="1814" t="str">
        <f t="shared" si="266"/>
        <v/>
      </c>
      <c r="KC20" s="1814" t="str">
        <f t="shared" si="267"/>
        <v/>
      </c>
      <c r="KD20" s="1814" t="str">
        <f t="shared" si="268"/>
        <v/>
      </c>
      <c r="KE20" s="1814" t="str">
        <f t="shared" si="269"/>
        <v/>
      </c>
      <c r="KF20" s="1814" t="str">
        <f t="shared" si="270"/>
        <v/>
      </c>
      <c r="KG20" s="1814" t="str">
        <f t="shared" si="271"/>
        <v/>
      </c>
      <c r="KH20" s="1814" t="str">
        <f t="shared" si="272"/>
        <v/>
      </c>
      <c r="KI20" s="1814" t="str">
        <f t="shared" si="273"/>
        <v/>
      </c>
      <c r="KJ20" s="1814" t="str">
        <f t="shared" si="274"/>
        <v/>
      </c>
      <c r="KK20" s="1814" t="str">
        <f t="shared" si="275"/>
        <v/>
      </c>
      <c r="KL20" s="1814" t="str">
        <f t="shared" si="276"/>
        <v/>
      </c>
      <c r="KM20" s="1814" t="str">
        <f t="shared" si="277"/>
        <v/>
      </c>
      <c r="KN20" s="1814" t="str">
        <f t="shared" si="278"/>
        <v/>
      </c>
      <c r="KO20" s="1814" t="str">
        <f t="shared" si="279"/>
        <v/>
      </c>
      <c r="KP20" s="1814" t="str">
        <f t="shared" si="280"/>
        <v/>
      </c>
      <c r="KQ20" s="1814" t="str">
        <f t="shared" si="281"/>
        <v/>
      </c>
      <c r="KR20" s="1814" t="str">
        <f t="shared" si="282"/>
        <v/>
      </c>
      <c r="KS20" s="1814" t="str">
        <f t="shared" si="283"/>
        <v/>
      </c>
      <c r="KT20" s="1814" t="str">
        <f t="shared" si="284"/>
        <v/>
      </c>
      <c r="KU20" s="1814" t="str">
        <f t="shared" si="285"/>
        <v/>
      </c>
      <c r="KV20" s="1814" t="str">
        <f t="shared" si="286"/>
        <v/>
      </c>
      <c r="KW20" s="1814" t="str">
        <f t="shared" si="287"/>
        <v/>
      </c>
      <c r="KX20" s="1814" t="str">
        <f t="shared" si="288"/>
        <v/>
      </c>
      <c r="KY20" s="1814" t="str">
        <f t="shared" si="289"/>
        <v/>
      </c>
      <c r="KZ20" s="1814" t="str">
        <f t="shared" si="290"/>
        <v/>
      </c>
      <c r="LA20" s="1814" t="str">
        <f t="shared" si="291"/>
        <v/>
      </c>
      <c r="LB20" s="1814" t="str">
        <f t="shared" si="292"/>
        <v/>
      </c>
      <c r="LC20" s="1814" t="str">
        <f t="shared" si="293"/>
        <v/>
      </c>
      <c r="LD20" s="1814" t="str">
        <f t="shared" si="294"/>
        <v/>
      </c>
      <c r="LE20" s="1814" t="str">
        <f t="shared" si="295"/>
        <v/>
      </c>
      <c r="LF20" s="1814" t="str">
        <f t="shared" si="296"/>
        <v/>
      </c>
      <c r="LG20" s="1786" t="str">
        <f t="shared" si="297"/>
        <v/>
      </c>
      <c r="LH20" s="1786" t="str">
        <f t="shared" si="298"/>
        <v/>
      </c>
      <c r="LI20" s="1786" t="str">
        <f t="shared" si="299"/>
        <v/>
      </c>
      <c r="LJ20" s="1786" t="str">
        <f t="shared" si="300"/>
        <v/>
      </c>
      <c r="LK20" s="1786" t="str">
        <f t="shared" si="301"/>
        <v/>
      </c>
      <c r="LL20" s="430" t="str">
        <f t="shared" si="302"/>
        <v/>
      </c>
      <c r="LM20" s="430" t="str">
        <f t="shared" si="303"/>
        <v/>
      </c>
      <c r="LN20" s="430" t="str">
        <f t="shared" si="304"/>
        <v/>
      </c>
      <c r="LO20" s="430" t="str">
        <f t="shared" si="305"/>
        <v/>
      </c>
      <c r="LP20" s="430" t="str">
        <f t="shared" si="306"/>
        <v/>
      </c>
      <c r="LQ20" s="430" t="str">
        <f t="shared" si="307"/>
        <v/>
      </c>
      <c r="LR20" s="430" t="str">
        <f t="shared" si="308"/>
        <v/>
      </c>
      <c r="LS20" s="430" t="str">
        <f t="shared" si="309"/>
        <v/>
      </c>
      <c r="LT20" s="430" t="str">
        <f t="shared" si="310"/>
        <v/>
      </c>
      <c r="LU20" s="430" t="str">
        <f t="shared" si="311"/>
        <v/>
      </c>
      <c r="LV20" s="430" t="str">
        <f t="shared" si="312"/>
        <v/>
      </c>
      <c r="LW20" s="430" t="str">
        <f t="shared" si="313"/>
        <v/>
      </c>
      <c r="LX20" s="430" t="str">
        <f t="shared" si="314"/>
        <v/>
      </c>
      <c r="LY20" s="430" t="str">
        <f t="shared" si="315"/>
        <v/>
      </c>
      <c r="LZ20" s="430" t="str">
        <f t="shared" si="316"/>
        <v/>
      </c>
      <c r="MA20" s="430" t="str">
        <f t="shared" si="317"/>
        <v/>
      </c>
      <c r="MB20" s="430" t="str">
        <f t="shared" si="318"/>
        <v/>
      </c>
      <c r="MC20" s="430" t="str">
        <f t="shared" si="319"/>
        <v/>
      </c>
      <c r="MD20" s="430" t="str">
        <f t="shared" si="320"/>
        <v/>
      </c>
      <c r="ME20" s="430" t="str">
        <f t="shared" si="321"/>
        <v/>
      </c>
      <c r="MF20" s="1815">
        <f t="shared" si="328"/>
        <v>0</v>
      </c>
      <c r="MG20" s="1815">
        <f t="shared" si="329"/>
        <v>0</v>
      </c>
      <c r="MH20" s="1815">
        <f t="shared" si="330"/>
        <v>0</v>
      </c>
      <c r="MI20" s="1815">
        <f t="shared" si="331"/>
        <v>0</v>
      </c>
      <c r="MJ20" s="1815">
        <f t="shared" si="332"/>
        <v>0</v>
      </c>
      <c r="MK20" s="1815">
        <f t="shared" si="333"/>
        <v>0</v>
      </c>
      <c r="ML20" s="1815">
        <f t="shared" si="334"/>
        <v>0</v>
      </c>
      <c r="MM20" s="1815">
        <f t="shared" si="335"/>
        <v>0</v>
      </c>
      <c r="MN20" s="1815">
        <f t="shared" si="336"/>
        <v>7</v>
      </c>
      <c r="MO20" s="1815">
        <f t="shared" si="337"/>
        <v>0</v>
      </c>
      <c r="MP20" s="1815">
        <f t="shared" si="322"/>
        <v>0</v>
      </c>
      <c r="MQ20" s="1815">
        <f t="shared" si="323"/>
        <v>0</v>
      </c>
      <c r="MR20" s="1815">
        <f t="shared" si="324"/>
        <v>0</v>
      </c>
      <c r="MS20" s="1815">
        <f t="shared" si="325"/>
        <v>0</v>
      </c>
      <c r="MT20" s="1815">
        <f t="shared" si="326"/>
        <v>0</v>
      </c>
      <c r="NP20" s="2807" t="s">
        <v>6726</v>
      </c>
    </row>
    <row r="21" spans="1:380" ht="13.9" customHeight="1">
      <c r="A21" s="108" t="str">
        <f t="shared" si="327"/>
        <v/>
      </c>
      <c r="B21" s="2896">
        <v>60</v>
      </c>
      <c r="C21" s="2869">
        <v>1</v>
      </c>
      <c r="D21" s="2870">
        <v>1</v>
      </c>
      <c r="E21" s="2871">
        <v>13</v>
      </c>
      <c r="F21" s="2871">
        <v>680</v>
      </c>
      <c r="G21" s="2871">
        <v>713</v>
      </c>
      <c r="H21" s="2871">
        <v>582</v>
      </c>
      <c r="I21" s="2871">
        <v>0</v>
      </c>
      <c r="J21" s="2897">
        <v>94</v>
      </c>
      <c r="K21" s="2873"/>
      <c r="L21" s="537">
        <f t="shared" si="0"/>
        <v>488</v>
      </c>
      <c r="M21" s="537">
        <f t="shared" si="1"/>
        <v>6344</v>
      </c>
      <c r="N21" s="2712" t="s">
        <v>2771</v>
      </c>
      <c r="O21" s="2874" t="s">
        <v>6596</v>
      </c>
      <c r="P21" s="2712" t="s">
        <v>2191</v>
      </c>
      <c r="Q21" s="2875" t="s">
        <v>2771</v>
      </c>
      <c r="R21" s="2876"/>
      <c r="S21" s="2877"/>
      <c r="T21" s="3833"/>
      <c r="U21" s="3834"/>
      <c r="V21" s="3834"/>
      <c r="W21" s="3835"/>
      <c r="X21" s="430" t="str">
        <f t="shared" si="2"/>
        <v/>
      </c>
      <c r="Y21" s="430" t="str">
        <f t="shared" si="3"/>
        <v/>
      </c>
      <c r="Z21" s="430" t="str">
        <f t="shared" si="4"/>
        <v/>
      </c>
      <c r="AA21" s="430" t="str">
        <f t="shared" si="5"/>
        <v/>
      </c>
      <c r="AB21" s="430" t="str">
        <f t="shared" si="6"/>
        <v/>
      </c>
      <c r="AC21" s="430" t="str">
        <f t="shared" si="7"/>
        <v/>
      </c>
      <c r="AD21" s="430" t="str">
        <f t="shared" si="8"/>
        <v/>
      </c>
      <c r="AE21" s="430" t="str">
        <f t="shared" si="9"/>
        <v/>
      </c>
      <c r="AF21" s="430" t="str">
        <f t="shared" si="10"/>
        <v/>
      </c>
      <c r="AG21" s="430" t="str">
        <f t="shared" si="11"/>
        <v/>
      </c>
      <c r="AH21" s="430" t="str">
        <f t="shared" si="12"/>
        <v/>
      </c>
      <c r="AI21" s="430">
        <f t="shared" si="13"/>
        <v>13</v>
      </c>
      <c r="AJ21" s="430" t="str">
        <f t="shared" si="14"/>
        <v/>
      </c>
      <c r="AK21" s="430" t="str">
        <f t="shared" si="15"/>
        <v/>
      </c>
      <c r="AL21" s="430" t="str">
        <f t="shared" si="16"/>
        <v/>
      </c>
      <c r="AM21" s="430" t="str">
        <f t="shared" si="17"/>
        <v/>
      </c>
      <c r="AN21" s="430" t="str">
        <f t="shared" si="18"/>
        <v/>
      </c>
      <c r="AO21" s="430" t="str">
        <f t="shared" si="19"/>
        <v/>
      </c>
      <c r="AP21" s="430" t="str">
        <f t="shared" si="20"/>
        <v/>
      </c>
      <c r="AQ21" s="430" t="str">
        <f t="shared" si="21"/>
        <v/>
      </c>
      <c r="AR21" s="430" t="str">
        <f t="shared" si="22"/>
        <v/>
      </c>
      <c r="AS21" s="430" t="str">
        <f t="shared" si="23"/>
        <v/>
      </c>
      <c r="AT21" s="430" t="str">
        <f t="shared" si="24"/>
        <v/>
      </c>
      <c r="AU21" s="430" t="str">
        <f t="shared" si="25"/>
        <v/>
      </c>
      <c r="AV21" s="430" t="str">
        <f t="shared" si="26"/>
        <v/>
      </c>
      <c r="AW21" s="430" t="str">
        <f t="shared" si="27"/>
        <v/>
      </c>
      <c r="AX21" s="430" t="str">
        <f t="shared" si="28"/>
        <v/>
      </c>
      <c r="AY21" s="430" t="str">
        <f t="shared" si="29"/>
        <v/>
      </c>
      <c r="AZ21" s="430" t="str">
        <f t="shared" si="30"/>
        <v/>
      </c>
      <c r="BA21" s="430" t="str">
        <f t="shared" si="31"/>
        <v/>
      </c>
      <c r="BB21" s="430" t="str">
        <f t="shared" si="32"/>
        <v/>
      </c>
      <c r="BC21" s="430" t="str">
        <f t="shared" si="33"/>
        <v/>
      </c>
      <c r="BD21" s="430" t="str">
        <f t="shared" si="34"/>
        <v/>
      </c>
      <c r="BE21" s="430" t="str">
        <f t="shared" si="35"/>
        <v/>
      </c>
      <c r="BF21" s="430" t="str">
        <f t="shared" si="36"/>
        <v/>
      </c>
      <c r="BG21" s="430" t="str">
        <f t="shared" si="37"/>
        <v/>
      </c>
      <c r="BH21" s="430" t="str">
        <f t="shared" si="38"/>
        <v/>
      </c>
      <c r="BI21" s="430" t="str">
        <f t="shared" si="39"/>
        <v/>
      </c>
      <c r="BJ21" s="430" t="str">
        <f t="shared" si="40"/>
        <v/>
      </c>
      <c r="BK21" s="430" t="str">
        <f t="shared" si="41"/>
        <v/>
      </c>
      <c r="BL21" s="430" t="str">
        <f t="shared" si="42"/>
        <v/>
      </c>
      <c r="BM21" s="430" t="str">
        <f t="shared" si="43"/>
        <v/>
      </c>
      <c r="BN21" s="430" t="str">
        <f t="shared" si="44"/>
        <v/>
      </c>
      <c r="BO21" s="430" t="str">
        <f t="shared" si="45"/>
        <v/>
      </c>
      <c r="BP21" s="430" t="str">
        <f t="shared" si="46"/>
        <v/>
      </c>
      <c r="BQ21" s="430" t="str">
        <f t="shared" si="47"/>
        <v/>
      </c>
      <c r="BR21" s="430" t="str">
        <f t="shared" si="48"/>
        <v/>
      </c>
      <c r="BS21" s="430" t="str">
        <f t="shared" si="49"/>
        <v/>
      </c>
      <c r="BT21" s="430" t="str">
        <f t="shared" si="50"/>
        <v/>
      </c>
      <c r="BU21" s="430" t="str">
        <f t="shared" si="51"/>
        <v/>
      </c>
      <c r="BV21" s="430" t="str">
        <f t="shared" si="52"/>
        <v/>
      </c>
      <c r="BW21" s="430" t="str">
        <f t="shared" si="53"/>
        <v/>
      </c>
      <c r="BX21" s="430" t="str">
        <f t="shared" si="54"/>
        <v/>
      </c>
      <c r="BY21" s="430" t="str">
        <f t="shared" si="55"/>
        <v/>
      </c>
      <c r="BZ21" s="430" t="str">
        <f t="shared" si="56"/>
        <v/>
      </c>
      <c r="CA21" s="430" t="str">
        <f t="shared" si="57"/>
        <v/>
      </c>
      <c r="CB21" s="430" t="str">
        <f t="shared" si="58"/>
        <v/>
      </c>
      <c r="CC21" s="430" t="str">
        <f t="shared" si="59"/>
        <v/>
      </c>
      <c r="CD21" s="430" t="str">
        <f t="shared" si="60"/>
        <v/>
      </c>
      <c r="CE21" s="430" t="str">
        <f t="shared" si="61"/>
        <v/>
      </c>
      <c r="CF21" s="430" t="str">
        <f t="shared" si="62"/>
        <v/>
      </c>
      <c r="CG21" s="430" t="str">
        <f t="shared" si="63"/>
        <v/>
      </c>
      <c r="CH21" s="430" t="str">
        <f t="shared" si="64"/>
        <v/>
      </c>
      <c r="CI21" s="430" t="str">
        <f t="shared" si="65"/>
        <v/>
      </c>
      <c r="CJ21" s="430" t="str">
        <f t="shared" si="66"/>
        <v/>
      </c>
      <c r="CK21" s="430" t="str">
        <f t="shared" si="67"/>
        <v/>
      </c>
      <c r="CL21" s="430" t="str">
        <f t="shared" si="68"/>
        <v/>
      </c>
      <c r="CM21" s="430" t="str">
        <f t="shared" si="69"/>
        <v/>
      </c>
      <c r="CN21" s="430" t="str">
        <f t="shared" si="70"/>
        <v/>
      </c>
      <c r="CO21" s="430" t="str">
        <f t="shared" si="71"/>
        <v/>
      </c>
      <c r="CP21" s="430" t="str">
        <f t="shared" si="72"/>
        <v/>
      </c>
      <c r="CQ21" s="430" t="str">
        <f t="shared" si="73"/>
        <v/>
      </c>
      <c r="CR21" s="430" t="str">
        <f t="shared" si="74"/>
        <v/>
      </c>
      <c r="CS21" s="430" t="str">
        <f t="shared" si="75"/>
        <v/>
      </c>
      <c r="CT21" s="430" t="str">
        <f t="shared" si="76"/>
        <v/>
      </c>
      <c r="CU21" s="430" t="str">
        <f t="shared" si="77"/>
        <v/>
      </c>
      <c r="CV21" s="430" t="str">
        <f t="shared" si="78"/>
        <v/>
      </c>
      <c r="CW21" s="430" t="str">
        <f t="shared" si="79"/>
        <v/>
      </c>
      <c r="CX21" s="430" t="str">
        <f t="shared" si="80"/>
        <v/>
      </c>
      <c r="CY21" s="430" t="str">
        <f t="shared" si="81"/>
        <v/>
      </c>
      <c r="CZ21" s="430" t="str">
        <f t="shared" si="82"/>
        <v/>
      </c>
      <c r="DA21" s="430" t="str">
        <f t="shared" si="83"/>
        <v/>
      </c>
      <c r="DB21" s="430" t="str">
        <f t="shared" si="84"/>
        <v/>
      </c>
      <c r="DC21" s="430" t="str">
        <f t="shared" si="85"/>
        <v/>
      </c>
      <c r="DD21" s="430" t="str">
        <f t="shared" si="86"/>
        <v/>
      </c>
      <c r="DE21" s="430" t="str">
        <f t="shared" si="87"/>
        <v/>
      </c>
      <c r="DF21" s="430" t="str">
        <f t="shared" si="88"/>
        <v/>
      </c>
      <c r="DG21" s="430" t="str">
        <f t="shared" si="89"/>
        <v/>
      </c>
      <c r="DH21" s="430" t="str">
        <f t="shared" si="90"/>
        <v/>
      </c>
      <c r="DI21" s="430" t="str">
        <f t="shared" si="91"/>
        <v/>
      </c>
      <c r="DJ21" s="430" t="str">
        <f t="shared" si="92"/>
        <v/>
      </c>
      <c r="DK21" s="430" t="str">
        <f t="shared" si="93"/>
        <v/>
      </c>
      <c r="DL21" s="430" t="str">
        <f t="shared" si="94"/>
        <v/>
      </c>
      <c r="DM21" s="430" t="str">
        <f t="shared" si="95"/>
        <v/>
      </c>
      <c r="DN21" s="430" t="str">
        <f t="shared" si="96"/>
        <v/>
      </c>
      <c r="DO21" s="430" t="str">
        <f t="shared" si="97"/>
        <v/>
      </c>
      <c r="DP21" s="430" t="str">
        <f t="shared" si="98"/>
        <v/>
      </c>
      <c r="DQ21" s="430" t="str">
        <f t="shared" si="99"/>
        <v/>
      </c>
      <c r="DR21" s="430" t="str">
        <f t="shared" si="100"/>
        <v/>
      </c>
      <c r="DS21" s="430" t="str">
        <f t="shared" si="101"/>
        <v/>
      </c>
      <c r="DT21" s="430" t="str">
        <f t="shared" si="102"/>
        <v/>
      </c>
      <c r="DU21" s="430" t="str">
        <f t="shared" si="103"/>
        <v/>
      </c>
      <c r="DV21" s="430" t="str">
        <f t="shared" si="104"/>
        <v/>
      </c>
      <c r="DW21" s="430" t="str">
        <f t="shared" si="105"/>
        <v/>
      </c>
      <c r="DX21" s="430" t="str">
        <f t="shared" si="106"/>
        <v/>
      </c>
      <c r="DY21" s="430" t="str">
        <f t="shared" si="107"/>
        <v/>
      </c>
      <c r="DZ21" s="430" t="str">
        <f t="shared" si="108"/>
        <v/>
      </c>
      <c r="EA21" s="430" t="str">
        <f t="shared" si="109"/>
        <v/>
      </c>
      <c r="EB21" s="430" t="str">
        <f t="shared" si="110"/>
        <v/>
      </c>
      <c r="EC21" s="430" t="str">
        <f t="shared" si="111"/>
        <v/>
      </c>
      <c r="ED21" s="430" t="str">
        <f t="shared" si="112"/>
        <v/>
      </c>
      <c r="EE21" s="430" t="str">
        <f t="shared" si="113"/>
        <v/>
      </c>
      <c r="EF21" s="430" t="str">
        <f t="shared" si="114"/>
        <v/>
      </c>
      <c r="EG21" s="430" t="str">
        <f t="shared" si="115"/>
        <v/>
      </c>
      <c r="EH21" s="430" t="str">
        <f t="shared" si="116"/>
        <v/>
      </c>
      <c r="EI21" s="430" t="str">
        <f t="shared" si="117"/>
        <v/>
      </c>
      <c r="EJ21" s="430" t="str">
        <f t="shared" si="118"/>
        <v/>
      </c>
      <c r="EK21" s="430" t="str">
        <f t="shared" si="119"/>
        <v/>
      </c>
      <c r="EL21" s="430" t="str">
        <f t="shared" si="120"/>
        <v/>
      </c>
      <c r="EM21" s="430" t="str">
        <f t="shared" si="121"/>
        <v/>
      </c>
      <c r="EN21" s="430" t="str">
        <f t="shared" si="122"/>
        <v/>
      </c>
      <c r="EO21" s="430" t="str">
        <f t="shared" si="123"/>
        <v/>
      </c>
      <c r="EP21" s="430" t="str">
        <f t="shared" si="124"/>
        <v/>
      </c>
      <c r="EQ21" s="430" t="str">
        <f t="shared" si="125"/>
        <v/>
      </c>
      <c r="ER21" s="430" t="str">
        <f t="shared" si="126"/>
        <v/>
      </c>
      <c r="ES21" s="430" t="str">
        <f t="shared" si="127"/>
        <v/>
      </c>
      <c r="ET21" s="430">
        <f t="shared" si="128"/>
        <v>8840</v>
      </c>
      <c r="EU21" s="430" t="str">
        <f t="shared" si="129"/>
        <v/>
      </c>
      <c r="EV21" s="430" t="str">
        <f t="shared" si="130"/>
        <v/>
      </c>
      <c r="EW21" s="430" t="str">
        <f t="shared" si="131"/>
        <v/>
      </c>
      <c r="EX21" s="430" t="str">
        <f t="shared" si="132"/>
        <v/>
      </c>
      <c r="EY21" s="430" t="str">
        <f t="shared" si="133"/>
        <v/>
      </c>
      <c r="EZ21" s="430" t="str">
        <f t="shared" si="134"/>
        <v/>
      </c>
      <c r="FA21" s="430" t="str">
        <f t="shared" si="135"/>
        <v/>
      </c>
      <c r="FB21" s="430" t="str">
        <f t="shared" si="136"/>
        <v/>
      </c>
      <c r="FC21" s="430" t="str">
        <f t="shared" si="137"/>
        <v/>
      </c>
      <c r="FD21" s="430" t="str">
        <f t="shared" si="138"/>
        <v/>
      </c>
      <c r="FE21" s="430" t="str">
        <f t="shared" si="139"/>
        <v/>
      </c>
      <c r="FF21" s="430" t="str">
        <f t="shared" si="140"/>
        <v/>
      </c>
      <c r="FG21" s="430" t="str">
        <f t="shared" si="141"/>
        <v/>
      </c>
      <c r="FH21" s="430" t="str">
        <f t="shared" si="142"/>
        <v/>
      </c>
      <c r="FI21" s="430" t="str">
        <f t="shared" si="143"/>
        <v/>
      </c>
      <c r="FJ21" s="430" t="str">
        <f t="shared" si="144"/>
        <v/>
      </c>
      <c r="FK21" s="430" t="str">
        <f t="shared" si="145"/>
        <v/>
      </c>
      <c r="FL21" s="430" t="str">
        <f t="shared" si="146"/>
        <v/>
      </c>
      <c r="FM21" s="430" t="str">
        <f t="shared" si="147"/>
        <v/>
      </c>
      <c r="FN21" s="430" t="str">
        <f t="shared" si="148"/>
        <v/>
      </c>
      <c r="FO21" s="430" t="str">
        <f t="shared" si="149"/>
        <v/>
      </c>
      <c r="FP21" s="430" t="str">
        <f t="shared" si="150"/>
        <v/>
      </c>
      <c r="FQ21" s="430" t="str">
        <f t="shared" si="151"/>
        <v/>
      </c>
      <c r="FR21" s="430" t="str">
        <f t="shared" si="152"/>
        <v/>
      </c>
      <c r="FS21" s="430" t="str">
        <f t="shared" si="153"/>
        <v/>
      </c>
      <c r="FT21" s="430" t="str">
        <f t="shared" si="154"/>
        <v/>
      </c>
      <c r="FU21" s="430" t="str">
        <f t="shared" si="155"/>
        <v/>
      </c>
      <c r="FV21" s="430" t="str">
        <f t="shared" si="156"/>
        <v/>
      </c>
      <c r="FW21" s="430" t="str">
        <f t="shared" si="157"/>
        <v/>
      </c>
      <c r="FX21" s="430" t="str">
        <f t="shared" si="158"/>
        <v/>
      </c>
      <c r="FY21" s="430" t="str">
        <f t="shared" si="159"/>
        <v/>
      </c>
      <c r="FZ21" s="430" t="str">
        <f t="shared" si="160"/>
        <v/>
      </c>
      <c r="GA21" s="430" t="str">
        <f t="shared" si="161"/>
        <v/>
      </c>
      <c r="GB21" s="430" t="str">
        <f t="shared" si="162"/>
        <v/>
      </c>
      <c r="GC21" s="430" t="str">
        <f t="shared" si="163"/>
        <v/>
      </c>
      <c r="GD21" s="430" t="str">
        <f t="shared" si="164"/>
        <v/>
      </c>
      <c r="GE21" s="430" t="str">
        <f t="shared" si="165"/>
        <v/>
      </c>
      <c r="GF21" s="430" t="str">
        <f t="shared" si="166"/>
        <v/>
      </c>
      <c r="GG21" s="430" t="str">
        <f t="shared" si="167"/>
        <v/>
      </c>
      <c r="GH21" s="430">
        <f t="shared" si="168"/>
        <v>13</v>
      </c>
      <c r="GI21" s="430" t="str">
        <f t="shared" si="169"/>
        <v/>
      </c>
      <c r="GJ21" s="430" t="str">
        <f t="shared" si="170"/>
        <v/>
      </c>
      <c r="GK21" s="430" t="str">
        <f t="shared" si="171"/>
        <v/>
      </c>
      <c r="GL21" s="430" t="str">
        <f t="shared" si="172"/>
        <v/>
      </c>
      <c r="GM21" s="430" t="str">
        <f t="shared" si="173"/>
        <v/>
      </c>
      <c r="GN21" s="430" t="str">
        <f t="shared" si="174"/>
        <v/>
      </c>
      <c r="GO21" s="430" t="str">
        <f t="shared" si="175"/>
        <v/>
      </c>
      <c r="GP21" s="430" t="str">
        <f t="shared" si="176"/>
        <v/>
      </c>
      <c r="GQ21" s="430" t="str">
        <f t="shared" si="177"/>
        <v/>
      </c>
      <c r="GR21" s="430" t="str">
        <f t="shared" si="178"/>
        <v/>
      </c>
      <c r="GS21" s="430" t="str">
        <f t="shared" si="179"/>
        <v/>
      </c>
      <c r="GT21" s="430" t="str">
        <f t="shared" si="180"/>
        <v/>
      </c>
      <c r="GU21" s="430" t="str">
        <f t="shared" si="181"/>
        <v/>
      </c>
      <c r="GV21" s="430" t="str">
        <f t="shared" si="182"/>
        <v/>
      </c>
      <c r="GW21" s="430" t="str">
        <f t="shared" si="183"/>
        <v/>
      </c>
      <c r="GX21" s="430" t="str">
        <f t="shared" si="184"/>
        <v/>
      </c>
      <c r="GY21" s="430" t="str">
        <f t="shared" si="185"/>
        <v/>
      </c>
      <c r="GZ21" s="430" t="str">
        <f t="shared" si="186"/>
        <v/>
      </c>
      <c r="HA21" s="430" t="str">
        <f t="shared" si="187"/>
        <v/>
      </c>
      <c r="HB21" s="430" t="str">
        <f t="shared" si="188"/>
        <v/>
      </c>
      <c r="HC21" s="430" t="str">
        <f t="shared" si="189"/>
        <v/>
      </c>
      <c r="HD21" s="430" t="str">
        <f t="shared" si="190"/>
        <v/>
      </c>
      <c r="HE21" s="430" t="str">
        <f t="shared" si="191"/>
        <v/>
      </c>
      <c r="HF21" s="430" t="str">
        <f t="shared" si="192"/>
        <v/>
      </c>
      <c r="HG21" s="430" t="str">
        <f t="shared" si="193"/>
        <v/>
      </c>
      <c r="HH21" s="430" t="str">
        <f t="shared" si="194"/>
        <v/>
      </c>
      <c r="HI21" s="430" t="str">
        <f t="shared" si="195"/>
        <v/>
      </c>
      <c r="HJ21" s="430" t="str">
        <f t="shared" si="196"/>
        <v/>
      </c>
      <c r="HK21" s="430" t="str">
        <f t="shared" si="197"/>
        <v/>
      </c>
      <c r="HL21" s="430" t="str">
        <f t="shared" si="198"/>
        <v/>
      </c>
      <c r="HM21" s="430" t="str">
        <f t="shared" si="199"/>
        <v/>
      </c>
      <c r="HN21" s="430" t="str">
        <f t="shared" si="200"/>
        <v/>
      </c>
      <c r="HO21" s="430" t="str">
        <f t="shared" si="201"/>
        <v/>
      </c>
      <c r="HP21" s="430" t="str">
        <f t="shared" si="202"/>
        <v/>
      </c>
      <c r="HQ21" s="430" t="str">
        <f t="shared" si="203"/>
        <v/>
      </c>
      <c r="HR21" s="430" t="str">
        <f t="shared" si="204"/>
        <v/>
      </c>
      <c r="HS21" s="430" t="str">
        <f t="shared" si="205"/>
        <v/>
      </c>
      <c r="HT21" s="430" t="str">
        <f t="shared" si="206"/>
        <v/>
      </c>
      <c r="HU21" s="430" t="str">
        <f t="shared" si="207"/>
        <v/>
      </c>
      <c r="HV21" s="430" t="str">
        <f t="shared" si="208"/>
        <v/>
      </c>
      <c r="HW21" s="430" t="str">
        <f t="shared" si="209"/>
        <v/>
      </c>
      <c r="HX21" s="430" t="str">
        <f t="shared" si="210"/>
        <v/>
      </c>
      <c r="HY21" s="430" t="str">
        <f t="shared" si="211"/>
        <v/>
      </c>
      <c r="HZ21" s="1814" t="str">
        <f t="shared" si="212"/>
        <v/>
      </c>
      <c r="IA21" s="1814">
        <f t="shared" si="213"/>
        <v>13</v>
      </c>
      <c r="IB21" s="1814" t="str">
        <f t="shared" si="214"/>
        <v/>
      </c>
      <c r="IC21" s="1814" t="str">
        <f t="shared" si="215"/>
        <v/>
      </c>
      <c r="ID21" s="1814" t="str">
        <f t="shared" si="216"/>
        <v/>
      </c>
      <c r="IE21" s="1814" t="str">
        <f t="shared" si="217"/>
        <v/>
      </c>
      <c r="IF21" s="1814" t="str">
        <f t="shared" si="218"/>
        <v/>
      </c>
      <c r="IG21" s="1814" t="str">
        <f t="shared" si="219"/>
        <v/>
      </c>
      <c r="IH21" s="1814" t="str">
        <f t="shared" si="220"/>
        <v/>
      </c>
      <c r="II21" s="1814" t="str">
        <f t="shared" si="221"/>
        <v/>
      </c>
      <c r="IJ21" s="1814" t="str">
        <f t="shared" si="222"/>
        <v/>
      </c>
      <c r="IK21" s="1814" t="str">
        <f t="shared" si="223"/>
        <v/>
      </c>
      <c r="IL21" s="1814" t="str">
        <f t="shared" si="224"/>
        <v/>
      </c>
      <c r="IM21" s="1814" t="str">
        <f t="shared" si="225"/>
        <v/>
      </c>
      <c r="IN21" s="1814" t="str">
        <f t="shared" si="226"/>
        <v/>
      </c>
      <c r="IO21" s="1814" t="str">
        <f t="shared" si="227"/>
        <v/>
      </c>
      <c r="IP21" s="1814" t="str">
        <f t="shared" si="228"/>
        <v/>
      </c>
      <c r="IQ21" s="1814" t="str">
        <f t="shared" si="229"/>
        <v/>
      </c>
      <c r="IR21" s="1814" t="str">
        <f t="shared" si="230"/>
        <v/>
      </c>
      <c r="IS21" s="1814" t="str">
        <f t="shared" si="231"/>
        <v/>
      </c>
      <c r="IT21" s="1814" t="str">
        <f t="shared" si="232"/>
        <v/>
      </c>
      <c r="IU21" s="1814" t="str">
        <f t="shared" si="233"/>
        <v/>
      </c>
      <c r="IV21" s="1814" t="str">
        <f t="shared" si="234"/>
        <v/>
      </c>
      <c r="IW21" s="1814" t="str">
        <f t="shared" si="235"/>
        <v/>
      </c>
      <c r="IX21" s="1814" t="str">
        <f t="shared" si="236"/>
        <v/>
      </c>
      <c r="IY21" s="1814" t="str">
        <f t="shared" si="237"/>
        <v/>
      </c>
      <c r="IZ21" s="1814" t="str">
        <f t="shared" si="238"/>
        <v/>
      </c>
      <c r="JA21" s="1814" t="str">
        <f t="shared" si="239"/>
        <v/>
      </c>
      <c r="JB21" s="1814" t="str">
        <f t="shared" si="240"/>
        <v/>
      </c>
      <c r="JC21" s="1814" t="str">
        <f t="shared" si="241"/>
        <v/>
      </c>
      <c r="JD21" s="1814" t="str">
        <f t="shared" si="242"/>
        <v/>
      </c>
      <c r="JE21" s="1814" t="str">
        <f t="shared" si="243"/>
        <v/>
      </c>
      <c r="JF21" s="1814" t="str">
        <f t="shared" si="244"/>
        <v/>
      </c>
      <c r="JG21" s="1814" t="str">
        <f t="shared" si="245"/>
        <v/>
      </c>
      <c r="JH21" s="1814" t="str">
        <f t="shared" si="246"/>
        <v/>
      </c>
      <c r="JI21" s="1814" t="str">
        <f t="shared" si="247"/>
        <v/>
      </c>
      <c r="JJ21" s="1814" t="str">
        <f t="shared" si="248"/>
        <v/>
      </c>
      <c r="JK21" s="1814" t="str">
        <f t="shared" si="249"/>
        <v/>
      </c>
      <c r="JL21" s="1814" t="str">
        <f t="shared" si="250"/>
        <v/>
      </c>
      <c r="JM21" s="1814" t="str">
        <f t="shared" si="251"/>
        <v/>
      </c>
      <c r="JN21" s="1814" t="str">
        <f t="shared" si="252"/>
        <v/>
      </c>
      <c r="JO21" s="1814" t="str">
        <f t="shared" si="253"/>
        <v/>
      </c>
      <c r="JP21" s="1814" t="str">
        <f t="shared" si="254"/>
        <v/>
      </c>
      <c r="JQ21" s="1814" t="str">
        <f t="shared" si="255"/>
        <v/>
      </c>
      <c r="JR21" s="1814" t="str">
        <f t="shared" si="256"/>
        <v/>
      </c>
      <c r="JS21" s="1814" t="str">
        <f t="shared" si="257"/>
        <v/>
      </c>
      <c r="JT21" s="1814">
        <f t="shared" si="258"/>
        <v>13</v>
      </c>
      <c r="JU21" s="1814" t="str">
        <f t="shared" si="259"/>
        <v/>
      </c>
      <c r="JV21" s="1814" t="str">
        <f t="shared" si="260"/>
        <v/>
      </c>
      <c r="JW21" s="1814" t="str">
        <f t="shared" si="261"/>
        <v/>
      </c>
      <c r="JX21" s="1814" t="str">
        <f t="shared" si="262"/>
        <v/>
      </c>
      <c r="JY21" s="1814" t="str">
        <f t="shared" si="263"/>
        <v/>
      </c>
      <c r="JZ21" s="1814" t="str">
        <f t="shared" si="264"/>
        <v/>
      </c>
      <c r="KA21" s="1814" t="str">
        <f t="shared" si="265"/>
        <v/>
      </c>
      <c r="KB21" s="1814" t="str">
        <f t="shared" si="266"/>
        <v/>
      </c>
      <c r="KC21" s="1814" t="str">
        <f t="shared" si="267"/>
        <v/>
      </c>
      <c r="KD21" s="1814" t="str">
        <f t="shared" si="268"/>
        <v/>
      </c>
      <c r="KE21" s="1814" t="str">
        <f t="shared" si="269"/>
        <v/>
      </c>
      <c r="KF21" s="1814" t="str">
        <f t="shared" si="270"/>
        <v/>
      </c>
      <c r="KG21" s="1814" t="str">
        <f t="shared" si="271"/>
        <v/>
      </c>
      <c r="KH21" s="1814" t="str">
        <f t="shared" si="272"/>
        <v/>
      </c>
      <c r="KI21" s="1814" t="str">
        <f t="shared" si="273"/>
        <v/>
      </c>
      <c r="KJ21" s="1814" t="str">
        <f t="shared" si="274"/>
        <v/>
      </c>
      <c r="KK21" s="1814" t="str">
        <f t="shared" si="275"/>
        <v/>
      </c>
      <c r="KL21" s="1814" t="str">
        <f t="shared" si="276"/>
        <v/>
      </c>
      <c r="KM21" s="1814" t="str">
        <f t="shared" si="277"/>
        <v/>
      </c>
      <c r="KN21" s="1814" t="str">
        <f t="shared" si="278"/>
        <v/>
      </c>
      <c r="KO21" s="1814" t="str">
        <f t="shared" si="279"/>
        <v/>
      </c>
      <c r="KP21" s="1814" t="str">
        <f t="shared" si="280"/>
        <v/>
      </c>
      <c r="KQ21" s="1814" t="str">
        <f t="shared" si="281"/>
        <v/>
      </c>
      <c r="KR21" s="1814" t="str">
        <f t="shared" si="282"/>
        <v/>
      </c>
      <c r="KS21" s="1814" t="str">
        <f t="shared" si="283"/>
        <v/>
      </c>
      <c r="KT21" s="1814" t="str">
        <f t="shared" si="284"/>
        <v/>
      </c>
      <c r="KU21" s="1814" t="str">
        <f t="shared" si="285"/>
        <v/>
      </c>
      <c r="KV21" s="1814" t="str">
        <f t="shared" si="286"/>
        <v/>
      </c>
      <c r="KW21" s="1814" t="str">
        <f t="shared" si="287"/>
        <v/>
      </c>
      <c r="KX21" s="1814" t="str">
        <f t="shared" si="288"/>
        <v/>
      </c>
      <c r="KY21" s="1814" t="str">
        <f t="shared" si="289"/>
        <v/>
      </c>
      <c r="KZ21" s="1814" t="str">
        <f t="shared" si="290"/>
        <v/>
      </c>
      <c r="LA21" s="1814" t="str">
        <f t="shared" si="291"/>
        <v/>
      </c>
      <c r="LB21" s="1814" t="str">
        <f t="shared" si="292"/>
        <v/>
      </c>
      <c r="LC21" s="1814" t="str">
        <f t="shared" si="293"/>
        <v/>
      </c>
      <c r="LD21" s="1814" t="str">
        <f t="shared" si="294"/>
        <v/>
      </c>
      <c r="LE21" s="1814" t="str">
        <f t="shared" si="295"/>
        <v/>
      </c>
      <c r="LF21" s="1814" t="str">
        <f t="shared" si="296"/>
        <v/>
      </c>
      <c r="LG21" s="1786" t="str">
        <f t="shared" si="297"/>
        <v/>
      </c>
      <c r="LH21" s="1786" t="str">
        <f t="shared" si="298"/>
        <v/>
      </c>
      <c r="LI21" s="1786" t="str">
        <f t="shared" si="299"/>
        <v/>
      </c>
      <c r="LJ21" s="1786" t="str">
        <f t="shared" si="300"/>
        <v/>
      </c>
      <c r="LK21" s="1786" t="str">
        <f t="shared" si="301"/>
        <v/>
      </c>
      <c r="LL21" s="430" t="str">
        <f t="shared" si="302"/>
        <v/>
      </c>
      <c r="LM21" s="430" t="str">
        <f t="shared" si="303"/>
        <v/>
      </c>
      <c r="LN21" s="430" t="str">
        <f t="shared" si="304"/>
        <v/>
      </c>
      <c r="LO21" s="430" t="str">
        <f t="shared" si="305"/>
        <v/>
      </c>
      <c r="LP21" s="430" t="str">
        <f t="shared" si="306"/>
        <v/>
      </c>
      <c r="LQ21" s="430" t="str">
        <f t="shared" si="307"/>
        <v/>
      </c>
      <c r="LR21" s="430" t="str">
        <f t="shared" si="308"/>
        <v/>
      </c>
      <c r="LS21" s="430" t="str">
        <f t="shared" si="309"/>
        <v/>
      </c>
      <c r="LT21" s="430" t="str">
        <f t="shared" si="310"/>
        <v/>
      </c>
      <c r="LU21" s="430" t="str">
        <f t="shared" si="311"/>
        <v/>
      </c>
      <c r="LV21" s="430" t="str">
        <f t="shared" si="312"/>
        <v/>
      </c>
      <c r="LW21" s="430" t="str">
        <f t="shared" si="313"/>
        <v/>
      </c>
      <c r="LX21" s="430" t="str">
        <f t="shared" si="314"/>
        <v/>
      </c>
      <c r="LY21" s="430" t="str">
        <f t="shared" si="315"/>
        <v/>
      </c>
      <c r="LZ21" s="430" t="str">
        <f t="shared" si="316"/>
        <v/>
      </c>
      <c r="MA21" s="430" t="str">
        <f t="shared" si="317"/>
        <v/>
      </c>
      <c r="MB21" s="430" t="str">
        <f t="shared" si="318"/>
        <v/>
      </c>
      <c r="MC21" s="430" t="str">
        <f t="shared" si="319"/>
        <v/>
      </c>
      <c r="MD21" s="430" t="str">
        <f t="shared" si="320"/>
        <v/>
      </c>
      <c r="ME21" s="430" t="str">
        <f t="shared" si="321"/>
        <v/>
      </c>
      <c r="MF21" s="1815">
        <f t="shared" si="328"/>
        <v>0</v>
      </c>
      <c r="MG21" s="1815">
        <f t="shared" si="329"/>
        <v>0</v>
      </c>
      <c r="MH21" s="1815">
        <f t="shared" si="330"/>
        <v>0</v>
      </c>
      <c r="MI21" s="1815">
        <f t="shared" si="331"/>
        <v>0</v>
      </c>
      <c r="MJ21" s="1815">
        <f t="shared" si="332"/>
        <v>0</v>
      </c>
      <c r="MK21" s="1815">
        <f t="shared" si="333"/>
        <v>0</v>
      </c>
      <c r="ML21" s="1815">
        <f t="shared" si="334"/>
        <v>13</v>
      </c>
      <c r="MM21" s="1815">
        <f t="shared" si="335"/>
        <v>0</v>
      </c>
      <c r="MN21" s="1815">
        <f t="shared" si="336"/>
        <v>0</v>
      </c>
      <c r="MO21" s="1815">
        <f t="shared" si="337"/>
        <v>0</v>
      </c>
      <c r="MP21" s="1815">
        <f t="shared" si="322"/>
        <v>0</v>
      </c>
      <c r="MQ21" s="1815">
        <f t="shared" si="323"/>
        <v>0</v>
      </c>
      <c r="MR21" s="1815">
        <f t="shared" si="324"/>
        <v>0</v>
      </c>
      <c r="MS21" s="1815">
        <f t="shared" si="325"/>
        <v>0</v>
      </c>
      <c r="MT21" s="1815">
        <f t="shared" si="326"/>
        <v>0</v>
      </c>
      <c r="NP21" s="2807" t="s">
        <v>6727</v>
      </c>
    </row>
    <row r="22" spans="1:380" ht="13.9" customHeight="1">
      <c r="A22" s="108" t="str">
        <f t="shared" si="327"/>
        <v/>
      </c>
      <c r="B22" s="2896">
        <v>60</v>
      </c>
      <c r="C22" s="2869">
        <v>2</v>
      </c>
      <c r="D22" s="2870">
        <v>1</v>
      </c>
      <c r="E22" s="2871">
        <v>9</v>
      </c>
      <c r="F22" s="2871">
        <v>880</v>
      </c>
      <c r="G22" s="2871">
        <v>856</v>
      </c>
      <c r="H22" s="2871">
        <v>701</v>
      </c>
      <c r="I22" s="2871">
        <v>0</v>
      </c>
      <c r="J22" s="2897">
        <v>121</v>
      </c>
      <c r="K22" s="2873"/>
      <c r="L22" s="537">
        <f t="shared" si="0"/>
        <v>580</v>
      </c>
      <c r="M22" s="537">
        <f t="shared" si="1"/>
        <v>5220</v>
      </c>
      <c r="N22" s="2712" t="s">
        <v>2771</v>
      </c>
      <c r="O22" s="2874" t="s">
        <v>6596</v>
      </c>
      <c r="P22" s="2712" t="s">
        <v>2191</v>
      </c>
      <c r="Q22" s="2875" t="s">
        <v>2771</v>
      </c>
      <c r="R22" s="2876"/>
      <c r="S22" s="2877"/>
      <c r="T22" s="3833"/>
      <c r="U22" s="3834"/>
      <c r="V22" s="3834"/>
      <c r="W22" s="3835"/>
      <c r="X22" s="430" t="str">
        <f t="shared" si="2"/>
        <v/>
      </c>
      <c r="Y22" s="430" t="str">
        <f t="shared" si="3"/>
        <v/>
      </c>
      <c r="Z22" s="430" t="str">
        <f t="shared" si="4"/>
        <v/>
      </c>
      <c r="AA22" s="430" t="str">
        <f t="shared" si="5"/>
        <v/>
      </c>
      <c r="AB22" s="430" t="str">
        <f t="shared" si="6"/>
        <v/>
      </c>
      <c r="AC22" s="430" t="str">
        <f t="shared" si="7"/>
        <v/>
      </c>
      <c r="AD22" s="430" t="str">
        <f t="shared" si="8"/>
        <v/>
      </c>
      <c r="AE22" s="430" t="str">
        <f t="shared" si="9"/>
        <v/>
      </c>
      <c r="AF22" s="430" t="str">
        <f t="shared" si="10"/>
        <v/>
      </c>
      <c r="AG22" s="430" t="str">
        <f t="shared" si="11"/>
        <v/>
      </c>
      <c r="AH22" s="430" t="str">
        <f t="shared" si="12"/>
        <v/>
      </c>
      <c r="AI22" s="430" t="str">
        <f t="shared" si="13"/>
        <v/>
      </c>
      <c r="AJ22" s="430">
        <f t="shared" si="14"/>
        <v>9</v>
      </c>
      <c r="AK22" s="430" t="str">
        <f t="shared" si="15"/>
        <v/>
      </c>
      <c r="AL22" s="430" t="str">
        <f t="shared" si="16"/>
        <v/>
      </c>
      <c r="AM22" s="430" t="str">
        <f t="shared" si="17"/>
        <v/>
      </c>
      <c r="AN22" s="430" t="str">
        <f t="shared" si="18"/>
        <v/>
      </c>
      <c r="AO22" s="430" t="str">
        <f t="shared" si="19"/>
        <v/>
      </c>
      <c r="AP22" s="430" t="str">
        <f t="shared" si="20"/>
        <v/>
      </c>
      <c r="AQ22" s="430" t="str">
        <f t="shared" si="21"/>
        <v/>
      </c>
      <c r="AR22" s="430" t="str">
        <f t="shared" si="22"/>
        <v/>
      </c>
      <c r="AS22" s="430" t="str">
        <f t="shared" si="23"/>
        <v/>
      </c>
      <c r="AT22" s="430" t="str">
        <f t="shared" si="24"/>
        <v/>
      </c>
      <c r="AU22" s="430" t="str">
        <f t="shared" si="25"/>
        <v/>
      </c>
      <c r="AV22" s="430" t="str">
        <f t="shared" si="26"/>
        <v/>
      </c>
      <c r="AW22" s="430" t="str">
        <f t="shared" si="27"/>
        <v/>
      </c>
      <c r="AX22" s="430" t="str">
        <f t="shared" si="28"/>
        <v/>
      </c>
      <c r="AY22" s="430" t="str">
        <f t="shared" si="29"/>
        <v/>
      </c>
      <c r="AZ22" s="430" t="str">
        <f t="shared" si="30"/>
        <v/>
      </c>
      <c r="BA22" s="430" t="str">
        <f t="shared" si="31"/>
        <v/>
      </c>
      <c r="BB22" s="430" t="str">
        <f t="shared" si="32"/>
        <v/>
      </c>
      <c r="BC22" s="430" t="str">
        <f t="shared" si="33"/>
        <v/>
      </c>
      <c r="BD22" s="430" t="str">
        <f t="shared" si="34"/>
        <v/>
      </c>
      <c r="BE22" s="430" t="str">
        <f t="shared" si="35"/>
        <v/>
      </c>
      <c r="BF22" s="430" t="str">
        <f t="shared" si="36"/>
        <v/>
      </c>
      <c r="BG22" s="430" t="str">
        <f t="shared" si="37"/>
        <v/>
      </c>
      <c r="BH22" s="430" t="str">
        <f t="shared" si="38"/>
        <v/>
      </c>
      <c r="BI22" s="430" t="str">
        <f t="shared" si="39"/>
        <v/>
      </c>
      <c r="BJ22" s="430" t="str">
        <f t="shared" si="40"/>
        <v/>
      </c>
      <c r="BK22" s="430" t="str">
        <f t="shared" si="41"/>
        <v/>
      </c>
      <c r="BL22" s="430" t="str">
        <f t="shared" si="42"/>
        <v/>
      </c>
      <c r="BM22" s="430" t="str">
        <f t="shared" si="43"/>
        <v/>
      </c>
      <c r="BN22" s="430" t="str">
        <f t="shared" si="44"/>
        <v/>
      </c>
      <c r="BO22" s="430" t="str">
        <f t="shared" si="45"/>
        <v/>
      </c>
      <c r="BP22" s="430" t="str">
        <f t="shared" si="46"/>
        <v/>
      </c>
      <c r="BQ22" s="430" t="str">
        <f t="shared" si="47"/>
        <v/>
      </c>
      <c r="BR22" s="430" t="str">
        <f t="shared" si="48"/>
        <v/>
      </c>
      <c r="BS22" s="430" t="str">
        <f t="shared" si="49"/>
        <v/>
      </c>
      <c r="BT22" s="430" t="str">
        <f t="shared" si="50"/>
        <v/>
      </c>
      <c r="BU22" s="430" t="str">
        <f t="shared" si="51"/>
        <v/>
      </c>
      <c r="BV22" s="430" t="str">
        <f t="shared" si="52"/>
        <v/>
      </c>
      <c r="BW22" s="430" t="str">
        <f t="shared" si="53"/>
        <v/>
      </c>
      <c r="BX22" s="430" t="str">
        <f t="shared" si="54"/>
        <v/>
      </c>
      <c r="BY22" s="430" t="str">
        <f t="shared" si="55"/>
        <v/>
      </c>
      <c r="BZ22" s="430" t="str">
        <f t="shared" si="56"/>
        <v/>
      </c>
      <c r="CA22" s="430" t="str">
        <f t="shared" si="57"/>
        <v/>
      </c>
      <c r="CB22" s="430" t="str">
        <f t="shared" si="58"/>
        <v/>
      </c>
      <c r="CC22" s="430" t="str">
        <f t="shared" si="59"/>
        <v/>
      </c>
      <c r="CD22" s="430" t="str">
        <f t="shared" si="60"/>
        <v/>
      </c>
      <c r="CE22" s="430" t="str">
        <f t="shared" si="61"/>
        <v/>
      </c>
      <c r="CF22" s="430" t="str">
        <f t="shared" si="62"/>
        <v/>
      </c>
      <c r="CG22" s="430" t="str">
        <f t="shared" si="63"/>
        <v/>
      </c>
      <c r="CH22" s="430" t="str">
        <f t="shared" si="64"/>
        <v/>
      </c>
      <c r="CI22" s="430" t="str">
        <f t="shared" si="65"/>
        <v/>
      </c>
      <c r="CJ22" s="430" t="str">
        <f t="shared" si="66"/>
        <v/>
      </c>
      <c r="CK22" s="430" t="str">
        <f t="shared" si="67"/>
        <v/>
      </c>
      <c r="CL22" s="430" t="str">
        <f t="shared" si="68"/>
        <v/>
      </c>
      <c r="CM22" s="430" t="str">
        <f t="shared" si="69"/>
        <v/>
      </c>
      <c r="CN22" s="430" t="str">
        <f t="shared" si="70"/>
        <v/>
      </c>
      <c r="CO22" s="430" t="str">
        <f t="shared" si="71"/>
        <v/>
      </c>
      <c r="CP22" s="430" t="str">
        <f t="shared" si="72"/>
        <v/>
      </c>
      <c r="CQ22" s="430" t="str">
        <f t="shared" si="73"/>
        <v/>
      </c>
      <c r="CR22" s="430" t="str">
        <f t="shared" si="74"/>
        <v/>
      </c>
      <c r="CS22" s="430" t="str">
        <f t="shared" si="75"/>
        <v/>
      </c>
      <c r="CT22" s="430" t="str">
        <f t="shared" si="76"/>
        <v/>
      </c>
      <c r="CU22" s="430" t="str">
        <f t="shared" si="77"/>
        <v/>
      </c>
      <c r="CV22" s="430" t="str">
        <f t="shared" si="78"/>
        <v/>
      </c>
      <c r="CW22" s="430" t="str">
        <f t="shared" si="79"/>
        <v/>
      </c>
      <c r="CX22" s="430" t="str">
        <f t="shared" si="80"/>
        <v/>
      </c>
      <c r="CY22" s="430" t="str">
        <f t="shared" si="81"/>
        <v/>
      </c>
      <c r="CZ22" s="430" t="str">
        <f t="shared" si="82"/>
        <v/>
      </c>
      <c r="DA22" s="430" t="str">
        <f t="shared" si="83"/>
        <v/>
      </c>
      <c r="DB22" s="430" t="str">
        <f t="shared" si="84"/>
        <v/>
      </c>
      <c r="DC22" s="430" t="str">
        <f t="shared" si="85"/>
        <v/>
      </c>
      <c r="DD22" s="430" t="str">
        <f t="shared" si="86"/>
        <v/>
      </c>
      <c r="DE22" s="430" t="str">
        <f t="shared" si="87"/>
        <v/>
      </c>
      <c r="DF22" s="430" t="str">
        <f t="shared" si="88"/>
        <v/>
      </c>
      <c r="DG22" s="430" t="str">
        <f t="shared" si="89"/>
        <v/>
      </c>
      <c r="DH22" s="430" t="str">
        <f t="shared" si="90"/>
        <v/>
      </c>
      <c r="DI22" s="430" t="str">
        <f t="shared" si="91"/>
        <v/>
      </c>
      <c r="DJ22" s="430" t="str">
        <f t="shared" si="92"/>
        <v/>
      </c>
      <c r="DK22" s="430" t="str">
        <f t="shared" si="93"/>
        <v/>
      </c>
      <c r="DL22" s="430" t="str">
        <f t="shared" si="94"/>
        <v/>
      </c>
      <c r="DM22" s="430" t="str">
        <f t="shared" si="95"/>
        <v/>
      </c>
      <c r="DN22" s="430" t="str">
        <f t="shared" si="96"/>
        <v/>
      </c>
      <c r="DO22" s="430" t="str">
        <f t="shared" si="97"/>
        <v/>
      </c>
      <c r="DP22" s="430" t="str">
        <f t="shared" si="98"/>
        <v/>
      </c>
      <c r="DQ22" s="430" t="str">
        <f t="shared" si="99"/>
        <v/>
      </c>
      <c r="DR22" s="430" t="str">
        <f t="shared" si="100"/>
        <v/>
      </c>
      <c r="DS22" s="430" t="str">
        <f t="shared" si="101"/>
        <v/>
      </c>
      <c r="DT22" s="430" t="str">
        <f t="shared" si="102"/>
        <v/>
      </c>
      <c r="DU22" s="430" t="str">
        <f t="shared" si="103"/>
        <v/>
      </c>
      <c r="DV22" s="430" t="str">
        <f t="shared" si="104"/>
        <v/>
      </c>
      <c r="DW22" s="430" t="str">
        <f t="shared" si="105"/>
        <v/>
      </c>
      <c r="DX22" s="430" t="str">
        <f t="shared" si="106"/>
        <v/>
      </c>
      <c r="DY22" s="430" t="str">
        <f t="shared" si="107"/>
        <v/>
      </c>
      <c r="DZ22" s="430" t="str">
        <f t="shared" si="108"/>
        <v/>
      </c>
      <c r="EA22" s="430" t="str">
        <f t="shared" si="109"/>
        <v/>
      </c>
      <c r="EB22" s="430" t="str">
        <f t="shared" si="110"/>
        <v/>
      </c>
      <c r="EC22" s="430" t="str">
        <f t="shared" si="111"/>
        <v/>
      </c>
      <c r="ED22" s="430" t="str">
        <f t="shared" si="112"/>
        <v/>
      </c>
      <c r="EE22" s="430" t="str">
        <f t="shared" si="113"/>
        <v/>
      </c>
      <c r="EF22" s="430" t="str">
        <f t="shared" si="114"/>
        <v/>
      </c>
      <c r="EG22" s="430" t="str">
        <f t="shared" si="115"/>
        <v/>
      </c>
      <c r="EH22" s="430" t="str">
        <f t="shared" si="116"/>
        <v/>
      </c>
      <c r="EI22" s="430" t="str">
        <f t="shared" si="117"/>
        <v/>
      </c>
      <c r="EJ22" s="430" t="str">
        <f t="shared" si="118"/>
        <v/>
      </c>
      <c r="EK22" s="430" t="str">
        <f t="shared" si="119"/>
        <v/>
      </c>
      <c r="EL22" s="430" t="str">
        <f t="shared" si="120"/>
        <v/>
      </c>
      <c r="EM22" s="430" t="str">
        <f t="shared" si="121"/>
        <v/>
      </c>
      <c r="EN22" s="430" t="str">
        <f t="shared" si="122"/>
        <v/>
      </c>
      <c r="EO22" s="430" t="str">
        <f t="shared" si="123"/>
        <v/>
      </c>
      <c r="EP22" s="430" t="str">
        <f t="shared" si="124"/>
        <v/>
      </c>
      <c r="EQ22" s="430" t="str">
        <f t="shared" si="125"/>
        <v/>
      </c>
      <c r="ER22" s="430" t="str">
        <f t="shared" si="126"/>
        <v/>
      </c>
      <c r="ES22" s="430" t="str">
        <f t="shared" si="127"/>
        <v/>
      </c>
      <c r="ET22" s="430" t="str">
        <f t="shared" si="128"/>
        <v/>
      </c>
      <c r="EU22" s="430">
        <f t="shared" si="129"/>
        <v>7920</v>
      </c>
      <c r="EV22" s="430" t="str">
        <f t="shared" si="130"/>
        <v/>
      </c>
      <c r="EW22" s="430" t="str">
        <f t="shared" si="131"/>
        <v/>
      </c>
      <c r="EX22" s="430" t="str">
        <f t="shared" si="132"/>
        <v/>
      </c>
      <c r="EY22" s="430" t="str">
        <f t="shared" si="133"/>
        <v/>
      </c>
      <c r="EZ22" s="430" t="str">
        <f t="shared" si="134"/>
        <v/>
      </c>
      <c r="FA22" s="430" t="str">
        <f t="shared" si="135"/>
        <v/>
      </c>
      <c r="FB22" s="430" t="str">
        <f t="shared" si="136"/>
        <v/>
      </c>
      <c r="FC22" s="430" t="str">
        <f t="shared" si="137"/>
        <v/>
      </c>
      <c r="FD22" s="430" t="str">
        <f t="shared" si="138"/>
        <v/>
      </c>
      <c r="FE22" s="430" t="str">
        <f t="shared" si="139"/>
        <v/>
      </c>
      <c r="FF22" s="430" t="str">
        <f t="shared" si="140"/>
        <v/>
      </c>
      <c r="FG22" s="430" t="str">
        <f t="shared" si="141"/>
        <v/>
      </c>
      <c r="FH22" s="430" t="str">
        <f t="shared" si="142"/>
        <v/>
      </c>
      <c r="FI22" s="430" t="str">
        <f t="shared" si="143"/>
        <v/>
      </c>
      <c r="FJ22" s="430" t="str">
        <f t="shared" si="144"/>
        <v/>
      </c>
      <c r="FK22" s="430" t="str">
        <f t="shared" si="145"/>
        <v/>
      </c>
      <c r="FL22" s="430" t="str">
        <f t="shared" si="146"/>
        <v/>
      </c>
      <c r="FM22" s="430" t="str">
        <f t="shared" si="147"/>
        <v/>
      </c>
      <c r="FN22" s="430" t="str">
        <f t="shared" si="148"/>
        <v/>
      </c>
      <c r="FO22" s="430" t="str">
        <f t="shared" si="149"/>
        <v/>
      </c>
      <c r="FP22" s="430" t="str">
        <f t="shared" si="150"/>
        <v/>
      </c>
      <c r="FQ22" s="430" t="str">
        <f t="shared" si="151"/>
        <v/>
      </c>
      <c r="FR22" s="430" t="str">
        <f t="shared" si="152"/>
        <v/>
      </c>
      <c r="FS22" s="430" t="str">
        <f t="shared" si="153"/>
        <v/>
      </c>
      <c r="FT22" s="430" t="str">
        <f t="shared" si="154"/>
        <v/>
      </c>
      <c r="FU22" s="430" t="str">
        <f t="shared" si="155"/>
        <v/>
      </c>
      <c r="FV22" s="430" t="str">
        <f t="shared" si="156"/>
        <v/>
      </c>
      <c r="FW22" s="430" t="str">
        <f t="shared" si="157"/>
        <v/>
      </c>
      <c r="FX22" s="430" t="str">
        <f t="shared" si="158"/>
        <v/>
      </c>
      <c r="FY22" s="430" t="str">
        <f t="shared" si="159"/>
        <v/>
      </c>
      <c r="FZ22" s="430" t="str">
        <f t="shared" si="160"/>
        <v/>
      </c>
      <c r="GA22" s="430" t="str">
        <f t="shared" si="161"/>
        <v/>
      </c>
      <c r="GB22" s="430" t="str">
        <f t="shared" si="162"/>
        <v/>
      </c>
      <c r="GC22" s="430" t="str">
        <f t="shared" si="163"/>
        <v/>
      </c>
      <c r="GD22" s="430" t="str">
        <f t="shared" si="164"/>
        <v/>
      </c>
      <c r="GE22" s="430" t="str">
        <f t="shared" si="165"/>
        <v/>
      </c>
      <c r="GF22" s="430" t="str">
        <f t="shared" si="166"/>
        <v/>
      </c>
      <c r="GG22" s="430" t="str">
        <f t="shared" si="167"/>
        <v/>
      </c>
      <c r="GH22" s="430" t="str">
        <f t="shared" si="168"/>
        <v/>
      </c>
      <c r="GI22" s="430">
        <f t="shared" si="169"/>
        <v>9</v>
      </c>
      <c r="GJ22" s="430" t="str">
        <f t="shared" si="170"/>
        <v/>
      </c>
      <c r="GK22" s="430" t="str">
        <f t="shared" si="171"/>
        <v/>
      </c>
      <c r="GL22" s="430" t="str">
        <f t="shared" si="172"/>
        <v/>
      </c>
      <c r="GM22" s="430" t="str">
        <f t="shared" si="173"/>
        <v/>
      </c>
      <c r="GN22" s="430" t="str">
        <f t="shared" si="174"/>
        <v/>
      </c>
      <c r="GO22" s="430" t="str">
        <f t="shared" si="175"/>
        <v/>
      </c>
      <c r="GP22" s="430" t="str">
        <f t="shared" si="176"/>
        <v/>
      </c>
      <c r="GQ22" s="430" t="str">
        <f t="shared" si="177"/>
        <v/>
      </c>
      <c r="GR22" s="430" t="str">
        <f t="shared" si="178"/>
        <v/>
      </c>
      <c r="GS22" s="430" t="str">
        <f t="shared" si="179"/>
        <v/>
      </c>
      <c r="GT22" s="430" t="str">
        <f t="shared" si="180"/>
        <v/>
      </c>
      <c r="GU22" s="430" t="str">
        <f t="shared" si="181"/>
        <v/>
      </c>
      <c r="GV22" s="430" t="str">
        <f t="shared" si="182"/>
        <v/>
      </c>
      <c r="GW22" s="430" t="str">
        <f t="shared" si="183"/>
        <v/>
      </c>
      <c r="GX22" s="430" t="str">
        <f t="shared" si="184"/>
        <v/>
      </c>
      <c r="GY22" s="430" t="str">
        <f t="shared" si="185"/>
        <v/>
      </c>
      <c r="GZ22" s="430" t="str">
        <f t="shared" si="186"/>
        <v/>
      </c>
      <c r="HA22" s="430" t="str">
        <f t="shared" si="187"/>
        <v/>
      </c>
      <c r="HB22" s="430" t="str">
        <f t="shared" si="188"/>
        <v/>
      </c>
      <c r="HC22" s="430" t="str">
        <f t="shared" si="189"/>
        <v/>
      </c>
      <c r="HD22" s="430" t="str">
        <f t="shared" si="190"/>
        <v/>
      </c>
      <c r="HE22" s="430" t="str">
        <f t="shared" si="191"/>
        <v/>
      </c>
      <c r="HF22" s="430" t="str">
        <f t="shared" si="192"/>
        <v/>
      </c>
      <c r="HG22" s="430" t="str">
        <f t="shared" si="193"/>
        <v/>
      </c>
      <c r="HH22" s="430" t="str">
        <f t="shared" si="194"/>
        <v/>
      </c>
      <c r="HI22" s="430" t="str">
        <f t="shared" si="195"/>
        <v/>
      </c>
      <c r="HJ22" s="430" t="str">
        <f t="shared" si="196"/>
        <v/>
      </c>
      <c r="HK22" s="430" t="str">
        <f t="shared" si="197"/>
        <v/>
      </c>
      <c r="HL22" s="430" t="str">
        <f t="shared" si="198"/>
        <v/>
      </c>
      <c r="HM22" s="430" t="str">
        <f t="shared" si="199"/>
        <v/>
      </c>
      <c r="HN22" s="430" t="str">
        <f t="shared" si="200"/>
        <v/>
      </c>
      <c r="HO22" s="430" t="str">
        <f t="shared" si="201"/>
        <v/>
      </c>
      <c r="HP22" s="430" t="str">
        <f t="shared" si="202"/>
        <v/>
      </c>
      <c r="HQ22" s="430" t="str">
        <f t="shared" si="203"/>
        <v/>
      </c>
      <c r="HR22" s="430" t="str">
        <f t="shared" si="204"/>
        <v/>
      </c>
      <c r="HS22" s="430" t="str">
        <f t="shared" si="205"/>
        <v/>
      </c>
      <c r="HT22" s="430" t="str">
        <f t="shared" si="206"/>
        <v/>
      </c>
      <c r="HU22" s="430" t="str">
        <f t="shared" si="207"/>
        <v/>
      </c>
      <c r="HV22" s="430" t="str">
        <f t="shared" si="208"/>
        <v/>
      </c>
      <c r="HW22" s="430" t="str">
        <f t="shared" si="209"/>
        <v/>
      </c>
      <c r="HX22" s="430" t="str">
        <f t="shared" si="210"/>
        <v/>
      </c>
      <c r="HY22" s="430" t="str">
        <f t="shared" si="211"/>
        <v/>
      </c>
      <c r="HZ22" s="1814" t="str">
        <f t="shared" si="212"/>
        <v/>
      </c>
      <c r="IA22" s="1814" t="str">
        <f t="shared" si="213"/>
        <v/>
      </c>
      <c r="IB22" s="1814">
        <f t="shared" si="214"/>
        <v>9</v>
      </c>
      <c r="IC22" s="1814" t="str">
        <f t="shared" si="215"/>
        <v/>
      </c>
      <c r="ID22" s="1814" t="str">
        <f t="shared" si="216"/>
        <v/>
      </c>
      <c r="IE22" s="1814" t="str">
        <f t="shared" si="217"/>
        <v/>
      </c>
      <c r="IF22" s="1814" t="str">
        <f t="shared" si="218"/>
        <v/>
      </c>
      <c r="IG22" s="1814" t="str">
        <f t="shared" si="219"/>
        <v/>
      </c>
      <c r="IH22" s="1814" t="str">
        <f t="shared" si="220"/>
        <v/>
      </c>
      <c r="II22" s="1814" t="str">
        <f t="shared" si="221"/>
        <v/>
      </c>
      <c r="IJ22" s="1814" t="str">
        <f t="shared" si="222"/>
        <v/>
      </c>
      <c r="IK22" s="1814" t="str">
        <f t="shared" si="223"/>
        <v/>
      </c>
      <c r="IL22" s="1814" t="str">
        <f t="shared" si="224"/>
        <v/>
      </c>
      <c r="IM22" s="1814" t="str">
        <f t="shared" si="225"/>
        <v/>
      </c>
      <c r="IN22" s="1814" t="str">
        <f t="shared" si="226"/>
        <v/>
      </c>
      <c r="IO22" s="1814" t="str">
        <f t="shared" si="227"/>
        <v/>
      </c>
      <c r="IP22" s="1814" t="str">
        <f t="shared" si="228"/>
        <v/>
      </c>
      <c r="IQ22" s="1814" t="str">
        <f t="shared" si="229"/>
        <v/>
      </c>
      <c r="IR22" s="1814" t="str">
        <f t="shared" si="230"/>
        <v/>
      </c>
      <c r="IS22" s="1814" t="str">
        <f t="shared" si="231"/>
        <v/>
      </c>
      <c r="IT22" s="1814" t="str">
        <f t="shared" si="232"/>
        <v/>
      </c>
      <c r="IU22" s="1814" t="str">
        <f t="shared" si="233"/>
        <v/>
      </c>
      <c r="IV22" s="1814" t="str">
        <f t="shared" si="234"/>
        <v/>
      </c>
      <c r="IW22" s="1814" t="str">
        <f t="shared" si="235"/>
        <v/>
      </c>
      <c r="IX22" s="1814" t="str">
        <f t="shared" si="236"/>
        <v/>
      </c>
      <c r="IY22" s="1814" t="str">
        <f t="shared" si="237"/>
        <v/>
      </c>
      <c r="IZ22" s="1814" t="str">
        <f t="shared" si="238"/>
        <v/>
      </c>
      <c r="JA22" s="1814" t="str">
        <f t="shared" si="239"/>
        <v/>
      </c>
      <c r="JB22" s="1814" t="str">
        <f t="shared" si="240"/>
        <v/>
      </c>
      <c r="JC22" s="1814" t="str">
        <f t="shared" si="241"/>
        <v/>
      </c>
      <c r="JD22" s="1814" t="str">
        <f t="shared" si="242"/>
        <v/>
      </c>
      <c r="JE22" s="1814" t="str">
        <f t="shared" si="243"/>
        <v/>
      </c>
      <c r="JF22" s="1814" t="str">
        <f t="shared" si="244"/>
        <v/>
      </c>
      <c r="JG22" s="1814" t="str">
        <f t="shared" si="245"/>
        <v/>
      </c>
      <c r="JH22" s="1814" t="str">
        <f t="shared" si="246"/>
        <v/>
      </c>
      <c r="JI22" s="1814" t="str">
        <f t="shared" si="247"/>
        <v/>
      </c>
      <c r="JJ22" s="1814" t="str">
        <f t="shared" si="248"/>
        <v/>
      </c>
      <c r="JK22" s="1814" t="str">
        <f t="shared" si="249"/>
        <v/>
      </c>
      <c r="JL22" s="1814" t="str">
        <f t="shared" si="250"/>
        <v/>
      </c>
      <c r="JM22" s="1814" t="str">
        <f t="shared" si="251"/>
        <v/>
      </c>
      <c r="JN22" s="1814" t="str">
        <f t="shared" si="252"/>
        <v/>
      </c>
      <c r="JO22" s="1814" t="str">
        <f t="shared" si="253"/>
        <v/>
      </c>
      <c r="JP22" s="1814" t="str">
        <f t="shared" si="254"/>
        <v/>
      </c>
      <c r="JQ22" s="1814" t="str">
        <f t="shared" si="255"/>
        <v/>
      </c>
      <c r="JR22" s="1814" t="str">
        <f t="shared" si="256"/>
        <v/>
      </c>
      <c r="JS22" s="1814" t="str">
        <f t="shared" si="257"/>
        <v/>
      </c>
      <c r="JT22" s="1814" t="str">
        <f t="shared" si="258"/>
        <v/>
      </c>
      <c r="JU22" s="1814">
        <f t="shared" si="259"/>
        <v>9</v>
      </c>
      <c r="JV22" s="1814" t="str">
        <f t="shared" si="260"/>
        <v/>
      </c>
      <c r="JW22" s="1814" t="str">
        <f t="shared" si="261"/>
        <v/>
      </c>
      <c r="JX22" s="1814" t="str">
        <f t="shared" si="262"/>
        <v/>
      </c>
      <c r="JY22" s="1814" t="str">
        <f t="shared" si="263"/>
        <v/>
      </c>
      <c r="JZ22" s="1814" t="str">
        <f t="shared" si="264"/>
        <v/>
      </c>
      <c r="KA22" s="1814" t="str">
        <f t="shared" si="265"/>
        <v/>
      </c>
      <c r="KB22" s="1814" t="str">
        <f t="shared" si="266"/>
        <v/>
      </c>
      <c r="KC22" s="1814" t="str">
        <f t="shared" si="267"/>
        <v/>
      </c>
      <c r="KD22" s="1814" t="str">
        <f t="shared" si="268"/>
        <v/>
      </c>
      <c r="KE22" s="1814" t="str">
        <f t="shared" si="269"/>
        <v/>
      </c>
      <c r="KF22" s="1814" t="str">
        <f t="shared" si="270"/>
        <v/>
      </c>
      <c r="KG22" s="1814" t="str">
        <f t="shared" si="271"/>
        <v/>
      </c>
      <c r="KH22" s="1814" t="str">
        <f t="shared" si="272"/>
        <v/>
      </c>
      <c r="KI22" s="1814" t="str">
        <f t="shared" si="273"/>
        <v/>
      </c>
      <c r="KJ22" s="1814" t="str">
        <f t="shared" si="274"/>
        <v/>
      </c>
      <c r="KK22" s="1814" t="str">
        <f t="shared" si="275"/>
        <v/>
      </c>
      <c r="KL22" s="1814" t="str">
        <f t="shared" si="276"/>
        <v/>
      </c>
      <c r="KM22" s="1814" t="str">
        <f t="shared" si="277"/>
        <v/>
      </c>
      <c r="KN22" s="1814" t="str">
        <f t="shared" si="278"/>
        <v/>
      </c>
      <c r="KO22" s="1814" t="str">
        <f t="shared" si="279"/>
        <v/>
      </c>
      <c r="KP22" s="1814" t="str">
        <f t="shared" si="280"/>
        <v/>
      </c>
      <c r="KQ22" s="1814" t="str">
        <f t="shared" si="281"/>
        <v/>
      </c>
      <c r="KR22" s="1814" t="str">
        <f t="shared" si="282"/>
        <v/>
      </c>
      <c r="KS22" s="1814" t="str">
        <f t="shared" si="283"/>
        <v/>
      </c>
      <c r="KT22" s="1814" t="str">
        <f t="shared" si="284"/>
        <v/>
      </c>
      <c r="KU22" s="1814" t="str">
        <f t="shared" si="285"/>
        <v/>
      </c>
      <c r="KV22" s="1814" t="str">
        <f t="shared" si="286"/>
        <v/>
      </c>
      <c r="KW22" s="1814" t="str">
        <f t="shared" si="287"/>
        <v/>
      </c>
      <c r="KX22" s="1814" t="str">
        <f t="shared" si="288"/>
        <v/>
      </c>
      <c r="KY22" s="1814" t="str">
        <f t="shared" si="289"/>
        <v/>
      </c>
      <c r="KZ22" s="1814" t="str">
        <f t="shared" si="290"/>
        <v/>
      </c>
      <c r="LA22" s="1814" t="str">
        <f t="shared" si="291"/>
        <v/>
      </c>
      <c r="LB22" s="1814" t="str">
        <f t="shared" si="292"/>
        <v/>
      </c>
      <c r="LC22" s="1814" t="str">
        <f t="shared" si="293"/>
        <v/>
      </c>
      <c r="LD22" s="1814" t="str">
        <f t="shared" si="294"/>
        <v/>
      </c>
      <c r="LE22" s="1814" t="str">
        <f t="shared" si="295"/>
        <v/>
      </c>
      <c r="LF22" s="1814" t="str">
        <f t="shared" si="296"/>
        <v/>
      </c>
      <c r="LG22" s="1786" t="str">
        <f t="shared" si="297"/>
        <v/>
      </c>
      <c r="LH22" s="1786" t="str">
        <f t="shared" si="298"/>
        <v/>
      </c>
      <c r="LI22" s="1786" t="str">
        <f t="shared" si="299"/>
        <v/>
      </c>
      <c r="LJ22" s="1786" t="str">
        <f t="shared" si="300"/>
        <v/>
      </c>
      <c r="LK22" s="1786" t="str">
        <f t="shared" si="301"/>
        <v/>
      </c>
      <c r="LL22" s="430" t="str">
        <f t="shared" si="302"/>
        <v/>
      </c>
      <c r="LM22" s="430" t="str">
        <f t="shared" si="303"/>
        <v/>
      </c>
      <c r="LN22" s="430" t="str">
        <f t="shared" si="304"/>
        <v/>
      </c>
      <c r="LO22" s="430" t="str">
        <f t="shared" si="305"/>
        <v/>
      </c>
      <c r="LP22" s="430" t="str">
        <f t="shared" si="306"/>
        <v/>
      </c>
      <c r="LQ22" s="430" t="str">
        <f t="shared" si="307"/>
        <v/>
      </c>
      <c r="LR22" s="430" t="str">
        <f t="shared" si="308"/>
        <v/>
      </c>
      <c r="LS22" s="430" t="str">
        <f t="shared" si="309"/>
        <v/>
      </c>
      <c r="LT22" s="430" t="str">
        <f t="shared" si="310"/>
        <v/>
      </c>
      <c r="LU22" s="430" t="str">
        <f t="shared" si="311"/>
        <v/>
      </c>
      <c r="LV22" s="430" t="str">
        <f t="shared" si="312"/>
        <v/>
      </c>
      <c r="LW22" s="430" t="str">
        <f t="shared" si="313"/>
        <v/>
      </c>
      <c r="LX22" s="430" t="str">
        <f t="shared" si="314"/>
        <v/>
      </c>
      <c r="LY22" s="430" t="str">
        <f t="shared" si="315"/>
        <v/>
      </c>
      <c r="LZ22" s="430" t="str">
        <f t="shared" si="316"/>
        <v/>
      </c>
      <c r="MA22" s="430" t="str">
        <f t="shared" si="317"/>
        <v/>
      </c>
      <c r="MB22" s="430" t="str">
        <f t="shared" si="318"/>
        <v/>
      </c>
      <c r="MC22" s="430" t="str">
        <f t="shared" si="319"/>
        <v/>
      </c>
      <c r="MD22" s="430" t="str">
        <f t="shared" si="320"/>
        <v/>
      </c>
      <c r="ME22" s="430" t="str">
        <f t="shared" si="321"/>
        <v/>
      </c>
      <c r="MF22" s="1815">
        <f t="shared" si="328"/>
        <v>0</v>
      </c>
      <c r="MG22" s="1815">
        <f t="shared" si="329"/>
        <v>0</v>
      </c>
      <c r="MH22" s="1815">
        <f t="shared" si="330"/>
        <v>0</v>
      </c>
      <c r="MI22" s="1815">
        <f t="shared" si="331"/>
        <v>0</v>
      </c>
      <c r="MJ22" s="1815">
        <f t="shared" si="332"/>
        <v>0</v>
      </c>
      <c r="MK22" s="1815">
        <f t="shared" si="333"/>
        <v>0</v>
      </c>
      <c r="ML22" s="1815">
        <f t="shared" si="334"/>
        <v>0</v>
      </c>
      <c r="MM22" s="1815">
        <f t="shared" si="335"/>
        <v>9</v>
      </c>
      <c r="MN22" s="1815">
        <f t="shared" si="336"/>
        <v>0</v>
      </c>
      <c r="MO22" s="1815">
        <f t="shared" si="337"/>
        <v>0</v>
      </c>
      <c r="MP22" s="1815">
        <f t="shared" si="322"/>
        <v>0</v>
      </c>
      <c r="MQ22" s="1815">
        <f t="shared" si="323"/>
        <v>0</v>
      </c>
      <c r="MR22" s="1815">
        <f t="shared" si="324"/>
        <v>0</v>
      </c>
      <c r="MS22" s="1815">
        <f t="shared" si="325"/>
        <v>0</v>
      </c>
      <c r="MT22" s="1815">
        <f t="shared" si="326"/>
        <v>0</v>
      </c>
      <c r="NP22" s="2807" t="s">
        <v>6728</v>
      </c>
    </row>
    <row r="23" spans="1:380" ht="13.9" customHeight="1">
      <c r="A23" s="108" t="str">
        <f t="shared" si="327"/>
        <v/>
      </c>
      <c r="B23" s="2896">
        <v>60</v>
      </c>
      <c r="C23" s="2869">
        <v>3</v>
      </c>
      <c r="D23" s="2870">
        <v>2</v>
      </c>
      <c r="E23" s="2871">
        <v>10</v>
      </c>
      <c r="F23" s="2871">
        <v>1180</v>
      </c>
      <c r="G23" s="2871">
        <v>989</v>
      </c>
      <c r="H23" s="2871">
        <v>830</v>
      </c>
      <c r="I23" s="2871">
        <v>0</v>
      </c>
      <c r="J23" s="2897">
        <v>149</v>
      </c>
      <c r="K23" s="2873"/>
      <c r="L23" s="537">
        <f t="shared" si="0"/>
        <v>681</v>
      </c>
      <c r="M23" s="537">
        <f t="shared" si="1"/>
        <v>6810</v>
      </c>
      <c r="N23" s="2712" t="s">
        <v>2771</v>
      </c>
      <c r="O23" s="2874" t="s">
        <v>6596</v>
      </c>
      <c r="P23" s="2712" t="s">
        <v>2191</v>
      </c>
      <c r="Q23" s="2875" t="s">
        <v>2771</v>
      </c>
      <c r="R23" s="2876"/>
      <c r="S23" s="2877"/>
      <c r="T23" s="3833"/>
      <c r="U23" s="3834"/>
      <c r="V23" s="3834"/>
      <c r="W23" s="3835"/>
      <c r="X23" s="430" t="str">
        <f t="shared" si="2"/>
        <v/>
      </c>
      <c r="Y23" s="430" t="str">
        <f t="shared" si="3"/>
        <v/>
      </c>
      <c r="Z23" s="430" t="str">
        <f t="shared" si="4"/>
        <v/>
      </c>
      <c r="AA23" s="430" t="str">
        <f t="shared" si="5"/>
        <v/>
      </c>
      <c r="AB23" s="430" t="str">
        <f t="shared" si="6"/>
        <v/>
      </c>
      <c r="AC23" s="430" t="str">
        <f t="shared" si="7"/>
        <v/>
      </c>
      <c r="AD23" s="430" t="str">
        <f t="shared" si="8"/>
        <v/>
      </c>
      <c r="AE23" s="430" t="str">
        <f t="shared" si="9"/>
        <v/>
      </c>
      <c r="AF23" s="430" t="str">
        <f t="shared" si="10"/>
        <v/>
      </c>
      <c r="AG23" s="430" t="str">
        <f t="shared" si="11"/>
        <v/>
      </c>
      <c r="AH23" s="430" t="str">
        <f t="shared" si="12"/>
        <v/>
      </c>
      <c r="AI23" s="430" t="str">
        <f t="shared" si="13"/>
        <v/>
      </c>
      <c r="AJ23" s="430" t="str">
        <f t="shared" si="14"/>
        <v/>
      </c>
      <c r="AK23" s="430">
        <f t="shared" si="15"/>
        <v>10</v>
      </c>
      <c r="AL23" s="430" t="str">
        <f t="shared" si="16"/>
        <v/>
      </c>
      <c r="AM23" s="430" t="str">
        <f t="shared" si="17"/>
        <v/>
      </c>
      <c r="AN23" s="430" t="str">
        <f t="shared" si="18"/>
        <v/>
      </c>
      <c r="AO23" s="430" t="str">
        <f t="shared" si="19"/>
        <v/>
      </c>
      <c r="AP23" s="430" t="str">
        <f t="shared" si="20"/>
        <v/>
      </c>
      <c r="AQ23" s="430" t="str">
        <f t="shared" si="21"/>
        <v/>
      </c>
      <c r="AR23" s="430" t="str">
        <f t="shared" si="22"/>
        <v/>
      </c>
      <c r="AS23" s="430" t="str">
        <f t="shared" si="23"/>
        <v/>
      </c>
      <c r="AT23" s="430" t="str">
        <f t="shared" si="24"/>
        <v/>
      </c>
      <c r="AU23" s="430" t="str">
        <f t="shared" si="25"/>
        <v/>
      </c>
      <c r="AV23" s="430" t="str">
        <f t="shared" si="26"/>
        <v/>
      </c>
      <c r="AW23" s="430" t="str">
        <f t="shared" si="27"/>
        <v/>
      </c>
      <c r="AX23" s="430" t="str">
        <f t="shared" si="28"/>
        <v/>
      </c>
      <c r="AY23" s="430" t="str">
        <f t="shared" si="29"/>
        <v/>
      </c>
      <c r="AZ23" s="430" t="str">
        <f t="shared" si="30"/>
        <v/>
      </c>
      <c r="BA23" s="430" t="str">
        <f t="shared" si="31"/>
        <v/>
      </c>
      <c r="BB23" s="430" t="str">
        <f t="shared" si="32"/>
        <v/>
      </c>
      <c r="BC23" s="430" t="str">
        <f t="shared" si="33"/>
        <v/>
      </c>
      <c r="BD23" s="430" t="str">
        <f t="shared" si="34"/>
        <v/>
      </c>
      <c r="BE23" s="430" t="str">
        <f t="shared" si="35"/>
        <v/>
      </c>
      <c r="BF23" s="430" t="str">
        <f t="shared" si="36"/>
        <v/>
      </c>
      <c r="BG23" s="430" t="str">
        <f t="shared" si="37"/>
        <v/>
      </c>
      <c r="BH23" s="430" t="str">
        <f t="shared" si="38"/>
        <v/>
      </c>
      <c r="BI23" s="430" t="str">
        <f t="shared" si="39"/>
        <v/>
      </c>
      <c r="BJ23" s="430" t="str">
        <f t="shared" si="40"/>
        <v/>
      </c>
      <c r="BK23" s="430" t="str">
        <f t="shared" si="41"/>
        <v/>
      </c>
      <c r="BL23" s="430" t="str">
        <f t="shared" si="42"/>
        <v/>
      </c>
      <c r="BM23" s="430" t="str">
        <f t="shared" si="43"/>
        <v/>
      </c>
      <c r="BN23" s="430" t="str">
        <f t="shared" si="44"/>
        <v/>
      </c>
      <c r="BO23" s="430" t="str">
        <f t="shared" si="45"/>
        <v/>
      </c>
      <c r="BP23" s="430" t="str">
        <f t="shared" si="46"/>
        <v/>
      </c>
      <c r="BQ23" s="430" t="str">
        <f t="shared" si="47"/>
        <v/>
      </c>
      <c r="BR23" s="430" t="str">
        <f t="shared" si="48"/>
        <v/>
      </c>
      <c r="BS23" s="430" t="str">
        <f t="shared" si="49"/>
        <v/>
      </c>
      <c r="BT23" s="430" t="str">
        <f t="shared" si="50"/>
        <v/>
      </c>
      <c r="BU23" s="430" t="str">
        <f t="shared" si="51"/>
        <v/>
      </c>
      <c r="BV23" s="430" t="str">
        <f t="shared" si="52"/>
        <v/>
      </c>
      <c r="BW23" s="430" t="str">
        <f t="shared" si="53"/>
        <v/>
      </c>
      <c r="BX23" s="430" t="str">
        <f t="shared" si="54"/>
        <v/>
      </c>
      <c r="BY23" s="430" t="str">
        <f t="shared" si="55"/>
        <v/>
      </c>
      <c r="BZ23" s="430" t="str">
        <f t="shared" si="56"/>
        <v/>
      </c>
      <c r="CA23" s="430" t="str">
        <f t="shared" si="57"/>
        <v/>
      </c>
      <c r="CB23" s="430" t="str">
        <f t="shared" si="58"/>
        <v/>
      </c>
      <c r="CC23" s="430" t="str">
        <f t="shared" si="59"/>
        <v/>
      </c>
      <c r="CD23" s="430" t="str">
        <f t="shared" si="60"/>
        <v/>
      </c>
      <c r="CE23" s="430" t="str">
        <f t="shared" si="61"/>
        <v/>
      </c>
      <c r="CF23" s="430" t="str">
        <f t="shared" si="62"/>
        <v/>
      </c>
      <c r="CG23" s="430" t="str">
        <f t="shared" si="63"/>
        <v/>
      </c>
      <c r="CH23" s="430" t="str">
        <f t="shared" si="64"/>
        <v/>
      </c>
      <c r="CI23" s="430" t="str">
        <f t="shared" si="65"/>
        <v/>
      </c>
      <c r="CJ23" s="430" t="str">
        <f t="shared" si="66"/>
        <v/>
      </c>
      <c r="CK23" s="430" t="str">
        <f t="shared" si="67"/>
        <v/>
      </c>
      <c r="CL23" s="430" t="str">
        <f t="shared" si="68"/>
        <v/>
      </c>
      <c r="CM23" s="430" t="str">
        <f t="shared" si="69"/>
        <v/>
      </c>
      <c r="CN23" s="430" t="str">
        <f t="shared" si="70"/>
        <v/>
      </c>
      <c r="CO23" s="430" t="str">
        <f t="shared" si="71"/>
        <v/>
      </c>
      <c r="CP23" s="430" t="str">
        <f t="shared" si="72"/>
        <v/>
      </c>
      <c r="CQ23" s="430" t="str">
        <f t="shared" si="73"/>
        <v/>
      </c>
      <c r="CR23" s="430" t="str">
        <f t="shared" si="74"/>
        <v/>
      </c>
      <c r="CS23" s="430" t="str">
        <f t="shared" si="75"/>
        <v/>
      </c>
      <c r="CT23" s="430" t="str">
        <f t="shared" si="76"/>
        <v/>
      </c>
      <c r="CU23" s="430" t="str">
        <f t="shared" si="77"/>
        <v/>
      </c>
      <c r="CV23" s="430" t="str">
        <f t="shared" si="78"/>
        <v/>
      </c>
      <c r="CW23" s="430" t="str">
        <f t="shared" si="79"/>
        <v/>
      </c>
      <c r="CX23" s="430" t="str">
        <f t="shared" si="80"/>
        <v/>
      </c>
      <c r="CY23" s="430" t="str">
        <f t="shared" si="81"/>
        <v/>
      </c>
      <c r="CZ23" s="430" t="str">
        <f t="shared" si="82"/>
        <v/>
      </c>
      <c r="DA23" s="430" t="str">
        <f t="shared" si="83"/>
        <v/>
      </c>
      <c r="DB23" s="430" t="str">
        <f t="shared" si="84"/>
        <v/>
      </c>
      <c r="DC23" s="430" t="str">
        <f t="shared" si="85"/>
        <v/>
      </c>
      <c r="DD23" s="430" t="str">
        <f t="shared" si="86"/>
        <v/>
      </c>
      <c r="DE23" s="430" t="str">
        <f t="shared" si="87"/>
        <v/>
      </c>
      <c r="DF23" s="430" t="str">
        <f t="shared" si="88"/>
        <v/>
      </c>
      <c r="DG23" s="430" t="str">
        <f t="shared" si="89"/>
        <v/>
      </c>
      <c r="DH23" s="430" t="str">
        <f t="shared" si="90"/>
        <v/>
      </c>
      <c r="DI23" s="430" t="str">
        <f t="shared" si="91"/>
        <v/>
      </c>
      <c r="DJ23" s="430" t="str">
        <f t="shared" si="92"/>
        <v/>
      </c>
      <c r="DK23" s="430" t="str">
        <f t="shared" si="93"/>
        <v/>
      </c>
      <c r="DL23" s="430" t="str">
        <f t="shared" si="94"/>
        <v/>
      </c>
      <c r="DM23" s="430" t="str">
        <f t="shared" si="95"/>
        <v/>
      </c>
      <c r="DN23" s="430" t="str">
        <f t="shared" si="96"/>
        <v/>
      </c>
      <c r="DO23" s="430" t="str">
        <f t="shared" si="97"/>
        <v/>
      </c>
      <c r="DP23" s="430" t="str">
        <f t="shared" si="98"/>
        <v/>
      </c>
      <c r="DQ23" s="430" t="str">
        <f t="shared" si="99"/>
        <v/>
      </c>
      <c r="DR23" s="430" t="str">
        <f t="shared" si="100"/>
        <v/>
      </c>
      <c r="DS23" s="430" t="str">
        <f t="shared" si="101"/>
        <v/>
      </c>
      <c r="DT23" s="430" t="str">
        <f t="shared" si="102"/>
        <v/>
      </c>
      <c r="DU23" s="430" t="str">
        <f t="shared" si="103"/>
        <v/>
      </c>
      <c r="DV23" s="430" t="str">
        <f t="shared" si="104"/>
        <v/>
      </c>
      <c r="DW23" s="430" t="str">
        <f t="shared" si="105"/>
        <v/>
      </c>
      <c r="DX23" s="430" t="str">
        <f t="shared" si="106"/>
        <v/>
      </c>
      <c r="DY23" s="430" t="str">
        <f t="shared" si="107"/>
        <v/>
      </c>
      <c r="DZ23" s="430" t="str">
        <f t="shared" si="108"/>
        <v/>
      </c>
      <c r="EA23" s="430" t="str">
        <f t="shared" si="109"/>
        <v/>
      </c>
      <c r="EB23" s="430" t="str">
        <f t="shared" si="110"/>
        <v/>
      </c>
      <c r="EC23" s="430" t="str">
        <f t="shared" si="111"/>
        <v/>
      </c>
      <c r="ED23" s="430" t="str">
        <f t="shared" si="112"/>
        <v/>
      </c>
      <c r="EE23" s="430" t="str">
        <f t="shared" si="113"/>
        <v/>
      </c>
      <c r="EF23" s="430" t="str">
        <f t="shared" si="114"/>
        <v/>
      </c>
      <c r="EG23" s="430" t="str">
        <f t="shared" si="115"/>
        <v/>
      </c>
      <c r="EH23" s="430" t="str">
        <f t="shared" si="116"/>
        <v/>
      </c>
      <c r="EI23" s="430" t="str">
        <f t="shared" si="117"/>
        <v/>
      </c>
      <c r="EJ23" s="430" t="str">
        <f t="shared" si="118"/>
        <v/>
      </c>
      <c r="EK23" s="430" t="str">
        <f t="shared" si="119"/>
        <v/>
      </c>
      <c r="EL23" s="430" t="str">
        <f t="shared" si="120"/>
        <v/>
      </c>
      <c r="EM23" s="430" t="str">
        <f t="shared" si="121"/>
        <v/>
      </c>
      <c r="EN23" s="430" t="str">
        <f t="shared" si="122"/>
        <v/>
      </c>
      <c r="EO23" s="430" t="str">
        <f t="shared" si="123"/>
        <v/>
      </c>
      <c r="EP23" s="430" t="str">
        <f t="shared" si="124"/>
        <v/>
      </c>
      <c r="EQ23" s="430" t="str">
        <f t="shared" si="125"/>
        <v/>
      </c>
      <c r="ER23" s="430" t="str">
        <f t="shared" si="126"/>
        <v/>
      </c>
      <c r="ES23" s="430" t="str">
        <f t="shared" si="127"/>
        <v/>
      </c>
      <c r="ET23" s="430" t="str">
        <f t="shared" si="128"/>
        <v/>
      </c>
      <c r="EU23" s="430" t="str">
        <f t="shared" si="129"/>
        <v/>
      </c>
      <c r="EV23" s="430">
        <f t="shared" si="130"/>
        <v>11800</v>
      </c>
      <c r="EW23" s="430" t="str">
        <f t="shared" si="131"/>
        <v/>
      </c>
      <c r="EX23" s="430" t="str">
        <f t="shared" si="132"/>
        <v/>
      </c>
      <c r="EY23" s="430" t="str">
        <f t="shared" si="133"/>
        <v/>
      </c>
      <c r="EZ23" s="430" t="str">
        <f t="shared" si="134"/>
        <v/>
      </c>
      <c r="FA23" s="430" t="str">
        <f t="shared" si="135"/>
        <v/>
      </c>
      <c r="FB23" s="430" t="str">
        <f t="shared" si="136"/>
        <v/>
      </c>
      <c r="FC23" s="430" t="str">
        <f t="shared" si="137"/>
        <v/>
      </c>
      <c r="FD23" s="430" t="str">
        <f t="shared" si="138"/>
        <v/>
      </c>
      <c r="FE23" s="430" t="str">
        <f t="shared" si="139"/>
        <v/>
      </c>
      <c r="FF23" s="430" t="str">
        <f t="shared" si="140"/>
        <v/>
      </c>
      <c r="FG23" s="430" t="str">
        <f t="shared" si="141"/>
        <v/>
      </c>
      <c r="FH23" s="430" t="str">
        <f t="shared" si="142"/>
        <v/>
      </c>
      <c r="FI23" s="430" t="str">
        <f t="shared" si="143"/>
        <v/>
      </c>
      <c r="FJ23" s="430" t="str">
        <f t="shared" si="144"/>
        <v/>
      </c>
      <c r="FK23" s="430" t="str">
        <f t="shared" si="145"/>
        <v/>
      </c>
      <c r="FL23" s="430" t="str">
        <f t="shared" si="146"/>
        <v/>
      </c>
      <c r="FM23" s="430" t="str">
        <f t="shared" si="147"/>
        <v/>
      </c>
      <c r="FN23" s="430" t="str">
        <f t="shared" si="148"/>
        <v/>
      </c>
      <c r="FO23" s="430" t="str">
        <f t="shared" si="149"/>
        <v/>
      </c>
      <c r="FP23" s="430" t="str">
        <f t="shared" si="150"/>
        <v/>
      </c>
      <c r="FQ23" s="430" t="str">
        <f t="shared" si="151"/>
        <v/>
      </c>
      <c r="FR23" s="430" t="str">
        <f t="shared" si="152"/>
        <v/>
      </c>
      <c r="FS23" s="430" t="str">
        <f t="shared" si="153"/>
        <v/>
      </c>
      <c r="FT23" s="430" t="str">
        <f t="shared" si="154"/>
        <v/>
      </c>
      <c r="FU23" s="430" t="str">
        <f t="shared" si="155"/>
        <v/>
      </c>
      <c r="FV23" s="430" t="str">
        <f t="shared" si="156"/>
        <v/>
      </c>
      <c r="FW23" s="430" t="str">
        <f t="shared" si="157"/>
        <v/>
      </c>
      <c r="FX23" s="430" t="str">
        <f t="shared" si="158"/>
        <v/>
      </c>
      <c r="FY23" s="430" t="str">
        <f t="shared" si="159"/>
        <v/>
      </c>
      <c r="FZ23" s="430" t="str">
        <f t="shared" si="160"/>
        <v/>
      </c>
      <c r="GA23" s="430" t="str">
        <f t="shared" si="161"/>
        <v/>
      </c>
      <c r="GB23" s="430" t="str">
        <f t="shared" si="162"/>
        <v/>
      </c>
      <c r="GC23" s="430" t="str">
        <f t="shared" si="163"/>
        <v/>
      </c>
      <c r="GD23" s="430" t="str">
        <f t="shared" si="164"/>
        <v/>
      </c>
      <c r="GE23" s="430" t="str">
        <f t="shared" si="165"/>
        <v/>
      </c>
      <c r="GF23" s="430" t="str">
        <f t="shared" si="166"/>
        <v/>
      </c>
      <c r="GG23" s="430" t="str">
        <f t="shared" si="167"/>
        <v/>
      </c>
      <c r="GH23" s="430" t="str">
        <f t="shared" si="168"/>
        <v/>
      </c>
      <c r="GI23" s="430" t="str">
        <f t="shared" si="169"/>
        <v/>
      </c>
      <c r="GJ23" s="430">
        <f t="shared" si="170"/>
        <v>10</v>
      </c>
      <c r="GK23" s="430" t="str">
        <f t="shared" si="171"/>
        <v/>
      </c>
      <c r="GL23" s="430" t="str">
        <f t="shared" si="172"/>
        <v/>
      </c>
      <c r="GM23" s="430" t="str">
        <f t="shared" si="173"/>
        <v/>
      </c>
      <c r="GN23" s="430" t="str">
        <f t="shared" si="174"/>
        <v/>
      </c>
      <c r="GO23" s="430" t="str">
        <f t="shared" si="175"/>
        <v/>
      </c>
      <c r="GP23" s="430" t="str">
        <f t="shared" si="176"/>
        <v/>
      </c>
      <c r="GQ23" s="430" t="str">
        <f t="shared" si="177"/>
        <v/>
      </c>
      <c r="GR23" s="430" t="str">
        <f t="shared" si="178"/>
        <v/>
      </c>
      <c r="GS23" s="430" t="str">
        <f t="shared" si="179"/>
        <v/>
      </c>
      <c r="GT23" s="430" t="str">
        <f t="shared" si="180"/>
        <v/>
      </c>
      <c r="GU23" s="430" t="str">
        <f t="shared" si="181"/>
        <v/>
      </c>
      <c r="GV23" s="430" t="str">
        <f t="shared" si="182"/>
        <v/>
      </c>
      <c r="GW23" s="430" t="str">
        <f t="shared" si="183"/>
        <v/>
      </c>
      <c r="GX23" s="430" t="str">
        <f t="shared" si="184"/>
        <v/>
      </c>
      <c r="GY23" s="430" t="str">
        <f t="shared" si="185"/>
        <v/>
      </c>
      <c r="GZ23" s="430" t="str">
        <f t="shared" si="186"/>
        <v/>
      </c>
      <c r="HA23" s="430" t="str">
        <f t="shared" si="187"/>
        <v/>
      </c>
      <c r="HB23" s="430" t="str">
        <f t="shared" si="188"/>
        <v/>
      </c>
      <c r="HC23" s="430" t="str">
        <f t="shared" si="189"/>
        <v/>
      </c>
      <c r="HD23" s="430" t="str">
        <f t="shared" si="190"/>
        <v/>
      </c>
      <c r="HE23" s="430" t="str">
        <f t="shared" si="191"/>
        <v/>
      </c>
      <c r="HF23" s="430" t="str">
        <f t="shared" si="192"/>
        <v/>
      </c>
      <c r="HG23" s="430" t="str">
        <f t="shared" si="193"/>
        <v/>
      </c>
      <c r="HH23" s="430" t="str">
        <f t="shared" si="194"/>
        <v/>
      </c>
      <c r="HI23" s="430" t="str">
        <f t="shared" si="195"/>
        <v/>
      </c>
      <c r="HJ23" s="430" t="str">
        <f t="shared" si="196"/>
        <v/>
      </c>
      <c r="HK23" s="430" t="str">
        <f t="shared" si="197"/>
        <v/>
      </c>
      <c r="HL23" s="430" t="str">
        <f t="shared" si="198"/>
        <v/>
      </c>
      <c r="HM23" s="430" t="str">
        <f t="shared" si="199"/>
        <v/>
      </c>
      <c r="HN23" s="430" t="str">
        <f t="shared" si="200"/>
        <v/>
      </c>
      <c r="HO23" s="430" t="str">
        <f t="shared" si="201"/>
        <v/>
      </c>
      <c r="HP23" s="430" t="str">
        <f t="shared" si="202"/>
        <v/>
      </c>
      <c r="HQ23" s="430" t="str">
        <f t="shared" si="203"/>
        <v/>
      </c>
      <c r="HR23" s="430" t="str">
        <f t="shared" si="204"/>
        <v/>
      </c>
      <c r="HS23" s="430" t="str">
        <f t="shared" si="205"/>
        <v/>
      </c>
      <c r="HT23" s="430" t="str">
        <f t="shared" si="206"/>
        <v/>
      </c>
      <c r="HU23" s="430" t="str">
        <f t="shared" si="207"/>
        <v/>
      </c>
      <c r="HV23" s="430" t="str">
        <f t="shared" si="208"/>
        <v/>
      </c>
      <c r="HW23" s="430" t="str">
        <f t="shared" si="209"/>
        <v/>
      </c>
      <c r="HX23" s="430" t="str">
        <f t="shared" si="210"/>
        <v/>
      </c>
      <c r="HY23" s="430" t="str">
        <f t="shared" si="211"/>
        <v/>
      </c>
      <c r="HZ23" s="1814" t="str">
        <f t="shared" si="212"/>
        <v/>
      </c>
      <c r="IA23" s="1814" t="str">
        <f t="shared" si="213"/>
        <v/>
      </c>
      <c r="IB23" s="1814" t="str">
        <f t="shared" si="214"/>
        <v/>
      </c>
      <c r="IC23" s="1814">
        <f t="shared" si="215"/>
        <v>10</v>
      </c>
      <c r="ID23" s="1814" t="str">
        <f t="shared" si="216"/>
        <v/>
      </c>
      <c r="IE23" s="1814" t="str">
        <f t="shared" si="217"/>
        <v/>
      </c>
      <c r="IF23" s="1814" t="str">
        <f t="shared" si="218"/>
        <v/>
      </c>
      <c r="IG23" s="1814" t="str">
        <f t="shared" si="219"/>
        <v/>
      </c>
      <c r="IH23" s="1814" t="str">
        <f t="shared" si="220"/>
        <v/>
      </c>
      <c r="II23" s="1814" t="str">
        <f t="shared" si="221"/>
        <v/>
      </c>
      <c r="IJ23" s="1814" t="str">
        <f t="shared" si="222"/>
        <v/>
      </c>
      <c r="IK23" s="1814" t="str">
        <f t="shared" si="223"/>
        <v/>
      </c>
      <c r="IL23" s="1814" t="str">
        <f t="shared" si="224"/>
        <v/>
      </c>
      <c r="IM23" s="1814" t="str">
        <f t="shared" si="225"/>
        <v/>
      </c>
      <c r="IN23" s="1814" t="str">
        <f t="shared" si="226"/>
        <v/>
      </c>
      <c r="IO23" s="1814" t="str">
        <f t="shared" si="227"/>
        <v/>
      </c>
      <c r="IP23" s="1814" t="str">
        <f t="shared" si="228"/>
        <v/>
      </c>
      <c r="IQ23" s="1814" t="str">
        <f t="shared" si="229"/>
        <v/>
      </c>
      <c r="IR23" s="1814" t="str">
        <f t="shared" si="230"/>
        <v/>
      </c>
      <c r="IS23" s="1814" t="str">
        <f t="shared" si="231"/>
        <v/>
      </c>
      <c r="IT23" s="1814" t="str">
        <f t="shared" si="232"/>
        <v/>
      </c>
      <c r="IU23" s="1814" t="str">
        <f t="shared" si="233"/>
        <v/>
      </c>
      <c r="IV23" s="1814" t="str">
        <f t="shared" si="234"/>
        <v/>
      </c>
      <c r="IW23" s="1814" t="str">
        <f t="shared" si="235"/>
        <v/>
      </c>
      <c r="IX23" s="1814" t="str">
        <f t="shared" si="236"/>
        <v/>
      </c>
      <c r="IY23" s="1814" t="str">
        <f t="shared" si="237"/>
        <v/>
      </c>
      <c r="IZ23" s="1814" t="str">
        <f t="shared" si="238"/>
        <v/>
      </c>
      <c r="JA23" s="1814" t="str">
        <f t="shared" si="239"/>
        <v/>
      </c>
      <c r="JB23" s="1814" t="str">
        <f t="shared" si="240"/>
        <v/>
      </c>
      <c r="JC23" s="1814" t="str">
        <f t="shared" si="241"/>
        <v/>
      </c>
      <c r="JD23" s="1814" t="str">
        <f t="shared" si="242"/>
        <v/>
      </c>
      <c r="JE23" s="1814" t="str">
        <f t="shared" si="243"/>
        <v/>
      </c>
      <c r="JF23" s="1814" t="str">
        <f t="shared" si="244"/>
        <v/>
      </c>
      <c r="JG23" s="1814" t="str">
        <f t="shared" si="245"/>
        <v/>
      </c>
      <c r="JH23" s="1814" t="str">
        <f t="shared" si="246"/>
        <v/>
      </c>
      <c r="JI23" s="1814" t="str">
        <f t="shared" si="247"/>
        <v/>
      </c>
      <c r="JJ23" s="1814" t="str">
        <f t="shared" si="248"/>
        <v/>
      </c>
      <c r="JK23" s="1814" t="str">
        <f t="shared" si="249"/>
        <v/>
      </c>
      <c r="JL23" s="1814" t="str">
        <f t="shared" si="250"/>
        <v/>
      </c>
      <c r="JM23" s="1814" t="str">
        <f t="shared" si="251"/>
        <v/>
      </c>
      <c r="JN23" s="1814" t="str">
        <f t="shared" si="252"/>
        <v/>
      </c>
      <c r="JO23" s="1814" t="str">
        <f t="shared" si="253"/>
        <v/>
      </c>
      <c r="JP23" s="1814" t="str">
        <f t="shared" si="254"/>
        <v/>
      </c>
      <c r="JQ23" s="1814" t="str">
        <f t="shared" si="255"/>
        <v/>
      </c>
      <c r="JR23" s="1814" t="str">
        <f t="shared" si="256"/>
        <v/>
      </c>
      <c r="JS23" s="1814" t="str">
        <f t="shared" si="257"/>
        <v/>
      </c>
      <c r="JT23" s="1814" t="str">
        <f t="shared" si="258"/>
        <v/>
      </c>
      <c r="JU23" s="1814" t="str">
        <f t="shared" si="259"/>
        <v/>
      </c>
      <c r="JV23" s="1814">
        <f t="shared" si="260"/>
        <v>10</v>
      </c>
      <c r="JW23" s="1814" t="str">
        <f t="shared" si="261"/>
        <v/>
      </c>
      <c r="JX23" s="1814" t="str">
        <f t="shared" si="262"/>
        <v/>
      </c>
      <c r="JY23" s="1814" t="str">
        <f t="shared" si="263"/>
        <v/>
      </c>
      <c r="JZ23" s="1814" t="str">
        <f t="shared" si="264"/>
        <v/>
      </c>
      <c r="KA23" s="1814" t="str">
        <f t="shared" si="265"/>
        <v/>
      </c>
      <c r="KB23" s="1814" t="str">
        <f t="shared" si="266"/>
        <v/>
      </c>
      <c r="KC23" s="1814" t="str">
        <f t="shared" si="267"/>
        <v/>
      </c>
      <c r="KD23" s="1814" t="str">
        <f t="shared" si="268"/>
        <v/>
      </c>
      <c r="KE23" s="1814" t="str">
        <f t="shared" si="269"/>
        <v/>
      </c>
      <c r="KF23" s="1814" t="str">
        <f t="shared" si="270"/>
        <v/>
      </c>
      <c r="KG23" s="1814" t="str">
        <f t="shared" si="271"/>
        <v/>
      </c>
      <c r="KH23" s="1814" t="str">
        <f t="shared" si="272"/>
        <v/>
      </c>
      <c r="KI23" s="1814" t="str">
        <f t="shared" si="273"/>
        <v/>
      </c>
      <c r="KJ23" s="1814" t="str">
        <f t="shared" si="274"/>
        <v/>
      </c>
      <c r="KK23" s="1814" t="str">
        <f t="shared" si="275"/>
        <v/>
      </c>
      <c r="KL23" s="1814" t="str">
        <f t="shared" si="276"/>
        <v/>
      </c>
      <c r="KM23" s="1814" t="str">
        <f t="shared" si="277"/>
        <v/>
      </c>
      <c r="KN23" s="1814" t="str">
        <f t="shared" si="278"/>
        <v/>
      </c>
      <c r="KO23" s="1814" t="str">
        <f t="shared" si="279"/>
        <v/>
      </c>
      <c r="KP23" s="1814" t="str">
        <f t="shared" si="280"/>
        <v/>
      </c>
      <c r="KQ23" s="1814" t="str">
        <f t="shared" si="281"/>
        <v/>
      </c>
      <c r="KR23" s="1814" t="str">
        <f t="shared" si="282"/>
        <v/>
      </c>
      <c r="KS23" s="1814" t="str">
        <f t="shared" si="283"/>
        <v/>
      </c>
      <c r="KT23" s="1814" t="str">
        <f t="shared" si="284"/>
        <v/>
      </c>
      <c r="KU23" s="1814" t="str">
        <f t="shared" si="285"/>
        <v/>
      </c>
      <c r="KV23" s="1814" t="str">
        <f t="shared" si="286"/>
        <v/>
      </c>
      <c r="KW23" s="1814" t="str">
        <f t="shared" si="287"/>
        <v/>
      </c>
      <c r="KX23" s="1814" t="str">
        <f t="shared" si="288"/>
        <v/>
      </c>
      <c r="KY23" s="1814" t="str">
        <f t="shared" si="289"/>
        <v/>
      </c>
      <c r="KZ23" s="1814" t="str">
        <f t="shared" si="290"/>
        <v/>
      </c>
      <c r="LA23" s="1814" t="str">
        <f t="shared" si="291"/>
        <v/>
      </c>
      <c r="LB23" s="1814" t="str">
        <f t="shared" si="292"/>
        <v/>
      </c>
      <c r="LC23" s="1814" t="str">
        <f t="shared" si="293"/>
        <v/>
      </c>
      <c r="LD23" s="1814" t="str">
        <f t="shared" si="294"/>
        <v/>
      </c>
      <c r="LE23" s="1814" t="str">
        <f t="shared" si="295"/>
        <v/>
      </c>
      <c r="LF23" s="1814" t="str">
        <f t="shared" si="296"/>
        <v/>
      </c>
      <c r="LG23" s="1786" t="str">
        <f t="shared" si="297"/>
        <v/>
      </c>
      <c r="LH23" s="1786" t="str">
        <f t="shared" si="298"/>
        <v/>
      </c>
      <c r="LI23" s="1786" t="str">
        <f t="shared" si="299"/>
        <v/>
      </c>
      <c r="LJ23" s="1786" t="str">
        <f t="shared" si="300"/>
        <v/>
      </c>
      <c r="LK23" s="1786" t="str">
        <f t="shared" si="301"/>
        <v/>
      </c>
      <c r="LL23" s="430" t="str">
        <f t="shared" si="302"/>
        <v/>
      </c>
      <c r="LM23" s="430" t="str">
        <f t="shared" si="303"/>
        <v/>
      </c>
      <c r="LN23" s="430" t="str">
        <f t="shared" si="304"/>
        <v/>
      </c>
      <c r="LO23" s="430" t="str">
        <f t="shared" si="305"/>
        <v/>
      </c>
      <c r="LP23" s="430" t="str">
        <f t="shared" si="306"/>
        <v/>
      </c>
      <c r="LQ23" s="430" t="str">
        <f t="shared" si="307"/>
        <v/>
      </c>
      <c r="LR23" s="430" t="str">
        <f t="shared" si="308"/>
        <v/>
      </c>
      <c r="LS23" s="430" t="str">
        <f t="shared" si="309"/>
        <v/>
      </c>
      <c r="LT23" s="430" t="str">
        <f t="shared" si="310"/>
        <v/>
      </c>
      <c r="LU23" s="430" t="str">
        <f t="shared" si="311"/>
        <v/>
      </c>
      <c r="LV23" s="430" t="str">
        <f t="shared" si="312"/>
        <v/>
      </c>
      <c r="LW23" s="430" t="str">
        <f t="shared" si="313"/>
        <v/>
      </c>
      <c r="LX23" s="430" t="str">
        <f t="shared" si="314"/>
        <v/>
      </c>
      <c r="LY23" s="430" t="str">
        <f t="shared" si="315"/>
        <v/>
      </c>
      <c r="LZ23" s="430" t="str">
        <f t="shared" si="316"/>
        <v/>
      </c>
      <c r="MA23" s="430" t="str">
        <f t="shared" si="317"/>
        <v/>
      </c>
      <c r="MB23" s="430" t="str">
        <f t="shared" si="318"/>
        <v/>
      </c>
      <c r="MC23" s="430" t="str">
        <f t="shared" si="319"/>
        <v/>
      </c>
      <c r="MD23" s="430" t="str">
        <f t="shared" si="320"/>
        <v/>
      </c>
      <c r="ME23" s="430" t="str">
        <f t="shared" si="321"/>
        <v/>
      </c>
      <c r="MF23" s="1815">
        <f t="shared" si="328"/>
        <v>0</v>
      </c>
      <c r="MG23" s="1815">
        <f t="shared" si="329"/>
        <v>0</v>
      </c>
      <c r="MH23" s="1815">
        <f t="shared" si="330"/>
        <v>0</v>
      </c>
      <c r="MI23" s="1815">
        <f t="shared" si="331"/>
        <v>0</v>
      </c>
      <c r="MJ23" s="1815">
        <f t="shared" si="332"/>
        <v>0</v>
      </c>
      <c r="MK23" s="1815">
        <f t="shared" si="333"/>
        <v>0</v>
      </c>
      <c r="ML23" s="1815">
        <f t="shared" si="334"/>
        <v>0</v>
      </c>
      <c r="MM23" s="1815">
        <f t="shared" si="335"/>
        <v>0</v>
      </c>
      <c r="MN23" s="1815">
        <f t="shared" si="336"/>
        <v>10</v>
      </c>
      <c r="MO23" s="1815">
        <f t="shared" si="337"/>
        <v>0</v>
      </c>
      <c r="MP23" s="1815">
        <f t="shared" si="322"/>
        <v>0</v>
      </c>
      <c r="MQ23" s="1815">
        <f t="shared" si="323"/>
        <v>0</v>
      </c>
      <c r="MR23" s="1815">
        <f t="shared" si="324"/>
        <v>0</v>
      </c>
      <c r="MS23" s="1815">
        <f t="shared" si="325"/>
        <v>0</v>
      </c>
      <c r="MT23" s="1815">
        <f t="shared" si="326"/>
        <v>0</v>
      </c>
      <c r="NP23" s="2807" t="s">
        <v>6729</v>
      </c>
    </row>
    <row r="24" spans="1:380" ht="13.9" customHeight="1">
      <c r="A24" s="108" t="str">
        <f t="shared" si="327"/>
        <v/>
      </c>
      <c r="B24" s="2896"/>
      <c r="C24" s="2869"/>
      <c r="D24" s="2870"/>
      <c r="E24" s="2871"/>
      <c r="F24" s="2871"/>
      <c r="G24" s="2871"/>
      <c r="H24" s="2871"/>
      <c r="I24" s="2871"/>
      <c r="J24" s="2897">
        <f>IF(C24="",0,HLOOKUP(C24,'Part V-Utility Allowances'!$I$11:$M$22,12))</f>
        <v>0</v>
      </c>
      <c r="K24" s="2873"/>
      <c r="L24" s="537">
        <f t="shared" si="0"/>
        <v>0</v>
      </c>
      <c r="M24" s="537">
        <f t="shared" si="1"/>
        <v>0</v>
      </c>
      <c r="N24" s="2712"/>
      <c r="O24" s="2874"/>
      <c r="P24" s="2712"/>
      <c r="Q24" s="2875"/>
      <c r="R24" s="2876"/>
      <c r="S24" s="2877"/>
      <c r="T24" s="3833"/>
      <c r="U24" s="3834"/>
      <c r="V24" s="3834"/>
      <c r="W24" s="3835"/>
      <c r="X24" s="430" t="str">
        <f t="shared" si="2"/>
        <v/>
      </c>
      <c r="Y24" s="430" t="str">
        <f t="shared" si="3"/>
        <v/>
      </c>
      <c r="Z24" s="430" t="str">
        <f t="shared" si="4"/>
        <v/>
      </c>
      <c r="AA24" s="430" t="str">
        <f t="shared" si="5"/>
        <v/>
      </c>
      <c r="AB24" s="430" t="str">
        <f t="shared" si="6"/>
        <v/>
      </c>
      <c r="AC24" s="430" t="str">
        <f t="shared" si="7"/>
        <v/>
      </c>
      <c r="AD24" s="430" t="str">
        <f t="shared" si="8"/>
        <v/>
      </c>
      <c r="AE24" s="430" t="str">
        <f t="shared" si="9"/>
        <v/>
      </c>
      <c r="AF24" s="430" t="str">
        <f t="shared" si="10"/>
        <v/>
      </c>
      <c r="AG24" s="430" t="str">
        <f t="shared" si="11"/>
        <v/>
      </c>
      <c r="AH24" s="430" t="str">
        <f t="shared" si="12"/>
        <v/>
      </c>
      <c r="AI24" s="430" t="str">
        <f t="shared" si="13"/>
        <v/>
      </c>
      <c r="AJ24" s="430" t="str">
        <f t="shared" si="14"/>
        <v/>
      </c>
      <c r="AK24" s="430" t="str">
        <f t="shared" si="15"/>
        <v/>
      </c>
      <c r="AL24" s="430" t="str">
        <f t="shared" si="16"/>
        <v/>
      </c>
      <c r="AM24" s="430" t="str">
        <f t="shared" si="17"/>
        <v/>
      </c>
      <c r="AN24" s="430" t="str">
        <f t="shared" si="18"/>
        <v/>
      </c>
      <c r="AO24" s="430" t="str">
        <f t="shared" si="19"/>
        <v/>
      </c>
      <c r="AP24" s="430" t="str">
        <f t="shared" si="20"/>
        <v/>
      </c>
      <c r="AQ24" s="430" t="str">
        <f t="shared" si="21"/>
        <v/>
      </c>
      <c r="AR24" s="430" t="str">
        <f t="shared" si="22"/>
        <v/>
      </c>
      <c r="AS24" s="430" t="str">
        <f t="shared" si="23"/>
        <v/>
      </c>
      <c r="AT24" s="430" t="str">
        <f t="shared" si="24"/>
        <v/>
      </c>
      <c r="AU24" s="430" t="str">
        <f t="shared" si="25"/>
        <v/>
      </c>
      <c r="AV24" s="430" t="str">
        <f t="shared" si="26"/>
        <v/>
      </c>
      <c r="AW24" s="430" t="str">
        <f t="shared" si="27"/>
        <v/>
      </c>
      <c r="AX24" s="430" t="str">
        <f t="shared" si="28"/>
        <v/>
      </c>
      <c r="AY24" s="430" t="str">
        <f t="shared" si="29"/>
        <v/>
      </c>
      <c r="AZ24" s="430" t="str">
        <f t="shared" si="30"/>
        <v/>
      </c>
      <c r="BA24" s="430" t="str">
        <f t="shared" si="31"/>
        <v/>
      </c>
      <c r="BB24" s="430" t="str">
        <f t="shared" si="32"/>
        <v/>
      </c>
      <c r="BC24" s="430" t="str">
        <f t="shared" si="33"/>
        <v/>
      </c>
      <c r="BD24" s="430" t="str">
        <f t="shared" si="34"/>
        <v/>
      </c>
      <c r="BE24" s="430" t="str">
        <f t="shared" si="35"/>
        <v/>
      </c>
      <c r="BF24" s="430" t="str">
        <f t="shared" si="36"/>
        <v/>
      </c>
      <c r="BG24" s="430" t="str">
        <f t="shared" si="37"/>
        <v/>
      </c>
      <c r="BH24" s="430" t="str">
        <f t="shared" si="38"/>
        <v/>
      </c>
      <c r="BI24" s="430" t="str">
        <f t="shared" si="39"/>
        <v/>
      </c>
      <c r="BJ24" s="430" t="str">
        <f t="shared" si="40"/>
        <v/>
      </c>
      <c r="BK24" s="430" t="str">
        <f t="shared" si="41"/>
        <v/>
      </c>
      <c r="BL24" s="430" t="str">
        <f t="shared" si="42"/>
        <v/>
      </c>
      <c r="BM24" s="430" t="str">
        <f t="shared" si="43"/>
        <v/>
      </c>
      <c r="BN24" s="430" t="str">
        <f t="shared" si="44"/>
        <v/>
      </c>
      <c r="BO24" s="430" t="str">
        <f t="shared" si="45"/>
        <v/>
      </c>
      <c r="BP24" s="430" t="str">
        <f t="shared" si="46"/>
        <v/>
      </c>
      <c r="BQ24" s="430" t="str">
        <f t="shared" si="47"/>
        <v/>
      </c>
      <c r="BR24" s="430" t="str">
        <f t="shared" si="48"/>
        <v/>
      </c>
      <c r="BS24" s="430" t="str">
        <f t="shared" si="49"/>
        <v/>
      </c>
      <c r="BT24" s="430" t="str">
        <f t="shared" si="50"/>
        <v/>
      </c>
      <c r="BU24" s="430" t="str">
        <f t="shared" si="51"/>
        <v/>
      </c>
      <c r="BV24" s="430" t="str">
        <f t="shared" si="52"/>
        <v/>
      </c>
      <c r="BW24" s="430" t="str">
        <f t="shared" si="53"/>
        <v/>
      </c>
      <c r="BX24" s="430" t="str">
        <f t="shared" si="54"/>
        <v/>
      </c>
      <c r="BY24" s="430" t="str">
        <f t="shared" si="55"/>
        <v/>
      </c>
      <c r="BZ24" s="430" t="str">
        <f t="shared" si="56"/>
        <v/>
      </c>
      <c r="CA24" s="430" t="str">
        <f t="shared" si="57"/>
        <v/>
      </c>
      <c r="CB24" s="430" t="str">
        <f t="shared" si="58"/>
        <v/>
      </c>
      <c r="CC24" s="430" t="str">
        <f t="shared" si="59"/>
        <v/>
      </c>
      <c r="CD24" s="430" t="str">
        <f t="shared" si="60"/>
        <v/>
      </c>
      <c r="CE24" s="430" t="str">
        <f t="shared" si="61"/>
        <v/>
      </c>
      <c r="CF24" s="430" t="str">
        <f t="shared" si="62"/>
        <v/>
      </c>
      <c r="CG24" s="430" t="str">
        <f t="shared" si="63"/>
        <v/>
      </c>
      <c r="CH24" s="430" t="str">
        <f t="shared" si="64"/>
        <v/>
      </c>
      <c r="CI24" s="430" t="str">
        <f t="shared" si="65"/>
        <v/>
      </c>
      <c r="CJ24" s="430" t="str">
        <f t="shared" si="66"/>
        <v/>
      </c>
      <c r="CK24" s="430" t="str">
        <f t="shared" si="67"/>
        <v/>
      </c>
      <c r="CL24" s="430" t="str">
        <f t="shared" si="68"/>
        <v/>
      </c>
      <c r="CM24" s="430" t="str">
        <f t="shared" si="69"/>
        <v/>
      </c>
      <c r="CN24" s="430" t="str">
        <f t="shared" si="70"/>
        <v/>
      </c>
      <c r="CO24" s="430" t="str">
        <f t="shared" si="71"/>
        <v/>
      </c>
      <c r="CP24" s="430" t="str">
        <f t="shared" si="72"/>
        <v/>
      </c>
      <c r="CQ24" s="430" t="str">
        <f t="shared" si="73"/>
        <v/>
      </c>
      <c r="CR24" s="430" t="str">
        <f t="shared" si="74"/>
        <v/>
      </c>
      <c r="CS24" s="430" t="str">
        <f t="shared" si="75"/>
        <v/>
      </c>
      <c r="CT24" s="430" t="str">
        <f t="shared" si="76"/>
        <v/>
      </c>
      <c r="CU24" s="430" t="str">
        <f t="shared" si="77"/>
        <v/>
      </c>
      <c r="CV24" s="430" t="str">
        <f t="shared" si="78"/>
        <v/>
      </c>
      <c r="CW24" s="430" t="str">
        <f t="shared" si="79"/>
        <v/>
      </c>
      <c r="CX24" s="430" t="str">
        <f t="shared" si="80"/>
        <v/>
      </c>
      <c r="CY24" s="430" t="str">
        <f t="shared" si="81"/>
        <v/>
      </c>
      <c r="CZ24" s="430" t="str">
        <f t="shared" si="82"/>
        <v/>
      </c>
      <c r="DA24" s="430" t="str">
        <f t="shared" si="83"/>
        <v/>
      </c>
      <c r="DB24" s="430" t="str">
        <f t="shared" si="84"/>
        <v/>
      </c>
      <c r="DC24" s="430" t="str">
        <f t="shared" si="85"/>
        <v/>
      </c>
      <c r="DD24" s="430" t="str">
        <f t="shared" si="86"/>
        <v/>
      </c>
      <c r="DE24" s="430" t="str">
        <f t="shared" si="87"/>
        <v/>
      </c>
      <c r="DF24" s="430" t="str">
        <f t="shared" si="88"/>
        <v/>
      </c>
      <c r="DG24" s="430" t="str">
        <f t="shared" si="89"/>
        <v/>
      </c>
      <c r="DH24" s="430" t="str">
        <f t="shared" si="90"/>
        <v/>
      </c>
      <c r="DI24" s="430" t="str">
        <f t="shared" si="91"/>
        <v/>
      </c>
      <c r="DJ24" s="430" t="str">
        <f t="shared" si="92"/>
        <v/>
      </c>
      <c r="DK24" s="430" t="str">
        <f t="shared" si="93"/>
        <v/>
      </c>
      <c r="DL24" s="430" t="str">
        <f t="shared" si="94"/>
        <v/>
      </c>
      <c r="DM24" s="430" t="str">
        <f t="shared" si="95"/>
        <v/>
      </c>
      <c r="DN24" s="430" t="str">
        <f t="shared" si="96"/>
        <v/>
      </c>
      <c r="DO24" s="430" t="str">
        <f t="shared" si="97"/>
        <v/>
      </c>
      <c r="DP24" s="430" t="str">
        <f t="shared" si="98"/>
        <v/>
      </c>
      <c r="DQ24" s="430" t="str">
        <f t="shared" si="99"/>
        <v/>
      </c>
      <c r="DR24" s="430" t="str">
        <f t="shared" si="100"/>
        <v/>
      </c>
      <c r="DS24" s="430" t="str">
        <f t="shared" si="101"/>
        <v/>
      </c>
      <c r="DT24" s="430" t="str">
        <f t="shared" si="102"/>
        <v/>
      </c>
      <c r="DU24" s="430" t="str">
        <f t="shared" si="103"/>
        <v/>
      </c>
      <c r="DV24" s="430" t="str">
        <f t="shared" si="104"/>
        <v/>
      </c>
      <c r="DW24" s="430" t="str">
        <f t="shared" si="105"/>
        <v/>
      </c>
      <c r="DX24" s="430" t="str">
        <f t="shared" si="106"/>
        <v/>
      </c>
      <c r="DY24" s="430" t="str">
        <f t="shared" si="107"/>
        <v/>
      </c>
      <c r="DZ24" s="430" t="str">
        <f t="shared" si="108"/>
        <v/>
      </c>
      <c r="EA24" s="430" t="str">
        <f t="shared" si="109"/>
        <v/>
      </c>
      <c r="EB24" s="430" t="str">
        <f t="shared" si="110"/>
        <v/>
      </c>
      <c r="EC24" s="430" t="str">
        <f t="shared" si="111"/>
        <v/>
      </c>
      <c r="ED24" s="430" t="str">
        <f t="shared" si="112"/>
        <v/>
      </c>
      <c r="EE24" s="430" t="str">
        <f t="shared" si="113"/>
        <v/>
      </c>
      <c r="EF24" s="430" t="str">
        <f t="shared" si="114"/>
        <v/>
      </c>
      <c r="EG24" s="430" t="str">
        <f t="shared" si="115"/>
        <v/>
      </c>
      <c r="EH24" s="430" t="str">
        <f t="shared" si="116"/>
        <v/>
      </c>
      <c r="EI24" s="430" t="str">
        <f t="shared" si="117"/>
        <v/>
      </c>
      <c r="EJ24" s="430" t="str">
        <f t="shared" si="118"/>
        <v/>
      </c>
      <c r="EK24" s="430" t="str">
        <f t="shared" si="119"/>
        <v/>
      </c>
      <c r="EL24" s="430" t="str">
        <f t="shared" si="120"/>
        <v/>
      </c>
      <c r="EM24" s="430" t="str">
        <f t="shared" si="121"/>
        <v/>
      </c>
      <c r="EN24" s="430" t="str">
        <f t="shared" si="122"/>
        <v/>
      </c>
      <c r="EO24" s="430" t="str">
        <f t="shared" si="123"/>
        <v/>
      </c>
      <c r="EP24" s="430" t="str">
        <f t="shared" si="124"/>
        <v/>
      </c>
      <c r="EQ24" s="430" t="str">
        <f t="shared" si="125"/>
        <v/>
      </c>
      <c r="ER24" s="430" t="str">
        <f t="shared" si="126"/>
        <v/>
      </c>
      <c r="ES24" s="430" t="str">
        <f t="shared" si="127"/>
        <v/>
      </c>
      <c r="ET24" s="430" t="str">
        <f t="shared" si="128"/>
        <v/>
      </c>
      <c r="EU24" s="430" t="str">
        <f t="shared" si="129"/>
        <v/>
      </c>
      <c r="EV24" s="430" t="str">
        <f t="shared" si="130"/>
        <v/>
      </c>
      <c r="EW24" s="430" t="str">
        <f t="shared" si="131"/>
        <v/>
      </c>
      <c r="EX24" s="430" t="str">
        <f t="shared" si="132"/>
        <v/>
      </c>
      <c r="EY24" s="430" t="str">
        <f t="shared" si="133"/>
        <v/>
      </c>
      <c r="EZ24" s="430" t="str">
        <f t="shared" si="134"/>
        <v/>
      </c>
      <c r="FA24" s="430" t="str">
        <f t="shared" si="135"/>
        <v/>
      </c>
      <c r="FB24" s="430" t="str">
        <f t="shared" si="136"/>
        <v/>
      </c>
      <c r="FC24" s="430" t="str">
        <f t="shared" si="137"/>
        <v/>
      </c>
      <c r="FD24" s="430" t="str">
        <f t="shared" si="138"/>
        <v/>
      </c>
      <c r="FE24" s="430" t="str">
        <f t="shared" si="139"/>
        <v/>
      </c>
      <c r="FF24" s="430" t="str">
        <f t="shared" si="140"/>
        <v/>
      </c>
      <c r="FG24" s="430" t="str">
        <f t="shared" si="141"/>
        <v/>
      </c>
      <c r="FH24" s="430" t="str">
        <f t="shared" si="142"/>
        <v/>
      </c>
      <c r="FI24" s="430" t="str">
        <f t="shared" si="143"/>
        <v/>
      </c>
      <c r="FJ24" s="430" t="str">
        <f t="shared" si="144"/>
        <v/>
      </c>
      <c r="FK24" s="430" t="str">
        <f t="shared" si="145"/>
        <v/>
      </c>
      <c r="FL24" s="430" t="str">
        <f t="shared" si="146"/>
        <v/>
      </c>
      <c r="FM24" s="430" t="str">
        <f t="shared" si="147"/>
        <v/>
      </c>
      <c r="FN24" s="430" t="str">
        <f t="shared" si="148"/>
        <v/>
      </c>
      <c r="FO24" s="430" t="str">
        <f t="shared" si="149"/>
        <v/>
      </c>
      <c r="FP24" s="430" t="str">
        <f t="shared" si="150"/>
        <v/>
      </c>
      <c r="FQ24" s="430" t="str">
        <f t="shared" si="151"/>
        <v/>
      </c>
      <c r="FR24" s="430" t="str">
        <f t="shared" si="152"/>
        <v/>
      </c>
      <c r="FS24" s="430" t="str">
        <f t="shared" si="153"/>
        <v/>
      </c>
      <c r="FT24" s="430" t="str">
        <f t="shared" si="154"/>
        <v/>
      </c>
      <c r="FU24" s="430" t="str">
        <f t="shared" si="155"/>
        <v/>
      </c>
      <c r="FV24" s="430" t="str">
        <f t="shared" si="156"/>
        <v/>
      </c>
      <c r="FW24" s="430" t="str">
        <f t="shared" si="157"/>
        <v/>
      </c>
      <c r="FX24" s="430" t="str">
        <f t="shared" si="158"/>
        <v/>
      </c>
      <c r="FY24" s="430" t="str">
        <f t="shared" si="159"/>
        <v/>
      </c>
      <c r="FZ24" s="430" t="str">
        <f t="shared" si="160"/>
        <v/>
      </c>
      <c r="GA24" s="430" t="str">
        <f t="shared" si="161"/>
        <v/>
      </c>
      <c r="GB24" s="430" t="str">
        <f t="shared" si="162"/>
        <v/>
      </c>
      <c r="GC24" s="430" t="str">
        <f t="shared" si="163"/>
        <v/>
      </c>
      <c r="GD24" s="430" t="str">
        <f t="shared" si="164"/>
        <v/>
      </c>
      <c r="GE24" s="430" t="str">
        <f t="shared" si="165"/>
        <v/>
      </c>
      <c r="GF24" s="430" t="str">
        <f t="shared" si="166"/>
        <v/>
      </c>
      <c r="GG24" s="430" t="str">
        <f t="shared" si="167"/>
        <v/>
      </c>
      <c r="GH24" s="430" t="str">
        <f t="shared" si="168"/>
        <v/>
      </c>
      <c r="GI24" s="430" t="str">
        <f t="shared" si="169"/>
        <v/>
      </c>
      <c r="GJ24" s="430" t="str">
        <f t="shared" si="170"/>
        <v/>
      </c>
      <c r="GK24" s="430" t="str">
        <f t="shared" si="171"/>
        <v/>
      </c>
      <c r="GL24" s="430" t="str">
        <f t="shared" si="172"/>
        <v/>
      </c>
      <c r="GM24" s="430" t="str">
        <f t="shared" si="173"/>
        <v/>
      </c>
      <c r="GN24" s="430" t="str">
        <f t="shared" si="174"/>
        <v/>
      </c>
      <c r="GO24" s="430" t="str">
        <f t="shared" si="175"/>
        <v/>
      </c>
      <c r="GP24" s="430" t="str">
        <f t="shared" si="176"/>
        <v/>
      </c>
      <c r="GQ24" s="430" t="str">
        <f t="shared" si="177"/>
        <v/>
      </c>
      <c r="GR24" s="430" t="str">
        <f t="shared" si="178"/>
        <v/>
      </c>
      <c r="GS24" s="430" t="str">
        <f t="shared" si="179"/>
        <v/>
      </c>
      <c r="GT24" s="430" t="str">
        <f t="shared" si="180"/>
        <v/>
      </c>
      <c r="GU24" s="430" t="str">
        <f t="shared" si="181"/>
        <v/>
      </c>
      <c r="GV24" s="430" t="str">
        <f t="shared" si="182"/>
        <v/>
      </c>
      <c r="GW24" s="430" t="str">
        <f t="shared" si="183"/>
        <v/>
      </c>
      <c r="GX24" s="430" t="str">
        <f t="shared" si="184"/>
        <v/>
      </c>
      <c r="GY24" s="430" t="str">
        <f t="shared" si="185"/>
        <v/>
      </c>
      <c r="GZ24" s="430" t="str">
        <f t="shared" si="186"/>
        <v/>
      </c>
      <c r="HA24" s="430" t="str">
        <f t="shared" si="187"/>
        <v/>
      </c>
      <c r="HB24" s="430" t="str">
        <f t="shared" si="188"/>
        <v/>
      </c>
      <c r="HC24" s="430" t="str">
        <f t="shared" si="189"/>
        <v/>
      </c>
      <c r="HD24" s="430" t="str">
        <f t="shared" si="190"/>
        <v/>
      </c>
      <c r="HE24" s="430" t="str">
        <f t="shared" si="191"/>
        <v/>
      </c>
      <c r="HF24" s="430" t="str">
        <f t="shared" si="192"/>
        <v/>
      </c>
      <c r="HG24" s="430" t="str">
        <f t="shared" si="193"/>
        <v/>
      </c>
      <c r="HH24" s="430" t="str">
        <f t="shared" si="194"/>
        <v/>
      </c>
      <c r="HI24" s="430" t="str">
        <f t="shared" si="195"/>
        <v/>
      </c>
      <c r="HJ24" s="430" t="str">
        <f t="shared" si="196"/>
        <v/>
      </c>
      <c r="HK24" s="430" t="str">
        <f t="shared" si="197"/>
        <v/>
      </c>
      <c r="HL24" s="430" t="str">
        <f t="shared" si="198"/>
        <v/>
      </c>
      <c r="HM24" s="430" t="str">
        <f t="shared" si="199"/>
        <v/>
      </c>
      <c r="HN24" s="430" t="str">
        <f t="shared" si="200"/>
        <v/>
      </c>
      <c r="HO24" s="430" t="str">
        <f t="shared" si="201"/>
        <v/>
      </c>
      <c r="HP24" s="430" t="str">
        <f t="shared" si="202"/>
        <v/>
      </c>
      <c r="HQ24" s="430" t="str">
        <f t="shared" si="203"/>
        <v/>
      </c>
      <c r="HR24" s="430" t="str">
        <f t="shared" si="204"/>
        <v/>
      </c>
      <c r="HS24" s="430" t="str">
        <f t="shared" si="205"/>
        <v/>
      </c>
      <c r="HT24" s="430" t="str">
        <f t="shared" si="206"/>
        <v/>
      </c>
      <c r="HU24" s="430" t="str">
        <f t="shared" si="207"/>
        <v/>
      </c>
      <c r="HV24" s="430" t="str">
        <f t="shared" si="208"/>
        <v/>
      </c>
      <c r="HW24" s="430" t="str">
        <f t="shared" si="209"/>
        <v/>
      </c>
      <c r="HX24" s="430" t="str">
        <f t="shared" si="210"/>
        <v/>
      </c>
      <c r="HY24" s="430" t="str">
        <f t="shared" si="211"/>
        <v/>
      </c>
      <c r="HZ24" s="1814" t="str">
        <f t="shared" si="212"/>
        <v/>
      </c>
      <c r="IA24" s="1814" t="str">
        <f t="shared" si="213"/>
        <v/>
      </c>
      <c r="IB24" s="1814" t="str">
        <f t="shared" si="214"/>
        <v/>
      </c>
      <c r="IC24" s="1814" t="str">
        <f t="shared" si="215"/>
        <v/>
      </c>
      <c r="ID24" s="1814" t="str">
        <f t="shared" si="216"/>
        <v/>
      </c>
      <c r="IE24" s="1814" t="str">
        <f t="shared" si="217"/>
        <v/>
      </c>
      <c r="IF24" s="1814" t="str">
        <f t="shared" si="218"/>
        <v/>
      </c>
      <c r="IG24" s="1814" t="str">
        <f t="shared" si="219"/>
        <v/>
      </c>
      <c r="IH24" s="1814" t="str">
        <f t="shared" si="220"/>
        <v/>
      </c>
      <c r="II24" s="1814" t="str">
        <f t="shared" si="221"/>
        <v/>
      </c>
      <c r="IJ24" s="1814" t="str">
        <f t="shared" si="222"/>
        <v/>
      </c>
      <c r="IK24" s="1814" t="str">
        <f t="shared" si="223"/>
        <v/>
      </c>
      <c r="IL24" s="1814" t="str">
        <f t="shared" si="224"/>
        <v/>
      </c>
      <c r="IM24" s="1814" t="str">
        <f t="shared" si="225"/>
        <v/>
      </c>
      <c r="IN24" s="1814" t="str">
        <f t="shared" si="226"/>
        <v/>
      </c>
      <c r="IO24" s="1814" t="str">
        <f t="shared" si="227"/>
        <v/>
      </c>
      <c r="IP24" s="1814" t="str">
        <f t="shared" si="228"/>
        <v/>
      </c>
      <c r="IQ24" s="1814" t="str">
        <f t="shared" si="229"/>
        <v/>
      </c>
      <c r="IR24" s="1814" t="str">
        <f t="shared" si="230"/>
        <v/>
      </c>
      <c r="IS24" s="1814" t="str">
        <f t="shared" si="231"/>
        <v/>
      </c>
      <c r="IT24" s="1814" t="str">
        <f t="shared" si="232"/>
        <v/>
      </c>
      <c r="IU24" s="1814" t="str">
        <f t="shared" si="233"/>
        <v/>
      </c>
      <c r="IV24" s="1814" t="str">
        <f t="shared" si="234"/>
        <v/>
      </c>
      <c r="IW24" s="1814" t="str">
        <f t="shared" si="235"/>
        <v/>
      </c>
      <c r="IX24" s="1814" t="str">
        <f t="shared" si="236"/>
        <v/>
      </c>
      <c r="IY24" s="1814" t="str">
        <f t="shared" si="237"/>
        <v/>
      </c>
      <c r="IZ24" s="1814" t="str">
        <f t="shared" si="238"/>
        <v/>
      </c>
      <c r="JA24" s="1814" t="str">
        <f t="shared" si="239"/>
        <v/>
      </c>
      <c r="JB24" s="1814" t="str">
        <f t="shared" si="240"/>
        <v/>
      </c>
      <c r="JC24" s="1814" t="str">
        <f t="shared" si="241"/>
        <v/>
      </c>
      <c r="JD24" s="1814" t="str">
        <f t="shared" si="242"/>
        <v/>
      </c>
      <c r="JE24" s="1814" t="str">
        <f t="shared" si="243"/>
        <v/>
      </c>
      <c r="JF24" s="1814" t="str">
        <f t="shared" si="244"/>
        <v/>
      </c>
      <c r="JG24" s="1814" t="str">
        <f t="shared" si="245"/>
        <v/>
      </c>
      <c r="JH24" s="1814" t="str">
        <f t="shared" si="246"/>
        <v/>
      </c>
      <c r="JI24" s="1814" t="str">
        <f t="shared" si="247"/>
        <v/>
      </c>
      <c r="JJ24" s="1814" t="str">
        <f t="shared" si="248"/>
        <v/>
      </c>
      <c r="JK24" s="1814" t="str">
        <f t="shared" si="249"/>
        <v/>
      </c>
      <c r="JL24" s="1814" t="str">
        <f t="shared" si="250"/>
        <v/>
      </c>
      <c r="JM24" s="1814" t="str">
        <f t="shared" si="251"/>
        <v/>
      </c>
      <c r="JN24" s="1814" t="str">
        <f t="shared" si="252"/>
        <v/>
      </c>
      <c r="JO24" s="1814" t="str">
        <f t="shared" si="253"/>
        <v/>
      </c>
      <c r="JP24" s="1814" t="str">
        <f t="shared" si="254"/>
        <v/>
      </c>
      <c r="JQ24" s="1814" t="str">
        <f t="shared" si="255"/>
        <v/>
      </c>
      <c r="JR24" s="1814" t="str">
        <f t="shared" si="256"/>
        <v/>
      </c>
      <c r="JS24" s="1814" t="str">
        <f t="shared" si="257"/>
        <v/>
      </c>
      <c r="JT24" s="1814" t="str">
        <f t="shared" si="258"/>
        <v/>
      </c>
      <c r="JU24" s="1814" t="str">
        <f t="shared" si="259"/>
        <v/>
      </c>
      <c r="JV24" s="1814" t="str">
        <f t="shared" si="260"/>
        <v/>
      </c>
      <c r="JW24" s="1814" t="str">
        <f t="shared" si="261"/>
        <v/>
      </c>
      <c r="JX24" s="1814" t="str">
        <f t="shared" si="262"/>
        <v/>
      </c>
      <c r="JY24" s="1814" t="str">
        <f t="shared" si="263"/>
        <v/>
      </c>
      <c r="JZ24" s="1814" t="str">
        <f t="shared" si="264"/>
        <v/>
      </c>
      <c r="KA24" s="1814" t="str">
        <f t="shared" si="265"/>
        <v/>
      </c>
      <c r="KB24" s="1814" t="str">
        <f t="shared" si="266"/>
        <v/>
      </c>
      <c r="KC24" s="1814" t="str">
        <f t="shared" si="267"/>
        <v/>
      </c>
      <c r="KD24" s="1814" t="str">
        <f t="shared" si="268"/>
        <v/>
      </c>
      <c r="KE24" s="1814" t="str">
        <f t="shared" si="269"/>
        <v/>
      </c>
      <c r="KF24" s="1814" t="str">
        <f t="shared" si="270"/>
        <v/>
      </c>
      <c r="KG24" s="1814" t="str">
        <f t="shared" si="271"/>
        <v/>
      </c>
      <c r="KH24" s="1814" t="str">
        <f t="shared" si="272"/>
        <v/>
      </c>
      <c r="KI24" s="1814" t="str">
        <f t="shared" si="273"/>
        <v/>
      </c>
      <c r="KJ24" s="1814" t="str">
        <f t="shared" si="274"/>
        <v/>
      </c>
      <c r="KK24" s="1814" t="str">
        <f t="shared" si="275"/>
        <v/>
      </c>
      <c r="KL24" s="1814" t="str">
        <f t="shared" si="276"/>
        <v/>
      </c>
      <c r="KM24" s="1814" t="str">
        <f t="shared" si="277"/>
        <v/>
      </c>
      <c r="KN24" s="1814" t="str">
        <f t="shared" si="278"/>
        <v/>
      </c>
      <c r="KO24" s="1814" t="str">
        <f t="shared" si="279"/>
        <v/>
      </c>
      <c r="KP24" s="1814" t="str">
        <f t="shared" si="280"/>
        <v/>
      </c>
      <c r="KQ24" s="1814" t="str">
        <f t="shared" si="281"/>
        <v/>
      </c>
      <c r="KR24" s="1814" t="str">
        <f t="shared" si="282"/>
        <v/>
      </c>
      <c r="KS24" s="1814" t="str">
        <f t="shared" si="283"/>
        <v/>
      </c>
      <c r="KT24" s="1814" t="str">
        <f t="shared" si="284"/>
        <v/>
      </c>
      <c r="KU24" s="1814" t="str">
        <f t="shared" si="285"/>
        <v/>
      </c>
      <c r="KV24" s="1814" t="str">
        <f t="shared" si="286"/>
        <v/>
      </c>
      <c r="KW24" s="1814" t="str">
        <f t="shared" si="287"/>
        <v/>
      </c>
      <c r="KX24" s="1814" t="str">
        <f t="shared" si="288"/>
        <v/>
      </c>
      <c r="KY24" s="1814" t="str">
        <f t="shared" si="289"/>
        <v/>
      </c>
      <c r="KZ24" s="1814" t="str">
        <f t="shared" si="290"/>
        <v/>
      </c>
      <c r="LA24" s="1814" t="str">
        <f t="shared" si="291"/>
        <v/>
      </c>
      <c r="LB24" s="1814" t="str">
        <f t="shared" si="292"/>
        <v/>
      </c>
      <c r="LC24" s="1814" t="str">
        <f t="shared" si="293"/>
        <v/>
      </c>
      <c r="LD24" s="1814" t="str">
        <f t="shared" si="294"/>
        <v/>
      </c>
      <c r="LE24" s="1814" t="str">
        <f t="shared" si="295"/>
        <v/>
      </c>
      <c r="LF24" s="1814" t="str">
        <f t="shared" si="296"/>
        <v/>
      </c>
      <c r="LG24" s="1786" t="str">
        <f t="shared" si="297"/>
        <v/>
      </c>
      <c r="LH24" s="1786" t="str">
        <f t="shared" si="298"/>
        <v/>
      </c>
      <c r="LI24" s="1786" t="str">
        <f t="shared" si="299"/>
        <v/>
      </c>
      <c r="LJ24" s="1786" t="str">
        <f t="shared" si="300"/>
        <v/>
      </c>
      <c r="LK24" s="1786" t="str">
        <f t="shared" si="301"/>
        <v/>
      </c>
      <c r="LL24" s="430" t="str">
        <f t="shared" si="302"/>
        <v/>
      </c>
      <c r="LM24" s="430" t="str">
        <f t="shared" si="303"/>
        <v/>
      </c>
      <c r="LN24" s="430" t="str">
        <f t="shared" si="304"/>
        <v/>
      </c>
      <c r="LO24" s="430" t="str">
        <f t="shared" si="305"/>
        <v/>
      </c>
      <c r="LP24" s="430" t="str">
        <f t="shared" si="306"/>
        <v/>
      </c>
      <c r="LQ24" s="430" t="str">
        <f t="shared" si="307"/>
        <v/>
      </c>
      <c r="LR24" s="430" t="str">
        <f t="shared" si="308"/>
        <v/>
      </c>
      <c r="LS24" s="430" t="str">
        <f t="shared" si="309"/>
        <v/>
      </c>
      <c r="LT24" s="430" t="str">
        <f t="shared" si="310"/>
        <v/>
      </c>
      <c r="LU24" s="430" t="str">
        <f t="shared" si="311"/>
        <v/>
      </c>
      <c r="LV24" s="430" t="str">
        <f t="shared" si="312"/>
        <v/>
      </c>
      <c r="LW24" s="430" t="str">
        <f t="shared" si="313"/>
        <v/>
      </c>
      <c r="LX24" s="430" t="str">
        <f t="shared" si="314"/>
        <v/>
      </c>
      <c r="LY24" s="430" t="str">
        <f t="shared" si="315"/>
        <v/>
      </c>
      <c r="LZ24" s="430" t="str">
        <f t="shared" si="316"/>
        <v/>
      </c>
      <c r="MA24" s="430" t="str">
        <f t="shared" si="317"/>
        <v/>
      </c>
      <c r="MB24" s="430" t="str">
        <f t="shared" si="318"/>
        <v/>
      </c>
      <c r="MC24" s="430" t="str">
        <f t="shared" si="319"/>
        <v/>
      </c>
      <c r="MD24" s="430" t="str">
        <f t="shared" si="320"/>
        <v/>
      </c>
      <c r="ME24" s="430" t="str">
        <f t="shared" si="321"/>
        <v/>
      </c>
      <c r="MF24" s="1815">
        <f t="shared" si="328"/>
        <v>0</v>
      </c>
      <c r="MG24" s="1815">
        <f t="shared" si="329"/>
        <v>0</v>
      </c>
      <c r="MH24" s="1815">
        <f t="shared" si="330"/>
        <v>0</v>
      </c>
      <c r="MI24" s="1815">
        <f t="shared" si="331"/>
        <v>0</v>
      </c>
      <c r="MJ24" s="1815">
        <f t="shared" si="332"/>
        <v>0</v>
      </c>
      <c r="MK24" s="1815">
        <f t="shared" si="333"/>
        <v>0</v>
      </c>
      <c r="ML24" s="1815">
        <f t="shared" si="334"/>
        <v>0</v>
      </c>
      <c r="MM24" s="1815">
        <f t="shared" si="335"/>
        <v>0</v>
      </c>
      <c r="MN24" s="1815">
        <f t="shared" si="336"/>
        <v>0</v>
      </c>
      <c r="MO24" s="1815">
        <f t="shared" si="337"/>
        <v>0</v>
      </c>
      <c r="MP24" s="1815">
        <f t="shared" si="322"/>
        <v>0</v>
      </c>
      <c r="MQ24" s="1815">
        <f t="shared" si="323"/>
        <v>0</v>
      </c>
      <c r="MR24" s="1815">
        <f t="shared" si="324"/>
        <v>0</v>
      </c>
      <c r="MS24" s="1815">
        <f t="shared" si="325"/>
        <v>0</v>
      </c>
      <c r="MT24" s="1815">
        <f t="shared" si="326"/>
        <v>0</v>
      </c>
      <c r="NP24" s="2807" t="s">
        <v>6730</v>
      </c>
    </row>
    <row r="25" spans="1:380" ht="13.9" customHeight="1">
      <c r="A25" s="108" t="str">
        <f t="shared" si="327"/>
        <v/>
      </c>
      <c r="B25" s="2896"/>
      <c r="C25" s="2869"/>
      <c r="D25" s="2870"/>
      <c r="E25" s="2871"/>
      <c r="F25" s="2871"/>
      <c r="G25" s="2871"/>
      <c r="H25" s="2871"/>
      <c r="I25" s="2871"/>
      <c r="J25" s="2897">
        <f>IF(C25="",0,HLOOKUP(C25,'Part V-Utility Allowances'!$I$11:$M$22,12))</f>
        <v>0</v>
      </c>
      <c r="K25" s="2873"/>
      <c r="L25" s="537">
        <f t="shared" si="0"/>
        <v>0</v>
      </c>
      <c r="M25" s="537">
        <f t="shared" si="1"/>
        <v>0</v>
      </c>
      <c r="N25" s="2712"/>
      <c r="O25" s="2874"/>
      <c r="P25" s="2712"/>
      <c r="Q25" s="2875"/>
      <c r="R25" s="2876"/>
      <c r="S25" s="2877"/>
      <c r="T25" s="3833"/>
      <c r="U25" s="3834"/>
      <c r="V25" s="3834"/>
      <c r="W25" s="3835"/>
      <c r="X25" s="430" t="str">
        <f t="shared" si="2"/>
        <v/>
      </c>
      <c r="Y25" s="430" t="str">
        <f t="shared" si="3"/>
        <v/>
      </c>
      <c r="Z25" s="430" t="str">
        <f t="shared" si="4"/>
        <v/>
      </c>
      <c r="AA25" s="430" t="str">
        <f t="shared" si="5"/>
        <v/>
      </c>
      <c r="AB25" s="430" t="str">
        <f t="shared" si="6"/>
        <v/>
      </c>
      <c r="AC25" s="430" t="str">
        <f t="shared" si="7"/>
        <v/>
      </c>
      <c r="AD25" s="430" t="str">
        <f t="shared" si="8"/>
        <v/>
      </c>
      <c r="AE25" s="430" t="str">
        <f t="shared" si="9"/>
        <v/>
      </c>
      <c r="AF25" s="430" t="str">
        <f t="shared" si="10"/>
        <v/>
      </c>
      <c r="AG25" s="430" t="str">
        <f t="shared" si="11"/>
        <v/>
      </c>
      <c r="AH25" s="430" t="str">
        <f t="shared" si="12"/>
        <v/>
      </c>
      <c r="AI25" s="430" t="str">
        <f t="shared" si="13"/>
        <v/>
      </c>
      <c r="AJ25" s="430" t="str">
        <f t="shared" si="14"/>
        <v/>
      </c>
      <c r="AK25" s="430" t="str">
        <f t="shared" si="15"/>
        <v/>
      </c>
      <c r="AL25" s="430" t="str">
        <f t="shared" si="16"/>
        <v/>
      </c>
      <c r="AM25" s="430" t="str">
        <f t="shared" si="17"/>
        <v/>
      </c>
      <c r="AN25" s="430" t="str">
        <f t="shared" si="18"/>
        <v/>
      </c>
      <c r="AO25" s="430" t="str">
        <f t="shared" si="19"/>
        <v/>
      </c>
      <c r="AP25" s="430" t="str">
        <f t="shared" si="20"/>
        <v/>
      </c>
      <c r="AQ25" s="430" t="str">
        <f t="shared" si="21"/>
        <v/>
      </c>
      <c r="AR25" s="430" t="str">
        <f t="shared" si="22"/>
        <v/>
      </c>
      <c r="AS25" s="430" t="str">
        <f t="shared" si="23"/>
        <v/>
      </c>
      <c r="AT25" s="430" t="str">
        <f t="shared" si="24"/>
        <v/>
      </c>
      <c r="AU25" s="430" t="str">
        <f t="shared" si="25"/>
        <v/>
      </c>
      <c r="AV25" s="430" t="str">
        <f t="shared" si="26"/>
        <v/>
      </c>
      <c r="AW25" s="430" t="str">
        <f t="shared" si="27"/>
        <v/>
      </c>
      <c r="AX25" s="430" t="str">
        <f t="shared" si="28"/>
        <v/>
      </c>
      <c r="AY25" s="430" t="str">
        <f t="shared" si="29"/>
        <v/>
      </c>
      <c r="AZ25" s="430" t="str">
        <f t="shared" si="30"/>
        <v/>
      </c>
      <c r="BA25" s="430" t="str">
        <f t="shared" si="31"/>
        <v/>
      </c>
      <c r="BB25" s="430" t="str">
        <f t="shared" si="32"/>
        <v/>
      </c>
      <c r="BC25" s="430" t="str">
        <f t="shared" si="33"/>
        <v/>
      </c>
      <c r="BD25" s="430" t="str">
        <f t="shared" si="34"/>
        <v/>
      </c>
      <c r="BE25" s="430" t="str">
        <f t="shared" si="35"/>
        <v/>
      </c>
      <c r="BF25" s="430" t="str">
        <f t="shared" si="36"/>
        <v/>
      </c>
      <c r="BG25" s="430" t="str">
        <f t="shared" si="37"/>
        <v/>
      </c>
      <c r="BH25" s="430" t="str">
        <f t="shared" si="38"/>
        <v/>
      </c>
      <c r="BI25" s="430" t="str">
        <f t="shared" si="39"/>
        <v/>
      </c>
      <c r="BJ25" s="430" t="str">
        <f t="shared" si="40"/>
        <v/>
      </c>
      <c r="BK25" s="430" t="str">
        <f t="shared" si="41"/>
        <v/>
      </c>
      <c r="BL25" s="430" t="str">
        <f t="shared" si="42"/>
        <v/>
      </c>
      <c r="BM25" s="430" t="str">
        <f t="shared" si="43"/>
        <v/>
      </c>
      <c r="BN25" s="430" t="str">
        <f t="shared" si="44"/>
        <v/>
      </c>
      <c r="BO25" s="430" t="str">
        <f t="shared" si="45"/>
        <v/>
      </c>
      <c r="BP25" s="430" t="str">
        <f t="shared" si="46"/>
        <v/>
      </c>
      <c r="BQ25" s="430" t="str">
        <f t="shared" si="47"/>
        <v/>
      </c>
      <c r="BR25" s="430" t="str">
        <f t="shared" si="48"/>
        <v/>
      </c>
      <c r="BS25" s="430" t="str">
        <f t="shared" si="49"/>
        <v/>
      </c>
      <c r="BT25" s="430" t="str">
        <f t="shared" si="50"/>
        <v/>
      </c>
      <c r="BU25" s="430" t="str">
        <f t="shared" si="51"/>
        <v/>
      </c>
      <c r="BV25" s="430" t="str">
        <f t="shared" si="52"/>
        <v/>
      </c>
      <c r="BW25" s="430" t="str">
        <f t="shared" si="53"/>
        <v/>
      </c>
      <c r="BX25" s="430" t="str">
        <f t="shared" si="54"/>
        <v/>
      </c>
      <c r="BY25" s="430" t="str">
        <f t="shared" si="55"/>
        <v/>
      </c>
      <c r="BZ25" s="430" t="str">
        <f t="shared" si="56"/>
        <v/>
      </c>
      <c r="CA25" s="430" t="str">
        <f t="shared" si="57"/>
        <v/>
      </c>
      <c r="CB25" s="430" t="str">
        <f t="shared" si="58"/>
        <v/>
      </c>
      <c r="CC25" s="430" t="str">
        <f t="shared" si="59"/>
        <v/>
      </c>
      <c r="CD25" s="430" t="str">
        <f t="shared" si="60"/>
        <v/>
      </c>
      <c r="CE25" s="430" t="str">
        <f t="shared" si="61"/>
        <v/>
      </c>
      <c r="CF25" s="430" t="str">
        <f t="shared" si="62"/>
        <v/>
      </c>
      <c r="CG25" s="430" t="str">
        <f t="shared" si="63"/>
        <v/>
      </c>
      <c r="CH25" s="430" t="str">
        <f t="shared" si="64"/>
        <v/>
      </c>
      <c r="CI25" s="430" t="str">
        <f t="shared" si="65"/>
        <v/>
      </c>
      <c r="CJ25" s="430" t="str">
        <f t="shared" si="66"/>
        <v/>
      </c>
      <c r="CK25" s="430" t="str">
        <f t="shared" si="67"/>
        <v/>
      </c>
      <c r="CL25" s="430" t="str">
        <f t="shared" si="68"/>
        <v/>
      </c>
      <c r="CM25" s="430" t="str">
        <f t="shared" si="69"/>
        <v/>
      </c>
      <c r="CN25" s="430" t="str">
        <f t="shared" si="70"/>
        <v/>
      </c>
      <c r="CO25" s="430" t="str">
        <f t="shared" si="71"/>
        <v/>
      </c>
      <c r="CP25" s="430" t="str">
        <f t="shared" si="72"/>
        <v/>
      </c>
      <c r="CQ25" s="430" t="str">
        <f t="shared" si="73"/>
        <v/>
      </c>
      <c r="CR25" s="430" t="str">
        <f t="shared" si="74"/>
        <v/>
      </c>
      <c r="CS25" s="430" t="str">
        <f t="shared" si="75"/>
        <v/>
      </c>
      <c r="CT25" s="430" t="str">
        <f t="shared" si="76"/>
        <v/>
      </c>
      <c r="CU25" s="430" t="str">
        <f t="shared" si="77"/>
        <v/>
      </c>
      <c r="CV25" s="430" t="str">
        <f t="shared" si="78"/>
        <v/>
      </c>
      <c r="CW25" s="430" t="str">
        <f t="shared" si="79"/>
        <v/>
      </c>
      <c r="CX25" s="430" t="str">
        <f t="shared" si="80"/>
        <v/>
      </c>
      <c r="CY25" s="430" t="str">
        <f t="shared" si="81"/>
        <v/>
      </c>
      <c r="CZ25" s="430" t="str">
        <f t="shared" si="82"/>
        <v/>
      </c>
      <c r="DA25" s="430" t="str">
        <f t="shared" si="83"/>
        <v/>
      </c>
      <c r="DB25" s="430" t="str">
        <f t="shared" si="84"/>
        <v/>
      </c>
      <c r="DC25" s="430" t="str">
        <f t="shared" si="85"/>
        <v/>
      </c>
      <c r="DD25" s="430" t="str">
        <f t="shared" si="86"/>
        <v/>
      </c>
      <c r="DE25" s="430" t="str">
        <f t="shared" si="87"/>
        <v/>
      </c>
      <c r="DF25" s="430" t="str">
        <f t="shared" si="88"/>
        <v/>
      </c>
      <c r="DG25" s="430" t="str">
        <f t="shared" si="89"/>
        <v/>
      </c>
      <c r="DH25" s="430" t="str">
        <f t="shared" si="90"/>
        <v/>
      </c>
      <c r="DI25" s="430" t="str">
        <f t="shared" si="91"/>
        <v/>
      </c>
      <c r="DJ25" s="430" t="str">
        <f t="shared" si="92"/>
        <v/>
      </c>
      <c r="DK25" s="430" t="str">
        <f t="shared" si="93"/>
        <v/>
      </c>
      <c r="DL25" s="430" t="str">
        <f t="shared" si="94"/>
        <v/>
      </c>
      <c r="DM25" s="430" t="str">
        <f t="shared" si="95"/>
        <v/>
      </c>
      <c r="DN25" s="430" t="str">
        <f t="shared" si="96"/>
        <v/>
      </c>
      <c r="DO25" s="430" t="str">
        <f t="shared" si="97"/>
        <v/>
      </c>
      <c r="DP25" s="430" t="str">
        <f t="shared" si="98"/>
        <v/>
      </c>
      <c r="DQ25" s="430" t="str">
        <f t="shared" si="99"/>
        <v/>
      </c>
      <c r="DR25" s="430" t="str">
        <f t="shared" si="100"/>
        <v/>
      </c>
      <c r="DS25" s="430" t="str">
        <f t="shared" si="101"/>
        <v/>
      </c>
      <c r="DT25" s="430" t="str">
        <f t="shared" si="102"/>
        <v/>
      </c>
      <c r="DU25" s="430" t="str">
        <f t="shared" si="103"/>
        <v/>
      </c>
      <c r="DV25" s="430" t="str">
        <f t="shared" si="104"/>
        <v/>
      </c>
      <c r="DW25" s="430" t="str">
        <f t="shared" si="105"/>
        <v/>
      </c>
      <c r="DX25" s="430" t="str">
        <f t="shared" si="106"/>
        <v/>
      </c>
      <c r="DY25" s="430" t="str">
        <f t="shared" si="107"/>
        <v/>
      </c>
      <c r="DZ25" s="430" t="str">
        <f t="shared" si="108"/>
        <v/>
      </c>
      <c r="EA25" s="430" t="str">
        <f t="shared" si="109"/>
        <v/>
      </c>
      <c r="EB25" s="430" t="str">
        <f t="shared" si="110"/>
        <v/>
      </c>
      <c r="EC25" s="430" t="str">
        <f t="shared" si="111"/>
        <v/>
      </c>
      <c r="ED25" s="430" t="str">
        <f t="shared" si="112"/>
        <v/>
      </c>
      <c r="EE25" s="430" t="str">
        <f t="shared" si="113"/>
        <v/>
      </c>
      <c r="EF25" s="430" t="str">
        <f t="shared" si="114"/>
        <v/>
      </c>
      <c r="EG25" s="430" t="str">
        <f t="shared" si="115"/>
        <v/>
      </c>
      <c r="EH25" s="430" t="str">
        <f t="shared" si="116"/>
        <v/>
      </c>
      <c r="EI25" s="430" t="str">
        <f t="shared" si="117"/>
        <v/>
      </c>
      <c r="EJ25" s="430" t="str">
        <f t="shared" si="118"/>
        <v/>
      </c>
      <c r="EK25" s="430" t="str">
        <f t="shared" si="119"/>
        <v/>
      </c>
      <c r="EL25" s="430" t="str">
        <f t="shared" si="120"/>
        <v/>
      </c>
      <c r="EM25" s="430" t="str">
        <f t="shared" si="121"/>
        <v/>
      </c>
      <c r="EN25" s="430" t="str">
        <f t="shared" si="122"/>
        <v/>
      </c>
      <c r="EO25" s="430" t="str">
        <f t="shared" si="123"/>
        <v/>
      </c>
      <c r="EP25" s="430" t="str">
        <f t="shared" si="124"/>
        <v/>
      </c>
      <c r="EQ25" s="430" t="str">
        <f t="shared" si="125"/>
        <v/>
      </c>
      <c r="ER25" s="430" t="str">
        <f t="shared" si="126"/>
        <v/>
      </c>
      <c r="ES25" s="430" t="str">
        <f t="shared" si="127"/>
        <v/>
      </c>
      <c r="ET25" s="430" t="str">
        <f t="shared" si="128"/>
        <v/>
      </c>
      <c r="EU25" s="430" t="str">
        <f t="shared" si="129"/>
        <v/>
      </c>
      <c r="EV25" s="430" t="str">
        <f t="shared" si="130"/>
        <v/>
      </c>
      <c r="EW25" s="430" t="str">
        <f t="shared" si="131"/>
        <v/>
      </c>
      <c r="EX25" s="430" t="str">
        <f t="shared" si="132"/>
        <v/>
      </c>
      <c r="EY25" s="430" t="str">
        <f t="shared" si="133"/>
        <v/>
      </c>
      <c r="EZ25" s="430" t="str">
        <f t="shared" si="134"/>
        <v/>
      </c>
      <c r="FA25" s="430" t="str">
        <f t="shared" si="135"/>
        <v/>
      </c>
      <c r="FB25" s="430" t="str">
        <f t="shared" si="136"/>
        <v/>
      </c>
      <c r="FC25" s="430" t="str">
        <f t="shared" si="137"/>
        <v/>
      </c>
      <c r="FD25" s="430" t="str">
        <f t="shared" si="138"/>
        <v/>
      </c>
      <c r="FE25" s="430" t="str">
        <f t="shared" si="139"/>
        <v/>
      </c>
      <c r="FF25" s="430" t="str">
        <f t="shared" si="140"/>
        <v/>
      </c>
      <c r="FG25" s="430" t="str">
        <f t="shared" si="141"/>
        <v/>
      </c>
      <c r="FH25" s="430" t="str">
        <f t="shared" si="142"/>
        <v/>
      </c>
      <c r="FI25" s="430" t="str">
        <f t="shared" si="143"/>
        <v/>
      </c>
      <c r="FJ25" s="430" t="str">
        <f t="shared" si="144"/>
        <v/>
      </c>
      <c r="FK25" s="430" t="str">
        <f t="shared" si="145"/>
        <v/>
      </c>
      <c r="FL25" s="430" t="str">
        <f t="shared" si="146"/>
        <v/>
      </c>
      <c r="FM25" s="430" t="str">
        <f t="shared" si="147"/>
        <v/>
      </c>
      <c r="FN25" s="430" t="str">
        <f t="shared" si="148"/>
        <v/>
      </c>
      <c r="FO25" s="430" t="str">
        <f t="shared" si="149"/>
        <v/>
      </c>
      <c r="FP25" s="430" t="str">
        <f t="shared" si="150"/>
        <v/>
      </c>
      <c r="FQ25" s="430" t="str">
        <f t="shared" si="151"/>
        <v/>
      </c>
      <c r="FR25" s="430" t="str">
        <f t="shared" si="152"/>
        <v/>
      </c>
      <c r="FS25" s="430" t="str">
        <f t="shared" si="153"/>
        <v/>
      </c>
      <c r="FT25" s="430" t="str">
        <f t="shared" si="154"/>
        <v/>
      </c>
      <c r="FU25" s="430" t="str">
        <f t="shared" si="155"/>
        <v/>
      </c>
      <c r="FV25" s="430" t="str">
        <f t="shared" si="156"/>
        <v/>
      </c>
      <c r="FW25" s="430" t="str">
        <f t="shared" si="157"/>
        <v/>
      </c>
      <c r="FX25" s="430" t="str">
        <f t="shared" si="158"/>
        <v/>
      </c>
      <c r="FY25" s="430" t="str">
        <f t="shared" si="159"/>
        <v/>
      </c>
      <c r="FZ25" s="430" t="str">
        <f t="shared" si="160"/>
        <v/>
      </c>
      <c r="GA25" s="430" t="str">
        <f t="shared" si="161"/>
        <v/>
      </c>
      <c r="GB25" s="430" t="str">
        <f t="shared" si="162"/>
        <v/>
      </c>
      <c r="GC25" s="430" t="str">
        <f t="shared" si="163"/>
        <v/>
      </c>
      <c r="GD25" s="430" t="str">
        <f t="shared" si="164"/>
        <v/>
      </c>
      <c r="GE25" s="430" t="str">
        <f t="shared" si="165"/>
        <v/>
      </c>
      <c r="GF25" s="430" t="str">
        <f t="shared" si="166"/>
        <v/>
      </c>
      <c r="GG25" s="430" t="str">
        <f t="shared" si="167"/>
        <v/>
      </c>
      <c r="GH25" s="430" t="str">
        <f t="shared" si="168"/>
        <v/>
      </c>
      <c r="GI25" s="430" t="str">
        <f t="shared" si="169"/>
        <v/>
      </c>
      <c r="GJ25" s="430" t="str">
        <f t="shared" si="170"/>
        <v/>
      </c>
      <c r="GK25" s="430" t="str">
        <f t="shared" si="171"/>
        <v/>
      </c>
      <c r="GL25" s="430" t="str">
        <f t="shared" si="172"/>
        <v/>
      </c>
      <c r="GM25" s="430" t="str">
        <f t="shared" si="173"/>
        <v/>
      </c>
      <c r="GN25" s="430" t="str">
        <f t="shared" si="174"/>
        <v/>
      </c>
      <c r="GO25" s="430" t="str">
        <f t="shared" si="175"/>
        <v/>
      </c>
      <c r="GP25" s="430" t="str">
        <f t="shared" si="176"/>
        <v/>
      </c>
      <c r="GQ25" s="430" t="str">
        <f t="shared" si="177"/>
        <v/>
      </c>
      <c r="GR25" s="430" t="str">
        <f t="shared" si="178"/>
        <v/>
      </c>
      <c r="GS25" s="430" t="str">
        <f t="shared" si="179"/>
        <v/>
      </c>
      <c r="GT25" s="430" t="str">
        <f t="shared" si="180"/>
        <v/>
      </c>
      <c r="GU25" s="430" t="str">
        <f t="shared" si="181"/>
        <v/>
      </c>
      <c r="GV25" s="430" t="str">
        <f t="shared" si="182"/>
        <v/>
      </c>
      <c r="GW25" s="430" t="str">
        <f t="shared" si="183"/>
        <v/>
      </c>
      <c r="GX25" s="430" t="str">
        <f t="shared" si="184"/>
        <v/>
      </c>
      <c r="GY25" s="430" t="str">
        <f t="shared" si="185"/>
        <v/>
      </c>
      <c r="GZ25" s="430" t="str">
        <f t="shared" si="186"/>
        <v/>
      </c>
      <c r="HA25" s="430" t="str">
        <f t="shared" si="187"/>
        <v/>
      </c>
      <c r="HB25" s="430" t="str">
        <f t="shared" si="188"/>
        <v/>
      </c>
      <c r="HC25" s="430" t="str">
        <f t="shared" si="189"/>
        <v/>
      </c>
      <c r="HD25" s="430" t="str">
        <f t="shared" si="190"/>
        <v/>
      </c>
      <c r="HE25" s="430" t="str">
        <f t="shared" si="191"/>
        <v/>
      </c>
      <c r="HF25" s="430" t="str">
        <f t="shared" si="192"/>
        <v/>
      </c>
      <c r="HG25" s="430" t="str">
        <f t="shared" si="193"/>
        <v/>
      </c>
      <c r="HH25" s="430" t="str">
        <f t="shared" si="194"/>
        <v/>
      </c>
      <c r="HI25" s="430" t="str">
        <f t="shared" si="195"/>
        <v/>
      </c>
      <c r="HJ25" s="430" t="str">
        <f t="shared" si="196"/>
        <v/>
      </c>
      <c r="HK25" s="430" t="str">
        <f t="shared" si="197"/>
        <v/>
      </c>
      <c r="HL25" s="430" t="str">
        <f t="shared" si="198"/>
        <v/>
      </c>
      <c r="HM25" s="430" t="str">
        <f t="shared" si="199"/>
        <v/>
      </c>
      <c r="HN25" s="430" t="str">
        <f t="shared" si="200"/>
        <v/>
      </c>
      <c r="HO25" s="430" t="str">
        <f t="shared" si="201"/>
        <v/>
      </c>
      <c r="HP25" s="430" t="str">
        <f t="shared" si="202"/>
        <v/>
      </c>
      <c r="HQ25" s="430" t="str">
        <f t="shared" si="203"/>
        <v/>
      </c>
      <c r="HR25" s="430" t="str">
        <f t="shared" si="204"/>
        <v/>
      </c>
      <c r="HS25" s="430" t="str">
        <f t="shared" si="205"/>
        <v/>
      </c>
      <c r="HT25" s="430" t="str">
        <f t="shared" si="206"/>
        <v/>
      </c>
      <c r="HU25" s="430" t="str">
        <f t="shared" si="207"/>
        <v/>
      </c>
      <c r="HV25" s="430" t="str">
        <f t="shared" si="208"/>
        <v/>
      </c>
      <c r="HW25" s="430" t="str">
        <f t="shared" si="209"/>
        <v/>
      </c>
      <c r="HX25" s="430" t="str">
        <f t="shared" si="210"/>
        <v/>
      </c>
      <c r="HY25" s="430" t="str">
        <f t="shared" si="211"/>
        <v/>
      </c>
      <c r="HZ25" s="1814" t="str">
        <f t="shared" si="212"/>
        <v/>
      </c>
      <c r="IA25" s="1814" t="str">
        <f t="shared" si="213"/>
        <v/>
      </c>
      <c r="IB25" s="1814" t="str">
        <f t="shared" si="214"/>
        <v/>
      </c>
      <c r="IC25" s="1814" t="str">
        <f t="shared" si="215"/>
        <v/>
      </c>
      <c r="ID25" s="1814" t="str">
        <f t="shared" si="216"/>
        <v/>
      </c>
      <c r="IE25" s="1814" t="str">
        <f t="shared" si="217"/>
        <v/>
      </c>
      <c r="IF25" s="1814" t="str">
        <f t="shared" si="218"/>
        <v/>
      </c>
      <c r="IG25" s="1814" t="str">
        <f t="shared" si="219"/>
        <v/>
      </c>
      <c r="IH25" s="1814" t="str">
        <f t="shared" si="220"/>
        <v/>
      </c>
      <c r="II25" s="1814" t="str">
        <f t="shared" si="221"/>
        <v/>
      </c>
      <c r="IJ25" s="1814" t="str">
        <f t="shared" si="222"/>
        <v/>
      </c>
      <c r="IK25" s="1814" t="str">
        <f t="shared" si="223"/>
        <v/>
      </c>
      <c r="IL25" s="1814" t="str">
        <f t="shared" si="224"/>
        <v/>
      </c>
      <c r="IM25" s="1814" t="str">
        <f t="shared" si="225"/>
        <v/>
      </c>
      <c r="IN25" s="1814" t="str">
        <f t="shared" si="226"/>
        <v/>
      </c>
      <c r="IO25" s="1814" t="str">
        <f t="shared" si="227"/>
        <v/>
      </c>
      <c r="IP25" s="1814" t="str">
        <f t="shared" si="228"/>
        <v/>
      </c>
      <c r="IQ25" s="1814" t="str">
        <f t="shared" si="229"/>
        <v/>
      </c>
      <c r="IR25" s="1814" t="str">
        <f t="shared" si="230"/>
        <v/>
      </c>
      <c r="IS25" s="1814" t="str">
        <f t="shared" si="231"/>
        <v/>
      </c>
      <c r="IT25" s="1814" t="str">
        <f t="shared" si="232"/>
        <v/>
      </c>
      <c r="IU25" s="1814" t="str">
        <f t="shared" si="233"/>
        <v/>
      </c>
      <c r="IV25" s="1814" t="str">
        <f t="shared" si="234"/>
        <v/>
      </c>
      <c r="IW25" s="1814" t="str">
        <f t="shared" si="235"/>
        <v/>
      </c>
      <c r="IX25" s="1814" t="str">
        <f t="shared" si="236"/>
        <v/>
      </c>
      <c r="IY25" s="1814" t="str">
        <f t="shared" si="237"/>
        <v/>
      </c>
      <c r="IZ25" s="1814" t="str">
        <f t="shared" si="238"/>
        <v/>
      </c>
      <c r="JA25" s="1814" t="str">
        <f t="shared" si="239"/>
        <v/>
      </c>
      <c r="JB25" s="1814" t="str">
        <f t="shared" si="240"/>
        <v/>
      </c>
      <c r="JC25" s="1814" t="str">
        <f t="shared" si="241"/>
        <v/>
      </c>
      <c r="JD25" s="1814" t="str">
        <f t="shared" si="242"/>
        <v/>
      </c>
      <c r="JE25" s="1814" t="str">
        <f t="shared" si="243"/>
        <v/>
      </c>
      <c r="JF25" s="1814" t="str">
        <f t="shared" si="244"/>
        <v/>
      </c>
      <c r="JG25" s="1814" t="str">
        <f t="shared" si="245"/>
        <v/>
      </c>
      <c r="JH25" s="1814" t="str">
        <f t="shared" si="246"/>
        <v/>
      </c>
      <c r="JI25" s="1814" t="str">
        <f t="shared" si="247"/>
        <v/>
      </c>
      <c r="JJ25" s="1814" t="str">
        <f t="shared" si="248"/>
        <v/>
      </c>
      <c r="JK25" s="1814" t="str">
        <f t="shared" si="249"/>
        <v/>
      </c>
      <c r="JL25" s="1814" t="str">
        <f t="shared" si="250"/>
        <v/>
      </c>
      <c r="JM25" s="1814" t="str">
        <f t="shared" si="251"/>
        <v/>
      </c>
      <c r="JN25" s="1814" t="str">
        <f t="shared" si="252"/>
        <v/>
      </c>
      <c r="JO25" s="1814" t="str">
        <f t="shared" si="253"/>
        <v/>
      </c>
      <c r="JP25" s="1814" t="str">
        <f t="shared" si="254"/>
        <v/>
      </c>
      <c r="JQ25" s="1814" t="str">
        <f t="shared" si="255"/>
        <v/>
      </c>
      <c r="JR25" s="1814" t="str">
        <f t="shared" si="256"/>
        <v/>
      </c>
      <c r="JS25" s="1814" t="str">
        <f t="shared" si="257"/>
        <v/>
      </c>
      <c r="JT25" s="1814" t="str">
        <f t="shared" si="258"/>
        <v/>
      </c>
      <c r="JU25" s="1814" t="str">
        <f t="shared" si="259"/>
        <v/>
      </c>
      <c r="JV25" s="1814" t="str">
        <f t="shared" si="260"/>
        <v/>
      </c>
      <c r="JW25" s="1814" t="str">
        <f t="shared" si="261"/>
        <v/>
      </c>
      <c r="JX25" s="1814" t="str">
        <f t="shared" si="262"/>
        <v/>
      </c>
      <c r="JY25" s="1814" t="str">
        <f t="shared" si="263"/>
        <v/>
      </c>
      <c r="JZ25" s="1814" t="str">
        <f t="shared" si="264"/>
        <v/>
      </c>
      <c r="KA25" s="1814" t="str">
        <f t="shared" si="265"/>
        <v/>
      </c>
      <c r="KB25" s="1814" t="str">
        <f t="shared" si="266"/>
        <v/>
      </c>
      <c r="KC25" s="1814" t="str">
        <f t="shared" si="267"/>
        <v/>
      </c>
      <c r="KD25" s="1814" t="str">
        <f t="shared" si="268"/>
        <v/>
      </c>
      <c r="KE25" s="1814" t="str">
        <f t="shared" si="269"/>
        <v/>
      </c>
      <c r="KF25" s="1814" t="str">
        <f t="shared" si="270"/>
        <v/>
      </c>
      <c r="KG25" s="1814" t="str">
        <f t="shared" si="271"/>
        <v/>
      </c>
      <c r="KH25" s="1814" t="str">
        <f t="shared" si="272"/>
        <v/>
      </c>
      <c r="KI25" s="1814" t="str">
        <f t="shared" si="273"/>
        <v/>
      </c>
      <c r="KJ25" s="1814" t="str">
        <f t="shared" si="274"/>
        <v/>
      </c>
      <c r="KK25" s="1814" t="str">
        <f t="shared" si="275"/>
        <v/>
      </c>
      <c r="KL25" s="1814" t="str">
        <f t="shared" si="276"/>
        <v/>
      </c>
      <c r="KM25" s="1814" t="str">
        <f t="shared" si="277"/>
        <v/>
      </c>
      <c r="KN25" s="1814" t="str">
        <f t="shared" si="278"/>
        <v/>
      </c>
      <c r="KO25" s="1814" t="str">
        <f t="shared" si="279"/>
        <v/>
      </c>
      <c r="KP25" s="1814" t="str">
        <f t="shared" si="280"/>
        <v/>
      </c>
      <c r="KQ25" s="1814" t="str">
        <f t="shared" si="281"/>
        <v/>
      </c>
      <c r="KR25" s="1814" t="str">
        <f t="shared" si="282"/>
        <v/>
      </c>
      <c r="KS25" s="1814" t="str">
        <f t="shared" si="283"/>
        <v/>
      </c>
      <c r="KT25" s="1814" t="str">
        <f t="shared" si="284"/>
        <v/>
      </c>
      <c r="KU25" s="1814" t="str">
        <f t="shared" si="285"/>
        <v/>
      </c>
      <c r="KV25" s="1814" t="str">
        <f t="shared" si="286"/>
        <v/>
      </c>
      <c r="KW25" s="1814" t="str">
        <f t="shared" si="287"/>
        <v/>
      </c>
      <c r="KX25" s="1814" t="str">
        <f t="shared" si="288"/>
        <v/>
      </c>
      <c r="KY25" s="1814" t="str">
        <f t="shared" si="289"/>
        <v/>
      </c>
      <c r="KZ25" s="1814" t="str">
        <f t="shared" si="290"/>
        <v/>
      </c>
      <c r="LA25" s="1814" t="str">
        <f t="shared" si="291"/>
        <v/>
      </c>
      <c r="LB25" s="1814" t="str">
        <f t="shared" si="292"/>
        <v/>
      </c>
      <c r="LC25" s="1814" t="str">
        <f t="shared" si="293"/>
        <v/>
      </c>
      <c r="LD25" s="1814" t="str">
        <f t="shared" si="294"/>
        <v/>
      </c>
      <c r="LE25" s="1814" t="str">
        <f t="shared" si="295"/>
        <v/>
      </c>
      <c r="LF25" s="1814" t="str">
        <f t="shared" si="296"/>
        <v/>
      </c>
      <c r="LG25" s="1786" t="str">
        <f t="shared" si="297"/>
        <v/>
      </c>
      <c r="LH25" s="1786" t="str">
        <f t="shared" si="298"/>
        <v/>
      </c>
      <c r="LI25" s="1786" t="str">
        <f t="shared" si="299"/>
        <v/>
      </c>
      <c r="LJ25" s="1786" t="str">
        <f t="shared" si="300"/>
        <v/>
      </c>
      <c r="LK25" s="1786" t="str">
        <f t="shared" si="301"/>
        <v/>
      </c>
      <c r="LL25" s="430" t="str">
        <f t="shared" si="302"/>
        <v/>
      </c>
      <c r="LM25" s="430" t="str">
        <f t="shared" si="303"/>
        <v/>
      </c>
      <c r="LN25" s="430" t="str">
        <f t="shared" si="304"/>
        <v/>
      </c>
      <c r="LO25" s="430" t="str">
        <f t="shared" si="305"/>
        <v/>
      </c>
      <c r="LP25" s="430" t="str">
        <f t="shared" si="306"/>
        <v/>
      </c>
      <c r="LQ25" s="430" t="str">
        <f t="shared" si="307"/>
        <v/>
      </c>
      <c r="LR25" s="430" t="str">
        <f t="shared" si="308"/>
        <v/>
      </c>
      <c r="LS25" s="430" t="str">
        <f t="shared" si="309"/>
        <v/>
      </c>
      <c r="LT25" s="430" t="str">
        <f t="shared" si="310"/>
        <v/>
      </c>
      <c r="LU25" s="430" t="str">
        <f t="shared" si="311"/>
        <v/>
      </c>
      <c r="LV25" s="430" t="str">
        <f t="shared" si="312"/>
        <v/>
      </c>
      <c r="LW25" s="430" t="str">
        <f t="shared" si="313"/>
        <v/>
      </c>
      <c r="LX25" s="430" t="str">
        <f t="shared" si="314"/>
        <v/>
      </c>
      <c r="LY25" s="430" t="str">
        <f t="shared" si="315"/>
        <v/>
      </c>
      <c r="LZ25" s="430" t="str">
        <f t="shared" si="316"/>
        <v/>
      </c>
      <c r="MA25" s="430" t="str">
        <f t="shared" si="317"/>
        <v/>
      </c>
      <c r="MB25" s="430" t="str">
        <f t="shared" si="318"/>
        <v/>
      </c>
      <c r="MC25" s="430" t="str">
        <f t="shared" si="319"/>
        <v/>
      </c>
      <c r="MD25" s="430" t="str">
        <f t="shared" si="320"/>
        <v/>
      </c>
      <c r="ME25" s="430" t="str">
        <f t="shared" si="321"/>
        <v/>
      </c>
      <c r="MF25" s="1815">
        <f t="shared" si="328"/>
        <v>0</v>
      </c>
      <c r="MG25" s="1815">
        <f t="shared" si="329"/>
        <v>0</v>
      </c>
      <c r="MH25" s="1815">
        <f t="shared" si="330"/>
        <v>0</v>
      </c>
      <c r="MI25" s="1815">
        <f t="shared" si="331"/>
        <v>0</v>
      </c>
      <c r="MJ25" s="1815">
        <f t="shared" si="332"/>
        <v>0</v>
      </c>
      <c r="MK25" s="1815">
        <f t="shared" si="333"/>
        <v>0</v>
      </c>
      <c r="ML25" s="1815">
        <f t="shared" si="334"/>
        <v>0</v>
      </c>
      <c r="MM25" s="1815">
        <f t="shared" si="335"/>
        <v>0</v>
      </c>
      <c r="MN25" s="1815">
        <f t="shared" si="336"/>
        <v>0</v>
      </c>
      <c r="MO25" s="1815">
        <f t="shared" si="337"/>
        <v>0</v>
      </c>
      <c r="MP25" s="1815">
        <f t="shared" si="322"/>
        <v>0</v>
      </c>
      <c r="MQ25" s="1815">
        <f t="shared" si="323"/>
        <v>0</v>
      </c>
      <c r="MR25" s="1815">
        <f t="shared" si="324"/>
        <v>0</v>
      </c>
      <c r="MS25" s="1815">
        <f t="shared" si="325"/>
        <v>0</v>
      </c>
      <c r="MT25" s="1815">
        <f t="shared" si="326"/>
        <v>0</v>
      </c>
      <c r="NP25" s="2807" t="s">
        <v>6731</v>
      </c>
    </row>
    <row r="26" spans="1:380" ht="13.9" customHeight="1">
      <c r="A26" s="108" t="str">
        <f t="shared" si="327"/>
        <v/>
      </c>
      <c r="B26" s="2896"/>
      <c r="C26" s="2869"/>
      <c r="D26" s="2870"/>
      <c r="E26" s="2871"/>
      <c r="F26" s="2871"/>
      <c r="G26" s="2871"/>
      <c r="H26" s="2871"/>
      <c r="I26" s="2871"/>
      <c r="J26" s="2897">
        <f>IF(C26="",0,HLOOKUP(C26,'Part V-Utility Allowances'!$I$11:$M$22,12))</f>
        <v>0</v>
      </c>
      <c r="K26" s="2873"/>
      <c r="L26" s="537">
        <f t="shared" si="0"/>
        <v>0</v>
      </c>
      <c r="M26" s="537">
        <f t="shared" si="1"/>
        <v>0</v>
      </c>
      <c r="N26" s="2712"/>
      <c r="O26" s="2874"/>
      <c r="P26" s="2712"/>
      <c r="Q26" s="2875"/>
      <c r="R26" s="2876"/>
      <c r="S26" s="2877"/>
      <c r="T26" s="3833"/>
      <c r="U26" s="3834"/>
      <c r="V26" s="3834"/>
      <c r="W26" s="3835"/>
      <c r="X26" s="430" t="str">
        <f t="shared" si="2"/>
        <v/>
      </c>
      <c r="Y26" s="430" t="str">
        <f t="shared" si="3"/>
        <v/>
      </c>
      <c r="Z26" s="430" t="str">
        <f t="shared" si="4"/>
        <v/>
      </c>
      <c r="AA26" s="430" t="str">
        <f t="shared" si="5"/>
        <v/>
      </c>
      <c r="AB26" s="430" t="str">
        <f t="shared" si="6"/>
        <v/>
      </c>
      <c r="AC26" s="430" t="str">
        <f t="shared" si="7"/>
        <v/>
      </c>
      <c r="AD26" s="430" t="str">
        <f t="shared" si="8"/>
        <v/>
      </c>
      <c r="AE26" s="430" t="str">
        <f t="shared" si="9"/>
        <v/>
      </c>
      <c r="AF26" s="430" t="str">
        <f t="shared" si="10"/>
        <v/>
      </c>
      <c r="AG26" s="430" t="str">
        <f t="shared" si="11"/>
        <v/>
      </c>
      <c r="AH26" s="430" t="str">
        <f t="shared" si="12"/>
        <v/>
      </c>
      <c r="AI26" s="430" t="str">
        <f t="shared" si="13"/>
        <v/>
      </c>
      <c r="AJ26" s="430" t="str">
        <f t="shared" si="14"/>
        <v/>
      </c>
      <c r="AK26" s="430" t="str">
        <f t="shared" si="15"/>
        <v/>
      </c>
      <c r="AL26" s="430" t="str">
        <f t="shared" si="16"/>
        <v/>
      </c>
      <c r="AM26" s="430" t="str">
        <f t="shared" si="17"/>
        <v/>
      </c>
      <c r="AN26" s="430" t="str">
        <f t="shared" si="18"/>
        <v/>
      </c>
      <c r="AO26" s="430" t="str">
        <f t="shared" si="19"/>
        <v/>
      </c>
      <c r="AP26" s="430" t="str">
        <f t="shared" si="20"/>
        <v/>
      </c>
      <c r="AQ26" s="430" t="str">
        <f t="shared" si="21"/>
        <v/>
      </c>
      <c r="AR26" s="430" t="str">
        <f t="shared" si="22"/>
        <v/>
      </c>
      <c r="AS26" s="430" t="str">
        <f t="shared" si="23"/>
        <v/>
      </c>
      <c r="AT26" s="430" t="str">
        <f t="shared" si="24"/>
        <v/>
      </c>
      <c r="AU26" s="430" t="str">
        <f t="shared" si="25"/>
        <v/>
      </c>
      <c r="AV26" s="430" t="str">
        <f t="shared" si="26"/>
        <v/>
      </c>
      <c r="AW26" s="430" t="str">
        <f t="shared" si="27"/>
        <v/>
      </c>
      <c r="AX26" s="430" t="str">
        <f t="shared" si="28"/>
        <v/>
      </c>
      <c r="AY26" s="430" t="str">
        <f t="shared" si="29"/>
        <v/>
      </c>
      <c r="AZ26" s="430" t="str">
        <f t="shared" si="30"/>
        <v/>
      </c>
      <c r="BA26" s="430" t="str">
        <f t="shared" si="31"/>
        <v/>
      </c>
      <c r="BB26" s="430" t="str">
        <f t="shared" si="32"/>
        <v/>
      </c>
      <c r="BC26" s="430" t="str">
        <f t="shared" si="33"/>
        <v/>
      </c>
      <c r="BD26" s="430" t="str">
        <f t="shared" si="34"/>
        <v/>
      </c>
      <c r="BE26" s="430" t="str">
        <f t="shared" si="35"/>
        <v/>
      </c>
      <c r="BF26" s="430" t="str">
        <f t="shared" si="36"/>
        <v/>
      </c>
      <c r="BG26" s="430" t="str">
        <f t="shared" si="37"/>
        <v/>
      </c>
      <c r="BH26" s="430" t="str">
        <f t="shared" si="38"/>
        <v/>
      </c>
      <c r="BI26" s="430" t="str">
        <f t="shared" si="39"/>
        <v/>
      </c>
      <c r="BJ26" s="430" t="str">
        <f t="shared" si="40"/>
        <v/>
      </c>
      <c r="BK26" s="430" t="str">
        <f t="shared" si="41"/>
        <v/>
      </c>
      <c r="BL26" s="430" t="str">
        <f t="shared" si="42"/>
        <v/>
      </c>
      <c r="BM26" s="430" t="str">
        <f t="shared" si="43"/>
        <v/>
      </c>
      <c r="BN26" s="430" t="str">
        <f t="shared" si="44"/>
        <v/>
      </c>
      <c r="BO26" s="430" t="str">
        <f t="shared" si="45"/>
        <v/>
      </c>
      <c r="BP26" s="430" t="str">
        <f t="shared" si="46"/>
        <v/>
      </c>
      <c r="BQ26" s="430" t="str">
        <f t="shared" si="47"/>
        <v/>
      </c>
      <c r="BR26" s="430" t="str">
        <f t="shared" si="48"/>
        <v/>
      </c>
      <c r="BS26" s="430" t="str">
        <f t="shared" si="49"/>
        <v/>
      </c>
      <c r="BT26" s="430" t="str">
        <f t="shared" si="50"/>
        <v/>
      </c>
      <c r="BU26" s="430" t="str">
        <f t="shared" si="51"/>
        <v/>
      </c>
      <c r="BV26" s="430" t="str">
        <f t="shared" si="52"/>
        <v/>
      </c>
      <c r="BW26" s="430" t="str">
        <f t="shared" si="53"/>
        <v/>
      </c>
      <c r="BX26" s="430" t="str">
        <f t="shared" si="54"/>
        <v/>
      </c>
      <c r="BY26" s="430" t="str">
        <f t="shared" si="55"/>
        <v/>
      </c>
      <c r="BZ26" s="430" t="str">
        <f t="shared" si="56"/>
        <v/>
      </c>
      <c r="CA26" s="430" t="str">
        <f t="shared" si="57"/>
        <v/>
      </c>
      <c r="CB26" s="430" t="str">
        <f t="shared" si="58"/>
        <v/>
      </c>
      <c r="CC26" s="430" t="str">
        <f t="shared" si="59"/>
        <v/>
      </c>
      <c r="CD26" s="430" t="str">
        <f t="shared" si="60"/>
        <v/>
      </c>
      <c r="CE26" s="430" t="str">
        <f t="shared" si="61"/>
        <v/>
      </c>
      <c r="CF26" s="430" t="str">
        <f t="shared" si="62"/>
        <v/>
      </c>
      <c r="CG26" s="430" t="str">
        <f t="shared" si="63"/>
        <v/>
      </c>
      <c r="CH26" s="430" t="str">
        <f t="shared" si="64"/>
        <v/>
      </c>
      <c r="CI26" s="430" t="str">
        <f t="shared" si="65"/>
        <v/>
      </c>
      <c r="CJ26" s="430" t="str">
        <f t="shared" si="66"/>
        <v/>
      </c>
      <c r="CK26" s="430" t="str">
        <f t="shared" si="67"/>
        <v/>
      </c>
      <c r="CL26" s="430" t="str">
        <f t="shared" si="68"/>
        <v/>
      </c>
      <c r="CM26" s="430" t="str">
        <f t="shared" si="69"/>
        <v/>
      </c>
      <c r="CN26" s="430" t="str">
        <f t="shared" si="70"/>
        <v/>
      </c>
      <c r="CO26" s="430" t="str">
        <f t="shared" si="71"/>
        <v/>
      </c>
      <c r="CP26" s="430" t="str">
        <f t="shared" si="72"/>
        <v/>
      </c>
      <c r="CQ26" s="430" t="str">
        <f t="shared" si="73"/>
        <v/>
      </c>
      <c r="CR26" s="430" t="str">
        <f t="shared" si="74"/>
        <v/>
      </c>
      <c r="CS26" s="430" t="str">
        <f t="shared" si="75"/>
        <v/>
      </c>
      <c r="CT26" s="430" t="str">
        <f t="shared" si="76"/>
        <v/>
      </c>
      <c r="CU26" s="430" t="str">
        <f t="shared" si="77"/>
        <v/>
      </c>
      <c r="CV26" s="430" t="str">
        <f t="shared" si="78"/>
        <v/>
      </c>
      <c r="CW26" s="430" t="str">
        <f t="shared" si="79"/>
        <v/>
      </c>
      <c r="CX26" s="430" t="str">
        <f t="shared" si="80"/>
        <v/>
      </c>
      <c r="CY26" s="430" t="str">
        <f t="shared" si="81"/>
        <v/>
      </c>
      <c r="CZ26" s="430" t="str">
        <f t="shared" si="82"/>
        <v/>
      </c>
      <c r="DA26" s="430" t="str">
        <f t="shared" si="83"/>
        <v/>
      </c>
      <c r="DB26" s="430" t="str">
        <f t="shared" si="84"/>
        <v/>
      </c>
      <c r="DC26" s="430" t="str">
        <f t="shared" si="85"/>
        <v/>
      </c>
      <c r="DD26" s="430" t="str">
        <f t="shared" si="86"/>
        <v/>
      </c>
      <c r="DE26" s="430" t="str">
        <f t="shared" si="87"/>
        <v/>
      </c>
      <c r="DF26" s="430" t="str">
        <f t="shared" si="88"/>
        <v/>
      </c>
      <c r="DG26" s="430" t="str">
        <f t="shared" si="89"/>
        <v/>
      </c>
      <c r="DH26" s="430" t="str">
        <f t="shared" si="90"/>
        <v/>
      </c>
      <c r="DI26" s="430" t="str">
        <f t="shared" si="91"/>
        <v/>
      </c>
      <c r="DJ26" s="430" t="str">
        <f t="shared" si="92"/>
        <v/>
      </c>
      <c r="DK26" s="430" t="str">
        <f t="shared" si="93"/>
        <v/>
      </c>
      <c r="DL26" s="430" t="str">
        <f t="shared" si="94"/>
        <v/>
      </c>
      <c r="DM26" s="430" t="str">
        <f t="shared" si="95"/>
        <v/>
      </c>
      <c r="DN26" s="430" t="str">
        <f t="shared" si="96"/>
        <v/>
      </c>
      <c r="DO26" s="430" t="str">
        <f t="shared" si="97"/>
        <v/>
      </c>
      <c r="DP26" s="430" t="str">
        <f t="shared" si="98"/>
        <v/>
      </c>
      <c r="DQ26" s="430" t="str">
        <f t="shared" si="99"/>
        <v/>
      </c>
      <c r="DR26" s="430" t="str">
        <f t="shared" si="100"/>
        <v/>
      </c>
      <c r="DS26" s="430" t="str">
        <f t="shared" si="101"/>
        <v/>
      </c>
      <c r="DT26" s="430" t="str">
        <f t="shared" si="102"/>
        <v/>
      </c>
      <c r="DU26" s="430" t="str">
        <f t="shared" si="103"/>
        <v/>
      </c>
      <c r="DV26" s="430" t="str">
        <f t="shared" si="104"/>
        <v/>
      </c>
      <c r="DW26" s="430" t="str">
        <f t="shared" si="105"/>
        <v/>
      </c>
      <c r="DX26" s="430" t="str">
        <f t="shared" si="106"/>
        <v/>
      </c>
      <c r="DY26" s="430" t="str">
        <f t="shared" si="107"/>
        <v/>
      </c>
      <c r="DZ26" s="430" t="str">
        <f t="shared" si="108"/>
        <v/>
      </c>
      <c r="EA26" s="430" t="str">
        <f t="shared" si="109"/>
        <v/>
      </c>
      <c r="EB26" s="430" t="str">
        <f t="shared" si="110"/>
        <v/>
      </c>
      <c r="EC26" s="430" t="str">
        <f t="shared" si="111"/>
        <v/>
      </c>
      <c r="ED26" s="430" t="str">
        <f t="shared" si="112"/>
        <v/>
      </c>
      <c r="EE26" s="430" t="str">
        <f t="shared" si="113"/>
        <v/>
      </c>
      <c r="EF26" s="430" t="str">
        <f t="shared" si="114"/>
        <v/>
      </c>
      <c r="EG26" s="430" t="str">
        <f t="shared" si="115"/>
        <v/>
      </c>
      <c r="EH26" s="430" t="str">
        <f t="shared" si="116"/>
        <v/>
      </c>
      <c r="EI26" s="430" t="str">
        <f t="shared" si="117"/>
        <v/>
      </c>
      <c r="EJ26" s="430" t="str">
        <f t="shared" si="118"/>
        <v/>
      </c>
      <c r="EK26" s="430" t="str">
        <f t="shared" si="119"/>
        <v/>
      </c>
      <c r="EL26" s="430" t="str">
        <f t="shared" si="120"/>
        <v/>
      </c>
      <c r="EM26" s="430" t="str">
        <f t="shared" si="121"/>
        <v/>
      </c>
      <c r="EN26" s="430" t="str">
        <f t="shared" si="122"/>
        <v/>
      </c>
      <c r="EO26" s="430" t="str">
        <f t="shared" si="123"/>
        <v/>
      </c>
      <c r="EP26" s="430" t="str">
        <f t="shared" si="124"/>
        <v/>
      </c>
      <c r="EQ26" s="430" t="str">
        <f t="shared" si="125"/>
        <v/>
      </c>
      <c r="ER26" s="430" t="str">
        <f t="shared" si="126"/>
        <v/>
      </c>
      <c r="ES26" s="430" t="str">
        <f t="shared" si="127"/>
        <v/>
      </c>
      <c r="ET26" s="430" t="str">
        <f t="shared" si="128"/>
        <v/>
      </c>
      <c r="EU26" s="430" t="str">
        <f t="shared" si="129"/>
        <v/>
      </c>
      <c r="EV26" s="430" t="str">
        <f t="shared" si="130"/>
        <v/>
      </c>
      <c r="EW26" s="430" t="str">
        <f t="shared" si="131"/>
        <v/>
      </c>
      <c r="EX26" s="430" t="str">
        <f t="shared" si="132"/>
        <v/>
      </c>
      <c r="EY26" s="430" t="str">
        <f t="shared" si="133"/>
        <v/>
      </c>
      <c r="EZ26" s="430" t="str">
        <f t="shared" si="134"/>
        <v/>
      </c>
      <c r="FA26" s="430" t="str">
        <f t="shared" si="135"/>
        <v/>
      </c>
      <c r="FB26" s="430" t="str">
        <f t="shared" si="136"/>
        <v/>
      </c>
      <c r="FC26" s="430" t="str">
        <f t="shared" si="137"/>
        <v/>
      </c>
      <c r="FD26" s="430" t="str">
        <f t="shared" si="138"/>
        <v/>
      </c>
      <c r="FE26" s="430" t="str">
        <f t="shared" si="139"/>
        <v/>
      </c>
      <c r="FF26" s="430" t="str">
        <f t="shared" si="140"/>
        <v/>
      </c>
      <c r="FG26" s="430" t="str">
        <f t="shared" si="141"/>
        <v/>
      </c>
      <c r="FH26" s="430" t="str">
        <f t="shared" si="142"/>
        <v/>
      </c>
      <c r="FI26" s="430" t="str">
        <f t="shared" si="143"/>
        <v/>
      </c>
      <c r="FJ26" s="430" t="str">
        <f t="shared" si="144"/>
        <v/>
      </c>
      <c r="FK26" s="430" t="str">
        <f t="shared" si="145"/>
        <v/>
      </c>
      <c r="FL26" s="430" t="str">
        <f t="shared" si="146"/>
        <v/>
      </c>
      <c r="FM26" s="430" t="str">
        <f t="shared" si="147"/>
        <v/>
      </c>
      <c r="FN26" s="430" t="str">
        <f t="shared" si="148"/>
        <v/>
      </c>
      <c r="FO26" s="430" t="str">
        <f t="shared" si="149"/>
        <v/>
      </c>
      <c r="FP26" s="430" t="str">
        <f t="shared" si="150"/>
        <v/>
      </c>
      <c r="FQ26" s="430" t="str">
        <f t="shared" si="151"/>
        <v/>
      </c>
      <c r="FR26" s="430" t="str">
        <f t="shared" si="152"/>
        <v/>
      </c>
      <c r="FS26" s="430" t="str">
        <f t="shared" si="153"/>
        <v/>
      </c>
      <c r="FT26" s="430" t="str">
        <f t="shared" si="154"/>
        <v/>
      </c>
      <c r="FU26" s="430" t="str">
        <f t="shared" si="155"/>
        <v/>
      </c>
      <c r="FV26" s="430" t="str">
        <f t="shared" si="156"/>
        <v/>
      </c>
      <c r="FW26" s="430" t="str">
        <f t="shared" si="157"/>
        <v/>
      </c>
      <c r="FX26" s="430" t="str">
        <f t="shared" si="158"/>
        <v/>
      </c>
      <c r="FY26" s="430" t="str">
        <f t="shared" si="159"/>
        <v/>
      </c>
      <c r="FZ26" s="430" t="str">
        <f t="shared" si="160"/>
        <v/>
      </c>
      <c r="GA26" s="430" t="str">
        <f t="shared" si="161"/>
        <v/>
      </c>
      <c r="GB26" s="430" t="str">
        <f t="shared" si="162"/>
        <v/>
      </c>
      <c r="GC26" s="430" t="str">
        <f t="shared" si="163"/>
        <v/>
      </c>
      <c r="GD26" s="430" t="str">
        <f t="shared" si="164"/>
        <v/>
      </c>
      <c r="GE26" s="430" t="str">
        <f t="shared" si="165"/>
        <v/>
      </c>
      <c r="GF26" s="430" t="str">
        <f t="shared" si="166"/>
        <v/>
      </c>
      <c r="GG26" s="430" t="str">
        <f t="shared" si="167"/>
        <v/>
      </c>
      <c r="GH26" s="430" t="str">
        <f t="shared" si="168"/>
        <v/>
      </c>
      <c r="GI26" s="430" t="str">
        <f t="shared" si="169"/>
        <v/>
      </c>
      <c r="GJ26" s="430" t="str">
        <f t="shared" si="170"/>
        <v/>
      </c>
      <c r="GK26" s="430" t="str">
        <f t="shared" si="171"/>
        <v/>
      </c>
      <c r="GL26" s="430" t="str">
        <f t="shared" si="172"/>
        <v/>
      </c>
      <c r="GM26" s="430" t="str">
        <f t="shared" si="173"/>
        <v/>
      </c>
      <c r="GN26" s="430" t="str">
        <f t="shared" si="174"/>
        <v/>
      </c>
      <c r="GO26" s="430" t="str">
        <f t="shared" si="175"/>
        <v/>
      </c>
      <c r="GP26" s="430" t="str">
        <f t="shared" si="176"/>
        <v/>
      </c>
      <c r="GQ26" s="430" t="str">
        <f t="shared" si="177"/>
        <v/>
      </c>
      <c r="GR26" s="430" t="str">
        <f t="shared" si="178"/>
        <v/>
      </c>
      <c r="GS26" s="430" t="str">
        <f t="shared" si="179"/>
        <v/>
      </c>
      <c r="GT26" s="430" t="str">
        <f t="shared" si="180"/>
        <v/>
      </c>
      <c r="GU26" s="430" t="str">
        <f t="shared" si="181"/>
        <v/>
      </c>
      <c r="GV26" s="430" t="str">
        <f t="shared" si="182"/>
        <v/>
      </c>
      <c r="GW26" s="430" t="str">
        <f t="shared" si="183"/>
        <v/>
      </c>
      <c r="GX26" s="430" t="str">
        <f t="shared" si="184"/>
        <v/>
      </c>
      <c r="GY26" s="430" t="str">
        <f t="shared" si="185"/>
        <v/>
      </c>
      <c r="GZ26" s="430" t="str">
        <f t="shared" si="186"/>
        <v/>
      </c>
      <c r="HA26" s="430" t="str">
        <f t="shared" si="187"/>
        <v/>
      </c>
      <c r="HB26" s="430" t="str">
        <f t="shared" si="188"/>
        <v/>
      </c>
      <c r="HC26" s="430" t="str">
        <f t="shared" si="189"/>
        <v/>
      </c>
      <c r="HD26" s="430" t="str">
        <f t="shared" si="190"/>
        <v/>
      </c>
      <c r="HE26" s="430" t="str">
        <f t="shared" si="191"/>
        <v/>
      </c>
      <c r="HF26" s="430" t="str">
        <f t="shared" si="192"/>
        <v/>
      </c>
      <c r="HG26" s="430" t="str">
        <f t="shared" si="193"/>
        <v/>
      </c>
      <c r="HH26" s="430" t="str">
        <f t="shared" si="194"/>
        <v/>
      </c>
      <c r="HI26" s="430" t="str">
        <f t="shared" si="195"/>
        <v/>
      </c>
      <c r="HJ26" s="430" t="str">
        <f t="shared" si="196"/>
        <v/>
      </c>
      <c r="HK26" s="430" t="str">
        <f t="shared" si="197"/>
        <v/>
      </c>
      <c r="HL26" s="430" t="str">
        <f t="shared" si="198"/>
        <v/>
      </c>
      <c r="HM26" s="430" t="str">
        <f t="shared" si="199"/>
        <v/>
      </c>
      <c r="HN26" s="430" t="str">
        <f t="shared" si="200"/>
        <v/>
      </c>
      <c r="HO26" s="430" t="str">
        <f t="shared" si="201"/>
        <v/>
      </c>
      <c r="HP26" s="430" t="str">
        <f t="shared" si="202"/>
        <v/>
      </c>
      <c r="HQ26" s="430" t="str">
        <f t="shared" si="203"/>
        <v/>
      </c>
      <c r="HR26" s="430" t="str">
        <f t="shared" si="204"/>
        <v/>
      </c>
      <c r="HS26" s="430" t="str">
        <f t="shared" si="205"/>
        <v/>
      </c>
      <c r="HT26" s="430" t="str">
        <f t="shared" si="206"/>
        <v/>
      </c>
      <c r="HU26" s="430" t="str">
        <f t="shared" si="207"/>
        <v/>
      </c>
      <c r="HV26" s="430" t="str">
        <f t="shared" si="208"/>
        <v/>
      </c>
      <c r="HW26" s="430" t="str">
        <f t="shared" si="209"/>
        <v/>
      </c>
      <c r="HX26" s="430" t="str">
        <f t="shared" si="210"/>
        <v/>
      </c>
      <c r="HY26" s="430" t="str">
        <f t="shared" si="211"/>
        <v/>
      </c>
      <c r="HZ26" s="1814" t="str">
        <f t="shared" si="212"/>
        <v/>
      </c>
      <c r="IA26" s="1814" t="str">
        <f t="shared" si="213"/>
        <v/>
      </c>
      <c r="IB26" s="1814" t="str">
        <f t="shared" si="214"/>
        <v/>
      </c>
      <c r="IC26" s="1814" t="str">
        <f t="shared" si="215"/>
        <v/>
      </c>
      <c r="ID26" s="1814" t="str">
        <f t="shared" si="216"/>
        <v/>
      </c>
      <c r="IE26" s="1814" t="str">
        <f t="shared" si="217"/>
        <v/>
      </c>
      <c r="IF26" s="1814" t="str">
        <f t="shared" si="218"/>
        <v/>
      </c>
      <c r="IG26" s="1814" t="str">
        <f t="shared" si="219"/>
        <v/>
      </c>
      <c r="IH26" s="1814" t="str">
        <f t="shared" si="220"/>
        <v/>
      </c>
      <c r="II26" s="1814" t="str">
        <f t="shared" si="221"/>
        <v/>
      </c>
      <c r="IJ26" s="1814" t="str">
        <f t="shared" si="222"/>
        <v/>
      </c>
      <c r="IK26" s="1814" t="str">
        <f t="shared" si="223"/>
        <v/>
      </c>
      <c r="IL26" s="1814" t="str">
        <f t="shared" si="224"/>
        <v/>
      </c>
      <c r="IM26" s="1814" t="str">
        <f t="shared" si="225"/>
        <v/>
      </c>
      <c r="IN26" s="1814" t="str">
        <f t="shared" si="226"/>
        <v/>
      </c>
      <c r="IO26" s="1814" t="str">
        <f t="shared" si="227"/>
        <v/>
      </c>
      <c r="IP26" s="1814" t="str">
        <f t="shared" si="228"/>
        <v/>
      </c>
      <c r="IQ26" s="1814" t="str">
        <f t="shared" si="229"/>
        <v/>
      </c>
      <c r="IR26" s="1814" t="str">
        <f t="shared" si="230"/>
        <v/>
      </c>
      <c r="IS26" s="1814" t="str">
        <f t="shared" si="231"/>
        <v/>
      </c>
      <c r="IT26" s="1814" t="str">
        <f t="shared" si="232"/>
        <v/>
      </c>
      <c r="IU26" s="1814" t="str">
        <f t="shared" si="233"/>
        <v/>
      </c>
      <c r="IV26" s="1814" t="str">
        <f t="shared" si="234"/>
        <v/>
      </c>
      <c r="IW26" s="1814" t="str">
        <f t="shared" si="235"/>
        <v/>
      </c>
      <c r="IX26" s="1814" t="str">
        <f t="shared" si="236"/>
        <v/>
      </c>
      <c r="IY26" s="1814" t="str">
        <f t="shared" si="237"/>
        <v/>
      </c>
      <c r="IZ26" s="1814" t="str">
        <f t="shared" si="238"/>
        <v/>
      </c>
      <c r="JA26" s="1814" t="str">
        <f t="shared" si="239"/>
        <v/>
      </c>
      <c r="JB26" s="1814" t="str">
        <f t="shared" si="240"/>
        <v/>
      </c>
      <c r="JC26" s="1814" t="str">
        <f t="shared" si="241"/>
        <v/>
      </c>
      <c r="JD26" s="1814" t="str">
        <f t="shared" si="242"/>
        <v/>
      </c>
      <c r="JE26" s="1814" t="str">
        <f t="shared" si="243"/>
        <v/>
      </c>
      <c r="JF26" s="1814" t="str">
        <f t="shared" si="244"/>
        <v/>
      </c>
      <c r="JG26" s="1814" t="str">
        <f t="shared" si="245"/>
        <v/>
      </c>
      <c r="JH26" s="1814" t="str">
        <f t="shared" si="246"/>
        <v/>
      </c>
      <c r="JI26" s="1814" t="str">
        <f t="shared" si="247"/>
        <v/>
      </c>
      <c r="JJ26" s="1814" t="str">
        <f t="shared" si="248"/>
        <v/>
      </c>
      <c r="JK26" s="1814" t="str">
        <f t="shared" si="249"/>
        <v/>
      </c>
      <c r="JL26" s="1814" t="str">
        <f t="shared" si="250"/>
        <v/>
      </c>
      <c r="JM26" s="1814" t="str">
        <f t="shared" si="251"/>
        <v/>
      </c>
      <c r="JN26" s="1814" t="str">
        <f t="shared" si="252"/>
        <v/>
      </c>
      <c r="JO26" s="1814" t="str">
        <f t="shared" si="253"/>
        <v/>
      </c>
      <c r="JP26" s="1814" t="str">
        <f t="shared" si="254"/>
        <v/>
      </c>
      <c r="JQ26" s="1814" t="str">
        <f t="shared" si="255"/>
        <v/>
      </c>
      <c r="JR26" s="1814" t="str">
        <f t="shared" si="256"/>
        <v/>
      </c>
      <c r="JS26" s="1814" t="str">
        <f t="shared" si="257"/>
        <v/>
      </c>
      <c r="JT26" s="1814" t="str">
        <f t="shared" si="258"/>
        <v/>
      </c>
      <c r="JU26" s="1814" t="str">
        <f t="shared" si="259"/>
        <v/>
      </c>
      <c r="JV26" s="1814" t="str">
        <f t="shared" si="260"/>
        <v/>
      </c>
      <c r="JW26" s="1814" t="str">
        <f t="shared" si="261"/>
        <v/>
      </c>
      <c r="JX26" s="1814" t="str">
        <f t="shared" si="262"/>
        <v/>
      </c>
      <c r="JY26" s="1814" t="str">
        <f t="shared" si="263"/>
        <v/>
      </c>
      <c r="JZ26" s="1814" t="str">
        <f t="shared" si="264"/>
        <v/>
      </c>
      <c r="KA26" s="1814" t="str">
        <f t="shared" si="265"/>
        <v/>
      </c>
      <c r="KB26" s="1814" t="str">
        <f t="shared" si="266"/>
        <v/>
      </c>
      <c r="KC26" s="1814" t="str">
        <f t="shared" si="267"/>
        <v/>
      </c>
      <c r="KD26" s="1814" t="str">
        <f t="shared" si="268"/>
        <v/>
      </c>
      <c r="KE26" s="1814" t="str">
        <f t="shared" si="269"/>
        <v/>
      </c>
      <c r="KF26" s="1814" t="str">
        <f t="shared" si="270"/>
        <v/>
      </c>
      <c r="KG26" s="1814" t="str">
        <f t="shared" si="271"/>
        <v/>
      </c>
      <c r="KH26" s="1814" t="str">
        <f t="shared" si="272"/>
        <v/>
      </c>
      <c r="KI26" s="1814" t="str">
        <f t="shared" si="273"/>
        <v/>
      </c>
      <c r="KJ26" s="1814" t="str">
        <f t="shared" si="274"/>
        <v/>
      </c>
      <c r="KK26" s="1814" t="str">
        <f t="shared" si="275"/>
        <v/>
      </c>
      <c r="KL26" s="1814" t="str">
        <f t="shared" si="276"/>
        <v/>
      </c>
      <c r="KM26" s="1814" t="str">
        <f t="shared" si="277"/>
        <v/>
      </c>
      <c r="KN26" s="1814" t="str">
        <f t="shared" si="278"/>
        <v/>
      </c>
      <c r="KO26" s="1814" t="str">
        <f t="shared" si="279"/>
        <v/>
      </c>
      <c r="KP26" s="1814" t="str">
        <f t="shared" si="280"/>
        <v/>
      </c>
      <c r="KQ26" s="1814" t="str">
        <f t="shared" si="281"/>
        <v/>
      </c>
      <c r="KR26" s="1814" t="str">
        <f t="shared" si="282"/>
        <v/>
      </c>
      <c r="KS26" s="1814" t="str">
        <f t="shared" si="283"/>
        <v/>
      </c>
      <c r="KT26" s="1814" t="str">
        <f t="shared" si="284"/>
        <v/>
      </c>
      <c r="KU26" s="1814" t="str">
        <f t="shared" si="285"/>
        <v/>
      </c>
      <c r="KV26" s="1814" t="str">
        <f t="shared" si="286"/>
        <v/>
      </c>
      <c r="KW26" s="1814" t="str">
        <f t="shared" si="287"/>
        <v/>
      </c>
      <c r="KX26" s="1814" t="str">
        <f t="shared" si="288"/>
        <v/>
      </c>
      <c r="KY26" s="1814" t="str">
        <f t="shared" si="289"/>
        <v/>
      </c>
      <c r="KZ26" s="1814" t="str">
        <f t="shared" si="290"/>
        <v/>
      </c>
      <c r="LA26" s="1814" t="str">
        <f t="shared" si="291"/>
        <v/>
      </c>
      <c r="LB26" s="1814" t="str">
        <f t="shared" si="292"/>
        <v/>
      </c>
      <c r="LC26" s="1814" t="str">
        <f t="shared" si="293"/>
        <v/>
      </c>
      <c r="LD26" s="1814" t="str">
        <f t="shared" si="294"/>
        <v/>
      </c>
      <c r="LE26" s="1814" t="str">
        <f t="shared" si="295"/>
        <v/>
      </c>
      <c r="LF26" s="1814" t="str">
        <f t="shared" si="296"/>
        <v/>
      </c>
      <c r="LG26" s="1786" t="str">
        <f t="shared" si="297"/>
        <v/>
      </c>
      <c r="LH26" s="1786" t="str">
        <f t="shared" si="298"/>
        <v/>
      </c>
      <c r="LI26" s="1786" t="str">
        <f t="shared" si="299"/>
        <v/>
      </c>
      <c r="LJ26" s="1786" t="str">
        <f t="shared" si="300"/>
        <v/>
      </c>
      <c r="LK26" s="1786" t="str">
        <f t="shared" si="301"/>
        <v/>
      </c>
      <c r="LL26" s="430" t="str">
        <f t="shared" si="302"/>
        <v/>
      </c>
      <c r="LM26" s="430" t="str">
        <f t="shared" si="303"/>
        <v/>
      </c>
      <c r="LN26" s="430" t="str">
        <f t="shared" si="304"/>
        <v/>
      </c>
      <c r="LO26" s="430" t="str">
        <f t="shared" si="305"/>
        <v/>
      </c>
      <c r="LP26" s="430" t="str">
        <f t="shared" si="306"/>
        <v/>
      </c>
      <c r="LQ26" s="430" t="str">
        <f t="shared" si="307"/>
        <v/>
      </c>
      <c r="LR26" s="430" t="str">
        <f t="shared" si="308"/>
        <v/>
      </c>
      <c r="LS26" s="430" t="str">
        <f t="shared" si="309"/>
        <v/>
      </c>
      <c r="LT26" s="430" t="str">
        <f t="shared" si="310"/>
        <v/>
      </c>
      <c r="LU26" s="430" t="str">
        <f t="shared" si="311"/>
        <v/>
      </c>
      <c r="LV26" s="430" t="str">
        <f t="shared" si="312"/>
        <v/>
      </c>
      <c r="LW26" s="430" t="str">
        <f t="shared" si="313"/>
        <v/>
      </c>
      <c r="LX26" s="430" t="str">
        <f t="shared" si="314"/>
        <v/>
      </c>
      <c r="LY26" s="430" t="str">
        <f t="shared" si="315"/>
        <v/>
      </c>
      <c r="LZ26" s="430" t="str">
        <f t="shared" si="316"/>
        <v/>
      </c>
      <c r="MA26" s="430" t="str">
        <f t="shared" si="317"/>
        <v/>
      </c>
      <c r="MB26" s="430" t="str">
        <f t="shared" si="318"/>
        <v/>
      </c>
      <c r="MC26" s="430" t="str">
        <f t="shared" si="319"/>
        <v/>
      </c>
      <c r="MD26" s="430" t="str">
        <f t="shared" si="320"/>
        <v/>
      </c>
      <c r="ME26" s="430" t="str">
        <f t="shared" si="321"/>
        <v/>
      </c>
      <c r="MF26" s="1815">
        <f t="shared" si="328"/>
        <v>0</v>
      </c>
      <c r="MG26" s="1815">
        <f t="shared" si="329"/>
        <v>0</v>
      </c>
      <c r="MH26" s="1815">
        <f t="shared" si="330"/>
        <v>0</v>
      </c>
      <c r="MI26" s="1815">
        <f t="shared" si="331"/>
        <v>0</v>
      </c>
      <c r="MJ26" s="1815">
        <f t="shared" si="332"/>
        <v>0</v>
      </c>
      <c r="MK26" s="1815">
        <f t="shared" si="333"/>
        <v>0</v>
      </c>
      <c r="ML26" s="1815">
        <f t="shared" si="334"/>
        <v>0</v>
      </c>
      <c r="MM26" s="1815">
        <f t="shared" si="335"/>
        <v>0</v>
      </c>
      <c r="MN26" s="1815">
        <f t="shared" si="336"/>
        <v>0</v>
      </c>
      <c r="MO26" s="1815">
        <f t="shared" si="337"/>
        <v>0</v>
      </c>
      <c r="MP26" s="1815">
        <f t="shared" si="322"/>
        <v>0</v>
      </c>
      <c r="MQ26" s="1815">
        <f t="shared" si="323"/>
        <v>0</v>
      </c>
      <c r="MR26" s="1815">
        <f t="shared" si="324"/>
        <v>0</v>
      </c>
      <c r="MS26" s="1815">
        <f t="shared" si="325"/>
        <v>0</v>
      </c>
      <c r="MT26" s="1815">
        <f t="shared" si="326"/>
        <v>0</v>
      </c>
      <c r="NP26" s="2807" t="s">
        <v>6732</v>
      </c>
    </row>
    <row r="27" spans="1:380" ht="13.9" customHeight="1">
      <c r="A27" s="108" t="str">
        <f t="shared" si="327"/>
        <v/>
      </c>
      <c r="B27" s="2896"/>
      <c r="C27" s="2869"/>
      <c r="D27" s="2870"/>
      <c r="E27" s="2871"/>
      <c r="F27" s="2871"/>
      <c r="G27" s="2871"/>
      <c r="H27" s="2871"/>
      <c r="I27" s="2871"/>
      <c r="J27" s="2897">
        <f>IF(C27="",0,HLOOKUP(C27,'Part V-Utility Allowances'!$I$11:$M$22,12))</f>
        <v>0</v>
      </c>
      <c r="K27" s="2873"/>
      <c r="L27" s="537">
        <f t="shared" si="0"/>
        <v>0</v>
      </c>
      <c r="M27" s="537">
        <f t="shared" si="1"/>
        <v>0</v>
      </c>
      <c r="N27" s="2712"/>
      <c r="O27" s="2874"/>
      <c r="P27" s="2712"/>
      <c r="Q27" s="2875"/>
      <c r="R27" s="2876"/>
      <c r="S27" s="2877"/>
      <c r="T27" s="3833"/>
      <c r="U27" s="3834"/>
      <c r="V27" s="3834"/>
      <c r="W27" s="3835"/>
      <c r="X27" s="430" t="str">
        <f t="shared" si="2"/>
        <v/>
      </c>
      <c r="Y27" s="430" t="str">
        <f t="shared" si="3"/>
        <v/>
      </c>
      <c r="Z27" s="430" t="str">
        <f t="shared" si="4"/>
        <v/>
      </c>
      <c r="AA27" s="430" t="str">
        <f t="shared" si="5"/>
        <v/>
      </c>
      <c r="AB27" s="430" t="str">
        <f t="shared" si="6"/>
        <v/>
      </c>
      <c r="AC27" s="430" t="str">
        <f t="shared" si="7"/>
        <v/>
      </c>
      <c r="AD27" s="430" t="str">
        <f t="shared" si="8"/>
        <v/>
      </c>
      <c r="AE27" s="430" t="str">
        <f t="shared" si="9"/>
        <v/>
      </c>
      <c r="AF27" s="430" t="str">
        <f t="shared" si="10"/>
        <v/>
      </c>
      <c r="AG27" s="430" t="str">
        <f t="shared" si="11"/>
        <v/>
      </c>
      <c r="AH27" s="430" t="str">
        <f t="shared" si="12"/>
        <v/>
      </c>
      <c r="AI27" s="430" t="str">
        <f t="shared" si="13"/>
        <v/>
      </c>
      <c r="AJ27" s="430" t="str">
        <f t="shared" si="14"/>
        <v/>
      </c>
      <c r="AK27" s="430" t="str">
        <f t="shared" si="15"/>
        <v/>
      </c>
      <c r="AL27" s="430" t="str">
        <f t="shared" si="16"/>
        <v/>
      </c>
      <c r="AM27" s="430" t="str">
        <f t="shared" si="17"/>
        <v/>
      </c>
      <c r="AN27" s="430" t="str">
        <f t="shared" si="18"/>
        <v/>
      </c>
      <c r="AO27" s="430" t="str">
        <f t="shared" si="19"/>
        <v/>
      </c>
      <c r="AP27" s="430" t="str">
        <f t="shared" si="20"/>
        <v/>
      </c>
      <c r="AQ27" s="430" t="str">
        <f t="shared" si="21"/>
        <v/>
      </c>
      <c r="AR27" s="430" t="str">
        <f t="shared" si="22"/>
        <v/>
      </c>
      <c r="AS27" s="430" t="str">
        <f t="shared" si="23"/>
        <v/>
      </c>
      <c r="AT27" s="430" t="str">
        <f t="shared" si="24"/>
        <v/>
      </c>
      <c r="AU27" s="430" t="str">
        <f t="shared" si="25"/>
        <v/>
      </c>
      <c r="AV27" s="430" t="str">
        <f t="shared" si="26"/>
        <v/>
      </c>
      <c r="AW27" s="430" t="str">
        <f t="shared" si="27"/>
        <v/>
      </c>
      <c r="AX27" s="430" t="str">
        <f t="shared" si="28"/>
        <v/>
      </c>
      <c r="AY27" s="430" t="str">
        <f t="shared" si="29"/>
        <v/>
      </c>
      <c r="AZ27" s="430" t="str">
        <f t="shared" si="30"/>
        <v/>
      </c>
      <c r="BA27" s="430" t="str">
        <f t="shared" si="31"/>
        <v/>
      </c>
      <c r="BB27" s="430" t="str">
        <f t="shared" si="32"/>
        <v/>
      </c>
      <c r="BC27" s="430" t="str">
        <f t="shared" si="33"/>
        <v/>
      </c>
      <c r="BD27" s="430" t="str">
        <f t="shared" si="34"/>
        <v/>
      </c>
      <c r="BE27" s="430" t="str">
        <f t="shared" si="35"/>
        <v/>
      </c>
      <c r="BF27" s="430" t="str">
        <f t="shared" si="36"/>
        <v/>
      </c>
      <c r="BG27" s="430" t="str">
        <f t="shared" si="37"/>
        <v/>
      </c>
      <c r="BH27" s="430" t="str">
        <f t="shared" si="38"/>
        <v/>
      </c>
      <c r="BI27" s="430" t="str">
        <f t="shared" si="39"/>
        <v/>
      </c>
      <c r="BJ27" s="430" t="str">
        <f t="shared" si="40"/>
        <v/>
      </c>
      <c r="BK27" s="430" t="str">
        <f t="shared" si="41"/>
        <v/>
      </c>
      <c r="BL27" s="430" t="str">
        <f t="shared" si="42"/>
        <v/>
      </c>
      <c r="BM27" s="430" t="str">
        <f t="shared" si="43"/>
        <v/>
      </c>
      <c r="BN27" s="430" t="str">
        <f t="shared" si="44"/>
        <v/>
      </c>
      <c r="BO27" s="430" t="str">
        <f t="shared" si="45"/>
        <v/>
      </c>
      <c r="BP27" s="430" t="str">
        <f t="shared" si="46"/>
        <v/>
      </c>
      <c r="BQ27" s="430" t="str">
        <f t="shared" si="47"/>
        <v/>
      </c>
      <c r="BR27" s="430" t="str">
        <f t="shared" si="48"/>
        <v/>
      </c>
      <c r="BS27" s="430" t="str">
        <f t="shared" si="49"/>
        <v/>
      </c>
      <c r="BT27" s="430" t="str">
        <f t="shared" si="50"/>
        <v/>
      </c>
      <c r="BU27" s="430" t="str">
        <f t="shared" si="51"/>
        <v/>
      </c>
      <c r="BV27" s="430" t="str">
        <f t="shared" si="52"/>
        <v/>
      </c>
      <c r="BW27" s="430" t="str">
        <f t="shared" si="53"/>
        <v/>
      </c>
      <c r="BX27" s="430" t="str">
        <f t="shared" si="54"/>
        <v/>
      </c>
      <c r="BY27" s="430" t="str">
        <f t="shared" si="55"/>
        <v/>
      </c>
      <c r="BZ27" s="430" t="str">
        <f t="shared" si="56"/>
        <v/>
      </c>
      <c r="CA27" s="430" t="str">
        <f t="shared" si="57"/>
        <v/>
      </c>
      <c r="CB27" s="430" t="str">
        <f t="shared" si="58"/>
        <v/>
      </c>
      <c r="CC27" s="430" t="str">
        <f t="shared" si="59"/>
        <v/>
      </c>
      <c r="CD27" s="430" t="str">
        <f t="shared" si="60"/>
        <v/>
      </c>
      <c r="CE27" s="430" t="str">
        <f t="shared" si="61"/>
        <v/>
      </c>
      <c r="CF27" s="430" t="str">
        <f t="shared" si="62"/>
        <v/>
      </c>
      <c r="CG27" s="430" t="str">
        <f t="shared" si="63"/>
        <v/>
      </c>
      <c r="CH27" s="430" t="str">
        <f t="shared" si="64"/>
        <v/>
      </c>
      <c r="CI27" s="430" t="str">
        <f t="shared" si="65"/>
        <v/>
      </c>
      <c r="CJ27" s="430" t="str">
        <f t="shared" si="66"/>
        <v/>
      </c>
      <c r="CK27" s="430" t="str">
        <f t="shared" si="67"/>
        <v/>
      </c>
      <c r="CL27" s="430" t="str">
        <f t="shared" si="68"/>
        <v/>
      </c>
      <c r="CM27" s="430" t="str">
        <f t="shared" si="69"/>
        <v/>
      </c>
      <c r="CN27" s="430" t="str">
        <f t="shared" si="70"/>
        <v/>
      </c>
      <c r="CO27" s="430" t="str">
        <f t="shared" si="71"/>
        <v/>
      </c>
      <c r="CP27" s="430" t="str">
        <f t="shared" si="72"/>
        <v/>
      </c>
      <c r="CQ27" s="430" t="str">
        <f t="shared" si="73"/>
        <v/>
      </c>
      <c r="CR27" s="430" t="str">
        <f t="shared" si="74"/>
        <v/>
      </c>
      <c r="CS27" s="430" t="str">
        <f t="shared" si="75"/>
        <v/>
      </c>
      <c r="CT27" s="430" t="str">
        <f t="shared" si="76"/>
        <v/>
      </c>
      <c r="CU27" s="430" t="str">
        <f t="shared" si="77"/>
        <v/>
      </c>
      <c r="CV27" s="430" t="str">
        <f t="shared" si="78"/>
        <v/>
      </c>
      <c r="CW27" s="430" t="str">
        <f t="shared" si="79"/>
        <v/>
      </c>
      <c r="CX27" s="430" t="str">
        <f t="shared" si="80"/>
        <v/>
      </c>
      <c r="CY27" s="430" t="str">
        <f t="shared" si="81"/>
        <v/>
      </c>
      <c r="CZ27" s="430" t="str">
        <f t="shared" si="82"/>
        <v/>
      </c>
      <c r="DA27" s="430" t="str">
        <f t="shared" si="83"/>
        <v/>
      </c>
      <c r="DB27" s="430" t="str">
        <f t="shared" si="84"/>
        <v/>
      </c>
      <c r="DC27" s="430" t="str">
        <f t="shared" si="85"/>
        <v/>
      </c>
      <c r="DD27" s="430" t="str">
        <f t="shared" si="86"/>
        <v/>
      </c>
      <c r="DE27" s="430" t="str">
        <f t="shared" si="87"/>
        <v/>
      </c>
      <c r="DF27" s="430" t="str">
        <f t="shared" si="88"/>
        <v/>
      </c>
      <c r="DG27" s="430" t="str">
        <f t="shared" si="89"/>
        <v/>
      </c>
      <c r="DH27" s="430" t="str">
        <f t="shared" si="90"/>
        <v/>
      </c>
      <c r="DI27" s="430" t="str">
        <f t="shared" si="91"/>
        <v/>
      </c>
      <c r="DJ27" s="430" t="str">
        <f t="shared" si="92"/>
        <v/>
      </c>
      <c r="DK27" s="430" t="str">
        <f t="shared" si="93"/>
        <v/>
      </c>
      <c r="DL27" s="430" t="str">
        <f t="shared" si="94"/>
        <v/>
      </c>
      <c r="DM27" s="430" t="str">
        <f t="shared" si="95"/>
        <v/>
      </c>
      <c r="DN27" s="430" t="str">
        <f t="shared" si="96"/>
        <v/>
      </c>
      <c r="DO27" s="430" t="str">
        <f t="shared" si="97"/>
        <v/>
      </c>
      <c r="DP27" s="430" t="str">
        <f t="shared" si="98"/>
        <v/>
      </c>
      <c r="DQ27" s="430" t="str">
        <f t="shared" si="99"/>
        <v/>
      </c>
      <c r="DR27" s="430" t="str">
        <f t="shared" si="100"/>
        <v/>
      </c>
      <c r="DS27" s="430" t="str">
        <f t="shared" si="101"/>
        <v/>
      </c>
      <c r="DT27" s="430" t="str">
        <f t="shared" si="102"/>
        <v/>
      </c>
      <c r="DU27" s="430" t="str">
        <f t="shared" si="103"/>
        <v/>
      </c>
      <c r="DV27" s="430" t="str">
        <f t="shared" si="104"/>
        <v/>
      </c>
      <c r="DW27" s="430" t="str">
        <f t="shared" si="105"/>
        <v/>
      </c>
      <c r="DX27" s="430" t="str">
        <f t="shared" si="106"/>
        <v/>
      </c>
      <c r="DY27" s="430" t="str">
        <f t="shared" si="107"/>
        <v/>
      </c>
      <c r="DZ27" s="430" t="str">
        <f t="shared" si="108"/>
        <v/>
      </c>
      <c r="EA27" s="430" t="str">
        <f t="shared" si="109"/>
        <v/>
      </c>
      <c r="EB27" s="430" t="str">
        <f t="shared" si="110"/>
        <v/>
      </c>
      <c r="EC27" s="430" t="str">
        <f t="shared" si="111"/>
        <v/>
      </c>
      <c r="ED27" s="430" t="str">
        <f t="shared" si="112"/>
        <v/>
      </c>
      <c r="EE27" s="430" t="str">
        <f t="shared" si="113"/>
        <v/>
      </c>
      <c r="EF27" s="430" t="str">
        <f t="shared" si="114"/>
        <v/>
      </c>
      <c r="EG27" s="430" t="str">
        <f t="shared" si="115"/>
        <v/>
      </c>
      <c r="EH27" s="430" t="str">
        <f t="shared" si="116"/>
        <v/>
      </c>
      <c r="EI27" s="430" t="str">
        <f t="shared" si="117"/>
        <v/>
      </c>
      <c r="EJ27" s="430" t="str">
        <f t="shared" si="118"/>
        <v/>
      </c>
      <c r="EK27" s="430" t="str">
        <f t="shared" si="119"/>
        <v/>
      </c>
      <c r="EL27" s="430" t="str">
        <f t="shared" si="120"/>
        <v/>
      </c>
      <c r="EM27" s="430" t="str">
        <f t="shared" si="121"/>
        <v/>
      </c>
      <c r="EN27" s="430" t="str">
        <f t="shared" si="122"/>
        <v/>
      </c>
      <c r="EO27" s="430" t="str">
        <f t="shared" si="123"/>
        <v/>
      </c>
      <c r="EP27" s="430" t="str">
        <f t="shared" si="124"/>
        <v/>
      </c>
      <c r="EQ27" s="430" t="str">
        <f t="shared" si="125"/>
        <v/>
      </c>
      <c r="ER27" s="430" t="str">
        <f t="shared" si="126"/>
        <v/>
      </c>
      <c r="ES27" s="430" t="str">
        <f t="shared" si="127"/>
        <v/>
      </c>
      <c r="ET27" s="430" t="str">
        <f t="shared" si="128"/>
        <v/>
      </c>
      <c r="EU27" s="430" t="str">
        <f t="shared" si="129"/>
        <v/>
      </c>
      <c r="EV27" s="430" t="str">
        <f t="shared" si="130"/>
        <v/>
      </c>
      <c r="EW27" s="430" t="str">
        <f t="shared" si="131"/>
        <v/>
      </c>
      <c r="EX27" s="430" t="str">
        <f t="shared" si="132"/>
        <v/>
      </c>
      <c r="EY27" s="430" t="str">
        <f t="shared" si="133"/>
        <v/>
      </c>
      <c r="EZ27" s="430" t="str">
        <f t="shared" si="134"/>
        <v/>
      </c>
      <c r="FA27" s="430" t="str">
        <f t="shared" si="135"/>
        <v/>
      </c>
      <c r="FB27" s="430" t="str">
        <f t="shared" si="136"/>
        <v/>
      </c>
      <c r="FC27" s="430" t="str">
        <f t="shared" si="137"/>
        <v/>
      </c>
      <c r="FD27" s="430" t="str">
        <f t="shared" si="138"/>
        <v/>
      </c>
      <c r="FE27" s="430" t="str">
        <f t="shared" si="139"/>
        <v/>
      </c>
      <c r="FF27" s="430" t="str">
        <f t="shared" si="140"/>
        <v/>
      </c>
      <c r="FG27" s="430" t="str">
        <f t="shared" si="141"/>
        <v/>
      </c>
      <c r="FH27" s="430" t="str">
        <f t="shared" si="142"/>
        <v/>
      </c>
      <c r="FI27" s="430" t="str">
        <f t="shared" si="143"/>
        <v/>
      </c>
      <c r="FJ27" s="430" t="str">
        <f t="shared" si="144"/>
        <v/>
      </c>
      <c r="FK27" s="430" t="str">
        <f t="shared" si="145"/>
        <v/>
      </c>
      <c r="FL27" s="430" t="str">
        <f t="shared" si="146"/>
        <v/>
      </c>
      <c r="FM27" s="430" t="str">
        <f t="shared" si="147"/>
        <v/>
      </c>
      <c r="FN27" s="430" t="str">
        <f t="shared" si="148"/>
        <v/>
      </c>
      <c r="FO27" s="430" t="str">
        <f t="shared" si="149"/>
        <v/>
      </c>
      <c r="FP27" s="430" t="str">
        <f t="shared" si="150"/>
        <v/>
      </c>
      <c r="FQ27" s="430" t="str">
        <f t="shared" si="151"/>
        <v/>
      </c>
      <c r="FR27" s="430" t="str">
        <f t="shared" si="152"/>
        <v/>
      </c>
      <c r="FS27" s="430" t="str">
        <f t="shared" si="153"/>
        <v/>
      </c>
      <c r="FT27" s="430" t="str">
        <f t="shared" si="154"/>
        <v/>
      </c>
      <c r="FU27" s="430" t="str">
        <f t="shared" si="155"/>
        <v/>
      </c>
      <c r="FV27" s="430" t="str">
        <f t="shared" si="156"/>
        <v/>
      </c>
      <c r="FW27" s="430" t="str">
        <f t="shared" si="157"/>
        <v/>
      </c>
      <c r="FX27" s="430" t="str">
        <f t="shared" si="158"/>
        <v/>
      </c>
      <c r="FY27" s="430" t="str">
        <f t="shared" si="159"/>
        <v/>
      </c>
      <c r="FZ27" s="430" t="str">
        <f t="shared" si="160"/>
        <v/>
      </c>
      <c r="GA27" s="430" t="str">
        <f t="shared" si="161"/>
        <v/>
      </c>
      <c r="GB27" s="430" t="str">
        <f t="shared" si="162"/>
        <v/>
      </c>
      <c r="GC27" s="430" t="str">
        <f t="shared" si="163"/>
        <v/>
      </c>
      <c r="GD27" s="430" t="str">
        <f t="shared" si="164"/>
        <v/>
      </c>
      <c r="GE27" s="430" t="str">
        <f t="shared" si="165"/>
        <v/>
      </c>
      <c r="GF27" s="430" t="str">
        <f t="shared" si="166"/>
        <v/>
      </c>
      <c r="GG27" s="430" t="str">
        <f t="shared" si="167"/>
        <v/>
      </c>
      <c r="GH27" s="430" t="str">
        <f t="shared" si="168"/>
        <v/>
      </c>
      <c r="GI27" s="430" t="str">
        <f t="shared" si="169"/>
        <v/>
      </c>
      <c r="GJ27" s="430" t="str">
        <f t="shared" si="170"/>
        <v/>
      </c>
      <c r="GK27" s="430" t="str">
        <f t="shared" si="171"/>
        <v/>
      </c>
      <c r="GL27" s="430" t="str">
        <f t="shared" si="172"/>
        <v/>
      </c>
      <c r="GM27" s="430" t="str">
        <f t="shared" si="173"/>
        <v/>
      </c>
      <c r="GN27" s="430" t="str">
        <f t="shared" si="174"/>
        <v/>
      </c>
      <c r="GO27" s="430" t="str">
        <f t="shared" si="175"/>
        <v/>
      </c>
      <c r="GP27" s="430" t="str">
        <f t="shared" si="176"/>
        <v/>
      </c>
      <c r="GQ27" s="430" t="str">
        <f t="shared" si="177"/>
        <v/>
      </c>
      <c r="GR27" s="430" t="str">
        <f t="shared" si="178"/>
        <v/>
      </c>
      <c r="GS27" s="430" t="str">
        <f t="shared" si="179"/>
        <v/>
      </c>
      <c r="GT27" s="430" t="str">
        <f t="shared" si="180"/>
        <v/>
      </c>
      <c r="GU27" s="430" t="str">
        <f t="shared" si="181"/>
        <v/>
      </c>
      <c r="GV27" s="430" t="str">
        <f t="shared" si="182"/>
        <v/>
      </c>
      <c r="GW27" s="430" t="str">
        <f t="shared" si="183"/>
        <v/>
      </c>
      <c r="GX27" s="430" t="str">
        <f t="shared" si="184"/>
        <v/>
      </c>
      <c r="GY27" s="430" t="str">
        <f t="shared" si="185"/>
        <v/>
      </c>
      <c r="GZ27" s="430" t="str">
        <f t="shared" si="186"/>
        <v/>
      </c>
      <c r="HA27" s="430" t="str">
        <f t="shared" si="187"/>
        <v/>
      </c>
      <c r="HB27" s="430" t="str">
        <f t="shared" si="188"/>
        <v/>
      </c>
      <c r="HC27" s="430" t="str">
        <f t="shared" si="189"/>
        <v/>
      </c>
      <c r="HD27" s="430" t="str">
        <f t="shared" si="190"/>
        <v/>
      </c>
      <c r="HE27" s="430" t="str">
        <f t="shared" si="191"/>
        <v/>
      </c>
      <c r="HF27" s="430" t="str">
        <f t="shared" si="192"/>
        <v/>
      </c>
      <c r="HG27" s="430" t="str">
        <f t="shared" si="193"/>
        <v/>
      </c>
      <c r="HH27" s="430" t="str">
        <f t="shared" si="194"/>
        <v/>
      </c>
      <c r="HI27" s="430" t="str">
        <f t="shared" si="195"/>
        <v/>
      </c>
      <c r="HJ27" s="430" t="str">
        <f t="shared" si="196"/>
        <v/>
      </c>
      <c r="HK27" s="430" t="str">
        <f t="shared" si="197"/>
        <v/>
      </c>
      <c r="HL27" s="430" t="str">
        <f t="shared" si="198"/>
        <v/>
      </c>
      <c r="HM27" s="430" t="str">
        <f t="shared" si="199"/>
        <v/>
      </c>
      <c r="HN27" s="430" t="str">
        <f t="shared" si="200"/>
        <v/>
      </c>
      <c r="HO27" s="430" t="str">
        <f t="shared" si="201"/>
        <v/>
      </c>
      <c r="HP27" s="430" t="str">
        <f t="shared" si="202"/>
        <v/>
      </c>
      <c r="HQ27" s="430" t="str">
        <f t="shared" si="203"/>
        <v/>
      </c>
      <c r="HR27" s="430" t="str">
        <f t="shared" si="204"/>
        <v/>
      </c>
      <c r="HS27" s="430" t="str">
        <f t="shared" si="205"/>
        <v/>
      </c>
      <c r="HT27" s="430" t="str">
        <f t="shared" si="206"/>
        <v/>
      </c>
      <c r="HU27" s="430" t="str">
        <f t="shared" si="207"/>
        <v/>
      </c>
      <c r="HV27" s="430" t="str">
        <f t="shared" si="208"/>
        <v/>
      </c>
      <c r="HW27" s="430" t="str">
        <f t="shared" si="209"/>
        <v/>
      </c>
      <c r="HX27" s="430" t="str">
        <f t="shared" si="210"/>
        <v/>
      </c>
      <c r="HY27" s="430" t="str">
        <f t="shared" si="211"/>
        <v/>
      </c>
      <c r="HZ27" s="1814" t="str">
        <f t="shared" si="212"/>
        <v/>
      </c>
      <c r="IA27" s="1814" t="str">
        <f t="shared" si="213"/>
        <v/>
      </c>
      <c r="IB27" s="1814" t="str">
        <f t="shared" si="214"/>
        <v/>
      </c>
      <c r="IC27" s="1814" t="str">
        <f t="shared" si="215"/>
        <v/>
      </c>
      <c r="ID27" s="1814" t="str">
        <f t="shared" si="216"/>
        <v/>
      </c>
      <c r="IE27" s="1814" t="str">
        <f t="shared" si="217"/>
        <v/>
      </c>
      <c r="IF27" s="1814" t="str">
        <f t="shared" si="218"/>
        <v/>
      </c>
      <c r="IG27" s="1814" t="str">
        <f t="shared" si="219"/>
        <v/>
      </c>
      <c r="IH27" s="1814" t="str">
        <f t="shared" si="220"/>
        <v/>
      </c>
      <c r="II27" s="1814" t="str">
        <f t="shared" si="221"/>
        <v/>
      </c>
      <c r="IJ27" s="1814" t="str">
        <f t="shared" si="222"/>
        <v/>
      </c>
      <c r="IK27" s="1814" t="str">
        <f t="shared" si="223"/>
        <v/>
      </c>
      <c r="IL27" s="1814" t="str">
        <f t="shared" si="224"/>
        <v/>
      </c>
      <c r="IM27" s="1814" t="str">
        <f t="shared" si="225"/>
        <v/>
      </c>
      <c r="IN27" s="1814" t="str">
        <f t="shared" si="226"/>
        <v/>
      </c>
      <c r="IO27" s="1814" t="str">
        <f t="shared" si="227"/>
        <v/>
      </c>
      <c r="IP27" s="1814" t="str">
        <f t="shared" si="228"/>
        <v/>
      </c>
      <c r="IQ27" s="1814" t="str">
        <f t="shared" si="229"/>
        <v/>
      </c>
      <c r="IR27" s="1814" t="str">
        <f t="shared" si="230"/>
        <v/>
      </c>
      <c r="IS27" s="1814" t="str">
        <f t="shared" si="231"/>
        <v/>
      </c>
      <c r="IT27" s="1814" t="str">
        <f t="shared" si="232"/>
        <v/>
      </c>
      <c r="IU27" s="1814" t="str">
        <f t="shared" si="233"/>
        <v/>
      </c>
      <c r="IV27" s="1814" t="str">
        <f t="shared" si="234"/>
        <v/>
      </c>
      <c r="IW27" s="1814" t="str">
        <f t="shared" si="235"/>
        <v/>
      </c>
      <c r="IX27" s="1814" t="str">
        <f t="shared" si="236"/>
        <v/>
      </c>
      <c r="IY27" s="1814" t="str">
        <f t="shared" si="237"/>
        <v/>
      </c>
      <c r="IZ27" s="1814" t="str">
        <f t="shared" si="238"/>
        <v/>
      </c>
      <c r="JA27" s="1814" t="str">
        <f t="shared" si="239"/>
        <v/>
      </c>
      <c r="JB27" s="1814" t="str">
        <f t="shared" si="240"/>
        <v/>
      </c>
      <c r="JC27" s="1814" t="str">
        <f t="shared" si="241"/>
        <v/>
      </c>
      <c r="JD27" s="1814" t="str">
        <f t="shared" si="242"/>
        <v/>
      </c>
      <c r="JE27" s="1814" t="str">
        <f t="shared" si="243"/>
        <v/>
      </c>
      <c r="JF27" s="1814" t="str">
        <f t="shared" si="244"/>
        <v/>
      </c>
      <c r="JG27" s="1814" t="str">
        <f t="shared" si="245"/>
        <v/>
      </c>
      <c r="JH27" s="1814" t="str">
        <f t="shared" si="246"/>
        <v/>
      </c>
      <c r="JI27" s="1814" t="str">
        <f t="shared" si="247"/>
        <v/>
      </c>
      <c r="JJ27" s="1814" t="str">
        <f t="shared" si="248"/>
        <v/>
      </c>
      <c r="JK27" s="1814" t="str">
        <f t="shared" si="249"/>
        <v/>
      </c>
      <c r="JL27" s="1814" t="str">
        <f t="shared" si="250"/>
        <v/>
      </c>
      <c r="JM27" s="1814" t="str">
        <f t="shared" si="251"/>
        <v/>
      </c>
      <c r="JN27" s="1814" t="str">
        <f t="shared" si="252"/>
        <v/>
      </c>
      <c r="JO27" s="1814" t="str">
        <f t="shared" si="253"/>
        <v/>
      </c>
      <c r="JP27" s="1814" t="str">
        <f t="shared" si="254"/>
        <v/>
      </c>
      <c r="JQ27" s="1814" t="str">
        <f t="shared" si="255"/>
        <v/>
      </c>
      <c r="JR27" s="1814" t="str">
        <f t="shared" si="256"/>
        <v/>
      </c>
      <c r="JS27" s="1814" t="str">
        <f t="shared" si="257"/>
        <v/>
      </c>
      <c r="JT27" s="1814" t="str">
        <f t="shared" si="258"/>
        <v/>
      </c>
      <c r="JU27" s="1814" t="str">
        <f t="shared" si="259"/>
        <v/>
      </c>
      <c r="JV27" s="1814" t="str">
        <f t="shared" si="260"/>
        <v/>
      </c>
      <c r="JW27" s="1814" t="str">
        <f t="shared" si="261"/>
        <v/>
      </c>
      <c r="JX27" s="1814" t="str">
        <f t="shared" si="262"/>
        <v/>
      </c>
      <c r="JY27" s="1814" t="str">
        <f t="shared" si="263"/>
        <v/>
      </c>
      <c r="JZ27" s="1814" t="str">
        <f t="shared" si="264"/>
        <v/>
      </c>
      <c r="KA27" s="1814" t="str">
        <f t="shared" si="265"/>
        <v/>
      </c>
      <c r="KB27" s="1814" t="str">
        <f t="shared" si="266"/>
        <v/>
      </c>
      <c r="KC27" s="1814" t="str">
        <f t="shared" si="267"/>
        <v/>
      </c>
      <c r="KD27" s="1814" t="str">
        <f t="shared" si="268"/>
        <v/>
      </c>
      <c r="KE27" s="1814" t="str">
        <f t="shared" si="269"/>
        <v/>
      </c>
      <c r="KF27" s="1814" t="str">
        <f t="shared" si="270"/>
        <v/>
      </c>
      <c r="KG27" s="1814" t="str">
        <f t="shared" si="271"/>
        <v/>
      </c>
      <c r="KH27" s="1814" t="str">
        <f t="shared" si="272"/>
        <v/>
      </c>
      <c r="KI27" s="1814" t="str">
        <f t="shared" si="273"/>
        <v/>
      </c>
      <c r="KJ27" s="1814" t="str">
        <f t="shared" si="274"/>
        <v/>
      </c>
      <c r="KK27" s="1814" t="str">
        <f t="shared" si="275"/>
        <v/>
      </c>
      <c r="KL27" s="1814" t="str">
        <f t="shared" si="276"/>
        <v/>
      </c>
      <c r="KM27" s="1814" t="str">
        <f t="shared" si="277"/>
        <v/>
      </c>
      <c r="KN27" s="1814" t="str">
        <f t="shared" si="278"/>
        <v/>
      </c>
      <c r="KO27" s="1814" t="str">
        <f t="shared" si="279"/>
        <v/>
      </c>
      <c r="KP27" s="1814" t="str">
        <f t="shared" si="280"/>
        <v/>
      </c>
      <c r="KQ27" s="1814" t="str">
        <f t="shared" si="281"/>
        <v/>
      </c>
      <c r="KR27" s="1814" t="str">
        <f t="shared" si="282"/>
        <v/>
      </c>
      <c r="KS27" s="1814" t="str">
        <f t="shared" si="283"/>
        <v/>
      </c>
      <c r="KT27" s="1814" t="str">
        <f t="shared" si="284"/>
        <v/>
      </c>
      <c r="KU27" s="1814" t="str">
        <f t="shared" si="285"/>
        <v/>
      </c>
      <c r="KV27" s="1814" t="str">
        <f t="shared" si="286"/>
        <v/>
      </c>
      <c r="KW27" s="1814" t="str">
        <f t="shared" si="287"/>
        <v/>
      </c>
      <c r="KX27" s="1814" t="str">
        <f t="shared" si="288"/>
        <v/>
      </c>
      <c r="KY27" s="1814" t="str">
        <f t="shared" si="289"/>
        <v/>
      </c>
      <c r="KZ27" s="1814" t="str">
        <f t="shared" si="290"/>
        <v/>
      </c>
      <c r="LA27" s="1814" t="str">
        <f t="shared" si="291"/>
        <v/>
      </c>
      <c r="LB27" s="1814" t="str">
        <f t="shared" si="292"/>
        <v/>
      </c>
      <c r="LC27" s="1814" t="str">
        <f t="shared" si="293"/>
        <v/>
      </c>
      <c r="LD27" s="1814" t="str">
        <f t="shared" si="294"/>
        <v/>
      </c>
      <c r="LE27" s="1814" t="str">
        <f t="shared" si="295"/>
        <v/>
      </c>
      <c r="LF27" s="1814" t="str">
        <f t="shared" si="296"/>
        <v/>
      </c>
      <c r="LG27" s="1786" t="str">
        <f t="shared" si="297"/>
        <v/>
      </c>
      <c r="LH27" s="1786" t="str">
        <f t="shared" si="298"/>
        <v/>
      </c>
      <c r="LI27" s="1786" t="str">
        <f t="shared" si="299"/>
        <v/>
      </c>
      <c r="LJ27" s="1786" t="str">
        <f t="shared" si="300"/>
        <v/>
      </c>
      <c r="LK27" s="1786" t="str">
        <f t="shared" si="301"/>
        <v/>
      </c>
      <c r="LL27" s="430" t="str">
        <f t="shared" si="302"/>
        <v/>
      </c>
      <c r="LM27" s="430" t="str">
        <f t="shared" si="303"/>
        <v/>
      </c>
      <c r="LN27" s="430" t="str">
        <f t="shared" si="304"/>
        <v/>
      </c>
      <c r="LO27" s="430" t="str">
        <f t="shared" si="305"/>
        <v/>
      </c>
      <c r="LP27" s="430" t="str">
        <f t="shared" si="306"/>
        <v/>
      </c>
      <c r="LQ27" s="430" t="str">
        <f t="shared" si="307"/>
        <v/>
      </c>
      <c r="LR27" s="430" t="str">
        <f t="shared" si="308"/>
        <v/>
      </c>
      <c r="LS27" s="430" t="str">
        <f t="shared" si="309"/>
        <v/>
      </c>
      <c r="LT27" s="430" t="str">
        <f t="shared" si="310"/>
        <v/>
      </c>
      <c r="LU27" s="430" t="str">
        <f t="shared" si="311"/>
        <v/>
      </c>
      <c r="LV27" s="430" t="str">
        <f t="shared" si="312"/>
        <v/>
      </c>
      <c r="LW27" s="430" t="str">
        <f t="shared" si="313"/>
        <v/>
      </c>
      <c r="LX27" s="430" t="str">
        <f t="shared" si="314"/>
        <v/>
      </c>
      <c r="LY27" s="430" t="str">
        <f t="shared" si="315"/>
        <v/>
      </c>
      <c r="LZ27" s="430" t="str">
        <f t="shared" si="316"/>
        <v/>
      </c>
      <c r="MA27" s="430" t="str">
        <f t="shared" si="317"/>
        <v/>
      </c>
      <c r="MB27" s="430" t="str">
        <f t="shared" si="318"/>
        <v/>
      </c>
      <c r="MC27" s="430" t="str">
        <f t="shared" si="319"/>
        <v/>
      </c>
      <c r="MD27" s="430" t="str">
        <f t="shared" si="320"/>
        <v/>
      </c>
      <c r="ME27" s="430" t="str">
        <f t="shared" si="321"/>
        <v/>
      </c>
      <c r="MF27" s="1815">
        <f t="shared" si="328"/>
        <v>0</v>
      </c>
      <c r="MG27" s="1815">
        <f t="shared" si="329"/>
        <v>0</v>
      </c>
      <c r="MH27" s="1815">
        <f t="shared" si="330"/>
        <v>0</v>
      </c>
      <c r="MI27" s="1815">
        <f t="shared" si="331"/>
        <v>0</v>
      </c>
      <c r="MJ27" s="1815">
        <f t="shared" si="332"/>
        <v>0</v>
      </c>
      <c r="MK27" s="1815">
        <f t="shared" si="333"/>
        <v>0</v>
      </c>
      <c r="ML27" s="1815">
        <f t="shared" si="334"/>
        <v>0</v>
      </c>
      <c r="MM27" s="1815">
        <f t="shared" si="335"/>
        <v>0</v>
      </c>
      <c r="MN27" s="1815">
        <f t="shared" si="336"/>
        <v>0</v>
      </c>
      <c r="MO27" s="1815">
        <f t="shared" si="337"/>
        <v>0</v>
      </c>
      <c r="MP27" s="1815">
        <f t="shared" si="322"/>
        <v>0</v>
      </c>
      <c r="MQ27" s="1815">
        <f t="shared" si="323"/>
        <v>0</v>
      </c>
      <c r="MR27" s="1815">
        <f t="shared" si="324"/>
        <v>0</v>
      </c>
      <c r="MS27" s="1815">
        <f t="shared" si="325"/>
        <v>0</v>
      </c>
      <c r="MT27" s="1815">
        <f t="shared" si="326"/>
        <v>0</v>
      </c>
      <c r="NP27" s="2807" t="s">
        <v>6733</v>
      </c>
    </row>
    <row r="28" spans="1:380" ht="13.9" customHeight="1">
      <c r="A28" s="108" t="str">
        <f t="shared" si="327"/>
        <v/>
      </c>
      <c r="B28" s="2896"/>
      <c r="C28" s="2869"/>
      <c r="D28" s="2870"/>
      <c r="E28" s="2871"/>
      <c r="F28" s="2871"/>
      <c r="G28" s="2871"/>
      <c r="H28" s="2871"/>
      <c r="I28" s="2871"/>
      <c r="J28" s="2897">
        <f>IF(C28="",0,HLOOKUP(C28,'Part V-Utility Allowances'!$I$11:$M$22,12))</f>
        <v>0</v>
      </c>
      <c r="K28" s="2873"/>
      <c r="L28" s="537">
        <f t="shared" si="0"/>
        <v>0</v>
      </c>
      <c r="M28" s="537">
        <f t="shared" si="1"/>
        <v>0</v>
      </c>
      <c r="N28" s="2712"/>
      <c r="O28" s="2874"/>
      <c r="P28" s="2712"/>
      <c r="Q28" s="2875"/>
      <c r="R28" s="2876"/>
      <c r="S28" s="2877"/>
      <c r="T28" s="3833"/>
      <c r="U28" s="3834"/>
      <c r="V28" s="3834"/>
      <c r="W28" s="3835"/>
      <c r="X28" s="430" t="str">
        <f t="shared" si="2"/>
        <v/>
      </c>
      <c r="Y28" s="430" t="str">
        <f t="shared" si="3"/>
        <v/>
      </c>
      <c r="Z28" s="430" t="str">
        <f t="shared" si="4"/>
        <v/>
      </c>
      <c r="AA28" s="430" t="str">
        <f t="shared" si="5"/>
        <v/>
      </c>
      <c r="AB28" s="430" t="str">
        <f t="shared" si="6"/>
        <v/>
      </c>
      <c r="AC28" s="430" t="str">
        <f t="shared" si="7"/>
        <v/>
      </c>
      <c r="AD28" s="430" t="str">
        <f t="shared" si="8"/>
        <v/>
      </c>
      <c r="AE28" s="430" t="str">
        <f t="shared" si="9"/>
        <v/>
      </c>
      <c r="AF28" s="430" t="str">
        <f t="shared" si="10"/>
        <v/>
      </c>
      <c r="AG28" s="430" t="str">
        <f t="shared" si="11"/>
        <v/>
      </c>
      <c r="AH28" s="430" t="str">
        <f t="shared" si="12"/>
        <v/>
      </c>
      <c r="AI28" s="430" t="str">
        <f t="shared" si="13"/>
        <v/>
      </c>
      <c r="AJ28" s="430" t="str">
        <f t="shared" si="14"/>
        <v/>
      </c>
      <c r="AK28" s="430" t="str">
        <f t="shared" si="15"/>
        <v/>
      </c>
      <c r="AL28" s="430" t="str">
        <f t="shared" si="16"/>
        <v/>
      </c>
      <c r="AM28" s="430" t="str">
        <f t="shared" si="17"/>
        <v/>
      </c>
      <c r="AN28" s="430" t="str">
        <f t="shared" si="18"/>
        <v/>
      </c>
      <c r="AO28" s="430" t="str">
        <f t="shared" si="19"/>
        <v/>
      </c>
      <c r="AP28" s="430" t="str">
        <f t="shared" si="20"/>
        <v/>
      </c>
      <c r="AQ28" s="430" t="str">
        <f t="shared" si="21"/>
        <v/>
      </c>
      <c r="AR28" s="430" t="str">
        <f t="shared" si="22"/>
        <v/>
      </c>
      <c r="AS28" s="430" t="str">
        <f t="shared" si="23"/>
        <v/>
      </c>
      <c r="AT28" s="430" t="str">
        <f t="shared" si="24"/>
        <v/>
      </c>
      <c r="AU28" s="430" t="str">
        <f t="shared" si="25"/>
        <v/>
      </c>
      <c r="AV28" s="430" t="str">
        <f t="shared" si="26"/>
        <v/>
      </c>
      <c r="AW28" s="430" t="str">
        <f t="shared" si="27"/>
        <v/>
      </c>
      <c r="AX28" s="430" t="str">
        <f t="shared" si="28"/>
        <v/>
      </c>
      <c r="AY28" s="430" t="str">
        <f t="shared" si="29"/>
        <v/>
      </c>
      <c r="AZ28" s="430" t="str">
        <f t="shared" si="30"/>
        <v/>
      </c>
      <c r="BA28" s="430" t="str">
        <f t="shared" si="31"/>
        <v/>
      </c>
      <c r="BB28" s="430" t="str">
        <f t="shared" si="32"/>
        <v/>
      </c>
      <c r="BC28" s="430" t="str">
        <f t="shared" si="33"/>
        <v/>
      </c>
      <c r="BD28" s="430" t="str">
        <f t="shared" si="34"/>
        <v/>
      </c>
      <c r="BE28" s="430" t="str">
        <f t="shared" si="35"/>
        <v/>
      </c>
      <c r="BF28" s="430" t="str">
        <f t="shared" si="36"/>
        <v/>
      </c>
      <c r="BG28" s="430" t="str">
        <f t="shared" si="37"/>
        <v/>
      </c>
      <c r="BH28" s="430" t="str">
        <f t="shared" si="38"/>
        <v/>
      </c>
      <c r="BI28" s="430" t="str">
        <f t="shared" si="39"/>
        <v/>
      </c>
      <c r="BJ28" s="430" t="str">
        <f t="shared" si="40"/>
        <v/>
      </c>
      <c r="BK28" s="430" t="str">
        <f t="shared" si="41"/>
        <v/>
      </c>
      <c r="BL28" s="430" t="str">
        <f t="shared" si="42"/>
        <v/>
      </c>
      <c r="BM28" s="430" t="str">
        <f t="shared" si="43"/>
        <v/>
      </c>
      <c r="BN28" s="430" t="str">
        <f t="shared" si="44"/>
        <v/>
      </c>
      <c r="BO28" s="430" t="str">
        <f t="shared" si="45"/>
        <v/>
      </c>
      <c r="BP28" s="430" t="str">
        <f t="shared" si="46"/>
        <v/>
      </c>
      <c r="BQ28" s="430" t="str">
        <f t="shared" si="47"/>
        <v/>
      </c>
      <c r="BR28" s="430" t="str">
        <f t="shared" si="48"/>
        <v/>
      </c>
      <c r="BS28" s="430" t="str">
        <f t="shared" si="49"/>
        <v/>
      </c>
      <c r="BT28" s="430" t="str">
        <f t="shared" si="50"/>
        <v/>
      </c>
      <c r="BU28" s="430" t="str">
        <f t="shared" si="51"/>
        <v/>
      </c>
      <c r="BV28" s="430" t="str">
        <f t="shared" si="52"/>
        <v/>
      </c>
      <c r="BW28" s="430" t="str">
        <f t="shared" si="53"/>
        <v/>
      </c>
      <c r="BX28" s="430" t="str">
        <f t="shared" si="54"/>
        <v/>
      </c>
      <c r="BY28" s="430" t="str">
        <f t="shared" si="55"/>
        <v/>
      </c>
      <c r="BZ28" s="430" t="str">
        <f t="shared" si="56"/>
        <v/>
      </c>
      <c r="CA28" s="430" t="str">
        <f t="shared" si="57"/>
        <v/>
      </c>
      <c r="CB28" s="430" t="str">
        <f t="shared" si="58"/>
        <v/>
      </c>
      <c r="CC28" s="430" t="str">
        <f t="shared" si="59"/>
        <v/>
      </c>
      <c r="CD28" s="430" t="str">
        <f t="shared" si="60"/>
        <v/>
      </c>
      <c r="CE28" s="430" t="str">
        <f t="shared" si="61"/>
        <v/>
      </c>
      <c r="CF28" s="430" t="str">
        <f t="shared" si="62"/>
        <v/>
      </c>
      <c r="CG28" s="430" t="str">
        <f t="shared" si="63"/>
        <v/>
      </c>
      <c r="CH28" s="430" t="str">
        <f t="shared" si="64"/>
        <v/>
      </c>
      <c r="CI28" s="430" t="str">
        <f t="shared" si="65"/>
        <v/>
      </c>
      <c r="CJ28" s="430" t="str">
        <f t="shared" si="66"/>
        <v/>
      </c>
      <c r="CK28" s="430" t="str">
        <f t="shared" si="67"/>
        <v/>
      </c>
      <c r="CL28" s="430" t="str">
        <f t="shared" si="68"/>
        <v/>
      </c>
      <c r="CM28" s="430" t="str">
        <f t="shared" si="69"/>
        <v/>
      </c>
      <c r="CN28" s="430" t="str">
        <f t="shared" si="70"/>
        <v/>
      </c>
      <c r="CO28" s="430" t="str">
        <f t="shared" si="71"/>
        <v/>
      </c>
      <c r="CP28" s="430" t="str">
        <f t="shared" si="72"/>
        <v/>
      </c>
      <c r="CQ28" s="430" t="str">
        <f t="shared" si="73"/>
        <v/>
      </c>
      <c r="CR28" s="430" t="str">
        <f t="shared" si="74"/>
        <v/>
      </c>
      <c r="CS28" s="430" t="str">
        <f t="shared" si="75"/>
        <v/>
      </c>
      <c r="CT28" s="430" t="str">
        <f t="shared" si="76"/>
        <v/>
      </c>
      <c r="CU28" s="430" t="str">
        <f t="shared" si="77"/>
        <v/>
      </c>
      <c r="CV28" s="430" t="str">
        <f t="shared" si="78"/>
        <v/>
      </c>
      <c r="CW28" s="430" t="str">
        <f t="shared" si="79"/>
        <v/>
      </c>
      <c r="CX28" s="430" t="str">
        <f t="shared" si="80"/>
        <v/>
      </c>
      <c r="CY28" s="430" t="str">
        <f t="shared" si="81"/>
        <v/>
      </c>
      <c r="CZ28" s="430" t="str">
        <f t="shared" si="82"/>
        <v/>
      </c>
      <c r="DA28" s="430" t="str">
        <f t="shared" si="83"/>
        <v/>
      </c>
      <c r="DB28" s="430" t="str">
        <f t="shared" si="84"/>
        <v/>
      </c>
      <c r="DC28" s="430" t="str">
        <f t="shared" si="85"/>
        <v/>
      </c>
      <c r="DD28" s="430" t="str">
        <f t="shared" si="86"/>
        <v/>
      </c>
      <c r="DE28" s="430" t="str">
        <f t="shared" si="87"/>
        <v/>
      </c>
      <c r="DF28" s="430" t="str">
        <f t="shared" si="88"/>
        <v/>
      </c>
      <c r="DG28" s="430" t="str">
        <f t="shared" si="89"/>
        <v/>
      </c>
      <c r="DH28" s="430" t="str">
        <f t="shared" si="90"/>
        <v/>
      </c>
      <c r="DI28" s="430" t="str">
        <f t="shared" si="91"/>
        <v/>
      </c>
      <c r="DJ28" s="430" t="str">
        <f t="shared" si="92"/>
        <v/>
      </c>
      <c r="DK28" s="430" t="str">
        <f t="shared" si="93"/>
        <v/>
      </c>
      <c r="DL28" s="430" t="str">
        <f t="shared" si="94"/>
        <v/>
      </c>
      <c r="DM28" s="430" t="str">
        <f t="shared" si="95"/>
        <v/>
      </c>
      <c r="DN28" s="430" t="str">
        <f t="shared" si="96"/>
        <v/>
      </c>
      <c r="DO28" s="430" t="str">
        <f t="shared" si="97"/>
        <v/>
      </c>
      <c r="DP28" s="430" t="str">
        <f t="shared" si="98"/>
        <v/>
      </c>
      <c r="DQ28" s="430" t="str">
        <f t="shared" si="99"/>
        <v/>
      </c>
      <c r="DR28" s="430" t="str">
        <f t="shared" si="100"/>
        <v/>
      </c>
      <c r="DS28" s="430" t="str">
        <f t="shared" si="101"/>
        <v/>
      </c>
      <c r="DT28" s="430" t="str">
        <f t="shared" si="102"/>
        <v/>
      </c>
      <c r="DU28" s="430" t="str">
        <f t="shared" si="103"/>
        <v/>
      </c>
      <c r="DV28" s="430" t="str">
        <f t="shared" si="104"/>
        <v/>
      </c>
      <c r="DW28" s="430" t="str">
        <f t="shared" si="105"/>
        <v/>
      </c>
      <c r="DX28" s="430" t="str">
        <f t="shared" si="106"/>
        <v/>
      </c>
      <c r="DY28" s="430" t="str">
        <f t="shared" si="107"/>
        <v/>
      </c>
      <c r="DZ28" s="430" t="str">
        <f t="shared" si="108"/>
        <v/>
      </c>
      <c r="EA28" s="430" t="str">
        <f t="shared" si="109"/>
        <v/>
      </c>
      <c r="EB28" s="430" t="str">
        <f t="shared" si="110"/>
        <v/>
      </c>
      <c r="EC28" s="430" t="str">
        <f t="shared" si="111"/>
        <v/>
      </c>
      <c r="ED28" s="430" t="str">
        <f t="shared" si="112"/>
        <v/>
      </c>
      <c r="EE28" s="430" t="str">
        <f t="shared" si="113"/>
        <v/>
      </c>
      <c r="EF28" s="430" t="str">
        <f t="shared" si="114"/>
        <v/>
      </c>
      <c r="EG28" s="430" t="str">
        <f t="shared" si="115"/>
        <v/>
      </c>
      <c r="EH28" s="430" t="str">
        <f t="shared" si="116"/>
        <v/>
      </c>
      <c r="EI28" s="430" t="str">
        <f t="shared" si="117"/>
        <v/>
      </c>
      <c r="EJ28" s="430" t="str">
        <f t="shared" si="118"/>
        <v/>
      </c>
      <c r="EK28" s="430" t="str">
        <f t="shared" si="119"/>
        <v/>
      </c>
      <c r="EL28" s="430" t="str">
        <f t="shared" si="120"/>
        <v/>
      </c>
      <c r="EM28" s="430" t="str">
        <f t="shared" si="121"/>
        <v/>
      </c>
      <c r="EN28" s="430" t="str">
        <f t="shared" si="122"/>
        <v/>
      </c>
      <c r="EO28" s="430" t="str">
        <f t="shared" si="123"/>
        <v/>
      </c>
      <c r="EP28" s="430" t="str">
        <f t="shared" si="124"/>
        <v/>
      </c>
      <c r="EQ28" s="430" t="str">
        <f t="shared" si="125"/>
        <v/>
      </c>
      <c r="ER28" s="430" t="str">
        <f t="shared" si="126"/>
        <v/>
      </c>
      <c r="ES28" s="430" t="str">
        <f t="shared" si="127"/>
        <v/>
      </c>
      <c r="ET28" s="430" t="str">
        <f t="shared" si="128"/>
        <v/>
      </c>
      <c r="EU28" s="430" t="str">
        <f t="shared" si="129"/>
        <v/>
      </c>
      <c r="EV28" s="430" t="str">
        <f t="shared" si="130"/>
        <v/>
      </c>
      <c r="EW28" s="430" t="str">
        <f t="shared" si="131"/>
        <v/>
      </c>
      <c r="EX28" s="430" t="str">
        <f t="shared" si="132"/>
        <v/>
      </c>
      <c r="EY28" s="430" t="str">
        <f t="shared" si="133"/>
        <v/>
      </c>
      <c r="EZ28" s="430" t="str">
        <f t="shared" si="134"/>
        <v/>
      </c>
      <c r="FA28" s="430" t="str">
        <f t="shared" si="135"/>
        <v/>
      </c>
      <c r="FB28" s="430" t="str">
        <f t="shared" si="136"/>
        <v/>
      </c>
      <c r="FC28" s="430" t="str">
        <f t="shared" si="137"/>
        <v/>
      </c>
      <c r="FD28" s="430" t="str">
        <f t="shared" si="138"/>
        <v/>
      </c>
      <c r="FE28" s="430" t="str">
        <f t="shared" si="139"/>
        <v/>
      </c>
      <c r="FF28" s="430" t="str">
        <f t="shared" si="140"/>
        <v/>
      </c>
      <c r="FG28" s="430" t="str">
        <f t="shared" si="141"/>
        <v/>
      </c>
      <c r="FH28" s="430" t="str">
        <f t="shared" si="142"/>
        <v/>
      </c>
      <c r="FI28" s="430" t="str">
        <f t="shared" si="143"/>
        <v/>
      </c>
      <c r="FJ28" s="430" t="str">
        <f t="shared" si="144"/>
        <v/>
      </c>
      <c r="FK28" s="430" t="str">
        <f t="shared" si="145"/>
        <v/>
      </c>
      <c r="FL28" s="430" t="str">
        <f t="shared" si="146"/>
        <v/>
      </c>
      <c r="FM28" s="430" t="str">
        <f t="shared" si="147"/>
        <v/>
      </c>
      <c r="FN28" s="430" t="str">
        <f t="shared" si="148"/>
        <v/>
      </c>
      <c r="FO28" s="430" t="str">
        <f t="shared" si="149"/>
        <v/>
      </c>
      <c r="FP28" s="430" t="str">
        <f t="shared" si="150"/>
        <v/>
      </c>
      <c r="FQ28" s="430" t="str">
        <f t="shared" si="151"/>
        <v/>
      </c>
      <c r="FR28" s="430" t="str">
        <f t="shared" si="152"/>
        <v/>
      </c>
      <c r="FS28" s="430" t="str">
        <f t="shared" si="153"/>
        <v/>
      </c>
      <c r="FT28" s="430" t="str">
        <f t="shared" si="154"/>
        <v/>
      </c>
      <c r="FU28" s="430" t="str">
        <f t="shared" si="155"/>
        <v/>
      </c>
      <c r="FV28" s="430" t="str">
        <f t="shared" si="156"/>
        <v/>
      </c>
      <c r="FW28" s="430" t="str">
        <f t="shared" si="157"/>
        <v/>
      </c>
      <c r="FX28" s="430" t="str">
        <f t="shared" si="158"/>
        <v/>
      </c>
      <c r="FY28" s="430" t="str">
        <f t="shared" si="159"/>
        <v/>
      </c>
      <c r="FZ28" s="430" t="str">
        <f t="shared" si="160"/>
        <v/>
      </c>
      <c r="GA28" s="430" t="str">
        <f t="shared" si="161"/>
        <v/>
      </c>
      <c r="GB28" s="430" t="str">
        <f t="shared" si="162"/>
        <v/>
      </c>
      <c r="GC28" s="430" t="str">
        <f t="shared" si="163"/>
        <v/>
      </c>
      <c r="GD28" s="430" t="str">
        <f t="shared" si="164"/>
        <v/>
      </c>
      <c r="GE28" s="430" t="str">
        <f t="shared" si="165"/>
        <v/>
      </c>
      <c r="GF28" s="430" t="str">
        <f t="shared" si="166"/>
        <v/>
      </c>
      <c r="GG28" s="430" t="str">
        <f t="shared" si="167"/>
        <v/>
      </c>
      <c r="GH28" s="430" t="str">
        <f t="shared" si="168"/>
        <v/>
      </c>
      <c r="GI28" s="430" t="str">
        <f t="shared" si="169"/>
        <v/>
      </c>
      <c r="GJ28" s="430" t="str">
        <f t="shared" si="170"/>
        <v/>
      </c>
      <c r="GK28" s="430" t="str">
        <f t="shared" si="171"/>
        <v/>
      </c>
      <c r="GL28" s="430" t="str">
        <f t="shared" si="172"/>
        <v/>
      </c>
      <c r="GM28" s="430" t="str">
        <f t="shared" si="173"/>
        <v/>
      </c>
      <c r="GN28" s="430" t="str">
        <f t="shared" si="174"/>
        <v/>
      </c>
      <c r="GO28" s="430" t="str">
        <f t="shared" si="175"/>
        <v/>
      </c>
      <c r="GP28" s="430" t="str">
        <f t="shared" si="176"/>
        <v/>
      </c>
      <c r="GQ28" s="430" t="str">
        <f t="shared" si="177"/>
        <v/>
      </c>
      <c r="GR28" s="430" t="str">
        <f t="shared" si="178"/>
        <v/>
      </c>
      <c r="GS28" s="430" t="str">
        <f t="shared" si="179"/>
        <v/>
      </c>
      <c r="GT28" s="430" t="str">
        <f t="shared" si="180"/>
        <v/>
      </c>
      <c r="GU28" s="430" t="str">
        <f t="shared" si="181"/>
        <v/>
      </c>
      <c r="GV28" s="430" t="str">
        <f t="shared" si="182"/>
        <v/>
      </c>
      <c r="GW28" s="430" t="str">
        <f t="shared" si="183"/>
        <v/>
      </c>
      <c r="GX28" s="430" t="str">
        <f t="shared" si="184"/>
        <v/>
      </c>
      <c r="GY28" s="430" t="str">
        <f t="shared" si="185"/>
        <v/>
      </c>
      <c r="GZ28" s="430" t="str">
        <f t="shared" si="186"/>
        <v/>
      </c>
      <c r="HA28" s="430" t="str">
        <f t="shared" si="187"/>
        <v/>
      </c>
      <c r="HB28" s="430" t="str">
        <f t="shared" si="188"/>
        <v/>
      </c>
      <c r="HC28" s="430" t="str">
        <f t="shared" si="189"/>
        <v/>
      </c>
      <c r="HD28" s="430" t="str">
        <f t="shared" si="190"/>
        <v/>
      </c>
      <c r="HE28" s="430" t="str">
        <f t="shared" si="191"/>
        <v/>
      </c>
      <c r="HF28" s="430" t="str">
        <f t="shared" si="192"/>
        <v/>
      </c>
      <c r="HG28" s="430" t="str">
        <f t="shared" si="193"/>
        <v/>
      </c>
      <c r="HH28" s="430" t="str">
        <f t="shared" si="194"/>
        <v/>
      </c>
      <c r="HI28" s="430" t="str">
        <f t="shared" si="195"/>
        <v/>
      </c>
      <c r="HJ28" s="430" t="str">
        <f t="shared" si="196"/>
        <v/>
      </c>
      <c r="HK28" s="430" t="str">
        <f t="shared" si="197"/>
        <v/>
      </c>
      <c r="HL28" s="430" t="str">
        <f t="shared" si="198"/>
        <v/>
      </c>
      <c r="HM28" s="430" t="str">
        <f t="shared" si="199"/>
        <v/>
      </c>
      <c r="HN28" s="430" t="str">
        <f t="shared" si="200"/>
        <v/>
      </c>
      <c r="HO28" s="430" t="str">
        <f t="shared" si="201"/>
        <v/>
      </c>
      <c r="HP28" s="430" t="str">
        <f t="shared" si="202"/>
        <v/>
      </c>
      <c r="HQ28" s="430" t="str">
        <f t="shared" si="203"/>
        <v/>
      </c>
      <c r="HR28" s="430" t="str">
        <f t="shared" si="204"/>
        <v/>
      </c>
      <c r="HS28" s="430" t="str">
        <f t="shared" si="205"/>
        <v/>
      </c>
      <c r="HT28" s="430" t="str">
        <f t="shared" si="206"/>
        <v/>
      </c>
      <c r="HU28" s="430" t="str">
        <f t="shared" si="207"/>
        <v/>
      </c>
      <c r="HV28" s="430" t="str">
        <f t="shared" si="208"/>
        <v/>
      </c>
      <c r="HW28" s="430" t="str">
        <f t="shared" si="209"/>
        <v/>
      </c>
      <c r="HX28" s="430" t="str">
        <f t="shared" si="210"/>
        <v/>
      </c>
      <c r="HY28" s="430" t="str">
        <f t="shared" si="211"/>
        <v/>
      </c>
      <c r="HZ28" s="1814" t="str">
        <f t="shared" si="212"/>
        <v/>
      </c>
      <c r="IA28" s="1814" t="str">
        <f t="shared" si="213"/>
        <v/>
      </c>
      <c r="IB28" s="1814" t="str">
        <f t="shared" si="214"/>
        <v/>
      </c>
      <c r="IC28" s="1814" t="str">
        <f t="shared" si="215"/>
        <v/>
      </c>
      <c r="ID28" s="1814" t="str">
        <f t="shared" si="216"/>
        <v/>
      </c>
      <c r="IE28" s="1814" t="str">
        <f t="shared" si="217"/>
        <v/>
      </c>
      <c r="IF28" s="1814" t="str">
        <f t="shared" si="218"/>
        <v/>
      </c>
      <c r="IG28" s="1814" t="str">
        <f t="shared" si="219"/>
        <v/>
      </c>
      <c r="IH28" s="1814" t="str">
        <f t="shared" si="220"/>
        <v/>
      </c>
      <c r="II28" s="1814" t="str">
        <f t="shared" si="221"/>
        <v/>
      </c>
      <c r="IJ28" s="1814" t="str">
        <f t="shared" si="222"/>
        <v/>
      </c>
      <c r="IK28" s="1814" t="str">
        <f t="shared" si="223"/>
        <v/>
      </c>
      <c r="IL28" s="1814" t="str">
        <f t="shared" si="224"/>
        <v/>
      </c>
      <c r="IM28" s="1814" t="str">
        <f t="shared" si="225"/>
        <v/>
      </c>
      <c r="IN28" s="1814" t="str">
        <f t="shared" si="226"/>
        <v/>
      </c>
      <c r="IO28" s="1814" t="str">
        <f t="shared" si="227"/>
        <v/>
      </c>
      <c r="IP28" s="1814" t="str">
        <f t="shared" si="228"/>
        <v/>
      </c>
      <c r="IQ28" s="1814" t="str">
        <f t="shared" si="229"/>
        <v/>
      </c>
      <c r="IR28" s="1814" t="str">
        <f t="shared" si="230"/>
        <v/>
      </c>
      <c r="IS28" s="1814" t="str">
        <f t="shared" si="231"/>
        <v/>
      </c>
      <c r="IT28" s="1814" t="str">
        <f t="shared" si="232"/>
        <v/>
      </c>
      <c r="IU28" s="1814" t="str">
        <f t="shared" si="233"/>
        <v/>
      </c>
      <c r="IV28" s="1814" t="str">
        <f t="shared" si="234"/>
        <v/>
      </c>
      <c r="IW28" s="1814" t="str">
        <f t="shared" si="235"/>
        <v/>
      </c>
      <c r="IX28" s="1814" t="str">
        <f t="shared" si="236"/>
        <v/>
      </c>
      <c r="IY28" s="1814" t="str">
        <f t="shared" si="237"/>
        <v/>
      </c>
      <c r="IZ28" s="1814" t="str">
        <f t="shared" si="238"/>
        <v/>
      </c>
      <c r="JA28" s="1814" t="str">
        <f t="shared" si="239"/>
        <v/>
      </c>
      <c r="JB28" s="1814" t="str">
        <f t="shared" si="240"/>
        <v/>
      </c>
      <c r="JC28" s="1814" t="str">
        <f t="shared" si="241"/>
        <v/>
      </c>
      <c r="JD28" s="1814" t="str">
        <f t="shared" si="242"/>
        <v/>
      </c>
      <c r="JE28" s="1814" t="str">
        <f t="shared" si="243"/>
        <v/>
      </c>
      <c r="JF28" s="1814" t="str">
        <f t="shared" si="244"/>
        <v/>
      </c>
      <c r="JG28" s="1814" t="str">
        <f t="shared" si="245"/>
        <v/>
      </c>
      <c r="JH28" s="1814" t="str">
        <f t="shared" si="246"/>
        <v/>
      </c>
      <c r="JI28" s="1814" t="str">
        <f t="shared" si="247"/>
        <v/>
      </c>
      <c r="JJ28" s="1814" t="str">
        <f t="shared" si="248"/>
        <v/>
      </c>
      <c r="JK28" s="1814" t="str">
        <f t="shared" si="249"/>
        <v/>
      </c>
      <c r="JL28" s="1814" t="str">
        <f t="shared" si="250"/>
        <v/>
      </c>
      <c r="JM28" s="1814" t="str">
        <f t="shared" si="251"/>
        <v/>
      </c>
      <c r="JN28" s="1814" t="str">
        <f t="shared" si="252"/>
        <v/>
      </c>
      <c r="JO28" s="1814" t="str">
        <f t="shared" si="253"/>
        <v/>
      </c>
      <c r="JP28" s="1814" t="str">
        <f t="shared" si="254"/>
        <v/>
      </c>
      <c r="JQ28" s="1814" t="str">
        <f t="shared" si="255"/>
        <v/>
      </c>
      <c r="JR28" s="1814" t="str">
        <f t="shared" si="256"/>
        <v/>
      </c>
      <c r="JS28" s="1814" t="str">
        <f t="shared" si="257"/>
        <v/>
      </c>
      <c r="JT28" s="1814" t="str">
        <f t="shared" si="258"/>
        <v/>
      </c>
      <c r="JU28" s="1814" t="str">
        <f t="shared" si="259"/>
        <v/>
      </c>
      <c r="JV28" s="1814" t="str">
        <f t="shared" si="260"/>
        <v/>
      </c>
      <c r="JW28" s="1814" t="str">
        <f t="shared" si="261"/>
        <v/>
      </c>
      <c r="JX28" s="1814" t="str">
        <f t="shared" si="262"/>
        <v/>
      </c>
      <c r="JY28" s="1814" t="str">
        <f t="shared" si="263"/>
        <v/>
      </c>
      <c r="JZ28" s="1814" t="str">
        <f t="shared" si="264"/>
        <v/>
      </c>
      <c r="KA28" s="1814" t="str">
        <f t="shared" si="265"/>
        <v/>
      </c>
      <c r="KB28" s="1814" t="str">
        <f t="shared" si="266"/>
        <v/>
      </c>
      <c r="KC28" s="1814" t="str">
        <f t="shared" si="267"/>
        <v/>
      </c>
      <c r="KD28" s="1814" t="str">
        <f t="shared" si="268"/>
        <v/>
      </c>
      <c r="KE28" s="1814" t="str">
        <f t="shared" si="269"/>
        <v/>
      </c>
      <c r="KF28" s="1814" t="str">
        <f t="shared" si="270"/>
        <v/>
      </c>
      <c r="KG28" s="1814" t="str">
        <f t="shared" si="271"/>
        <v/>
      </c>
      <c r="KH28" s="1814" t="str">
        <f t="shared" si="272"/>
        <v/>
      </c>
      <c r="KI28" s="1814" t="str">
        <f t="shared" si="273"/>
        <v/>
      </c>
      <c r="KJ28" s="1814" t="str">
        <f t="shared" si="274"/>
        <v/>
      </c>
      <c r="KK28" s="1814" t="str">
        <f t="shared" si="275"/>
        <v/>
      </c>
      <c r="KL28" s="1814" t="str">
        <f t="shared" si="276"/>
        <v/>
      </c>
      <c r="KM28" s="1814" t="str">
        <f t="shared" si="277"/>
        <v/>
      </c>
      <c r="KN28" s="1814" t="str">
        <f t="shared" si="278"/>
        <v/>
      </c>
      <c r="KO28" s="1814" t="str">
        <f t="shared" si="279"/>
        <v/>
      </c>
      <c r="KP28" s="1814" t="str">
        <f t="shared" si="280"/>
        <v/>
      </c>
      <c r="KQ28" s="1814" t="str">
        <f t="shared" si="281"/>
        <v/>
      </c>
      <c r="KR28" s="1814" t="str">
        <f t="shared" si="282"/>
        <v/>
      </c>
      <c r="KS28" s="1814" t="str">
        <f t="shared" si="283"/>
        <v/>
      </c>
      <c r="KT28" s="1814" t="str">
        <f t="shared" si="284"/>
        <v/>
      </c>
      <c r="KU28" s="1814" t="str">
        <f t="shared" si="285"/>
        <v/>
      </c>
      <c r="KV28" s="1814" t="str">
        <f t="shared" si="286"/>
        <v/>
      </c>
      <c r="KW28" s="1814" t="str">
        <f t="shared" si="287"/>
        <v/>
      </c>
      <c r="KX28" s="1814" t="str">
        <f t="shared" si="288"/>
        <v/>
      </c>
      <c r="KY28" s="1814" t="str">
        <f t="shared" si="289"/>
        <v/>
      </c>
      <c r="KZ28" s="1814" t="str">
        <f t="shared" si="290"/>
        <v/>
      </c>
      <c r="LA28" s="1814" t="str">
        <f t="shared" si="291"/>
        <v/>
      </c>
      <c r="LB28" s="1814" t="str">
        <f t="shared" si="292"/>
        <v/>
      </c>
      <c r="LC28" s="1814" t="str">
        <f t="shared" si="293"/>
        <v/>
      </c>
      <c r="LD28" s="1814" t="str">
        <f t="shared" si="294"/>
        <v/>
      </c>
      <c r="LE28" s="1814" t="str">
        <f t="shared" si="295"/>
        <v/>
      </c>
      <c r="LF28" s="1814" t="str">
        <f t="shared" si="296"/>
        <v/>
      </c>
      <c r="LG28" s="1786" t="str">
        <f t="shared" si="297"/>
        <v/>
      </c>
      <c r="LH28" s="1786" t="str">
        <f t="shared" si="298"/>
        <v/>
      </c>
      <c r="LI28" s="1786" t="str">
        <f t="shared" si="299"/>
        <v/>
      </c>
      <c r="LJ28" s="1786" t="str">
        <f t="shared" si="300"/>
        <v/>
      </c>
      <c r="LK28" s="1786" t="str">
        <f t="shared" si="301"/>
        <v/>
      </c>
      <c r="LL28" s="430" t="str">
        <f t="shared" si="302"/>
        <v/>
      </c>
      <c r="LM28" s="430" t="str">
        <f t="shared" si="303"/>
        <v/>
      </c>
      <c r="LN28" s="430" t="str">
        <f t="shared" si="304"/>
        <v/>
      </c>
      <c r="LO28" s="430" t="str">
        <f t="shared" si="305"/>
        <v/>
      </c>
      <c r="LP28" s="430" t="str">
        <f t="shared" si="306"/>
        <v/>
      </c>
      <c r="LQ28" s="430" t="str">
        <f t="shared" si="307"/>
        <v/>
      </c>
      <c r="LR28" s="430" t="str">
        <f t="shared" si="308"/>
        <v/>
      </c>
      <c r="LS28" s="430" t="str">
        <f t="shared" si="309"/>
        <v/>
      </c>
      <c r="LT28" s="430" t="str">
        <f t="shared" si="310"/>
        <v/>
      </c>
      <c r="LU28" s="430" t="str">
        <f t="shared" si="311"/>
        <v/>
      </c>
      <c r="LV28" s="430" t="str">
        <f t="shared" si="312"/>
        <v/>
      </c>
      <c r="LW28" s="430" t="str">
        <f t="shared" si="313"/>
        <v/>
      </c>
      <c r="LX28" s="430" t="str">
        <f t="shared" si="314"/>
        <v/>
      </c>
      <c r="LY28" s="430" t="str">
        <f t="shared" si="315"/>
        <v/>
      </c>
      <c r="LZ28" s="430" t="str">
        <f t="shared" si="316"/>
        <v/>
      </c>
      <c r="MA28" s="430" t="str">
        <f t="shared" si="317"/>
        <v/>
      </c>
      <c r="MB28" s="430" t="str">
        <f t="shared" si="318"/>
        <v/>
      </c>
      <c r="MC28" s="430" t="str">
        <f t="shared" si="319"/>
        <v/>
      </c>
      <c r="MD28" s="430" t="str">
        <f t="shared" si="320"/>
        <v/>
      </c>
      <c r="ME28" s="430" t="str">
        <f t="shared" si="321"/>
        <v/>
      </c>
      <c r="MF28" s="1815">
        <f t="shared" si="328"/>
        <v>0</v>
      </c>
      <c r="MG28" s="1815">
        <f t="shared" si="329"/>
        <v>0</v>
      </c>
      <c r="MH28" s="1815">
        <f t="shared" si="330"/>
        <v>0</v>
      </c>
      <c r="MI28" s="1815">
        <f t="shared" si="331"/>
        <v>0</v>
      </c>
      <c r="MJ28" s="1815">
        <f t="shared" si="332"/>
        <v>0</v>
      </c>
      <c r="MK28" s="1815">
        <f t="shared" si="333"/>
        <v>0</v>
      </c>
      <c r="ML28" s="1815">
        <f t="shared" si="334"/>
        <v>0</v>
      </c>
      <c r="MM28" s="1815">
        <f t="shared" si="335"/>
        <v>0</v>
      </c>
      <c r="MN28" s="1815">
        <f t="shared" si="336"/>
        <v>0</v>
      </c>
      <c r="MO28" s="1815">
        <f t="shared" si="337"/>
        <v>0</v>
      </c>
      <c r="MP28" s="1815">
        <f t="shared" si="322"/>
        <v>0</v>
      </c>
      <c r="MQ28" s="1815">
        <f t="shared" si="323"/>
        <v>0</v>
      </c>
      <c r="MR28" s="1815">
        <f t="shared" si="324"/>
        <v>0</v>
      </c>
      <c r="MS28" s="1815">
        <f t="shared" si="325"/>
        <v>0</v>
      </c>
      <c r="MT28" s="1815">
        <f t="shared" si="326"/>
        <v>0</v>
      </c>
      <c r="NP28" s="2807" t="s">
        <v>6734</v>
      </c>
    </row>
    <row r="29" spans="1:380" ht="13.9" customHeight="1">
      <c r="A29" s="108" t="str">
        <f t="shared" si="327"/>
        <v/>
      </c>
      <c r="B29" s="2896"/>
      <c r="C29" s="2869"/>
      <c r="D29" s="2870"/>
      <c r="E29" s="2871"/>
      <c r="F29" s="2871"/>
      <c r="G29" s="2871"/>
      <c r="H29" s="2871"/>
      <c r="I29" s="2871"/>
      <c r="J29" s="2897">
        <f>IF(C29="",0,HLOOKUP(C29,'Part V-Utility Allowances'!$I$11:$M$22,12))</f>
        <v>0</v>
      </c>
      <c r="K29" s="2873"/>
      <c r="L29" s="537">
        <f t="shared" si="0"/>
        <v>0</v>
      </c>
      <c r="M29" s="537">
        <f t="shared" si="1"/>
        <v>0</v>
      </c>
      <c r="N29" s="2712"/>
      <c r="O29" s="2874"/>
      <c r="P29" s="2712"/>
      <c r="Q29" s="2875"/>
      <c r="R29" s="2876"/>
      <c r="S29" s="2877"/>
      <c r="T29" s="3833"/>
      <c r="U29" s="3834"/>
      <c r="V29" s="3834"/>
      <c r="W29" s="3835"/>
      <c r="X29" s="430" t="str">
        <f t="shared" si="2"/>
        <v/>
      </c>
      <c r="Y29" s="430" t="str">
        <f t="shared" si="3"/>
        <v/>
      </c>
      <c r="Z29" s="430" t="str">
        <f t="shared" si="4"/>
        <v/>
      </c>
      <c r="AA29" s="430" t="str">
        <f t="shared" si="5"/>
        <v/>
      </c>
      <c r="AB29" s="430" t="str">
        <f t="shared" si="6"/>
        <v/>
      </c>
      <c r="AC29" s="430" t="str">
        <f t="shared" si="7"/>
        <v/>
      </c>
      <c r="AD29" s="430" t="str">
        <f t="shared" si="8"/>
        <v/>
      </c>
      <c r="AE29" s="430" t="str">
        <f t="shared" si="9"/>
        <v/>
      </c>
      <c r="AF29" s="430" t="str">
        <f t="shared" si="10"/>
        <v/>
      </c>
      <c r="AG29" s="430" t="str">
        <f t="shared" si="11"/>
        <v/>
      </c>
      <c r="AH29" s="430" t="str">
        <f t="shared" si="12"/>
        <v/>
      </c>
      <c r="AI29" s="430" t="str">
        <f t="shared" si="13"/>
        <v/>
      </c>
      <c r="AJ29" s="430" t="str">
        <f t="shared" si="14"/>
        <v/>
      </c>
      <c r="AK29" s="430" t="str">
        <f t="shared" si="15"/>
        <v/>
      </c>
      <c r="AL29" s="430" t="str">
        <f t="shared" si="16"/>
        <v/>
      </c>
      <c r="AM29" s="430" t="str">
        <f t="shared" si="17"/>
        <v/>
      </c>
      <c r="AN29" s="430" t="str">
        <f t="shared" si="18"/>
        <v/>
      </c>
      <c r="AO29" s="430" t="str">
        <f t="shared" si="19"/>
        <v/>
      </c>
      <c r="AP29" s="430" t="str">
        <f t="shared" si="20"/>
        <v/>
      </c>
      <c r="AQ29" s="430" t="str">
        <f t="shared" si="21"/>
        <v/>
      </c>
      <c r="AR29" s="430" t="str">
        <f t="shared" si="22"/>
        <v/>
      </c>
      <c r="AS29" s="430" t="str">
        <f t="shared" si="23"/>
        <v/>
      </c>
      <c r="AT29" s="430" t="str">
        <f t="shared" si="24"/>
        <v/>
      </c>
      <c r="AU29" s="430" t="str">
        <f t="shared" si="25"/>
        <v/>
      </c>
      <c r="AV29" s="430" t="str">
        <f t="shared" si="26"/>
        <v/>
      </c>
      <c r="AW29" s="430" t="str">
        <f t="shared" si="27"/>
        <v/>
      </c>
      <c r="AX29" s="430" t="str">
        <f t="shared" si="28"/>
        <v/>
      </c>
      <c r="AY29" s="430" t="str">
        <f t="shared" si="29"/>
        <v/>
      </c>
      <c r="AZ29" s="430" t="str">
        <f t="shared" si="30"/>
        <v/>
      </c>
      <c r="BA29" s="430" t="str">
        <f t="shared" si="31"/>
        <v/>
      </c>
      <c r="BB29" s="430" t="str">
        <f t="shared" si="32"/>
        <v/>
      </c>
      <c r="BC29" s="430" t="str">
        <f t="shared" si="33"/>
        <v/>
      </c>
      <c r="BD29" s="430" t="str">
        <f t="shared" si="34"/>
        <v/>
      </c>
      <c r="BE29" s="430" t="str">
        <f t="shared" si="35"/>
        <v/>
      </c>
      <c r="BF29" s="430" t="str">
        <f t="shared" si="36"/>
        <v/>
      </c>
      <c r="BG29" s="430" t="str">
        <f t="shared" si="37"/>
        <v/>
      </c>
      <c r="BH29" s="430" t="str">
        <f t="shared" si="38"/>
        <v/>
      </c>
      <c r="BI29" s="430" t="str">
        <f t="shared" si="39"/>
        <v/>
      </c>
      <c r="BJ29" s="430" t="str">
        <f t="shared" si="40"/>
        <v/>
      </c>
      <c r="BK29" s="430" t="str">
        <f t="shared" si="41"/>
        <v/>
      </c>
      <c r="BL29" s="430" t="str">
        <f t="shared" si="42"/>
        <v/>
      </c>
      <c r="BM29" s="430" t="str">
        <f t="shared" si="43"/>
        <v/>
      </c>
      <c r="BN29" s="430" t="str">
        <f t="shared" si="44"/>
        <v/>
      </c>
      <c r="BO29" s="430" t="str">
        <f t="shared" si="45"/>
        <v/>
      </c>
      <c r="BP29" s="430" t="str">
        <f t="shared" si="46"/>
        <v/>
      </c>
      <c r="BQ29" s="430" t="str">
        <f t="shared" si="47"/>
        <v/>
      </c>
      <c r="BR29" s="430" t="str">
        <f t="shared" si="48"/>
        <v/>
      </c>
      <c r="BS29" s="430" t="str">
        <f t="shared" si="49"/>
        <v/>
      </c>
      <c r="BT29" s="430" t="str">
        <f t="shared" si="50"/>
        <v/>
      </c>
      <c r="BU29" s="430" t="str">
        <f t="shared" si="51"/>
        <v/>
      </c>
      <c r="BV29" s="430" t="str">
        <f t="shared" si="52"/>
        <v/>
      </c>
      <c r="BW29" s="430" t="str">
        <f t="shared" si="53"/>
        <v/>
      </c>
      <c r="BX29" s="430" t="str">
        <f t="shared" si="54"/>
        <v/>
      </c>
      <c r="BY29" s="430" t="str">
        <f t="shared" si="55"/>
        <v/>
      </c>
      <c r="BZ29" s="430" t="str">
        <f t="shared" si="56"/>
        <v/>
      </c>
      <c r="CA29" s="430" t="str">
        <f t="shared" si="57"/>
        <v/>
      </c>
      <c r="CB29" s="430" t="str">
        <f t="shared" si="58"/>
        <v/>
      </c>
      <c r="CC29" s="430" t="str">
        <f t="shared" si="59"/>
        <v/>
      </c>
      <c r="CD29" s="430" t="str">
        <f t="shared" si="60"/>
        <v/>
      </c>
      <c r="CE29" s="430" t="str">
        <f t="shared" si="61"/>
        <v/>
      </c>
      <c r="CF29" s="430" t="str">
        <f t="shared" si="62"/>
        <v/>
      </c>
      <c r="CG29" s="430" t="str">
        <f t="shared" si="63"/>
        <v/>
      </c>
      <c r="CH29" s="430" t="str">
        <f t="shared" si="64"/>
        <v/>
      </c>
      <c r="CI29" s="430" t="str">
        <f t="shared" si="65"/>
        <v/>
      </c>
      <c r="CJ29" s="430" t="str">
        <f t="shared" si="66"/>
        <v/>
      </c>
      <c r="CK29" s="430" t="str">
        <f t="shared" si="67"/>
        <v/>
      </c>
      <c r="CL29" s="430" t="str">
        <f t="shared" si="68"/>
        <v/>
      </c>
      <c r="CM29" s="430" t="str">
        <f t="shared" si="69"/>
        <v/>
      </c>
      <c r="CN29" s="430" t="str">
        <f t="shared" si="70"/>
        <v/>
      </c>
      <c r="CO29" s="430" t="str">
        <f t="shared" si="71"/>
        <v/>
      </c>
      <c r="CP29" s="430" t="str">
        <f t="shared" si="72"/>
        <v/>
      </c>
      <c r="CQ29" s="430" t="str">
        <f t="shared" si="73"/>
        <v/>
      </c>
      <c r="CR29" s="430" t="str">
        <f t="shared" si="74"/>
        <v/>
      </c>
      <c r="CS29" s="430" t="str">
        <f t="shared" si="75"/>
        <v/>
      </c>
      <c r="CT29" s="430" t="str">
        <f t="shared" si="76"/>
        <v/>
      </c>
      <c r="CU29" s="430" t="str">
        <f t="shared" si="77"/>
        <v/>
      </c>
      <c r="CV29" s="430" t="str">
        <f t="shared" si="78"/>
        <v/>
      </c>
      <c r="CW29" s="430" t="str">
        <f t="shared" si="79"/>
        <v/>
      </c>
      <c r="CX29" s="430" t="str">
        <f t="shared" si="80"/>
        <v/>
      </c>
      <c r="CY29" s="430" t="str">
        <f t="shared" si="81"/>
        <v/>
      </c>
      <c r="CZ29" s="430" t="str">
        <f t="shared" si="82"/>
        <v/>
      </c>
      <c r="DA29" s="430" t="str">
        <f t="shared" si="83"/>
        <v/>
      </c>
      <c r="DB29" s="430" t="str">
        <f t="shared" si="84"/>
        <v/>
      </c>
      <c r="DC29" s="430" t="str">
        <f t="shared" si="85"/>
        <v/>
      </c>
      <c r="DD29" s="430" t="str">
        <f t="shared" si="86"/>
        <v/>
      </c>
      <c r="DE29" s="430" t="str">
        <f t="shared" si="87"/>
        <v/>
      </c>
      <c r="DF29" s="430" t="str">
        <f t="shared" si="88"/>
        <v/>
      </c>
      <c r="DG29" s="430" t="str">
        <f t="shared" si="89"/>
        <v/>
      </c>
      <c r="DH29" s="430" t="str">
        <f t="shared" si="90"/>
        <v/>
      </c>
      <c r="DI29" s="430" t="str">
        <f t="shared" si="91"/>
        <v/>
      </c>
      <c r="DJ29" s="430" t="str">
        <f t="shared" si="92"/>
        <v/>
      </c>
      <c r="DK29" s="430" t="str">
        <f t="shared" si="93"/>
        <v/>
      </c>
      <c r="DL29" s="430" t="str">
        <f t="shared" si="94"/>
        <v/>
      </c>
      <c r="DM29" s="430" t="str">
        <f t="shared" si="95"/>
        <v/>
      </c>
      <c r="DN29" s="430" t="str">
        <f t="shared" si="96"/>
        <v/>
      </c>
      <c r="DO29" s="430" t="str">
        <f t="shared" si="97"/>
        <v/>
      </c>
      <c r="DP29" s="430" t="str">
        <f t="shared" si="98"/>
        <v/>
      </c>
      <c r="DQ29" s="430" t="str">
        <f t="shared" si="99"/>
        <v/>
      </c>
      <c r="DR29" s="430" t="str">
        <f t="shared" si="100"/>
        <v/>
      </c>
      <c r="DS29" s="430" t="str">
        <f t="shared" si="101"/>
        <v/>
      </c>
      <c r="DT29" s="430" t="str">
        <f t="shared" si="102"/>
        <v/>
      </c>
      <c r="DU29" s="430" t="str">
        <f t="shared" si="103"/>
        <v/>
      </c>
      <c r="DV29" s="430" t="str">
        <f t="shared" si="104"/>
        <v/>
      </c>
      <c r="DW29" s="430" t="str">
        <f t="shared" si="105"/>
        <v/>
      </c>
      <c r="DX29" s="430" t="str">
        <f t="shared" si="106"/>
        <v/>
      </c>
      <c r="DY29" s="430" t="str">
        <f t="shared" si="107"/>
        <v/>
      </c>
      <c r="DZ29" s="430" t="str">
        <f t="shared" si="108"/>
        <v/>
      </c>
      <c r="EA29" s="430" t="str">
        <f t="shared" si="109"/>
        <v/>
      </c>
      <c r="EB29" s="430" t="str">
        <f t="shared" si="110"/>
        <v/>
      </c>
      <c r="EC29" s="430" t="str">
        <f t="shared" si="111"/>
        <v/>
      </c>
      <c r="ED29" s="430" t="str">
        <f t="shared" si="112"/>
        <v/>
      </c>
      <c r="EE29" s="430" t="str">
        <f t="shared" si="113"/>
        <v/>
      </c>
      <c r="EF29" s="430" t="str">
        <f t="shared" si="114"/>
        <v/>
      </c>
      <c r="EG29" s="430" t="str">
        <f t="shared" si="115"/>
        <v/>
      </c>
      <c r="EH29" s="430" t="str">
        <f t="shared" si="116"/>
        <v/>
      </c>
      <c r="EI29" s="430" t="str">
        <f t="shared" si="117"/>
        <v/>
      </c>
      <c r="EJ29" s="430" t="str">
        <f t="shared" si="118"/>
        <v/>
      </c>
      <c r="EK29" s="430" t="str">
        <f t="shared" si="119"/>
        <v/>
      </c>
      <c r="EL29" s="430" t="str">
        <f t="shared" si="120"/>
        <v/>
      </c>
      <c r="EM29" s="430" t="str">
        <f t="shared" si="121"/>
        <v/>
      </c>
      <c r="EN29" s="430" t="str">
        <f t="shared" si="122"/>
        <v/>
      </c>
      <c r="EO29" s="430" t="str">
        <f t="shared" si="123"/>
        <v/>
      </c>
      <c r="EP29" s="430" t="str">
        <f t="shared" si="124"/>
        <v/>
      </c>
      <c r="EQ29" s="430" t="str">
        <f t="shared" si="125"/>
        <v/>
      </c>
      <c r="ER29" s="430" t="str">
        <f t="shared" si="126"/>
        <v/>
      </c>
      <c r="ES29" s="430" t="str">
        <f t="shared" si="127"/>
        <v/>
      </c>
      <c r="ET29" s="430" t="str">
        <f t="shared" si="128"/>
        <v/>
      </c>
      <c r="EU29" s="430" t="str">
        <f t="shared" si="129"/>
        <v/>
      </c>
      <c r="EV29" s="430" t="str">
        <f t="shared" si="130"/>
        <v/>
      </c>
      <c r="EW29" s="430" t="str">
        <f t="shared" si="131"/>
        <v/>
      </c>
      <c r="EX29" s="430" t="str">
        <f t="shared" si="132"/>
        <v/>
      </c>
      <c r="EY29" s="430" t="str">
        <f t="shared" si="133"/>
        <v/>
      </c>
      <c r="EZ29" s="430" t="str">
        <f t="shared" si="134"/>
        <v/>
      </c>
      <c r="FA29" s="430" t="str">
        <f t="shared" si="135"/>
        <v/>
      </c>
      <c r="FB29" s="430" t="str">
        <f t="shared" si="136"/>
        <v/>
      </c>
      <c r="FC29" s="430" t="str">
        <f t="shared" si="137"/>
        <v/>
      </c>
      <c r="FD29" s="430" t="str">
        <f t="shared" si="138"/>
        <v/>
      </c>
      <c r="FE29" s="430" t="str">
        <f t="shared" si="139"/>
        <v/>
      </c>
      <c r="FF29" s="430" t="str">
        <f t="shared" si="140"/>
        <v/>
      </c>
      <c r="FG29" s="430" t="str">
        <f t="shared" si="141"/>
        <v/>
      </c>
      <c r="FH29" s="430" t="str">
        <f t="shared" si="142"/>
        <v/>
      </c>
      <c r="FI29" s="430" t="str">
        <f t="shared" si="143"/>
        <v/>
      </c>
      <c r="FJ29" s="430" t="str">
        <f t="shared" si="144"/>
        <v/>
      </c>
      <c r="FK29" s="430" t="str">
        <f t="shared" si="145"/>
        <v/>
      </c>
      <c r="FL29" s="430" t="str">
        <f t="shared" si="146"/>
        <v/>
      </c>
      <c r="FM29" s="430" t="str">
        <f t="shared" si="147"/>
        <v/>
      </c>
      <c r="FN29" s="430" t="str">
        <f t="shared" si="148"/>
        <v/>
      </c>
      <c r="FO29" s="430" t="str">
        <f t="shared" si="149"/>
        <v/>
      </c>
      <c r="FP29" s="430" t="str">
        <f t="shared" si="150"/>
        <v/>
      </c>
      <c r="FQ29" s="430" t="str">
        <f t="shared" si="151"/>
        <v/>
      </c>
      <c r="FR29" s="430" t="str">
        <f t="shared" si="152"/>
        <v/>
      </c>
      <c r="FS29" s="430" t="str">
        <f t="shared" si="153"/>
        <v/>
      </c>
      <c r="FT29" s="430" t="str">
        <f t="shared" si="154"/>
        <v/>
      </c>
      <c r="FU29" s="430" t="str">
        <f t="shared" si="155"/>
        <v/>
      </c>
      <c r="FV29" s="430" t="str">
        <f t="shared" si="156"/>
        <v/>
      </c>
      <c r="FW29" s="430" t="str">
        <f t="shared" si="157"/>
        <v/>
      </c>
      <c r="FX29" s="430" t="str">
        <f t="shared" si="158"/>
        <v/>
      </c>
      <c r="FY29" s="430" t="str">
        <f t="shared" si="159"/>
        <v/>
      </c>
      <c r="FZ29" s="430" t="str">
        <f t="shared" si="160"/>
        <v/>
      </c>
      <c r="GA29" s="430" t="str">
        <f t="shared" si="161"/>
        <v/>
      </c>
      <c r="GB29" s="430" t="str">
        <f t="shared" si="162"/>
        <v/>
      </c>
      <c r="GC29" s="430" t="str">
        <f t="shared" si="163"/>
        <v/>
      </c>
      <c r="GD29" s="430" t="str">
        <f t="shared" si="164"/>
        <v/>
      </c>
      <c r="GE29" s="430" t="str">
        <f t="shared" si="165"/>
        <v/>
      </c>
      <c r="GF29" s="430" t="str">
        <f t="shared" si="166"/>
        <v/>
      </c>
      <c r="GG29" s="430" t="str">
        <f t="shared" si="167"/>
        <v/>
      </c>
      <c r="GH29" s="430" t="str">
        <f t="shared" si="168"/>
        <v/>
      </c>
      <c r="GI29" s="430" t="str">
        <f t="shared" si="169"/>
        <v/>
      </c>
      <c r="GJ29" s="430" t="str">
        <f t="shared" si="170"/>
        <v/>
      </c>
      <c r="GK29" s="430" t="str">
        <f t="shared" si="171"/>
        <v/>
      </c>
      <c r="GL29" s="430" t="str">
        <f t="shared" si="172"/>
        <v/>
      </c>
      <c r="GM29" s="430" t="str">
        <f t="shared" si="173"/>
        <v/>
      </c>
      <c r="GN29" s="430" t="str">
        <f t="shared" si="174"/>
        <v/>
      </c>
      <c r="GO29" s="430" t="str">
        <f t="shared" si="175"/>
        <v/>
      </c>
      <c r="GP29" s="430" t="str">
        <f t="shared" si="176"/>
        <v/>
      </c>
      <c r="GQ29" s="430" t="str">
        <f t="shared" si="177"/>
        <v/>
      </c>
      <c r="GR29" s="430" t="str">
        <f t="shared" si="178"/>
        <v/>
      </c>
      <c r="GS29" s="430" t="str">
        <f t="shared" si="179"/>
        <v/>
      </c>
      <c r="GT29" s="430" t="str">
        <f t="shared" si="180"/>
        <v/>
      </c>
      <c r="GU29" s="430" t="str">
        <f t="shared" si="181"/>
        <v/>
      </c>
      <c r="GV29" s="430" t="str">
        <f t="shared" si="182"/>
        <v/>
      </c>
      <c r="GW29" s="430" t="str">
        <f t="shared" si="183"/>
        <v/>
      </c>
      <c r="GX29" s="430" t="str">
        <f t="shared" si="184"/>
        <v/>
      </c>
      <c r="GY29" s="430" t="str">
        <f t="shared" si="185"/>
        <v/>
      </c>
      <c r="GZ29" s="430" t="str">
        <f t="shared" si="186"/>
        <v/>
      </c>
      <c r="HA29" s="430" t="str">
        <f t="shared" si="187"/>
        <v/>
      </c>
      <c r="HB29" s="430" t="str">
        <f t="shared" si="188"/>
        <v/>
      </c>
      <c r="HC29" s="430" t="str">
        <f t="shared" si="189"/>
        <v/>
      </c>
      <c r="HD29" s="430" t="str">
        <f t="shared" si="190"/>
        <v/>
      </c>
      <c r="HE29" s="430" t="str">
        <f t="shared" si="191"/>
        <v/>
      </c>
      <c r="HF29" s="430" t="str">
        <f t="shared" si="192"/>
        <v/>
      </c>
      <c r="HG29" s="430" t="str">
        <f t="shared" si="193"/>
        <v/>
      </c>
      <c r="HH29" s="430" t="str">
        <f t="shared" si="194"/>
        <v/>
      </c>
      <c r="HI29" s="430" t="str">
        <f t="shared" si="195"/>
        <v/>
      </c>
      <c r="HJ29" s="430" t="str">
        <f t="shared" si="196"/>
        <v/>
      </c>
      <c r="HK29" s="430" t="str">
        <f t="shared" si="197"/>
        <v/>
      </c>
      <c r="HL29" s="430" t="str">
        <f t="shared" si="198"/>
        <v/>
      </c>
      <c r="HM29" s="430" t="str">
        <f t="shared" si="199"/>
        <v/>
      </c>
      <c r="HN29" s="430" t="str">
        <f t="shared" si="200"/>
        <v/>
      </c>
      <c r="HO29" s="430" t="str">
        <f t="shared" si="201"/>
        <v/>
      </c>
      <c r="HP29" s="430" t="str">
        <f t="shared" si="202"/>
        <v/>
      </c>
      <c r="HQ29" s="430" t="str">
        <f t="shared" si="203"/>
        <v/>
      </c>
      <c r="HR29" s="430" t="str">
        <f t="shared" si="204"/>
        <v/>
      </c>
      <c r="HS29" s="430" t="str">
        <f t="shared" si="205"/>
        <v/>
      </c>
      <c r="HT29" s="430" t="str">
        <f t="shared" si="206"/>
        <v/>
      </c>
      <c r="HU29" s="430" t="str">
        <f t="shared" si="207"/>
        <v/>
      </c>
      <c r="HV29" s="430" t="str">
        <f t="shared" si="208"/>
        <v/>
      </c>
      <c r="HW29" s="430" t="str">
        <f t="shared" si="209"/>
        <v/>
      </c>
      <c r="HX29" s="430" t="str">
        <f t="shared" si="210"/>
        <v/>
      </c>
      <c r="HY29" s="430" t="str">
        <f t="shared" si="211"/>
        <v/>
      </c>
      <c r="HZ29" s="1814" t="str">
        <f t="shared" si="212"/>
        <v/>
      </c>
      <c r="IA29" s="1814" t="str">
        <f t="shared" si="213"/>
        <v/>
      </c>
      <c r="IB29" s="1814" t="str">
        <f t="shared" si="214"/>
        <v/>
      </c>
      <c r="IC29" s="1814" t="str">
        <f t="shared" si="215"/>
        <v/>
      </c>
      <c r="ID29" s="1814" t="str">
        <f t="shared" si="216"/>
        <v/>
      </c>
      <c r="IE29" s="1814" t="str">
        <f t="shared" si="217"/>
        <v/>
      </c>
      <c r="IF29" s="1814" t="str">
        <f t="shared" si="218"/>
        <v/>
      </c>
      <c r="IG29" s="1814" t="str">
        <f t="shared" si="219"/>
        <v/>
      </c>
      <c r="IH29" s="1814" t="str">
        <f t="shared" si="220"/>
        <v/>
      </c>
      <c r="II29" s="1814" t="str">
        <f t="shared" si="221"/>
        <v/>
      </c>
      <c r="IJ29" s="1814" t="str">
        <f t="shared" si="222"/>
        <v/>
      </c>
      <c r="IK29" s="1814" t="str">
        <f t="shared" si="223"/>
        <v/>
      </c>
      <c r="IL29" s="1814" t="str">
        <f t="shared" si="224"/>
        <v/>
      </c>
      <c r="IM29" s="1814" t="str">
        <f t="shared" si="225"/>
        <v/>
      </c>
      <c r="IN29" s="1814" t="str">
        <f t="shared" si="226"/>
        <v/>
      </c>
      <c r="IO29" s="1814" t="str">
        <f t="shared" si="227"/>
        <v/>
      </c>
      <c r="IP29" s="1814" t="str">
        <f t="shared" si="228"/>
        <v/>
      </c>
      <c r="IQ29" s="1814" t="str">
        <f t="shared" si="229"/>
        <v/>
      </c>
      <c r="IR29" s="1814" t="str">
        <f t="shared" si="230"/>
        <v/>
      </c>
      <c r="IS29" s="1814" t="str">
        <f t="shared" si="231"/>
        <v/>
      </c>
      <c r="IT29" s="1814" t="str">
        <f t="shared" si="232"/>
        <v/>
      </c>
      <c r="IU29" s="1814" t="str">
        <f t="shared" si="233"/>
        <v/>
      </c>
      <c r="IV29" s="1814" t="str">
        <f t="shared" si="234"/>
        <v/>
      </c>
      <c r="IW29" s="1814" t="str">
        <f t="shared" si="235"/>
        <v/>
      </c>
      <c r="IX29" s="1814" t="str">
        <f t="shared" si="236"/>
        <v/>
      </c>
      <c r="IY29" s="1814" t="str">
        <f t="shared" si="237"/>
        <v/>
      </c>
      <c r="IZ29" s="1814" t="str">
        <f t="shared" si="238"/>
        <v/>
      </c>
      <c r="JA29" s="1814" t="str">
        <f t="shared" si="239"/>
        <v/>
      </c>
      <c r="JB29" s="1814" t="str">
        <f t="shared" si="240"/>
        <v/>
      </c>
      <c r="JC29" s="1814" t="str">
        <f t="shared" si="241"/>
        <v/>
      </c>
      <c r="JD29" s="1814" t="str">
        <f t="shared" si="242"/>
        <v/>
      </c>
      <c r="JE29" s="1814" t="str">
        <f t="shared" si="243"/>
        <v/>
      </c>
      <c r="JF29" s="1814" t="str">
        <f t="shared" si="244"/>
        <v/>
      </c>
      <c r="JG29" s="1814" t="str">
        <f t="shared" si="245"/>
        <v/>
      </c>
      <c r="JH29" s="1814" t="str">
        <f t="shared" si="246"/>
        <v/>
      </c>
      <c r="JI29" s="1814" t="str">
        <f t="shared" si="247"/>
        <v/>
      </c>
      <c r="JJ29" s="1814" t="str">
        <f t="shared" si="248"/>
        <v/>
      </c>
      <c r="JK29" s="1814" t="str">
        <f t="shared" si="249"/>
        <v/>
      </c>
      <c r="JL29" s="1814" t="str">
        <f t="shared" si="250"/>
        <v/>
      </c>
      <c r="JM29" s="1814" t="str">
        <f t="shared" si="251"/>
        <v/>
      </c>
      <c r="JN29" s="1814" t="str">
        <f t="shared" si="252"/>
        <v/>
      </c>
      <c r="JO29" s="1814" t="str">
        <f t="shared" si="253"/>
        <v/>
      </c>
      <c r="JP29" s="1814" t="str">
        <f t="shared" si="254"/>
        <v/>
      </c>
      <c r="JQ29" s="1814" t="str">
        <f t="shared" si="255"/>
        <v/>
      </c>
      <c r="JR29" s="1814" t="str">
        <f t="shared" si="256"/>
        <v/>
      </c>
      <c r="JS29" s="1814" t="str">
        <f t="shared" si="257"/>
        <v/>
      </c>
      <c r="JT29" s="1814" t="str">
        <f t="shared" si="258"/>
        <v/>
      </c>
      <c r="JU29" s="1814" t="str">
        <f t="shared" si="259"/>
        <v/>
      </c>
      <c r="JV29" s="1814" t="str">
        <f t="shared" si="260"/>
        <v/>
      </c>
      <c r="JW29" s="1814" t="str">
        <f t="shared" si="261"/>
        <v/>
      </c>
      <c r="JX29" s="1814" t="str">
        <f t="shared" si="262"/>
        <v/>
      </c>
      <c r="JY29" s="1814" t="str">
        <f t="shared" si="263"/>
        <v/>
      </c>
      <c r="JZ29" s="1814" t="str">
        <f t="shared" si="264"/>
        <v/>
      </c>
      <c r="KA29" s="1814" t="str">
        <f t="shared" si="265"/>
        <v/>
      </c>
      <c r="KB29" s="1814" t="str">
        <f t="shared" si="266"/>
        <v/>
      </c>
      <c r="KC29" s="1814" t="str">
        <f t="shared" si="267"/>
        <v/>
      </c>
      <c r="KD29" s="1814" t="str">
        <f t="shared" si="268"/>
        <v/>
      </c>
      <c r="KE29" s="1814" t="str">
        <f t="shared" si="269"/>
        <v/>
      </c>
      <c r="KF29" s="1814" t="str">
        <f t="shared" si="270"/>
        <v/>
      </c>
      <c r="KG29" s="1814" t="str">
        <f t="shared" si="271"/>
        <v/>
      </c>
      <c r="KH29" s="1814" t="str">
        <f t="shared" si="272"/>
        <v/>
      </c>
      <c r="KI29" s="1814" t="str">
        <f t="shared" si="273"/>
        <v/>
      </c>
      <c r="KJ29" s="1814" t="str">
        <f t="shared" si="274"/>
        <v/>
      </c>
      <c r="KK29" s="1814" t="str">
        <f t="shared" si="275"/>
        <v/>
      </c>
      <c r="KL29" s="1814" t="str">
        <f t="shared" si="276"/>
        <v/>
      </c>
      <c r="KM29" s="1814" t="str">
        <f t="shared" si="277"/>
        <v/>
      </c>
      <c r="KN29" s="1814" t="str">
        <f t="shared" si="278"/>
        <v/>
      </c>
      <c r="KO29" s="1814" t="str">
        <f t="shared" si="279"/>
        <v/>
      </c>
      <c r="KP29" s="1814" t="str">
        <f t="shared" si="280"/>
        <v/>
      </c>
      <c r="KQ29" s="1814" t="str">
        <f t="shared" si="281"/>
        <v/>
      </c>
      <c r="KR29" s="1814" t="str">
        <f t="shared" si="282"/>
        <v/>
      </c>
      <c r="KS29" s="1814" t="str">
        <f t="shared" si="283"/>
        <v/>
      </c>
      <c r="KT29" s="1814" t="str">
        <f t="shared" si="284"/>
        <v/>
      </c>
      <c r="KU29" s="1814" t="str">
        <f t="shared" si="285"/>
        <v/>
      </c>
      <c r="KV29" s="1814" t="str">
        <f t="shared" si="286"/>
        <v/>
      </c>
      <c r="KW29" s="1814" t="str">
        <f t="shared" si="287"/>
        <v/>
      </c>
      <c r="KX29" s="1814" t="str">
        <f t="shared" si="288"/>
        <v/>
      </c>
      <c r="KY29" s="1814" t="str">
        <f t="shared" si="289"/>
        <v/>
      </c>
      <c r="KZ29" s="1814" t="str">
        <f t="shared" si="290"/>
        <v/>
      </c>
      <c r="LA29" s="1814" t="str">
        <f t="shared" si="291"/>
        <v/>
      </c>
      <c r="LB29" s="1814" t="str">
        <f t="shared" si="292"/>
        <v/>
      </c>
      <c r="LC29" s="1814" t="str">
        <f t="shared" si="293"/>
        <v/>
      </c>
      <c r="LD29" s="1814" t="str">
        <f t="shared" si="294"/>
        <v/>
      </c>
      <c r="LE29" s="1814" t="str">
        <f t="shared" si="295"/>
        <v/>
      </c>
      <c r="LF29" s="1814" t="str">
        <f t="shared" si="296"/>
        <v/>
      </c>
      <c r="LG29" s="1786" t="str">
        <f t="shared" si="297"/>
        <v/>
      </c>
      <c r="LH29" s="1786" t="str">
        <f t="shared" si="298"/>
        <v/>
      </c>
      <c r="LI29" s="1786" t="str">
        <f t="shared" si="299"/>
        <v/>
      </c>
      <c r="LJ29" s="1786" t="str">
        <f t="shared" si="300"/>
        <v/>
      </c>
      <c r="LK29" s="1786" t="str">
        <f t="shared" si="301"/>
        <v/>
      </c>
      <c r="LL29" s="430" t="str">
        <f t="shared" si="302"/>
        <v/>
      </c>
      <c r="LM29" s="430" t="str">
        <f t="shared" si="303"/>
        <v/>
      </c>
      <c r="LN29" s="430" t="str">
        <f t="shared" si="304"/>
        <v/>
      </c>
      <c r="LO29" s="430" t="str">
        <f t="shared" si="305"/>
        <v/>
      </c>
      <c r="LP29" s="430" t="str">
        <f t="shared" si="306"/>
        <v/>
      </c>
      <c r="LQ29" s="430" t="str">
        <f t="shared" si="307"/>
        <v/>
      </c>
      <c r="LR29" s="430" t="str">
        <f t="shared" si="308"/>
        <v/>
      </c>
      <c r="LS29" s="430" t="str">
        <f t="shared" si="309"/>
        <v/>
      </c>
      <c r="LT29" s="430" t="str">
        <f t="shared" si="310"/>
        <v/>
      </c>
      <c r="LU29" s="430" t="str">
        <f t="shared" si="311"/>
        <v/>
      </c>
      <c r="LV29" s="430" t="str">
        <f t="shared" si="312"/>
        <v/>
      </c>
      <c r="LW29" s="430" t="str">
        <f t="shared" si="313"/>
        <v/>
      </c>
      <c r="LX29" s="430" t="str">
        <f t="shared" si="314"/>
        <v/>
      </c>
      <c r="LY29" s="430" t="str">
        <f t="shared" si="315"/>
        <v/>
      </c>
      <c r="LZ29" s="430" t="str">
        <f t="shared" si="316"/>
        <v/>
      </c>
      <c r="MA29" s="430" t="str">
        <f t="shared" si="317"/>
        <v/>
      </c>
      <c r="MB29" s="430" t="str">
        <f t="shared" si="318"/>
        <v/>
      </c>
      <c r="MC29" s="430" t="str">
        <f t="shared" si="319"/>
        <v/>
      </c>
      <c r="MD29" s="430" t="str">
        <f t="shared" si="320"/>
        <v/>
      </c>
      <c r="ME29" s="430" t="str">
        <f t="shared" si="321"/>
        <v/>
      </c>
      <c r="MF29" s="1815">
        <f t="shared" si="328"/>
        <v>0</v>
      </c>
      <c r="MG29" s="1815">
        <f t="shared" si="329"/>
        <v>0</v>
      </c>
      <c r="MH29" s="1815">
        <f t="shared" si="330"/>
        <v>0</v>
      </c>
      <c r="MI29" s="1815">
        <f t="shared" si="331"/>
        <v>0</v>
      </c>
      <c r="MJ29" s="1815">
        <f t="shared" si="332"/>
        <v>0</v>
      </c>
      <c r="MK29" s="1815">
        <f t="shared" si="333"/>
        <v>0</v>
      </c>
      <c r="ML29" s="1815">
        <f t="shared" si="334"/>
        <v>0</v>
      </c>
      <c r="MM29" s="1815">
        <f t="shared" si="335"/>
        <v>0</v>
      </c>
      <c r="MN29" s="1815">
        <f t="shared" si="336"/>
        <v>0</v>
      </c>
      <c r="MO29" s="1815">
        <f t="shared" si="337"/>
        <v>0</v>
      </c>
      <c r="MP29" s="1815">
        <f t="shared" si="322"/>
        <v>0</v>
      </c>
      <c r="MQ29" s="1815">
        <f t="shared" si="323"/>
        <v>0</v>
      </c>
      <c r="MR29" s="1815">
        <f t="shared" si="324"/>
        <v>0</v>
      </c>
      <c r="MS29" s="1815">
        <f t="shared" si="325"/>
        <v>0</v>
      </c>
      <c r="MT29" s="1815">
        <f t="shared" si="326"/>
        <v>0</v>
      </c>
      <c r="NP29" s="2807" t="s">
        <v>6735</v>
      </c>
    </row>
    <row r="30" spans="1:380" ht="13.9" customHeight="1">
      <c r="A30" s="108" t="str">
        <f t="shared" si="327"/>
        <v/>
      </c>
      <c r="B30" s="2896"/>
      <c r="C30" s="2869"/>
      <c r="D30" s="2870"/>
      <c r="E30" s="2871"/>
      <c r="F30" s="2871"/>
      <c r="G30" s="2871"/>
      <c r="H30" s="2871"/>
      <c r="I30" s="2871"/>
      <c r="J30" s="2897">
        <f>IF(C30="",0,HLOOKUP(C30,'Part V-Utility Allowances'!$I$11:$M$22,12))</f>
        <v>0</v>
      </c>
      <c r="K30" s="2873"/>
      <c r="L30" s="537">
        <f t="shared" si="0"/>
        <v>0</v>
      </c>
      <c r="M30" s="537">
        <f t="shared" si="1"/>
        <v>0</v>
      </c>
      <c r="N30" s="2712"/>
      <c r="O30" s="2874"/>
      <c r="P30" s="2712"/>
      <c r="Q30" s="2875"/>
      <c r="R30" s="2876"/>
      <c r="S30" s="2877"/>
      <c r="T30" s="3833"/>
      <c r="U30" s="3834"/>
      <c r="V30" s="3834"/>
      <c r="W30" s="3835"/>
      <c r="X30" s="430" t="str">
        <f t="shared" si="2"/>
        <v/>
      </c>
      <c r="Y30" s="430" t="str">
        <f t="shared" si="3"/>
        <v/>
      </c>
      <c r="Z30" s="430" t="str">
        <f t="shared" si="4"/>
        <v/>
      </c>
      <c r="AA30" s="430" t="str">
        <f t="shared" si="5"/>
        <v/>
      </c>
      <c r="AB30" s="430" t="str">
        <f t="shared" si="6"/>
        <v/>
      </c>
      <c r="AC30" s="430" t="str">
        <f t="shared" si="7"/>
        <v/>
      </c>
      <c r="AD30" s="430" t="str">
        <f t="shared" si="8"/>
        <v/>
      </c>
      <c r="AE30" s="430" t="str">
        <f t="shared" si="9"/>
        <v/>
      </c>
      <c r="AF30" s="430" t="str">
        <f t="shared" si="10"/>
        <v/>
      </c>
      <c r="AG30" s="430" t="str">
        <f t="shared" si="11"/>
        <v/>
      </c>
      <c r="AH30" s="430" t="str">
        <f t="shared" si="12"/>
        <v/>
      </c>
      <c r="AI30" s="430" t="str">
        <f t="shared" si="13"/>
        <v/>
      </c>
      <c r="AJ30" s="430" t="str">
        <f t="shared" si="14"/>
        <v/>
      </c>
      <c r="AK30" s="430" t="str">
        <f t="shared" si="15"/>
        <v/>
      </c>
      <c r="AL30" s="430" t="str">
        <f t="shared" si="16"/>
        <v/>
      </c>
      <c r="AM30" s="430" t="str">
        <f t="shared" si="17"/>
        <v/>
      </c>
      <c r="AN30" s="430" t="str">
        <f t="shared" si="18"/>
        <v/>
      </c>
      <c r="AO30" s="430" t="str">
        <f t="shared" si="19"/>
        <v/>
      </c>
      <c r="AP30" s="430" t="str">
        <f t="shared" si="20"/>
        <v/>
      </c>
      <c r="AQ30" s="430" t="str">
        <f t="shared" si="21"/>
        <v/>
      </c>
      <c r="AR30" s="430" t="str">
        <f t="shared" si="22"/>
        <v/>
      </c>
      <c r="AS30" s="430" t="str">
        <f t="shared" si="23"/>
        <v/>
      </c>
      <c r="AT30" s="430" t="str">
        <f t="shared" si="24"/>
        <v/>
      </c>
      <c r="AU30" s="430" t="str">
        <f t="shared" si="25"/>
        <v/>
      </c>
      <c r="AV30" s="430" t="str">
        <f t="shared" si="26"/>
        <v/>
      </c>
      <c r="AW30" s="430" t="str">
        <f t="shared" si="27"/>
        <v/>
      </c>
      <c r="AX30" s="430" t="str">
        <f t="shared" si="28"/>
        <v/>
      </c>
      <c r="AY30" s="430" t="str">
        <f t="shared" si="29"/>
        <v/>
      </c>
      <c r="AZ30" s="430" t="str">
        <f t="shared" si="30"/>
        <v/>
      </c>
      <c r="BA30" s="430" t="str">
        <f t="shared" si="31"/>
        <v/>
      </c>
      <c r="BB30" s="430" t="str">
        <f t="shared" si="32"/>
        <v/>
      </c>
      <c r="BC30" s="430" t="str">
        <f t="shared" si="33"/>
        <v/>
      </c>
      <c r="BD30" s="430" t="str">
        <f t="shared" si="34"/>
        <v/>
      </c>
      <c r="BE30" s="430" t="str">
        <f t="shared" si="35"/>
        <v/>
      </c>
      <c r="BF30" s="430" t="str">
        <f t="shared" si="36"/>
        <v/>
      </c>
      <c r="BG30" s="430" t="str">
        <f t="shared" si="37"/>
        <v/>
      </c>
      <c r="BH30" s="430" t="str">
        <f t="shared" si="38"/>
        <v/>
      </c>
      <c r="BI30" s="430" t="str">
        <f t="shared" si="39"/>
        <v/>
      </c>
      <c r="BJ30" s="430" t="str">
        <f t="shared" si="40"/>
        <v/>
      </c>
      <c r="BK30" s="430" t="str">
        <f t="shared" si="41"/>
        <v/>
      </c>
      <c r="BL30" s="430" t="str">
        <f t="shared" si="42"/>
        <v/>
      </c>
      <c r="BM30" s="430" t="str">
        <f t="shared" si="43"/>
        <v/>
      </c>
      <c r="BN30" s="430" t="str">
        <f t="shared" si="44"/>
        <v/>
      </c>
      <c r="BO30" s="430" t="str">
        <f t="shared" si="45"/>
        <v/>
      </c>
      <c r="BP30" s="430" t="str">
        <f t="shared" si="46"/>
        <v/>
      </c>
      <c r="BQ30" s="430" t="str">
        <f t="shared" si="47"/>
        <v/>
      </c>
      <c r="BR30" s="430" t="str">
        <f t="shared" si="48"/>
        <v/>
      </c>
      <c r="BS30" s="430" t="str">
        <f t="shared" si="49"/>
        <v/>
      </c>
      <c r="BT30" s="430" t="str">
        <f t="shared" si="50"/>
        <v/>
      </c>
      <c r="BU30" s="430" t="str">
        <f t="shared" si="51"/>
        <v/>
      </c>
      <c r="BV30" s="430" t="str">
        <f t="shared" si="52"/>
        <v/>
      </c>
      <c r="BW30" s="430" t="str">
        <f t="shared" si="53"/>
        <v/>
      </c>
      <c r="BX30" s="430" t="str">
        <f t="shared" si="54"/>
        <v/>
      </c>
      <c r="BY30" s="430" t="str">
        <f t="shared" si="55"/>
        <v/>
      </c>
      <c r="BZ30" s="430" t="str">
        <f t="shared" si="56"/>
        <v/>
      </c>
      <c r="CA30" s="430" t="str">
        <f t="shared" si="57"/>
        <v/>
      </c>
      <c r="CB30" s="430" t="str">
        <f t="shared" si="58"/>
        <v/>
      </c>
      <c r="CC30" s="430" t="str">
        <f t="shared" si="59"/>
        <v/>
      </c>
      <c r="CD30" s="430" t="str">
        <f t="shared" si="60"/>
        <v/>
      </c>
      <c r="CE30" s="430" t="str">
        <f t="shared" si="61"/>
        <v/>
      </c>
      <c r="CF30" s="430" t="str">
        <f t="shared" si="62"/>
        <v/>
      </c>
      <c r="CG30" s="430" t="str">
        <f t="shared" si="63"/>
        <v/>
      </c>
      <c r="CH30" s="430" t="str">
        <f t="shared" si="64"/>
        <v/>
      </c>
      <c r="CI30" s="430" t="str">
        <f t="shared" si="65"/>
        <v/>
      </c>
      <c r="CJ30" s="430" t="str">
        <f t="shared" si="66"/>
        <v/>
      </c>
      <c r="CK30" s="430" t="str">
        <f t="shared" si="67"/>
        <v/>
      </c>
      <c r="CL30" s="430" t="str">
        <f t="shared" si="68"/>
        <v/>
      </c>
      <c r="CM30" s="430" t="str">
        <f t="shared" si="69"/>
        <v/>
      </c>
      <c r="CN30" s="430" t="str">
        <f t="shared" si="70"/>
        <v/>
      </c>
      <c r="CO30" s="430" t="str">
        <f t="shared" si="71"/>
        <v/>
      </c>
      <c r="CP30" s="430" t="str">
        <f t="shared" si="72"/>
        <v/>
      </c>
      <c r="CQ30" s="430" t="str">
        <f t="shared" si="73"/>
        <v/>
      </c>
      <c r="CR30" s="430" t="str">
        <f t="shared" si="74"/>
        <v/>
      </c>
      <c r="CS30" s="430" t="str">
        <f t="shared" si="75"/>
        <v/>
      </c>
      <c r="CT30" s="430" t="str">
        <f t="shared" si="76"/>
        <v/>
      </c>
      <c r="CU30" s="430" t="str">
        <f t="shared" si="77"/>
        <v/>
      </c>
      <c r="CV30" s="430" t="str">
        <f t="shared" si="78"/>
        <v/>
      </c>
      <c r="CW30" s="430" t="str">
        <f t="shared" si="79"/>
        <v/>
      </c>
      <c r="CX30" s="430" t="str">
        <f t="shared" si="80"/>
        <v/>
      </c>
      <c r="CY30" s="430" t="str">
        <f t="shared" si="81"/>
        <v/>
      </c>
      <c r="CZ30" s="430" t="str">
        <f t="shared" si="82"/>
        <v/>
      </c>
      <c r="DA30" s="430" t="str">
        <f t="shared" si="83"/>
        <v/>
      </c>
      <c r="DB30" s="430" t="str">
        <f t="shared" si="84"/>
        <v/>
      </c>
      <c r="DC30" s="430" t="str">
        <f t="shared" si="85"/>
        <v/>
      </c>
      <c r="DD30" s="430" t="str">
        <f t="shared" si="86"/>
        <v/>
      </c>
      <c r="DE30" s="430" t="str">
        <f t="shared" si="87"/>
        <v/>
      </c>
      <c r="DF30" s="430" t="str">
        <f t="shared" si="88"/>
        <v/>
      </c>
      <c r="DG30" s="430" t="str">
        <f t="shared" si="89"/>
        <v/>
      </c>
      <c r="DH30" s="430" t="str">
        <f t="shared" si="90"/>
        <v/>
      </c>
      <c r="DI30" s="430" t="str">
        <f t="shared" si="91"/>
        <v/>
      </c>
      <c r="DJ30" s="430" t="str">
        <f t="shared" si="92"/>
        <v/>
      </c>
      <c r="DK30" s="430" t="str">
        <f t="shared" si="93"/>
        <v/>
      </c>
      <c r="DL30" s="430" t="str">
        <f t="shared" si="94"/>
        <v/>
      </c>
      <c r="DM30" s="430" t="str">
        <f t="shared" si="95"/>
        <v/>
      </c>
      <c r="DN30" s="430" t="str">
        <f t="shared" si="96"/>
        <v/>
      </c>
      <c r="DO30" s="430" t="str">
        <f t="shared" si="97"/>
        <v/>
      </c>
      <c r="DP30" s="430" t="str">
        <f t="shared" si="98"/>
        <v/>
      </c>
      <c r="DQ30" s="430" t="str">
        <f t="shared" si="99"/>
        <v/>
      </c>
      <c r="DR30" s="430" t="str">
        <f t="shared" si="100"/>
        <v/>
      </c>
      <c r="DS30" s="430" t="str">
        <f t="shared" si="101"/>
        <v/>
      </c>
      <c r="DT30" s="430" t="str">
        <f t="shared" si="102"/>
        <v/>
      </c>
      <c r="DU30" s="430" t="str">
        <f t="shared" si="103"/>
        <v/>
      </c>
      <c r="DV30" s="430" t="str">
        <f t="shared" si="104"/>
        <v/>
      </c>
      <c r="DW30" s="430" t="str">
        <f t="shared" si="105"/>
        <v/>
      </c>
      <c r="DX30" s="430" t="str">
        <f t="shared" si="106"/>
        <v/>
      </c>
      <c r="DY30" s="430" t="str">
        <f t="shared" si="107"/>
        <v/>
      </c>
      <c r="DZ30" s="430" t="str">
        <f t="shared" si="108"/>
        <v/>
      </c>
      <c r="EA30" s="430" t="str">
        <f t="shared" si="109"/>
        <v/>
      </c>
      <c r="EB30" s="430" t="str">
        <f t="shared" si="110"/>
        <v/>
      </c>
      <c r="EC30" s="430" t="str">
        <f t="shared" si="111"/>
        <v/>
      </c>
      <c r="ED30" s="430" t="str">
        <f t="shared" si="112"/>
        <v/>
      </c>
      <c r="EE30" s="430" t="str">
        <f t="shared" si="113"/>
        <v/>
      </c>
      <c r="EF30" s="430" t="str">
        <f t="shared" si="114"/>
        <v/>
      </c>
      <c r="EG30" s="430" t="str">
        <f t="shared" si="115"/>
        <v/>
      </c>
      <c r="EH30" s="430" t="str">
        <f t="shared" si="116"/>
        <v/>
      </c>
      <c r="EI30" s="430" t="str">
        <f t="shared" si="117"/>
        <v/>
      </c>
      <c r="EJ30" s="430" t="str">
        <f t="shared" si="118"/>
        <v/>
      </c>
      <c r="EK30" s="430" t="str">
        <f t="shared" si="119"/>
        <v/>
      </c>
      <c r="EL30" s="430" t="str">
        <f t="shared" si="120"/>
        <v/>
      </c>
      <c r="EM30" s="430" t="str">
        <f t="shared" si="121"/>
        <v/>
      </c>
      <c r="EN30" s="430" t="str">
        <f t="shared" si="122"/>
        <v/>
      </c>
      <c r="EO30" s="430" t="str">
        <f t="shared" si="123"/>
        <v/>
      </c>
      <c r="EP30" s="430" t="str">
        <f t="shared" si="124"/>
        <v/>
      </c>
      <c r="EQ30" s="430" t="str">
        <f t="shared" si="125"/>
        <v/>
      </c>
      <c r="ER30" s="430" t="str">
        <f t="shared" si="126"/>
        <v/>
      </c>
      <c r="ES30" s="430" t="str">
        <f t="shared" si="127"/>
        <v/>
      </c>
      <c r="ET30" s="430" t="str">
        <f t="shared" si="128"/>
        <v/>
      </c>
      <c r="EU30" s="430" t="str">
        <f t="shared" si="129"/>
        <v/>
      </c>
      <c r="EV30" s="430" t="str">
        <f t="shared" si="130"/>
        <v/>
      </c>
      <c r="EW30" s="430" t="str">
        <f t="shared" si="131"/>
        <v/>
      </c>
      <c r="EX30" s="430" t="str">
        <f t="shared" si="132"/>
        <v/>
      </c>
      <c r="EY30" s="430" t="str">
        <f t="shared" si="133"/>
        <v/>
      </c>
      <c r="EZ30" s="430" t="str">
        <f t="shared" si="134"/>
        <v/>
      </c>
      <c r="FA30" s="430" t="str">
        <f t="shared" si="135"/>
        <v/>
      </c>
      <c r="FB30" s="430" t="str">
        <f t="shared" si="136"/>
        <v/>
      </c>
      <c r="FC30" s="430" t="str">
        <f t="shared" si="137"/>
        <v/>
      </c>
      <c r="FD30" s="430" t="str">
        <f t="shared" si="138"/>
        <v/>
      </c>
      <c r="FE30" s="430" t="str">
        <f t="shared" si="139"/>
        <v/>
      </c>
      <c r="FF30" s="430" t="str">
        <f t="shared" si="140"/>
        <v/>
      </c>
      <c r="FG30" s="430" t="str">
        <f t="shared" si="141"/>
        <v/>
      </c>
      <c r="FH30" s="430" t="str">
        <f t="shared" si="142"/>
        <v/>
      </c>
      <c r="FI30" s="430" t="str">
        <f t="shared" si="143"/>
        <v/>
      </c>
      <c r="FJ30" s="430" t="str">
        <f t="shared" si="144"/>
        <v/>
      </c>
      <c r="FK30" s="430" t="str">
        <f t="shared" si="145"/>
        <v/>
      </c>
      <c r="FL30" s="430" t="str">
        <f t="shared" si="146"/>
        <v/>
      </c>
      <c r="FM30" s="430" t="str">
        <f t="shared" si="147"/>
        <v/>
      </c>
      <c r="FN30" s="430" t="str">
        <f t="shared" si="148"/>
        <v/>
      </c>
      <c r="FO30" s="430" t="str">
        <f t="shared" si="149"/>
        <v/>
      </c>
      <c r="FP30" s="430" t="str">
        <f t="shared" si="150"/>
        <v/>
      </c>
      <c r="FQ30" s="430" t="str">
        <f t="shared" si="151"/>
        <v/>
      </c>
      <c r="FR30" s="430" t="str">
        <f t="shared" si="152"/>
        <v/>
      </c>
      <c r="FS30" s="430" t="str">
        <f t="shared" si="153"/>
        <v/>
      </c>
      <c r="FT30" s="430" t="str">
        <f t="shared" si="154"/>
        <v/>
      </c>
      <c r="FU30" s="430" t="str">
        <f t="shared" si="155"/>
        <v/>
      </c>
      <c r="FV30" s="430" t="str">
        <f t="shared" si="156"/>
        <v/>
      </c>
      <c r="FW30" s="430" t="str">
        <f t="shared" si="157"/>
        <v/>
      </c>
      <c r="FX30" s="430" t="str">
        <f t="shared" si="158"/>
        <v/>
      </c>
      <c r="FY30" s="430" t="str">
        <f t="shared" si="159"/>
        <v/>
      </c>
      <c r="FZ30" s="430" t="str">
        <f t="shared" si="160"/>
        <v/>
      </c>
      <c r="GA30" s="430" t="str">
        <f t="shared" si="161"/>
        <v/>
      </c>
      <c r="GB30" s="430" t="str">
        <f t="shared" si="162"/>
        <v/>
      </c>
      <c r="GC30" s="430" t="str">
        <f t="shared" si="163"/>
        <v/>
      </c>
      <c r="GD30" s="430" t="str">
        <f t="shared" si="164"/>
        <v/>
      </c>
      <c r="GE30" s="430" t="str">
        <f t="shared" si="165"/>
        <v/>
      </c>
      <c r="GF30" s="430" t="str">
        <f t="shared" si="166"/>
        <v/>
      </c>
      <c r="GG30" s="430" t="str">
        <f t="shared" si="167"/>
        <v/>
      </c>
      <c r="GH30" s="430" t="str">
        <f t="shared" si="168"/>
        <v/>
      </c>
      <c r="GI30" s="430" t="str">
        <f t="shared" si="169"/>
        <v/>
      </c>
      <c r="GJ30" s="430" t="str">
        <f t="shared" si="170"/>
        <v/>
      </c>
      <c r="GK30" s="430" t="str">
        <f t="shared" si="171"/>
        <v/>
      </c>
      <c r="GL30" s="430" t="str">
        <f t="shared" si="172"/>
        <v/>
      </c>
      <c r="GM30" s="430" t="str">
        <f t="shared" si="173"/>
        <v/>
      </c>
      <c r="GN30" s="430" t="str">
        <f t="shared" si="174"/>
        <v/>
      </c>
      <c r="GO30" s="430" t="str">
        <f t="shared" si="175"/>
        <v/>
      </c>
      <c r="GP30" s="430" t="str">
        <f t="shared" si="176"/>
        <v/>
      </c>
      <c r="GQ30" s="430" t="str">
        <f t="shared" si="177"/>
        <v/>
      </c>
      <c r="GR30" s="430" t="str">
        <f t="shared" si="178"/>
        <v/>
      </c>
      <c r="GS30" s="430" t="str">
        <f t="shared" si="179"/>
        <v/>
      </c>
      <c r="GT30" s="430" t="str">
        <f t="shared" si="180"/>
        <v/>
      </c>
      <c r="GU30" s="430" t="str">
        <f t="shared" si="181"/>
        <v/>
      </c>
      <c r="GV30" s="430" t="str">
        <f t="shared" si="182"/>
        <v/>
      </c>
      <c r="GW30" s="430" t="str">
        <f t="shared" si="183"/>
        <v/>
      </c>
      <c r="GX30" s="430" t="str">
        <f t="shared" si="184"/>
        <v/>
      </c>
      <c r="GY30" s="430" t="str">
        <f t="shared" si="185"/>
        <v/>
      </c>
      <c r="GZ30" s="430" t="str">
        <f t="shared" si="186"/>
        <v/>
      </c>
      <c r="HA30" s="430" t="str">
        <f t="shared" si="187"/>
        <v/>
      </c>
      <c r="HB30" s="430" t="str">
        <f t="shared" si="188"/>
        <v/>
      </c>
      <c r="HC30" s="430" t="str">
        <f t="shared" si="189"/>
        <v/>
      </c>
      <c r="HD30" s="430" t="str">
        <f t="shared" si="190"/>
        <v/>
      </c>
      <c r="HE30" s="430" t="str">
        <f t="shared" si="191"/>
        <v/>
      </c>
      <c r="HF30" s="430" t="str">
        <f t="shared" si="192"/>
        <v/>
      </c>
      <c r="HG30" s="430" t="str">
        <f t="shared" si="193"/>
        <v/>
      </c>
      <c r="HH30" s="430" t="str">
        <f t="shared" si="194"/>
        <v/>
      </c>
      <c r="HI30" s="430" t="str">
        <f t="shared" si="195"/>
        <v/>
      </c>
      <c r="HJ30" s="430" t="str">
        <f t="shared" si="196"/>
        <v/>
      </c>
      <c r="HK30" s="430" t="str">
        <f t="shared" si="197"/>
        <v/>
      </c>
      <c r="HL30" s="430" t="str">
        <f t="shared" si="198"/>
        <v/>
      </c>
      <c r="HM30" s="430" t="str">
        <f t="shared" si="199"/>
        <v/>
      </c>
      <c r="HN30" s="430" t="str">
        <f t="shared" si="200"/>
        <v/>
      </c>
      <c r="HO30" s="430" t="str">
        <f t="shared" si="201"/>
        <v/>
      </c>
      <c r="HP30" s="430" t="str">
        <f t="shared" si="202"/>
        <v/>
      </c>
      <c r="HQ30" s="430" t="str">
        <f t="shared" si="203"/>
        <v/>
      </c>
      <c r="HR30" s="430" t="str">
        <f t="shared" si="204"/>
        <v/>
      </c>
      <c r="HS30" s="430" t="str">
        <f t="shared" si="205"/>
        <v/>
      </c>
      <c r="HT30" s="430" t="str">
        <f t="shared" si="206"/>
        <v/>
      </c>
      <c r="HU30" s="430" t="str">
        <f t="shared" si="207"/>
        <v/>
      </c>
      <c r="HV30" s="430" t="str">
        <f t="shared" si="208"/>
        <v/>
      </c>
      <c r="HW30" s="430" t="str">
        <f t="shared" si="209"/>
        <v/>
      </c>
      <c r="HX30" s="430" t="str">
        <f t="shared" si="210"/>
        <v/>
      </c>
      <c r="HY30" s="430" t="str">
        <f t="shared" si="211"/>
        <v/>
      </c>
      <c r="HZ30" s="1814" t="str">
        <f t="shared" si="212"/>
        <v/>
      </c>
      <c r="IA30" s="1814" t="str">
        <f t="shared" si="213"/>
        <v/>
      </c>
      <c r="IB30" s="1814" t="str">
        <f t="shared" si="214"/>
        <v/>
      </c>
      <c r="IC30" s="1814" t="str">
        <f t="shared" si="215"/>
        <v/>
      </c>
      <c r="ID30" s="1814" t="str">
        <f t="shared" si="216"/>
        <v/>
      </c>
      <c r="IE30" s="1814" t="str">
        <f t="shared" si="217"/>
        <v/>
      </c>
      <c r="IF30" s="1814" t="str">
        <f t="shared" si="218"/>
        <v/>
      </c>
      <c r="IG30" s="1814" t="str">
        <f t="shared" si="219"/>
        <v/>
      </c>
      <c r="IH30" s="1814" t="str">
        <f t="shared" si="220"/>
        <v/>
      </c>
      <c r="II30" s="1814" t="str">
        <f t="shared" si="221"/>
        <v/>
      </c>
      <c r="IJ30" s="1814" t="str">
        <f t="shared" si="222"/>
        <v/>
      </c>
      <c r="IK30" s="1814" t="str">
        <f t="shared" si="223"/>
        <v/>
      </c>
      <c r="IL30" s="1814" t="str">
        <f t="shared" si="224"/>
        <v/>
      </c>
      <c r="IM30" s="1814" t="str">
        <f t="shared" si="225"/>
        <v/>
      </c>
      <c r="IN30" s="1814" t="str">
        <f t="shared" si="226"/>
        <v/>
      </c>
      <c r="IO30" s="1814" t="str">
        <f t="shared" si="227"/>
        <v/>
      </c>
      <c r="IP30" s="1814" t="str">
        <f t="shared" si="228"/>
        <v/>
      </c>
      <c r="IQ30" s="1814" t="str">
        <f t="shared" si="229"/>
        <v/>
      </c>
      <c r="IR30" s="1814" t="str">
        <f t="shared" si="230"/>
        <v/>
      </c>
      <c r="IS30" s="1814" t="str">
        <f t="shared" si="231"/>
        <v/>
      </c>
      <c r="IT30" s="1814" t="str">
        <f t="shared" si="232"/>
        <v/>
      </c>
      <c r="IU30" s="1814" t="str">
        <f t="shared" si="233"/>
        <v/>
      </c>
      <c r="IV30" s="1814" t="str">
        <f t="shared" si="234"/>
        <v/>
      </c>
      <c r="IW30" s="1814" t="str">
        <f t="shared" si="235"/>
        <v/>
      </c>
      <c r="IX30" s="1814" t="str">
        <f t="shared" si="236"/>
        <v/>
      </c>
      <c r="IY30" s="1814" t="str">
        <f t="shared" si="237"/>
        <v/>
      </c>
      <c r="IZ30" s="1814" t="str">
        <f t="shared" si="238"/>
        <v/>
      </c>
      <c r="JA30" s="1814" t="str">
        <f t="shared" si="239"/>
        <v/>
      </c>
      <c r="JB30" s="1814" t="str">
        <f t="shared" si="240"/>
        <v/>
      </c>
      <c r="JC30" s="1814" t="str">
        <f t="shared" si="241"/>
        <v/>
      </c>
      <c r="JD30" s="1814" t="str">
        <f t="shared" si="242"/>
        <v/>
      </c>
      <c r="JE30" s="1814" t="str">
        <f t="shared" si="243"/>
        <v/>
      </c>
      <c r="JF30" s="1814" t="str">
        <f t="shared" si="244"/>
        <v/>
      </c>
      <c r="JG30" s="1814" t="str">
        <f t="shared" si="245"/>
        <v/>
      </c>
      <c r="JH30" s="1814" t="str">
        <f t="shared" si="246"/>
        <v/>
      </c>
      <c r="JI30" s="1814" t="str">
        <f t="shared" si="247"/>
        <v/>
      </c>
      <c r="JJ30" s="1814" t="str">
        <f t="shared" si="248"/>
        <v/>
      </c>
      <c r="JK30" s="1814" t="str">
        <f t="shared" si="249"/>
        <v/>
      </c>
      <c r="JL30" s="1814" t="str">
        <f t="shared" si="250"/>
        <v/>
      </c>
      <c r="JM30" s="1814" t="str">
        <f t="shared" si="251"/>
        <v/>
      </c>
      <c r="JN30" s="1814" t="str">
        <f t="shared" si="252"/>
        <v/>
      </c>
      <c r="JO30" s="1814" t="str">
        <f t="shared" si="253"/>
        <v/>
      </c>
      <c r="JP30" s="1814" t="str">
        <f t="shared" si="254"/>
        <v/>
      </c>
      <c r="JQ30" s="1814" t="str">
        <f t="shared" si="255"/>
        <v/>
      </c>
      <c r="JR30" s="1814" t="str">
        <f t="shared" si="256"/>
        <v/>
      </c>
      <c r="JS30" s="1814" t="str">
        <f t="shared" si="257"/>
        <v/>
      </c>
      <c r="JT30" s="1814" t="str">
        <f t="shared" si="258"/>
        <v/>
      </c>
      <c r="JU30" s="1814" t="str">
        <f t="shared" si="259"/>
        <v/>
      </c>
      <c r="JV30" s="1814" t="str">
        <f t="shared" si="260"/>
        <v/>
      </c>
      <c r="JW30" s="1814" t="str">
        <f t="shared" si="261"/>
        <v/>
      </c>
      <c r="JX30" s="1814" t="str">
        <f t="shared" si="262"/>
        <v/>
      </c>
      <c r="JY30" s="1814" t="str">
        <f t="shared" si="263"/>
        <v/>
      </c>
      <c r="JZ30" s="1814" t="str">
        <f t="shared" si="264"/>
        <v/>
      </c>
      <c r="KA30" s="1814" t="str">
        <f t="shared" si="265"/>
        <v/>
      </c>
      <c r="KB30" s="1814" t="str">
        <f t="shared" si="266"/>
        <v/>
      </c>
      <c r="KC30" s="1814" t="str">
        <f t="shared" si="267"/>
        <v/>
      </c>
      <c r="KD30" s="1814" t="str">
        <f t="shared" si="268"/>
        <v/>
      </c>
      <c r="KE30" s="1814" t="str">
        <f t="shared" si="269"/>
        <v/>
      </c>
      <c r="KF30" s="1814" t="str">
        <f t="shared" si="270"/>
        <v/>
      </c>
      <c r="KG30" s="1814" t="str">
        <f t="shared" si="271"/>
        <v/>
      </c>
      <c r="KH30" s="1814" t="str">
        <f t="shared" si="272"/>
        <v/>
      </c>
      <c r="KI30" s="1814" t="str">
        <f t="shared" si="273"/>
        <v/>
      </c>
      <c r="KJ30" s="1814" t="str">
        <f t="shared" si="274"/>
        <v/>
      </c>
      <c r="KK30" s="1814" t="str">
        <f t="shared" si="275"/>
        <v/>
      </c>
      <c r="KL30" s="1814" t="str">
        <f t="shared" si="276"/>
        <v/>
      </c>
      <c r="KM30" s="1814" t="str">
        <f t="shared" si="277"/>
        <v/>
      </c>
      <c r="KN30" s="1814" t="str">
        <f t="shared" si="278"/>
        <v/>
      </c>
      <c r="KO30" s="1814" t="str">
        <f t="shared" si="279"/>
        <v/>
      </c>
      <c r="KP30" s="1814" t="str">
        <f t="shared" si="280"/>
        <v/>
      </c>
      <c r="KQ30" s="1814" t="str">
        <f t="shared" si="281"/>
        <v/>
      </c>
      <c r="KR30" s="1814" t="str">
        <f t="shared" si="282"/>
        <v/>
      </c>
      <c r="KS30" s="1814" t="str">
        <f t="shared" si="283"/>
        <v/>
      </c>
      <c r="KT30" s="1814" t="str">
        <f t="shared" si="284"/>
        <v/>
      </c>
      <c r="KU30" s="1814" t="str">
        <f t="shared" si="285"/>
        <v/>
      </c>
      <c r="KV30" s="1814" t="str">
        <f t="shared" si="286"/>
        <v/>
      </c>
      <c r="KW30" s="1814" t="str">
        <f t="shared" si="287"/>
        <v/>
      </c>
      <c r="KX30" s="1814" t="str">
        <f t="shared" si="288"/>
        <v/>
      </c>
      <c r="KY30" s="1814" t="str">
        <f t="shared" si="289"/>
        <v/>
      </c>
      <c r="KZ30" s="1814" t="str">
        <f t="shared" si="290"/>
        <v/>
      </c>
      <c r="LA30" s="1814" t="str">
        <f t="shared" si="291"/>
        <v/>
      </c>
      <c r="LB30" s="1814" t="str">
        <f t="shared" si="292"/>
        <v/>
      </c>
      <c r="LC30" s="1814" t="str">
        <f t="shared" si="293"/>
        <v/>
      </c>
      <c r="LD30" s="1814" t="str">
        <f t="shared" si="294"/>
        <v/>
      </c>
      <c r="LE30" s="1814" t="str">
        <f t="shared" si="295"/>
        <v/>
      </c>
      <c r="LF30" s="1814" t="str">
        <f t="shared" si="296"/>
        <v/>
      </c>
      <c r="LG30" s="1786" t="str">
        <f t="shared" si="297"/>
        <v/>
      </c>
      <c r="LH30" s="1786" t="str">
        <f t="shared" si="298"/>
        <v/>
      </c>
      <c r="LI30" s="1786" t="str">
        <f t="shared" si="299"/>
        <v/>
      </c>
      <c r="LJ30" s="1786" t="str">
        <f t="shared" si="300"/>
        <v/>
      </c>
      <c r="LK30" s="1786" t="str">
        <f t="shared" si="301"/>
        <v/>
      </c>
      <c r="LL30" s="430" t="str">
        <f t="shared" si="302"/>
        <v/>
      </c>
      <c r="LM30" s="430" t="str">
        <f t="shared" si="303"/>
        <v/>
      </c>
      <c r="LN30" s="430" t="str">
        <f t="shared" si="304"/>
        <v/>
      </c>
      <c r="LO30" s="430" t="str">
        <f t="shared" si="305"/>
        <v/>
      </c>
      <c r="LP30" s="430" t="str">
        <f t="shared" si="306"/>
        <v/>
      </c>
      <c r="LQ30" s="430" t="str">
        <f t="shared" si="307"/>
        <v/>
      </c>
      <c r="LR30" s="430" t="str">
        <f t="shared" si="308"/>
        <v/>
      </c>
      <c r="LS30" s="430" t="str">
        <f t="shared" si="309"/>
        <v/>
      </c>
      <c r="LT30" s="430" t="str">
        <f t="shared" si="310"/>
        <v/>
      </c>
      <c r="LU30" s="430" t="str">
        <f t="shared" si="311"/>
        <v/>
      </c>
      <c r="LV30" s="430" t="str">
        <f t="shared" si="312"/>
        <v/>
      </c>
      <c r="LW30" s="430" t="str">
        <f t="shared" si="313"/>
        <v/>
      </c>
      <c r="LX30" s="430" t="str">
        <f t="shared" si="314"/>
        <v/>
      </c>
      <c r="LY30" s="430" t="str">
        <f t="shared" si="315"/>
        <v/>
      </c>
      <c r="LZ30" s="430" t="str">
        <f t="shared" si="316"/>
        <v/>
      </c>
      <c r="MA30" s="430" t="str">
        <f t="shared" si="317"/>
        <v/>
      </c>
      <c r="MB30" s="430" t="str">
        <f t="shared" si="318"/>
        <v/>
      </c>
      <c r="MC30" s="430" t="str">
        <f t="shared" si="319"/>
        <v/>
      </c>
      <c r="MD30" s="430" t="str">
        <f t="shared" si="320"/>
        <v/>
      </c>
      <c r="ME30" s="430" t="str">
        <f t="shared" si="321"/>
        <v/>
      </c>
      <c r="MF30" s="1815">
        <f t="shared" si="328"/>
        <v>0</v>
      </c>
      <c r="MG30" s="1815">
        <f t="shared" si="329"/>
        <v>0</v>
      </c>
      <c r="MH30" s="1815">
        <f t="shared" si="330"/>
        <v>0</v>
      </c>
      <c r="MI30" s="1815">
        <f t="shared" si="331"/>
        <v>0</v>
      </c>
      <c r="MJ30" s="1815">
        <f t="shared" si="332"/>
        <v>0</v>
      </c>
      <c r="MK30" s="1815">
        <f t="shared" si="333"/>
        <v>0</v>
      </c>
      <c r="ML30" s="1815">
        <f t="shared" si="334"/>
        <v>0</v>
      </c>
      <c r="MM30" s="1815">
        <f t="shared" si="335"/>
        <v>0</v>
      </c>
      <c r="MN30" s="1815">
        <f t="shared" si="336"/>
        <v>0</v>
      </c>
      <c r="MO30" s="1815">
        <f t="shared" si="337"/>
        <v>0</v>
      </c>
      <c r="MP30" s="1815">
        <f t="shared" si="322"/>
        <v>0</v>
      </c>
      <c r="MQ30" s="1815">
        <f t="shared" si="323"/>
        <v>0</v>
      </c>
      <c r="MR30" s="1815">
        <f t="shared" si="324"/>
        <v>0</v>
      </c>
      <c r="MS30" s="1815">
        <f t="shared" si="325"/>
        <v>0</v>
      </c>
      <c r="MT30" s="1815">
        <f t="shared" si="326"/>
        <v>0</v>
      </c>
      <c r="NP30" s="2807" t="s">
        <v>6736</v>
      </c>
    </row>
    <row r="31" spans="1:380" ht="13.9" customHeight="1">
      <c r="A31" s="108" t="str">
        <f t="shared" si="327"/>
        <v/>
      </c>
      <c r="B31" s="2896"/>
      <c r="C31" s="2869"/>
      <c r="D31" s="2870"/>
      <c r="E31" s="2871"/>
      <c r="F31" s="2871"/>
      <c r="G31" s="2871"/>
      <c r="H31" s="2871"/>
      <c r="I31" s="2871"/>
      <c r="J31" s="2897">
        <f>IF(C31="",0,HLOOKUP(C31,'Part V-Utility Allowances'!$I$11:$M$22,12))</f>
        <v>0</v>
      </c>
      <c r="K31" s="2873"/>
      <c r="L31" s="537">
        <f t="shared" si="0"/>
        <v>0</v>
      </c>
      <c r="M31" s="537">
        <f t="shared" si="1"/>
        <v>0</v>
      </c>
      <c r="N31" s="2712"/>
      <c r="O31" s="2874"/>
      <c r="P31" s="2712"/>
      <c r="Q31" s="2875"/>
      <c r="R31" s="2876"/>
      <c r="S31" s="2877"/>
      <c r="T31" s="3833"/>
      <c r="U31" s="3834"/>
      <c r="V31" s="3834"/>
      <c r="W31" s="3835"/>
      <c r="X31" s="430" t="str">
        <f t="shared" si="2"/>
        <v/>
      </c>
      <c r="Y31" s="430" t="str">
        <f t="shared" si="3"/>
        <v/>
      </c>
      <c r="Z31" s="430" t="str">
        <f t="shared" si="4"/>
        <v/>
      </c>
      <c r="AA31" s="430" t="str">
        <f t="shared" si="5"/>
        <v/>
      </c>
      <c r="AB31" s="430" t="str">
        <f t="shared" si="6"/>
        <v/>
      </c>
      <c r="AC31" s="430" t="str">
        <f t="shared" si="7"/>
        <v/>
      </c>
      <c r="AD31" s="430" t="str">
        <f t="shared" si="8"/>
        <v/>
      </c>
      <c r="AE31" s="430" t="str">
        <f t="shared" si="9"/>
        <v/>
      </c>
      <c r="AF31" s="430" t="str">
        <f t="shared" si="10"/>
        <v/>
      </c>
      <c r="AG31" s="430" t="str">
        <f t="shared" si="11"/>
        <v/>
      </c>
      <c r="AH31" s="430" t="str">
        <f t="shared" si="12"/>
        <v/>
      </c>
      <c r="AI31" s="430" t="str">
        <f t="shared" si="13"/>
        <v/>
      </c>
      <c r="AJ31" s="430" t="str">
        <f t="shared" si="14"/>
        <v/>
      </c>
      <c r="AK31" s="430" t="str">
        <f t="shared" si="15"/>
        <v/>
      </c>
      <c r="AL31" s="430" t="str">
        <f t="shared" si="16"/>
        <v/>
      </c>
      <c r="AM31" s="430" t="str">
        <f t="shared" si="17"/>
        <v/>
      </c>
      <c r="AN31" s="430" t="str">
        <f t="shared" si="18"/>
        <v/>
      </c>
      <c r="AO31" s="430" t="str">
        <f t="shared" si="19"/>
        <v/>
      </c>
      <c r="AP31" s="430" t="str">
        <f t="shared" si="20"/>
        <v/>
      </c>
      <c r="AQ31" s="430" t="str">
        <f t="shared" si="21"/>
        <v/>
      </c>
      <c r="AR31" s="430" t="str">
        <f t="shared" si="22"/>
        <v/>
      </c>
      <c r="AS31" s="430" t="str">
        <f t="shared" si="23"/>
        <v/>
      </c>
      <c r="AT31" s="430" t="str">
        <f t="shared" si="24"/>
        <v/>
      </c>
      <c r="AU31" s="430" t="str">
        <f t="shared" si="25"/>
        <v/>
      </c>
      <c r="AV31" s="430" t="str">
        <f t="shared" si="26"/>
        <v/>
      </c>
      <c r="AW31" s="430" t="str">
        <f t="shared" si="27"/>
        <v/>
      </c>
      <c r="AX31" s="430" t="str">
        <f t="shared" si="28"/>
        <v/>
      </c>
      <c r="AY31" s="430" t="str">
        <f t="shared" si="29"/>
        <v/>
      </c>
      <c r="AZ31" s="430" t="str">
        <f t="shared" si="30"/>
        <v/>
      </c>
      <c r="BA31" s="430" t="str">
        <f t="shared" si="31"/>
        <v/>
      </c>
      <c r="BB31" s="430" t="str">
        <f t="shared" si="32"/>
        <v/>
      </c>
      <c r="BC31" s="430" t="str">
        <f t="shared" si="33"/>
        <v/>
      </c>
      <c r="BD31" s="430" t="str">
        <f t="shared" si="34"/>
        <v/>
      </c>
      <c r="BE31" s="430" t="str">
        <f t="shared" si="35"/>
        <v/>
      </c>
      <c r="BF31" s="430" t="str">
        <f t="shared" si="36"/>
        <v/>
      </c>
      <c r="BG31" s="430" t="str">
        <f t="shared" si="37"/>
        <v/>
      </c>
      <c r="BH31" s="430" t="str">
        <f t="shared" si="38"/>
        <v/>
      </c>
      <c r="BI31" s="430" t="str">
        <f t="shared" si="39"/>
        <v/>
      </c>
      <c r="BJ31" s="430" t="str">
        <f t="shared" si="40"/>
        <v/>
      </c>
      <c r="BK31" s="430" t="str">
        <f t="shared" si="41"/>
        <v/>
      </c>
      <c r="BL31" s="430" t="str">
        <f t="shared" si="42"/>
        <v/>
      </c>
      <c r="BM31" s="430" t="str">
        <f t="shared" si="43"/>
        <v/>
      </c>
      <c r="BN31" s="430" t="str">
        <f t="shared" si="44"/>
        <v/>
      </c>
      <c r="BO31" s="430" t="str">
        <f t="shared" si="45"/>
        <v/>
      </c>
      <c r="BP31" s="430" t="str">
        <f t="shared" si="46"/>
        <v/>
      </c>
      <c r="BQ31" s="430" t="str">
        <f t="shared" si="47"/>
        <v/>
      </c>
      <c r="BR31" s="430" t="str">
        <f t="shared" si="48"/>
        <v/>
      </c>
      <c r="BS31" s="430" t="str">
        <f t="shared" si="49"/>
        <v/>
      </c>
      <c r="BT31" s="430" t="str">
        <f t="shared" si="50"/>
        <v/>
      </c>
      <c r="BU31" s="430" t="str">
        <f t="shared" si="51"/>
        <v/>
      </c>
      <c r="BV31" s="430" t="str">
        <f t="shared" si="52"/>
        <v/>
      </c>
      <c r="BW31" s="430" t="str">
        <f t="shared" si="53"/>
        <v/>
      </c>
      <c r="BX31" s="430" t="str">
        <f t="shared" si="54"/>
        <v/>
      </c>
      <c r="BY31" s="430" t="str">
        <f t="shared" si="55"/>
        <v/>
      </c>
      <c r="BZ31" s="430" t="str">
        <f t="shared" si="56"/>
        <v/>
      </c>
      <c r="CA31" s="430" t="str">
        <f t="shared" si="57"/>
        <v/>
      </c>
      <c r="CB31" s="430" t="str">
        <f t="shared" si="58"/>
        <v/>
      </c>
      <c r="CC31" s="430" t="str">
        <f t="shared" si="59"/>
        <v/>
      </c>
      <c r="CD31" s="430" t="str">
        <f t="shared" si="60"/>
        <v/>
      </c>
      <c r="CE31" s="430" t="str">
        <f t="shared" si="61"/>
        <v/>
      </c>
      <c r="CF31" s="430" t="str">
        <f t="shared" si="62"/>
        <v/>
      </c>
      <c r="CG31" s="430" t="str">
        <f t="shared" si="63"/>
        <v/>
      </c>
      <c r="CH31" s="430" t="str">
        <f t="shared" si="64"/>
        <v/>
      </c>
      <c r="CI31" s="430" t="str">
        <f t="shared" si="65"/>
        <v/>
      </c>
      <c r="CJ31" s="430" t="str">
        <f t="shared" si="66"/>
        <v/>
      </c>
      <c r="CK31" s="430" t="str">
        <f t="shared" si="67"/>
        <v/>
      </c>
      <c r="CL31" s="430" t="str">
        <f t="shared" si="68"/>
        <v/>
      </c>
      <c r="CM31" s="430" t="str">
        <f t="shared" si="69"/>
        <v/>
      </c>
      <c r="CN31" s="430" t="str">
        <f t="shared" si="70"/>
        <v/>
      </c>
      <c r="CO31" s="430" t="str">
        <f t="shared" si="71"/>
        <v/>
      </c>
      <c r="CP31" s="430" t="str">
        <f t="shared" si="72"/>
        <v/>
      </c>
      <c r="CQ31" s="430" t="str">
        <f t="shared" si="73"/>
        <v/>
      </c>
      <c r="CR31" s="430" t="str">
        <f t="shared" si="74"/>
        <v/>
      </c>
      <c r="CS31" s="430" t="str">
        <f t="shared" si="75"/>
        <v/>
      </c>
      <c r="CT31" s="430" t="str">
        <f t="shared" si="76"/>
        <v/>
      </c>
      <c r="CU31" s="430" t="str">
        <f t="shared" si="77"/>
        <v/>
      </c>
      <c r="CV31" s="430" t="str">
        <f t="shared" si="78"/>
        <v/>
      </c>
      <c r="CW31" s="430" t="str">
        <f t="shared" si="79"/>
        <v/>
      </c>
      <c r="CX31" s="430" t="str">
        <f t="shared" si="80"/>
        <v/>
      </c>
      <c r="CY31" s="430" t="str">
        <f t="shared" si="81"/>
        <v/>
      </c>
      <c r="CZ31" s="430" t="str">
        <f t="shared" si="82"/>
        <v/>
      </c>
      <c r="DA31" s="430" t="str">
        <f t="shared" si="83"/>
        <v/>
      </c>
      <c r="DB31" s="430" t="str">
        <f t="shared" si="84"/>
        <v/>
      </c>
      <c r="DC31" s="430" t="str">
        <f t="shared" si="85"/>
        <v/>
      </c>
      <c r="DD31" s="430" t="str">
        <f t="shared" si="86"/>
        <v/>
      </c>
      <c r="DE31" s="430" t="str">
        <f t="shared" si="87"/>
        <v/>
      </c>
      <c r="DF31" s="430" t="str">
        <f t="shared" si="88"/>
        <v/>
      </c>
      <c r="DG31" s="430" t="str">
        <f t="shared" si="89"/>
        <v/>
      </c>
      <c r="DH31" s="430" t="str">
        <f t="shared" si="90"/>
        <v/>
      </c>
      <c r="DI31" s="430" t="str">
        <f t="shared" si="91"/>
        <v/>
      </c>
      <c r="DJ31" s="430" t="str">
        <f t="shared" si="92"/>
        <v/>
      </c>
      <c r="DK31" s="430" t="str">
        <f t="shared" si="93"/>
        <v/>
      </c>
      <c r="DL31" s="430" t="str">
        <f t="shared" si="94"/>
        <v/>
      </c>
      <c r="DM31" s="430" t="str">
        <f t="shared" si="95"/>
        <v/>
      </c>
      <c r="DN31" s="430" t="str">
        <f t="shared" si="96"/>
        <v/>
      </c>
      <c r="DO31" s="430" t="str">
        <f t="shared" si="97"/>
        <v/>
      </c>
      <c r="DP31" s="430" t="str">
        <f t="shared" si="98"/>
        <v/>
      </c>
      <c r="DQ31" s="430" t="str">
        <f t="shared" si="99"/>
        <v/>
      </c>
      <c r="DR31" s="430" t="str">
        <f t="shared" si="100"/>
        <v/>
      </c>
      <c r="DS31" s="430" t="str">
        <f t="shared" si="101"/>
        <v/>
      </c>
      <c r="DT31" s="430" t="str">
        <f t="shared" si="102"/>
        <v/>
      </c>
      <c r="DU31" s="430" t="str">
        <f t="shared" si="103"/>
        <v/>
      </c>
      <c r="DV31" s="430" t="str">
        <f t="shared" si="104"/>
        <v/>
      </c>
      <c r="DW31" s="430" t="str">
        <f t="shared" si="105"/>
        <v/>
      </c>
      <c r="DX31" s="430" t="str">
        <f t="shared" si="106"/>
        <v/>
      </c>
      <c r="DY31" s="430" t="str">
        <f t="shared" si="107"/>
        <v/>
      </c>
      <c r="DZ31" s="430" t="str">
        <f t="shared" si="108"/>
        <v/>
      </c>
      <c r="EA31" s="430" t="str">
        <f t="shared" si="109"/>
        <v/>
      </c>
      <c r="EB31" s="430" t="str">
        <f t="shared" si="110"/>
        <v/>
      </c>
      <c r="EC31" s="430" t="str">
        <f t="shared" si="111"/>
        <v/>
      </c>
      <c r="ED31" s="430" t="str">
        <f t="shared" si="112"/>
        <v/>
      </c>
      <c r="EE31" s="430" t="str">
        <f t="shared" si="113"/>
        <v/>
      </c>
      <c r="EF31" s="430" t="str">
        <f t="shared" si="114"/>
        <v/>
      </c>
      <c r="EG31" s="430" t="str">
        <f t="shared" si="115"/>
        <v/>
      </c>
      <c r="EH31" s="430" t="str">
        <f t="shared" si="116"/>
        <v/>
      </c>
      <c r="EI31" s="430" t="str">
        <f t="shared" si="117"/>
        <v/>
      </c>
      <c r="EJ31" s="430" t="str">
        <f t="shared" si="118"/>
        <v/>
      </c>
      <c r="EK31" s="430" t="str">
        <f t="shared" si="119"/>
        <v/>
      </c>
      <c r="EL31" s="430" t="str">
        <f t="shared" si="120"/>
        <v/>
      </c>
      <c r="EM31" s="430" t="str">
        <f t="shared" si="121"/>
        <v/>
      </c>
      <c r="EN31" s="430" t="str">
        <f t="shared" si="122"/>
        <v/>
      </c>
      <c r="EO31" s="430" t="str">
        <f t="shared" si="123"/>
        <v/>
      </c>
      <c r="EP31" s="430" t="str">
        <f t="shared" si="124"/>
        <v/>
      </c>
      <c r="EQ31" s="430" t="str">
        <f t="shared" si="125"/>
        <v/>
      </c>
      <c r="ER31" s="430" t="str">
        <f t="shared" si="126"/>
        <v/>
      </c>
      <c r="ES31" s="430" t="str">
        <f t="shared" si="127"/>
        <v/>
      </c>
      <c r="ET31" s="430" t="str">
        <f t="shared" si="128"/>
        <v/>
      </c>
      <c r="EU31" s="430" t="str">
        <f t="shared" si="129"/>
        <v/>
      </c>
      <c r="EV31" s="430" t="str">
        <f t="shared" si="130"/>
        <v/>
      </c>
      <c r="EW31" s="430" t="str">
        <f t="shared" si="131"/>
        <v/>
      </c>
      <c r="EX31" s="430" t="str">
        <f t="shared" si="132"/>
        <v/>
      </c>
      <c r="EY31" s="430" t="str">
        <f t="shared" si="133"/>
        <v/>
      </c>
      <c r="EZ31" s="430" t="str">
        <f t="shared" si="134"/>
        <v/>
      </c>
      <c r="FA31" s="430" t="str">
        <f t="shared" si="135"/>
        <v/>
      </c>
      <c r="FB31" s="430" t="str">
        <f t="shared" si="136"/>
        <v/>
      </c>
      <c r="FC31" s="430" t="str">
        <f t="shared" si="137"/>
        <v/>
      </c>
      <c r="FD31" s="430" t="str">
        <f t="shared" si="138"/>
        <v/>
      </c>
      <c r="FE31" s="430" t="str">
        <f t="shared" si="139"/>
        <v/>
      </c>
      <c r="FF31" s="430" t="str">
        <f t="shared" si="140"/>
        <v/>
      </c>
      <c r="FG31" s="430" t="str">
        <f t="shared" si="141"/>
        <v/>
      </c>
      <c r="FH31" s="430" t="str">
        <f t="shared" si="142"/>
        <v/>
      </c>
      <c r="FI31" s="430" t="str">
        <f t="shared" si="143"/>
        <v/>
      </c>
      <c r="FJ31" s="430" t="str">
        <f t="shared" si="144"/>
        <v/>
      </c>
      <c r="FK31" s="430" t="str">
        <f t="shared" si="145"/>
        <v/>
      </c>
      <c r="FL31" s="430" t="str">
        <f t="shared" si="146"/>
        <v/>
      </c>
      <c r="FM31" s="430" t="str">
        <f t="shared" si="147"/>
        <v/>
      </c>
      <c r="FN31" s="430" t="str">
        <f t="shared" si="148"/>
        <v/>
      </c>
      <c r="FO31" s="430" t="str">
        <f t="shared" si="149"/>
        <v/>
      </c>
      <c r="FP31" s="430" t="str">
        <f t="shared" si="150"/>
        <v/>
      </c>
      <c r="FQ31" s="430" t="str">
        <f t="shared" si="151"/>
        <v/>
      </c>
      <c r="FR31" s="430" t="str">
        <f t="shared" si="152"/>
        <v/>
      </c>
      <c r="FS31" s="430" t="str">
        <f t="shared" si="153"/>
        <v/>
      </c>
      <c r="FT31" s="430" t="str">
        <f t="shared" si="154"/>
        <v/>
      </c>
      <c r="FU31" s="430" t="str">
        <f t="shared" si="155"/>
        <v/>
      </c>
      <c r="FV31" s="430" t="str">
        <f t="shared" si="156"/>
        <v/>
      </c>
      <c r="FW31" s="430" t="str">
        <f t="shared" si="157"/>
        <v/>
      </c>
      <c r="FX31" s="430" t="str">
        <f t="shared" si="158"/>
        <v/>
      </c>
      <c r="FY31" s="430" t="str">
        <f t="shared" si="159"/>
        <v/>
      </c>
      <c r="FZ31" s="430" t="str">
        <f t="shared" si="160"/>
        <v/>
      </c>
      <c r="GA31" s="430" t="str">
        <f t="shared" si="161"/>
        <v/>
      </c>
      <c r="GB31" s="430" t="str">
        <f t="shared" si="162"/>
        <v/>
      </c>
      <c r="GC31" s="430" t="str">
        <f t="shared" si="163"/>
        <v/>
      </c>
      <c r="GD31" s="430" t="str">
        <f t="shared" si="164"/>
        <v/>
      </c>
      <c r="GE31" s="430" t="str">
        <f t="shared" si="165"/>
        <v/>
      </c>
      <c r="GF31" s="430" t="str">
        <f t="shared" si="166"/>
        <v/>
      </c>
      <c r="GG31" s="430" t="str">
        <f t="shared" si="167"/>
        <v/>
      </c>
      <c r="GH31" s="430" t="str">
        <f t="shared" si="168"/>
        <v/>
      </c>
      <c r="GI31" s="430" t="str">
        <f t="shared" si="169"/>
        <v/>
      </c>
      <c r="GJ31" s="430" t="str">
        <f t="shared" si="170"/>
        <v/>
      </c>
      <c r="GK31" s="430" t="str">
        <f t="shared" si="171"/>
        <v/>
      </c>
      <c r="GL31" s="430" t="str">
        <f t="shared" si="172"/>
        <v/>
      </c>
      <c r="GM31" s="430" t="str">
        <f t="shared" si="173"/>
        <v/>
      </c>
      <c r="GN31" s="430" t="str">
        <f t="shared" si="174"/>
        <v/>
      </c>
      <c r="GO31" s="430" t="str">
        <f t="shared" si="175"/>
        <v/>
      </c>
      <c r="GP31" s="430" t="str">
        <f t="shared" si="176"/>
        <v/>
      </c>
      <c r="GQ31" s="430" t="str">
        <f t="shared" si="177"/>
        <v/>
      </c>
      <c r="GR31" s="430" t="str">
        <f t="shared" si="178"/>
        <v/>
      </c>
      <c r="GS31" s="430" t="str">
        <f t="shared" si="179"/>
        <v/>
      </c>
      <c r="GT31" s="430" t="str">
        <f t="shared" si="180"/>
        <v/>
      </c>
      <c r="GU31" s="430" t="str">
        <f t="shared" si="181"/>
        <v/>
      </c>
      <c r="GV31" s="430" t="str">
        <f t="shared" si="182"/>
        <v/>
      </c>
      <c r="GW31" s="430" t="str">
        <f t="shared" si="183"/>
        <v/>
      </c>
      <c r="GX31" s="430" t="str">
        <f t="shared" si="184"/>
        <v/>
      </c>
      <c r="GY31" s="430" t="str">
        <f t="shared" si="185"/>
        <v/>
      </c>
      <c r="GZ31" s="430" t="str">
        <f t="shared" si="186"/>
        <v/>
      </c>
      <c r="HA31" s="430" t="str">
        <f t="shared" si="187"/>
        <v/>
      </c>
      <c r="HB31" s="430" t="str">
        <f t="shared" si="188"/>
        <v/>
      </c>
      <c r="HC31" s="430" t="str">
        <f t="shared" si="189"/>
        <v/>
      </c>
      <c r="HD31" s="430" t="str">
        <f t="shared" si="190"/>
        <v/>
      </c>
      <c r="HE31" s="430" t="str">
        <f t="shared" si="191"/>
        <v/>
      </c>
      <c r="HF31" s="430" t="str">
        <f t="shared" si="192"/>
        <v/>
      </c>
      <c r="HG31" s="430" t="str">
        <f t="shared" si="193"/>
        <v/>
      </c>
      <c r="HH31" s="430" t="str">
        <f t="shared" si="194"/>
        <v/>
      </c>
      <c r="HI31" s="430" t="str">
        <f t="shared" si="195"/>
        <v/>
      </c>
      <c r="HJ31" s="430" t="str">
        <f t="shared" si="196"/>
        <v/>
      </c>
      <c r="HK31" s="430" t="str">
        <f t="shared" si="197"/>
        <v/>
      </c>
      <c r="HL31" s="430" t="str">
        <f t="shared" si="198"/>
        <v/>
      </c>
      <c r="HM31" s="430" t="str">
        <f t="shared" si="199"/>
        <v/>
      </c>
      <c r="HN31" s="430" t="str">
        <f t="shared" si="200"/>
        <v/>
      </c>
      <c r="HO31" s="430" t="str">
        <f t="shared" si="201"/>
        <v/>
      </c>
      <c r="HP31" s="430" t="str">
        <f t="shared" si="202"/>
        <v/>
      </c>
      <c r="HQ31" s="430" t="str">
        <f t="shared" si="203"/>
        <v/>
      </c>
      <c r="HR31" s="430" t="str">
        <f t="shared" si="204"/>
        <v/>
      </c>
      <c r="HS31" s="430" t="str">
        <f t="shared" si="205"/>
        <v/>
      </c>
      <c r="HT31" s="430" t="str">
        <f t="shared" si="206"/>
        <v/>
      </c>
      <c r="HU31" s="430" t="str">
        <f t="shared" si="207"/>
        <v/>
      </c>
      <c r="HV31" s="430" t="str">
        <f t="shared" si="208"/>
        <v/>
      </c>
      <c r="HW31" s="430" t="str">
        <f t="shared" si="209"/>
        <v/>
      </c>
      <c r="HX31" s="430" t="str">
        <f t="shared" si="210"/>
        <v/>
      </c>
      <c r="HY31" s="430" t="str">
        <f t="shared" si="211"/>
        <v/>
      </c>
      <c r="HZ31" s="1814" t="str">
        <f t="shared" si="212"/>
        <v/>
      </c>
      <c r="IA31" s="1814" t="str">
        <f t="shared" si="213"/>
        <v/>
      </c>
      <c r="IB31" s="1814" t="str">
        <f t="shared" si="214"/>
        <v/>
      </c>
      <c r="IC31" s="1814" t="str">
        <f t="shared" si="215"/>
        <v/>
      </c>
      <c r="ID31" s="1814" t="str">
        <f t="shared" si="216"/>
        <v/>
      </c>
      <c r="IE31" s="1814" t="str">
        <f t="shared" si="217"/>
        <v/>
      </c>
      <c r="IF31" s="1814" t="str">
        <f t="shared" si="218"/>
        <v/>
      </c>
      <c r="IG31" s="1814" t="str">
        <f t="shared" si="219"/>
        <v/>
      </c>
      <c r="IH31" s="1814" t="str">
        <f t="shared" si="220"/>
        <v/>
      </c>
      <c r="II31" s="1814" t="str">
        <f t="shared" si="221"/>
        <v/>
      </c>
      <c r="IJ31" s="1814" t="str">
        <f t="shared" si="222"/>
        <v/>
      </c>
      <c r="IK31" s="1814" t="str">
        <f t="shared" si="223"/>
        <v/>
      </c>
      <c r="IL31" s="1814" t="str">
        <f t="shared" si="224"/>
        <v/>
      </c>
      <c r="IM31" s="1814" t="str">
        <f t="shared" si="225"/>
        <v/>
      </c>
      <c r="IN31" s="1814" t="str">
        <f t="shared" si="226"/>
        <v/>
      </c>
      <c r="IO31" s="1814" t="str">
        <f t="shared" si="227"/>
        <v/>
      </c>
      <c r="IP31" s="1814" t="str">
        <f t="shared" si="228"/>
        <v/>
      </c>
      <c r="IQ31" s="1814" t="str">
        <f t="shared" si="229"/>
        <v/>
      </c>
      <c r="IR31" s="1814" t="str">
        <f t="shared" si="230"/>
        <v/>
      </c>
      <c r="IS31" s="1814" t="str">
        <f t="shared" si="231"/>
        <v/>
      </c>
      <c r="IT31" s="1814" t="str">
        <f t="shared" si="232"/>
        <v/>
      </c>
      <c r="IU31" s="1814" t="str">
        <f t="shared" si="233"/>
        <v/>
      </c>
      <c r="IV31" s="1814" t="str">
        <f t="shared" si="234"/>
        <v/>
      </c>
      <c r="IW31" s="1814" t="str">
        <f t="shared" si="235"/>
        <v/>
      </c>
      <c r="IX31" s="1814" t="str">
        <f t="shared" si="236"/>
        <v/>
      </c>
      <c r="IY31" s="1814" t="str">
        <f t="shared" si="237"/>
        <v/>
      </c>
      <c r="IZ31" s="1814" t="str">
        <f t="shared" si="238"/>
        <v/>
      </c>
      <c r="JA31" s="1814" t="str">
        <f t="shared" si="239"/>
        <v/>
      </c>
      <c r="JB31" s="1814" t="str">
        <f t="shared" si="240"/>
        <v/>
      </c>
      <c r="JC31" s="1814" t="str">
        <f t="shared" si="241"/>
        <v/>
      </c>
      <c r="JD31" s="1814" t="str">
        <f t="shared" si="242"/>
        <v/>
      </c>
      <c r="JE31" s="1814" t="str">
        <f t="shared" si="243"/>
        <v/>
      </c>
      <c r="JF31" s="1814" t="str">
        <f t="shared" si="244"/>
        <v/>
      </c>
      <c r="JG31" s="1814" t="str">
        <f t="shared" si="245"/>
        <v/>
      </c>
      <c r="JH31" s="1814" t="str">
        <f t="shared" si="246"/>
        <v/>
      </c>
      <c r="JI31" s="1814" t="str">
        <f t="shared" si="247"/>
        <v/>
      </c>
      <c r="JJ31" s="1814" t="str">
        <f t="shared" si="248"/>
        <v/>
      </c>
      <c r="JK31" s="1814" t="str">
        <f t="shared" si="249"/>
        <v/>
      </c>
      <c r="JL31" s="1814" t="str">
        <f t="shared" si="250"/>
        <v/>
      </c>
      <c r="JM31" s="1814" t="str">
        <f t="shared" si="251"/>
        <v/>
      </c>
      <c r="JN31" s="1814" t="str">
        <f t="shared" si="252"/>
        <v/>
      </c>
      <c r="JO31" s="1814" t="str">
        <f t="shared" si="253"/>
        <v/>
      </c>
      <c r="JP31" s="1814" t="str">
        <f t="shared" si="254"/>
        <v/>
      </c>
      <c r="JQ31" s="1814" t="str">
        <f t="shared" si="255"/>
        <v/>
      </c>
      <c r="JR31" s="1814" t="str">
        <f t="shared" si="256"/>
        <v/>
      </c>
      <c r="JS31" s="1814" t="str">
        <f t="shared" si="257"/>
        <v/>
      </c>
      <c r="JT31" s="1814" t="str">
        <f t="shared" si="258"/>
        <v/>
      </c>
      <c r="JU31" s="1814" t="str">
        <f t="shared" si="259"/>
        <v/>
      </c>
      <c r="JV31" s="1814" t="str">
        <f t="shared" si="260"/>
        <v/>
      </c>
      <c r="JW31" s="1814" t="str">
        <f t="shared" si="261"/>
        <v/>
      </c>
      <c r="JX31" s="1814" t="str">
        <f t="shared" si="262"/>
        <v/>
      </c>
      <c r="JY31" s="1814" t="str">
        <f t="shared" si="263"/>
        <v/>
      </c>
      <c r="JZ31" s="1814" t="str">
        <f t="shared" si="264"/>
        <v/>
      </c>
      <c r="KA31" s="1814" t="str">
        <f t="shared" si="265"/>
        <v/>
      </c>
      <c r="KB31" s="1814" t="str">
        <f t="shared" si="266"/>
        <v/>
      </c>
      <c r="KC31" s="1814" t="str">
        <f t="shared" si="267"/>
        <v/>
      </c>
      <c r="KD31" s="1814" t="str">
        <f t="shared" si="268"/>
        <v/>
      </c>
      <c r="KE31" s="1814" t="str">
        <f t="shared" si="269"/>
        <v/>
      </c>
      <c r="KF31" s="1814" t="str">
        <f t="shared" si="270"/>
        <v/>
      </c>
      <c r="KG31" s="1814" t="str">
        <f t="shared" si="271"/>
        <v/>
      </c>
      <c r="KH31" s="1814" t="str">
        <f t="shared" si="272"/>
        <v/>
      </c>
      <c r="KI31" s="1814" t="str">
        <f t="shared" si="273"/>
        <v/>
      </c>
      <c r="KJ31" s="1814" t="str">
        <f t="shared" si="274"/>
        <v/>
      </c>
      <c r="KK31" s="1814" t="str">
        <f t="shared" si="275"/>
        <v/>
      </c>
      <c r="KL31" s="1814" t="str">
        <f t="shared" si="276"/>
        <v/>
      </c>
      <c r="KM31" s="1814" t="str">
        <f t="shared" si="277"/>
        <v/>
      </c>
      <c r="KN31" s="1814" t="str">
        <f t="shared" si="278"/>
        <v/>
      </c>
      <c r="KO31" s="1814" t="str">
        <f t="shared" si="279"/>
        <v/>
      </c>
      <c r="KP31" s="1814" t="str">
        <f t="shared" si="280"/>
        <v/>
      </c>
      <c r="KQ31" s="1814" t="str">
        <f t="shared" si="281"/>
        <v/>
      </c>
      <c r="KR31" s="1814" t="str">
        <f t="shared" si="282"/>
        <v/>
      </c>
      <c r="KS31" s="1814" t="str">
        <f t="shared" si="283"/>
        <v/>
      </c>
      <c r="KT31" s="1814" t="str">
        <f t="shared" si="284"/>
        <v/>
      </c>
      <c r="KU31" s="1814" t="str">
        <f t="shared" si="285"/>
        <v/>
      </c>
      <c r="KV31" s="1814" t="str">
        <f t="shared" si="286"/>
        <v/>
      </c>
      <c r="KW31" s="1814" t="str">
        <f t="shared" si="287"/>
        <v/>
      </c>
      <c r="KX31" s="1814" t="str">
        <f t="shared" si="288"/>
        <v/>
      </c>
      <c r="KY31" s="1814" t="str">
        <f t="shared" si="289"/>
        <v/>
      </c>
      <c r="KZ31" s="1814" t="str">
        <f t="shared" si="290"/>
        <v/>
      </c>
      <c r="LA31" s="1814" t="str">
        <f t="shared" si="291"/>
        <v/>
      </c>
      <c r="LB31" s="1814" t="str">
        <f t="shared" si="292"/>
        <v/>
      </c>
      <c r="LC31" s="1814" t="str">
        <f t="shared" si="293"/>
        <v/>
      </c>
      <c r="LD31" s="1814" t="str">
        <f t="shared" si="294"/>
        <v/>
      </c>
      <c r="LE31" s="1814" t="str">
        <f t="shared" si="295"/>
        <v/>
      </c>
      <c r="LF31" s="1814" t="str">
        <f t="shared" si="296"/>
        <v/>
      </c>
      <c r="LG31" s="1786" t="str">
        <f t="shared" si="297"/>
        <v/>
      </c>
      <c r="LH31" s="1786" t="str">
        <f t="shared" si="298"/>
        <v/>
      </c>
      <c r="LI31" s="1786" t="str">
        <f t="shared" si="299"/>
        <v/>
      </c>
      <c r="LJ31" s="1786" t="str">
        <f t="shared" si="300"/>
        <v/>
      </c>
      <c r="LK31" s="1786" t="str">
        <f t="shared" si="301"/>
        <v/>
      </c>
      <c r="LL31" s="430" t="str">
        <f t="shared" si="302"/>
        <v/>
      </c>
      <c r="LM31" s="430" t="str">
        <f t="shared" si="303"/>
        <v/>
      </c>
      <c r="LN31" s="430" t="str">
        <f t="shared" si="304"/>
        <v/>
      </c>
      <c r="LO31" s="430" t="str">
        <f t="shared" si="305"/>
        <v/>
      </c>
      <c r="LP31" s="430" t="str">
        <f t="shared" si="306"/>
        <v/>
      </c>
      <c r="LQ31" s="430" t="str">
        <f t="shared" si="307"/>
        <v/>
      </c>
      <c r="LR31" s="430" t="str">
        <f t="shared" si="308"/>
        <v/>
      </c>
      <c r="LS31" s="430" t="str">
        <f t="shared" si="309"/>
        <v/>
      </c>
      <c r="LT31" s="430" t="str">
        <f t="shared" si="310"/>
        <v/>
      </c>
      <c r="LU31" s="430" t="str">
        <f t="shared" si="311"/>
        <v/>
      </c>
      <c r="LV31" s="430" t="str">
        <f t="shared" si="312"/>
        <v/>
      </c>
      <c r="LW31" s="430" t="str">
        <f t="shared" si="313"/>
        <v/>
      </c>
      <c r="LX31" s="430" t="str">
        <f t="shared" si="314"/>
        <v/>
      </c>
      <c r="LY31" s="430" t="str">
        <f t="shared" si="315"/>
        <v/>
      </c>
      <c r="LZ31" s="430" t="str">
        <f t="shared" si="316"/>
        <v/>
      </c>
      <c r="MA31" s="430" t="str">
        <f t="shared" si="317"/>
        <v/>
      </c>
      <c r="MB31" s="430" t="str">
        <f t="shared" si="318"/>
        <v/>
      </c>
      <c r="MC31" s="430" t="str">
        <f t="shared" si="319"/>
        <v/>
      </c>
      <c r="MD31" s="430" t="str">
        <f t="shared" si="320"/>
        <v/>
      </c>
      <c r="ME31" s="430" t="str">
        <f t="shared" si="321"/>
        <v/>
      </c>
      <c r="MF31" s="1815">
        <f t="shared" si="328"/>
        <v>0</v>
      </c>
      <c r="MG31" s="1815">
        <f t="shared" si="329"/>
        <v>0</v>
      </c>
      <c r="MH31" s="1815">
        <f t="shared" si="330"/>
        <v>0</v>
      </c>
      <c r="MI31" s="1815">
        <f t="shared" si="331"/>
        <v>0</v>
      </c>
      <c r="MJ31" s="1815">
        <f t="shared" si="332"/>
        <v>0</v>
      </c>
      <c r="MK31" s="1815">
        <f t="shared" si="333"/>
        <v>0</v>
      </c>
      <c r="ML31" s="1815">
        <f t="shared" si="334"/>
        <v>0</v>
      </c>
      <c r="MM31" s="1815">
        <f t="shared" si="335"/>
        <v>0</v>
      </c>
      <c r="MN31" s="1815">
        <f t="shared" si="336"/>
        <v>0</v>
      </c>
      <c r="MO31" s="1815">
        <f t="shared" si="337"/>
        <v>0</v>
      </c>
      <c r="MP31" s="1815">
        <f t="shared" si="322"/>
        <v>0</v>
      </c>
      <c r="MQ31" s="1815">
        <f t="shared" si="323"/>
        <v>0</v>
      </c>
      <c r="MR31" s="1815">
        <f t="shared" si="324"/>
        <v>0</v>
      </c>
      <c r="MS31" s="1815">
        <f t="shared" si="325"/>
        <v>0</v>
      </c>
      <c r="MT31" s="1815">
        <f t="shared" si="326"/>
        <v>0</v>
      </c>
      <c r="NP31" s="2807" t="s">
        <v>6737</v>
      </c>
    </row>
    <row r="32" spans="1:380" ht="13.9" customHeight="1">
      <c r="A32" s="108" t="str">
        <f t="shared" si="327"/>
        <v/>
      </c>
      <c r="B32" s="2896"/>
      <c r="C32" s="2869"/>
      <c r="D32" s="2870"/>
      <c r="E32" s="2871"/>
      <c r="F32" s="2871"/>
      <c r="G32" s="2871"/>
      <c r="H32" s="2871"/>
      <c r="I32" s="2871"/>
      <c r="J32" s="2897">
        <f>IF(C32="",0,HLOOKUP(C32,'Part V-Utility Allowances'!$I$11:$M$22,12))</f>
        <v>0</v>
      </c>
      <c r="K32" s="2873"/>
      <c r="L32" s="537">
        <f t="shared" si="0"/>
        <v>0</v>
      </c>
      <c r="M32" s="537">
        <f t="shared" si="1"/>
        <v>0</v>
      </c>
      <c r="N32" s="2712"/>
      <c r="O32" s="2874"/>
      <c r="P32" s="2712"/>
      <c r="Q32" s="2875"/>
      <c r="R32" s="2876"/>
      <c r="S32" s="2877"/>
      <c r="T32" s="3833"/>
      <c r="U32" s="3834"/>
      <c r="V32" s="3834"/>
      <c r="W32" s="3835"/>
      <c r="X32" s="430" t="str">
        <f t="shared" si="2"/>
        <v/>
      </c>
      <c r="Y32" s="430" t="str">
        <f t="shared" si="3"/>
        <v/>
      </c>
      <c r="Z32" s="430" t="str">
        <f t="shared" si="4"/>
        <v/>
      </c>
      <c r="AA32" s="430" t="str">
        <f t="shared" si="5"/>
        <v/>
      </c>
      <c r="AB32" s="430" t="str">
        <f t="shared" si="6"/>
        <v/>
      </c>
      <c r="AC32" s="430" t="str">
        <f t="shared" si="7"/>
        <v/>
      </c>
      <c r="AD32" s="430" t="str">
        <f t="shared" si="8"/>
        <v/>
      </c>
      <c r="AE32" s="430" t="str">
        <f t="shared" si="9"/>
        <v/>
      </c>
      <c r="AF32" s="430" t="str">
        <f t="shared" si="10"/>
        <v/>
      </c>
      <c r="AG32" s="430" t="str">
        <f t="shared" si="11"/>
        <v/>
      </c>
      <c r="AH32" s="430" t="str">
        <f t="shared" si="12"/>
        <v/>
      </c>
      <c r="AI32" s="430" t="str">
        <f t="shared" si="13"/>
        <v/>
      </c>
      <c r="AJ32" s="430" t="str">
        <f t="shared" si="14"/>
        <v/>
      </c>
      <c r="AK32" s="430" t="str">
        <f t="shared" si="15"/>
        <v/>
      </c>
      <c r="AL32" s="430" t="str">
        <f t="shared" si="16"/>
        <v/>
      </c>
      <c r="AM32" s="430" t="str">
        <f t="shared" si="17"/>
        <v/>
      </c>
      <c r="AN32" s="430" t="str">
        <f t="shared" si="18"/>
        <v/>
      </c>
      <c r="AO32" s="430" t="str">
        <f t="shared" si="19"/>
        <v/>
      </c>
      <c r="AP32" s="430" t="str">
        <f t="shared" si="20"/>
        <v/>
      </c>
      <c r="AQ32" s="430" t="str">
        <f t="shared" si="21"/>
        <v/>
      </c>
      <c r="AR32" s="430" t="str">
        <f t="shared" si="22"/>
        <v/>
      </c>
      <c r="AS32" s="430" t="str">
        <f t="shared" si="23"/>
        <v/>
      </c>
      <c r="AT32" s="430" t="str">
        <f t="shared" si="24"/>
        <v/>
      </c>
      <c r="AU32" s="430" t="str">
        <f t="shared" si="25"/>
        <v/>
      </c>
      <c r="AV32" s="430" t="str">
        <f t="shared" si="26"/>
        <v/>
      </c>
      <c r="AW32" s="430" t="str">
        <f t="shared" si="27"/>
        <v/>
      </c>
      <c r="AX32" s="430" t="str">
        <f t="shared" si="28"/>
        <v/>
      </c>
      <c r="AY32" s="430" t="str">
        <f t="shared" si="29"/>
        <v/>
      </c>
      <c r="AZ32" s="430" t="str">
        <f t="shared" si="30"/>
        <v/>
      </c>
      <c r="BA32" s="430" t="str">
        <f t="shared" si="31"/>
        <v/>
      </c>
      <c r="BB32" s="430" t="str">
        <f t="shared" si="32"/>
        <v/>
      </c>
      <c r="BC32" s="430" t="str">
        <f t="shared" si="33"/>
        <v/>
      </c>
      <c r="BD32" s="430" t="str">
        <f t="shared" si="34"/>
        <v/>
      </c>
      <c r="BE32" s="430" t="str">
        <f t="shared" si="35"/>
        <v/>
      </c>
      <c r="BF32" s="430" t="str">
        <f t="shared" si="36"/>
        <v/>
      </c>
      <c r="BG32" s="430" t="str">
        <f t="shared" si="37"/>
        <v/>
      </c>
      <c r="BH32" s="430" t="str">
        <f t="shared" si="38"/>
        <v/>
      </c>
      <c r="BI32" s="430" t="str">
        <f t="shared" si="39"/>
        <v/>
      </c>
      <c r="BJ32" s="430" t="str">
        <f t="shared" si="40"/>
        <v/>
      </c>
      <c r="BK32" s="430" t="str">
        <f t="shared" si="41"/>
        <v/>
      </c>
      <c r="BL32" s="430" t="str">
        <f t="shared" si="42"/>
        <v/>
      </c>
      <c r="BM32" s="430" t="str">
        <f t="shared" si="43"/>
        <v/>
      </c>
      <c r="BN32" s="430" t="str">
        <f t="shared" si="44"/>
        <v/>
      </c>
      <c r="BO32" s="430" t="str">
        <f t="shared" si="45"/>
        <v/>
      </c>
      <c r="BP32" s="430" t="str">
        <f t="shared" si="46"/>
        <v/>
      </c>
      <c r="BQ32" s="430" t="str">
        <f t="shared" si="47"/>
        <v/>
      </c>
      <c r="BR32" s="430" t="str">
        <f t="shared" si="48"/>
        <v/>
      </c>
      <c r="BS32" s="430" t="str">
        <f t="shared" si="49"/>
        <v/>
      </c>
      <c r="BT32" s="430" t="str">
        <f t="shared" si="50"/>
        <v/>
      </c>
      <c r="BU32" s="430" t="str">
        <f t="shared" si="51"/>
        <v/>
      </c>
      <c r="BV32" s="430" t="str">
        <f t="shared" si="52"/>
        <v/>
      </c>
      <c r="BW32" s="430" t="str">
        <f t="shared" si="53"/>
        <v/>
      </c>
      <c r="BX32" s="430" t="str">
        <f t="shared" si="54"/>
        <v/>
      </c>
      <c r="BY32" s="430" t="str">
        <f t="shared" si="55"/>
        <v/>
      </c>
      <c r="BZ32" s="430" t="str">
        <f t="shared" si="56"/>
        <v/>
      </c>
      <c r="CA32" s="430" t="str">
        <f t="shared" si="57"/>
        <v/>
      </c>
      <c r="CB32" s="430" t="str">
        <f t="shared" si="58"/>
        <v/>
      </c>
      <c r="CC32" s="430" t="str">
        <f t="shared" si="59"/>
        <v/>
      </c>
      <c r="CD32" s="430" t="str">
        <f t="shared" si="60"/>
        <v/>
      </c>
      <c r="CE32" s="430" t="str">
        <f t="shared" si="61"/>
        <v/>
      </c>
      <c r="CF32" s="430" t="str">
        <f t="shared" si="62"/>
        <v/>
      </c>
      <c r="CG32" s="430" t="str">
        <f t="shared" si="63"/>
        <v/>
      </c>
      <c r="CH32" s="430" t="str">
        <f t="shared" si="64"/>
        <v/>
      </c>
      <c r="CI32" s="430" t="str">
        <f t="shared" si="65"/>
        <v/>
      </c>
      <c r="CJ32" s="430" t="str">
        <f t="shared" si="66"/>
        <v/>
      </c>
      <c r="CK32" s="430" t="str">
        <f t="shared" si="67"/>
        <v/>
      </c>
      <c r="CL32" s="430" t="str">
        <f t="shared" si="68"/>
        <v/>
      </c>
      <c r="CM32" s="430" t="str">
        <f t="shared" si="69"/>
        <v/>
      </c>
      <c r="CN32" s="430" t="str">
        <f t="shared" si="70"/>
        <v/>
      </c>
      <c r="CO32" s="430" t="str">
        <f t="shared" si="71"/>
        <v/>
      </c>
      <c r="CP32" s="430" t="str">
        <f t="shared" si="72"/>
        <v/>
      </c>
      <c r="CQ32" s="430" t="str">
        <f t="shared" si="73"/>
        <v/>
      </c>
      <c r="CR32" s="430" t="str">
        <f t="shared" si="74"/>
        <v/>
      </c>
      <c r="CS32" s="430" t="str">
        <f t="shared" si="75"/>
        <v/>
      </c>
      <c r="CT32" s="430" t="str">
        <f t="shared" si="76"/>
        <v/>
      </c>
      <c r="CU32" s="430" t="str">
        <f t="shared" si="77"/>
        <v/>
      </c>
      <c r="CV32" s="430" t="str">
        <f t="shared" si="78"/>
        <v/>
      </c>
      <c r="CW32" s="430" t="str">
        <f t="shared" si="79"/>
        <v/>
      </c>
      <c r="CX32" s="430" t="str">
        <f t="shared" si="80"/>
        <v/>
      </c>
      <c r="CY32" s="430" t="str">
        <f t="shared" si="81"/>
        <v/>
      </c>
      <c r="CZ32" s="430" t="str">
        <f t="shared" si="82"/>
        <v/>
      </c>
      <c r="DA32" s="430" t="str">
        <f t="shared" si="83"/>
        <v/>
      </c>
      <c r="DB32" s="430" t="str">
        <f t="shared" si="84"/>
        <v/>
      </c>
      <c r="DC32" s="430" t="str">
        <f t="shared" si="85"/>
        <v/>
      </c>
      <c r="DD32" s="430" t="str">
        <f t="shared" si="86"/>
        <v/>
      </c>
      <c r="DE32" s="430" t="str">
        <f t="shared" si="87"/>
        <v/>
      </c>
      <c r="DF32" s="430" t="str">
        <f t="shared" si="88"/>
        <v/>
      </c>
      <c r="DG32" s="430" t="str">
        <f t="shared" si="89"/>
        <v/>
      </c>
      <c r="DH32" s="430" t="str">
        <f t="shared" si="90"/>
        <v/>
      </c>
      <c r="DI32" s="430" t="str">
        <f t="shared" si="91"/>
        <v/>
      </c>
      <c r="DJ32" s="430" t="str">
        <f t="shared" si="92"/>
        <v/>
      </c>
      <c r="DK32" s="430" t="str">
        <f t="shared" si="93"/>
        <v/>
      </c>
      <c r="DL32" s="430" t="str">
        <f t="shared" si="94"/>
        <v/>
      </c>
      <c r="DM32" s="430" t="str">
        <f t="shared" si="95"/>
        <v/>
      </c>
      <c r="DN32" s="430" t="str">
        <f t="shared" si="96"/>
        <v/>
      </c>
      <c r="DO32" s="430" t="str">
        <f t="shared" si="97"/>
        <v/>
      </c>
      <c r="DP32" s="430" t="str">
        <f t="shared" si="98"/>
        <v/>
      </c>
      <c r="DQ32" s="430" t="str">
        <f t="shared" si="99"/>
        <v/>
      </c>
      <c r="DR32" s="430" t="str">
        <f t="shared" si="100"/>
        <v/>
      </c>
      <c r="DS32" s="430" t="str">
        <f t="shared" si="101"/>
        <v/>
      </c>
      <c r="DT32" s="430" t="str">
        <f t="shared" si="102"/>
        <v/>
      </c>
      <c r="DU32" s="430" t="str">
        <f t="shared" si="103"/>
        <v/>
      </c>
      <c r="DV32" s="430" t="str">
        <f t="shared" si="104"/>
        <v/>
      </c>
      <c r="DW32" s="430" t="str">
        <f t="shared" si="105"/>
        <v/>
      </c>
      <c r="DX32" s="430" t="str">
        <f t="shared" si="106"/>
        <v/>
      </c>
      <c r="DY32" s="430" t="str">
        <f t="shared" si="107"/>
        <v/>
      </c>
      <c r="DZ32" s="430" t="str">
        <f t="shared" si="108"/>
        <v/>
      </c>
      <c r="EA32" s="430" t="str">
        <f t="shared" si="109"/>
        <v/>
      </c>
      <c r="EB32" s="430" t="str">
        <f t="shared" si="110"/>
        <v/>
      </c>
      <c r="EC32" s="430" t="str">
        <f t="shared" si="111"/>
        <v/>
      </c>
      <c r="ED32" s="430" t="str">
        <f t="shared" si="112"/>
        <v/>
      </c>
      <c r="EE32" s="430" t="str">
        <f t="shared" si="113"/>
        <v/>
      </c>
      <c r="EF32" s="430" t="str">
        <f t="shared" si="114"/>
        <v/>
      </c>
      <c r="EG32" s="430" t="str">
        <f t="shared" si="115"/>
        <v/>
      </c>
      <c r="EH32" s="430" t="str">
        <f t="shared" si="116"/>
        <v/>
      </c>
      <c r="EI32" s="430" t="str">
        <f t="shared" si="117"/>
        <v/>
      </c>
      <c r="EJ32" s="430" t="str">
        <f t="shared" si="118"/>
        <v/>
      </c>
      <c r="EK32" s="430" t="str">
        <f t="shared" si="119"/>
        <v/>
      </c>
      <c r="EL32" s="430" t="str">
        <f t="shared" si="120"/>
        <v/>
      </c>
      <c r="EM32" s="430" t="str">
        <f t="shared" si="121"/>
        <v/>
      </c>
      <c r="EN32" s="430" t="str">
        <f t="shared" si="122"/>
        <v/>
      </c>
      <c r="EO32" s="430" t="str">
        <f t="shared" si="123"/>
        <v/>
      </c>
      <c r="EP32" s="430" t="str">
        <f t="shared" si="124"/>
        <v/>
      </c>
      <c r="EQ32" s="430" t="str">
        <f t="shared" si="125"/>
        <v/>
      </c>
      <c r="ER32" s="430" t="str">
        <f t="shared" si="126"/>
        <v/>
      </c>
      <c r="ES32" s="430" t="str">
        <f t="shared" si="127"/>
        <v/>
      </c>
      <c r="ET32" s="430" t="str">
        <f t="shared" si="128"/>
        <v/>
      </c>
      <c r="EU32" s="430" t="str">
        <f t="shared" si="129"/>
        <v/>
      </c>
      <c r="EV32" s="430" t="str">
        <f t="shared" si="130"/>
        <v/>
      </c>
      <c r="EW32" s="430" t="str">
        <f t="shared" si="131"/>
        <v/>
      </c>
      <c r="EX32" s="430" t="str">
        <f t="shared" si="132"/>
        <v/>
      </c>
      <c r="EY32" s="430" t="str">
        <f t="shared" si="133"/>
        <v/>
      </c>
      <c r="EZ32" s="430" t="str">
        <f t="shared" si="134"/>
        <v/>
      </c>
      <c r="FA32" s="430" t="str">
        <f t="shared" si="135"/>
        <v/>
      </c>
      <c r="FB32" s="430" t="str">
        <f t="shared" si="136"/>
        <v/>
      </c>
      <c r="FC32" s="430" t="str">
        <f t="shared" si="137"/>
        <v/>
      </c>
      <c r="FD32" s="430" t="str">
        <f t="shared" si="138"/>
        <v/>
      </c>
      <c r="FE32" s="430" t="str">
        <f t="shared" si="139"/>
        <v/>
      </c>
      <c r="FF32" s="430" t="str">
        <f t="shared" si="140"/>
        <v/>
      </c>
      <c r="FG32" s="430" t="str">
        <f t="shared" si="141"/>
        <v/>
      </c>
      <c r="FH32" s="430" t="str">
        <f t="shared" si="142"/>
        <v/>
      </c>
      <c r="FI32" s="430" t="str">
        <f t="shared" si="143"/>
        <v/>
      </c>
      <c r="FJ32" s="430" t="str">
        <f t="shared" si="144"/>
        <v/>
      </c>
      <c r="FK32" s="430" t="str">
        <f t="shared" si="145"/>
        <v/>
      </c>
      <c r="FL32" s="430" t="str">
        <f t="shared" si="146"/>
        <v/>
      </c>
      <c r="FM32" s="430" t="str">
        <f t="shared" si="147"/>
        <v/>
      </c>
      <c r="FN32" s="430" t="str">
        <f t="shared" si="148"/>
        <v/>
      </c>
      <c r="FO32" s="430" t="str">
        <f t="shared" si="149"/>
        <v/>
      </c>
      <c r="FP32" s="430" t="str">
        <f t="shared" si="150"/>
        <v/>
      </c>
      <c r="FQ32" s="430" t="str">
        <f t="shared" si="151"/>
        <v/>
      </c>
      <c r="FR32" s="430" t="str">
        <f t="shared" si="152"/>
        <v/>
      </c>
      <c r="FS32" s="430" t="str">
        <f t="shared" si="153"/>
        <v/>
      </c>
      <c r="FT32" s="430" t="str">
        <f t="shared" si="154"/>
        <v/>
      </c>
      <c r="FU32" s="430" t="str">
        <f t="shared" si="155"/>
        <v/>
      </c>
      <c r="FV32" s="430" t="str">
        <f t="shared" si="156"/>
        <v/>
      </c>
      <c r="FW32" s="430" t="str">
        <f t="shared" si="157"/>
        <v/>
      </c>
      <c r="FX32" s="430" t="str">
        <f t="shared" si="158"/>
        <v/>
      </c>
      <c r="FY32" s="430" t="str">
        <f t="shared" si="159"/>
        <v/>
      </c>
      <c r="FZ32" s="430" t="str">
        <f t="shared" si="160"/>
        <v/>
      </c>
      <c r="GA32" s="430" t="str">
        <f t="shared" si="161"/>
        <v/>
      </c>
      <c r="GB32" s="430" t="str">
        <f t="shared" si="162"/>
        <v/>
      </c>
      <c r="GC32" s="430" t="str">
        <f t="shared" si="163"/>
        <v/>
      </c>
      <c r="GD32" s="430" t="str">
        <f t="shared" si="164"/>
        <v/>
      </c>
      <c r="GE32" s="430" t="str">
        <f t="shared" si="165"/>
        <v/>
      </c>
      <c r="GF32" s="430" t="str">
        <f t="shared" si="166"/>
        <v/>
      </c>
      <c r="GG32" s="430" t="str">
        <f t="shared" si="167"/>
        <v/>
      </c>
      <c r="GH32" s="430" t="str">
        <f t="shared" si="168"/>
        <v/>
      </c>
      <c r="GI32" s="430" t="str">
        <f t="shared" si="169"/>
        <v/>
      </c>
      <c r="GJ32" s="430" t="str">
        <f t="shared" si="170"/>
        <v/>
      </c>
      <c r="GK32" s="430" t="str">
        <f t="shared" si="171"/>
        <v/>
      </c>
      <c r="GL32" s="430" t="str">
        <f t="shared" si="172"/>
        <v/>
      </c>
      <c r="GM32" s="430" t="str">
        <f t="shared" si="173"/>
        <v/>
      </c>
      <c r="GN32" s="430" t="str">
        <f t="shared" si="174"/>
        <v/>
      </c>
      <c r="GO32" s="430" t="str">
        <f t="shared" si="175"/>
        <v/>
      </c>
      <c r="GP32" s="430" t="str">
        <f t="shared" si="176"/>
        <v/>
      </c>
      <c r="GQ32" s="430" t="str">
        <f t="shared" si="177"/>
        <v/>
      </c>
      <c r="GR32" s="430" t="str">
        <f t="shared" si="178"/>
        <v/>
      </c>
      <c r="GS32" s="430" t="str">
        <f t="shared" si="179"/>
        <v/>
      </c>
      <c r="GT32" s="430" t="str">
        <f t="shared" si="180"/>
        <v/>
      </c>
      <c r="GU32" s="430" t="str">
        <f t="shared" si="181"/>
        <v/>
      </c>
      <c r="GV32" s="430" t="str">
        <f t="shared" si="182"/>
        <v/>
      </c>
      <c r="GW32" s="430" t="str">
        <f t="shared" si="183"/>
        <v/>
      </c>
      <c r="GX32" s="430" t="str">
        <f t="shared" si="184"/>
        <v/>
      </c>
      <c r="GY32" s="430" t="str">
        <f t="shared" si="185"/>
        <v/>
      </c>
      <c r="GZ32" s="430" t="str">
        <f t="shared" si="186"/>
        <v/>
      </c>
      <c r="HA32" s="430" t="str">
        <f t="shared" si="187"/>
        <v/>
      </c>
      <c r="HB32" s="430" t="str">
        <f t="shared" si="188"/>
        <v/>
      </c>
      <c r="HC32" s="430" t="str">
        <f t="shared" si="189"/>
        <v/>
      </c>
      <c r="HD32" s="430" t="str">
        <f t="shared" si="190"/>
        <v/>
      </c>
      <c r="HE32" s="430" t="str">
        <f t="shared" si="191"/>
        <v/>
      </c>
      <c r="HF32" s="430" t="str">
        <f t="shared" si="192"/>
        <v/>
      </c>
      <c r="HG32" s="430" t="str">
        <f t="shared" si="193"/>
        <v/>
      </c>
      <c r="HH32" s="430" t="str">
        <f t="shared" si="194"/>
        <v/>
      </c>
      <c r="HI32" s="430" t="str">
        <f t="shared" si="195"/>
        <v/>
      </c>
      <c r="HJ32" s="430" t="str">
        <f t="shared" si="196"/>
        <v/>
      </c>
      <c r="HK32" s="430" t="str">
        <f t="shared" si="197"/>
        <v/>
      </c>
      <c r="HL32" s="430" t="str">
        <f t="shared" si="198"/>
        <v/>
      </c>
      <c r="HM32" s="430" t="str">
        <f t="shared" si="199"/>
        <v/>
      </c>
      <c r="HN32" s="430" t="str">
        <f t="shared" si="200"/>
        <v/>
      </c>
      <c r="HO32" s="430" t="str">
        <f t="shared" si="201"/>
        <v/>
      </c>
      <c r="HP32" s="430" t="str">
        <f t="shared" si="202"/>
        <v/>
      </c>
      <c r="HQ32" s="430" t="str">
        <f t="shared" si="203"/>
        <v/>
      </c>
      <c r="HR32" s="430" t="str">
        <f t="shared" si="204"/>
        <v/>
      </c>
      <c r="HS32" s="430" t="str">
        <f t="shared" si="205"/>
        <v/>
      </c>
      <c r="HT32" s="430" t="str">
        <f t="shared" si="206"/>
        <v/>
      </c>
      <c r="HU32" s="430" t="str">
        <f t="shared" si="207"/>
        <v/>
      </c>
      <c r="HV32" s="430" t="str">
        <f t="shared" si="208"/>
        <v/>
      </c>
      <c r="HW32" s="430" t="str">
        <f t="shared" si="209"/>
        <v/>
      </c>
      <c r="HX32" s="430" t="str">
        <f t="shared" si="210"/>
        <v/>
      </c>
      <c r="HY32" s="430" t="str">
        <f t="shared" si="211"/>
        <v/>
      </c>
      <c r="HZ32" s="1814" t="str">
        <f t="shared" si="212"/>
        <v/>
      </c>
      <c r="IA32" s="1814" t="str">
        <f t="shared" si="213"/>
        <v/>
      </c>
      <c r="IB32" s="1814" t="str">
        <f t="shared" si="214"/>
        <v/>
      </c>
      <c r="IC32" s="1814" t="str">
        <f t="shared" si="215"/>
        <v/>
      </c>
      <c r="ID32" s="1814" t="str">
        <f t="shared" si="216"/>
        <v/>
      </c>
      <c r="IE32" s="1814" t="str">
        <f t="shared" si="217"/>
        <v/>
      </c>
      <c r="IF32" s="1814" t="str">
        <f t="shared" si="218"/>
        <v/>
      </c>
      <c r="IG32" s="1814" t="str">
        <f t="shared" si="219"/>
        <v/>
      </c>
      <c r="IH32" s="1814" t="str">
        <f t="shared" si="220"/>
        <v/>
      </c>
      <c r="II32" s="1814" t="str">
        <f t="shared" si="221"/>
        <v/>
      </c>
      <c r="IJ32" s="1814" t="str">
        <f t="shared" si="222"/>
        <v/>
      </c>
      <c r="IK32" s="1814" t="str">
        <f t="shared" si="223"/>
        <v/>
      </c>
      <c r="IL32" s="1814" t="str">
        <f t="shared" si="224"/>
        <v/>
      </c>
      <c r="IM32" s="1814" t="str">
        <f t="shared" si="225"/>
        <v/>
      </c>
      <c r="IN32" s="1814" t="str">
        <f t="shared" si="226"/>
        <v/>
      </c>
      <c r="IO32" s="1814" t="str">
        <f t="shared" si="227"/>
        <v/>
      </c>
      <c r="IP32" s="1814" t="str">
        <f t="shared" si="228"/>
        <v/>
      </c>
      <c r="IQ32" s="1814" t="str">
        <f t="shared" si="229"/>
        <v/>
      </c>
      <c r="IR32" s="1814" t="str">
        <f t="shared" si="230"/>
        <v/>
      </c>
      <c r="IS32" s="1814" t="str">
        <f t="shared" si="231"/>
        <v/>
      </c>
      <c r="IT32" s="1814" t="str">
        <f t="shared" si="232"/>
        <v/>
      </c>
      <c r="IU32" s="1814" t="str">
        <f t="shared" si="233"/>
        <v/>
      </c>
      <c r="IV32" s="1814" t="str">
        <f t="shared" si="234"/>
        <v/>
      </c>
      <c r="IW32" s="1814" t="str">
        <f t="shared" si="235"/>
        <v/>
      </c>
      <c r="IX32" s="1814" t="str">
        <f t="shared" si="236"/>
        <v/>
      </c>
      <c r="IY32" s="1814" t="str">
        <f t="shared" si="237"/>
        <v/>
      </c>
      <c r="IZ32" s="1814" t="str">
        <f t="shared" si="238"/>
        <v/>
      </c>
      <c r="JA32" s="1814" t="str">
        <f t="shared" si="239"/>
        <v/>
      </c>
      <c r="JB32" s="1814" t="str">
        <f t="shared" si="240"/>
        <v/>
      </c>
      <c r="JC32" s="1814" t="str">
        <f t="shared" si="241"/>
        <v/>
      </c>
      <c r="JD32" s="1814" t="str">
        <f t="shared" si="242"/>
        <v/>
      </c>
      <c r="JE32" s="1814" t="str">
        <f t="shared" si="243"/>
        <v/>
      </c>
      <c r="JF32" s="1814" t="str">
        <f t="shared" si="244"/>
        <v/>
      </c>
      <c r="JG32" s="1814" t="str">
        <f t="shared" si="245"/>
        <v/>
      </c>
      <c r="JH32" s="1814" t="str">
        <f t="shared" si="246"/>
        <v/>
      </c>
      <c r="JI32" s="1814" t="str">
        <f t="shared" si="247"/>
        <v/>
      </c>
      <c r="JJ32" s="1814" t="str">
        <f t="shared" si="248"/>
        <v/>
      </c>
      <c r="JK32" s="1814" t="str">
        <f t="shared" si="249"/>
        <v/>
      </c>
      <c r="JL32" s="1814" t="str">
        <f t="shared" si="250"/>
        <v/>
      </c>
      <c r="JM32" s="1814" t="str">
        <f t="shared" si="251"/>
        <v/>
      </c>
      <c r="JN32" s="1814" t="str">
        <f t="shared" si="252"/>
        <v/>
      </c>
      <c r="JO32" s="1814" t="str">
        <f t="shared" si="253"/>
        <v/>
      </c>
      <c r="JP32" s="1814" t="str">
        <f t="shared" si="254"/>
        <v/>
      </c>
      <c r="JQ32" s="1814" t="str">
        <f t="shared" si="255"/>
        <v/>
      </c>
      <c r="JR32" s="1814" t="str">
        <f t="shared" si="256"/>
        <v/>
      </c>
      <c r="JS32" s="1814" t="str">
        <f t="shared" si="257"/>
        <v/>
      </c>
      <c r="JT32" s="1814" t="str">
        <f t="shared" si="258"/>
        <v/>
      </c>
      <c r="JU32" s="1814" t="str">
        <f t="shared" si="259"/>
        <v/>
      </c>
      <c r="JV32" s="1814" t="str">
        <f t="shared" si="260"/>
        <v/>
      </c>
      <c r="JW32" s="1814" t="str">
        <f t="shared" si="261"/>
        <v/>
      </c>
      <c r="JX32" s="1814" t="str">
        <f t="shared" si="262"/>
        <v/>
      </c>
      <c r="JY32" s="1814" t="str">
        <f t="shared" si="263"/>
        <v/>
      </c>
      <c r="JZ32" s="1814" t="str">
        <f t="shared" si="264"/>
        <v/>
      </c>
      <c r="KA32" s="1814" t="str">
        <f t="shared" si="265"/>
        <v/>
      </c>
      <c r="KB32" s="1814" t="str">
        <f t="shared" si="266"/>
        <v/>
      </c>
      <c r="KC32" s="1814" t="str">
        <f t="shared" si="267"/>
        <v/>
      </c>
      <c r="KD32" s="1814" t="str">
        <f t="shared" si="268"/>
        <v/>
      </c>
      <c r="KE32" s="1814" t="str">
        <f t="shared" si="269"/>
        <v/>
      </c>
      <c r="KF32" s="1814" t="str">
        <f t="shared" si="270"/>
        <v/>
      </c>
      <c r="KG32" s="1814" t="str">
        <f t="shared" si="271"/>
        <v/>
      </c>
      <c r="KH32" s="1814" t="str">
        <f t="shared" si="272"/>
        <v/>
      </c>
      <c r="KI32" s="1814" t="str">
        <f t="shared" si="273"/>
        <v/>
      </c>
      <c r="KJ32" s="1814" t="str">
        <f t="shared" si="274"/>
        <v/>
      </c>
      <c r="KK32" s="1814" t="str">
        <f t="shared" si="275"/>
        <v/>
      </c>
      <c r="KL32" s="1814" t="str">
        <f t="shared" si="276"/>
        <v/>
      </c>
      <c r="KM32" s="1814" t="str">
        <f t="shared" si="277"/>
        <v/>
      </c>
      <c r="KN32" s="1814" t="str">
        <f t="shared" si="278"/>
        <v/>
      </c>
      <c r="KO32" s="1814" t="str">
        <f t="shared" si="279"/>
        <v/>
      </c>
      <c r="KP32" s="1814" t="str">
        <f t="shared" si="280"/>
        <v/>
      </c>
      <c r="KQ32" s="1814" t="str">
        <f t="shared" si="281"/>
        <v/>
      </c>
      <c r="KR32" s="1814" t="str">
        <f t="shared" si="282"/>
        <v/>
      </c>
      <c r="KS32" s="1814" t="str">
        <f t="shared" si="283"/>
        <v/>
      </c>
      <c r="KT32" s="1814" t="str">
        <f t="shared" si="284"/>
        <v/>
      </c>
      <c r="KU32" s="1814" t="str">
        <f t="shared" si="285"/>
        <v/>
      </c>
      <c r="KV32" s="1814" t="str">
        <f t="shared" si="286"/>
        <v/>
      </c>
      <c r="KW32" s="1814" t="str">
        <f t="shared" si="287"/>
        <v/>
      </c>
      <c r="KX32" s="1814" t="str">
        <f t="shared" si="288"/>
        <v/>
      </c>
      <c r="KY32" s="1814" t="str">
        <f t="shared" si="289"/>
        <v/>
      </c>
      <c r="KZ32" s="1814" t="str">
        <f t="shared" si="290"/>
        <v/>
      </c>
      <c r="LA32" s="1814" t="str">
        <f t="shared" si="291"/>
        <v/>
      </c>
      <c r="LB32" s="1814" t="str">
        <f t="shared" si="292"/>
        <v/>
      </c>
      <c r="LC32" s="1814" t="str">
        <f t="shared" si="293"/>
        <v/>
      </c>
      <c r="LD32" s="1814" t="str">
        <f t="shared" si="294"/>
        <v/>
      </c>
      <c r="LE32" s="1814" t="str">
        <f t="shared" si="295"/>
        <v/>
      </c>
      <c r="LF32" s="1814" t="str">
        <f t="shared" si="296"/>
        <v/>
      </c>
      <c r="LG32" s="1786" t="str">
        <f t="shared" si="297"/>
        <v/>
      </c>
      <c r="LH32" s="1786" t="str">
        <f t="shared" si="298"/>
        <v/>
      </c>
      <c r="LI32" s="1786" t="str">
        <f t="shared" si="299"/>
        <v/>
      </c>
      <c r="LJ32" s="1786" t="str">
        <f t="shared" si="300"/>
        <v/>
      </c>
      <c r="LK32" s="1786" t="str">
        <f t="shared" si="301"/>
        <v/>
      </c>
      <c r="LL32" s="430" t="str">
        <f t="shared" si="302"/>
        <v/>
      </c>
      <c r="LM32" s="430" t="str">
        <f t="shared" si="303"/>
        <v/>
      </c>
      <c r="LN32" s="430" t="str">
        <f t="shared" si="304"/>
        <v/>
      </c>
      <c r="LO32" s="430" t="str">
        <f t="shared" si="305"/>
        <v/>
      </c>
      <c r="LP32" s="430" t="str">
        <f t="shared" si="306"/>
        <v/>
      </c>
      <c r="LQ32" s="430" t="str">
        <f t="shared" si="307"/>
        <v/>
      </c>
      <c r="LR32" s="430" t="str">
        <f t="shared" si="308"/>
        <v/>
      </c>
      <c r="LS32" s="430" t="str">
        <f t="shared" si="309"/>
        <v/>
      </c>
      <c r="LT32" s="430" t="str">
        <f t="shared" si="310"/>
        <v/>
      </c>
      <c r="LU32" s="430" t="str">
        <f t="shared" si="311"/>
        <v/>
      </c>
      <c r="LV32" s="430" t="str">
        <f t="shared" si="312"/>
        <v/>
      </c>
      <c r="LW32" s="430" t="str">
        <f t="shared" si="313"/>
        <v/>
      </c>
      <c r="LX32" s="430" t="str">
        <f t="shared" si="314"/>
        <v/>
      </c>
      <c r="LY32" s="430" t="str">
        <f t="shared" si="315"/>
        <v/>
      </c>
      <c r="LZ32" s="430" t="str">
        <f t="shared" si="316"/>
        <v/>
      </c>
      <c r="MA32" s="430" t="str">
        <f t="shared" si="317"/>
        <v/>
      </c>
      <c r="MB32" s="430" t="str">
        <f t="shared" si="318"/>
        <v/>
      </c>
      <c r="MC32" s="430" t="str">
        <f t="shared" si="319"/>
        <v/>
      </c>
      <c r="MD32" s="430" t="str">
        <f t="shared" si="320"/>
        <v/>
      </c>
      <c r="ME32" s="430" t="str">
        <f t="shared" si="321"/>
        <v/>
      </c>
      <c r="MF32" s="1815">
        <f t="shared" si="328"/>
        <v>0</v>
      </c>
      <c r="MG32" s="1815">
        <f t="shared" si="329"/>
        <v>0</v>
      </c>
      <c r="MH32" s="1815">
        <f t="shared" si="330"/>
        <v>0</v>
      </c>
      <c r="MI32" s="1815">
        <f t="shared" si="331"/>
        <v>0</v>
      </c>
      <c r="MJ32" s="1815">
        <f t="shared" si="332"/>
        <v>0</v>
      </c>
      <c r="MK32" s="1815">
        <f t="shared" si="333"/>
        <v>0</v>
      </c>
      <c r="ML32" s="1815">
        <f t="shared" si="334"/>
        <v>0</v>
      </c>
      <c r="MM32" s="1815">
        <f t="shared" si="335"/>
        <v>0</v>
      </c>
      <c r="MN32" s="1815">
        <f t="shared" si="336"/>
        <v>0</v>
      </c>
      <c r="MO32" s="1815">
        <f t="shared" si="337"/>
        <v>0</v>
      </c>
      <c r="MP32" s="1815">
        <f t="shared" si="322"/>
        <v>0</v>
      </c>
      <c r="MQ32" s="1815">
        <f t="shared" si="323"/>
        <v>0</v>
      </c>
      <c r="MR32" s="1815">
        <f t="shared" si="324"/>
        <v>0</v>
      </c>
      <c r="MS32" s="1815">
        <f t="shared" si="325"/>
        <v>0</v>
      </c>
      <c r="MT32" s="1815">
        <f t="shared" si="326"/>
        <v>0</v>
      </c>
      <c r="NP32" s="2807" t="s">
        <v>6738</v>
      </c>
    </row>
    <row r="33" spans="1:380" ht="13.9" customHeight="1">
      <c r="A33" s="108" t="str">
        <f t="shared" si="327"/>
        <v/>
      </c>
      <c r="B33" s="2896"/>
      <c r="C33" s="2869"/>
      <c r="D33" s="2870"/>
      <c r="E33" s="2871"/>
      <c r="F33" s="2871"/>
      <c r="G33" s="2871"/>
      <c r="H33" s="2871"/>
      <c r="I33" s="2871"/>
      <c r="J33" s="2897">
        <f>IF(C33="",0,HLOOKUP(C33,'Part V-Utility Allowances'!$I$11:$M$22,12))</f>
        <v>0</v>
      </c>
      <c r="K33" s="2873"/>
      <c r="L33" s="537">
        <f t="shared" si="0"/>
        <v>0</v>
      </c>
      <c r="M33" s="537">
        <f t="shared" si="1"/>
        <v>0</v>
      </c>
      <c r="N33" s="2712"/>
      <c r="O33" s="2874"/>
      <c r="P33" s="2712"/>
      <c r="Q33" s="2875"/>
      <c r="R33" s="2876"/>
      <c r="S33" s="2877"/>
      <c r="T33" s="3833"/>
      <c r="U33" s="3834"/>
      <c r="V33" s="3834"/>
      <c r="W33" s="3835"/>
      <c r="X33" s="430" t="str">
        <f t="shared" si="2"/>
        <v/>
      </c>
      <c r="Y33" s="430" t="str">
        <f t="shared" si="3"/>
        <v/>
      </c>
      <c r="Z33" s="430" t="str">
        <f t="shared" si="4"/>
        <v/>
      </c>
      <c r="AA33" s="430" t="str">
        <f t="shared" si="5"/>
        <v/>
      </c>
      <c r="AB33" s="430" t="str">
        <f t="shared" si="6"/>
        <v/>
      </c>
      <c r="AC33" s="430" t="str">
        <f t="shared" si="7"/>
        <v/>
      </c>
      <c r="AD33" s="430" t="str">
        <f t="shared" si="8"/>
        <v/>
      </c>
      <c r="AE33" s="430" t="str">
        <f t="shared" si="9"/>
        <v/>
      </c>
      <c r="AF33" s="430" t="str">
        <f t="shared" si="10"/>
        <v/>
      </c>
      <c r="AG33" s="430" t="str">
        <f t="shared" si="11"/>
        <v/>
      </c>
      <c r="AH33" s="430" t="str">
        <f t="shared" si="12"/>
        <v/>
      </c>
      <c r="AI33" s="430" t="str">
        <f t="shared" si="13"/>
        <v/>
      </c>
      <c r="AJ33" s="430" t="str">
        <f t="shared" si="14"/>
        <v/>
      </c>
      <c r="AK33" s="430" t="str">
        <f t="shared" si="15"/>
        <v/>
      </c>
      <c r="AL33" s="430" t="str">
        <f t="shared" si="16"/>
        <v/>
      </c>
      <c r="AM33" s="430" t="str">
        <f t="shared" si="17"/>
        <v/>
      </c>
      <c r="AN33" s="430" t="str">
        <f t="shared" si="18"/>
        <v/>
      </c>
      <c r="AO33" s="430" t="str">
        <f t="shared" si="19"/>
        <v/>
      </c>
      <c r="AP33" s="430" t="str">
        <f t="shared" si="20"/>
        <v/>
      </c>
      <c r="AQ33" s="430" t="str">
        <f t="shared" si="21"/>
        <v/>
      </c>
      <c r="AR33" s="430" t="str">
        <f t="shared" si="22"/>
        <v/>
      </c>
      <c r="AS33" s="430" t="str">
        <f t="shared" si="23"/>
        <v/>
      </c>
      <c r="AT33" s="430" t="str">
        <f t="shared" si="24"/>
        <v/>
      </c>
      <c r="AU33" s="430" t="str">
        <f t="shared" si="25"/>
        <v/>
      </c>
      <c r="AV33" s="430" t="str">
        <f t="shared" si="26"/>
        <v/>
      </c>
      <c r="AW33" s="430" t="str">
        <f t="shared" si="27"/>
        <v/>
      </c>
      <c r="AX33" s="430" t="str">
        <f t="shared" si="28"/>
        <v/>
      </c>
      <c r="AY33" s="430" t="str">
        <f t="shared" si="29"/>
        <v/>
      </c>
      <c r="AZ33" s="430" t="str">
        <f t="shared" si="30"/>
        <v/>
      </c>
      <c r="BA33" s="430" t="str">
        <f t="shared" si="31"/>
        <v/>
      </c>
      <c r="BB33" s="430" t="str">
        <f t="shared" si="32"/>
        <v/>
      </c>
      <c r="BC33" s="430" t="str">
        <f t="shared" si="33"/>
        <v/>
      </c>
      <c r="BD33" s="430" t="str">
        <f t="shared" si="34"/>
        <v/>
      </c>
      <c r="BE33" s="430" t="str">
        <f t="shared" si="35"/>
        <v/>
      </c>
      <c r="BF33" s="430" t="str">
        <f t="shared" si="36"/>
        <v/>
      </c>
      <c r="BG33" s="430" t="str">
        <f t="shared" si="37"/>
        <v/>
      </c>
      <c r="BH33" s="430" t="str">
        <f t="shared" si="38"/>
        <v/>
      </c>
      <c r="BI33" s="430" t="str">
        <f t="shared" si="39"/>
        <v/>
      </c>
      <c r="BJ33" s="430" t="str">
        <f t="shared" si="40"/>
        <v/>
      </c>
      <c r="BK33" s="430" t="str">
        <f t="shared" si="41"/>
        <v/>
      </c>
      <c r="BL33" s="430" t="str">
        <f t="shared" si="42"/>
        <v/>
      </c>
      <c r="BM33" s="430" t="str">
        <f t="shared" si="43"/>
        <v/>
      </c>
      <c r="BN33" s="430" t="str">
        <f t="shared" si="44"/>
        <v/>
      </c>
      <c r="BO33" s="430" t="str">
        <f t="shared" si="45"/>
        <v/>
      </c>
      <c r="BP33" s="430" t="str">
        <f t="shared" si="46"/>
        <v/>
      </c>
      <c r="BQ33" s="430" t="str">
        <f t="shared" si="47"/>
        <v/>
      </c>
      <c r="BR33" s="430" t="str">
        <f t="shared" si="48"/>
        <v/>
      </c>
      <c r="BS33" s="430" t="str">
        <f t="shared" si="49"/>
        <v/>
      </c>
      <c r="BT33" s="430" t="str">
        <f t="shared" si="50"/>
        <v/>
      </c>
      <c r="BU33" s="430" t="str">
        <f t="shared" si="51"/>
        <v/>
      </c>
      <c r="BV33" s="430" t="str">
        <f t="shared" si="52"/>
        <v/>
      </c>
      <c r="BW33" s="430" t="str">
        <f t="shared" si="53"/>
        <v/>
      </c>
      <c r="BX33" s="430" t="str">
        <f t="shared" si="54"/>
        <v/>
      </c>
      <c r="BY33" s="430" t="str">
        <f t="shared" si="55"/>
        <v/>
      </c>
      <c r="BZ33" s="430" t="str">
        <f t="shared" si="56"/>
        <v/>
      </c>
      <c r="CA33" s="430" t="str">
        <f t="shared" si="57"/>
        <v/>
      </c>
      <c r="CB33" s="430" t="str">
        <f t="shared" si="58"/>
        <v/>
      </c>
      <c r="CC33" s="430" t="str">
        <f t="shared" si="59"/>
        <v/>
      </c>
      <c r="CD33" s="430" t="str">
        <f t="shared" si="60"/>
        <v/>
      </c>
      <c r="CE33" s="430" t="str">
        <f t="shared" si="61"/>
        <v/>
      </c>
      <c r="CF33" s="430" t="str">
        <f t="shared" si="62"/>
        <v/>
      </c>
      <c r="CG33" s="430" t="str">
        <f t="shared" si="63"/>
        <v/>
      </c>
      <c r="CH33" s="430" t="str">
        <f t="shared" si="64"/>
        <v/>
      </c>
      <c r="CI33" s="430" t="str">
        <f t="shared" si="65"/>
        <v/>
      </c>
      <c r="CJ33" s="430" t="str">
        <f t="shared" si="66"/>
        <v/>
      </c>
      <c r="CK33" s="430" t="str">
        <f t="shared" si="67"/>
        <v/>
      </c>
      <c r="CL33" s="430" t="str">
        <f t="shared" si="68"/>
        <v/>
      </c>
      <c r="CM33" s="430" t="str">
        <f t="shared" si="69"/>
        <v/>
      </c>
      <c r="CN33" s="430" t="str">
        <f t="shared" si="70"/>
        <v/>
      </c>
      <c r="CO33" s="430" t="str">
        <f t="shared" si="71"/>
        <v/>
      </c>
      <c r="CP33" s="430" t="str">
        <f t="shared" si="72"/>
        <v/>
      </c>
      <c r="CQ33" s="430" t="str">
        <f t="shared" si="73"/>
        <v/>
      </c>
      <c r="CR33" s="430" t="str">
        <f t="shared" si="74"/>
        <v/>
      </c>
      <c r="CS33" s="430" t="str">
        <f t="shared" si="75"/>
        <v/>
      </c>
      <c r="CT33" s="430" t="str">
        <f t="shared" si="76"/>
        <v/>
      </c>
      <c r="CU33" s="430" t="str">
        <f t="shared" si="77"/>
        <v/>
      </c>
      <c r="CV33" s="430" t="str">
        <f t="shared" si="78"/>
        <v/>
      </c>
      <c r="CW33" s="430" t="str">
        <f t="shared" si="79"/>
        <v/>
      </c>
      <c r="CX33" s="430" t="str">
        <f t="shared" si="80"/>
        <v/>
      </c>
      <c r="CY33" s="430" t="str">
        <f t="shared" si="81"/>
        <v/>
      </c>
      <c r="CZ33" s="430" t="str">
        <f t="shared" si="82"/>
        <v/>
      </c>
      <c r="DA33" s="430" t="str">
        <f t="shared" si="83"/>
        <v/>
      </c>
      <c r="DB33" s="430" t="str">
        <f t="shared" si="84"/>
        <v/>
      </c>
      <c r="DC33" s="430" t="str">
        <f t="shared" si="85"/>
        <v/>
      </c>
      <c r="DD33" s="430" t="str">
        <f t="shared" si="86"/>
        <v/>
      </c>
      <c r="DE33" s="430" t="str">
        <f t="shared" si="87"/>
        <v/>
      </c>
      <c r="DF33" s="430" t="str">
        <f t="shared" si="88"/>
        <v/>
      </c>
      <c r="DG33" s="430" t="str">
        <f t="shared" si="89"/>
        <v/>
      </c>
      <c r="DH33" s="430" t="str">
        <f t="shared" si="90"/>
        <v/>
      </c>
      <c r="DI33" s="430" t="str">
        <f t="shared" si="91"/>
        <v/>
      </c>
      <c r="DJ33" s="430" t="str">
        <f t="shared" si="92"/>
        <v/>
      </c>
      <c r="DK33" s="430" t="str">
        <f t="shared" si="93"/>
        <v/>
      </c>
      <c r="DL33" s="430" t="str">
        <f t="shared" si="94"/>
        <v/>
      </c>
      <c r="DM33" s="430" t="str">
        <f t="shared" si="95"/>
        <v/>
      </c>
      <c r="DN33" s="430" t="str">
        <f t="shared" si="96"/>
        <v/>
      </c>
      <c r="DO33" s="430" t="str">
        <f t="shared" si="97"/>
        <v/>
      </c>
      <c r="DP33" s="430" t="str">
        <f t="shared" si="98"/>
        <v/>
      </c>
      <c r="DQ33" s="430" t="str">
        <f t="shared" si="99"/>
        <v/>
      </c>
      <c r="DR33" s="430" t="str">
        <f t="shared" si="100"/>
        <v/>
      </c>
      <c r="DS33" s="430" t="str">
        <f t="shared" si="101"/>
        <v/>
      </c>
      <c r="DT33" s="430" t="str">
        <f t="shared" si="102"/>
        <v/>
      </c>
      <c r="DU33" s="430" t="str">
        <f t="shared" si="103"/>
        <v/>
      </c>
      <c r="DV33" s="430" t="str">
        <f t="shared" si="104"/>
        <v/>
      </c>
      <c r="DW33" s="430" t="str">
        <f t="shared" si="105"/>
        <v/>
      </c>
      <c r="DX33" s="430" t="str">
        <f t="shared" si="106"/>
        <v/>
      </c>
      <c r="DY33" s="430" t="str">
        <f t="shared" si="107"/>
        <v/>
      </c>
      <c r="DZ33" s="430" t="str">
        <f t="shared" si="108"/>
        <v/>
      </c>
      <c r="EA33" s="430" t="str">
        <f t="shared" si="109"/>
        <v/>
      </c>
      <c r="EB33" s="430" t="str">
        <f t="shared" si="110"/>
        <v/>
      </c>
      <c r="EC33" s="430" t="str">
        <f t="shared" si="111"/>
        <v/>
      </c>
      <c r="ED33" s="430" t="str">
        <f t="shared" si="112"/>
        <v/>
      </c>
      <c r="EE33" s="430" t="str">
        <f t="shared" si="113"/>
        <v/>
      </c>
      <c r="EF33" s="430" t="str">
        <f t="shared" si="114"/>
        <v/>
      </c>
      <c r="EG33" s="430" t="str">
        <f t="shared" si="115"/>
        <v/>
      </c>
      <c r="EH33" s="430" t="str">
        <f t="shared" si="116"/>
        <v/>
      </c>
      <c r="EI33" s="430" t="str">
        <f t="shared" si="117"/>
        <v/>
      </c>
      <c r="EJ33" s="430" t="str">
        <f t="shared" si="118"/>
        <v/>
      </c>
      <c r="EK33" s="430" t="str">
        <f t="shared" si="119"/>
        <v/>
      </c>
      <c r="EL33" s="430" t="str">
        <f t="shared" si="120"/>
        <v/>
      </c>
      <c r="EM33" s="430" t="str">
        <f t="shared" si="121"/>
        <v/>
      </c>
      <c r="EN33" s="430" t="str">
        <f t="shared" si="122"/>
        <v/>
      </c>
      <c r="EO33" s="430" t="str">
        <f t="shared" si="123"/>
        <v/>
      </c>
      <c r="EP33" s="430" t="str">
        <f t="shared" si="124"/>
        <v/>
      </c>
      <c r="EQ33" s="430" t="str">
        <f t="shared" si="125"/>
        <v/>
      </c>
      <c r="ER33" s="430" t="str">
        <f t="shared" si="126"/>
        <v/>
      </c>
      <c r="ES33" s="430" t="str">
        <f t="shared" si="127"/>
        <v/>
      </c>
      <c r="ET33" s="430" t="str">
        <f t="shared" si="128"/>
        <v/>
      </c>
      <c r="EU33" s="430" t="str">
        <f t="shared" si="129"/>
        <v/>
      </c>
      <c r="EV33" s="430" t="str">
        <f t="shared" si="130"/>
        <v/>
      </c>
      <c r="EW33" s="430" t="str">
        <f t="shared" si="131"/>
        <v/>
      </c>
      <c r="EX33" s="430" t="str">
        <f t="shared" si="132"/>
        <v/>
      </c>
      <c r="EY33" s="430" t="str">
        <f t="shared" si="133"/>
        <v/>
      </c>
      <c r="EZ33" s="430" t="str">
        <f t="shared" si="134"/>
        <v/>
      </c>
      <c r="FA33" s="430" t="str">
        <f t="shared" si="135"/>
        <v/>
      </c>
      <c r="FB33" s="430" t="str">
        <f t="shared" si="136"/>
        <v/>
      </c>
      <c r="FC33" s="430" t="str">
        <f t="shared" si="137"/>
        <v/>
      </c>
      <c r="FD33" s="430" t="str">
        <f t="shared" si="138"/>
        <v/>
      </c>
      <c r="FE33" s="430" t="str">
        <f t="shared" si="139"/>
        <v/>
      </c>
      <c r="FF33" s="430" t="str">
        <f t="shared" si="140"/>
        <v/>
      </c>
      <c r="FG33" s="430" t="str">
        <f t="shared" si="141"/>
        <v/>
      </c>
      <c r="FH33" s="430" t="str">
        <f t="shared" si="142"/>
        <v/>
      </c>
      <c r="FI33" s="430" t="str">
        <f t="shared" si="143"/>
        <v/>
      </c>
      <c r="FJ33" s="430" t="str">
        <f t="shared" si="144"/>
        <v/>
      </c>
      <c r="FK33" s="430" t="str">
        <f t="shared" si="145"/>
        <v/>
      </c>
      <c r="FL33" s="430" t="str">
        <f t="shared" si="146"/>
        <v/>
      </c>
      <c r="FM33" s="430" t="str">
        <f t="shared" si="147"/>
        <v/>
      </c>
      <c r="FN33" s="430" t="str">
        <f t="shared" si="148"/>
        <v/>
      </c>
      <c r="FO33" s="430" t="str">
        <f t="shared" si="149"/>
        <v/>
      </c>
      <c r="FP33" s="430" t="str">
        <f t="shared" si="150"/>
        <v/>
      </c>
      <c r="FQ33" s="430" t="str">
        <f t="shared" si="151"/>
        <v/>
      </c>
      <c r="FR33" s="430" t="str">
        <f t="shared" si="152"/>
        <v/>
      </c>
      <c r="FS33" s="430" t="str">
        <f t="shared" si="153"/>
        <v/>
      </c>
      <c r="FT33" s="430" t="str">
        <f t="shared" si="154"/>
        <v/>
      </c>
      <c r="FU33" s="430" t="str">
        <f t="shared" si="155"/>
        <v/>
      </c>
      <c r="FV33" s="430" t="str">
        <f t="shared" si="156"/>
        <v/>
      </c>
      <c r="FW33" s="430" t="str">
        <f t="shared" si="157"/>
        <v/>
      </c>
      <c r="FX33" s="430" t="str">
        <f t="shared" si="158"/>
        <v/>
      </c>
      <c r="FY33" s="430" t="str">
        <f t="shared" si="159"/>
        <v/>
      </c>
      <c r="FZ33" s="430" t="str">
        <f t="shared" si="160"/>
        <v/>
      </c>
      <c r="GA33" s="430" t="str">
        <f t="shared" si="161"/>
        <v/>
      </c>
      <c r="GB33" s="430" t="str">
        <f t="shared" si="162"/>
        <v/>
      </c>
      <c r="GC33" s="430" t="str">
        <f t="shared" si="163"/>
        <v/>
      </c>
      <c r="GD33" s="430" t="str">
        <f t="shared" si="164"/>
        <v/>
      </c>
      <c r="GE33" s="430" t="str">
        <f t="shared" si="165"/>
        <v/>
      </c>
      <c r="GF33" s="430" t="str">
        <f t="shared" si="166"/>
        <v/>
      </c>
      <c r="GG33" s="430" t="str">
        <f t="shared" si="167"/>
        <v/>
      </c>
      <c r="GH33" s="430" t="str">
        <f t="shared" si="168"/>
        <v/>
      </c>
      <c r="GI33" s="430" t="str">
        <f t="shared" si="169"/>
        <v/>
      </c>
      <c r="GJ33" s="430" t="str">
        <f t="shared" si="170"/>
        <v/>
      </c>
      <c r="GK33" s="430" t="str">
        <f t="shared" si="171"/>
        <v/>
      </c>
      <c r="GL33" s="430" t="str">
        <f t="shared" si="172"/>
        <v/>
      </c>
      <c r="GM33" s="430" t="str">
        <f t="shared" si="173"/>
        <v/>
      </c>
      <c r="GN33" s="430" t="str">
        <f t="shared" si="174"/>
        <v/>
      </c>
      <c r="GO33" s="430" t="str">
        <f t="shared" si="175"/>
        <v/>
      </c>
      <c r="GP33" s="430" t="str">
        <f t="shared" si="176"/>
        <v/>
      </c>
      <c r="GQ33" s="430" t="str">
        <f t="shared" si="177"/>
        <v/>
      </c>
      <c r="GR33" s="430" t="str">
        <f t="shared" si="178"/>
        <v/>
      </c>
      <c r="GS33" s="430" t="str">
        <f t="shared" si="179"/>
        <v/>
      </c>
      <c r="GT33" s="430" t="str">
        <f t="shared" si="180"/>
        <v/>
      </c>
      <c r="GU33" s="430" t="str">
        <f t="shared" si="181"/>
        <v/>
      </c>
      <c r="GV33" s="430" t="str">
        <f t="shared" si="182"/>
        <v/>
      </c>
      <c r="GW33" s="430" t="str">
        <f t="shared" si="183"/>
        <v/>
      </c>
      <c r="GX33" s="430" t="str">
        <f t="shared" si="184"/>
        <v/>
      </c>
      <c r="GY33" s="430" t="str">
        <f t="shared" si="185"/>
        <v/>
      </c>
      <c r="GZ33" s="430" t="str">
        <f t="shared" si="186"/>
        <v/>
      </c>
      <c r="HA33" s="430" t="str">
        <f t="shared" si="187"/>
        <v/>
      </c>
      <c r="HB33" s="430" t="str">
        <f t="shared" si="188"/>
        <v/>
      </c>
      <c r="HC33" s="430" t="str">
        <f t="shared" si="189"/>
        <v/>
      </c>
      <c r="HD33" s="430" t="str">
        <f t="shared" si="190"/>
        <v/>
      </c>
      <c r="HE33" s="430" t="str">
        <f t="shared" si="191"/>
        <v/>
      </c>
      <c r="HF33" s="430" t="str">
        <f t="shared" si="192"/>
        <v/>
      </c>
      <c r="HG33" s="430" t="str">
        <f t="shared" si="193"/>
        <v/>
      </c>
      <c r="HH33" s="430" t="str">
        <f t="shared" si="194"/>
        <v/>
      </c>
      <c r="HI33" s="430" t="str">
        <f t="shared" si="195"/>
        <v/>
      </c>
      <c r="HJ33" s="430" t="str">
        <f t="shared" si="196"/>
        <v/>
      </c>
      <c r="HK33" s="430" t="str">
        <f t="shared" si="197"/>
        <v/>
      </c>
      <c r="HL33" s="430" t="str">
        <f t="shared" si="198"/>
        <v/>
      </c>
      <c r="HM33" s="430" t="str">
        <f t="shared" si="199"/>
        <v/>
      </c>
      <c r="HN33" s="430" t="str">
        <f t="shared" si="200"/>
        <v/>
      </c>
      <c r="HO33" s="430" t="str">
        <f t="shared" si="201"/>
        <v/>
      </c>
      <c r="HP33" s="430" t="str">
        <f t="shared" si="202"/>
        <v/>
      </c>
      <c r="HQ33" s="430" t="str">
        <f t="shared" si="203"/>
        <v/>
      </c>
      <c r="HR33" s="430" t="str">
        <f t="shared" si="204"/>
        <v/>
      </c>
      <c r="HS33" s="430" t="str">
        <f t="shared" si="205"/>
        <v/>
      </c>
      <c r="HT33" s="430" t="str">
        <f t="shared" si="206"/>
        <v/>
      </c>
      <c r="HU33" s="430" t="str">
        <f t="shared" si="207"/>
        <v/>
      </c>
      <c r="HV33" s="430" t="str">
        <f t="shared" si="208"/>
        <v/>
      </c>
      <c r="HW33" s="430" t="str">
        <f t="shared" si="209"/>
        <v/>
      </c>
      <c r="HX33" s="430" t="str">
        <f t="shared" si="210"/>
        <v/>
      </c>
      <c r="HY33" s="430" t="str">
        <f t="shared" si="211"/>
        <v/>
      </c>
      <c r="HZ33" s="1814" t="str">
        <f t="shared" si="212"/>
        <v/>
      </c>
      <c r="IA33" s="1814" t="str">
        <f t="shared" si="213"/>
        <v/>
      </c>
      <c r="IB33" s="1814" t="str">
        <f t="shared" si="214"/>
        <v/>
      </c>
      <c r="IC33" s="1814" t="str">
        <f t="shared" si="215"/>
        <v/>
      </c>
      <c r="ID33" s="1814" t="str">
        <f t="shared" si="216"/>
        <v/>
      </c>
      <c r="IE33" s="1814" t="str">
        <f t="shared" si="217"/>
        <v/>
      </c>
      <c r="IF33" s="1814" t="str">
        <f t="shared" si="218"/>
        <v/>
      </c>
      <c r="IG33" s="1814" t="str">
        <f t="shared" si="219"/>
        <v/>
      </c>
      <c r="IH33" s="1814" t="str">
        <f t="shared" si="220"/>
        <v/>
      </c>
      <c r="II33" s="1814" t="str">
        <f t="shared" si="221"/>
        <v/>
      </c>
      <c r="IJ33" s="1814" t="str">
        <f t="shared" si="222"/>
        <v/>
      </c>
      <c r="IK33" s="1814" t="str">
        <f t="shared" si="223"/>
        <v/>
      </c>
      <c r="IL33" s="1814" t="str">
        <f t="shared" si="224"/>
        <v/>
      </c>
      <c r="IM33" s="1814" t="str">
        <f t="shared" si="225"/>
        <v/>
      </c>
      <c r="IN33" s="1814" t="str">
        <f t="shared" si="226"/>
        <v/>
      </c>
      <c r="IO33" s="1814" t="str">
        <f t="shared" si="227"/>
        <v/>
      </c>
      <c r="IP33" s="1814" t="str">
        <f t="shared" si="228"/>
        <v/>
      </c>
      <c r="IQ33" s="1814" t="str">
        <f t="shared" si="229"/>
        <v/>
      </c>
      <c r="IR33" s="1814" t="str">
        <f t="shared" si="230"/>
        <v/>
      </c>
      <c r="IS33" s="1814" t="str">
        <f t="shared" si="231"/>
        <v/>
      </c>
      <c r="IT33" s="1814" t="str">
        <f t="shared" si="232"/>
        <v/>
      </c>
      <c r="IU33" s="1814" t="str">
        <f t="shared" si="233"/>
        <v/>
      </c>
      <c r="IV33" s="1814" t="str">
        <f t="shared" si="234"/>
        <v/>
      </c>
      <c r="IW33" s="1814" t="str">
        <f t="shared" si="235"/>
        <v/>
      </c>
      <c r="IX33" s="1814" t="str">
        <f t="shared" si="236"/>
        <v/>
      </c>
      <c r="IY33" s="1814" t="str">
        <f t="shared" si="237"/>
        <v/>
      </c>
      <c r="IZ33" s="1814" t="str">
        <f t="shared" si="238"/>
        <v/>
      </c>
      <c r="JA33" s="1814" t="str">
        <f t="shared" si="239"/>
        <v/>
      </c>
      <c r="JB33" s="1814" t="str">
        <f t="shared" si="240"/>
        <v/>
      </c>
      <c r="JC33" s="1814" t="str">
        <f t="shared" si="241"/>
        <v/>
      </c>
      <c r="JD33" s="1814" t="str">
        <f t="shared" si="242"/>
        <v/>
      </c>
      <c r="JE33" s="1814" t="str">
        <f t="shared" si="243"/>
        <v/>
      </c>
      <c r="JF33" s="1814" t="str">
        <f t="shared" si="244"/>
        <v/>
      </c>
      <c r="JG33" s="1814" t="str">
        <f t="shared" si="245"/>
        <v/>
      </c>
      <c r="JH33" s="1814" t="str">
        <f t="shared" si="246"/>
        <v/>
      </c>
      <c r="JI33" s="1814" t="str">
        <f t="shared" si="247"/>
        <v/>
      </c>
      <c r="JJ33" s="1814" t="str">
        <f t="shared" si="248"/>
        <v/>
      </c>
      <c r="JK33" s="1814" t="str">
        <f t="shared" si="249"/>
        <v/>
      </c>
      <c r="JL33" s="1814" t="str">
        <f t="shared" si="250"/>
        <v/>
      </c>
      <c r="JM33" s="1814" t="str">
        <f t="shared" si="251"/>
        <v/>
      </c>
      <c r="JN33" s="1814" t="str">
        <f t="shared" si="252"/>
        <v/>
      </c>
      <c r="JO33" s="1814" t="str">
        <f t="shared" si="253"/>
        <v/>
      </c>
      <c r="JP33" s="1814" t="str">
        <f t="shared" si="254"/>
        <v/>
      </c>
      <c r="JQ33" s="1814" t="str">
        <f t="shared" si="255"/>
        <v/>
      </c>
      <c r="JR33" s="1814" t="str">
        <f t="shared" si="256"/>
        <v/>
      </c>
      <c r="JS33" s="1814" t="str">
        <f t="shared" si="257"/>
        <v/>
      </c>
      <c r="JT33" s="1814" t="str">
        <f t="shared" si="258"/>
        <v/>
      </c>
      <c r="JU33" s="1814" t="str">
        <f t="shared" si="259"/>
        <v/>
      </c>
      <c r="JV33" s="1814" t="str">
        <f t="shared" si="260"/>
        <v/>
      </c>
      <c r="JW33" s="1814" t="str">
        <f t="shared" si="261"/>
        <v/>
      </c>
      <c r="JX33" s="1814" t="str">
        <f t="shared" si="262"/>
        <v/>
      </c>
      <c r="JY33" s="1814" t="str">
        <f t="shared" si="263"/>
        <v/>
      </c>
      <c r="JZ33" s="1814" t="str">
        <f t="shared" si="264"/>
        <v/>
      </c>
      <c r="KA33" s="1814" t="str">
        <f t="shared" si="265"/>
        <v/>
      </c>
      <c r="KB33" s="1814" t="str">
        <f t="shared" si="266"/>
        <v/>
      </c>
      <c r="KC33" s="1814" t="str">
        <f t="shared" si="267"/>
        <v/>
      </c>
      <c r="KD33" s="1814" t="str">
        <f t="shared" si="268"/>
        <v/>
      </c>
      <c r="KE33" s="1814" t="str">
        <f t="shared" si="269"/>
        <v/>
      </c>
      <c r="KF33" s="1814" t="str">
        <f t="shared" si="270"/>
        <v/>
      </c>
      <c r="KG33" s="1814" t="str">
        <f t="shared" si="271"/>
        <v/>
      </c>
      <c r="KH33" s="1814" t="str">
        <f t="shared" si="272"/>
        <v/>
      </c>
      <c r="KI33" s="1814" t="str">
        <f t="shared" si="273"/>
        <v/>
      </c>
      <c r="KJ33" s="1814" t="str">
        <f t="shared" si="274"/>
        <v/>
      </c>
      <c r="KK33" s="1814" t="str">
        <f t="shared" si="275"/>
        <v/>
      </c>
      <c r="KL33" s="1814" t="str">
        <f t="shared" si="276"/>
        <v/>
      </c>
      <c r="KM33" s="1814" t="str">
        <f t="shared" si="277"/>
        <v/>
      </c>
      <c r="KN33" s="1814" t="str">
        <f t="shared" si="278"/>
        <v/>
      </c>
      <c r="KO33" s="1814" t="str">
        <f t="shared" si="279"/>
        <v/>
      </c>
      <c r="KP33" s="1814" t="str">
        <f t="shared" si="280"/>
        <v/>
      </c>
      <c r="KQ33" s="1814" t="str">
        <f t="shared" si="281"/>
        <v/>
      </c>
      <c r="KR33" s="1814" t="str">
        <f t="shared" si="282"/>
        <v/>
      </c>
      <c r="KS33" s="1814" t="str">
        <f t="shared" si="283"/>
        <v/>
      </c>
      <c r="KT33" s="1814" t="str">
        <f t="shared" si="284"/>
        <v/>
      </c>
      <c r="KU33" s="1814" t="str">
        <f t="shared" si="285"/>
        <v/>
      </c>
      <c r="KV33" s="1814" t="str">
        <f t="shared" si="286"/>
        <v/>
      </c>
      <c r="KW33" s="1814" t="str">
        <f t="shared" si="287"/>
        <v/>
      </c>
      <c r="KX33" s="1814" t="str">
        <f t="shared" si="288"/>
        <v/>
      </c>
      <c r="KY33" s="1814" t="str">
        <f t="shared" si="289"/>
        <v/>
      </c>
      <c r="KZ33" s="1814" t="str">
        <f t="shared" si="290"/>
        <v/>
      </c>
      <c r="LA33" s="1814" t="str">
        <f t="shared" si="291"/>
        <v/>
      </c>
      <c r="LB33" s="1814" t="str">
        <f t="shared" si="292"/>
        <v/>
      </c>
      <c r="LC33" s="1814" t="str">
        <f t="shared" si="293"/>
        <v/>
      </c>
      <c r="LD33" s="1814" t="str">
        <f t="shared" si="294"/>
        <v/>
      </c>
      <c r="LE33" s="1814" t="str">
        <f t="shared" si="295"/>
        <v/>
      </c>
      <c r="LF33" s="1814" t="str">
        <f t="shared" si="296"/>
        <v/>
      </c>
      <c r="LG33" s="1786" t="str">
        <f t="shared" si="297"/>
        <v/>
      </c>
      <c r="LH33" s="1786" t="str">
        <f t="shared" si="298"/>
        <v/>
      </c>
      <c r="LI33" s="1786" t="str">
        <f t="shared" si="299"/>
        <v/>
      </c>
      <c r="LJ33" s="1786" t="str">
        <f t="shared" si="300"/>
        <v/>
      </c>
      <c r="LK33" s="1786" t="str">
        <f t="shared" si="301"/>
        <v/>
      </c>
      <c r="LL33" s="430" t="str">
        <f t="shared" si="302"/>
        <v/>
      </c>
      <c r="LM33" s="430" t="str">
        <f t="shared" si="303"/>
        <v/>
      </c>
      <c r="LN33" s="430" t="str">
        <f t="shared" si="304"/>
        <v/>
      </c>
      <c r="LO33" s="430" t="str">
        <f t="shared" si="305"/>
        <v/>
      </c>
      <c r="LP33" s="430" t="str">
        <f t="shared" si="306"/>
        <v/>
      </c>
      <c r="LQ33" s="430" t="str">
        <f t="shared" si="307"/>
        <v/>
      </c>
      <c r="LR33" s="430" t="str">
        <f t="shared" si="308"/>
        <v/>
      </c>
      <c r="LS33" s="430" t="str">
        <f t="shared" si="309"/>
        <v/>
      </c>
      <c r="LT33" s="430" t="str">
        <f t="shared" si="310"/>
        <v/>
      </c>
      <c r="LU33" s="430" t="str">
        <f t="shared" si="311"/>
        <v/>
      </c>
      <c r="LV33" s="430" t="str">
        <f t="shared" si="312"/>
        <v/>
      </c>
      <c r="LW33" s="430" t="str">
        <f t="shared" si="313"/>
        <v/>
      </c>
      <c r="LX33" s="430" t="str">
        <f t="shared" si="314"/>
        <v/>
      </c>
      <c r="LY33" s="430" t="str">
        <f t="shared" si="315"/>
        <v/>
      </c>
      <c r="LZ33" s="430" t="str">
        <f t="shared" si="316"/>
        <v/>
      </c>
      <c r="MA33" s="430" t="str">
        <f t="shared" si="317"/>
        <v/>
      </c>
      <c r="MB33" s="430" t="str">
        <f t="shared" si="318"/>
        <v/>
      </c>
      <c r="MC33" s="430" t="str">
        <f t="shared" si="319"/>
        <v/>
      </c>
      <c r="MD33" s="430" t="str">
        <f t="shared" si="320"/>
        <v/>
      </c>
      <c r="ME33" s="430" t="str">
        <f t="shared" si="321"/>
        <v/>
      </c>
      <c r="MF33" s="1815">
        <f t="shared" si="328"/>
        <v>0</v>
      </c>
      <c r="MG33" s="1815">
        <f t="shared" si="329"/>
        <v>0</v>
      </c>
      <c r="MH33" s="1815">
        <f t="shared" si="330"/>
        <v>0</v>
      </c>
      <c r="MI33" s="1815">
        <f t="shared" si="331"/>
        <v>0</v>
      </c>
      <c r="MJ33" s="1815">
        <f t="shared" si="332"/>
        <v>0</v>
      </c>
      <c r="MK33" s="1815">
        <f t="shared" si="333"/>
        <v>0</v>
      </c>
      <c r="ML33" s="1815">
        <f t="shared" si="334"/>
        <v>0</v>
      </c>
      <c r="MM33" s="1815">
        <f t="shared" si="335"/>
        <v>0</v>
      </c>
      <c r="MN33" s="1815">
        <f t="shared" si="336"/>
        <v>0</v>
      </c>
      <c r="MO33" s="1815">
        <f t="shared" si="337"/>
        <v>0</v>
      </c>
      <c r="MP33" s="1815">
        <f t="shared" si="322"/>
        <v>0</v>
      </c>
      <c r="MQ33" s="1815">
        <f t="shared" si="323"/>
        <v>0</v>
      </c>
      <c r="MR33" s="1815">
        <f t="shared" si="324"/>
        <v>0</v>
      </c>
      <c r="MS33" s="1815">
        <f t="shared" si="325"/>
        <v>0</v>
      </c>
      <c r="MT33" s="1815">
        <f t="shared" si="326"/>
        <v>0</v>
      </c>
      <c r="NP33" s="2807" t="s">
        <v>6739</v>
      </c>
    </row>
    <row r="34" spans="1:380" ht="13.9" customHeight="1">
      <c r="A34" s="108" t="str">
        <f t="shared" si="327"/>
        <v/>
      </c>
      <c r="B34" s="2896"/>
      <c r="C34" s="2869"/>
      <c r="D34" s="2870"/>
      <c r="E34" s="2871"/>
      <c r="F34" s="2871"/>
      <c r="G34" s="2871"/>
      <c r="H34" s="2871"/>
      <c r="I34" s="2871"/>
      <c r="J34" s="2897">
        <f>IF(C34="",0,HLOOKUP(C34,'Part V-Utility Allowances'!$I$11:$M$22,12))</f>
        <v>0</v>
      </c>
      <c r="K34" s="2873"/>
      <c r="L34" s="537">
        <f t="shared" si="0"/>
        <v>0</v>
      </c>
      <c r="M34" s="537">
        <f t="shared" si="1"/>
        <v>0</v>
      </c>
      <c r="N34" s="2712"/>
      <c r="O34" s="2874"/>
      <c r="P34" s="2712"/>
      <c r="Q34" s="2875"/>
      <c r="R34" s="2876"/>
      <c r="S34" s="2877"/>
      <c r="T34" s="3833"/>
      <c r="U34" s="3834"/>
      <c r="V34" s="3834"/>
      <c r="W34" s="3835"/>
      <c r="X34" s="430" t="str">
        <f t="shared" si="2"/>
        <v/>
      </c>
      <c r="Y34" s="430" t="str">
        <f t="shared" si="3"/>
        <v/>
      </c>
      <c r="Z34" s="430" t="str">
        <f t="shared" si="4"/>
        <v/>
      </c>
      <c r="AA34" s="430" t="str">
        <f t="shared" si="5"/>
        <v/>
      </c>
      <c r="AB34" s="430" t="str">
        <f t="shared" si="6"/>
        <v/>
      </c>
      <c r="AC34" s="430" t="str">
        <f t="shared" si="7"/>
        <v/>
      </c>
      <c r="AD34" s="430" t="str">
        <f t="shared" si="8"/>
        <v/>
      </c>
      <c r="AE34" s="430" t="str">
        <f t="shared" si="9"/>
        <v/>
      </c>
      <c r="AF34" s="430" t="str">
        <f t="shared" si="10"/>
        <v/>
      </c>
      <c r="AG34" s="430" t="str">
        <f t="shared" si="11"/>
        <v/>
      </c>
      <c r="AH34" s="430" t="str">
        <f t="shared" si="12"/>
        <v/>
      </c>
      <c r="AI34" s="430" t="str">
        <f t="shared" si="13"/>
        <v/>
      </c>
      <c r="AJ34" s="430" t="str">
        <f t="shared" si="14"/>
        <v/>
      </c>
      <c r="AK34" s="430" t="str">
        <f t="shared" si="15"/>
        <v/>
      </c>
      <c r="AL34" s="430" t="str">
        <f t="shared" si="16"/>
        <v/>
      </c>
      <c r="AM34" s="430" t="str">
        <f t="shared" si="17"/>
        <v/>
      </c>
      <c r="AN34" s="430" t="str">
        <f t="shared" si="18"/>
        <v/>
      </c>
      <c r="AO34" s="430" t="str">
        <f t="shared" si="19"/>
        <v/>
      </c>
      <c r="AP34" s="430" t="str">
        <f t="shared" si="20"/>
        <v/>
      </c>
      <c r="AQ34" s="430" t="str">
        <f t="shared" si="21"/>
        <v/>
      </c>
      <c r="AR34" s="430" t="str">
        <f t="shared" si="22"/>
        <v/>
      </c>
      <c r="AS34" s="430" t="str">
        <f t="shared" si="23"/>
        <v/>
      </c>
      <c r="AT34" s="430" t="str">
        <f t="shared" si="24"/>
        <v/>
      </c>
      <c r="AU34" s="430" t="str">
        <f t="shared" si="25"/>
        <v/>
      </c>
      <c r="AV34" s="430" t="str">
        <f t="shared" si="26"/>
        <v/>
      </c>
      <c r="AW34" s="430" t="str">
        <f t="shared" si="27"/>
        <v/>
      </c>
      <c r="AX34" s="430" t="str">
        <f t="shared" si="28"/>
        <v/>
      </c>
      <c r="AY34" s="430" t="str">
        <f t="shared" si="29"/>
        <v/>
      </c>
      <c r="AZ34" s="430" t="str">
        <f t="shared" si="30"/>
        <v/>
      </c>
      <c r="BA34" s="430" t="str">
        <f t="shared" si="31"/>
        <v/>
      </c>
      <c r="BB34" s="430" t="str">
        <f t="shared" si="32"/>
        <v/>
      </c>
      <c r="BC34" s="430" t="str">
        <f t="shared" si="33"/>
        <v/>
      </c>
      <c r="BD34" s="430" t="str">
        <f t="shared" si="34"/>
        <v/>
      </c>
      <c r="BE34" s="430" t="str">
        <f t="shared" si="35"/>
        <v/>
      </c>
      <c r="BF34" s="430" t="str">
        <f t="shared" si="36"/>
        <v/>
      </c>
      <c r="BG34" s="430" t="str">
        <f t="shared" si="37"/>
        <v/>
      </c>
      <c r="BH34" s="430" t="str">
        <f t="shared" si="38"/>
        <v/>
      </c>
      <c r="BI34" s="430" t="str">
        <f t="shared" si="39"/>
        <v/>
      </c>
      <c r="BJ34" s="430" t="str">
        <f t="shared" si="40"/>
        <v/>
      </c>
      <c r="BK34" s="430" t="str">
        <f t="shared" si="41"/>
        <v/>
      </c>
      <c r="BL34" s="430" t="str">
        <f t="shared" si="42"/>
        <v/>
      </c>
      <c r="BM34" s="430" t="str">
        <f t="shared" si="43"/>
        <v/>
      </c>
      <c r="BN34" s="430" t="str">
        <f t="shared" si="44"/>
        <v/>
      </c>
      <c r="BO34" s="430" t="str">
        <f t="shared" si="45"/>
        <v/>
      </c>
      <c r="BP34" s="430" t="str">
        <f t="shared" si="46"/>
        <v/>
      </c>
      <c r="BQ34" s="430" t="str">
        <f t="shared" si="47"/>
        <v/>
      </c>
      <c r="BR34" s="430" t="str">
        <f t="shared" si="48"/>
        <v/>
      </c>
      <c r="BS34" s="430" t="str">
        <f t="shared" si="49"/>
        <v/>
      </c>
      <c r="BT34" s="430" t="str">
        <f t="shared" si="50"/>
        <v/>
      </c>
      <c r="BU34" s="430" t="str">
        <f t="shared" si="51"/>
        <v/>
      </c>
      <c r="BV34" s="430" t="str">
        <f t="shared" si="52"/>
        <v/>
      </c>
      <c r="BW34" s="430" t="str">
        <f t="shared" si="53"/>
        <v/>
      </c>
      <c r="BX34" s="430" t="str">
        <f t="shared" si="54"/>
        <v/>
      </c>
      <c r="BY34" s="430" t="str">
        <f t="shared" si="55"/>
        <v/>
      </c>
      <c r="BZ34" s="430" t="str">
        <f t="shared" si="56"/>
        <v/>
      </c>
      <c r="CA34" s="430" t="str">
        <f t="shared" si="57"/>
        <v/>
      </c>
      <c r="CB34" s="430" t="str">
        <f t="shared" si="58"/>
        <v/>
      </c>
      <c r="CC34" s="430" t="str">
        <f t="shared" si="59"/>
        <v/>
      </c>
      <c r="CD34" s="430" t="str">
        <f t="shared" si="60"/>
        <v/>
      </c>
      <c r="CE34" s="430" t="str">
        <f t="shared" si="61"/>
        <v/>
      </c>
      <c r="CF34" s="430" t="str">
        <f t="shared" si="62"/>
        <v/>
      </c>
      <c r="CG34" s="430" t="str">
        <f t="shared" si="63"/>
        <v/>
      </c>
      <c r="CH34" s="430" t="str">
        <f t="shared" si="64"/>
        <v/>
      </c>
      <c r="CI34" s="430" t="str">
        <f t="shared" si="65"/>
        <v/>
      </c>
      <c r="CJ34" s="430" t="str">
        <f t="shared" si="66"/>
        <v/>
      </c>
      <c r="CK34" s="430" t="str">
        <f t="shared" si="67"/>
        <v/>
      </c>
      <c r="CL34" s="430" t="str">
        <f t="shared" si="68"/>
        <v/>
      </c>
      <c r="CM34" s="430" t="str">
        <f t="shared" si="69"/>
        <v/>
      </c>
      <c r="CN34" s="430" t="str">
        <f t="shared" si="70"/>
        <v/>
      </c>
      <c r="CO34" s="430" t="str">
        <f t="shared" si="71"/>
        <v/>
      </c>
      <c r="CP34" s="430" t="str">
        <f t="shared" si="72"/>
        <v/>
      </c>
      <c r="CQ34" s="430" t="str">
        <f t="shared" si="73"/>
        <v/>
      </c>
      <c r="CR34" s="430" t="str">
        <f t="shared" si="74"/>
        <v/>
      </c>
      <c r="CS34" s="430" t="str">
        <f t="shared" si="75"/>
        <v/>
      </c>
      <c r="CT34" s="430" t="str">
        <f t="shared" si="76"/>
        <v/>
      </c>
      <c r="CU34" s="430" t="str">
        <f t="shared" si="77"/>
        <v/>
      </c>
      <c r="CV34" s="430" t="str">
        <f t="shared" si="78"/>
        <v/>
      </c>
      <c r="CW34" s="430" t="str">
        <f t="shared" si="79"/>
        <v/>
      </c>
      <c r="CX34" s="430" t="str">
        <f t="shared" si="80"/>
        <v/>
      </c>
      <c r="CY34" s="430" t="str">
        <f t="shared" si="81"/>
        <v/>
      </c>
      <c r="CZ34" s="430" t="str">
        <f t="shared" si="82"/>
        <v/>
      </c>
      <c r="DA34" s="430" t="str">
        <f t="shared" si="83"/>
        <v/>
      </c>
      <c r="DB34" s="430" t="str">
        <f t="shared" si="84"/>
        <v/>
      </c>
      <c r="DC34" s="430" t="str">
        <f t="shared" si="85"/>
        <v/>
      </c>
      <c r="DD34" s="430" t="str">
        <f t="shared" si="86"/>
        <v/>
      </c>
      <c r="DE34" s="430" t="str">
        <f t="shared" si="87"/>
        <v/>
      </c>
      <c r="DF34" s="430" t="str">
        <f t="shared" si="88"/>
        <v/>
      </c>
      <c r="DG34" s="430" t="str">
        <f t="shared" si="89"/>
        <v/>
      </c>
      <c r="DH34" s="430" t="str">
        <f t="shared" si="90"/>
        <v/>
      </c>
      <c r="DI34" s="430" t="str">
        <f t="shared" si="91"/>
        <v/>
      </c>
      <c r="DJ34" s="430" t="str">
        <f t="shared" si="92"/>
        <v/>
      </c>
      <c r="DK34" s="430" t="str">
        <f t="shared" si="93"/>
        <v/>
      </c>
      <c r="DL34" s="430" t="str">
        <f t="shared" si="94"/>
        <v/>
      </c>
      <c r="DM34" s="430" t="str">
        <f t="shared" si="95"/>
        <v/>
      </c>
      <c r="DN34" s="430" t="str">
        <f t="shared" si="96"/>
        <v/>
      </c>
      <c r="DO34" s="430" t="str">
        <f t="shared" si="97"/>
        <v/>
      </c>
      <c r="DP34" s="430" t="str">
        <f t="shared" si="98"/>
        <v/>
      </c>
      <c r="DQ34" s="430" t="str">
        <f t="shared" si="99"/>
        <v/>
      </c>
      <c r="DR34" s="430" t="str">
        <f t="shared" si="100"/>
        <v/>
      </c>
      <c r="DS34" s="430" t="str">
        <f t="shared" si="101"/>
        <v/>
      </c>
      <c r="DT34" s="430" t="str">
        <f t="shared" si="102"/>
        <v/>
      </c>
      <c r="DU34" s="430" t="str">
        <f t="shared" si="103"/>
        <v/>
      </c>
      <c r="DV34" s="430" t="str">
        <f t="shared" si="104"/>
        <v/>
      </c>
      <c r="DW34" s="430" t="str">
        <f t="shared" si="105"/>
        <v/>
      </c>
      <c r="DX34" s="430" t="str">
        <f t="shared" si="106"/>
        <v/>
      </c>
      <c r="DY34" s="430" t="str">
        <f t="shared" si="107"/>
        <v/>
      </c>
      <c r="DZ34" s="430" t="str">
        <f t="shared" si="108"/>
        <v/>
      </c>
      <c r="EA34" s="430" t="str">
        <f t="shared" si="109"/>
        <v/>
      </c>
      <c r="EB34" s="430" t="str">
        <f t="shared" si="110"/>
        <v/>
      </c>
      <c r="EC34" s="430" t="str">
        <f t="shared" si="111"/>
        <v/>
      </c>
      <c r="ED34" s="430" t="str">
        <f t="shared" si="112"/>
        <v/>
      </c>
      <c r="EE34" s="430" t="str">
        <f t="shared" si="113"/>
        <v/>
      </c>
      <c r="EF34" s="430" t="str">
        <f t="shared" si="114"/>
        <v/>
      </c>
      <c r="EG34" s="430" t="str">
        <f t="shared" si="115"/>
        <v/>
      </c>
      <c r="EH34" s="430" t="str">
        <f t="shared" si="116"/>
        <v/>
      </c>
      <c r="EI34" s="430" t="str">
        <f t="shared" si="117"/>
        <v/>
      </c>
      <c r="EJ34" s="430" t="str">
        <f t="shared" si="118"/>
        <v/>
      </c>
      <c r="EK34" s="430" t="str">
        <f t="shared" si="119"/>
        <v/>
      </c>
      <c r="EL34" s="430" t="str">
        <f t="shared" si="120"/>
        <v/>
      </c>
      <c r="EM34" s="430" t="str">
        <f t="shared" si="121"/>
        <v/>
      </c>
      <c r="EN34" s="430" t="str">
        <f t="shared" si="122"/>
        <v/>
      </c>
      <c r="EO34" s="430" t="str">
        <f t="shared" si="123"/>
        <v/>
      </c>
      <c r="EP34" s="430" t="str">
        <f t="shared" si="124"/>
        <v/>
      </c>
      <c r="EQ34" s="430" t="str">
        <f t="shared" si="125"/>
        <v/>
      </c>
      <c r="ER34" s="430" t="str">
        <f t="shared" si="126"/>
        <v/>
      </c>
      <c r="ES34" s="430" t="str">
        <f t="shared" si="127"/>
        <v/>
      </c>
      <c r="ET34" s="430" t="str">
        <f t="shared" si="128"/>
        <v/>
      </c>
      <c r="EU34" s="430" t="str">
        <f t="shared" si="129"/>
        <v/>
      </c>
      <c r="EV34" s="430" t="str">
        <f t="shared" si="130"/>
        <v/>
      </c>
      <c r="EW34" s="430" t="str">
        <f t="shared" si="131"/>
        <v/>
      </c>
      <c r="EX34" s="430" t="str">
        <f t="shared" si="132"/>
        <v/>
      </c>
      <c r="EY34" s="430" t="str">
        <f t="shared" si="133"/>
        <v/>
      </c>
      <c r="EZ34" s="430" t="str">
        <f t="shared" si="134"/>
        <v/>
      </c>
      <c r="FA34" s="430" t="str">
        <f t="shared" si="135"/>
        <v/>
      </c>
      <c r="FB34" s="430" t="str">
        <f t="shared" si="136"/>
        <v/>
      </c>
      <c r="FC34" s="430" t="str">
        <f t="shared" si="137"/>
        <v/>
      </c>
      <c r="FD34" s="430" t="str">
        <f t="shared" si="138"/>
        <v/>
      </c>
      <c r="FE34" s="430" t="str">
        <f t="shared" si="139"/>
        <v/>
      </c>
      <c r="FF34" s="430" t="str">
        <f t="shared" si="140"/>
        <v/>
      </c>
      <c r="FG34" s="430" t="str">
        <f t="shared" si="141"/>
        <v/>
      </c>
      <c r="FH34" s="430" t="str">
        <f t="shared" si="142"/>
        <v/>
      </c>
      <c r="FI34" s="430" t="str">
        <f t="shared" si="143"/>
        <v/>
      </c>
      <c r="FJ34" s="430" t="str">
        <f t="shared" si="144"/>
        <v/>
      </c>
      <c r="FK34" s="430" t="str">
        <f t="shared" si="145"/>
        <v/>
      </c>
      <c r="FL34" s="430" t="str">
        <f t="shared" si="146"/>
        <v/>
      </c>
      <c r="FM34" s="430" t="str">
        <f t="shared" si="147"/>
        <v/>
      </c>
      <c r="FN34" s="430" t="str">
        <f t="shared" si="148"/>
        <v/>
      </c>
      <c r="FO34" s="430" t="str">
        <f t="shared" si="149"/>
        <v/>
      </c>
      <c r="FP34" s="430" t="str">
        <f t="shared" si="150"/>
        <v/>
      </c>
      <c r="FQ34" s="430" t="str">
        <f t="shared" si="151"/>
        <v/>
      </c>
      <c r="FR34" s="430" t="str">
        <f t="shared" si="152"/>
        <v/>
      </c>
      <c r="FS34" s="430" t="str">
        <f t="shared" si="153"/>
        <v/>
      </c>
      <c r="FT34" s="430" t="str">
        <f t="shared" si="154"/>
        <v/>
      </c>
      <c r="FU34" s="430" t="str">
        <f t="shared" si="155"/>
        <v/>
      </c>
      <c r="FV34" s="430" t="str">
        <f t="shared" si="156"/>
        <v/>
      </c>
      <c r="FW34" s="430" t="str">
        <f t="shared" si="157"/>
        <v/>
      </c>
      <c r="FX34" s="430" t="str">
        <f t="shared" si="158"/>
        <v/>
      </c>
      <c r="FY34" s="430" t="str">
        <f t="shared" si="159"/>
        <v/>
      </c>
      <c r="FZ34" s="430" t="str">
        <f t="shared" si="160"/>
        <v/>
      </c>
      <c r="GA34" s="430" t="str">
        <f t="shared" si="161"/>
        <v/>
      </c>
      <c r="GB34" s="430" t="str">
        <f t="shared" si="162"/>
        <v/>
      </c>
      <c r="GC34" s="430" t="str">
        <f t="shared" si="163"/>
        <v/>
      </c>
      <c r="GD34" s="430" t="str">
        <f t="shared" si="164"/>
        <v/>
      </c>
      <c r="GE34" s="430" t="str">
        <f t="shared" si="165"/>
        <v/>
      </c>
      <c r="GF34" s="430" t="str">
        <f t="shared" si="166"/>
        <v/>
      </c>
      <c r="GG34" s="430" t="str">
        <f t="shared" si="167"/>
        <v/>
      </c>
      <c r="GH34" s="430" t="str">
        <f t="shared" si="168"/>
        <v/>
      </c>
      <c r="GI34" s="430" t="str">
        <f t="shared" si="169"/>
        <v/>
      </c>
      <c r="GJ34" s="430" t="str">
        <f t="shared" si="170"/>
        <v/>
      </c>
      <c r="GK34" s="430" t="str">
        <f t="shared" si="171"/>
        <v/>
      </c>
      <c r="GL34" s="430" t="str">
        <f t="shared" si="172"/>
        <v/>
      </c>
      <c r="GM34" s="430" t="str">
        <f t="shared" si="173"/>
        <v/>
      </c>
      <c r="GN34" s="430" t="str">
        <f t="shared" si="174"/>
        <v/>
      </c>
      <c r="GO34" s="430" t="str">
        <f t="shared" si="175"/>
        <v/>
      </c>
      <c r="GP34" s="430" t="str">
        <f t="shared" si="176"/>
        <v/>
      </c>
      <c r="GQ34" s="430" t="str">
        <f t="shared" si="177"/>
        <v/>
      </c>
      <c r="GR34" s="430" t="str">
        <f t="shared" si="178"/>
        <v/>
      </c>
      <c r="GS34" s="430" t="str">
        <f t="shared" si="179"/>
        <v/>
      </c>
      <c r="GT34" s="430" t="str">
        <f t="shared" si="180"/>
        <v/>
      </c>
      <c r="GU34" s="430" t="str">
        <f t="shared" si="181"/>
        <v/>
      </c>
      <c r="GV34" s="430" t="str">
        <f t="shared" si="182"/>
        <v/>
      </c>
      <c r="GW34" s="430" t="str">
        <f t="shared" si="183"/>
        <v/>
      </c>
      <c r="GX34" s="430" t="str">
        <f t="shared" si="184"/>
        <v/>
      </c>
      <c r="GY34" s="430" t="str">
        <f t="shared" si="185"/>
        <v/>
      </c>
      <c r="GZ34" s="430" t="str">
        <f t="shared" si="186"/>
        <v/>
      </c>
      <c r="HA34" s="430" t="str">
        <f t="shared" si="187"/>
        <v/>
      </c>
      <c r="HB34" s="430" t="str">
        <f t="shared" si="188"/>
        <v/>
      </c>
      <c r="HC34" s="430" t="str">
        <f t="shared" si="189"/>
        <v/>
      </c>
      <c r="HD34" s="430" t="str">
        <f t="shared" si="190"/>
        <v/>
      </c>
      <c r="HE34" s="430" t="str">
        <f t="shared" si="191"/>
        <v/>
      </c>
      <c r="HF34" s="430" t="str">
        <f t="shared" si="192"/>
        <v/>
      </c>
      <c r="HG34" s="430" t="str">
        <f t="shared" si="193"/>
        <v/>
      </c>
      <c r="HH34" s="430" t="str">
        <f t="shared" si="194"/>
        <v/>
      </c>
      <c r="HI34" s="430" t="str">
        <f t="shared" si="195"/>
        <v/>
      </c>
      <c r="HJ34" s="430" t="str">
        <f t="shared" si="196"/>
        <v/>
      </c>
      <c r="HK34" s="430" t="str">
        <f t="shared" si="197"/>
        <v/>
      </c>
      <c r="HL34" s="430" t="str">
        <f t="shared" si="198"/>
        <v/>
      </c>
      <c r="HM34" s="430" t="str">
        <f t="shared" si="199"/>
        <v/>
      </c>
      <c r="HN34" s="430" t="str">
        <f t="shared" si="200"/>
        <v/>
      </c>
      <c r="HO34" s="430" t="str">
        <f t="shared" si="201"/>
        <v/>
      </c>
      <c r="HP34" s="430" t="str">
        <f t="shared" si="202"/>
        <v/>
      </c>
      <c r="HQ34" s="430" t="str">
        <f t="shared" si="203"/>
        <v/>
      </c>
      <c r="HR34" s="430" t="str">
        <f t="shared" si="204"/>
        <v/>
      </c>
      <c r="HS34" s="430" t="str">
        <f t="shared" si="205"/>
        <v/>
      </c>
      <c r="HT34" s="430" t="str">
        <f t="shared" si="206"/>
        <v/>
      </c>
      <c r="HU34" s="430" t="str">
        <f t="shared" si="207"/>
        <v/>
      </c>
      <c r="HV34" s="430" t="str">
        <f t="shared" si="208"/>
        <v/>
      </c>
      <c r="HW34" s="430" t="str">
        <f t="shared" si="209"/>
        <v/>
      </c>
      <c r="HX34" s="430" t="str">
        <f t="shared" si="210"/>
        <v/>
      </c>
      <c r="HY34" s="430" t="str">
        <f t="shared" si="211"/>
        <v/>
      </c>
      <c r="HZ34" s="1814" t="str">
        <f t="shared" si="212"/>
        <v/>
      </c>
      <c r="IA34" s="1814" t="str">
        <f t="shared" si="213"/>
        <v/>
      </c>
      <c r="IB34" s="1814" t="str">
        <f t="shared" si="214"/>
        <v/>
      </c>
      <c r="IC34" s="1814" t="str">
        <f t="shared" si="215"/>
        <v/>
      </c>
      <c r="ID34" s="1814" t="str">
        <f t="shared" si="216"/>
        <v/>
      </c>
      <c r="IE34" s="1814" t="str">
        <f t="shared" si="217"/>
        <v/>
      </c>
      <c r="IF34" s="1814" t="str">
        <f t="shared" si="218"/>
        <v/>
      </c>
      <c r="IG34" s="1814" t="str">
        <f t="shared" si="219"/>
        <v/>
      </c>
      <c r="IH34" s="1814" t="str">
        <f t="shared" si="220"/>
        <v/>
      </c>
      <c r="II34" s="1814" t="str">
        <f t="shared" si="221"/>
        <v/>
      </c>
      <c r="IJ34" s="1814" t="str">
        <f t="shared" si="222"/>
        <v/>
      </c>
      <c r="IK34" s="1814" t="str">
        <f t="shared" si="223"/>
        <v/>
      </c>
      <c r="IL34" s="1814" t="str">
        <f t="shared" si="224"/>
        <v/>
      </c>
      <c r="IM34" s="1814" t="str">
        <f t="shared" si="225"/>
        <v/>
      </c>
      <c r="IN34" s="1814" t="str">
        <f t="shared" si="226"/>
        <v/>
      </c>
      <c r="IO34" s="1814" t="str">
        <f t="shared" si="227"/>
        <v/>
      </c>
      <c r="IP34" s="1814" t="str">
        <f t="shared" si="228"/>
        <v/>
      </c>
      <c r="IQ34" s="1814" t="str">
        <f t="shared" si="229"/>
        <v/>
      </c>
      <c r="IR34" s="1814" t="str">
        <f t="shared" si="230"/>
        <v/>
      </c>
      <c r="IS34" s="1814" t="str">
        <f t="shared" si="231"/>
        <v/>
      </c>
      <c r="IT34" s="1814" t="str">
        <f t="shared" si="232"/>
        <v/>
      </c>
      <c r="IU34" s="1814" t="str">
        <f t="shared" si="233"/>
        <v/>
      </c>
      <c r="IV34" s="1814" t="str">
        <f t="shared" si="234"/>
        <v/>
      </c>
      <c r="IW34" s="1814" t="str">
        <f t="shared" si="235"/>
        <v/>
      </c>
      <c r="IX34" s="1814" t="str">
        <f t="shared" si="236"/>
        <v/>
      </c>
      <c r="IY34" s="1814" t="str">
        <f t="shared" si="237"/>
        <v/>
      </c>
      <c r="IZ34" s="1814" t="str">
        <f t="shared" si="238"/>
        <v/>
      </c>
      <c r="JA34" s="1814" t="str">
        <f t="shared" si="239"/>
        <v/>
      </c>
      <c r="JB34" s="1814" t="str">
        <f t="shared" si="240"/>
        <v/>
      </c>
      <c r="JC34" s="1814" t="str">
        <f t="shared" si="241"/>
        <v/>
      </c>
      <c r="JD34" s="1814" t="str">
        <f t="shared" si="242"/>
        <v/>
      </c>
      <c r="JE34" s="1814" t="str">
        <f t="shared" si="243"/>
        <v/>
      </c>
      <c r="JF34" s="1814" t="str">
        <f t="shared" si="244"/>
        <v/>
      </c>
      <c r="JG34" s="1814" t="str">
        <f t="shared" si="245"/>
        <v/>
      </c>
      <c r="JH34" s="1814" t="str">
        <f t="shared" si="246"/>
        <v/>
      </c>
      <c r="JI34" s="1814" t="str">
        <f t="shared" si="247"/>
        <v/>
      </c>
      <c r="JJ34" s="1814" t="str">
        <f t="shared" si="248"/>
        <v/>
      </c>
      <c r="JK34" s="1814" t="str">
        <f t="shared" si="249"/>
        <v/>
      </c>
      <c r="JL34" s="1814" t="str">
        <f t="shared" si="250"/>
        <v/>
      </c>
      <c r="JM34" s="1814" t="str">
        <f t="shared" si="251"/>
        <v/>
      </c>
      <c r="JN34" s="1814" t="str">
        <f t="shared" si="252"/>
        <v/>
      </c>
      <c r="JO34" s="1814" t="str">
        <f t="shared" si="253"/>
        <v/>
      </c>
      <c r="JP34" s="1814" t="str">
        <f t="shared" si="254"/>
        <v/>
      </c>
      <c r="JQ34" s="1814" t="str">
        <f t="shared" si="255"/>
        <v/>
      </c>
      <c r="JR34" s="1814" t="str">
        <f t="shared" si="256"/>
        <v/>
      </c>
      <c r="JS34" s="1814" t="str">
        <f t="shared" si="257"/>
        <v/>
      </c>
      <c r="JT34" s="1814" t="str">
        <f t="shared" si="258"/>
        <v/>
      </c>
      <c r="JU34" s="1814" t="str">
        <f t="shared" si="259"/>
        <v/>
      </c>
      <c r="JV34" s="1814" t="str">
        <f t="shared" si="260"/>
        <v/>
      </c>
      <c r="JW34" s="1814" t="str">
        <f t="shared" si="261"/>
        <v/>
      </c>
      <c r="JX34" s="1814" t="str">
        <f t="shared" si="262"/>
        <v/>
      </c>
      <c r="JY34" s="1814" t="str">
        <f t="shared" si="263"/>
        <v/>
      </c>
      <c r="JZ34" s="1814" t="str">
        <f t="shared" si="264"/>
        <v/>
      </c>
      <c r="KA34" s="1814" t="str">
        <f t="shared" si="265"/>
        <v/>
      </c>
      <c r="KB34" s="1814" t="str">
        <f t="shared" si="266"/>
        <v/>
      </c>
      <c r="KC34" s="1814" t="str">
        <f t="shared" si="267"/>
        <v/>
      </c>
      <c r="KD34" s="1814" t="str">
        <f t="shared" si="268"/>
        <v/>
      </c>
      <c r="KE34" s="1814" t="str">
        <f t="shared" si="269"/>
        <v/>
      </c>
      <c r="KF34" s="1814" t="str">
        <f t="shared" si="270"/>
        <v/>
      </c>
      <c r="KG34" s="1814" t="str">
        <f t="shared" si="271"/>
        <v/>
      </c>
      <c r="KH34" s="1814" t="str">
        <f t="shared" si="272"/>
        <v/>
      </c>
      <c r="KI34" s="1814" t="str">
        <f t="shared" si="273"/>
        <v/>
      </c>
      <c r="KJ34" s="1814" t="str">
        <f t="shared" si="274"/>
        <v/>
      </c>
      <c r="KK34" s="1814" t="str">
        <f t="shared" si="275"/>
        <v/>
      </c>
      <c r="KL34" s="1814" t="str">
        <f t="shared" si="276"/>
        <v/>
      </c>
      <c r="KM34" s="1814" t="str">
        <f t="shared" si="277"/>
        <v/>
      </c>
      <c r="KN34" s="1814" t="str">
        <f t="shared" si="278"/>
        <v/>
      </c>
      <c r="KO34" s="1814" t="str">
        <f t="shared" si="279"/>
        <v/>
      </c>
      <c r="KP34" s="1814" t="str">
        <f t="shared" si="280"/>
        <v/>
      </c>
      <c r="KQ34" s="1814" t="str">
        <f t="shared" si="281"/>
        <v/>
      </c>
      <c r="KR34" s="1814" t="str">
        <f t="shared" si="282"/>
        <v/>
      </c>
      <c r="KS34" s="1814" t="str">
        <f t="shared" si="283"/>
        <v/>
      </c>
      <c r="KT34" s="1814" t="str">
        <f t="shared" si="284"/>
        <v/>
      </c>
      <c r="KU34" s="1814" t="str">
        <f t="shared" si="285"/>
        <v/>
      </c>
      <c r="KV34" s="1814" t="str">
        <f t="shared" si="286"/>
        <v/>
      </c>
      <c r="KW34" s="1814" t="str">
        <f t="shared" si="287"/>
        <v/>
      </c>
      <c r="KX34" s="1814" t="str">
        <f t="shared" si="288"/>
        <v/>
      </c>
      <c r="KY34" s="1814" t="str">
        <f t="shared" si="289"/>
        <v/>
      </c>
      <c r="KZ34" s="1814" t="str">
        <f t="shared" si="290"/>
        <v/>
      </c>
      <c r="LA34" s="1814" t="str">
        <f t="shared" si="291"/>
        <v/>
      </c>
      <c r="LB34" s="1814" t="str">
        <f t="shared" si="292"/>
        <v/>
      </c>
      <c r="LC34" s="1814" t="str">
        <f t="shared" si="293"/>
        <v/>
      </c>
      <c r="LD34" s="1814" t="str">
        <f t="shared" si="294"/>
        <v/>
      </c>
      <c r="LE34" s="1814" t="str">
        <f t="shared" si="295"/>
        <v/>
      </c>
      <c r="LF34" s="1814" t="str">
        <f t="shared" si="296"/>
        <v/>
      </c>
      <c r="LG34" s="1786" t="str">
        <f t="shared" si="297"/>
        <v/>
      </c>
      <c r="LH34" s="1786" t="str">
        <f t="shared" si="298"/>
        <v/>
      </c>
      <c r="LI34" s="1786" t="str">
        <f t="shared" si="299"/>
        <v/>
      </c>
      <c r="LJ34" s="1786" t="str">
        <f t="shared" si="300"/>
        <v/>
      </c>
      <c r="LK34" s="1786" t="str">
        <f t="shared" si="301"/>
        <v/>
      </c>
      <c r="LL34" s="430" t="str">
        <f t="shared" si="302"/>
        <v/>
      </c>
      <c r="LM34" s="430" t="str">
        <f t="shared" si="303"/>
        <v/>
      </c>
      <c r="LN34" s="430" t="str">
        <f t="shared" si="304"/>
        <v/>
      </c>
      <c r="LO34" s="430" t="str">
        <f t="shared" si="305"/>
        <v/>
      </c>
      <c r="LP34" s="430" t="str">
        <f t="shared" si="306"/>
        <v/>
      </c>
      <c r="LQ34" s="430" t="str">
        <f t="shared" si="307"/>
        <v/>
      </c>
      <c r="LR34" s="430" t="str">
        <f t="shared" si="308"/>
        <v/>
      </c>
      <c r="LS34" s="430" t="str">
        <f t="shared" si="309"/>
        <v/>
      </c>
      <c r="LT34" s="430" t="str">
        <f t="shared" si="310"/>
        <v/>
      </c>
      <c r="LU34" s="430" t="str">
        <f t="shared" si="311"/>
        <v/>
      </c>
      <c r="LV34" s="430" t="str">
        <f t="shared" si="312"/>
        <v/>
      </c>
      <c r="LW34" s="430" t="str">
        <f t="shared" si="313"/>
        <v/>
      </c>
      <c r="LX34" s="430" t="str">
        <f t="shared" si="314"/>
        <v/>
      </c>
      <c r="LY34" s="430" t="str">
        <f t="shared" si="315"/>
        <v/>
      </c>
      <c r="LZ34" s="430" t="str">
        <f t="shared" si="316"/>
        <v/>
      </c>
      <c r="MA34" s="430" t="str">
        <f t="shared" si="317"/>
        <v/>
      </c>
      <c r="MB34" s="430" t="str">
        <f t="shared" si="318"/>
        <v/>
      </c>
      <c r="MC34" s="430" t="str">
        <f t="shared" si="319"/>
        <v/>
      </c>
      <c r="MD34" s="430" t="str">
        <f t="shared" si="320"/>
        <v/>
      </c>
      <c r="ME34" s="430" t="str">
        <f t="shared" si="321"/>
        <v/>
      </c>
      <c r="MF34" s="1815">
        <f t="shared" si="328"/>
        <v>0</v>
      </c>
      <c r="MG34" s="1815">
        <f t="shared" si="329"/>
        <v>0</v>
      </c>
      <c r="MH34" s="1815">
        <f t="shared" si="330"/>
        <v>0</v>
      </c>
      <c r="MI34" s="1815">
        <f t="shared" si="331"/>
        <v>0</v>
      </c>
      <c r="MJ34" s="1815">
        <f t="shared" si="332"/>
        <v>0</v>
      </c>
      <c r="MK34" s="1815">
        <f t="shared" si="333"/>
        <v>0</v>
      </c>
      <c r="ML34" s="1815">
        <f t="shared" si="334"/>
        <v>0</v>
      </c>
      <c r="MM34" s="1815">
        <f t="shared" si="335"/>
        <v>0</v>
      </c>
      <c r="MN34" s="1815">
        <f t="shared" si="336"/>
        <v>0</v>
      </c>
      <c r="MO34" s="1815">
        <f t="shared" si="337"/>
        <v>0</v>
      </c>
      <c r="MP34" s="1815">
        <f t="shared" si="322"/>
        <v>0</v>
      </c>
      <c r="MQ34" s="1815">
        <f t="shared" si="323"/>
        <v>0</v>
      </c>
      <c r="MR34" s="1815">
        <f t="shared" si="324"/>
        <v>0</v>
      </c>
      <c r="MS34" s="1815">
        <f t="shared" si="325"/>
        <v>0</v>
      </c>
      <c r="MT34" s="1815">
        <f t="shared" si="326"/>
        <v>0</v>
      </c>
      <c r="NP34" s="2807" t="s">
        <v>6740</v>
      </c>
    </row>
    <row r="35" spans="1:380" ht="13.9" customHeight="1">
      <c r="A35" s="108" t="str">
        <f t="shared" si="327"/>
        <v/>
      </c>
      <c r="B35" s="2896"/>
      <c r="C35" s="2869"/>
      <c r="D35" s="2870"/>
      <c r="E35" s="2871"/>
      <c r="F35" s="2871"/>
      <c r="G35" s="2871"/>
      <c r="H35" s="2871"/>
      <c r="I35" s="2871"/>
      <c r="J35" s="2897">
        <f>IF(C35="",0,HLOOKUP(C35,'Part V-Utility Allowances'!$I$11:$M$22,12))</f>
        <v>0</v>
      </c>
      <c r="K35" s="2873"/>
      <c r="L35" s="537">
        <f t="shared" si="0"/>
        <v>0</v>
      </c>
      <c r="M35" s="537">
        <f t="shared" si="1"/>
        <v>0</v>
      </c>
      <c r="N35" s="2712"/>
      <c r="O35" s="2874"/>
      <c r="P35" s="2712"/>
      <c r="Q35" s="2875"/>
      <c r="R35" s="2876"/>
      <c r="S35" s="2877"/>
      <c r="T35" s="3833"/>
      <c r="U35" s="3834"/>
      <c r="V35" s="3834"/>
      <c r="W35" s="3835"/>
      <c r="X35" s="430" t="str">
        <f t="shared" si="2"/>
        <v/>
      </c>
      <c r="Y35" s="430" t="str">
        <f t="shared" si="3"/>
        <v/>
      </c>
      <c r="Z35" s="430" t="str">
        <f t="shared" si="4"/>
        <v/>
      </c>
      <c r="AA35" s="430" t="str">
        <f t="shared" si="5"/>
        <v/>
      </c>
      <c r="AB35" s="430" t="str">
        <f t="shared" si="6"/>
        <v/>
      </c>
      <c r="AC35" s="430" t="str">
        <f t="shared" si="7"/>
        <v/>
      </c>
      <c r="AD35" s="430" t="str">
        <f t="shared" si="8"/>
        <v/>
      </c>
      <c r="AE35" s="430" t="str">
        <f t="shared" si="9"/>
        <v/>
      </c>
      <c r="AF35" s="430" t="str">
        <f t="shared" si="10"/>
        <v/>
      </c>
      <c r="AG35" s="430" t="str">
        <f t="shared" si="11"/>
        <v/>
      </c>
      <c r="AH35" s="430" t="str">
        <f t="shared" si="12"/>
        <v/>
      </c>
      <c r="AI35" s="430" t="str">
        <f t="shared" si="13"/>
        <v/>
      </c>
      <c r="AJ35" s="430" t="str">
        <f t="shared" si="14"/>
        <v/>
      </c>
      <c r="AK35" s="430" t="str">
        <f t="shared" si="15"/>
        <v/>
      </c>
      <c r="AL35" s="430" t="str">
        <f t="shared" si="16"/>
        <v/>
      </c>
      <c r="AM35" s="430" t="str">
        <f t="shared" si="17"/>
        <v/>
      </c>
      <c r="AN35" s="430" t="str">
        <f t="shared" si="18"/>
        <v/>
      </c>
      <c r="AO35" s="430" t="str">
        <f t="shared" si="19"/>
        <v/>
      </c>
      <c r="AP35" s="430" t="str">
        <f t="shared" si="20"/>
        <v/>
      </c>
      <c r="AQ35" s="430" t="str">
        <f t="shared" si="21"/>
        <v/>
      </c>
      <c r="AR35" s="430" t="str">
        <f t="shared" si="22"/>
        <v/>
      </c>
      <c r="AS35" s="430" t="str">
        <f t="shared" si="23"/>
        <v/>
      </c>
      <c r="AT35" s="430" t="str">
        <f t="shared" si="24"/>
        <v/>
      </c>
      <c r="AU35" s="430" t="str">
        <f t="shared" si="25"/>
        <v/>
      </c>
      <c r="AV35" s="430" t="str">
        <f t="shared" si="26"/>
        <v/>
      </c>
      <c r="AW35" s="430" t="str">
        <f t="shared" si="27"/>
        <v/>
      </c>
      <c r="AX35" s="430" t="str">
        <f t="shared" si="28"/>
        <v/>
      </c>
      <c r="AY35" s="430" t="str">
        <f t="shared" si="29"/>
        <v/>
      </c>
      <c r="AZ35" s="430" t="str">
        <f t="shared" si="30"/>
        <v/>
      </c>
      <c r="BA35" s="430" t="str">
        <f t="shared" si="31"/>
        <v/>
      </c>
      <c r="BB35" s="430" t="str">
        <f t="shared" si="32"/>
        <v/>
      </c>
      <c r="BC35" s="430" t="str">
        <f t="shared" si="33"/>
        <v/>
      </c>
      <c r="BD35" s="430" t="str">
        <f t="shared" si="34"/>
        <v/>
      </c>
      <c r="BE35" s="430" t="str">
        <f t="shared" si="35"/>
        <v/>
      </c>
      <c r="BF35" s="430" t="str">
        <f t="shared" si="36"/>
        <v/>
      </c>
      <c r="BG35" s="430" t="str">
        <f t="shared" si="37"/>
        <v/>
      </c>
      <c r="BH35" s="430" t="str">
        <f t="shared" si="38"/>
        <v/>
      </c>
      <c r="BI35" s="430" t="str">
        <f t="shared" si="39"/>
        <v/>
      </c>
      <c r="BJ35" s="430" t="str">
        <f t="shared" si="40"/>
        <v/>
      </c>
      <c r="BK35" s="430" t="str">
        <f t="shared" si="41"/>
        <v/>
      </c>
      <c r="BL35" s="430" t="str">
        <f t="shared" si="42"/>
        <v/>
      </c>
      <c r="BM35" s="430" t="str">
        <f t="shared" si="43"/>
        <v/>
      </c>
      <c r="BN35" s="430" t="str">
        <f t="shared" si="44"/>
        <v/>
      </c>
      <c r="BO35" s="430" t="str">
        <f t="shared" si="45"/>
        <v/>
      </c>
      <c r="BP35" s="430" t="str">
        <f t="shared" si="46"/>
        <v/>
      </c>
      <c r="BQ35" s="430" t="str">
        <f t="shared" si="47"/>
        <v/>
      </c>
      <c r="BR35" s="430" t="str">
        <f t="shared" si="48"/>
        <v/>
      </c>
      <c r="BS35" s="430" t="str">
        <f t="shared" si="49"/>
        <v/>
      </c>
      <c r="BT35" s="430" t="str">
        <f t="shared" si="50"/>
        <v/>
      </c>
      <c r="BU35" s="430" t="str">
        <f t="shared" si="51"/>
        <v/>
      </c>
      <c r="BV35" s="430" t="str">
        <f t="shared" si="52"/>
        <v/>
      </c>
      <c r="BW35" s="430" t="str">
        <f t="shared" si="53"/>
        <v/>
      </c>
      <c r="BX35" s="430" t="str">
        <f t="shared" si="54"/>
        <v/>
      </c>
      <c r="BY35" s="430" t="str">
        <f t="shared" si="55"/>
        <v/>
      </c>
      <c r="BZ35" s="430" t="str">
        <f t="shared" si="56"/>
        <v/>
      </c>
      <c r="CA35" s="430" t="str">
        <f t="shared" si="57"/>
        <v/>
      </c>
      <c r="CB35" s="430" t="str">
        <f t="shared" si="58"/>
        <v/>
      </c>
      <c r="CC35" s="430" t="str">
        <f t="shared" si="59"/>
        <v/>
      </c>
      <c r="CD35" s="430" t="str">
        <f t="shared" si="60"/>
        <v/>
      </c>
      <c r="CE35" s="430" t="str">
        <f t="shared" si="61"/>
        <v/>
      </c>
      <c r="CF35" s="430" t="str">
        <f t="shared" si="62"/>
        <v/>
      </c>
      <c r="CG35" s="430" t="str">
        <f t="shared" si="63"/>
        <v/>
      </c>
      <c r="CH35" s="430" t="str">
        <f t="shared" si="64"/>
        <v/>
      </c>
      <c r="CI35" s="430" t="str">
        <f t="shared" si="65"/>
        <v/>
      </c>
      <c r="CJ35" s="430" t="str">
        <f t="shared" si="66"/>
        <v/>
      </c>
      <c r="CK35" s="430" t="str">
        <f t="shared" si="67"/>
        <v/>
      </c>
      <c r="CL35" s="430" t="str">
        <f t="shared" si="68"/>
        <v/>
      </c>
      <c r="CM35" s="430" t="str">
        <f t="shared" si="69"/>
        <v/>
      </c>
      <c r="CN35" s="430" t="str">
        <f t="shared" si="70"/>
        <v/>
      </c>
      <c r="CO35" s="430" t="str">
        <f t="shared" si="71"/>
        <v/>
      </c>
      <c r="CP35" s="430" t="str">
        <f t="shared" si="72"/>
        <v/>
      </c>
      <c r="CQ35" s="430" t="str">
        <f t="shared" si="73"/>
        <v/>
      </c>
      <c r="CR35" s="430" t="str">
        <f t="shared" si="74"/>
        <v/>
      </c>
      <c r="CS35" s="430" t="str">
        <f t="shared" si="75"/>
        <v/>
      </c>
      <c r="CT35" s="430" t="str">
        <f t="shared" si="76"/>
        <v/>
      </c>
      <c r="CU35" s="430" t="str">
        <f t="shared" si="77"/>
        <v/>
      </c>
      <c r="CV35" s="430" t="str">
        <f t="shared" si="78"/>
        <v/>
      </c>
      <c r="CW35" s="430" t="str">
        <f t="shared" si="79"/>
        <v/>
      </c>
      <c r="CX35" s="430" t="str">
        <f t="shared" si="80"/>
        <v/>
      </c>
      <c r="CY35" s="430" t="str">
        <f t="shared" si="81"/>
        <v/>
      </c>
      <c r="CZ35" s="430" t="str">
        <f t="shared" si="82"/>
        <v/>
      </c>
      <c r="DA35" s="430" t="str">
        <f t="shared" si="83"/>
        <v/>
      </c>
      <c r="DB35" s="430" t="str">
        <f t="shared" si="84"/>
        <v/>
      </c>
      <c r="DC35" s="430" t="str">
        <f t="shared" si="85"/>
        <v/>
      </c>
      <c r="DD35" s="430" t="str">
        <f t="shared" si="86"/>
        <v/>
      </c>
      <c r="DE35" s="430" t="str">
        <f t="shared" si="87"/>
        <v/>
      </c>
      <c r="DF35" s="430" t="str">
        <f t="shared" si="88"/>
        <v/>
      </c>
      <c r="DG35" s="430" t="str">
        <f t="shared" si="89"/>
        <v/>
      </c>
      <c r="DH35" s="430" t="str">
        <f t="shared" si="90"/>
        <v/>
      </c>
      <c r="DI35" s="430" t="str">
        <f t="shared" si="91"/>
        <v/>
      </c>
      <c r="DJ35" s="430" t="str">
        <f t="shared" si="92"/>
        <v/>
      </c>
      <c r="DK35" s="430" t="str">
        <f t="shared" si="93"/>
        <v/>
      </c>
      <c r="DL35" s="430" t="str">
        <f t="shared" si="94"/>
        <v/>
      </c>
      <c r="DM35" s="430" t="str">
        <f t="shared" si="95"/>
        <v/>
      </c>
      <c r="DN35" s="430" t="str">
        <f t="shared" si="96"/>
        <v/>
      </c>
      <c r="DO35" s="430" t="str">
        <f t="shared" si="97"/>
        <v/>
      </c>
      <c r="DP35" s="430" t="str">
        <f t="shared" si="98"/>
        <v/>
      </c>
      <c r="DQ35" s="430" t="str">
        <f t="shared" si="99"/>
        <v/>
      </c>
      <c r="DR35" s="430" t="str">
        <f t="shared" si="100"/>
        <v/>
      </c>
      <c r="DS35" s="430" t="str">
        <f t="shared" si="101"/>
        <v/>
      </c>
      <c r="DT35" s="430" t="str">
        <f t="shared" si="102"/>
        <v/>
      </c>
      <c r="DU35" s="430" t="str">
        <f t="shared" si="103"/>
        <v/>
      </c>
      <c r="DV35" s="430" t="str">
        <f t="shared" si="104"/>
        <v/>
      </c>
      <c r="DW35" s="430" t="str">
        <f t="shared" si="105"/>
        <v/>
      </c>
      <c r="DX35" s="430" t="str">
        <f t="shared" si="106"/>
        <v/>
      </c>
      <c r="DY35" s="430" t="str">
        <f t="shared" si="107"/>
        <v/>
      </c>
      <c r="DZ35" s="430" t="str">
        <f t="shared" si="108"/>
        <v/>
      </c>
      <c r="EA35" s="430" t="str">
        <f t="shared" si="109"/>
        <v/>
      </c>
      <c r="EB35" s="430" t="str">
        <f t="shared" si="110"/>
        <v/>
      </c>
      <c r="EC35" s="430" t="str">
        <f t="shared" si="111"/>
        <v/>
      </c>
      <c r="ED35" s="430" t="str">
        <f t="shared" si="112"/>
        <v/>
      </c>
      <c r="EE35" s="430" t="str">
        <f t="shared" si="113"/>
        <v/>
      </c>
      <c r="EF35" s="430" t="str">
        <f t="shared" si="114"/>
        <v/>
      </c>
      <c r="EG35" s="430" t="str">
        <f t="shared" si="115"/>
        <v/>
      </c>
      <c r="EH35" s="430" t="str">
        <f t="shared" si="116"/>
        <v/>
      </c>
      <c r="EI35" s="430" t="str">
        <f t="shared" si="117"/>
        <v/>
      </c>
      <c r="EJ35" s="430" t="str">
        <f t="shared" si="118"/>
        <v/>
      </c>
      <c r="EK35" s="430" t="str">
        <f t="shared" si="119"/>
        <v/>
      </c>
      <c r="EL35" s="430" t="str">
        <f t="shared" si="120"/>
        <v/>
      </c>
      <c r="EM35" s="430" t="str">
        <f t="shared" si="121"/>
        <v/>
      </c>
      <c r="EN35" s="430" t="str">
        <f t="shared" si="122"/>
        <v/>
      </c>
      <c r="EO35" s="430" t="str">
        <f t="shared" si="123"/>
        <v/>
      </c>
      <c r="EP35" s="430" t="str">
        <f t="shared" si="124"/>
        <v/>
      </c>
      <c r="EQ35" s="430" t="str">
        <f t="shared" si="125"/>
        <v/>
      </c>
      <c r="ER35" s="430" t="str">
        <f t="shared" si="126"/>
        <v/>
      </c>
      <c r="ES35" s="430" t="str">
        <f t="shared" si="127"/>
        <v/>
      </c>
      <c r="ET35" s="430" t="str">
        <f t="shared" si="128"/>
        <v/>
      </c>
      <c r="EU35" s="430" t="str">
        <f t="shared" si="129"/>
        <v/>
      </c>
      <c r="EV35" s="430" t="str">
        <f t="shared" si="130"/>
        <v/>
      </c>
      <c r="EW35" s="430" t="str">
        <f t="shared" si="131"/>
        <v/>
      </c>
      <c r="EX35" s="430" t="str">
        <f t="shared" si="132"/>
        <v/>
      </c>
      <c r="EY35" s="430" t="str">
        <f t="shared" si="133"/>
        <v/>
      </c>
      <c r="EZ35" s="430" t="str">
        <f t="shared" si="134"/>
        <v/>
      </c>
      <c r="FA35" s="430" t="str">
        <f t="shared" si="135"/>
        <v/>
      </c>
      <c r="FB35" s="430" t="str">
        <f t="shared" si="136"/>
        <v/>
      </c>
      <c r="FC35" s="430" t="str">
        <f t="shared" si="137"/>
        <v/>
      </c>
      <c r="FD35" s="430" t="str">
        <f t="shared" si="138"/>
        <v/>
      </c>
      <c r="FE35" s="430" t="str">
        <f t="shared" si="139"/>
        <v/>
      </c>
      <c r="FF35" s="430" t="str">
        <f t="shared" si="140"/>
        <v/>
      </c>
      <c r="FG35" s="430" t="str">
        <f t="shared" si="141"/>
        <v/>
      </c>
      <c r="FH35" s="430" t="str">
        <f t="shared" si="142"/>
        <v/>
      </c>
      <c r="FI35" s="430" t="str">
        <f t="shared" si="143"/>
        <v/>
      </c>
      <c r="FJ35" s="430" t="str">
        <f t="shared" si="144"/>
        <v/>
      </c>
      <c r="FK35" s="430" t="str">
        <f t="shared" si="145"/>
        <v/>
      </c>
      <c r="FL35" s="430" t="str">
        <f t="shared" si="146"/>
        <v/>
      </c>
      <c r="FM35" s="430" t="str">
        <f t="shared" si="147"/>
        <v/>
      </c>
      <c r="FN35" s="430" t="str">
        <f t="shared" si="148"/>
        <v/>
      </c>
      <c r="FO35" s="430" t="str">
        <f t="shared" si="149"/>
        <v/>
      </c>
      <c r="FP35" s="430" t="str">
        <f t="shared" si="150"/>
        <v/>
      </c>
      <c r="FQ35" s="430" t="str">
        <f t="shared" si="151"/>
        <v/>
      </c>
      <c r="FR35" s="430" t="str">
        <f t="shared" si="152"/>
        <v/>
      </c>
      <c r="FS35" s="430" t="str">
        <f t="shared" si="153"/>
        <v/>
      </c>
      <c r="FT35" s="430" t="str">
        <f t="shared" si="154"/>
        <v/>
      </c>
      <c r="FU35" s="430" t="str">
        <f t="shared" si="155"/>
        <v/>
      </c>
      <c r="FV35" s="430" t="str">
        <f t="shared" si="156"/>
        <v/>
      </c>
      <c r="FW35" s="430" t="str">
        <f t="shared" si="157"/>
        <v/>
      </c>
      <c r="FX35" s="430" t="str">
        <f t="shared" si="158"/>
        <v/>
      </c>
      <c r="FY35" s="430" t="str">
        <f t="shared" si="159"/>
        <v/>
      </c>
      <c r="FZ35" s="430" t="str">
        <f t="shared" si="160"/>
        <v/>
      </c>
      <c r="GA35" s="430" t="str">
        <f t="shared" si="161"/>
        <v/>
      </c>
      <c r="GB35" s="430" t="str">
        <f t="shared" si="162"/>
        <v/>
      </c>
      <c r="GC35" s="430" t="str">
        <f t="shared" si="163"/>
        <v/>
      </c>
      <c r="GD35" s="430" t="str">
        <f t="shared" si="164"/>
        <v/>
      </c>
      <c r="GE35" s="430" t="str">
        <f t="shared" si="165"/>
        <v/>
      </c>
      <c r="GF35" s="430" t="str">
        <f t="shared" si="166"/>
        <v/>
      </c>
      <c r="GG35" s="430" t="str">
        <f t="shared" si="167"/>
        <v/>
      </c>
      <c r="GH35" s="430" t="str">
        <f t="shared" si="168"/>
        <v/>
      </c>
      <c r="GI35" s="430" t="str">
        <f t="shared" si="169"/>
        <v/>
      </c>
      <c r="GJ35" s="430" t="str">
        <f t="shared" si="170"/>
        <v/>
      </c>
      <c r="GK35" s="430" t="str">
        <f t="shared" si="171"/>
        <v/>
      </c>
      <c r="GL35" s="430" t="str">
        <f t="shared" si="172"/>
        <v/>
      </c>
      <c r="GM35" s="430" t="str">
        <f t="shared" si="173"/>
        <v/>
      </c>
      <c r="GN35" s="430" t="str">
        <f t="shared" si="174"/>
        <v/>
      </c>
      <c r="GO35" s="430" t="str">
        <f t="shared" si="175"/>
        <v/>
      </c>
      <c r="GP35" s="430" t="str">
        <f t="shared" si="176"/>
        <v/>
      </c>
      <c r="GQ35" s="430" t="str">
        <f t="shared" si="177"/>
        <v/>
      </c>
      <c r="GR35" s="430" t="str">
        <f t="shared" si="178"/>
        <v/>
      </c>
      <c r="GS35" s="430" t="str">
        <f t="shared" si="179"/>
        <v/>
      </c>
      <c r="GT35" s="430" t="str">
        <f t="shared" si="180"/>
        <v/>
      </c>
      <c r="GU35" s="430" t="str">
        <f t="shared" si="181"/>
        <v/>
      </c>
      <c r="GV35" s="430" t="str">
        <f t="shared" si="182"/>
        <v/>
      </c>
      <c r="GW35" s="430" t="str">
        <f t="shared" si="183"/>
        <v/>
      </c>
      <c r="GX35" s="430" t="str">
        <f t="shared" si="184"/>
        <v/>
      </c>
      <c r="GY35" s="430" t="str">
        <f t="shared" si="185"/>
        <v/>
      </c>
      <c r="GZ35" s="430" t="str">
        <f t="shared" si="186"/>
        <v/>
      </c>
      <c r="HA35" s="430" t="str">
        <f t="shared" si="187"/>
        <v/>
      </c>
      <c r="HB35" s="430" t="str">
        <f t="shared" si="188"/>
        <v/>
      </c>
      <c r="HC35" s="430" t="str">
        <f t="shared" si="189"/>
        <v/>
      </c>
      <c r="HD35" s="430" t="str">
        <f t="shared" si="190"/>
        <v/>
      </c>
      <c r="HE35" s="430" t="str">
        <f t="shared" si="191"/>
        <v/>
      </c>
      <c r="HF35" s="430" t="str">
        <f t="shared" si="192"/>
        <v/>
      </c>
      <c r="HG35" s="430" t="str">
        <f t="shared" si="193"/>
        <v/>
      </c>
      <c r="HH35" s="430" t="str">
        <f t="shared" si="194"/>
        <v/>
      </c>
      <c r="HI35" s="430" t="str">
        <f t="shared" si="195"/>
        <v/>
      </c>
      <c r="HJ35" s="430" t="str">
        <f t="shared" si="196"/>
        <v/>
      </c>
      <c r="HK35" s="430" t="str">
        <f t="shared" si="197"/>
        <v/>
      </c>
      <c r="HL35" s="430" t="str">
        <f t="shared" si="198"/>
        <v/>
      </c>
      <c r="HM35" s="430" t="str">
        <f t="shared" si="199"/>
        <v/>
      </c>
      <c r="HN35" s="430" t="str">
        <f t="shared" si="200"/>
        <v/>
      </c>
      <c r="HO35" s="430" t="str">
        <f t="shared" si="201"/>
        <v/>
      </c>
      <c r="HP35" s="430" t="str">
        <f t="shared" si="202"/>
        <v/>
      </c>
      <c r="HQ35" s="430" t="str">
        <f t="shared" si="203"/>
        <v/>
      </c>
      <c r="HR35" s="430" t="str">
        <f t="shared" si="204"/>
        <v/>
      </c>
      <c r="HS35" s="430" t="str">
        <f t="shared" si="205"/>
        <v/>
      </c>
      <c r="HT35" s="430" t="str">
        <f t="shared" si="206"/>
        <v/>
      </c>
      <c r="HU35" s="430" t="str">
        <f t="shared" si="207"/>
        <v/>
      </c>
      <c r="HV35" s="430" t="str">
        <f t="shared" si="208"/>
        <v/>
      </c>
      <c r="HW35" s="430" t="str">
        <f t="shared" si="209"/>
        <v/>
      </c>
      <c r="HX35" s="430" t="str">
        <f t="shared" si="210"/>
        <v/>
      </c>
      <c r="HY35" s="430" t="str">
        <f t="shared" si="211"/>
        <v/>
      </c>
      <c r="HZ35" s="1814" t="str">
        <f t="shared" si="212"/>
        <v/>
      </c>
      <c r="IA35" s="1814" t="str">
        <f t="shared" si="213"/>
        <v/>
      </c>
      <c r="IB35" s="1814" t="str">
        <f t="shared" si="214"/>
        <v/>
      </c>
      <c r="IC35" s="1814" t="str">
        <f t="shared" si="215"/>
        <v/>
      </c>
      <c r="ID35" s="1814" t="str">
        <f t="shared" si="216"/>
        <v/>
      </c>
      <c r="IE35" s="1814" t="str">
        <f t="shared" si="217"/>
        <v/>
      </c>
      <c r="IF35" s="1814" t="str">
        <f t="shared" si="218"/>
        <v/>
      </c>
      <c r="IG35" s="1814" t="str">
        <f t="shared" si="219"/>
        <v/>
      </c>
      <c r="IH35" s="1814" t="str">
        <f t="shared" si="220"/>
        <v/>
      </c>
      <c r="II35" s="1814" t="str">
        <f t="shared" si="221"/>
        <v/>
      </c>
      <c r="IJ35" s="1814" t="str">
        <f t="shared" si="222"/>
        <v/>
      </c>
      <c r="IK35" s="1814" t="str">
        <f t="shared" si="223"/>
        <v/>
      </c>
      <c r="IL35" s="1814" t="str">
        <f t="shared" si="224"/>
        <v/>
      </c>
      <c r="IM35" s="1814" t="str">
        <f t="shared" si="225"/>
        <v/>
      </c>
      <c r="IN35" s="1814" t="str">
        <f t="shared" si="226"/>
        <v/>
      </c>
      <c r="IO35" s="1814" t="str">
        <f t="shared" si="227"/>
        <v/>
      </c>
      <c r="IP35" s="1814" t="str">
        <f t="shared" si="228"/>
        <v/>
      </c>
      <c r="IQ35" s="1814" t="str">
        <f t="shared" si="229"/>
        <v/>
      </c>
      <c r="IR35" s="1814" t="str">
        <f t="shared" si="230"/>
        <v/>
      </c>
      <c r="IS35" s="1814" t="str">
        <f t="shared" si="231"/>
        <v/>
      </c>
      <c r="IT35" s="1814" t="str">
        <f t="shared" si="232"/>
        <v/>
      </c>
      <c r="IU35" s="1814" t="str">
        <f t="shared" si="233"/>
        <v/>
      </c>
      <c r="IV35" s="1814" t="str">
        <f t="shared" si="234"/>
        <v/>
      </c>
      <c r="IW35" s="1814" t="str">
        <f t="shared" si="235"/>
        <v/>
      </c>
      <c r="IX35" s="1814" t="str">
        <f t="shared" si="236"/>
        <v/>
      </c>
      <c r="IY35" s="1814" t="str">
        <f t="shared" si="237"/>
        <v/>
      </c>
      <c r="IZ35" s="1814" t="str">
        <f t="shared" si="238"/>
        <v/>
      </c>
      <c r="JA35" s="1814" t="str">
        <f t="shared" si="239"/>
        <v/>
      </c>
      <c r="JB35" s="1814" t="str">
        <f t="shared" si="240"/>
        <v/>
      </c>
      <c r="JC35" s="1814" t="str">
        <f t="shared" si="241"/>
        <v/>
      </c>
      <c r="JD35" s="1814" t="str">
        <f t="shared" si="242"/>
        <v/>
      </c>
      <c r="JE35" s="1814" t="str">
        <f t="shared" si="243"/>
        <v/>
      </c>
      <c r="JF35" s="1814" t="str">
        <f t="shared" si="244"/>
        <v/>
      </c>
      <c r="JG35" s="1814" t="str">
        <f t="shared" si="245"/>
        <v/>
      </c>
      <c r="JH35" s="1814" t="str">
        <f t="shared" si="246"/>
        <v/>
      </c>
      <c r="JI35" s="1814" t="str">
        <f t="shared" si="247"/>
        <v/>
      </c>
      <c r="JJ35" s="1814" t="str">
        <f t="shared" si="248"/>
        <v/>
      </c>
      <c r="JK35" s="1814" t="str">
        <f t="shared" si="249"/>
        <v/>
      </c>
      <c r="JL35" s="1814" t="str">
        <f t="shared" si="250"/>
        <v/>
      </c>
      <c r="JM35" s="1814" t="str">
        <f t="shared" si="251"/>
        <v/>
      </c>
      <c r="JN35" s="1814" t="str">
        <f t="shared" si="252"/>
        <v/>
      </c>
      <c r="JO35" s="1814" t="str">
        <f t="shared" si="253"/>
        <v/>
      </c>
      <c r="JP35" s="1814" t="str">
        <f t="shared" si="254"/>
        <v/>
      </c>
      <c r="JQ35" s="1814" t="str">
        <f t="shared" si="255"/>
        <v/>
      </c>
      <c r="JR35" s="1814" t="str">
        <f t="shared" si="256"/>
        <v/>
      </c>
      <c r="JS35" s="1814" t="str">
        <f t="shared" si="257"/>
        <v/>
      </c>
      <c r="JT35" s="1814" t="str">
        <f t="shared" si="258"/>
        <v/>
      </c>
      <c r="JU35" s="1814" t="str">
        <f t="shared" si="259"/>
        <v/>
      </c>
      <c r="JV35" s="1814" t="str">
        <f t="shared" si="260"/>
        <v/>
      </c>
      <c r="JW35" s="1814" t="str">
        <f t="shared" si="261"/>
        <v/>
      </c>
      <c r="JX35" s="1814" t="str">
        <f t="shared" si="262"/>
        <v/>
      </c>
      <c r="JY35" s="1814" t="str">
        <f t="shared" si="263"/>
        <v/>
      </c>
      <c r="JZ35" s="1814" t="str">
        <f t="shared" si="264"/>
        <v/>
      </c>
      <c r="KA35" s="1814" t="str">
        <f t="shared" si="265"/>
        <v/>
      </c>
      <c r="KB35" s="1814" t="str">
        <f t="shared" si="266"/>
        <v/>
      </c>
      <c r="KC35" s="1814" t="str">
        <f t="shared" si="267"/>
        <v/>
      </c>
      <c r="KD35" s="1814" t="str">
        <f t="shared" si="268"/>
        <v/>
      </c>
      <c r="KE35" s="1814" t="str">
        <f t="shared" si="269"/>
        <v/>
      </c>
      <c r="KF35" s="1814" t="str">
        <f t="shared" si="270"/>
        <v/>
      </c>
      <c r="KG35" s="1814" t="str">
        <f t="shared" si="271"/>
        <v/>
      </c>
      <c r="KH35" s="1814" t="str">
        <f t="shared" si="272"/>
        <v/>
      </c>
      <c r="KI35" s="1814" t="str">
        <f t="shared" si="273"/>
        <v/>
      </c>
      <c r="KJ35" s="1814" t="str">
        <f t="shared" si="274"/>
        <v/>
      </c>
      <c r="KK35" s="1814" t="str">
        <f t="shared" si="275"/>
        <v/>
      </c>
      <c r="KL35" s="1814" t="str">
        <f t="shared" si="276"/>
        <v/>
      </c>
      <c r="KM35" s="1814" t="str">
        <f t="shared" si="277"/>
        <v/>
      </c>
      <c r="KN35" s="1814" t="str">
        <f t="shared" si="278"/>
        <v/>
      </c>
      <c r="KO35" s="1814" t="str">
        <f t="shared" si="279"/>
        <v/>
      </c>
      <c r="KP35" s="1814" t="str">
        <f t="shared" si="280"/>
        <v/>
      </c>
      <c r="KQ35" s="1814" t="str">
        <f t="shared" si="281"/>
        <v/>
      </c>
      <c r="KR35" s="1814" t="str">
        <f t="shared" si="282"/>
        <v/>
      </c>
      <c r="KS35" s="1814" t="str">
        <f t="shared" si="283"/>
        <v/>
      </c>
      <c r="KT35" s="1814" t="str">
        <f t="shared" si="284"/>
        <v/>
      </c>
      <c r="KU35" s="1814" t="str">
        <f t="shared" si="285"/>
        <v/>
      </c>
      <c r="KV35" s="1814" t="str">
        <f t="shared" si="286"/>
        <v/>
      </c>
      <c r="KW35" s="1814" t="str">
        <f t="shared" si="287"/>
        <v/>
      </c>
      <c r="KX35" s="1814" t="str">
        <f t="shared" si="288"/>
        <v/>
      </c>
      <c r="KY35" s="1814" t="str">
        <f t="shared" si="289"/>
        <v/>
      </c>
      <c r="KZ35" s="1814" t="str">
        <f t="shared" si="290"/>
        <v/>
      </c>
      <c r="LA35" s="1814" t="str">
        <f t="shared" si="291"/>
        <v/>
      </c>
      <c r="LB35" s="1814" t="str">
        <f t="shared" si="292"/>
        <v/>
      </c>
      <c r="LC35" s="1814" t="str">
        <f t="shared" si="293"/>
        <v/>
      </c>
      <c r="LD35" s="1814" t="str">
        <f t="shared" si="294"/>
        <v/>
      </c>
      <c r="LE35" s="1814" t="str">
        <f t="shared" si="295"/>
        <v/>
      </c>
      <c r="LF35" s="1814" t="str">
        <f t="shared" si="296"/>
        <v/>
      </c>
      <c r="LG35" s="1786" t="str">
        <f t="shared" si="297"/>
        <v/>
      </c>
      <c r="LH35" s="1786" t="str">
        <f t="shared" si="298"/>
        <v/>
      </c>
      <c r="LI35" s="1786" t="str">
        <f t="shared" si="299"/>
        <v/>
      </c>
      <c r="LJ35" s="1786" t="str">
        <f t="shared" si="300"/>
        <v/>
      </c>
      <c r="LK35" s="1786" t="str">
        <f t="shared" si="301"/>
        <v/>
      </c>
      <c r="LL35" s="430" t="str">
        <f t="shared" si="302"/>
        <v/>
      </c>
      <c r="LM35" s="430" t="str">
        <f t="shared" si="303"/>
        <v/>
      </c>
      <c r="LN35" s="430" t="str">
        <f t="shared" si="304"/>
        <v/>
      </c>
      <c r="LO35" s="430" t="str">
        <f t="shared" si="305"/>
        <v/>
      </c>
      <c r="LP35" s="430" t="str">
        <f t="shared" si="306"/>
        <v/>
      </c>
      <c r="LQ35" s="430" t="str">
        <f t="shared" si="307"/>
        <v/>
      </c>
      <c r="LR35" s="430" t="str">
        <f t="shared" si="308"/>
        <v/>
      </c>
      <c r="LS35" s="430" t="str">
        <f t="shared" si="309"/>
        <v/>
      </c>
      <c r="LT35" s="430" t="str">
        <f t="shared" si="310"/>
        <v/>
      </c>
      <c r="LU35" s="430" t="str">
        <f t="shared" si="311"/>
        <v/>
      </c>
      <c r="LV35" s="430" t="str">
        <f t="shared" si="312"/>
        <v/>
      </c>
      <c r="LW35" s="430" t="str">
        <f t="shared" si="313"/>
        <v/>
      </c>
      <c r="LX35" s="430" t="str">
        <f t="shared" si="314"/>
        <v/>
      </c>
      <c r="LY35" s="430" t="str">
        <f t="shared" si="315"/>
        <v/>
      </c>
      <c r="LZ35" s="430" t="str">
        <f t="shared" si="316"/>
        <v/>
      </c>
      <c r="MA35" s="430" t="str">
        <f t="shared" si="317"/>
        <v/>
      </c>
      <c r="MB35" s="430" t="str">
        <f t="shared" si="318"/>
        <v/>
      </c>
      <c r="MC35" s="430" t="str">
        <f t="shared" si="319"/>
        <v/>
      </c>
      <c r="MD35" s="430" t="str">
        <f t="shared" si="320"/>
        <v/>
      </c>
      <c r="ME35" s="430" t="str">
        <f t="shared" si="321"/>
        <v/>
      </c>
      <c r="MF35" s="1815">
        <f t="shared" si="328"/>
        <v>0</v>
      </c>
      <c r="MG35" s="1815">
        <f t="shared" si="329"/>
        <v>0</v>
      </c>
      <c r="MH35" s="1815">
        <f t="shared" si="330"/>
        <v>0</v>
      </c>
      <c r="MI35" s="1815">
        <f t="shared" si="331"/>
        <v>0</v>
      </c>
      <c r="MJ35" s="1815">
        <f t="shared" si="332"/>
        <v>0</v>
      </c>
      <c r="MK35" s="1815">
        <f t="shared" si="333"/>
        <v>0</v>
      </c>
      <c r="ML35" s="1815">
        <f t="shared" si="334"/>
        <v>0</v>
      </c>
      <c r="MM35" s="1815">
        <f t="shared" si="335"/>
        <v>0</v>
      </c>
      <c r="MN35" s="1815">
        <f t="shared" si="336"/>
        <v>0</v>
      </c>
      <c r="MO35" s="1815">
        <f t="shared" si="337"/>
        <v>0</v>
      </c>
      <c r="MP35" s="1815">
        <f t="shared" si="322"/>
        <v>0</v>
      </c>
      <c r="MQ35" s="1815">
        <f t="shared" si="323"/>
        <v>0</v>
      </c>
      <c r="MR35" s="1815">
        <f t="shared" si="324"/>
        <v>0</v>
      </c>
      <c r="MS35" s="1815">
        <f t="shared" si="325"/>
        <v>0</v>
      </c>
      <c r="MT35" s="1815">
        <f t="shared" si="326"/>
        <v>0</v>
      </c>
      <c r="NP35" s="2807" t="s">
        <v>6741</v>
      </c>
    </row>
    <row r="36" spans="1:380" ht="13.9" customHeight="1">
      <c r="A36" s="108" t="str">
        <f t="shared" si="327"/>
        <v/>
      </c>
      <c r="B36" s="2896"/>
      <c r="C36" s="2869"/>
      <c r="D36" s="2870"/>
      <c r="E36" s="2871"/>
      <c r="F36" s="2871"/>
      <c r="G36" s="2871"/>
      <c r="H36" s="2871"/>
      <c r="I36" s="2871"/>
      <c r="J36" s="2897">
        <f>IF(C36="",0,HLOOKUP(C36,'Part V-Utility Allowances'!$I$11:$M$22,12))</f>
        <v>0</v>
      </c>
      <c r="K36" s="2873"/>
      <c r="L36" s="537">
        <f t="shared" si="0"/>
        <v>0</v>
      </c>
      <c r="M36" s="537">
        <f t="shared" si="1"/>
        <v>0</v>
      </c>
      <c r="N36" s="2712"/>
      <c r="O36" s="2874"/>
      <c r="P36" s="2712"/>
      <c r="Q36" s="2875"/>
      <c r="R36" s="2876"/>
      <c r="S36" s="2877"/>
      <c r="T36" s="3833"/>
      <c r="U36" s="3834"/>
      <c r="V36" s="3834"/>
      <c r="W36" s="3835"/>
      <c r="X36" s="430" t="str">
        <f t="shared" si="2"/>
        <v/>
      </c>
      <c r="Y36" s="430" t="str">
        <f t="shared" si="3"/>
        <v/>
      </c>
      <c r="Z36" s="430" t="str">
        <f t="shared" si="4"/>
        <v/>
      </c>
      <c r="AA36" s="430" t="str">
        <f t="shared" si="5"/>
        <v/>
      </c>
      <c r="AB36" s="430" t="str">
        <f t="shared" si="6"/>
        <v/>
      </c>
      <c r="AC36" s="430" t="str">
        <f t="shared" si="7"/>
        <v/>
      </c>
      <c r="AD36" s="430" t="str">
        <f t="shared" si="8"/>
        <v/>
      </c>
      <c r="AE36" s="430" t="str">
        <f t="shared" si="9"/>
        <v/>
      </c>
      <c r="AF36" s="430" t="str">
        <f t="shared" si="10"/>
        <v/>
      </c>
      <c r="AG36" s="430" t="str">
        <f t="shared" si="11"/>
        <v/>
      </c>
      <c r="AH36" s="430" t="str">
        <f t="shared" si="12"/>
        <v/>
      </c>
      <c r="AI36" s="430" t="str">
        <f t="shared" si="13"/>
        <v/>
      </c>
      <c r="AJ36" s="430" t="str">
        <f t="shared" si="14"/>
        <v/>
      </c>
      <c r="AK36" s="430" t="str">
        <f t="shared" si="15"/>
        <v/>
      </c>
      <c r="AL36" s="430" t="str">
        <f t="shared" si="16"/>
        <v/>
      </c>
      <c r="AM36" s="430" t="str">
        <f t="shared" si="17"/>
        <v/>
      </c>
      <c r="AN36" s="430" t="str">
        <f t="shared" si="18"/>
        <v/>
      </c>
      <c r="AO36" s="430" t="str">
        <f t="shared" si="19"/>
        <v/>
      </c>
      <c r="AP36" s="430" t="str">
        <f t="shared" si="20"/>
        <v/>
      </c>
      <c r="AQ36" s="430" t="str">
        <f t="shared" si="21"/>
        <v/>
      </c>
      <c r="AR36" s="430" t="str">
        <f t="shared" si="22"/>
        <v/>
      </c>
      <c r="AS36" s="430" t="str">
        <f t="shared" si="23"/>
        <v/>
      </c>
      <c r="AT36" s="430" t="str">
        <f t="shared" si="24"/>
        <v/>
      </c>
      <c r="AU36" s="430" t="str">
        <f t="shared" si="25"/>
        <v/>
      </c>
      <c r="AV36" s="430" t="str">
        <f t="shared" si="26"/>
        <v/>
      </c>
      <c r="AW36" s="430" t="str">
        <f t="shared" si="27"/>
        <v/>
      </c>
      <c r="AX36" s="430" t="str">
        <f t="shared" si="28"/>
        <v/>
      </c>
      <c r="AY36" s="430" t="str">
        <f t="shared" si="29"/>
        <v/>
      </c>
      <c r="AZ36" s="430" t="str">
        <f t="shared" si="30"/>
        <v/>
      </c>
      <c r="BA36" s="430" t="str">
        <f t="shared" si="31"/>
        <v/>
      </c>
      <c r="BB36" s="430" t="str">
        <f t="shared" si="32"/>
        <v/>
      </c>
      <c r="BC36" s="430" t="str">
        <f t="shared" si="33"/>
        <v/>
      </c>
      <c r="BD36" s="430" t="str">
        <f t="shared" si="34"/>
        <v/>
      </c>
      <c r="BE36" s="430" t="str">
        <f t="shared" si="35"/>
        <v/>
      </c>
      <c r="BF36" s="430" t="str">
        <f t="shared" si="36"/>
        <v/>
      </c>
      <c r="BG36" s="430" t="str">
        <f t="shared" si="37"/>
        <v/>
      </c>
      <c r="BH36" s="430" t="str">
        <f t="shared" si="38"/>
        <v/>
      </c>
      <c r="BI36" s="430" t="str">
        <f t="shared" si="39"/>
        <v/>
      </c>
      <c r="BJ36" s="430" t="str">
        <f t="shared" si="40"/>
        <v/>
      </c>
      <c r="BK36" s="430" t="str">
        <f t="shared" si="41"/>
        <v/>
      </c>
      <c r="BL36" s="430" t="str">
        <f t="shared" si="42"/>
        <v/>
      </c>
      <c r="BM36" s="430" t="str">
        <f t="shared" si="43"/>
        <v/>
      </c>
      <c r="BN36" s="430" t="str">
        <f t="shared" si="44"/>
        <v/>
      </c>
      <c r="BO36" s="430" t="str">
        <f t="shared" si="45"/>
        <v/>
      </c>
      <c r="BP36" s="430" t="str">
        <f t="shared" si="46"/>
        <v/>
      </c>
      <c r="BQ36" s="430" t="str">
        <f t="shared" si="47"/>
        <v/>
      </c>
      <c r="BR36" s="430" t="str">
        <f t="shared" si="48"/>
        <v/>
      </c>
      <c r="BS36" s="430" t="str">
        <f t="shared" si="49"/>
        <v/>
      </c>
      <c r="BT36" s="430" t="str">
        <f t="shared" si="50"/>
        <v/>
      </c>
      <c r="BU36" s="430" t="str">
        <f t="shared" si="51"/>
        <v/>
      </c>
      <c r="BV36" s="430" t="str">
        <f t="shared" si="52"/>
        <v/>
      </c>
      <c r="BW36" s="430" t="str">
        <f t="shared" si="53"/>
        <v/>
      </c>
      <c r="BX36" s="430" t="str">
        <f t="shared" si="54"/>
        <v/>
      </c>
      <c r="BY36" s="430" t="str">
        <f t="shared" si="55"/>
        <v/>
      </c>
      <c r="BZ36" s="430" t="str">
        <f t="shared" si="56"/>
        <v/>
      </c>
      <c r="CA36" s="430" t="str">
        <f t="shared" si="57"/>
        <v/>
      </c>
      <c r="CB36" s="430" t="str">
        <f t="shared" si="58"/>
        <v/>
      </c>
      <c r="CC36" s="430" t="str">
        <f t="shared" si="59"/>
        <v/>
      </c>
      <c r="CD36" s="430" t="str">
        <f t="shared" si="60"/>
        <v/>
      </c>
      <c r="CE36" s="430" t="str">
        <f t="shared" si="61"/>
        <v/>
      </c>
      <c r="CF36" s="430" t="str">
        <f t="shared" si="62"/>
        <v/>
      </c>
      <c r="CG36" s="430" t="str">
        <f t="shared" si="63"/>
        <v/>
      </c>
      <c r="CH36" s="430" t="str">
        <f t="shared" si="64"/>
        <v/>
      </c>
      <c r="CI36" s="430" t="str">
        <f t="shared" si="65"/>
        <v/>
      </c>
      <c r="CJ36" s="430" t="str">
        <f t="shared" si="66"/>
        <v/>
      </c>
      <c r="CK36" s="430" t="str">
        <f t="shared" si="67"/>
        <v/>
      </c>
      <c r="CL36" s="430" t="str">
        <f t="shared" si="68"/>
        <v/>
      </c>
      <c r="CM36" s="430" t="str">
        <f t="shared" si="69"/>
        <v/>
      </c>
      <c r="CN36" s="430" t="str">
        <f t="shared" si="70"/>
        <v/>
      </c>
      <c r="CO36" s="430" t="str">
        <f t="shared" si="71"/>
        <v/>
      </c>
      <c r="CP36" s="430" t="str">
        <f t="shared" si="72"/>
        <v/>
      </c>
      <c r="CQ36" s="430" t="str">
        <f t="shared" si="73"/>
        <v/>
      </c>
      <c r="CR36" s="430" t="str">
        <f t="shared" si="74"/>
        <v/>
      </c>
      <c r="CS36" s="430" t="str">
        <f t="shared" si="75"/>
        <v/>
      </c>
      <c r="CT36" s="430" t="str">
        <f t="shared" si="76"/>
        <v/>
      </c>
      <c r="CU36" s="430" t="str">
        <f t="shared" si="77"/>
        <v/>
      </c>
      <c r="CV36" s="430" t="str">
        <f t="shared" si="78"/>
        <v/>
      </c>
      <c r="CW36" s="430" t="str">
        <f t="shared" si="79"/>
        <v/>
      </c>
      <c r="CX36" s="430" t="str">
        <f t="shared" si="80"/>
        <v/>
      </c>
      <c r="CY36" s="430" t="str">
        <f t="shared" si="81"/>
        <v/>
      </c>
      <c r="CZ36" s="430" t="str">
        <f t="shared" si="82"/>
        <v/>
      </c>
      <c r="DA36" s="430" t="str">
        <f t="shared" si="83"/>
        <v/>
      </c>
      <c r="DB36" s="430" t="str">
        <f t="shared" si="84"/>
        <v/>
      </c>
      <c r="DC36" s="430" t="str">
        <f t="shared" si="85"/>
        <v/>
      </c>
      <c r="DD36" s="430" t="str">
        <f t="shared" si="86"/>
        <v/>
      </c>
      <c r="DE36" s="430" t="str">
        <f t="shared" si="87"/>
        <v/>
      </c>
      <c r="DF36" s="430" t="str">
        <f t="shared" si="88"/>
        <v/>
      </c>
      <c r="DG36" s="430" t="str">
        <f t="shared" si="89"/>
        <v/>
      </c>
      <c r="DH36" s="430" t="str">
        <f t="shared" si="90"/>
        <v/>
      </c>
      <c r="DI36" s="430" t="str">
        <f t="shared" si="91"/>
        <v/>
      </c>
      <c r="DJ36" s="430" t="str">
        <f t="shared" si="92"/>
        <v/>
      </c>
      <c r="DK36" s="430" t="str">
        <f t="shared" si="93"/>
        <v/>
      </c>
      <c r="DL36" s="430" t="str">
        <f t="shared" si="94"/>
        <v/>
      </c>
      <c r="DM36" s="430" t="str">
        <f t="shared" si="95"/>
        <v/>
      </c>
      <c r="DN36" s="430" t="str">
        <f t="shared" si="96"/>
        <v/>
      </c>
      <c r="DO36" s="430" t="str">
        <f t="shared" si="97"/>
        <v/>
      </c>
      <c r="DP36" s="430" t="str">
        <f t="shared" si="98"/>
        <v/>
      </c>
      <c r="DQ36" s="430" t="str">
        <f t="shared" si="99"/>
        <v/>
      </c>
      <c r="DR36" s="430" t="str">
        <f t="shared" si="100"/>
        <v/>
      </c>
      <c r="DS36" s="430" t="str">
        <f t="shared" si="101"/>
        <v/>
      </c>
      <c r="DT36" s="430" t="str">
        <f t="shared" si="102"/>
        <v/>
      </c>
      <c r="DU36" s="430" t="str">
        <f t="shared" si="103"/>
        <v/>
      </c>
      <c r="DV36" s="430" t="str">
        <f t="shared" si="104"/>
        <v/>
      </c>
      <c r="DW36" s="430" t="str">
        <f t="shared" si="105"/>
        <v/>
      </c>
      <c r="DX36" s="430" t="str">
        <f t="shared" si="106"/>
        <v/>
      </c>
      <c r="DY36" s="430" t="str">
        <f t="shared" si="107"/>
        <v/>
      </c>
      <c r="DZ36" s="430" t="str">
        <f t="shared" si="108"/>
        <v/>
      </c>
      <c r="EA36" s="430" t="str">
        <f t="shared" si="109"/>
        <v/>
      </c>
      <c r="EB36" s="430" t="str">
        <f t="shared" si="110"/>
        <v/>
      </c>
      <c r="EC36" s="430" t="str">
        <f t="shared" si="111"/>
        <v/>
      </c>
      <c r="ED36" s="430" t="str">
        <f t="shared" si="112"/>
        <v/>
      </c>
      <c r="EE36" s="430" t="str">
        <f t="shared" si="113"/>
        <v/>
      </c>
      <c r="EF36" s="430" t="str">
        <f t="shared" si="114"/>
        <v/>
      </c>
      <c r="EG36" s="430" t="str">
        <f t="shared" si="115"/>
        <v/>
      </c>
      <c r="EH36" s="430" t="str">
        <f t="shared" si="116"/>
        <v/>
      </c>
      <c r="EI36" s="430" t="str">
        <f t="shared" si="117"/>
        <v/>
      </c>
      <c r="EJ36" s="430" t="str">
        <f t="shared" si="118"/>
        <v/>
      </c>
      <c r="EK36" s="430" t="str">
        <f t="shared" si="119"/>
        <v/>
      </c>
      <c r="EL36" s="430" t="str">
        <f t="shared" si="120"/>
        <v/>
      </c>
      <c r="EM36" s="430" t="str">
        <f t="shared" si="121"/>
        <v/>
      </c>
      <c r="EN36" s="430" t="str">
        <f t="shared" si="122"/>
        <v/>
      </c>
      <c r="EO36" s="430" t="str">
        <f t="shared" si="123"/>
        <v/>
      </c>
      <c r="EP36" s="430" t="str">
        <f t="shared" si="124"/>
        <v/>
      </c>
      <c r="EQ36" s="430" t="str">
        <f t="shared" si="125"/>
        <v/>
      </c>
      <c r="ER36" s="430" t="str">
        <f t="shared" si="126"/>
        <v/>
      </c>
      <c r="ES36" s="430" t="str">
        <f t="shared" si="127"/>
        <v/>
      </c>
      <c r="ET36" s="430" t="str">
        <f t="shared" si="128"/>
        <v/>
      </c>
      <c r="EU36" s="430" t="str">
        <f t="shared" si="129"/>
        <v/>
      </c>
      <c r="EV36" s="430" t="str">
        <f t="shared" si="130"/>
        <v/>
      </c>
      <c r="EW36" s="430" t="str">
        <f t="shared" si="131"/>
        <v/>
      </c>
      <c r="EX36" s="430" t="str">
        <f t="shared" si="132"/>
        <v/>
      </c>
      <c r="EY36" s="430" t="str">
        <f t="shared" si="133"/>
        <v/>
      </c>
      <c r="EZ36" s="430" t="str">
        <f t="shared" si="134"/>
        <v/>
      </c>
      <c r="FA36" s="430" t="str">
        <f t="shared" si="135"/>
        <v/>
      </c>
      <c r="FB36" s="430" t="str">
        <f t="shared" si="136"/>
        <v/>
      </c>
      <c r="FC36" s="430" t="str">
        <f t="shared" si="137"/>
        <v/>
      </c>
      <c r="FD36" s="430" t="str">
        <f t="shared" si="138"/>
        <v/>
      </c>
      <c r="FE36" s="430" t="str">
        <f t="shared" si="139"/>
        <v/>
      </c>
      <c r="FF36" s="430" t="str">
        <f t="shared" si="140"/>
        <v/>
      </c>
      <c r="FG36" s="430" t="str">
        <f t="shared" si="141"/>
        <v/>
      </c>
      <c r="FH36" s="430" t="str">
        <f t="shared" si="142"/>
        <v/>
      </c>
      <c r="FI36" s="430" t="str">
        <f t="shared" si="143"/>
        <v/>
      </c>
      <c r="FJ36" s="430" t="str">
        <f t="shared" si="144"/>
        <v/>
      </c>
      <c r="FK36" s="430" t="str">
        <f t="shared" si="145"/>
        <v/>
      </c>
      <c r="FL36" s="430" t="str">
        <f t="shared" si="146"/>
        <v/>
      </c>
      <c r="FM36" s="430" t="str">
        <f t="shared" si="147"/>
        <v/>
      </c>
      <c r="FN36" s="430" t="str">
        <f t="shared" si="148"/>
        <v/>
      </c>
      <c r="FO36" s="430" t="str">
        <f t="shared" si="149"/>
        <v/>
      </c>
      <c r="FP36" s="430" t="str">
        <f t="shared" si="150"/>
        <v/>
      </c>
      <c r="FQ36" s="430" t="str">
        <f t="shared" si="151"/>
        <v/>
      </c>
      <c r="FR36" s="430" t="str">
        <f t="shared" si="152"/>
        <v/>
      </c>
      <c r="FS36" s="430" t="str">
        <f t="shared" si="153"/>
        <v/>
      </c>
      <c r="FT36" s="430" t="str">
        <f t="shared" si="154"/>
        <v/>
      </c>
      <c r="FU36" s="430" t="str">
        <f t="shared" si="155"/>
        <v/>
      </c>
      <c r="FV36" s="430" t="str">
        <f t="shared" si="156"/>
        <v/>
      </c>
      <c r="FW36" s="430" t="str">
        <f t="shared" si="157"/>
        <v/>
      </c>
      <c r="FX36" s="430" t="str">
        <f t="shared" si="158"/>
        <v/>
      </c>
      <c r="FY36" s="430" t="str">
        <f t="shared" si="159"/>
        <v/>
      </c>
      <c r="FZ36" s="430" t="str">
        <f t="shared" si="160"/>
        <v/>
      </c>
      <c r="GA36" s="430" t="str">
        <f t="shared" si="161"/>
        <v/>
      </c>
      <c r="GB36" s="430" t="str">
        <f t="shared" si="162"/>
        <v/>
      </c>
      <c r="GC36" s="430" t="str">
        <f t="shared" si="163"/>
        <v/>
      </c>
      <c r="GD36" s="430" t="str">
        <f t="shared" si="164"/>
        <v/>
      </c>
      <c r="GE36" s="430" t="str">
        <f t="shared" si="165"/>
        <v/>
      </c>
      <c r="GF36" s="430" t="str">
        <f t="shared" si="166"/>
        <v/>
      </c>
      <c r="GG36" s="430" t="str">
        <f t="shared" si="167"/>
        <v/>
      </c>
      <c r="GH36" s="430" t="str">
        <f t="shared" si="168"/>
        <v/>
      </c>
      <c r="GI36" s="430" t="str">
        <f t="shared" si="169"/>
        <v/>
      </c>
      <c r="GJ36" s="430" t="str">
        <f t="shared" si="170"/>
        <v/>
      </c>
      <c r="GK36" s="430" t="str">
        <f t="shared" si="171"/>
        <v/>
      </c>
      <c r="GL36" s="430" t="str">
        <f t="shared" si="172"/>
        <v/>
      </c>
      <c r="GM36" s="430" t="str">
        <f t="shared" si="173"/>
        <v/>
      </c>
      <c r="GN36" s="430" t="str">
        <f t="shared" si="174"/>
        <v/>
      </c>
      <c r="GO36" s="430" t="str">
        <f t="shared" si="175"/>
        <v/>
      </c>
      <c r="GP36" s="430" t="str">
        <f t="shared" si="176"/>
        <v/>
      </c>
      <c r="GQ36" s="430" t="str">
        <f t="shared" si="177"/>
        <v/>
      </c>
      <c r="GR36" s="430" t="str">
        <f t="shared" si="178"/>
        <v/>
      </c>
      <c r="GS36" s="430" t="str">
        <f t="shared" si="179"/>
        <v/>
      </c>
      <c r="GT36" s="430" t="str">
        <f t="shared" si="180"/>
        <v/>
      </c>
      <c r="GU36" s="430" t="str">
        <f t="shared" si="181"/>
        <v/>
      </c>
      <c r="GV36" s="430" t="str">
        <f t="shared" si="182"/>
        <v/>
      </c>
      <c r="GW36" s="430" t="str">
        <f t="shared" si="183"/>
        <v/>
      </c>
      <c r="GX36" s="430" t="str">
        <f t="shared" si="184"/>
        <v/>
      </c>
      <c r="GY36" s="430" t="str">
        <f t="shared" si="185"/>
        <v/>
      </c>
      <c r="GZ36" s="430" t="str">
        <f t="shared" si="186"/>
        <v/>
      </c>
      <c r="HA36" s="430" t="str">
        <f t="shared" si="187"/>
        <v/>
      </c>
      <c r="HB36" s="430" t="str">
        <f t="shared" si="188"/>
        <v/>
      </c>
      <c r="HC36" s="430" t="str">
        <f t="shared" si="189"/>
        <v/>
      </c>
      <c r="HD36" s="430" t="str">
        <f t="shared" si="190"/>
        <v/>
      </c>
      <c r="HE36" s="430" t="str">
        <f t="shared" si="191"/>
        <v/>
      </c>
      <c r="HF36" s="430" t="str">
        <f t="shared" si="192"/>
        <v/>
      </c>
      <c r="HG36" s="430" t="str">
        <f t="shared" si="193"/>
        <v/>
      </c>
      <c r="HH36" s="430" t="str">
        <f t="shared" si="194"/>
        <v/>
      </c>
      <c r="HI36" s="430" t="str">
        <f t="shared" si="195"/>
        <v/>
      </c>
      <c r="HJ36" s="430" t="str">
        <f t="shared" si="196"/>
        <v/>
      </c>
      <c r="HK36" s="430" t="str">
        <f t="shared" si="197"/>
        <v/>
      </c>
      <c r="HL36" s="430" t="str">
        <f t="shared" si="198"/>
        <v/>
      </c>
      <c r="HM36" s="430" t="str">
        <f t="shared" si="199"/>
        <v/>
      </c>
      <c r="HN36" s="430" t="str">
        <f t="shared" si="200"/>
        <v/>
      </c>
      <c r="HO36" s="430" t="str">
        <f t="shared" si="201"/>
        <v/>
      </c>
      <c r="HP36" s="430" t="str">
        <f t="shared" si="202"/>
        <v/>
      </c>
      <c r="HQ36" s="430" t="str">
        <f t="shared" si="203"/>
        <v/>
      </c>
      <c r="HR36" s="430" t="str">
        <f t="shared" si="204"/>
        <v/>
      </c>
      <c r="HS36" s="430" t="str">
        <f t="shared" si="205"/>
        <v/>
      </c>
      <c r="HT36" s="430" t="str">
        <f t="shared" si="206"/>
        <v/>
      </c>
      <c r="HU36" s="430" t="str">
        <f t="shared" si="207"/>
        <v/>
      </c>
      <c r="HV36" s="430" t="str">
        <f t="shared" si="208"/>
        <v/>
      </c>
      <c r="HW36" s="430" t="str">
        <f t="shared" si="209"/>
        <v/>
      </c>
      <c r="HX36" s="430" t="str">
        <f t="shared" si="210"/>
        <v/>
      </c>
      <c r="HY36" s="430" t="str">
        <f t="shared" si="211"/>
        <v/>
      </c>
      <c r="HZ36" s="1814" t="str">
        <f t="shared" si="212"/>
        <v/>
      </c>
      <c r="IA36" s="1814" t="str">
        <f t="shared" si="213"/>
        <v/>
      </c>
      <c r="IB36" s="1814" t="str">
        <f t="shared" si="214"/>
        <v/>
      </c>
      <c r="IC36" s="1814" t="str">
        <f t="shared" si="215"/>
        <v/>
      </c>
      <c r="ID36" s="1814" t="str">
        <f t="shared" si="216"/>
        <v/>
      </c>
      <c r="IE36" s="1814" t="str">
        <f t="shared" si="217"/>
        <v/>
      </c>
      <c r="IF36" s="1814" t="str">
        <f t="shared" si="218"/>
        <v/>
      </c>
      <c r="IG36" s="1814" t="str">
        <f t="shared" si="219"/>
        <v/>
      </c>
      <c r="IH36" s="1814" t="str">
        <f t="shared" si="220"/>
        <v/>
      </c>
      <c r="II36" s="1814" t="str">
        <f t="shared" si="221"/>
        <v/>
      </c>
      <c r="IJ36" s="1814" t="str">
        <f t="shared" si="222"/>
        <v/>
      </c>
      <c r="IK36" s="1814" t="str">
        <f t="shared" si="223"/>
        <v/>
      </c>
      <c r="IL36" s="1814" t="str">
        <f t="shared" si="224"/>
        <v/>
      </c>
      <c r="IM36" s="1814" t="str">
        <f t="shared" si="225"/>
        <v/>
      </c>
      <c r="IN36" s="1814" t="str">
        <f t="shared" si="226"/>
        <v/>
      </c>
      <c r="IO36" s="1814" t="str">
        <f t="shared" si="227"/>
        <v/>
      </c>
      <c r="IP36" s="1814" t="str">
        <f t="shared" si="228"/>
        <v/>
      </c>
      <c r="IQ36" s="1814" t="str">
        <f t="shared" si="229"/>
        <v/>
      </c>
      <c r="IR36" s="1814" t="str">
        <f t="shared" si="230"/>
        <v/>
      </c>
      <c r="IS36" s="1814" t="str">
        <f t="shared" si="231"/>
        <v/>
      </c>
      <c r="IT36" s="1814" t="str">
        <f t="shared" si="232"/>
        <v/>
      </c>
      <c r="IU36" s="1814" t="str">
        <f t="shared" si="233"/>
        <v/>
      </c>
      <c r="IV36" s="1814" t="str">
        <f t="shared" si="234"/>
        <v/>
      </c>
      <c r="IW36" s="1814" t="str">
        <f t="shared" si="235"/>
        <v/>
      </c>
      <c r="IX36" s="1814" t="str">
        <f t="shared" si="236"/>
        <v/>
      </c>
      <c r="IY36" s="1814" t="str">
        <f t="shared" si="237"/>
        <v/>
      </c>
      <c r="IZ36" s="1814" t="str">
        <f t="shared" si="238"/>
        <v/>
      </c>
      <c r="JA36" s="1814" t="str">
        <f t="shared" si="239"/>
        <v/>
      </c>
      <c r="JB36" s="1814" t="str">
        <f t="shared" si="240"/>
        <v/>
      </c>
      <c r="JC36" s="1814" t="str">
        <f t="shared" si="241"/>
        <v/>
      </c>
      <c r="JD36" s="1814" t="str">
        <f t="shared" si="242"/>
        <v/>
      </c>
      <c r="JE36" s="1814" t="str">
        <f t="shared" si="243"/>
        <v/>
      </c>
      <c r="JF36" s="1814" t="str">
        <f t="shared" si="244"/>
        <v/>
      </c>
      <c r="JG36" s="1814" t="str">
        <f t="shared" si="245"/>
        <v/>
      </c>
      <c r="JH36" s="1814" t="str">
        <f t="shared" si="246"/>
        <v/>
      </c>
      <c r="JI36" s="1814" t="str">
        <f t="shared" si="247"/>
        <v/>
      </c>
      <c r="JJ36" s="1814" t="str">
        <f t="shared" si="248"/>
        <v/>
      </c>
      <c r="JK36" s="1814" t="str">
        <f t="shared" si="249"/>
        <v/>
      </c>
      <c r="JL36" s="1814" t="str">
        <f t="shared" si="250"/>
        <v/>
      </c>
      <c r="JM36" s="1814" t="str">
        <f t="shared" si="251"/>
        <v/>
      </c>
      <c r="JN36" s="1814" t="str">
        <f t="shared" si="252"/>
        <v/>
      </c>
      <c r="JO36" s="1814" t="str">
        <f t="shared" si="253"/>
        <v/>
      </c>
      <c r="JP36" s="1814" t="str">
        <f t="shared" si="254"/>
        <v/>
      </c>
      <c r="JQ36" s="1814" t="str">
        <f t="shared" si="255"/>
        <v/>
      </c>
      <c r="JR36" s="1814" t="str">
        <f t="shared" si="256"/>
        <v/>
      </c>
      <c r="JS36" s="1814" t="str">
        <f t="shared" si="257"/>
        <v/>
      </c>
      <c r="JT36" s="1814" t="str">
        <f t="shared" si="258"/>
        <v/>
      </c>
      <c r="JU36" s="1814" t="str">
        <f t="shared" si="259"/>
        <v/>
      </c>
      <c r="JV36" s="1814" t="str">
        <f t="shared" si="260"/>
        <v/>
      </c>
      <c r="JW36" s="1814" t="str">
        <f t="shared" si="261"/>
        <v/>
      </c>
      <c r="JX36" s="1814" t="str">
        <f t="shared" si="262"/>
        <v/>
      </c>
      <c r="JY36" s="1814" t="str">
        <f t="shared" si="263"/>
        <v/>
      </c>
      <c r="JZ36" s="1814" t="str">
        <f t="shared" si="264"/>
        <v/>
      </c>
      <c r="KA36" s="1814" t="str">
        <f t="shared" si="265"/>
        <v/>
      </c>
      <c r="KB36" s="1814" t="str">
        <f t="shared" si="266"/>
        <v/>
      </c>
      <c r="KC36" s="1814" t="str">
        <f t="shared" si="267"/>
        <v/>
      </c>
      <c r="KD36" s="1814" t="str">
        <f t="shared" si="268"/>
        <v/>
      </c>
      <c r="KE36" s="1814" t="str">
        <f t="shared" si="269"/>
        <v/>
      </c>
      <c r="KF36" s="1814" t="str">
        <f t="shared" si="270"/>
        <v/>
      </c>
      <c r="KG36" s="1814" t="str">
        <f t="shared" si="271"/>
        <v/>
      </c>
      <c r="KH36" s="1814" t="str">
        <f t="shared" si="272"/>
        <v/>
      </c>
      <c r="KI36" s="1814" t="str">
        <f t="shared" si="273"/>
        <v/>
      </c>
      <c r="KJ36" s="1814" t="str">
        <f t="shared" si="274"/>
        <v/>
      </c>
      <c r="KK36" s="1814" t="str">
        <f t="shared" si="275"/>
        <v/>
      </c>
      <c r="KL36" s="1814" t="str">
        <f t="shared" si="276"/>
        <v/>
      </c>
      <c r="KM36" s="1814" t="str">
        <f t="shared" si="277"/>
        <v/>
      </c>
      <c r="KN36" s="1814" t="str">
        <f t="shared" si="278"/>
        <v/>
      </c>
      <c r="KO36" s="1814" t="str">
        <f t="shared" si="279"/>
        <v/>
      </c>
      <c r="KP36" s="1814" t="str">
        <f t="shared" si="280"/>
        <v/>
      </c>
      <c r="KQ36" s="1814" t="str">
        <f t="shared" si="281"/>
        <v/>
      </c>
      <c r="KR36" s="1814" t="str">
        <f t="shared" si="282"/>
        <v/>
      </c>
      <c r="KS36" s="1814" t="str">
        <f t="shared" si="283"/>
        <v/>
      </c>
      <c r="KT36" s="1814" t="str">
        <f t="shared" si="284"/>
        <v/>
      </c>
      <c r="KU36" s="1814" t="str">
        <f t="shared" si="285"/>
        <v/>
      </c>
      <c r="KV36" s="1814" t="str">
        <f t="shared" si="286"/>
        <v/>
      </c>
      <c r="KW36" s="1814" t="str">
        <f t="shared" si="287"/>
        <v/>
      </c>
      <c r="KX36" s="1814" t="str">
        <f t="shared" si="288"/>
        <v/>
      </c>
      <c r="KY36" s="1814" t="str">
        <f t="shared" si="289"/>
        <v/>
      </c>
      <c r="KZ36" s="1814" t="str">
        <f t="shared" si="290"/>
        <v/>
      </c>
      <c r="LA36" s="1814" t="str">
        <f t="shared" si="291"/>
        <v/>
      </c>
      <c r="LB36" s="1814" t="str">
        <f t="shared" si="292"/>
        <v/>
      </c>
      <c r="LC36" s="1814" t="str">
        <f t="shared" si="293"/>
        <v/>
      </c>
      <c r="LD36" s="1814" t="str">
        <f t="shared" si="294"/>
        <v/>
      </c>
      <c r="LE36" s="1814" t="str">
        <f t="shared" si="295"/>
        <v/>
      </c>
      <c r="LF36" s="1814" t="str">
        <f t="shared" si="296"/>
        <v/>
      </c>
      <c r="LG36" s="1786" t="str">
        <f t="shared" si="297"/>
        <v/>
      </c>
      <c r="LH36" s="1786" t="str">
        <f t="shared" si="298"/>
        <v/>
      </c>
      <c r="LI36" s="1786" t="str">
        <f t="shared" si="299"/>
        <v/>
      </c>
      <c r="LJ36" s="1786" t="str">
        <f t="shared" si="300"/>
        <v/>
      </c>
      <c r="LK36" s="1786" t="str">
        <f t="shared" si="301"/>
        <v/>
      </c>
      <c r="LL36" s="430" t="str">
        <f t="shared" si="302"/>
        <v/>
      </c>
      <c r="LM36" s="430" t="str">
        <f t="shared" si="303"/>
        <v/>
      </c>
      <c r="LN36" s="430" t="str">
        <f t="shared" si="304"/>
        <v/>
      </c>
      <c r="LO36" s="430" t="str">
        <f t="shared" si="305"/>
        <v/>
      </c>
      <c r="LP36" s="430" t="str">
        <f t="shared" si="306"/>
        <v/>
      </c>
      <c r="LQ36" s="430" t="str">
        <f t="shared" si="307"/>
        <v/>
      </c>
      <c r="LR36" s="430" t="str">
        <f t="shared" si="308"/>
        <v/>
      </c>
      <c r="LS36" s="430" t="str">
        <f t="shared" si="309"/>
        <v/>
      </c>
      <c r="LT36" s="430" t="str">
        <f t="shared" si="310"/>
        <v/>
      </c>
      <c r="LU36" s="430" t="str">
        <f t="shared" si="311"/>
        <v/>
      </c>
      <c r="LV36" s="430" t="str">
        <f t="shared" si="312"/>
        <v/>
      </c>
      <c r="LW36" s="430" t="str">
        <f t="shared" si="313"/>
        <v/>
      </c>
      <c r="LX36" s="430" t="str">
        <f t="shared" si="314"/>
        <v/>
      </c>
      <c r="LY36" s="430" t="str">
        <f t="shared" si="315"/>
        <v/>
      </c>
      <c r="LZ36" s="430" t="str">
        <f t="shared" si="316"/>
        <v/>
      </c>
      <c r="MA36" s="430" t="str">
        <f t="shared" si="317"/>
        <v/>
      </c>
      <c r="MB36" s="430" t="str">
        <f t="shared" si="318"/>
        <v/>
      </c>
      <c r="MC36" s="430" t="str">
        <f t="shared" si="319"/>
        <v/>
      </c>
      <c r="MD36" s="430" t="str">
        <f t="shared" si="320"/>
        <v/>
      </c>
      <c r="ME36" s="430" t="str">
        <f t="shared" si="321"/>
        <v/>
      </c>
      <c r="MF36" s="1815">
        <f t="shared" si="328"/>
        <v>0</v>
      </c>
      <c r="MG36" s="1815">
        <f t="shared" si="329"/>
        <v>0</v>
      </c>
      <c r="MH36" s="1815">
        <f t="shared" si="330"/>
        <v>0</v>
      </c>
      <c r="MI36" s="1815">
        <f t="shared" si="331"/>
        <v>0</v>
      </c>
      <c r="MJ36" s="1815">
        <f t="shared" si="332"/>
        <v>0</v>
      </c>
      <c r="MK36" s="1815">
        <f t="shared" si="333"/>
        <v>0</v>
      </c>
      <c r="ML36" s="1815">
        <f t="shared" si="334"/>
        <v>0</v>
      </c>
      <c r="MM36" s="1815">
        <f t="shared" si="335"/>
        <v>0</v>
      </c>
      <c r="MN36" s="1815">
        <f t="shared" si="336"/>
        <v>0</v>
      </c>
      <c r="MO36" s="1815">
        <f t="shared" si="337"/>
        <v>0</v>
      </c>
      <c r="MP36" s="1815">
        <f t="shared" si="322"/>
        <v>0</v>
      </c>
      <c r="MQ36" s="1815">
        <f t="shared" si="323"/>
        <v>0</v>
      </c>
      <c r="MR36" s="1815">
        <f t="shared" si="324"/>
        <v>0</v>
      </c>
      <c r="MS36" s="1815">
        <f t="shared" si="325"/>
        <v>0</v>
      </c>
      <c r="MT36" s="1815">
        <f t="shared" si="326"/>
        <v>0</v>
      </c>
      <c r="NP36" s="2807" t="s">
        <v>6742</v>
      </c>
    </row>
    <row r="37" spans="1:380" ht="13.9" customHeight="1">
      <c r="A37" s="108" t="str">
        <f t="shared" si="327"/>
        <v/>
      </c>
      <c r="B37" s="2896"/>
      <c r="C37" s="2869"/>
      <c r="D37" s="2870"/>
      <c r="E37" s="2871"/>
      <c r="F37" s="2871"/>
      <c r="G37" s="2871"/>
      <c r="H37" s="2871"/>
      <c r="I37" s="2871"/>
      <c r="J37" s="2897">
        <f>IF(C37="",0,HLOOKUP(C37,'Part V-Utility Allowances'!$I$11:$M$22,12))</f>
        <v>0</v>
      </c>
      <c r="K37" s="2873"/>
      <c r="L37" s="537">
        <f t="shared" si="0"/>
        <v>0</v>
      </c>
      <c r="M37" s="537">
        <f t="shared" si="1"/>
        <v>0</v>
      </c>
      <c r="N37" s="2712"/>
      <c r="O37" s="2874"/>
      <c r="P37" s="2712"/>
      <c r="Q37" s="2875"/>
      <c r="R37" s="2876"/>
      <c r="S37" s="2877"/>
      <c r="T37" s="3833"/>
      <c r="U37" s="3834"/>
      <c r="V37" s="3834"/>
      <c r="W37" s="3835"/>
      <c r="X37" s="430" t="str">
        <f t="shared" si="2"/>
        <v/>
      </c>
      <c r="Y37" s="430" t="str">
        <f t="shared" si="3"/>
        <v/>
      </c>
      <c r="Z37" s="430" t="str">
        <f t="shared" si="4"/>
        <v/>
      </c>
      <c r="AA37" s="430" t="str">
        <f t="shared" si="5"/>
        <v/>
      </c>
      <c r="AB37" s="430" t="str">
        <f t="shared" si="6"/>
        <v/>
      </c>
      <c r="AC37" s="430" t="str">
        <f t="shared" si="7"/>
        <v/>
      </c>
      <c r="AD37" s="430" t="str">
        <f t="shared" si="8"/>
        <v/>
      </c>
      <c r="AE37" s="430" t="str">
        <f t="shared" si="9"/>
        <v/>
      </c>
      <c r="AF37" s="430" t="str">
        <f t="shared" si="10"/>
        <v/>
      </c>
      <c r="AG37" s="430" t="str">
        <f t="shared" si="11"/>
        <v/>
      </c>
      <c r="AH37" s="430" t="str">
        <f t="shared" si="12"/>
        <v/>
      </c>
      <c r="AI37" s="430" t="str">
        <f t="shared" si="13"/>
        <v/>
      </c>
      <c r="AJ37" s="430" t="str">
        <f t="shared" si="14"/>
        <v/>
      </c>
      <c r="AK37" s="430" t="str">
        <f t="shared" si="15"/>
        <v/>
      </c>
      <c r="AL37" s="430" t="str">
        <f t="shared" si="16"/>
        <v/>
      </c>
      <c r="AM37" s="430" t="str">
        <f t="shared" si="17"/>
        <v/>
      </c>
      <c r="AN37" s="430" t="str">
        <f t="shared" si="18"/>
        <v/>
      </c>
      <c r="AO37" s="430" t="str">
        <f t="shared" si="19"/>
        <v/>
      </c>
      <c r="AP37" s="430" t="str">
        <f t="shared" si="20"/>
        <v/>
      </c>
      <c r="AQ37" s="430" t="str">
        <f t="shared" si="21"/>
        <v/>
      </c>
      <c r="AR37" s="430" t="str">
        <f t="shared" si="22"/>
        <v/>
      </c>
      <c r="AS37" s="430" t="str">
        <f t="shared" si="23"/>
        <v/>
      </c>
      <c r="AT37" s="430" t="str">
        <f t="shared" si="24"/>
        <v/>
      </c>
      <c r="AU37" s="430" t="str">
        <f t="shared" si="25"/>
        <v/>
      </c>
      <c r="AV37" s="430" t="str">
        <f t="shared" si="26"/>
        <v/>
      </c>
      <c r="AW37" s="430" t="str">
        <f t="shared" si="27"/>
        <v/>
      </c>
      <c r="AX37" s="430" t="str">
        <f t="shared" si="28"/>
        <v/>
      </c>
      <c r="AY37" s="430" t="str">
        <f t="shared" si="29"/>
        <v/>
      </c>
      <c r="AZ37" s="430" t="str">
        <f t="shared" si="30"/>
        <v/>
      </c>
      <c r="BA37" s="430" t="str">
        <f t="shared" si="31"/>
        <v/>
      </c>
      <c r="BB37" s="430" t="str">
        <f t="shared" si="32"/>
        <v/>
      </c>
      <c r="BC37" s="430" t="str">
        <f t="shared" si="33"/>
        <v/>
      </c>
      <c r="BD37" s="430" t="str">
        <f t="shared" si="34"/>
        <v/>
      </c>
      <c r="BE37" s="430" t="str">
        <f t="shared" si="35"/>
        <v/>
      </c>
      <c r="BF37" s="430" t="str">
        <f t="shared" si="36"/>
        <v/>
      </c>
      <c r="BG37" s="430" t="str">
        <f t="shared" si="37"/>
        <v/>
      </c>
      <c r="BH37" s="430" t="str">
        <f t="shared" si="38"/>
        <v/>
      </c>
      <c r="BI37" s="430" t="str">
        <f t="shared" si="39"/>
        <v/>
      </c>
      <c r="BJ37" s="430" t="str">
        <f t="shared" si="40"/>
        <v/>
      </c>
      <c r="BK37" s="430" t="str">
        <f t="shared" si="41"/>
        <v/>
      </c>
      <c r="BL37" s="430" t="str">
        <f t="shared" si="42"/>
        <v/>
      </c>
      <c r="BM37" s="430" t="str">
        <f t="shared" si="43"/>
        <v/>
      </c>
      <c r="BN37" s="430" t="str">
        <f t="shared" si="44"/>
        <v/>
      </c>
      <c r="BO37" s="430" t="str">
        <f t="shared" si="45"/>
        <v/>
      </c>
      <c r="BP37" s="430" t="str">
        <f t="shared" si="46"/>
        <v/>
      </c>
      <c r="BQ37" s="430" t="str">
        <f t="shared" si="47"/>
        <v/>
      </c>
      <c r="BR37" s="430" t="str">
        <f t="shared" si="48"/>
        <v/>
      </c>
      <c r="BS37" s="430" t="str">
        <f t="shared" si="49"/>
        <v/>
      </c>
      <c r="BT37" s="430" t="str">
        <f t="shared" si="50"/>
        <v/>
      </c>
      <c r="BU37" s="430" t="str">
        <f t="shared" si="51"/>
        <v/>
      </c>
      <c r="BV37" s="430" t="str">
        <f t="shared" si="52"/>
        <v/>
      </c>
      <c r="BW37" s="430" t="str">
        <f t="shared" si="53"/>
        <v/>
      </c>
      <c r="BX37" s="430" t="str">
        <f t="shared" si="54"/>
        <v/>
      </c>
      <c r="BY37" s="430" t="str">
        <f t="shared" si="55"/>
        <v/>
      </c>
      <c r="BZ37" s="430" t="str">
        <f t="shared" si="56"/>
        <v/>
      </c>
      <c r="CA37" s="430" t="str">
        <f t="shared" si="57"/>
        <v/>
      </c>
      <c r="CB37" s="430" t="str">
        <f t="shared" si="58"/>
        <v/>
      </c>
      <c r="CC37" s="430" t="str">
        <f t="shared" si="59"/>
        <v/>
      </c>
      <c r="CD37" s="430" t="str">
        <f t="shared" si="60"/>
        <v/>
      </c>
      <c r="CE37" s="430" t="str">
        <f t="shared" si="61"/>
        <v/>
      </c>
      <c r="CF37" s="430" t="str">
        <f t="shared" si="62"/>
        <v/>
      </c>
      <c r="CG37" s="430" t="str">
        <f t="shared" si="63"/>
        <v/>
      </c>
      <c r="CH37" s="430" t="str">
        <f t="shared" si="64"/>
        <v/>
      </c>
      <c r="CI37" s="430" t="str">
        <f t="shared" si="65"/>
        <v/>
      </c>
      <c r="CJ37" s="430" t="str">
        <f t="shared" si="66"/>
        <v/>
      </c>
      <c r="CK37" s="430" t="str">
        <f t="shared" si="67"/>
        <v/>
      </c>
      <c r="CL37" s="430" t="str">
        <f t="shared" si="68"/>
        <v/>
      </c>
      <c r="CM37" s="430" t="str">
        <f t="shared" si="69"/>
        <v/>
      </c>
      <c r="CN37" s="430" t="str">
        <f t="shared" si="70"/>
        <v/>
      </c>
      <c r="CO37" s="430" t="str">
        <f t="shared" si="71"/>
        <v/>
      </c>
      <c r="CP37" s="430" t="str">
        <f t="shared" si="72"/>
        <v/>
      </c>
      <c r="CQ37" s="430" t="str">
        <f t="shared" si="73"/>
        <v/>
      </c>
      <c r="CR37" s="430" t="str">
        <f t="shared" si="74"/>
        <v/>
      </c>
      <c r="CS37" s="430" t="str">
        <f t="shared" si="75"/>
        <v/>
      </c>
      <c r="CT37" s="430" t="str">
        <f t="shared" si="76"/>
        <v/>
      </c>
      <c r="CU37" s="430" t="str">
        <f t="shared" si="77"/>
        <v/>
      </c>
      <c r="CV37" s="430" t="str">
        <f t="shared" si="78"/>
        <v/>
      </c>
      <c r="CW37" s="430" t="str">
        <f t="shared" si="79"/>
        <v/>
      </c>
      <c r="CX37" s="430" t="str">
        <f t="shared" si="80"/>
        <v/>
      </c>
      <c r="CY37" s="430" t="str">
        <f t="shared" si="81"/>
        <v/>
      </c>
      <c r="CZ37" s="430" t="str">
        <f t="shared" si="82"/>
        <v/>
      </c>
      <c r="DA37" s="430" t="str">
        <f t="shared" si="83"/>
        <v/>
      </c>
      <c r="DB37" s="430" t="str">
        <f t="shared" si="84"/>
        <v/>
      </c>
      <c r="DC37" s="430" t="str">
        <f t="shared" si="85"/>
        <v/>
      </c>
      <c r="DD37" s="430" t="str">
        <f t="shared" si="86"/>
        <v/>
      </c>
      <c r="DE37" s="430" t="str">
        <f t="shared" si="87"/>
        <v/>
      </c>
      <c r="DF37" s="430" t="str">
        <f t="shared" si="88"/>
        <v/>
      </c>
      <c r="DG37" s="430" t="str">
        <f t="shared" si="89"/>
        <v/>
      </c>
      <c r="DH37" s="430" t="str">
        <f t="shared" si="90"/>
        <v/>
      </c>
      <c r="DI37" s="430" t="str">
        <f t="shared" si="91"/>
        <v/>
      </c>
      <c r="DJ37" s="430" t="str">
        <f t="shared" si="92"/>
        <v/>
      </c>
      <c r="DK37" s="430" t="str">
        <f t="shared" si="93"/>
        <v/>
      </c>
      <c r="DL37" s="430" t="str">
        <f t="shared" si="94"/>
        <v/>
      </c>
      <c r="DM37" s="430" t="str">
        <f t="shared" si="95"/>
        <v/>
      </c>
      <c r="DN37" s="430" t="str">
        <f t="shared" si="96"/>
        <v/>
      </c>
      <c r="DO37" s="430" t="str">
        <f t="shared" si="97"/>
        <v/>
      </c>
      <c r="DP37" s="430" t="str">
        <f t="shared" si="98"/>
        <v/>
      </c>
      <c r="DQ37" s="430" t="str">
        <f t="shared" si="99"/>
        <v/>
      </c>
      <c r="DR37" s="430" t="str">
        <f t="shared" si="100"/>
        <v/>
      </c>
      <c r="DS37" s="430" t="str">
        <f t="shared" si="101"/>
        <v/>
      </c>
      <c r="DT37" s="430" t="str">
        <f t="shared" si="102"/>
        <v/>
      </c>
      <c r="DU37" s="430" t="str">
        <f t="shared" si="103"/>
        <v/>
      </c>
      <c r="DV37" s="430" t="str">
        <f t="shared" si="104"/>
        <v/>
      </c>
      <c r="DW37" s="430" t="str">
        <f t="shared" si="105"/>
        <v/>
      </c>
      <c r="DX37" s="430" t="str">
        <f t="shared" si="106"/>
        <v/>
      </c>
      <c r="DY37" s="430" t="str">
        <f t="shared" si="107"/>
        <v/>
      </c>
      <c r="DZ37" s="430" t="str">
        <f t="shared" si="108"/>
        <v/>
      </c>
      <c r="EA37" s="430" t="str">
        <f t="shared" si="109"/>
        <v/>
      </c>
      <c r="EB37" s="430" t="str">
        <f t="shared" si="110"/>
        <v/>
      </c>
      <c r="EC37" s="430" t="str">
        <f t="shared" si="111"/>
        <v/>
      </c>
      <c r="ED37" s="430" t="str">
        <f t="shared" si="112"/>
        <v/>
      </c>
      <c r="EE37" s="430" t="str">
        <f t="shared" si="113"/>
        <v/>
      </c>
      <c r="EF37" s="430" t="str">
        <f t="shared" si="114"/>
        <v/>
      </c>
      <c r="EG37" s="430" t="str">
        <f t="shared" si="115"/>
        <v/>
      </c>
      <c r="EH37" s="430" t="str">
        <f t="shared" si="116"/>
        <v/>
      </c>
      <c r="EI37" s="430" t="str">
        <f t="shared" si="117"/>
        <v/>
      </c>
      <c r="EJ37" s="430" t="str">
        <f t="shared" si="118"/>
        <v/>
      </c>
      <c r="EK37" s="430" t="str">
        <f t="shared" si="119"/>
        <v/>
      </c>
      <c r="EL37" s="430" t="str">
        <f t="shared" si="120"/>
        <v/>
      </c>
      <c r="EM37" s="430" t="str">
        <f t="shared" si="121"/>
        <v/>
      </c>
      <c r="EN37" s="430" t="str">
        <f t="shared" si="122"/>
        <v/>
      </c>
      <c r="EO37" s="430" t="str">
        <f t="shared" si="123"/>
        <v/>
      </c>
      <c r="EP37" s="430" t="str">
        <f t="shared" si="124"/>
        <v/>
      </c>
      <c r="EQ37" s="430" t="str">
        <f t="shared" si="125"/>
        <v/>
      </c>
      <c r="ER37" s="430" t="str">
        <f t="shared" si="126"/>
        <v/>
      </c>
      <c r="ES37" s="430" t="str">
        <f t="shared" si="127"/>
        <v/>
      </c>
      <c r="ET37" s="430" t="str">
        <f t="shared" si="128"/>
        <v/>
      </c>
      <c r="EU37" s="430" t="str">
        <f t="shared" si="129"/>
        <v/>
      </c>
      <c r="EV37" s="430" t="str">
        <f t="shared" si="130"/>
        <v/>
      </c>
      <c r="EW37" s="430" t="str">
        <f t="shared" si="131"/>
        <v/>
      </c>
      <c r="EX37" s="430" t="str">
        <f t="shared" si="132"/>
        <v/>
      </c>
      <c r="EY37" s="430" t="str">
        <f t="shared" si="133"/>
        <v/>
      </c>
      <c r="EZ37" s="430" t="str">
        <f t="shared" si="134"/>
        <v/>
      </c>
      <c r="FA37" s="430" t="str">
        <f t="shared" si="135"/>
        <v/>
      </c>
      <c r="FB37" s="430" t="str">
        <f t="shared" si="136"/>
        <v/>
      </c>
      <c r="FC37" s="430" t="str">
        <f t="shared" si="137"/>
        <v/>
      </c>
      <c r="FD37" s="430" t="str">
        <f t="shared" si="138"/>
        <v/>
      </c>
      <c r="FE37" s="430" t="str">
        <f t="shared" si="139"/>
        <v/>
      </c>
      <c r="FF37" s="430" t="str">
        <f t="shared" si="140"/>
        <v/>
      </c>
      <c r="FG37" s="430" t="str">
        <f t="shared" si="141"/>
        <v/>
      </c>
      <c r="FH37" s="430" t="str">
        <f t="shared" si="142"/>
        <v/>
      </c>
      <c r="FI37" s="430" t="str">
        <f t="shared" si="143"/>
        <v/>
      </c>
      <c r="FJ37" s="430" t="str">
        <f t="shared" si="144"/>
        <v/>
      </c>
      <c r="FK37" s="430" t="str">
        <f t="shared" si="145"/>
        <v/>
      </c>
      <c r="FL37" s="430" t="str">
        <f t="shared" si="146"/>
        <v/>
      </c>
      <c r="FM37" s="430" t="str">
        <f t="shared" si="147"/>
        <v/>
      </c>
      <c r="FN37" s="430" t="str">
        <f t="shared" si="148"/>
        <v/>
      </c>
      <c r="FO37" s="430" t="str">
        <f t="shared" si="149"/>
        <v/>
      </c>
      <c r="FP37" s="430" t="str">
        <f t="shared" si="150"/>
        <v/>
      </c>
      <c r="FQ37" s="430" t="str">
        <f t="shared" si="151"/>
        <v/>
      </c>
      <c r="FR37" s="430" t="str">
        <f t="shared" si="152"/>
        <v/>
      </c>
      <c r="FS37" s="430" t="str">
        <f t="shared" si="153"/>
        <v/>
      </c>
      <c r="FT37" s="430" t="str">
        <f t="shared" si="154"/>
        <v/>
      </c>
      <c r="FU37" s="430" t="str">
        <f t="shared" si="155"/>
        <v/>
      </c>
      <c r="FV37" s="430" t="str">
        <f t="shared" si="156"/>
        <v/>
      </c>
      <c r="FW37" s="430" t="str">
        <f t="shared" si="157"/>
        <v/>
      </c>
      <c r="FX37" s="430" t="str">
        <f t="shared" si="158"/>
        <v/>
      </c>
      <c r="FY37" s="430" t="str">
        <f t="shared" si="159"/>
        <v/>
      </c>
      <c r="FZ37" s="430" t="str">
        <f t="shared" si="160"/>
        <v/>
      </c>
      <c r="GA37" s="430" t="str">
        <f t="shared" si="161"/>
        <v/>
      </c>
      <c r="GB37" s="430" t="str">
        <f t="shared" si="162"/>
        <v/>
      </c>
      <c r="GC37" s="430" t="str">
        <f t="shared" si="163"/>
        <v/>
      </c>
      <c r="GD37" s="430" t="str">
        <f t="shared" si="164"/>
        <v/>
      </c>
      <c r="GE37" s="430" t="str">
        <f t="shared" si="165"/>
        <v/>
      </c>
      <c r="GF37" s="430" t="str">
        <f t="shared" si="166"/>
        <v/>
      </c>
      <c r="GG37" s="430" t="str">
        <f t="shared" si="167"/>
        <v/>
      </c>
      <c r="GH37" s="430" t="str">
        <f t="shared" si="168"/>
        <v/>
      </c>
      <c r="GI37" s="430" t="str">
        <f t="shared" si="169"/>
        <v/>
      </c>
      <c r="GJ37" s="430" t="str">
        <f t="shared" si="170"/>
        <v/>
      </c>
      <c r="GK37" s="430" t="str">
        <f t="shared" si="171"/>
        <v/>
      </c>
      <c r="GL37" s="430" t="str">
        <f t="shared" si="172"/>
        <v/>
      </c>
      <c r="GM37" s="430" t="str">
        <f t="shared" si="173"/>
        <v/>
      </c>
      <c r="GN37" s="430" t="str">
        <f t="shared" si="174"/>
        <v/>
      </c>
      <c r="GO37" s="430" t="str">
        <f t="shared" si="175"/>
        <v/>
      </c>
      <c r="GP37" s="430" t="str">
        <f t="shared" si="176"/>
        <v/>
      </c>
      <c r="GQ37" s="430" t="str">
        <f t="shared" si="177"/>
        <v/>
      </c>
      <c r="GR37" s="430" t="str">
        <f t="shared" si="178"/>
        <v/>
      </c>
      <c r="GS37" s="430" t="str">
        <f t="shared" si="179"/>
        <v/>
      </c>
      <c r="GT37" s="430" t="str">
        <f t="shared" si="180"/>
        <v/>
      </c>
      <c r="GU37" s="430" t="str">
        <f t="shared" si="181"/>
        <v/>
      </c>
      <c r="GV37" s="430" t="str">
        <f t="shared" si="182"/>
        <v/>
      </c>
      <c r="GW37" s="430" t="str">
        <f t="shared" si="183"/>
        <v/>
      </c>
      <c r="GX37" s="430" t="str">
        <f t="shared" si="184"/>
        <v/>
      </c>
      <c r="GY37" s="430" t="str">
        <f t="shared" si="185"/>
        <v/>
      </c>
      <c r="GZ37" s="430" t="str">
        <f t="shared" si="186"/>
        <v/>
      </c>
      <c r="HA37" s="430" t="str">
        <f t="shared" si="187"/>
        <v/>
      </c>
      <c r="HB37" s="430" t="str">
        <f t="shared" si="188"/>
        <v/>
      </c>
      <c r="HC37" s="430" t="str">
        <f t="shared" si="189"/>
        <v/>
      </c>
      <c r="HD37" s="430" t="str">
        <f t="shared" si="190"/>
        <v/>
      </c>
      <c r="HE37" s="430" t="str">
        <f t="shared" si="191"/>
        <v/>
      </c>
      <c r="HF37" s="430" t="str">
        <f t="shared" si="192"/>
        <v/>
      </c>
      <c r="HG37" s="430" t="str">
        <f t="shared" si="193"/>
        <v/>
      </c>
      <c r="HH37" s="430" t="str">
        <f t="shared" si="194"/>
        <v/>
      </c>
      <c r="HI37" s="430" t="str">
        <f t="shared" si="195"/>
        <v/>
      </c>
      <c r="HJ37" s="430" t="str">
        <f t="shared" si="196"/>
        <v/>
      </c>
      <c r="HK37" s="430" t="str">
        <f t="shared" si="197"/>
        <v/>
      </c>
      <c r="HL37" s="430" t="str">
        <f t="shared" si="198"/>
        <v/>
      </c>
      <c r="HM37" s="430" t="str">
        <f t="shared" si="199"/>
        <v/>
      </c>
      <c r="HN37" s="430" t="str">
        <f t="shared" si="200"/>
        <v/>
      </c>
      <c r="HO37" s="430" t="str">
        <f t="shared" si="201"/>
        <v/>
      </c>
      <c r="HP37" s="430" t="str">
        <f t="shared" si="202"/>
        <v/>
      </c>
      <c r="HQ37" s="430" t="str">
        <f t="shared" si="203"/>
        <v/>
      </c>
      <c r="HR37" s="430" t="str">
        <f t="shared" si="204"/>
        <v/>
      </c>
      <c r="HS37" s="430" t="str">
        <f t="shared" si="205"/>
        <v/>
      </c>
      <c r="HT37" s="430" t="str">
        <f t="shared" si="206"/>
        <v/>
      </c>
      <c r="HU37" s="430" t="str">
        <f t="shared" si="207"/>
        <v/>
      </c>
      <c r="HV37" s="430" t="str">
        <f t="shared" si="208"/>
        <v/>
      </c>
      <c r="HW37" s="430" t="str">
        <f t="shared" si="209"/>
        <v/>
      </c>
      <c r="HX37" s="430" t="str">
        <f t="shared" si="210"/>
        <v/>
      </c>
      <c r="HY37" s="430" t="str">
        <f t="shared" si="211"/>
        <v/>
      </c>
      <c r="HZ37" s="1814" t="str">
        <f t="shared" si="212"/>
        <v/>
      </c>
      <c r="IA37" s="1814" t="str">
        <f t="shared" si="213"/>
        <v/>
      </c>
      <c r="IB37" s="1814" t="str">
        <f t="shared" si="214"/>
        <v/>
      </c>
      <c r="IC37" s="1814" t="str">
        <f t="shared" si="215"/>
        <v/>
      </c>
      <c r="ID37" s="1814" t="str">
        <f t="shared" si="216"/>
        <v/>
      </c>
      <c r="IE37" s="1814" t="str">
        <f t="shared" si="217"/>
        <v/>
      </c>
      <c r="IF37" s="1814" t="str">
        <f t="shared" si="218"/>
        <v/>
      </c>
      <c r="IG37" s="1814" t="str">
        <f t="shared" si="219"/>
        <v/>
      </c>
      <c r="IH37" s="1814" t="str">
        <f t="shared" si="220"/>
        <v/>
      </c>
      <c r="II37" s="1814" t="str">
        <f t="shared" si="221"/>
        <v/>
      </c>
      <c r="IJ37" s="1814" t="str">
        <f t="shared" si="222"/>
        <v/>
      </c>
      <c r="IK37" s="1814" t="str">
        <f t="shared" si="223"/>
        <v/>
      </c>
      <c r="IL37" s="1814" t="str">
        <f t="shared" si="224"/>
        <v/>
      </c>
      <c r="IM37" s="1814" t="str">
        <f t="shared" si="225"/>
        <v/>
      </c>
      <c r="IN37" s="1814" t="str">
        <f t="shared" si="226"/>
        <v/>
      </c>
      <c r="IO37" s="1814" t="str">
        <f t="shared" si="227"/>
        <v/>
      </c>
      <c r="IP37" s="1814" t="str">
        <f t="shared" si="228"/>
        <v/>
      </c>
      <c r="IQ37" s="1814" t="str">
        <f t="shared" si="229"/>
        <v/>
      </c>
      <c r="IR37" s="1814" t="str">
        <f t="shared" si="230"/>
        <v/>
      </c>
      <c r="IS37" s="1814" t="str">
        <f t="shared" si="231"/>
        <v/>
      </c>
      <c r="IT37" s="1814" t="str">
        <f t="shared" si="232"/>
        <v/>
      </c>
      <c r="IU37" s="1814" t="str">
        <f t="shared" si="233"/>
        <v/>
      </c>
      <c r="IV37" s="1814" t="str">
        <f t="shared" si="234"/>
        <v/>
      </c>
      <c r="IW37" s="1814" t="str">
        <f t="shared" si="235"/>
        <v/>
      </c>
      <c r="IX37" s="1814" t="str">
        <f t="shared" si="236"/>
        <v/>
      </c>
      <c r="IY37" s="1814" t="str">
        <f t="shared" si="237"/>
        <v/>
      </c>
      <c r="IZ37" s="1814" t="str">
        <f t="shared" si="238"/>
        <v/>
      </c>
      <c r="JA37" s="1814" t="str">
        <f t="shared" si="239"/>
        <v/>
      </c>
      <c r="JB37" s="1814" t="str">
        <f t="shared" si="240"/>
        <v/>
      </c>
      <c r="JC37" s="1814" t="str">
        <f t="shared" si="241"/>
        <v/>
      </c>
      <c r="JD37" s="1814" t="str">
        <f t="shared" si="242"/>
        <v/>
      </c>
      <c r="JE37" s="1814" t="str">
        <f t="shared" si="243"/>
        <v/>
      </c>
      <c r="JF37" s="1814" t="str">
        <f t="shared" si="244"/>
        <v/>
      </c>
      <c r="JG37" s="1814" t="str">
        <f t="shared" si="245"/>
        <v/>
      </c>
      <c r="JH37" s="1814" t="str">
        <f t="shared" si="246"/>
        <v/>
      </c>
      <c r="JI37" s="1814" t="str">
        <f t="shared" si="247"/>
        <v/>
      </c>
      <c r="JJ37" s="1814" t="str">
        <f t="shared" si="248"/>
        <v/>
      </c>
      <c r="JK37" s="1814" t="str">
        <f t="shared" si="249"/>
        <v/>
      </c>
      <c r="JL37" s="1814" t="str">
        <f t="shared" si="250"/>
        <v/>
      </c>
      <c r="JM37" s="1814" t="str">
        <f t="shared" si="251"/>
        <v/>
      </c>
      <c r="JN37" s="1814" t="str">
        <f t="shared" si="252"/>
        <v/>
      </c>
      <c r="JO37" s="1814" t="str">
        <f t="shared" si="253"/>
        <v/>
      </c>
      <c r="JP37" s="1814" t="str">
        <f t="shared" si="254"/>
        <v/>
      </c>
      <c r="JQ37" s="1814" t="str">
        <f t="shared" si="255"/>
        <v/>
      </c>
      <c r="JR37" s="1814" t="str">
        <f t="shared" si="256"/>
        <v/>
      </c>
      <c r="JS37" s="1814" t="str">
        <f t="shared" si="257"/>
        <v/>
      </c>
      <c r="JT37" s="1814" t="str">
        <f t="shared" si="258"/>
        <v/>
      </c>
      <c r="JU37" s="1814" t="str">
        <f t="shared" si="259"/>
        <v/>
      </c>
      <c r="JV37" s="1814" t="str">
        <f t="shared" si="260"/>
        <v/>
      </c>
      <c r="JW37" s="1814" t="str">
        <f t="shared" si="261"/>
        <v/>
      </c>
      <c r="JX37" s="1814" t="str">
        <f t="shared" si="262"/>
        <v/>
      </c>
      <c r="JY37" s="1814" t="str">
        <f t="shared" si="263"/>
        <v/>
      </c>
      <c r="JZ37" s="1814" t="str">
        <f t="shared" si="264"/>
        <v/>
      </c>
      <c r="KA37" s="1814" t="str">
        <f t="shared" si="265"/>
        <v/>
      </c>
      <c r="KB37" s="1814" t="str">
        <f t="shared" si="266"/>
        <v/>
      </c>
      <c r="KC37" s="1814" t="str">
        <f t="shared" si="267"/>
        <v/>
      </c>
      <c r="KD37" s="1814" t="str">
        <f t="shared" si="268"/>
        <v/>
      </c>
      <c r="KE37" s="1814" t="str">
        <f t="shared" si="269"/>
        <v/>
      </c>
      <c r="KF37" s="1814" t="str">
        <f t="shared" si="270"/>
        <v/>
      </c>
      <c r="KG37" s="1814" t="str">
        <f t="shared" si="271"/>
        <v/>
      </c>
      <c r="KH37" s="1814" t="str">
        <f t="shared" si="272"/>
        <v/>
      </c>
      <c r="KI37" s="1814" t="str">
        <f t="shared" si="273"/>
        <v/>
      </c>
      <c r="KJ37" s="1814" t="str">
        <f t="shared" si="274"/>
        <v/>
      </c>
      <c r="KK37" s="1814" t="str">
        <f t="shared" si="275"/>
        <v/>
      </c>
      <c r="KL37" s="1814" t="str">
        <f t="shared" si="276"/>
        <v/>
      </c>
      <c r="KM37" s="1814" t="str">
        <f t="shared" si="277"/>
        <v/>
      </c>
      <c r="KN37" s="1814" t="str">
        <f t="shared" si="278"/>
        <v/>
      </c>
      <c r="KO37" s="1814" t="str">
        <f t="shared" si="279"/>
        <v/>
      </c>
      <c r="KP37" s="1814" t="str">
        <f t="shared" si="280"/>
        <v/>
      </c>
      <c r="KQ37" s="1814" t="str">
        <f t="shared" si="281"/>
        <v/>
      </c>
      <c r="KR37" s="1814" t="str">
        <f t="shared" si="282"/>
        <v/>
      </c>
      <c r="KS37" s="1814" t="str">
        <f t="shared" si="283"/>
        <v/>
      </c>
      <c r="KT37" s="1814" t="str">
        <f t="shared" si="284"/>
        <v/>
      </c>
      <c r="KU37" s="1814" t="str">
        <f t="shared" si="285"/>
        <v/>
      </c>
      <c r="KV37" s="1814" t="str">
        <f t="shared" si="286"/>
        <v/>
      </c>
      <c r="KW37" s="1814" t="str">
        <f t="shared" si="287"/>
        <v/>
      </c>
      <c r="KX37" s="1814" t="str">
        <f t="shared" si="288"/>
        <v/>
      </c>
      <c r="KY37" s="1814" t="str">
        <f t="shared" si="289"/>
        <v/>
      </c>
      <c r="KZ37" s="1814" t="str">
        <f t="shared" si="290"/>
        <v/>
      </c>
      <c r="LA37" s="1814" t="str">
        <f t="shared" si="291"/>
        <v/>
      </c>
      <c r="LB37" s="1814" t="str">
        <f t="shared" si="292"/>
        <v/>
      </c>
      <c r="LC37" s="1814" t="str">
        <f t="shared" si="293"/>
        <v/>
      </c>
      <c r="LD37" s="1814" t="str">
        <f t="shared" si="294"/>
        <v/>
      </c>
      <c r="LE37" s="1814" t="str">
        <f t="shared" si="295"/>
        <v/>
      </c>
      <c r="LF37" s="1814" t="str">
        <f t="shared" si="296"/>
        <v/>
      </c>
      <c r="LG37" s="1786" t="str">
        <f t="shared" si="297"/>
        <v/>
      </c>
      <c r="LH37" s="1786" t="str">
        <f t="shared" si="298"/>
        <v/>
      </c>
      <c r="LI37" s="1786" t="str">
        <f t="shared" si="299"/>
        <v/>
      </c>
      <c r="LJ37" s="1786" t="str">
        <f t="shared" si="300"/>
        <v/>
      </c>
      <c r="LK37" s="1786" t="str">
        <f t="shared" si="301"/>
        <v/>
      </c>
      <c r="LL37" s="430" t="str">
        <f t="shared" si="302"/>
        <v/>
      </c>
      <c r="LM37" s="430" t="str">
        <f t="shared" si="303"/>
        <v/>
      </c>
      <c r="LN37" s="430" t="str">
        <f t="shared" si="304"/>
        <v/>
      </c>
      <c r="LO37" s="430" t="str">
        <f t="shared" si="305"/>
        <v/>
      </c>
      <c r="LP37" s="430" t="str">
        <f t="shared" si="306"/>
        <v/>
      </c>
      <c r="LQ37" s="430" t="str">
        <f t="shared" si="307"/>
        <v/>
      </c>
      <c r="LR37" s="430" t="str">
        <f t="shared" si="308"/>
        <v/>
      </c>
      <c r="LS37" s="430" t="str">
        <f t="shared" si="309"/>
        <v/>
      </c>
      <c r="LT37" s="430" t="str">
        <f t="shared" si="310"/>
        <v/>
      </c>
      <c r="LU37" s="430" t="str">
        <f t="shared" si="311"/>
        <v/>
      </c>
      <c r="LV37" s="430" t="str">
        <f t="shared" si="312"/>
        <v/>
      </c>
      <c r="LW37" s="430" t="str">
        <f t="shared" si="313"/>
        <v/>
      </c>
      <c r="LX37" s="430" t="str">
        <f t="shared" si="314"/>
        <v/>
      </c>
      <c r="LY37" s="430" t="str">
        <f t="shared" si="315"/>
        <v/>
      </c>
      <c r="LZ37" s="430" t="str">
        <f t="shared" si="316"/>
        <v/>
      </c>
      <c r="MA37" s="430" t="str">
        <f t="shared" si="317"/>
        <v/>
      </c>
      <c r="MB37" s="430" t="str">
        <f t="shared" si="318"/>
        <v/>
      </c>
      <c r="MC37" s="430" t="str">
        <f t="shared" si="319"/>
        <v/>
      </c>
      <c r="MD37" s="430" t="str">
        <f t="shared" si="320"/>
        <v/>
      </c>
      <c r="ME37" s="430" t="str">
        <f t="shared" si="321"/>
        <v/>
      </c>
      <c r="MF37" s="1815">
        <f t="shared" si="328"/>
        <v>0</v>
      </c>
      <c r="MG37" s="1815">
        <f t="shared" si="329"/>
        <v>0</v>
      </c>
      <c r="MH37" s="1815">
        <f t="shared" si="330"/>
        <v>0</v>
      </c>
      <c r="MI37" s="1815">
        <f t="shared" si="331"/>
        <v>0</v>
      </c>
      <c r="MJ37" s="1815">
        <f t="shared" si="332"/>
        <v>0</v>
      </c>
      <c r="MK37" s="1815">
        <f t="shared" si="333"/>
        <v>0</v>
      </c>
      <c r="ML37" s="1815">
        <f t="shared" si="334"/>
        <v>0</v>
      </c>
      <c r="MM37" s="1815">
        <f t="shared" si="335"/>
        <v>0</v>
      </c>
      <c r="MN37" s="1815">
        <f t="shared" si="336"/>
        <v>0</v>
      </c>
      <c r="MO37" s="1815">
        <f t="shared" si="337"/>
        <v>0</v>
      </c>
      <c r="MP37" s="1815">
        <f t="shared" si="322"/>
        <v>0</v>
      </c>
      <c r="MQ37" s="1815">
        <f t="shared" si="323"/>
        <v>0</v>
      </c>
      <c r="MR37" s="1815">
        <f t="shared" si="324"/>
        <v>0</v>
      </c>
      <c r="MS37" s="1815">
        <f t="shared" si="325"/>
        <v>0</v>
      </c>
      <c r="MT37" s="1815">
        <f t="shared" si="326"/>
        <v>0</v>
      </c>
      <c r="NP37" s="2807" t="s">
        <v>6743</v>
      </c>
    </row>
    <row r="38" spans="1:380" ht="13.9" customHeight="1">
      <c r="A38" s="108" t="str">
        <f t="shared" si="327"/>
        <v/>
      </c>
      <c r="B38" s="2896"/>
      <c r="C38" s="2869"/>
      <c r="D38" s="2870"/>
      <c r="E38" s="2871"/>
      <c r="F38" s="2871"/>
      <c r="G38" s="2871"/>
      <c r="H38" s="2871"/>
      <c r="I38" s="2871"/>
      <c r="J38" s="2897">
        <f>IF(C38="",0,HLOOKUP(C38,'Part V-Utility Allowances'!$I$11:$M$22,12))</f>
        <v>0</v>
      </c>
      <c r="K38" s="2873"/>
      <c r="L38" s="537">
        <f t="shared" si="0"/>
        <v>0</v>
      </c>
      <c r="M38" s="537">
        <f t="shared" si="1"/>
        <v>0</v>
      </c>
      <c r="N38" s="2712"/>
      <c r="O38" s="2874"/>
      <c r="P38" s="2712"/>
      <c r="Q38" s="2875"/>
      <c r="R38" s="2876"/>
      <c r="S38" s="2877"/>
      <c r="T38" s="3833"/>
      <c r="U38" s="3834"/>
      <c r="V38" s="3834"/>
      <c r="W38" s="3835"/>
      <c r="X38" s="430" t="str">
        <f t="shared" si="2"/>
        <v/>
      </c>
      <c r="Y38" s="430" t="str">
        <f t="shared" si="3"/>
        <v/>
      </c>
      <c r="Z38" s="430" t="str">
        <f t="shared" si="4"/>
        <v/>
      </c>
      <c r="AA38" s="430" t="str">
        <f t="shared" si="5"/>
        <v/>
      </c>
      <c r="AB38" s="430" t="str">
        <f t="shared" si="6"/>
        <v/>
      </c>
      <c r="AC38" s="430" t="str">
        <f t="shared" si="7"/>
        <v/>
      </c>
      <c r="AD38" s="430" t="str">
        <f t="shared" si="8"/>
        <v/>
      </c>
      <c r="AE38" s="430" t="str">
        <f t="shared" si="9"/>
        <v/>
      </c>
      <c r="AF38" s="430" t="str">
        <f t="shared" si="10"/>
        <v/>
      </c>
      <c r="AG38" s="430" t="str">
        <f t="shared" si="11"/>
        <v/>
      </c>
      <c r="AH38" s="430" t="str">
        <f t="shared" si="12"/>
        <v/>
      </c>
      <c r="AI38" s="430" t="str">
        <f t="shared" si="13"/>
        <v/>
      </c>
      <c r="AJ38" s="430" t="str">
        <f t="shared" si="14"/>
        <v/>
      </c>
      <c r="AK38" s="430" t="str">
        <f t="shared" si="15"/>
        <v/>
      </c>
      <c r="AL38" s="430" t="str">
        <f t="shared" si="16"/>
        <v/>
      </c>
      <c r="AM38" s="430" t="str">
        <f t="shared" si="17"/>
        <v/>
      </c>
      <c r="AN38" s="430" t="str">
        <f t="shared" si="18"/>
        <v/>
      </c>
      <c r="AO38" s="430" t="str">
        <f t="shared" si="19"/>
        <v/>
      </c>
      <c r="AP38" s="430" t="str">
        <f t="shared" si="20"/>
        <v/>
      </c>
      <c r="AQ38" s="430" t="str">
        <f t="shared" si="21"/>
        <v/>
      </c>
      <c r="AR38" s="430" t="str">
        <f t="shared" si="22"/>
        <v/>
      </c>
      <c r="AS38" s="430" t="str">
        <f t="shared" si="23"/>
        <v/>
      </c>
      <c r="AT38" s="430" t="str">
        <f t="shared" si="24"/>
        <v/>
      </c>
      <c r="AU38" s="430" t="str">
        <f t="shared" si="25"/>
        <v/>
      </c>
      <c r="AV38" s="430" t="str">
        <f t="shared" si="26"/>
        <v/>
      </c>
      <c r="AW38" s="430" t="str">
        <f t="shared" si="27"/>
        <v/>
      </c>
      <c r="AX38" s="430" t="str">
        <f t="shared" si="28"/>
        <v/>
      </c>
      <c r="AY38" s="430" t="str">
        <f t="shared" si="29"/>
        <v/>
      </c>
      <c r="AZ38" s="430" t="str">
        <f t="shared" si="30"/>
        <v/>
      </c>
      <c r="BA38" s="430" t="str">
        <f t="shared" si="31"/>
        <v/>
      </c>
      <c r="BB38" s="430" t="str">
        <f t="shared" si="32"/>
        <v/>
      </c>
      <c r="BC38" s="430" t="str">
        <f t="shared" si="33"/>
        <v/>
      </c>
      <c r="BD38" s="430" t="str">
        <f t="shared" si="34"/>
        <v/>
      </c>
      <c r="BE38" s="430" t="str">
        <f t="shared" si="35"/>
        <v/>
      </c>
      <c r="BF38" s="430" t="str">
        <f t="shared" si="36"/>
        <v/>
      </c>
      <c r="BG38" s="430" t="str">
        <f t="shared" si="37"/>
        <v/>
      </c>
      <c r="BH38" s="430" t="str">
        <f t="shared" si="38"/>
        <v/>
      </c>
      <c r="BI38" s="430" t="str">
        <f t="shared" si="39"/>
        <v/>
      </c>
      <c r="BJ38" s="430" t="str">
        <f t="shared" si="40"/>
        <v/>
      </c>
      <c r="BK38" s="430" t="str">
        <f t="shared" si="41"/>
        <v/>
      </c>
      <c r="BL38" s="430" t="str">
        <f t="shared" si="42"/>
        <v/>
      </c>
      <c r="BM38" s="430" t="str">
        <f t="shared" si="43"/>
        <v/>
      </c>
      <c r="BN38" s="430" t="str">
        <f t="shared" si="44"/>
        <v/>
      </c>
      <c r="BO38" s="430" t="str">
        <f t="shared" si="45"/>
        <v/>
      </c>
      <c r="BP38" s="430" t="str">
        <f t="shared" si="46"/>
        <v/>
      </c>
      <c r="BQ38" s="430" t="str">
        <f t="shared" si="47"/>
        <v/>
      </c>
      <c r="BR38" s="430" t="str">
        <f t="shared" si="48"/>
        <v/>
      </c>
      <c r="BS38" s="430" t="str">
        <f t="shared" si="49"/>
        <v/>
      </c>
      <c r="BT38" s="430" t="str">
        <f t="shared" si="50"/>
        <v/>
      </c>
      <c r="BU38" s="430" t="str">
        <f t="shared" si="51"/>
        <v/>
      </c>
      <c r="BV38" s="430" t="str">
        <f t="shared" si="52"/>
        <v/>
      </c>
      <c r="BW38" s="430" t="str">
        <f t="shared" si="53"/>
        <v/>
      </c>
      <c r="BX38" s="430" t="str">
        <f t="shared" si="54"/>
        <v/>
      </c>
      <c r="BY38" s="430" t="str">
        <f t="shared" si="55"/>
        <v/>
      </c>
      <c r="BZ38" s="430" t="str">
        <f t="shared" si="56"/>
        <v/>
      </c>
      <c r="CA38" s="430" t="str">
        <f t="shared" si="57"/>
        <v/>
      </c>
      <c r="CB38" s="430" t="str">
        <f t="shared" si="58"/>
        <v/>
      </c>
      <c r="CC38" s="430" t="str">
        <f t="shared" si="59"/>
        <v/>
      </c>
      <c r="CD38" s="430" t="str">
        <f t="shared" si="60"/>
        <v/>
      </c>
      <c r="CE38" s="430" t="str">
        <f t="shared" si="61"/>
        <v/>
      </c>
      <c r="CF38" s="430" t="str">
        <f t="shared" si="62"/>
        <v/>
      </c>
      <c r="CG38" s="430" t="str">
        <f t="shared" si="63"/>
        <v/>
      </c>
      <c r="CH38" s="430" t="str">
        <f t="shared" si="64"/>
        <v/>
      </c>
      <c r="CI38" s="430" t="str">
        <f t="shared" si="65"/>
        <v/>
      </c>
      <c r="CJ38" s="430" t="str">
        <f t="shared" si="66"/>
        <v/>
      </c>
      <c r="CK38" s="430" t="str">
        <f t="shared" si="67"/>
        <v/>
      </c>
      <c r="CL38" s="430" t="str">
        <f t="shared" si="68"/>
        <v/>
      </c>
      <c r="CM38" s="430" t="str">
        <f t="shared" si="69"/>
        <v/>
      </c>
      <c r="CN38" s="430" t="str">
        <f t="shared" si="70"/>
        <v/>
      </c>
      <c r="CO38" s="430" t="str">
        <f t="shared" si="71"/>
        <v/>
      </c>
      <c r="CP38" s="430" t="str">
        <f t="shared" si="72"/>
        <v/>
      </c>
      <c r="CQ38" s="430" t="str">
        <f t="shared" si="73"/>
        <v/>
      </c>
      <c r="CR38" s="430" t="str">
        <f t="shared" si="74"/>
        <v/>
      </c>
      <c r="CS38" s="430" t="str">
        <f t="shared" si="75"/>
        <v/>
      </c>
      <c r="CT38" s="430" t="str">
        <f t="shared" si="76"/>
        <v/>
      </c>
      <c r="CU38" s="430" t="str">
        <f t="shared" si="77"/>
        <v/>
      </c>
      <c r="CV38" s="430" t="str">
        <f t="shared" si="78"/>
        <v/>
      </c>
      <c r="CW38" s="430" t="str">
        <f t="shared" si="79"/>
        <v/>
      </c>
      <c r="CX38" s="430" t="str">
        <f t="shared" si="80"/>
        <v/>
      </c>
      <c r="CY38" s="430" t="str">
        <f t="shared" si="81"/>
        <v/>
      </c>
      <c r="CZ38" s="430" t="str">
        <f t="shared" si="82"/>
        <v/>
      </c>
      <c r="DA38" s="430" t="str">
        <f t="shared" si="83"/>
        <v/>
      </c>
      <c r="DB38" s="430" t="str">
        <f t="shared" si="84"/>
        <v/>
      </c>
      <c r="DC38" s="430" t="str">
        <f t="shared" si="85"/>
        <v/>
      </c>
      <c r="DD38" s="430" t="str">
        <f t="shared" si="86"/>
        <v/>
      </c>
      <c r="DE38" s="430" t="str">
        <f t="shared" si="87"/>
        <v/>
      </c>
      <c r="DF38" s="430" t="str">
        <f t="shared" si="88"/>
        <v/>
      </c>
      <c r="DG38" s="430" t="str">
        <f t="shared" si="89"/>
        <v/>
      </c>
      <c r="DH38" s="430" t="str">
        <f t="shared" si="90"/>
        <v/>
      </c>
      <c r="DI38" s="430" t="str">
        <f t="shared" si="91"/>
        <v/>
      </c>
      <c r="DJ38" s="430" t="str">
        <f t="shared" si="92"/>
        <v/>
      </c>
      <c r="DK38" s="430" t="str">
        <f t="shared" si="93"/>
        <v/>
      </c>
      <c r="DL38" s="430" t="str">
        <f t="shared" si="94"/>
        <v/>
      </c>
      <c r="DM38" s="430" t="str">
        <f t="shared" si="95"/>
        <v/>
      </c>
      <c r="DN38" s="430" t="str">
        <f t="shared" si="96"/>
        <v/>
      </c>
      <c r="DO38" s="430" t="str">
        <f t="shared" si="97"/>
        <v/>
      </c>
      <c r="DP38" s="430" t="str">
        <f t="shared" si="98"/>
        <v/>
      </c>
      <c r="DQ38" s="430" t="str">
        <f t="shared" si="99"/>
        <v/>
      </c>
      <c r="DR38" s="430" t="str">
        <f t="shared" si="100"/>
        <v/>
      </c>
      <c r="DS38" s="430" t="str">
        <f t="shared" si="101"/>
        <v/>
      </c>
      <c r="DT38" s="430" t="str">
        <f t="shared" si="102"/>
        <v/>
      </c>
      <c r="DU38" s="430" t="str">
        <f t="shared" si="103"/>
        <v/>
      </c>
      <c r="DV38" s="430" t="str">
        <f t="shared" si="104"/>
        <v/>
      </c>
      <c r="DW38" s="430" t="str">
        <f t="shared" si="105"/>
        <v/>
      </c>
      <c r="DX38" s="430" t="str">
        <f t="shared" si="106"/>
        <v/>
      </c>
      <c r="DY38" s="430" t="str">
        <f t="shared" si="107"/>
        <v/>
      </c>
      <c r="DZ38" s="430" t="str">
        <f t="shared" si="108"/>
        <v/>
      </c>
      <c r="EA38" s="430" t="str">
        <f t="shared" si="109"/>
        <v/>
      </c>
      <c r="EB38" s="430" t="str">
        <f t="shared" si="110"/>
        <v/>
      </c>
      <c r="EC38" s="430" t="str">
        <f t="shared" si="111"/>
        <v/>
      </c>
      <c r="ED38" s="430" t="str">
        <f t="shared" si="112"/>
        <v/>
      </c>
      <c r="EE38" s="430" t="str">
        <f t="shared" si="113"/>
        <v/>
      </c>
      <c r="EF38" s="430" t="str">
        <f t="shared" si="114"/>
        <v/>
      </c>
      <c r="EG38" s="430" t="str">
        <f t="shared" si="115"/>
        <v/>
      </c>
      <c r="EH38" s="430" t="str">
        <f t="shared" si="116"/>
        <v/>
      </c>
      <c r="EI38" s="430" t="str">
        <f t="shared" si="117"/>
        <v/>
      </c>
      <c r="EJ38" s="430" t="str">
        <f t="shared" si="118"/>
        <v/>
      </c>
      <c r="EK38" s="430" t="str">
        <f t="shared" si="119"/>
        <v/>
      </c>
      <c r="EL38" s="430" t="str">
        <f t="shared" si="120"/>
        <v/>
      </c>
      <c r="EM38" s="430" t="str">
        <f t="shared" si="121"/>
        <v/>
      </c>
      <c r="EN38" s="430" t="str">
        <f t="shared" si="122"/>
        <v/>
      </c>
      <c r="EO38" s="430" t="str">
        <f t="shared" si="123"/>
        <v/>
      </c>
      <c r="EP38" s="430" t="str">
        <f t="shared" si="124"/>
        <v/>
      </c>
      <c r="EQ38" s="430" t="str">
        <f t="shared" si="125"/>
        <v/>
      </c>
      <c r="ER38" s="430" t="str">
        <f t="shared" si="126"/>
        <v/>
      </c>
      <c r="ES38" s="430" t="str">
        <f t="shared" si="127"/>
        <v/>
      </c>
      <c r="ET38" s="430" t="str">
        <f t="shared" si="128"/>
        <v/>
      </c>
      <c r="EU38" s="430" t="str">
        <f t="shared" si="129"/>
        <v/>
      </c>
      <c r="EV38" s="430" t="str">
        <f t="shared" si="130"/>
        <v/>
      </c>
      <c r="EW38" s="430" t="str">
        <f t="shared" si="131"/>
        <v/>
      </c>
      <c r="EX38" s="430" t="str">
        <f t="shared" si="132"/>
        <v/>
      </c>
      <c r="EY38" s="430" t="str">
        <f t="shared" si="133"/>
        <v/>
      </c>
      <c r="EZ38" s="430" t="str">
        <f t="shared" si="134"/>
        <v/>
      </c>
      <c r="FA38" s="430" t="str">
        <f t="shared" si="135"/>
        <v/>
      </c>
      <c r="FB38" s="430" t="str">
        <f t="shared" si="136"/>
        <v/>
      </c>
      <c r="FC38" s="430" t="str">
        <f t="shared" si="137"/>
        <v/>
      </c>
      <c r="FD38" s="430" t="str">
        <f t="shared" si="138"/>
        <v/>
      </c>
      <c r="FE38" s="430" t="str">
        <f t="shared" si="139"/>
        <v/>
      </c>
      <c r="FF38" s="430" t="str">
        <f t="shared" si="140"/>
        <v/>
      </c>
      <c r="FG38" s="430" t="str">
        <f t="shared" si="141"/>
        <v/>
      </c>
      <c r="FH38" s="430" t="str">
        <f t="shared" si="142"/>
        <v/>
      </c>
      <c r="FI38" s="430" t="str">
        <f t="shared" si="143"/>
        <v/>
      </c>
      <c r="FJ38" s="430" t="str">
        <f t="shared" si="144"/>
        <v/>
      </c>
      <c r="FK38" s="430" t="str">
        <f t="shared" si="145"/>
        <v/>
      </c>
      <c r="FL38" s="430" t="str">
        <f t="shared" si="146"/>
        <v/>
      </c>
      <c r="FM38" s="430" t="str">
        <f t="shared" si="147"/>
        <v/>
      </c>
      <c r="FN38" s="430" t="str">
        <f t="shared" si="148"/>
        <v/>
      </c>
      <c r="FO38" s="430" t="str">
        <f t="shared" si="149"/>
        <v/>
      </c>
      <c r="FP38" s="430" t="str">
        <f t="shared" si="150"/>
        <v/>
      </c>
      <c r="FQ38" s="430" t="str">
        <f t="shared" si="151"/>
        <v/>
      </c>
      <c r="FR38" s="430" t="str">
        <f t="shared" si="152"/>
        <v/>
      </c>
      <c r="FS38" s="430" t="str">
        <f t="shared" si="153"/>
        <v/>
      </c>
      <c r="FT38" s="430" t="str">
        <f t="shared" si="154"/>
        <v/>
      </c>
      <c r="FU38" s="430" t="str">
        <f t="shared" si="155"/>
        <v/>
      </c>
      <c r="FV38" s="430" t="str">
        <f t="shared" si="156"/>
        <v/>
      </c>
      <c r="FW38" s="430" t="str">
        <f t="shared" si="157"/>
        <v/>
      </c>
      <c r="FX38" s="430" t="str">
        <f t="shared" si="158"/>
        <v/>
      </c>
      <c r="FY38" s="430" t="str">
        <f t="shared" si="159"/>
        <v/>
      </c>
      <c r="FZ38" s="430" t="str">
        <f t="shared" si="160"/>
        <v/>
      </c>
      <c r="GA38" s="430" t="str">
        <f t="shared" si="161"/>
        <v/>
      </c>
      <c r="GB38" s="430" t="str">
        <f t="shared" si="162"/>
        <v/>
      </c>
      <c r="GC38" s="430" t="str">
        <f t="shared" si="163"/>
        <v/>
      </c>
      <c r="GD38" s="430" t="str">
        <f t="shared" si="164"/>
        <v/>
      </c>
      <c r="GE38" s="430" t="str">
        <f t="shared" si="165"/>
        <v/>
      </c>
      <c r="GF38" s="430" t="str">
        <f t="shared" si="166"/>
        <v/>
      </c>
      <c r="GG38" s="430" t="str">
        <f t="shared" si="167"/>
        <v/>
      </c>
      <c r="GH38" s="430" t="str">
        <f t="shared" si="168"/>
        <v/>
      </c>
      <c r="GI38" s="430" t="str">
        <f t="shared" si="169"/>
        <v/>
      </c>
      <c r="GJ38" s="430" t="str">
        <f t="shared" si="170"/>
        <v/>
      </c>
      <c r="GK38" s="430" t="str">
        <f t="shared" si="171"/>
        <v/>
      </c>
      <c r="GL38" s="430" t="str">
        <f t="shared" si="172"/>
        <v/>
      </c>
      <c r="GM38" s="430" t="str">
        <f t="shared" si="173"/>
        <v/>
      </c>
      <c r="GN38" s="430" t="str">
        <f t="shared" si="174"/>
        <v/>
      </c>
      <c r="GO38" s="430" t="str">
        <f t="shared" si="175"/>
        <v/>
      </c>
      <c r="GP38" s="430" t="str">
        <f t="shared" si="176"/>
        <v/>
      </c>
      <c r="GQ38" s="430" t="str">
        <f t="shared" si="177"/>
        <v/>
      </c>
      <c r="GR38" s="430" t="str">
        <f t="shared" si="178"/>
        <v/>
      </c>
      <c r="GS38" s="430" t="str">
        <f t="shared" si="179"/>
        <v/>
      </c>
      <c r="GT38" s="430" t="str">
        <f t="shared" si="180"/>
        <v/>
      </c>
      <c r="GU38" s="430" t="str">
        <f t="shared" si="181"/>
        <v/>
      </c>
      <c r="GV38" s="430" t="str">
        <f t="shared" si="182"/>
        <v/>
      </c>
      <c r="GW38" s="430" t="str">
        <f t="shared" si="183"/>
        <v/>
      </c>
      <c r="GX38" s="430" t="str">
        <f t="shared" si="184"/>
        <v/>
      </c>
      <c r="GY38" s="430" t="str">
        <f t="shared" si="185"/>
        <v/>
      </c>
      <c r="GZ38" s="430" t="str">
        <f t="shared" si="186"/>
        <v/>
      </c>
      <c r="HA38" s="430" t="str">
        <f t="shared" si="187"/>
        <v/>
      </c>
      <c r="HB38" s="430" t="str">
        <f t="shared" si="188"/>
        <v/>
      </c>
      <c r="HC38" s="430" t="str">
        <f t="shared" si="189"/>
        <v/>
      </c>
      <c r="HD38" s="430" t="str">
        <f t="shared" si="190"/>
        <v/>
      </c>
      <c r="HE38" s="430" t="str">
        <f t="shared" si="191"/>
        <v/>
      </c>
      <c r="HF38" s="430" t="str">
        <f t="shared" si="192"/>
        <v/>
      </c>
      <c r="HG38" s="430" t="str">
        <f t="shared" si="193"/>
        <v/>
      </c>
      <c r="HH38" s="430" t="str">
        <f t="shared" si="194"/>
        <v/>
      </c>
      <c r="HI38" s="430" t="str">
        <f t="shared" si="195"/>
        <v/>
      </c>
      <c r="HJ38" s="430" t="str">
        <f t="shared" si="196"/>
        <v/>
      </c>
      <c r="HK38" s="430" t="str">
        <f t="shared" si="197"/>
        <v/>
      </c>
      <c r="HL38" s="430" t="str">
        <f t="shared" si="198"/>
        <v/>
      </c>
      <c r="HM38" s="430" t="str">
        <f t="shared" si="199"/>
        <v/>
      </c>
      <c r="HN38" s="430" t="str">
        <f t="shared" si="200"/>
        <v/>
      </c>
      <c r="HO38" s="430" t="str">
        <f t="shared" si="201"/>
        <v/>
      </c>
      <c r="HP38" s="430" t="str">
        <f t="shared" si="202"/>
        <v/>
      </c>
      <c r="HQ38" s="430" t="str">
        <f t="shared" si="203"/>
        <v/>
      </c>
      <c r="HR38" s="430" t="str">
        <f t="shared" si="204"/>
        <v/>
      </c>
      <c r="HS38" s="430" t="str">
        <f t="shared" si="205"/>
        <v/>
      </c>
      <c r="HT38" s="430" t="str">
        <f t="shared" si="206"/>
        <v/>
      </c>
      <c r="HU38" s="430" t="str">
        <f t="shared" si="207"/>
        <v/>
      </c>
      <c r="HV38" s="430" t="str">
        <f t="shared" si="208"/>
        <v/>
      </c>
      <c r="HW38" s="430" t="str">
        <f t="shared" si="209"/>
        <v/>
      </c>
      <c r="HX38" s="430" t="str">
        <f t="shared" si="210"/>
        <v/>
      </c>
      <c r="HY38" s="430" t="str">
        <f t="shared" si="211"/>
        <v/>
      </c>
      <c r="HZ38" s="1814" t="str">
        <f t="shared" si="212"/>
        <v/>
      </c>
      <c r="IA38" s="1814" t="str">
        <f t="shared" si="213"/>
        <v/>
      </c>
      <c r="IB38" s="1814" t="str">
        <f t="shared" si="214"/>
        <v/>
      </c>
      <c r="IC38" s="1814" t="str">
        <f t="shared" si="215"/>
        <v/>
      </c>
      <c r="ID38" s="1814" t="str">
        <f t="shared" si="216"/>
        <v/>
      </c>
      <c r="IE38" s="1814" t="str">
        <f t="shared" si="217"/>
        <v/>
      </c>
      <c r="IF38" s="1814" t="str">
        <f t="shared" si="218"/>
        <v/>
      </c>
      <c r="IG38" s="1814" t="str">
        <f t="shared" si="219"/>
        <v/>
      </c>
      <c r="IH38" s="1814" t="str">
        <f t="shared" si="220"/>
        <v/>
      </c>
      <c r="II38" s="1814" t="str">
        <f t="shared" si="221"/>
        <v/>
      </c>
      <c r="IJ38" s="1814" t="str">
        <f t="shared" si="222"/>
        <v/>
      </c>
      <c r="IK38" s="1814" t="str">
        <f t="shared" si="223"/>
        <v/>
      </c>
      <c r="IL38" s="1814" t="str">
        <f t="shared" si="224"/>
        <v/>
      </c>
      <c r="IM38" s="1814" t="str">
        <f t="shared" si="225"/>
        <v/>
      </c>
      <c r="IN38" s="1814" t="str">
        <f t="shared" si="226"/>
        <v/>
      </c>
      <c r="IO38" s="1814" t="str">
        <f t="shared" si="227"/>
        <v/>
      </c>
      <c r="IP38" s="1814" t="str">
        <f t="shared" si="228"/>
        <v/>
      </c>
      <c r="IQ38" s="1814" t="str">
        <f t="shared" si="229"/>
        <v/>
      </c>
      <c r="IR38" s="1814" t="str">
        <f t="shared" si="230"/>
        <v/>
      </c>
      <c r="IS38" s="1814" t="str">
        <f t="shared" si="231"/>
        <v/>
      </c>
      <c r="IT38" s="1814" t="str">
        <f t="shared" si="232"/>
        <v/>
      </c>
      <c r="IU38" s="1814" t="str">
        <f t="shared" si="233"/>
        <v/>
      </c>
      <c r="IV38" s="1814" t="str">
        <f t="shared" si="234"/>
        <v/>
      </c>
      <c r="IW38" s="1814" t="str">
        <f t="shared" si="235"/>
        <v/>
      </c>
      <c r="IX38" s="1814" t="str">
        <f t="shared" si="236"/>
        <v/>
      </c>
      <c r="IY38" s="1814" t="str">
        <f t="shared" si="237"/>
        <v/>
      </c>
      <c r="IZ38" s="1814" t="str">
        <f t="shared" si="238"/>
        <v/>
      </c>
      <c r="JA38" s="1814" t="str">
        <f t="shared" si="239"/>
        <v/>
      </c>
      <c r="JB38" s="1814" t="str">
        <f t="shared" si="240"/>
        <v/>
      </c>
      <c r="JC38" s="1814" t="str">
        <f t="shared" si="241"/>
        <v/>
      </c>
      <c r="JD38" s="1814" t="str">
        <f t="shared" si="242"/>
        <v/>
      </c>
      <c r="JE38" s="1814" t="str">
        <f t="shared" si="243"/>
        <v/>
      </c>
      <c r="JF38" s="1814" t="str">
        <f t="shared" si="244"/>
        <v/>
      </c>
      <c r="JG38" s="1814" t="str">
        <f t="shared" si="245"/>
        <v/>
      </c>
      <c r="JH38" s="1814" t="str">
        <f t="shared" si="246"/>
        <v/>
      </c>
      <c r="JI38" s="1814" t="str">
        <f t="shared" si="247"/>
        <v/>
      </c>
      <c r="JJ38" s="1814" t="str">
        <f t="shared" si="248"/>
        <v/>
      </c>
      <c r="JK38" s="1814" t="str">
        <f t="shared" si="249"/>
        <v/>
      </c>
      <c r="JL38" s="1814" t="str">
        <f t="shared" si="250"/>
        <v/>
      </c>
      <c r="JM38" s="1814" t="str">
        <f t="shared" si="251"/>
        <v/>
      </c>
      <c r="JN38" s="1814" t="str">
        <f t="shared" si="252"/>
        <v/>
      </c>
      <c r="JO38" s="1814" t="str">
        <f t="shared" si="253"/>
        <v/>
      </c>
      <c r="JP38" s="1814" t="str">
        <f t="shared" si="254"/>
        <v/>
      </c>
      <c r="JQ38" s="1814" t="str">
        <f t="shared" si="255"/>
        <v/>
      </c>
      <c r="JR38" s="1814" t="str">
        <f t="shared" si="256"/>
        <v/>
      </c>
      <c r="JS38" s="1814" t="str">
        <f t="shared" si="257"/>
        <v/>
      </c>
      <c r="JT38" s="1814" t="str">
        <f t="shared" si="258"/>
        <v/>
      </c>
      <c r="JU38" s="1814" t="str">
        <f t="shared" si="259"/>
        <v/>
      </c>
      <c r="JV38" s="1814" t="str">
        <f t="shared" si="260"/>
        <v/>
      </c>
      <c r="JW38" s="1814" t="str">
        <f t="shared" si="261"/>
        <v/>
      </c>
      <c r="JX38" s="1814" t="str">
        <f t="shared" si="262"/>
        <v/>
      </c>
      <c r="JY38" s="1814" t="str">
        <f t="shared" si="263"/>
        <v/>
      </c>
      <c r="JZ38" s="1814" t="str">
        <f t="shared" si="264"/>
        <v/>
      </c>
      <c r="KA38" s="1814" t="str">
        <f t="shared" si="265"/>
        <v/>
      </c>
      <c r="KB38" s="1814" t="str">
        <f t="shared" si="266"/>
        <v/>
      </c>
      <c r="KC38" s="1814" t="str">
        <f t="shared" si="267"/>
        <v/>
      </c>
      <c r="KD38" s="1814" t="str">
        <f t="shared" si="268"/>
        <v/>
      </c>
      <c r="KE38" s="1814" t="str">
        <f t="shared" si="269"/>
        <v/>
      </c>
      <c r="KF38" s="1814" t="str">
        <f t="shared" si="270"/>
        <v/>
      </c>
      <c r="KG38" s="1814" t="str">
        <f t="shared" si="271"/>
        <v/>
      </c>
      <c r="KH38" s="1814" t="str">
        <f t="shared" si="272"/>
        <v/>
      </c>
      <c r="KI38" s="1814" t="str">
        <f t="shared" si="273"/>
        <v/>
      </c>
      <c r="KJ38" s="1814" t="str">
        <f t="shared" si="274"/>
        <v/>
      </c>
      <c r="KK38" s="1814" t="str">
        <f t="shared" si="275"/>
        <v/>
      </c>
      <c r="KL38" s="1814" t="str">
        <f t="shared" si="276"/>
        <v/>
      </c>
      <c r="KM38" s="1814" t="str">
        <f t="shared" si="277"/>
        <v/>
      </c>
      <c r="KN38" s="1814" t="str">
        <f t="shared" si="278"/>
        <v/>
      </c>
      <c r="KO38" s="1814" t="str">
        <f t="shared" si="279"/>
        <v/>
      </c>
      <c r="KP38" s="1814" t="str">
        <f t="shared" si="280"/>
        <v/>
      </c>
      <c r="KQ38" s="1814" t="str">
        <f t="shared" si="281"/>
        <v/>
      </c>
      <c r="KR38" s="1814" t="str">
        <f t="shared" si="282"/>
        <v/>
      </c>
      <c r="KS38" s="1814" t="str">
        <f t="shared" si="283"/>
        <v/>
      </c>
      <c r="KT38" s="1814" t="str">
        <f t="shared" si="284"/>
        <v/>
      </c>
      <c r="KU38" s="1814" t="str">
        <f t="shared" si="285"/>
        <v/>
      </c>
      <c r="KV38" s="1814" t="str">
        <f t="shared" si="286"/>
        <v/>
      </c>
      <c r="KW38" s="1814" t="str">
        <f t="shared" si="287"/>
        <v/>
      </c>
      <c r="KX38" s="1814" t="str">
        <f t="shared" si="288"/>
        <v/>
      </c>
      <c r="KY38" s="1814" t="str">
        <f t="shared" si="289"/>
        <v/>
      </c>
      <c r="KZ38" s="1814" t="str">
        <f t="shared" si="290"/>
        <v/>
      </c>
      <c r="LA38" s="1814" t="str">
        <f t="shared" si="291"/>
        <v/>
      </c>
      <c r="LB38" s="1814" t="str">
        <f t="shared" si="292"/>
        <v/>
      </c>
      <c r="LC38" s="1814" t="str">
        <f t="shared" si="293"/>
        <v/>
      </c>
      <c r="LD38" s="1814" t="str">
        <f t="shared" si="294"/>
        <v/>
      </c>
      <c r="LE38" s="1814" t="str">
        <f t="shared" si="295"/>
        <v/>
      </c>
      <c r="LF38" s="1814" t="str">
        <f t="shared" si="296"/>
        <v/>
      </c>
      <c r="LG38" s="1786" t="str">
        <f t="shared" si="297"/>
        <v/>
      </c>
      <c r="LH38" s="1786" t="str">
        <f t="shared" si="298"/>
        <v/>
      </c>
      <c r="LI38" s="1786" t="str">
        <f t="shared" si="299"/>
        <v/>
      </c>
      <c r="LJ38" s="1786" t="str">
        <f t="shared" si="300"/>
        <v/>
      </c>
      <c r="LK38" s="1786" t="str">
        <f t="shared" si="301"/>
        <v/>
      </c>
      <c r="LL38" s="430" t="str">
        <f t="shared" si="302"/>
        <v/>
      </c>
      <c r="LM38" s="430" t="str">
        <f t="shared" si="303"/>
        <v/>
      </c>
      <c r="LN38" s="430" t="str">
        <f t="shared" si="304"/>
        <v/>
      </c>
      <c r="LO38" s="430" t="str">
        <f t="shared" si="305"/>
        <v/>
      </c>
      <c r="LP38" s="430" t="str">
        <f t="shared" si="306"/>
        <v/>
      </c>
      <c r="LQ38" s="430" t="str">
        <f t="shared" si="307"/>
        <v/>
      </c>
      <c r="LR38" s="430" t="str">
        <f t="shared" si="308"/>
        <v/>
      </c>
      <c r="LS38" s="430" t="str">
        <f t="shared" si="309"/>
        <v/>
      </c>
      <c r="LT38" s="430" t="str">
        <f t="shared" si="310"/>
        <v/>
      </c>
      <c r="LU38" s="430" t="str">
        <f t="shared" si="311"/>
        <v/>
      </c>
      <c r="LV38" s="430" t="str">
        <f t="shared" si="312"/>
        <v/>
      </c>
      <c r="LW38" s="430" t="str">
        <f t="shared" si="313"/>
        <v/>
      </c>
      <c r="LX38" s="430" t="str">
        <f t="shared" si="314"/>
        <v/>
      </c>
      <c r="LY38" s="430" t="str">
        <f t="shared" si="315"/>
        <v/>
      </c>
      <c r="LZ38" s="430" t="str">
        <f t="shared" si="316"/>
        <v/>
      </c>
      <c r="MA38" s="430" t="str">
        <f t="shared" si="317"/>
        <v/>
      </c>
      <c r="MB38" s="430" t="str">
        <f t="shared" si="318"/>
        <v/>
      </c>
      <c r="MC38" s="430" t="str">
        <f t="shared" si="319"/>
        <v/>
      </c>
      <c r="MD38" s="430" t="str">
        <f t="shared" si="320"/>
        <v/>
      </c>
      <c r="ME38" s="430" t="str">
        <f t="shared" si="321"/>
        <v/>
      </c>
      <c r="MF38" s="1815">
        <f t="shared" si="328"/>
        <v>0</v>
      </c>
      <c r="MG38" s="1815">
        <f t="shared" si="329"/>
        <v>0</v>
      </c>
      <c r="MH38" s="1815">
        <f t="shared" si="330"/>
        <v>0</v>
      </c>
      <c r="MI38" s="1815">
        <f t="shared" si="331"/>
        <v>0</v>
      </c>
      <c r="MJ38" s="1815">
        <f t="shared" si="332"/>
        <v>0</v>
      </c>
      <c r="MK38" s="1815">
        <f t="shared" si="333"/>
        <v>0</v>
      </c>
      <c r="ML38" s="1815">
        <f t="shared" si="334"/>
        <v>0</v>
      </c>
      <c r="MM38" s="1815">
        <f t="shared" si="335"/>
        <v>0</v>
      </c>
      <c r="MN38" s="1815">
        <f t="shared" si="336"/>
        <v>0</v>
      </c>
      <c r="MO38" s="1815">
        <f t="shared" si="337"/>
        <v>0</v>
      </c>
      <c r="MP38" s="1815">
        <f t="shared" si="322"/>
        <v>0</v>
      </c>
      <c r="MQ38" s="1815">
        <f t="shared" si="323"/>
        <v>0</v>
      </c>
      <c r="MR38" s="1815">
        <f t="shared" si="324"/>
        <v>0</v>
      </c>
      <c r="MS38" s="1815">
        <f t="shared" si="325"/>
        <v>0</v>
      </c>
      <c r="MT38" s="1815">
        <f t="shared" si="326"/>
        <v>0</v>
      </c>
      <c r="NP38" s="2807" t="s">
        <v>6744</v>
      </c>
    </row>
    <row r="39" spans="1:380" ht="13.9" customHeight="1">
      <c r="A39" s="108" t="str">
        <f t="shared" si="327"/>
        <v/>
      </c>
      <c r="B39" s="2896"/>
      <c r="C39" s="2869"/>
      <c r="D39" s="2870"/>
      <c r="E39" s="2871"/>
      <c r="F39" s="2871"/>
      <c r="G39" s="2871"/>
      <c r="H39" s="2871"/>
      <c r="I39" s="2871"/>
      <c r="J39" s="2897">
        <f>IF(C39="",0,HLOOKUP(C39,'Part V-Utility Allowances'!$I$11:$M$22,12))</f>
        <v>0</v>
      </c>
      <c r="K39" s="2873"/>
      <c r="L39" s="537">
        <f t="shared" si="0"/>
        <v>0</v>
      </c>
      <c r="M39" s="537">
        <f t="shared" si="1"/>
        <v>0</v>
      </c>
      <c r="N39" s="2712"/>
      <c r="O39" s="2874"/>
      <c r="P39" s="2712"/>
      <c r="Q39" s="2875"/>
      <c r="R39" s="2876"/>
      <c r="S39" s="2877"/>
      <c r="T39" s="3833"/>
      <c r="U39" s="3834"/>
      <c r="V39" s="3834"/>
      <c r="W39" s="3835"/>
      <c r="X39" s="430" t="str">
        <f t="shared" si="2"/>
        <v/>
      </c>
      <c r="Y39" s="430" t="str">
        <f t="shared" si="3"/>
        <v/>
      </c>
      <c r="Z39" s="430" t="str">
        <f t="shared" si="4"/>
        <v/>
      </c>
      <c r="AA39" s="430" t="str">
        <f t="shared" si="5"/>
        <v/>
      </c>
      <c r="AB39" s="430" t="str">
        <f t="shared" si="6"/>
        <v/>
      </c>
      <c r="AC39" s="430" t="str">
        <f t="shared" si="7"/>
        <v/>
      </c>
      <c r="AD39" s="430" t="str">
        <f t="shared" si="8"/>
        <v/>
      </c>
      <c r="AE39" s="430" t="str">
        <f t="shared" si="9"/>
        <v/>
      </c>
      <c r="AF39" s="430" t="str">
        <f t="shared" si="10"/>
        <v/>
      </c>
      <c r="AG39" s="430" t="str">
        <f t="shared" si="11"/>
        <v/>
      </c>
      <c r="AH39" s="430" t="str">
        <f t="shared" si="12"/>
        <v/>
      </c>
      <c r="AI39" s="430" t="str">
        <f t="shared" si="13"/>
        <v/>
      </c>
      <c r="AJ39" s="430" t="str">
        <f t="shared" si="14"/>
        <v/>
      </c>
      <c r="AK39" s="430" t="str">
        <f t="shared" si="15"/>
        <v/>
      </c>
      <c r="AL39" s="430" t="str">
        <f t="shared" si="16"/>
        <v/>
      </c>
      <c r="AM39" s="430" t="str">
        <f t="shared" si="17"/>
        <v/>
      </c>
      <c r="AN39" s="430" t="str">
        <f t="shared" si="18"/>
        <v/>
      </c>
      <c r="AO39" s="430" t="str">
        <f t="shared" si="19"/>
        <v/>
      </c>
      <c r="AP39" s="430" t="str">
        <f t="shared" si="20"/>
        <v/>
      </c>
      <c r="AQ39" s="430" t="str">
        <f t="shared" si="21"/>
        <v/>
      </c>
      <c r="AR39" s="430" t="str">
        <f t="shared" si="22"/>
        <v/>
      </c>
      <c r="AS39" s="430" t="str">
        <f t="shared" si="23"/>
        <v/>
      </c>
      <c r="AT39" s="430" t="str">
        <f t="shared" si="24"/>
        <v/>
      </c>
      <c r="AU39" s="430" t="str">
        <f t="shared" si="25"/>
        <v/>
      </c>
      <c r="AV39" s="430" t="str">
        <f t="shared" si="26"/>
        <v/>
      </c>
      <c r="AW39" s="430" t="str">
        <f t="shared" si="27"/>
        <v/>
      </c>
      <c r="AX39" s="430" t="str">
        <f t="shared" si="28"/>
        <v/>
      </c>
      <c r="AY39" s="430" t="str">
        <f t="shared" si="29"/>
        <v/>
      </c>
      <c r="AZ39" s="430" t="str">
        <f t="shared" si="30"/>
        <v/>
      </c>
      <c r="BA39" s="430" t="str">
        <f t="shared" si="31"/>
        <v/>
      </c>
      <c r="BB39" s="430" t="str">
        <f t="shared" si="32"/>
        <v/>
      </c>
      <c r="BC39" s="430" t="str">
        <f t="shared" si="33"/>
        <v/>
      </c>
      <c r="BD39" s="430" t="str">
        <f t="shared" si="34"/>
        <v/>
      </c>
      <c r="BE39" s="430" t="str">
        <f t="shared" si="35"/>
        <v/>
      </c>
      <c r="BF39" s="430" t="str">
        <f t="shared" si="36"/>
        <v/>
      </c>
      <c r="BG39" s="430" t="str">
        <f t="shared" si="37"/>
        <v/>
      </c>
      <c r="BH39" s="430" t="str">
        <f t="shared" si="38"/>
        <v/>
      </c>
      <c r="BI39" s="430" t="str">
        <f t="shared" si="39"/>
        <v/>
      </c>
      <c r="BJ39" s="430" t="str">
        <f t="shared" si="40"/>
        <v/>
      </c>
      <c r="BK39" s="430" t="str">
        <f t="shared" si="41"/>
        <v/>
      </c>
      <c r="BL39" s="430" t="str">
        <f t="shared" si="42"/>
        <v/>
      </c>
      <c r="BM39" s="430" t="str">
        <f t="shared" si="43"/>
        <v/>
      </c>
      <c r="BN39" s="430" t="str">
        <f t="shared" si="44"/>
        <v/>
      </c>
      <c r="BO39" s="430" t="str">
        <f t="shared" si="45"/>
        <v/>
      </c>
      <c r="BP39" s="430" t="str">
        <f t="shared" si="46"/>
        <v/>
      </c>
      <c r="BQ39" s="430" t="str">
        <f t="shared" si="47"/>
        <v/>
      </c>
      <c r="BR39" s="430" t="str">
        <f t="shared" si="48"/>
        <v/>
      </c>
      <c r="BS39" s="430" t="str">
        <f t="shared" si="49"/>
        <v/>
      </c>
      <c r="BT39" s="430" t="str">
        <f t="shared" si="50"/>
        <v/>
      </c>
      <c r="BU39" s="430" t="str">
        <f t="shared" si="51"/>
        <v/>
      </c>
      <c r="BV39" s="430" t="str">
        <f t="shared" si="52"/>
        <v/>
      </c>
      <c r="BW39" s="430" t="str">
        <f t="shared" si="53"/>
        <v/>
      </c>
      <c r="BX39" s="430" t="str">
        <f t="shared" si="54"/>
        <v/>
      </c>
      <c r="BY39" s="430" t="str">
        <f t="shared" si="55"/>
        <v/>
      </c>
      <c r="BZ39" s="430" t="str">
        <f t="shared" si="56"/>
        <v/>
      </c>
      <c r="CA39" s="430" t="str">
        <f t="shared" si="57"/>
        <v/>
      </c>
      <c r="CB39" s="430" t="str">
        <f t="shared" si="58"/>
        <v/>
      </c>
      <c r="CC39" s="430" t="str">
        <f t="shared" si="59"/>
        <v/>
      </c>
      <c r="CD39" s="430" t="str">
        <f t="shared" si="60"/>
        <v/>
      </c>
      <c r="CE39" s="430" t="str">
        <f t="shared" si="61"/>
        <v/>
      </c>
      <c r="CF39" s="430" t="str">
        <f t="shared" si="62"/>
        <v/>
      </c>
      <c r="CG39" s="430" t="str">
        <f t="shared" si="63"/>
        <v/>
      </c>
      <c r="CH39" s="430" t="str">
        <f t="shared" si="64"/>
        <v/>
      </c>
      <c r="CI39" s="430" t="str">
        <f t="shared" si="65"/>
        <v/>
      </c>
      <c r="CJ39" s="430" t="str">
        <f t="shared" si="66"/>
        <v/>
      </c>
      <c r="CK39" s="430" t="str">
        <f t="shared" si="67"/>
        <v/>
      </c>
      <c r="CL39" s="430" t="str">
        <f t="shared" si="68"/>
        <v/>
      </c>
      <c r="CM39" s="430" t="str">
        <f t="shared" si="69"/>
        <v/>
      </c>
      <c r="CN39" s="430" t="str">
        <f t="shared" si="70"/>
        <v/>
      </c>
      <c r="CO39" s="430" t="str">
        <f t="shared" si="71"/>
        <v/>
      </c>
      <c r="CP39" s="430" t="str">
        <f t="shared" si="72"/>
        <v/>
      </c>
      <c r="CQ39" s="430" t="str">
        <f t="shared" si="73"/>
        <v/>
      </c>
      <c r="CR39" s="430" t="str">
        <f t="shared" si="74"/>
        <v/>
      </c>
      <c r="CS39" s="430" t="str">
        <f t="shared" si="75"/>
        <v/>
      </c>
      <c r="CT39" s="430" t="str">
        <f t="shared" si="76"/>
        <v/>
      </c>
      <c r="CU39" s="430" t="str">
        <f t="shared" si="77"/>
        <v/>
      </c>
      <c r="CV39" s="430" t="str">
        <f t="shared" si="78"/>
        <v/>
      </c>
      <c r="CW39" s="430" t="str">
        <f t="shared" si="79"/>
        <v/>
      </c>
      <c r="CX39" s="430" t="str">
        <f t="shared" si="80"/>
        <v/>
      </c>
      <c r="CY39" s="430" t="str">
        <f t="shared" si="81"/>
        <v/>
      </c>
      <c r="CZ39" s="430" t="str">
        <f t="shared" si="82"/>
        <v/>
      </c>
      <c r="DA39" s="430" t="str">
        <f t="shared" si="83"/>
        <v/>
      </c>
      <c r="DB39" s="430" t="str">
        <f t="shared" si="84"/>
        <v/>
      </c>
      <c r="DC39" s="430" t="str">
        <f t="shared" si="85"/>
        <v/>
      </c>
      <c r="DD39" s="430" t="str">
        <f t="shared" si="86"/>
        <v/>
      </c>
      <c r="DE39" s="430" t="str">
        <f t="shared" si="87"/>
        <v/>
      </c>
      <c r="DF39" s="430" t="str">
        <f t="shared" si="88"/>
        <v/>
      </c>
      <c r="DG39" s="430" t="str">
        <f t="shared" si="89"/>
        <v/>
      </c>
      <c r="DH39" s="430" t="str">
        <f t="shared" si="90"/>
        <v/>
      </c>
      <c r="DI39" s="430" t="str">
        <f t="shared" si="91"/>
        <v/>
      </c>
      <c r="DJ39" s="430" t="str">
        <f t="shared" si="92"/>
        <v/>
      </c>
      <c r="DK39" s="430" t="str">
        <f t="shared" si="93"/>
        <v/>
      </c>
      <c r="DL39" s="430" t="str">
        <f t="shared" si="94"/>
        <v/>
      </c>
      <c r="DM39" s="430" t="str">
        <f t="shared" si="95"/>
        <v/>
      </c>
      <c r="DN39" s="430" t="str">
        <f t="shared" si="96"/>
        <v/>
      </c>
      <c r="DO39" s="430" t="str">
        <f t="shared" si="97"/>
        <v/>
      </c>
      <c r="DP39" s="430" t="str">
        <f t="shared" si="98"/>
        <v/>
      </c>
      <c r="DQ39" s="430" t="str">
        <f t="shared" si="99"/>
        <v/>
      </c>
      <c r="DR39" s="430" t="str">
        <f t="shared" si="100"/>
        <v/>
      </c>
      <c r="DS39" s="430" t="str">
        <f t="shared" si="101"/>
        <v/>
      </c>
      <c r="DT39" s="430" t="str">
        <f t="shared" si="102"/>
        <v/>
      </c>
      <c r="DU39" s="430" t="str">
        <f t="shared" si="103"/>
        <v/>
      </c>
      <c r="DV39" s="430" t="str">
        <f t="shared" si="104"/>
        <v/>
      </c>
      <c r="DW39" s="430" t="str">
        <f t="shared" si="105"/>
        <v/>
      </c>
      <c r="DX39" s="430" t="str">
        <f t="shared" si="106"/>
        <v/>
      </c>
      <c r="DY39" s="430" t="str">
        <f t="shared" si="107"/>
        <v/>
      </c>
      <c r="DZ39" s="430" t="str">
        <f t="shared" si="108"/>
        <v/>
      </c>
      <c r="EA39" s="430" t="str">
        <f t="shared" si="109"/>
        <v/>
      </c>
      <c r="EB39" s="430" t="str">
        <f t="shared" si="110"/>
        <v/>
      </c>
      <c r="EC39" s="430" t="str">
        <f t="shared" si="111"/>
        <v/>
      </c>
      <c r="ED39" s="430" t="str">
        <f t="shared" si="112"/>
        <v/>
      </c>
      <c r="EE39" s="430" t="str">
        <f t="shared" si="113"/>
        <v/>
      </c>
      <c r="EF39" s="430" t="str">
        <f t="shared" si="114"/>
        <v/>
      </c>
      <c r="EG39" s="430" t="str">
        <f t="shared" si="115"/>
        <v/>
      </c>
      <c r="EH39" s="430" t="str">
        <f t="shared" si="116"/>
        <v/>
      </c>
      <c r="EI39" s="430" t="str">
        <f t="shared" si="117"/>
        <v/>
      </c>
      <c r="EJ39" s="430" t="str">
        <f t="shared" si="118"/>
        <v/>
      </c>
      <c r="EK39" s="430" t="str">
        <f t="shared" si="119"/>
        <v/>
      </c>
      <c r="EL39" s="430" t="str">
        <f t="shared" si="120"/>
        <v/>
      </c>
      <c r="EM39" s="430" t="str">
        <f t="shared" si="121"/>
        <v/>
      </c>
      <c r="EN39" s="430" t="str">
        <f t="shared" si="122"/>
        <v/>
      </c>
      <c r="EO39" s="430" t="str">
        <f t="shared" si="123"/>
        <v/>
      </c>
      <c r="EP39" s="430" t="str">
        <f t="shared" si="124"/>
        <v/>
      </c>
      <c r="EQ39" s="430" t="str">
        <f t="shared" si="125"/>
        <v/>
      </c>
      <c r="ER39" s="430" t="str">
        <f t="shared" si="126"/>
        <v/>
      </c>
      <c r="ES39" s="430" t="str">
        <f t="shared" si="127"/>
        <v/>
      </c>
      <c r="ET39" s="430" t="str">
        <f t="shared" si="128"/>
        <v/>
      </c>
      <c r="EU39" s="430" t="str">
        <f t="shared" si="129"/>
        <v/>
      </c>
      <c r="EV39" s="430" t="str">
        <f t="shared" si="130"/>
        <v/>
      </c>
      <c r="EW39" s="430" t="str">
        <f t="shared" si="131"/>
        <v/>
      </c>
      <c r="EX39" s="430" t="str">
        <f t="shared" si="132"/>
        <v/>
      </c>
      <c r="EY39" s="430" t="str">
        <f t="shared" si="133"/>
        <v/>
      </c>
      <c r="EZ39" s="430" t="str">
        <f t="shared" si="134"/>
        <v/>
      </c>
      <c r="FA39" s="430" t="str">
        <f t="shared" si="135"/>
        <v/>
      </c>
      <c r="FB39" s="430" t="str">
        <f t="shared" si="136"/>
        <v/>
      </c>
      <c r="FC39" s="430" t="str">
        <f t="shared" si="137"/>
        <v/>
      </c>
      <c r="FD39" s="430" t="str">
        <f t="shared" si="138"/>
        <v/>
      </c>
      <c r="FE39" s="430" t="str">
        <f t="shared" si="139"/>
        <v/>
      </c>
      <c r="FF39" s="430" t="str">
        <f t="shared" si="140"/>
        <v/>
      </c>
      <c r="FG39" s="430" t="str">
        <f t="shared" si="141"/>
        <v/>
      </c>
      <c r="FH39" s="430" t="str">
        <f t="shared" si="142"/>
        <v/>
      </c>
      <c r="FI39" s="430" t="str">
        <f t="shared" si="143"/>
        <v/>
      </c>
      <c r="FJ39" s="430" t="str">
        <f t="shared" si="144"/>
        <v/>
      </c>
      <c r="FK39" s="430" t="str">
        <f t="shared" si="145"/>
        <v/>
      </c>
      <c r="FL39" s="430" t="str">
        <f t="shared" si="146"/>
        <v/>
      </c>
      <c r="FM39" s="430" t="str">
        <f t="shared" si="147"/>
        <v/>
      </c>
      <c r="FN39" s="430" t="str">
        <f t="shared" si="148"/>
        <v/>
      </c>
      <c r="FO39" s="430" t="str">
        <f t="shared" si="149"/>
        <v/>
      </c>
      <c r="FP39" s="430" t="str">
        <f t="shared" si="150"/>
        <v/>
      </c>
      <c r="FQ39" s="430" t="str">
        <f t="shared" si="151"/>
        <v/>
      </c>
      <c r="FR39" s="430" t="str">
        <f t="shared" si="152"/>
        <v/>
      </c>
      <c r="FS39" s="430" t="str">
        <f t="shared" si="153"/>
        <v/>
      </c>
      <c r="FT39" s="430" t="str">
        <f t="shared" si="154"/>
        <v/>
      </c>
      <c r="FU39" s="430" t="str">
        <f t="shared" si="155"/>
        <v/>
      </c>
      <c r="FV39" s="430" t="str">
        <f t="shared" si="156"/>
        <v/>
      </c>
      <c r="FW39" s="430" t="str">
        <f t="shared" si="157"/>
        <v/>
      </c>
      <c r="FX39" s="430" t="str">
        <f t="shared" si="158"/>
        <v/>
      </c>
      <c r="FY39" s="430" t="str">
        <f t="shared" si="159"/>
        <v/>
      </c>
      <c r="FZ39" s="430" t="str">
        <f t="shared" si="160"/>
        <v/>
      </c>
      <c r="GA39" s="430" t="str">
        <f t="shared" si="161"/>
        <v/>
      </c>
      <c r="GB39" s="430" t="str">
        <f t="shared" si="162"/>
        <v/>
      </c>
      <c r="GC39" s="430" t="str">
        <f t="shared" si="163"/>
        <v/>
      </c>
      <c r="GD39" s="430" t="str">
        <f t="shared" si="164"/>
        <v/>
      </c>
      <c r="GE39" s="430" t="str">
        <f t="shared" si="165"/>
        <v/>
      </c>
      <c r="GF39" s="430" t="str">
        <f t="shared" si="166"/>
        <v/>
      </c>
      <c r="GG39" s="430" t="str">
        <f t="shared" si="167"/>
        <v/>
      </c>
      <c r="GH39" s="430" t="str">
        <f t="shared" si="168"/>
        <v/>
      </c>
      <c r="GI39" s="430" t="str">
        <f t="shared" si="169"/>
        <v/>
      </c>
      <c r="GJ39" s="430" t="str">
        <f t="shared" si="170"/>
        <v/>
      </c>
      <c r="GK39" s="430" t="str">
        <f t="shared" si="171"/>
        <v/>
      </c>
      <c r="GL39" s="430" t="str">
        <f t="shared" si="172"/>
        <v/>
      </c>
      <c r="GM39" s="430" t="str">
        <f t="shared" si="173"/>
        <v/>
      </c>
      <c r="GN39" s="430" t="str">
        <f t="shared" si="174"/>
        <v/>
      </c>
      <c r="GO39" s="430" t="str">
        <f t="shared" si="175"/>
        <v/>
      </c>
      <c r="GP39" s="430" t="str">
        <f t="shared" si="176"/>
        <v/>
      </c>
      <c r="GQ39" s="430" t="str">
        <f t="shared" si="177"/>
        <v/>
      </c>
      <c r="GR39" s="430" t="str">
        <f t="shared" si="178"/>
        <v/>
      </c>
      <c r="GS39" s="430" t="str">
        <f t="shared" si="179"/>
        <v/>
      </c>
      <c r="GT39" s="430" t="str">
        <f t="shared" si="180"/>
        <v/>
      </c>
      <c r="GU39" s="430" t="str">
        <f t="shared" si="181"/>
        <v/>
      </c>
      <c r="GV39" s="430" t="str">
        <f t="shared" si="182"/>
        <v/>
      </c>
      <c r="GW39" s="430" t="str">
        <f t="shared" si="183"/>
        <v/>
      </c>
      <c r="GX39" s="430" t="str">
        <f t="shared" si="184"/>
        <v/>
      </c>
      <c r="GY39" s="430" t="str">
        <f t="shared" si="185"/>
        <v/>
      </c>
      <c r="GZ39" s="430" t="str">
        <f t="shared" si="186"/>
        <v/>
      </c>
      <c r="HA39" s="430" t="str">
        <f t="shared" si="187"/>
        <v/>
      </c>
      <c r="HB39" s="430" t="str">
        <f t="shared" si="188"/>
        <v/>
      </c>
      <c r="HC39" s="430" t="str">
        <f t="shared" si="189"/>
        <v/>
      </c>
      <c r="HD39" s="430" t="str">
        <f t="shared" si="190"/>
        <v/>
      </c>
      <c r="HE39" s="430" t="str">
        <f t="shared" si="191"/>
        <v/>
      </c>
      <c r="HF39" s="430" t="str">
        <f t="shared" si="192"/>
        <v/>
      </c>
      <c r="HG39" s="430" t="str">
        <f t="shared" si="193"/>
        <v/>
      </c>
      <c r="HH39" s="430" t="str">
        <f t="shared" si="194"/>
        <v/>
      </c>
      <c r="HI39" s="430" t="str">
        <f t="shared" si="195"/>
        <v/>
      </c>
      <c r="HJ39" s="430" t="str">
        <f t="shared" si="196"/>
        <v/>
      </c>
      <c r="HK39" s="430" t="str">
        <f t="shared" si="197"/>
        <v/>
      </c>
      <c r="HL39" s="430" t="str">
        <f t="shared" si="198"/>
        <v/>
      </c>
      <c r="HM39" s="430" t="str">
        <f t="shared" si="199"/>
        <v/>
      </c>
      <c r="HN39" s="430" t="str">
        <f t="shared" si="200"/>
        <v/>
      </c>
      <c r="HO39" s="430" t="str">
        <f t="shared" si="201"/>
        <v/>
      </c>
      <c r="HP39" s="430" t="str">
        <f t="shared" si="202"/>
        <v/>
      </c>
      <c r="HQ39" s="430" t="str">
        <f t="shared" si="203"/>
        <v/>
      </c>
      <c r="HR39" s="430" t="str">
        <f t="shared" si="204"/>
        <v/>
      </c>
      <c r="HS39" s="430" t="str">
        <f t="shared" si="205"/>
        <v/>
      </c>
      <c r="HT39" s="430" t="str">
        <f t="shared" si="206"/>
        <v/>
      </c>
      <c r="HU39" s="430" t="str">
        <f t="shared" si="207"/>
        <v/>
      </c>
      <c r="HV39" s="430" t="str">
        <f t="shared" si="208"/>
        <v/>
      </c>
      <c r="HW39" s="430" t="str">
        <f t="shared" si="209"/>
        <v/>
      </c>
      <c r="HX39" s="430" t="str">
        <f t="shared" si="210"/>
        <v/>
      </c>
      <c r="HY39" s="430" t="str">
        <f t="shared" si="211"/>
        <v/>
      </c>
      <c r="HZ39" s="1814" t="str">
        <f t="shared" si="212"/>
        <v/>
      </c>
      <c r="IA39" s="1814" t="str">
        <f t="shared" si="213"/>
        <v/>
      </c>
      <c r="IB39" s="1814" t="str">
        <f t="shared" si="214"/>
        <v/>
      </c>
      <c r="IC39" s="1814" t="str">
        <f t="shared" si="215"/>
        <v/>
      </c>
      <c r="ID39" s="1814" t="str">
        <f t="shared" si="216"/>
        <v/>
      </c>
      <c r="IE39" s="1814" t="str">
        <f t="shared" si="217"/>
        <v/>
      </c>
      <c r="IF39" s="1814" t="str">
        <f t="shared" si="218"/>
        <v/>
      </c>
      <c r="IG39" s="1814" t="str">
        <f t="shared" si="219"/>
        <v/>
      </c>
      <c r="IH39" s="1814" t="str">
        <f t="shared" si="220"/>
        <v/>
      </c>
      <c r="II39" s="1814" t="str">
        <f t="shared" si="221"/>
        <v/>
      </c>
      <c r="IJ39" s="1814" t="str">
        <f t="shared" si="222"/>
        <v/>
      </c>
      <c r="IK39" s="1814" t="str">
        <f t="shared" si="223"/>
        <v/>
      </c>
      <c r="IL39" s="1814" t="str">
        <f t="shared" si="224"/>
        <v/>
      </c>
      <c r="IM39" s="1814" t="str">
        <f t="shared" si="225"/>
        <v/>
      </c>
      <c r="IN39" s="1814" t="str">
        <f t="shared" si="226"/>
        <v/>
      </c>
      <c r="IO39" s="1814" t="str">
        <f t="shared" si="227"/>
        <v/>
      </c>
      <c r="IP39" s="1814" t="str">
        <f t="shared" si="228"/>
        <v/>
      </c>
      <c r="IQ39" s="1814" t="str">
        <f t="shared" si="229"/>
        <v/>
      </c>
      <c r="IR39" s="1814" t="str">
        <f t="shared" si="230"/>
        <v/>
      </c>
      <c r="IS39" s="1814" t="str">
        <f t="shared" si="231"/>
        <v/>
      </c>
      <c r="IT39" s="1814" t="str">
        <f t="shared" si="232"/>
        <v/>
      </c>
      <c r="IU39" s="1814" t="str">
        <f t="shared" si="233"/>
        <v/>
      </c>
      <c r="IV39" s="1814" t="str">
        <f t="shared" si="234"/>
        <v/>
      </c>
      <c r="IW39" s="1814" t="str">
        <f t="shared" si="235"/>
        <v/>
      </c>
      <c r="IX39" s="1814" t="str">
        <f t="shared" si="236"/>
        <v/>
      </c>
      <c r="IY39" s="1814" t="str">
        <f t="shared" si="237"/>
        <v/>
      </c>
      <c r="IZ39" s="1814" t="str">
        <f t="shared" si="238"/>
        <v/>
      </c>
      <c r="JA39" s="1814" t="str">
        <f t="shared" si="239"/>
        <v/>
      </c>
      <c r="JB39" s="1814" t="str">
        <f t="shared" si="240"/>
        <v/>
      </c>
      <c r="JC39" s="1814" t="str">
        <f t="shared" si="241"/>
        <v/>
      </c>
      <c r="JD39" s="1814" t="str">
        <f t="shared" si="242"/>
        <v/>
      </c>
      <c r="JE39" s="1814" t="str">
        <f t="shared" si="243"/>
        <v/>
      </c>
      <c r="JF39" s="1814" t="str">
        <f t="shared" si="244"/>
        <v/>
      </c>
      <c r="JG39" s="1814" t="str">
        <f t="shared" si="245"/>
        <v/>
      </c>
      <c r="JH39" s="1814" t="str">
        <f t="shared" si="246"/>
        <v/>
      </c>
      <c r="JI39" s="1814" t="str">
        <f t="shared" si="247"/>
        <v/>
      </c>
      <c r="JJ39" s="1814" t="str">
        <f t="shared" si="248"/>
        <v/>
      </c>
      <c r="JK39" s="1814" t="str">
        <f t="shared" si="249"/>
        <v/>
      </c>
      <c r="JL39" s="1814" t="str">
        <f t="shared" si="250"/>
        <v/>
      </c>
      <c r="JM39" s="1814" t="str">
        <f t="shared" si="251"/>
        <v/>
      </c>
      <c r="JN39" s="1814" t="str">
        <f t="shared" si="252"/>
        <v/>
      </c>
      <c r="JO39" s="1814" t="str">
        <f t="shared" si="253"/>
        <v/>
      </c>
      <c r="JP39" s="1814" t="str">
        <f t="shared" si="254"/>
        <v/>
      </c>
      <c r="JQ39" s="1814" t="str">
        <f t="shared" si="255"/>
        <v/>
      </c>
      <c r="JR39" s="1814" t="str">
        <f t="shared" si="256"/>
        <v/>
      </c>
      <c r="JS39" s="1814" t="str">
        <f t="shared" si="257"/>
        <v/>
      </c>
      <c r="JT39" s="1814" t="str">
        <f t="shared" si="258"/>
        <v/>
      </c>
      <c r="JU39" s="1814" t="str">
        <f t="shared" si="259"/>
        <v/>
      </c>
      <c r="JV39" s="1814" t="str">
        <f t="shared" si="260"/>
        <v/>
      </c>
      <c r="JW39" s="1814" t="str">
        <f t="shared" si="261"/>
        <v/>
      </c>
      <c r="JX39" s="1814" t="str">
        <f t="shared" si="262"/>
        <v/>
      </c>
      <c r="JY39" s="1814" t="str">
        <f t="shared" si="263"/>
        <v/>
      </c>
      <c r="JZ39" s="1814" t="str">
        <f t="shared" si="264"/>
        <v/>
      </c>
      <c r="KA39" s="1814" t="str">
        <f t="shared" si="265"/>
        <v/>
      </c>
      <c r="KB39" s="1814" t="str">
        <f t="shared" si="266"/>
        <v/>
      </c>
      <c r="KC39" s="1814" t="str">
        <f t="shared" si="267"/>
        <v/>
      </c>
      <c r="KD39" s="1814" t="str">
        <f t="shared" si="268"/>
        <v/>
      </c>
      <c r="KE39" s="1814" t="str">
        <f t="shared" si="269"/>
        <v/>
      </c>
      <c r="KF39" s="1814" t="str">
        <f t="shared" si="270"/>
        <v/>
      </c>
      <c r="KG39" s="1814" t="str">
        <f t="shared" si="271"/>
        <v/>
      </c>
      <c r="KH39" s="1814" t="str">
        <f t="shared" si="272"/>
        <v/>
      </c>
      <c r="KI39" s="1814" t="str">
        <f t="shared" si="273"/>
        <v/>
      </c>
      <c r="KJ39" s="1814" t="str">
        <f t="shared" si="274"/>
        <v/>
      </c>
      <c r="KK39" s="1814" t="str">
        <f t="shared" si="275"/>
        <v/>
      </c>
      <c r="KL39" s="1814" t="str">
        <f t="shared" si="276"/>
        <v/>
      </c>
      <c r="KM39" s="1814" t="str">
        <f t="shared" si="277"/>
        <v/>
      </c>
      <c r="KN39" s="1814" t="str">
        <f t="shared" si="278"/>
        <v/>
      </c>
      <c r="KO39" s="1814" t="str">
        <f t="shared" si="279"/>
        <v/>
      </c>
      <c r="KP39" s="1814" t="str">
        <f t="shared" si="280"/>
        <v/>
      </c>
      <c r="KQ39" s="1814" t="str">
        <f t="shared" si="281"/>
        <v/>
      </c>
      <c r="KR39" s="1814" t="str">
        <f t="shared" si="282"/>
        <v/>
      </c>
      <c r="KS39" s="1814" t="str">
        <f t="shared" si="283"/>
        <v/>
      </c>
      <c r="KT39" s="1814" t="str">
        <f t="shared" si="284"/>
        <v/>
      </c>
      <c r="KU39" s="1814" t="str">
        <f t="shared" si="285"/>
        <v/>
      </c>
      <c r="KV39" s="1814" t="str">
        <f t="shared" si="286"/>
        <v/>
      </c>
      <c r="KW39" s="1814" t="str">
        <f t="shared" si="287"/>
        <v/>
      </c>
      <c r="KX39" s="1814" t="str">
        <f t="shared" si="288"/>
        <v/>
      </c>
      <c r="KY39" s="1814" t="str">
        <f t="shared" si="289"/>
        <v/>
      </c>
      <c r="KZ39" s="1814" t="str">
        <f t="shared" si="290"/>
        <v/>
      </c>
      <c r="LA39" s="1814" t="str">
        <f t="shared" si="291"/>
        <v/>
      </c>
      <c r="LB39" s="1814" t="str">
        <f t="shared" si="292"/>
        <v/>
      </c>
      <c r="LC39" s="1814" t="str">
        <f t="shared" si="293"/>
        <v/>
      </c>
      <c r="LD39" s="1814" t="str">
        <f t="shared" si="294"/>
        <v/>
      </c>
      <c r="LE39" s="1814" t="str">
        <f t="shared" si="295"/>
        <v/>
      </c>
      <c r="LF39" s="1814" t="str">
        <f t="shared" si="296"/>
        <v/>
      </c>
      <c r="LG39" s="1786" t="str">
        <f t="shared" si="297"/>
        <v/>
      </c>
      <c r="LH39" s="1786" t="str">
        <f t="shared" si="298"/>
        <v/>
      </c>
      <c r="LI39" s="1786" t="str">
        <f t="shared" si="299"/>
        <v/>
      </c>
      <c r="LJ39" s="1786" t="str">
        <f t="shared" si="300"/>
        <v/>
      </c>
      <c r="LK39" s="1786" t="str">
        <f t="shared" si="301"/>
        <v/>
      </c>
      <c r="LL39" s="430" t="str">
        <f t="shared" si="302"/>
        <v/>
      </c>
      <c r="LM39" s="430" t="str">
        <f t="shared" si="303"/>
        <v/>
      </c>
      <c r="LN39" s="430" t="str">
        <f t="shared" si="304"/>
        <v/>
      </c>
      <c r="LO39" s="430" t="str">
        <f t="shared" si="305"/>
        <v/>
      </c>
      <c r="LP39" s="430" t="str">
        <f t="shared" si="306"/>
        <v/>
      </c>
      <c r="LQ39" s="430" t="str">
        <f t="shared" si="307"/>
        <v/>
      </c>
      <c r="LR39" s="430" t="str">
        <f t="shared" si="308"/>
        <v/>
      </c>
      <c r="LS39" s="430" t="str">
        <f t="shared" si="309"/>
        <v/>
      </c>
      <c r="LT39" s="430" t="str">
        <f t="shared" si="310"/>
        <v/>
      </c>
      <c r="LU39" s="430" t="str">
        <f t="shared" si="311"/>
        <v/>
      </c>
      <c r="LV39" s="430" t="str">
        <f t="shared" si="312"/>
        <v/>
      </c>
      <c r="LW39" s="430" t="str">
        <f t="shared" si="313"/>
        <v/>
      </c>
      <c r="LX39" s="430" t="str">
        <f t="shared" si="314"/>
        <v/>
      </c>
      <c r="LY39" s="430" t="str">
        <f t="shared" si="315"/>
        <v/>
      </c>
      <c r="LZ39" s="430" t="str">
        <f t="shared" si="316"/>
        <v/>
      </c>
      <c r="MA39" s="430" t="str">
        <f t="shared" si="317"/>
        <v/>
      </c>
      <c r="MB39" s="430" t="str">
        <f t="shared" si="318"/>
        <v/>
      </c>
      <c r="MC39" s="430" t="str">
        <f t="shared" si="319"/>
        <v/>
      </c>
      <c r="MD39" s="430" t="str">
        <f t="shared" si="320"/>
        <v/>
      </c>
      <c r="ME39" s="430" t="str">
        <f t="shared" si="321"/>
        <v/>
      </c>
      <c r="MF39" s="1815">
        <f t="shared" si="328"/>
        <v>0</v>
      </c>
      <c r="MG39" s="1815">
        <f t="shared" si="329"/>
        <v>0</v>
      </c>
      <c r="MH39" s="1815">
        <f t="shared" si="330"/>
        <v>0</v>
      </c>
      <c r="MI39" s="1815">
        <f t="shared" si="331"/>
        <v>0</v>
      </c>
      <c r="MJ39" s="1815">
        <f t="shared" si="332"/>
        <v>0</v>
      </c>
      <c r="MK39" s="1815">
        <f t="shared" si="333"/>
        <v>0</v>
      </c>
      <c r="ML39" s="1815">
        <f t="shared" si="334"/>
        <v>0</v>
      </c>
      <c r="MM39" s="1815">
        <f t="shared" si="335"/>
        <v>0</v>
      </c>
      <c r="MN39" s="1815">
        <f t="shared" si="336"/>
        <v>0</v>
      </c>
      <c r="MO39" s="1815">
        <f t="shared" si="337"/>
        <v>0</v>
      </c>
      <c r="MP39" s="1815">
        <f t="shared" si="322"/>
        <v>0</v>
      </c>
      <c r="MQ39" s="1815">
        <f t="shared" si="323"/>
        <v>0</v>
      </c>
      <c r="MR39" s="1815">
        <f t="shared" si="324"/>
        <v>0</v>
      </c>
      <c r="MS39" s="1815">
        <f t="shared" si="325"/>
        <v>0</v>
      </c>
      <c r="MT39" s="1815">
        <f t="shared" si="326"/>
        <v>0</v>
      </c>
      <c r="NP39" s="2807" t="s">
        <v>6745</v>
      </c>
    </row>
    <row r="40" spans="1:380" ht="13.9" customHeight="1">
      <c r="A40" s="108" t="str">
        <f t="shared" si="327"/>
        <v/>
      </c>
      <c r="B40" s="2896"/>
      <c r="C40" s="2869"/>
      <c r="D40" s="2870"/>
      <c r="E40" s="2871"/>
      <c r="F40" s="2871"/>
      <c r="G40" s="2871"/>
      <c r="H40" s="2871"/>
      <c r="I40" s="2871"/>
      <c r="J40" s="2897">
        <f>IF(C40="",0,HLOOKUP(C40,'Part V-Utility Allowances'!$I$11:$M$22,12))</f>
        <v>0</v>
      </c>
      <c r="K40" s="2873"/>
      <c r="L40" s="537">
        <f t="shared" si="0"/>
        <v>0</v>
      </c>
      <c r="M40" s="537">
        <f t="shared" si="1"/>
        <v>0</v>
      </c>
      <c r="N40" s="2712"/>
      <c r="O40" s="2874"/>
      <c r="P40" s="2712"/>
      <c r="Q40" s="2875"/>
      <c r="R40" s="2876"/>
      <c r="S40" s="2877"/>
      <c r="T40" s="3833"/>
      <c r="U40" s="3834"/>
      <c r="V40" s="3834"/>
      <c r="W40" s="3835"/>
      <c r="X40" s="430" t="str">
        <f t="shared" si="2"/>
        <v/>
      </c>
      <c r="Y40" s="430" t="str">
        <f t="shared" si="3"/>
        <v/>
      </c>
      <c r="Z40" s="430" t="str">
        <f t="shared" si="4"/>
        <v/>
      </c>
      <c r="AA40" s="430" t="str">
        <f t="shared" si="5"/>
        <v/>
      </c>
      <c r="AB40" s="430" t="str">
        <f t="shared" si="6"/>
        <v/>
      </c>
      <c r="AC40" s="430" t="str">
        <f t="shared" si="7"/>
        <v/>
      </c>
      <c r="AD40" s="430" t="str">
        <f t="shared" si="8"/>
        <v/>
      </c>
      <c r="AE40" s="430" t="str">
        <f t="shared" si="9"/>
        <v/>
      </c>
      <c r="AF40" s="430" t="str">
        <f t="shared" si="10"/>
        <v/>
      </c>
      <c r="AG40" s="430" t="str">
        <f t="shared" si="11"/>
        <v/>
      </c>
      <c r="AH40" s="430" t="str">
        <f t="shared" si="12"/>
        <v/>
      </c>
      <c r="AI40" s="430" t="str">
        <f t="shared" si="13"/>
        <v/>
      </c>
      <c r="AJ40" s="430" t="str">
        <f t="shared" si="14"/>
        <v/>
      </c>
      <c r="AK40" s="430" t="str">
        <f t="shared" si="15"/>
        <v/>
      </c>
      <c r="AL40" s="430" t="str">
        <f t="shared" si="16"/>
        <v/>
      </c>
      <c r="AM40" s="430" t="str">
        <f t="shared" si="17"/>
        <v/>
      </c>
      <c r="AN40" s="430" t="str">
        <f t="shared" si="18"/>
        <v/>
      </c>
      <c r="AO40" s="430" t="str">
        <f t="shared" si="19"/>
        <v/>
      </c>
      <c r="AP40" s="430" t="str">
        <f t="shared" si="20"/>
        <v/>
      </c>
      <c r="AQ40" s="430" t="str">
        <f t="shared" si="21"/>
        <v/>
      </c>
      <c r="AR40" s="430" t="str">
        <f t="shared" si="22"/>
        <v/>
      </c>
      <c r="AS40" s="430" t="str">
        <f t="shared" si="23"/>
        <v/>
      </c>
      <c r="AT40" s="430" t="str">
        <f t="shared" si="24"/>
        <v/>
      </c>
      <c r="AU40" s="430" t="str">
        <f t="shared" si="25"/>
        <v/>
      </c>
      <c r="AV40" s="430" t="str">
        <f t="shared" si="26"/>
        <v/>
      </c>
      <c r="AW40" s="430" t="str">
        <f t="shared" si="27"/>
        <v/>
      </c>
      <c r="AX40" s="430" t="str">
        <f t="shared" si="28"/>
        <v/>
      </c>
      <c r="AY40" s="430" t="str">
        <f t="shared" si="29"/>
        <v/>
      </c>
      <c r="AZ40" s="430" t="str">
        <f t="shared" si="30"/>
        <v/>
      </c>
      <c r="BA40" s="430" t="str">
        <f t="shared" si="31"/>
        <v/>
      </c>
      <c r="BB40" s="430" t="str">
        <f t="shared" si="32"/>
        <v/>
      </c>
      <c r="BC40" s="430" t="str">
        <f t="shared" si="33"/>
        <v/>
      </c>
      <c r="BD40" s="430" t="str">
        <f t="shared" si="34"/>
        <v/>
      </c>
      <c r="BE40" s="430" t="str">
        <f t="shared" si="35"/>
        <v/>
      </c>
      <c r="BF40" s="430" t="str">
        <f t="shared" si="36"/>
        <v/>
      </c>
      <c r="BG40" s="430" t="str">
        <f t="shared" si="37"/>
        <v/>
      </c>
      <c r="BH40" s="430" t="str">
        <f t="shared" si="38"/>
        <v/>
      </c>
      <c r="BI40" s="430" t="str">
        <f t="shared" si="39"/>
        <v/>
      </c>
      <c r="BJ40" s="430" t="str">
        <f t="shared" si="40"/>
        <v/>
      </c>
      <c r="BK40" s="430" t="str">
        <f t="shared" si="41"/>
        <v/>
      </c>
      <c r="BL40" s="430" t="str">
        <f t="shared" si="42"/>
        <v/>
      </c>
      <c r="BM40" s="430" t="str">
        <f t="shared" si="43"/>
        <v/>
      </c>
      <c r="BN40" s="430" t="str">
        <f t="shared" si="44"/>
        <v/>
      </c>
      <c r="BO40" s="430" t="str">
        <f t="shared" si="45"/>
        <v/>
      </c>
      <c r="BP40" s="430" t="str">
        <f t="shared" si="46"/>
        <v/>
      </c>
      <c r="BQ40" s="430" t="str">
        <f t="shared" si="47"/>
        <v/>
      </c>
      <c r="BR40" s="430" t="str">
        <f t="shared" si="48"/>
        <v/>
      </c>
      <c r="BS40" s="430" t="str">
        <f t="shared" si="49"/>
        <v/>
      </c>
      <c r="BT40" s="430" t="str">
        <f t="shared" si="50"/>
        <v/>
      </c>
      <c r="BU40" s="430" t="str">
        <f t="shared" si="51"/>
        <v/>
      </c>
      <c r="BV40" s="430" t="str">
        <f t="shared" si="52"/>
        <v/>
      </c>
      <c r="BW40" s="430" t="str">
        <f t="shared" si="53"/>
        <v/>
      </c>
      <c r="BX40" s="430" t="str">
        <f t="shared" si="54"/>
        <v/>
      </c>
      <c r="BY40" s="430" t="str">
        <f t="shared" si="55"/>
        <v/>
      </c>
      <c r="BZ40" s="430" t="str">
        <f t="shared" si="56"/>
        <v/>
      </c>
      <c r="CA40" s="430" t="str">
        <f t="shared" si="57"/>
        <v/>
      </c>
      <c r="CB40" s="430" t="str">
        <f t="shared" si="58"/>
        <v/>
      </c>
      <c r="CC40" s="430" t="str">
        <f t="shared" si="59"/>
        <v/>
      </c>
      <c r="CD40" s="430" t="str">
        <f t="shared" si="60"/>
        <v/>
      </c>
      <c r="CE40" s="430" t="str">
        <f t="shared" si="61"/>
        <v/>
      </c>
      <c r="CF40" s="430" t="str">
        <f t="shared" si="62"/>
        <v/>
      </c>
      <c r="CG40" s="430" t="str">
        <f t="shared" si="63"/>
        <v/>
      </c>
      <c r="CH40" s="430" t="str">
        <f t="shared" si="64"/>
        <v/>
      </c>
      <c r="CI40" s="430" t="str">
        <f t="shared" si="65"/>
        <v/>
      </c>
      <c r="CJ40" s="430" t="str">
        <f t="shared" si="66"/>
        <v/>
      </c>
      <c r="CK40" s="430" t="str">
        <f t="shared" si="67"/>
        <v/>
      </c>
      <c r="CL40" s="430" t="str">
        <f t="shared" si="68"/>
        <v/>
      </c>
      <c r="CM40" s="430" t="str">
        <f t="shared" si="69"/>
        <v/>
      </c>
      <c r="CN40" s="430" t="str">
        <f t="shared" si="70"/>
        <v/>
      </c>
      <c r="CO40" s="430" t="str">
        <f t="shared" si="71"/>
        <v/>
      </c>
      <c r="CP40" s="430" t="str">
        <f t="shared" si="72"/>
        <v/>
      </c>
      <c r="CQ40" s="430" t="str">
        <f t="shared" si="73"/>
        <v/>
      </c>
      <c r="CR40" s="430" t="str">
        <f t="shared" si="74"/>
        <v/>
      </c>
      <c r="CS40" s="430" t="str">
        <f t="shared" si="75"/>
        <v/>
      </c>
      <c r="CT40" s="430" t="str">
        <f t="shared" si="76"/>
        <v/>
      </c>
      <c r="CU40" s="430" t="str">
        <f t="shared" si="77"/>
        <v/>
      </c>
      <c r="CV40" s="430" t="str">
        <f t="shared" si="78"/>
        <v/>
      </c>
      <c r="CW40" s="430" t="str">
        <f t="shared" si="79"/>
        <v/>
      </c>
      <c r="CX40" s="430" t="str">
        <f t="shared" si="80"/>
        <v/>
      </c>
      <c r="CY40" s="430" t="str">
        <f t="shared" si="81"/>
        <v/>
      </c>
      <c r="CZ40" s="430" t="str">
        <f t="shared" si="82"/>
        <v/>
      </c>
      <c r="DA40" s="430" t="str">
        <f t="shared" si="83"/>
        <v/>
      </c>
      <c r="DB40" s="430" t="str">
        <f t="shared" si="84"/>
        <v/>
      </c>
      <c r="DC40" s="430" t="str">
        <f t="shared" si="85"/>
        <v/>
      </c>
      <c r="DD40" s="430" t="str">
        <f t="shared" si="86"/>
        <v/>
      </c>
      <c r="DE40" s="430" t="str">
        <f t="shared" si="87"/>
        <v/>
      </c>
      <c r="DF40" s="430" t="str">
        <f t="shared" si="88"/>
        <v/>
      </c>
      <c r="DG40" s="430" t="str">
        <f t="shared" si="89"/>
        <v/>
      </c>
      <c r="DH40" s="430" t="str">
        <f t="shared" si="90"/>
        <v/>
      </c>
      <c r="DI40" s="430" t="str">
        <f t="shared" si="91"/>
        <v/>
      </c>
      <c r="DJ40" s="430" t="str">
        <f t="shared" si="92"/>
        <v/>
      </c>
      <c r="DK40" s="430" t="str">
        <f t="shared" si="93"/>
        <v/>
      </c>
      <c r="DL40" s="430" t="str">
        <f t="shared" si="94"/>
        <v/>
      </c>
      <c r="DM40" s="430" t="str">
        <f t="shared" si="95"/>
        <v/>
      </c>
      <c r="DN40" s="430" t="str">
        <f t="shared" si="96"/>
        <v/>
      </c>
      <c r="DO40" s="430" t="str">
        <f t="shared" si="97"/>
        <v/>
      </c>
      <c r="DP40" s="430" t="str">
        <f t="shared" si="98"/>
        <v/>
      </c>
      <c r="DQ40" s="430" t="str">
        <f t="shared" si="99"/>
        <v/>
      </c>
      <c r="DR40" s="430" t="str">
        <f t="shared" si="100"/>
        <v/>
      </c>
      <c r="DS40" s="430" t="str">
        <f t="shared" si="101"/>
        <v/>
      </c>
      <c r="DT40" s="430" t="str">
        <f t="shared" si="102"/>
        <v/>
      </c>
      <c r="DU40" s="430" t="str">
        <f t="shared" si="103"/>
        <v/>
      </c>
      <c r="DV40" s="430" t="str">
        <f t="shared" si="104"/>
        <v/>
      </c>
      <c r="DW40" s="430" t="str">
        <f t="shared" si="105"/>
        <v/>
      </c>
      <c r="DX40" s="430" t="str">
        <f t="shared" si="106"/>
        <v/>
      </c>
      <c r="DY40" s="430" t="str">
        <f t="shared" si="107"/>
        <v/>
      </c>
      <c r="DZ40" s="430" t="str">
        <f t="shared" si="108"/>
        <v/>
      </c>
      <c r="EA40" s="430" t="str">
        <f t="shared" si="109"/>
        <v/>
      </c>
      <c r="EB40" s="430" t="str">
        <f t="shared" si="110"/>
        <v/>
      </c>
      <c r="EC40" s="430" t="str">
        <f t="shared" si="111"/>
        <v/>
      </c>
      <c r="ED40" s="430" t="str">
        <f t="shared" si="112"/>
        <v/>
      </c>
      <c r="EE40" s="430" t="str">
        <f t="shared" si="113"/>
        <v/>
      </c>
      <c r="EF40" s="430" t="str">
        <f t="shared" si="114"/>
        <v/>
      </c>
      <c r="EG40" s="430" t="str">
        <f t="shared" si="115"/>
        <v/>
      </c>
      <c r="EH40" s="430" t="str">
        <f t="shared" si="116"/>
        <v/>
      </c>
      <c r="EI40" s="430" t="str">
        <f t="shared" si="117"/>
        <v/>
      </c>
      <c r="EJ40" s="430" t="str">
        <f t="shared" si="118"/>
        <v/>
      </c>
      <c r="EK40" s="430" t="str">
        <f t="shared" si="119"/>
        <v/>
      </c>
      <c r="EL40" s="430" t="str">
        <f t="shared" si="120"/>
        <v/>
      </c>
      <c r="EM40" s="430" t="str">
        <f t="shared" si="121"/>
        <v/>
      </c>
      <c r="EN40" s="430" t="str">
        <f t="shared" si="122"/>
        <v/>
      </c>
      <c r="EO40" s="430" t="str">
        <f t="shared" si="123"/>
        <v/>
      </c>
      <c r="EP40" s="430" t="str">
        <f t="shared" si="124"/>
        <v/>
      </c>
      <c r="EQ40" s="430" t="str">
        <f t="shared" si="125"/>
        <v/>
      </c>
      <c r="ER40" s="430" t="str">
        <f t="shared" si="126"/>
        <v/>
      </c>
      <c r="ES40" s="430" t="str">
        <f t="shared" si="127"/>
        <v/>
      </c>
      <c r="ET40" s="430" t="str">
        <f t="shared" si="128"/>
        <v/>
      </c>
      <c r="EU40" s="430" t="str">
        <f t="shared" si="129"/>
        <v/>
      </c>
      <c r="EV40" s="430" t="str">
        <f t="shared" si="130"/>
        <v/>
      </c>
      <c r="EW40" s="430" t="str">
        <f t="shared" si="131"/>
        <v/>
      </c>
      <c r="EX40" s="430" t="str">
        <f t="shared" si="132"/>
        <v/>
      </c>
      <c r="EY40" s="430" t="str">
        <f t="shared" si="133"/>
        <v/>
      </c>
      <c r="EZ40" s="430" t="str">
        <f t="shared" si="134"/>
        <v/>
      </c>
      <c r="FA40" s="430" t="str">
        <f t="shared" si="135"/>
        <v/>
      </c>
      <c r="FB40" s="430" t="str">
        <f t="shared" si="136"/>
        <v/>
      </c>
      <c r="FC40" s="430" t="str">
        <f t="shared" si="137"/>
        <v/>
      </c>
      <c r="FD40" s="430" t="str">
        <f t="shared" si="138"/>
        <v/>
      </c>
      <c r="FE40" s="430" t="str">
        <f t="shared" si="139"/>
        <v/>
      </c>
      <c r="FF40" s="430" t="str">
        <f t="shared" si="140"/>
        <v/>
      </c>
      <c r="FG40" s="430" t="str">
        <f t="shared" si="141"/>
        <v/>
      </c>
      <c r="FH40" s="430" t="str">
        <f t="shared" si="142"/>
        <v/>
      </c>
      <c r="FI40" s="430" t="str">
        <f t="shared" si="143"/>
        <v/>
      </c>
      <c r="FJ40" s="430" t="str">
        <f t="shared" si="144"/>
        <v/>
      </c>
      <c r="FK40" s="430" t="str">
        <f t="shared" si="145"/>
        <v/>
      </c>
      <c r="FL40" s="430" t="str">
        <f t="shared" si="146"/>
        <v/>
      </c>
      <c r="FM40" s="430" t="str">
        <f t="shared" si="147"/>
        <v/>
      </c>
      <c r="FN40" s="430" t="str">
        <f t="shared" si="148"/>
        <v/>
      </c>
      <c r="FO40" s="430" t="str">
        <f t="shared" si="149"/>
        <v/>
      </c>
      <c r="FP40" s="430" t="str">
        <f t="shared" si="150"/>
        <v/>
      </c>
      <c r="FQ40" s="430" t="str">
        <f t="shared" si="151"/>
        <v/>
      </c>
      <c r="FR40" s="430" t="str">
        <f t="shared" si="152"/>
        <v/>
      </c>
      <c r="FS40" s="430" t="str">
        <f t="shared" si="153"/>
        <v/>
      </c>
      <c r="FT40" s="430" t="str">
        <f t="shared" si="154"/>
        <v/>
      </c>
      <c r="FU40" s="430" t="str">
        <f t="shared" si="155"/>
        <v/>
      </c>
      <c r="FV40" s="430" t="str">
        <f t="shared" si="156"/>
        <v/>
      </c>
      <c r="FW40" s="430" t="str">
        <f t="shared" si="157"/>
        <v/>
      </c>
      <c r="FX40" s="430" t="str">
        <f t="shared" si="158"/>
        <v/>
      </c>
      <c r="FY40" s="430" t="str">
        <f t="shared" si="159"/>
        <v/>
      </c>
      <c r="FZ40" s="430" t="str">
        <f t="shared" si="160"/>
        <v/>
      </c>
      <c r="GA40" s="430" t="str">
        <f t="shared" si="161"/>
        <v/>
      </c>
      <c r="GB40" s="430" t="str">
        <f t="shared" si="162"/>
        <v/>
      </c>
      <c r="GC40" s="430" t="str">
        <f t="shared" si="163"/>
        <v/>
      </c>
      <c r="GD40" s="430" t="str">
        <f t="shared" si="164"/>
        <v/>
      </c>
      <c r="GE40" s="430" t="str">
        <f t="shared" si="165"/>
        <v/>
      </c>
      <c r="GF40" s="430" t="str">
        <f t="shared" si="166"/>
        <v/>
      </c>
      <c r="GG40" s="430" t="str">
        <f t="shared" si="167"/>
        <v/>
      </c>
      <c r="GH40" s="430" t="str">
        <f t="shared" si="168"/>
        <v/>
      </c>
      <c r="GI40" s="430" t="str">
        <f t="shared" si="169"/>
        <v/>
      </c>
      <c r="GJ40" s="430" t="str">
        <f t="shared" si="170"/>
        <v/>
      </c>
      <c r="GK40" s="430" t="str">
        <f t="shared" si="171"/>
        <v/>
      </c>
      <c r="GL40" s="430" t="str">
        <f t="shared" si="172"/>
        <v/>
      </c>
      <c r="GM40" s="430" t="str">
        <f t="shared" si="173"/>
        <v/>
      </c>
      <c r="GN40" s="430" t="str">
        <f t="shared" si="174"/>
        <v/>
      </c>
      <c r="GO40" s="430" t="str">
        <f t="shared" si="175"/>
        <v/>
      </c>
      <c r="GP40" s="430" t="str">
        <f t="shared" si="176"/>
        <v/>
      </c>
      <c r="GQ40" s="430" t="str">
        <f t="shared" si="177"/>
        <v/>
      </c>
      <c r="GR40" s="430" t="str">
        <f t="shared" si="178"/>
        <v/>
      </c>
      <c r="GS40" s="430" t="str">
        <f t="shared" si="179"/>
        <v/>
      </c>
      <c r="GT40" s="430" t="str">
        <f t="shared" si="180"/>
        <v/>
      </c>
      <c r="GU40" s="430" t="str">
        <f t="shared" si="181"/>
        <v/>
      </c>
      <c r="GV40" s="430" t="str">
        <f t="shared" si="182"/>
        <v/>
      </c>
      <c r="GW40" s="430" t="str">
        <f t="shared" si="183"/>
        <v/>
      </c>
      <c r="GX40" s="430" t="str">
        <f t="shared" si="184"/>
        <v/>
      </c>
      <c r="GY40" s="430" t="str">
        <f t="shared" si="185"/>
        <v/>
      </c>
      <c r="GZ40" s="430" t="str">
        <f t="shared" si="186"/>
        <v/>
      </c>
      <c r="HA40" s="430" t="str">
        <f t="shared" si="187"/>
        <v/>
      </c>
      <c r="HB40" s="430" t="str">
        <f t="shared" si="188"/>
        <v/>
      </c>
      <c r="HC40" s="430" t="str">
        <f t="shared" si="189"/>
        <v/>
      </c>
      <c r="HD40" s="430" t="str">
        <f t="shared" si="190"/>
        <v/>
      </c>
      <c r="HE40" s="430" t="str">
        <f t="shared" si="191"/>
        <v/>
      </c>
      <c r="HF40" s="430" t="str">
        <f t="shared" si="192"/>
        <v/>
      </c>
      <c r="HG40" s="430" t="str">
        <f t="shared" si="193"/>
        <v/>
      </c>
      <c r="HH40" s="430" t="str">
        <f t="shared" si="194"/>
        <v/>
      </c>
      <c r="HI40" s="430" t="str">
        <f t="shared" si="195"/>
        <v/>
      </c>
      <c r="HJ40" s="430" t="str">
        <f t="shared" si="196"/>
        <v/>
      </c>
      <c r="HK40" s="430" t="str">
        <f t="shared" si="197"/>
        <v/>
      </c>
      <c r="HL40" s="430" t="str">
        <f t="shared" si="198"/>
        <v/>
      </c>
      <c r="HM40" s="430" t="str">
        <f t="shared" si="199"/>
        <v/>
      </c>
      <c r="HN40" s="430" t="str">
        <f t="shared" si="200"/>
        <v/>
      </c>
      <c r="HO40" s="430" t="str">
        <f t="shared" si="201"/>
        <v/>
      </c>
      <c r="HP40" s="430" t="str">
        <f t="shared" si="202"/>
        <v/>
      </c>
      <c r="HQ40" s="430" t="str">
        <f t="shared" si="203"/>
        <v/>
      </c>
      <c r="HR40" s="430" t="str">
        <f t="shared" si="204"/>
        <v/>
      </c>
      <c r="HS40" s="430" t="str">
        <f t="shared" si="205"/>
        <v/>
      </c>
      <c r="HT40" s="430" t="str">
        <f t="shared" si="206"/>
        <v/>
      </c>
      <c r="HU40" s="430" t="str">
        <f t="shared" si="207"/>
        <v/>
      </c>
      <c r="HV40" s="430" t="str">
        <f t="shared" si="208"/>
        <v/>
      </c>
      <c r="HW40" s="430" t="str">
        <f t="shared" si="209"/>
        <v/>
      </c>
      <c r="HX40" s="430" t="str">
        <f t="shared" si="210"/>
        <v/>
      </c>
      <c r="HY40" s="430" t="str">
        <f t="shared" si="211"/>
        <v/>
      </c>
      <c r="HZ40" s="1814" t="str">
        <f t="shared" si="212"/>
        <v/>
      </c>
      <c r="IA40" s="1814" t="str">
        <f t="shared" si="213"/>
        <v/>
      </c>
      <c r="IB40" s="1814" t="str">
        <f t="shared" si="214"/>
        <v/>
      </c>
      <c r="IC40" s="1814" t="str">
        <f t="shared" si="215"/>
        <v/>
      </c>
      <c r="ID40" s="1814" t="str">
        <f t="shared" si="216"/>
        <v/>
      </c>
      <c r="IE40" s="1814" t="str">
        <f t="shared" si="217"/>
        <v/>
      </c>
      <c r="IF40" s="1814" t="str">
        <f t="shared" si="218"/>
        <v/>
      </c>
      <c r="IG40" s="1814" t="str">
        <f t="shared" si="219"/>
        <v/>
      </c>
      <c r="IH40" s="1814" t="str">
        <f t="shared" si="220"/>
        <v/>
      </c>
      <c r="II40" s="1814" t="str">
        <f t="shared" si="221"/>
        <v/>
      </c>
      <c r="IJ40" s="1814" t="str">
        <f t="shared" si="222"/>
        <v/>
      </c>
      <c r="IK40" s="1814" t="str">
        <f t="shared" si="223"/>
        <v/>
      </c>
      <c r="IL40" s="1814" t="str">
        <f t="shared" si="224"/>
        <v/>
      </c>
      <c r="IM40" s="1814" t="str">
        <f t="shared" si="225"/>
        <v/>
      </c>
      <c r="IN40" s="1814" t="str">
        <f t="shared" si="226"/>
        <v/>
      </c>
      <c r="IO40" s="1814" t="str">
        <f t="shared" si="227"/>
        <v/>
      </c>
      <c r="IP40" s="1814" t="str">
        <f t="shared" si="228"/>
        <v/>
      </c>
      <c r="IQ40" s="1814" t="str">
        <f t="shared" si="229"/>
        <v/>
      </c>
      <c r="IR40" s="1814" t="str">
        <f t="shared" si="230"/>
        <v/>
      </c>
      <c r="IS40" s="1814" t="str">
        <f t="shared" si="231"/>
        <v/>
      </c>
      <c r="IT40" s="1814" t="str">
        <f t="shared" si="232"/>
        <v/>
      </c>
      <c r="IU40" s="1814" t="str">
        <f t="shared" si="233"/>
        <v/>
      </c>
      <c r="IV40" s="1814" t="str">
        <f t="shared" si="234"/>
        <v/>
      </c>
      <c r="IW40" s="1814" t="str">
        <f t="shared" si="235"/>
        <v/>
      </c>
      <c r="IX40" s="1814" t="str">
        <f t="shared" si="236"/>
        <v/>
      </c>
      <c r="IY40" s="1814" t="str">
        <f t="shared" si="237"/>
        <v/>
      </c>
      <c r="IZ40" s="1814" t="str">
        <f t="shared" si="238"/>
        <v/>
      </c>
      <c r="JA40" s="1814" t="str">
        <f t="shared" si="239"/>
        <v/>
      </c>
      <c r="JB40" s="1814" t="str">
        <f t="shared" si="240"/>
        <v/>
      </c>
      <c r="JC40" s="1814" t="str">
        <f t="shared" si="241"/>
        <v/>
      </c>
      <c r="JD40" s="1814" t="str">
        <f t="shared" si="242"/>
        <v/>
      </c>
      <c r="JE40" s="1814" t="str">
        <f t="shared" si="243"/>
        <v/>
      </c>
      <c r="JF40" s="1814" t="str">
        <f t="shared" si="244"/>
        <v/>
      </c>
      <c r="JG40" s="1814" t="str">
        <f t="shared" si="245"/>
        <v/>
      </c>
      <c r="JH40" s="1814" t="str">
        <f t="shared" si="246"/>
        <v/>
      </c>
      <c r="JI40" s="1814" t="str">
        <f t="shared" si="247"/>
        <v/>
      </c>
      <c r="JJ40" s="1814" t="str">
        <f t="shared" si="248"/>
        <v/>
      </c>
      <c r="JK40" s="1814" t="str">
        <f t="shared" si="249"/>
        <v/>
      </c>
      <c r="JL40" s="1814" t="str">
        <f t="shared" si="250"/>
        <v/>
      </c>
      <c r="JM40" s="1814" t="str">
        <f t="shared" si="251"/>
        <v/>
      </c>
      <c r="JN40" s="1814" t="str">
        <f t="shared" si="252"/>
        <v/>
      </c>
      <c r="JO40" s="1814" t="str">
        <f t="shared" si="253"/>
        <v/>
      </c>
      <c r="JP40" s="1814" t="str">
        <f t="shared" si="254"/>
        <v/>
      </c>
      <c r="JQ40" s="1814" t="str">
        <f t="shared" si="255"/>
        <v/>
      </c>
      <c r="JR40" s="1814" t="str">
        <f t="shared" si="256"/>
        <v/>
      </c>
      <c r="JS40" s="1814" t="str">
        <f t="shared" si="257"/>
        <v/>
      </c>
      <c r="JT40" s="1814" t="str">
        <f t="shared" si="258"/>
        <v/>
      </c>
      <c r="JU40" s="1814" t="str">
        <f t="shared" si="259"/>
        <v/>
      </c>
      <c r="JV40" s="1814" t="str">
        <f t="shared" si="260"/>
        <v/>
      </c>
      <c r="JW40" s="1814" t="str">
        <f t="shared" si="261"/>
        <v/>
      </c>
      <c r="JX40" s="1814" t="str">
        <f t="shared" si="262"/>
        <v/>
      </c>
      <c r="JY40" s="1814" t="str">
        <f t="shared" si="263"/>
        <v/>
      </c>
      <c r="JZ40" s="1814" t="str">
        <f t="shared" si="264"/>
        <v/>
      </c>
      <c r="KA40" s="1814" t="str">
        <f t="shared" si="265"/>
        <v/>
      </c>
      <c r="KB40" s="1814" t="str">
        <f t="shared" si="266"/>
        <v/>
      </c>
      <c r="KC40" s="1814" t="str">
        <f t="shared" si="267"/>
        <v/>
      </c>
      <c r="KD40" s="1814" t="str">
        <f t="shared" si="268"/>
        <v/>
      </c>
      <c r="KE40" s="1814" t="str">
        <f t="shared" si="269"/>
        <v/>
      </c>
      <c r="KF40" s="1814" t="str">
        <f t="shared" si="270"/>
        <v/>
      </c>
      <c r="KG40" s="1814" t="str">
        <f t="shared" si="271"/>
        <v/>
      </c>
      <c r="KH40" s="1814" t="str">
        <f t="shared" si="272"/>
        <v/>
      </c>
      <c r="KI40" s="1814" t="str">
        <f t="shared" si="273"/>
        <v/>
      </c>
      <c r="KJ40" s="1814" t="str">
        <f t="shared" si="274"/>
        <v/>
      </c>
      <c r="KK40" s="1814" t="str">
        <f t="shared" si="275"/>
        <v/>
      </c>
      <c r="KL40" s="1814" t="str">
        <f t="shared" si="276"/>
        <v/>
      </c>
      <c r="KM40" s="1814" t="str">
        <f t="shared" si="277"/>
        <v/>
      </c>
      <c r="KN40" s="1814" t="str">
        <f t="shared" si="278"/>
        <v/>
      </c>
      <c r="KO40" s="1814" t="str">
        <f t="shared" si="279"/>
        <v/>
      </c>
      <c r="KP40" s="1814" t="str">
        <f t="shared" si="280"/>
        <v/>
      </c>
      <c r="KQ40" s="1814" t="str">
        <f t="shared" si="281"/>
        <v/>
      </c>
      <c r="KR40" s="1814" t="str">
        <f t="shared" si="282"/>
        <v/>
      </c>
      <c r="KS40" s="1814" t="str">
        <f t="shared" si="283"/>
        <v/>
      </c>
      <c r="KT40" s="1814" t="str">
        <f t="shared" si="284"/>
        <v/>
      </c>
      <c r="KU40" s="1814" t="str">
        <f t="shared" si="285"/>
        <v/>
      </c>
      <c r="KV40" s="1814" t="str">
        <f t="shared" si="286"/>
        <v/>
      </c>
      <c r="KW40" s="1814" t="str">
        <f t="shared" si="287"/>
        <v/>
      </c>
      <c r="KX40" s="1814" t="str">
        <f t="shared" si="288"/>
        <v/>
      </c>
      <c r="KY40" s="1814" t="str">
        <f t="shared" si="289"/>
        <v/>
      </c>
      <c r="KZ40" s="1814" t="str">
        <f t="shared" si="290"/>
        <v/>
      </c>
      <c r="LA40" s="1814" t="str">
        <f t="shared" si="291"/>
        <v/>
      </c>
      <c r="LB40" s="1814" t="str">
        <f t="shared" si="292"/>
        <v/>
      </c>
      <c r="LC40" s="1814" t="str">
        <f t="shared" si="293"/>
        <v/>
      </c>
      <c r="LD40" s="1814" t="str">
        <f t="shared" si="294"/>
        <v/>
      </c>
      <c r="LE40" s="1814" t="str">
        <f t="shared" si="295"/>
        <v/>
      </c>
      <c r="LF40" s="1814" t="str">
        <f t="shared" si="296"/>
        <v/>
      </c>
      <c r="LG40" s="1786" t="str">
        <f t="shared" si="297"/>
        <v/>
      </c>
      <c r="LH40" s="1786" t="str">
        <f t="shared" si="298"/>
        <v/>
      </c>
      <c r="LI40" s="1786" t="str">
        <f t="shared" si="299"/>
        <v/>
      </c>
      <c r="LJ40" s="1786" t="str">
        <f t="shared" si="300"/>
        <v/>
      </c>
      <c r="LK40" s="1786" t="str">
        <f t="shared" si="301"/>
        <v/>
      </c>
      <c r="LL40" s="430" t="str">
        <f t="shared" si="302"/>
        <v/>
      </c>
      <c r="LM40" s="430" t="str">
        <f t="shared" si="303"/>
        <v/>
      </c>
      <c r="LN40" s="430" t="str">
        <f t="shared" si="304"/>
        <v/>
      </c>
      <c r="LO40" s="430" t="str">
        <f t="shared" si="305"/>
        <v/>
      </c>
      <c r="LP40" s="430" t="str">
        <f t="shared" si="306"/>
        <v/>
      </c>
      <c r="LQ40" s="430" t="str">
        <f t="shared" si="307"/>
        <v/>
      </c>
      <c r="LR40" s="430" t="str">
        <f t="shared" si="308"/>
        <v/>
      </c>
      <c r="LS40" s="430" t="str">
        <f t="shared" si="309"/>
        <v/>
      </c>
      <c r="LT40" s="430" t="str">
        <f t="shared" si="310"/>
        <v/>
      </c>
      <c r="LU40" s="430" t="str">
        <f t="shared" si="311"/>
        <v/>
      </c>
      <c r="LV40" s="430" t="str">
        <f t="shared" si="312"/>
        <v/>
      </c>
      <c r="LW40" s="430" t="str">
        <f t="shared" si="313"/>
        <v/>
      </c>
      <c r="LX40" s="430" t="str">
        <f t="shared" si="314"/>
        <v/>
      </c>
      <c r="LY40" s="430" t="str">
        <f t="shared" si="315"/>
        <v/>
      </c>
      <c r="LZ40" s="430" t="str">
        <f t="shared" si="316"/>
        <v/>
      </c>
      <c r="MA40" s="430" t="str">
        <f t="shared" si="317"/>
        <v/>
      </c>
      <c r="MB40" s="430" t="str">
        <f t="shared" si="318"/>
        <v/>
      </c>
      <c r="MC40" s="430" t="str">
        <f t="shared" si="319"/>
        <v/>
      </c>
      <c r="MD40" s="430" t="str">
        <f t="shared" si="320"/>
        <v/>
      </c>
      <c r="ME40" s="430" t="str">
        <f t="shared" si="321"/>
        <v/>
      </c>
      <c r="MF40" s="1815">
        <f t="shared" si="328"/>
        <v>0</v>
      </c>
      <c r="MG40" s="1815">
        <f t="shared" si="329"/>
        <v>0</v>
      </c>
      <c r="MH40" s="1815">
        <f t="shared" si="330"/>
        <v>0</v>
      </c>
      <c r="MI40" s="1815">
        <f t="shared" si="331"/>
        <v>0</v>
      </c>
      <c r="MJ40" s="1815">
        <f t="shared" si="332"/>
        <v>0</v>
      </c>
      <c r="MK40" s="1815">
        <f t="shared" si="333"/>
        <v>0</v>
      </c>
      <c r="ML40" s="1815">
        <f t="shared" si="334"/>
        <v>0</v>
      </c>
      <c r="MM40" s="1815">
        <f t="shared" si="335"/>
        <v>0</v>
      </c>
      <c r="MN40" s="1815">
        <f t="shared" si="336"/>
        <v>0</v>
      </c>
      <c r="MO40" s="1815">
        <f t="shared" si="337"/>
        <v>0</v>
      </c>
      <c r="MP40" s="1815">
        <f t="shared" si="322"/>
        <v>0</v>
      </c>
      <c r="MQ40" s="1815">
        <f t="shared" si="323"/>
        <v>0</v>
      </c>
      <c r="MR40" s="1815">
        <f t="shared" si="324"/>
        <v>0</v>
      </c>
      <c r="MS40" s="1815">
        <f t="shared" si="325"/>
        <v>0</v>
      </c>
      <c r="MT40" s="1815">
        <f t="shared" si="326"/>
        <v>0</v>
      </c>
      <c r="NP40" s="2807" t="s">
        <v>6746</v>
      </c>
    </row>
    <row r="41" spans="1:380" ht="13.9" customHeight="1">
      <c r="A41" s="108" t="str">
        <f t="shared" si="327"/>
        <v/>
      </c>
      <c r="B41" s="2896"/>
      <c r="C41" s="2869"/>
      <c r="D41" s="2870"/>
      <c r="E41" s="2871"/>
      <c r="F41" s="2871"/>
      <c r="G41" s="2871"/>
      <c r="H41" s="2871"/>
      <c r="I41" s="2871"/>
      <c r="J41" s="2897">
        <f>IF(C41="",0,HLOOKUP(C41,'Part V-Utility Allowances'!$I$11:$M$22,12))</f>
        <v>0</v>
      </c>
      <c r="K41" s="2873"/>
      <c r="L41" s="537">
        <f t="shared" si="0"/>
        <v>0</v>
      </c>
      <c r="M41" s="537">
        <f t="shared" si="1"/>
        <v>0</v>
      </c>
      <c r="N41" s="2712"/>
      <c r="O41" s="2874"/>
      <c r="P41" s="2712"/>
      <c r="Q41" s="2875"/>
      <c r="R41" s="2876"/>
      <c r="S41" s="2877"/>
      <c r="T41" s="3833"/>
      <c r="U41" s="3834"/>
      <c r="V41" s="3834"/>
      <c r="W41" s="3835"/>
      <c r="X41" s="430" t="str">
        <f t="shared" si="2"/>
        <v/>
      </c>
      <c r="Y41" s="430" t="str">
        <f t="shared" si="3"/>
        <v/>
      </c>
      <c r="Z41" s="430" t="str">
        <f t="shared" si="4"/>
        <v/>
      </c>
      <c r="AA41" s="430" t="str">
        <f t="shared" si="5"/>
        <v/>
      </c>
      <c r="AB41" s="430" t="str">
        <f t="shared" si="6"/>
        <v/>
      </c>
      <c r="AC41" s="430" t="str">
        <f t="shared" si="7"/>
        <v/>
      </c>
      <c r="AD41" s="430" t="str">
        <f t="shared" si="8"/>
        <v/>
      </c>
      <c r="AE41" s="430" t="str">
        <f t="shared" si="9"/>
        <v/>
      </c>
      <c r="AF41" s="430" t="str">
        <f t="shared" si="10"/>
        <v/>
      </c>
      <c r="AG41" s="430" t="str">
        <f t="shared" si="11"/>
        <v/>
      </c>
      <c r="AH41" s="430" t="str">
        <f t="shared" si="12"/>
        <v/>
      </c>
      <c r="AI41" s="430" t="str">
        <f t="shared" si="13"/>
        <v/>
      </c>
      <c r="AJ41" s="430" t="str">
        <f t="shared" si="14"/>
        <v/>
      </c>
      <c r="AK41" s="430" t="str">
        <f t="shared" si="15"/>
        <v/>
      </c>
      <c r="AL41" s="430" t="str">
        <f t="shared" si="16"/>
        <v/>
      </c>
      <c r="AM41" s="430" t="str">
        <f t="shared" si="17"/>
        <v/>
      </c>
      <c r="AN41" s="430" t="str">
        <f t="shared" si="18"/>
        <v/>
      </c>
      <c r="AO41" s="430" t="str">
        <f t="shared" si="19"/>
        <v/>
      </c>
      <c r="AP41" s="430" t="str">
        <f t="shared" si="20"/>
        <v/>
      </c>
      <c r="AQ41" s="430" t="str">
        <f t="shared" si="21"/>
        <v/>
      </c>
      <c r="AR41" s="430" t="str">
        <f t="shared" si="22"/>
        <v/>
      </c>
      <c r="AS41" s="430" t="str">
        <f t="shared" si="23"/>
        <v/>
      </c>
      <c r="AT41" s="430" t="str">
        <f t="shared" si="24"/>
        <v/>
      </c>
      <c r="AU41" s="430" t="str">
        <f t="shared" si="25"/>
        <v/>
      </c>
      <c r="AV41" s="430" t="str">
        <f t="shared" si="26"/>
        <v/>
      </c>
      <c r="AW41" s="430" t="str">
        <f t="shared" si="27"/>
        <v/>
      </c>
      <c r="AX41" s="430" t="str">
        <f t="shared" si="28"/>
        <v/>
      </c>
      <c r="AY41" s="430" t="str">
        <f t="shared" si="29"/>
        <v/>
      </c>
      <c r="AZ41" s="430" t="str">
        <f t="shared" si="30"/>
        <v/>
      </c>
      <c r="BA41" s="430" t="str">
        <f t="shared" si="31"/>
        <v/>
      </c>
      <c r="BB41" s="430" t="str">
        <f t="shared" si="32"/>
        <v/>
      </c>
      <c r="BC41" s="430" t="str">
        <f t="shared" si="33"/>
        <v/>
      </c>
      <c r="BD41" s="430" t="str">
        <f t="shared" si="34"/>
        <v/>
      </c>
      <c r="BE41" s="430" t="str">
        <f t="shared" si="35"/>
        <v/>
      </c>
      <c r="BF41" s="430" t="str">
        <f t="shared" si="36"/>
        <v/>
      </c>
      <c r="BG41" s="430" t="str">
        <f t="shared" si="37"/>
        <v/>
      </c>
      <c r="BH41" s="430" t="str">
        <f t="shared" si="38"/>
        <v/>
      </c>
      <c r="BI41" s="430" t="str">
        <f t="shared" si="39"/>
        <v/>
      </c>
      <c r="BJ41" s="430" t="str">
        <f t="shared" si="40"/>
        <v/>
      </c>
      <c r="BK41" s="430" t="str">
        <f t="shared" si="41"/>
        <v/>
      </c>
      <c r="BL41" s="430" t="str">
        <f t="shared" si="42"/>
        <v/>
      </c>
      <c r="BM41" s="430" t="str">
        <f t="shared" si="43"/>
        <v/>
      </c>
      <c r="BN41" s="430" t="str">
        <f t="shared" si="44"/>
        <v/>
      </c>
      <c r="BO41" s="430" t="str">
        <f t="shared" si="45"/>
        <v/>
      </c>
      <c r="BP41" s="430" t="str">
        <f t="shared" si="46"/>
        <v/>
      </c>
      <c r="BQ41" s="430" t="str">
        <f t="shared" si="47"/>
        <v/>
      </c>
      <c r="BR41" s="430" t="str">
        <f t="shared" si="48"/>
        <v/>
      </c>
      <c r="BS41" s="430" t="str">
        <f t="shared" si="49"/>
        <v/>
      </c>
      <c r="BT41" s="430" t="str">
        <f t="shared" si="50"/>
        <v/>
      </c>
      <c r="BU41" s="430" t="str">
        <f t="shared" si="51"/>
        <v/>
      </c>
      <c r="BV41" s="430" t="str">
        <f t="shared" si="52"/>
        <v/>
      </c>
      <c r="BW41" s="430" t="str">
        <f t="shared" si="53"/>
        <v/>
      </c>
      <c r="BX41" s="430" t="str">
        <f t="shared" si="54"/>
        <v/>
      </c>
      <c r="BY41" s="430" t="str">
        <f t="shared" si="55"/>
        <v/>
      </c>
      <c r="BZ41" s="430" t="str">
        <f t="shared" si="56"/>
        <v/>
      </c>
      <c r="CA41" s="430" t="str">
        <f t="shared" si="57"/>
        <v/>
      </c>
      <c r="CB41" s="430" t="str">
        <f t="shared" si="58"/>
        <v/>
      </c>
      <c r="CC41" s="430" t="str">
        <f t="shared" si="59"/>
        <v/>
      </c>
      <c r="CD41" s="430" t="str">
        <f t="shared" si="60"/>
        <v/>
      </c>
      <c r="CE41" s="430" t="str">
        <f t="shared" si="61"/>
        <v/>
      </c>
      <c r="CF41" s="430" t="str">
        <f t="shared" si="62"/>
        <v/>
      </c>
      <c r="CG41" s="430" t="str">
        <f t="shared" si="63"/>
        <v/>
      </c>
      <c r="CH41" s="430" t="str">
        <f t="shared" si="64"/>
        <v/>
      </c>
      <c r="CI41" s="430" t="str">
        <f t="shared" si="65"/>
        <v/>
      </c>
      <c r="CJ41" s="430" t="str">
        <f t="shared" si="66"/>
        <v/>
      </c>
      <c r="CK41" s="430" t="str">
        <f t="shared" si="67"/>
        <v/>
      </c>
      <c r="CL41" s="430" t="str">
        <f t="shared" si="68"/>
        <v/>
      </c>
      <c r="CM41" s="430" t="str">
        <f t="shared" si="69"/>
        <v/>
      </c>
      <c r="CN41" s="430" t="str">
        <f t="shared" si="70"/>
        <v/>
      </c>
      <c r="CO41" s="430" t="str">
        <f t="shared" si="71"/>
        <v/>
      </c>
      <c r="CP41" s="430" t="str">
        <f t="shared" si="72"/>
        <v/>
      </c>
      <c r="CQ41" s="430" t="str">
        <f t="shared" si="73"/>
        <v/>
      </c>
      <c r="CR41" s="430" t="str">
        <f t="shared" si="74"/>
        <v/>
      </c>
      <c r="CS41" s="430" t="str">
        <f t="shared" si="75"/>
        <v/>
      </c>
      <c r="CT41" s="430" t="str">
        <f t="shared" si="76"/>
        <v/>
      </c>
      <c r="CU41" s="430" t="str">
        <f t="shared" si="77"/>
        <v/>
      </c>
      <c r="CV41" s="430" t="str">
        <f t="shared" si="78"/>
        <v/>
      </c>
      <c r="CW41" s="430" t="str">
        <f t="shared" si="79"/>
        <v/>
      </c>
      <c r="CX41" s="430" t="str">
        <f t="shared" si="80"/>
        <v/>
      </c>
      <c r="CY41" s="430" t="str">
        <f t="shared" si="81"/>
        <v/>
      </c>
      <c r="CZ41" s="430" t="str">
        <f t="shared" si="82"/>
        <v/>
      </c>
      <c r="DA41" s="430" t="str">
        <f t="shared" si="83"/>
        <v/>
      </c>
      <c r="DB41" s="430" t="str">
        <f t="shared" si="84"/>
        <v/>
      </c>
      <c r="DC41" s="430" t="str">
        <f t="shared" si="85"/>
        <v/>
      </c>
      <c r="DD41" s="430" t="str">
        <f t="shared" si="86"/>
        <v/>
      </c>
      <c r="DE41" s="430" t="str">
        <f t="shared" si="87"/>
        <v/>
      </c>
      <c r="DF41" s="430" t="str">
        <f t="shared" si="88"/>
        <v/>
      </c>
      <c r="DG41" s="430" t="str">
        <f t="shared" si="89"/>
        <v/>
      </c>
      <c r="DH41" s="430" t="str">
        <f t="shared" si="90"/>
        <v/>
      </c>
      <c r="DI41" s="430" t="str">
        <f t="shared" si="91"/>
        <v/>
      </c>
      <c r="DJ41" s="430" t="str">
        <f t="shared" si="92"/>
        <v/>
      </c>
      <c r="DK41" s="430" t="str">
        <f t="shared" si="93"/>
        <v/>
      </c>
      <c r="DL41" s="430" t="str">
        <f t="shared" si="94"/>
        <v/>
      </c>
      <c r="DM41" s="430" t="str">
        <f t="shared" si="95"/>
        <v/>
      </c>
      <c r="DN41" s="430" t="str">
        <f t="shared" si="96"/>
        <v/>
      </c>
      <c r="DO41" s="430" t="str">
        <f t="shared" si="97"/>
        <v/>
      </c>
      <c r="DP41" s="430" t="str">
        <f t="shared" si="98"/>
        <v/>
      </c>
      <c r="DQ41" s="430" t="str">
        <f t="shared" si="99"/>
        <v/>
      </c>
      <c r="DR41" s="430" t="str">
        <f t="shared" si="100"/>
        <v/>
      </c>
      <c r="DS41" s="430" t="str">
        <f t="shared" si="101"/>
        <v/>
      </c>
      <c r="DT41" s="430" t="str">
        <f t="shared" si="102"/>
        <v/>
      </c>
      <c r="DU41" s="430" t="str">
        <f t="shared" si="103"/>
        <v/>
      </c>
      <c r="DV41" s="430" t="str">
        <f t="shared" si="104"/>
        <v/>
      </c>
      <c r="DW41" s="430" t="str">
        <f t="shared" si="105"/>
        <v/>
      </c>
      <c r="DX41" s="430" t="str">
        <f t="shared" si="106"/>
        <v/>
      </c>
      <c r="DY41" s="430" t="str">
        <f t="shared" si="107"/>
        <v/>
      </c>
      <c r="DZ41" s="430" t="str">
        <f t="shared" si="108"/>
        <v/>
      </c>
      <c r="EA41" s="430" t="str">
        <f t="shared" si="109"/>
        <v/>
      </c>
      <c r="EB41" s="430" t="str">
        <f t="shared" si="110"/>
        <v/>
      </c>
      <c r="EC41" s="430" t="str">
        <f t="shared" si="111"/>
        <v/>
      </c>
      <c r="ED41" s="430" t="str">
        <f t="shared" si="112"/>
        <v/>
      </c>
      <c r="EE41" s="430" t="str">
        <f t="shared" si="113"/>
        <v/>
      </c>
      <c r="EF41" s="430" t="str">
        <f t="shared" si="114"/>
        <v/>
      </c>
      <c r="EG41" s="430" t="str">
        <f t="shared" si="115"/>
        <v/>
      </c>
      <c r="EH41" s="430" t="str">
        <f t="shared" si="116"/>
        <v/>
      </c>
      <c r="EI41" s="430" t="str">
        <f t="shared" si="117"/>
        <v/>
      </c>
      <c r="EJ41" s="430" t="str">
        <f t="shared" si="118"/>
        <v/>
      </c>
      <c r="EK41" s="430" t="str">
        <f t="shared" si="119"/>
        <v/>
      </c>
      <c r="EL41" s="430" t="str">
        <f t="shared" si="120"/>
        <v/>
      </c>
      <c r="EM41" s="430" t="str">
        <f t="shared" si="121"/>
        <v/>
      </c>
      <c r="EN41" s="430" t="str">
        <f t="shared" si="122"/>
        <v/>
      </c>
      <c r="EO41" s="430" t="str">
        <f t="shared" si="123"/>
        <v/>
      </c>
      <c r="EP41" s="430" t="str">
        <f t="shared" si="124"/>
        <v/>
      </c>
      <c r="EQ41" s="430" t="str">
        <f t="shared" si="125"/>
        <v/>
      </c>
      <c r="ER41" s="430" t="str">
        <f t="shared" si="126"/>
        <v/>
      </c>
      <c r="ES41" s="430" t="str">
        <f t="shared" si="127"/>
        <v/>
      </c>
      <c r="ET41" s="430" t="str">
        <f t="shared" si="128"/>
        <v/>
      </c>
      <c r="EU41" s="430" t="str">
        <f t="shared" si="129"/>
        <v/>
      </c>
      <c r="EV41" s="430" t="str">
        <f t="shared" si="130"/>
        <v/>
      </c>
      <c r="EW41" s="430" t="str">
        <f t="shared" si="131"/>
        <v/>
      </c>
      <c r="EX41" s="430" t="str">
        <f t="shared" si="132"/>
        <v/>
      </c>
      <c r="EY41" s="430" t="str">
        <f t="shared" si="133"/>
        <v/>
      </c>
      <c r="EZ41" s="430" t="str">
        <f t="shared" si="134"/>
        <v/>
      </c>
      <c r="FA41" s="430" t="str">
        <f t="shared" si="135"/>
        <v/>
      </c>
      <c r="FB41" s="430" t="str">
        <f t="shared" si="136"/>
        <v/>
      </c>
      <c r="FC41" s="430" t="str">
        <f t="shared" si="137"/>
        <v/>
      </c>
      <c r="FD41" s="430" t="str">
        <f t="shared" si="138"/>
        <v/>
      </c>
      <c r="FE41" s="430" t="str">
        <f t="shared" si="139"/>
        <v/>
      </c>
      <c r="FF41" s="430" t="str">
        <f t="shared" si="140"/>
        <v/>
      </c>
      <c r="FG41" s="430" t="str">
        <f t="shared" si="141"/>
        <v/>
      </c>
      <c r="FH41" s="430" t="str">
        <f t="shared" si="142"/>
        <v/>
      </c>
      <c r="FI41" s="430" t="str">
        <f t="shared" si="143"/>
        <v/>
      </c>
      <c r="FJ41" s="430" t="str">
        <f t="shared" si="144"/>
        <v/>
      </c>
      <c r="FK41" s="430" t="str">
        <f t="shared" si="145"/>
        <v/>
      </c>
      <c r="FL41" s="430" t="str">
        <f t="shared" si="146"/>
        <v/>
      </c>
      <c r="FM41" s="430" t="str">
        <f t="shared" si="147"/>
        <v/>
      </c>
      <c r="FN41" s="430" t="str">
        <f t="shared" si="148"/>
        <v/>
      </c>
      <c r="FO41" s="430" t="str">
        <f t="shared" si="149"/>
        <v/>
      </c>
      <c r="FP41" s="430" t="str">
        <f t="shared" si="150"/>
        <v/>
      </c>
      <c r="FQ41" s="430" t="str">
        <f t="shared" si="151"/>
        <v/>
      </c>
      <c r="FR41" s="430" t="str">
        <f t="shared" si="152"/>
        <v/>
      </c>
      <c r="FS41" s="430" t="str">
        <f t="shared" si="153"/>
        <v/>
      </c>
      <c r="FT41" s="430" t="str">
        <f t="shared" si="154"/>
        <v/>
      </c>
      <c r="FU41" s="430" t="str">
        <f t="shared" si="155"/>
        <v/>
      </c>
      <c r="FV41" s="430" t="str">
        <f t="shared" si="156"/>
        <v/>
      </c>
      <c r="FW41" s="430" t="str">
        <f t="shared" si="157"/>
        <v/>
      </c>
      <c r="FX41" s="430" t="str">
        <f t="shared" si="158"/>
        <v/>
      </c>
      <c r="FY41" s="430" t="str">
        <f t="shared" si="159"/>
        <v/>
      </c>
      <c r="FZ41" s="430" t="str">
        <f t="shared" si="160"/>
        <v/>
      </c>
      <c r="GA41" s="430" t="str">
        <f t="shared" si="161"/>
        <v/>
      </c>
      <c r="GB41" s="430" t="str">
        <f t="shared" si="162"/>
        <v/>
      </c>
      <c r="GC41" s="430" t="str">
        <f t="shared" si="163"/>
        <v/>
      </c>
      <c r="GD41" s="430" t="str">
        <f t="shared" si="164"/>
        <v/>
      </c>
      <c r="GE41" s="430" t="str">
        <f t="shared" si="165"/>
        <v/>
      </c>
      <c r="GF41" s="430" t="str">
        <f t="shared" si="166"/>
        <v/>
      </c>
      <c r="GG41" s="430" t="str">
        <f t="shared" si="167"/>
        <v/>
      </c>
      <c r="GH41" s="430" t="str">
        <f t="shared" si="168"/>
        <v/>
      </c>
      <c r="GI41" s="430" t="str">
        <f t="shared" si="169"/>
        <v/>
      </c>
      <c r="GJ41" s="430" t="str">
        <f t="shared" si="170"/>
        <v/>
      </c>
      <c r="GK41" s="430" t="str">
        <f t="shared" si="171"/>
        <v/>
      </c>
      <c r="GL41" s="430" t="str">
        <f t="shared" si="172"/>
        <v/>
      </c>
      <c r="GM41" s="430" t="str">
        <f t="shared" si="173"/>
        <v/>
      </c>
      <c r="GN41" s="430" t="str">
        <f t="shared" si="174"/>
        <v/>
      </c>
      <c r="GO41" s="430" t="str">
        <f t="shared" si="175"/>
        <v/>
      </c>
      <c r="GP41" s="430" t="str">
        <f t="shared" si="176"/>
        <v/>
      </c>
      <c r="GQ41" s="430" t="str">
        <f t="shared" si="177"/>
        <v/>
      </c>
      <c r="GR41" s="430" t="str">
        <f t="shared" si="178"/>
        <v/>
      </c>
      <c r="GS41" s="430" t="str">
        <f t="shared" si="179"/>
        <v/>
      </c>
      <c r="GT41" s="430" t="str">
        <f t="shared" si="180"/>
        <v/>
      </c>
      <c r="GU41" s="430" t="str">
        <f t="shared" si="181"/>
        <v/>
      </c>
      <c r="GV41" s="430" t="str">
        <f t="shared" si="182"/>
        <v/>
      </c>
      <c r="GW41" s="430" t="str">
        <f t="shared" si="183"/>
        <v/>
      </c>
      <c r="GX41" s="430" t="str">
        <f t="shared" si="184"/>
        <v/>
      </c>
      <c r="GY41" s="430" t="str">
        <f t="shared" si="185"/>
        <v/>
      </c>
      <c r="GZ41" s="430" t="str">
        <f t="shared" si="186"/>
        <v/>
      </c>
      <c r="HA41" s="430" t="str">
        <f t="shared" si="187"/>
        <v/>
      </c>
      <c r="HB41" s="430" t="str">
        <f t="shared" si="188"/>
        <v/>
      </c>
      <c r="HC41" s="430" t="str">
        <f t="shared" si="189"/>
        <v/>
      </c>
      <c r="HD41" s="430" t="str">
        <f t="shared" si="190"/>
        <v/>
      </c>
      <c r="HE41" s="430" t="str">
        <f t="shared" si="191"/>
        <v/>
      </c>
      <c r="HF41" s="430" t="str">
        <f t="shared" si="192"/>
        <v/>
      </c>
      <c r="HG41" s="430" t="str">
        <f t="shared" si="193"/>
        <v/>
      </c>
      <c r="HH41" s="430" t="str">
        <f t="shared" si="194"/>
        <v/>
      </c>
      <c r="HI41" s="430" t="str">
        <f t="shared" si="195"/>
        <v/>
      </c>
      <c r="HJ41" s="430" t="str">
        <f t="shared" si="196"/>
        <v/>
      </c>
      <c r="HK41" s="430" t="str">
        <f t="shared" si="197"/>
        <v/>
      </c>
      <c r="HL41" s="430" t="str">
        <f t="shared" si="198"/>
        <v/>
      </c>
      <c r="HM41" s="430" t="str">
        <f t="shared" si="199"/>
        <v/>
      </c>
      <c r="HN41" s="430" t="str">
        <f t="shared" si="200"/>
        <v/>
      </c>
      <c r="HO41" s="430" t="str">
        <f t="shared" si="201"/>
        <v/>
      </c>
      <c r="HP41" s="430" t="str">
        <f t="shared" si="202"/>
        <v/>
      </c>
      <c r="HQ41" s="430" t="str">
        <f t="shared" si="203"/>
        <v/>
      </c>
      <c r="HR41" s="430" t="str">
        <f t="shared" si="204"/>
        <v/>
      </c>
      <c r="HS41" s="430" t="str">
        <f t="shared" si="205"/>
        <v/>
      </c>
      <c r="HT41" s="430" t="str">
        <f t="shared" si="206"/>
        <v/>
      </c>
      <c r="HU41" s="430" t="str">
        <f t="shared" si="207"/>
        <v/>
      </c>
      <c r="HV41" s="430" t="str">
        <f t="shared" si="208"/>
        <v/>
      </c>
      <c r="HW41" s="430" t="str">
        <f t="shared" si="209"/>
        <v/>
      </c>
      <c r="HX41" s="430" t="str">
        <f t="shared" si="210"/>
        <v/>
      </c>
      <c r="HY41" s="430" t="str">
        <f t="shared" si="211"/>
        <v/>
      </c>
      <c r="HZ41" s="1814" t="str">
        <f t="shared" si="212"/>
        <v/>
      </c>
      <c r="IA41" s="1814" t="str">
        <f t="shared" si="213"/>
        <v/>
      </c>
      <c r="IB41" s="1814" t="str">
        <f t="shared" si="214"/>
        <v/>
      </c>
      <c r="IC41" s="1814" t="str">
        <f t="shared" si="215"/>
        <v/>
      </c>
      <c r="ID41" s="1814" t="str">
        <f t="shared" si="216"/>
        <v/>
      </c>
      <c r="IE41" s="1814" t="str">
        <f t="shared" si="217"/>
        <v/>
      </c>
      <c r="IF41" s="1814" t="str">
        <f t="shared" si="218"/>
        <v/>
      </c>
      <c r="IG41" s="1814" t="str">
        <f t="shared" si="219"/>
        <v/>
      </c>
      <c r="IH41" s="1814" t="str">
        <f t="shared" si="220"/>
        <v/>
      </c>
      <c r="II41" s="1814" t="str">
        <f t="shared" si="221"/>
        <v/>
      </c>
      <c r="IJ41" s="1814" t="str">
        <f t="shared" si="222"/>
        <v/>
      </c>
      <c r="IK41" s="1814" t="str">
        <f t="shared" si="223"/>
        <v/>
      </c>
      <c r="IL41" s="1814" t="str">
        <f t="shared" si="224"/>
        <v/>
      </c>
      <c r="IM41" s="1814" t="str">
        <f t="shared" si="225"/>
        <v/>
      </c>
      <c r="IN41" s="1814" t="str">
        <f t="shared" si="226"/>
        <v/>
      </c>
      <c r="IO41" s="1814" t="str">
        <f t="shared" si="227"/>
        <v/>
      </c>
      <c r="IP41" s="1814" t="str">
        <f t="shared" si="228"/>
        <v/>
      </c>
      <c r="IQ41" s="1814" t="str">
        <f t="shared" si="229"/>
        <v/>
      </c>
      <c r="IR41" s="1814" t="str">
        <f t="shared" si="230"/>
        <v/>
      </c>
      <c r="IS41" s="1814" t="str">
        <f t="shared" si="231"/>
        <v/>
      </c>
      <c r="IT41" s="1814" t="str">
        <f t="shared" si="232"/>
        <v/>
      </c>
      <c r="IU41" s="1814" t="str">
        <f t="shared" si="233"/>
        <v/>
      </c>
      <c r="IV41" s="1814" t="str">
        <f t="shared" si="234"/>
        <v/>
      </c>
      <c r="IW41" s="1814" t="str">
        <f t="shared" si="235"/>
        <v/>
      </c>
      <c r="IX41" s="1814" t="str">
        <f t="shared" si="236"/>
        <v/>
      </c>
      <c r="IY41" s="1814" t="str">
        <f t="shared" si="237"/>
        <v/>
      </c>
      <c r="IZ41" s="1814" t="str">
        <f t="shared" si="238"/>
        <v/>
      </c>
      <c r="JA41" s="1814" t="str">
        <f t="shared" si="239"/>
        <v/>
      </c>
      <c r="JB41" s="1814" t="str">
        <f t="shared" si="240"/>
        <v/>
      </c>
      <c r="JC41" s="1814" t="str">
        <f t="shared" si="241"/>
        <v/>
      </c>
      <c r="JD41" s="1814" t="str">
        <f t="shared" si="242"/>
        <v/>
      </c>
      <c r="JE41" s="1814" t="str">
        <f t="shared" si="243"/>
        <v/>
      </c>
      <c r="JF41" s="1814" t="str">
        <f t="shared" si="244"/>
        <v/>
      </c>
      <c r="JG41" s="1814" t="str">
        <f t="shared" si="245"/>
        <v/>
      </c>
      <c r="JH41" s="1814" t="str">
        <f t="shared" si="246"/>
        <v/>
      </c>
      <c r="JI41" s="1814" t="str">
        <f t="shared" si="247"/>
        <v/>
      </c>
      <c r="JJ41" s="1814" t="str">
        <f t="shared" si="248"/>
        <v/>
      </c>
      <c r="JK41" s="1814" t="str">
        <f t="shared" si="249"/>
        <v/>
      </c>
      <c r="JL41" s="1814" t="str">
        <f t="shared" si="250"/>
        <v/>
      </c>
      <c r="JM41" s="1814" t="str">
        <f t="shared" si="251"/>
        <v/>
      </c>
      <c r="JN41" s="1814" t="str">
        <f t="shared" si="252"/>
        <v/>
      </c>
      <c r="JO41" s="1814" t="str">
        <f t="shared" si="253"/>
        <v/>
      </c>
      <c r="JP41" s="1814" t="str">
        <f t="shared" si="254"/>
        <v/>
      </c>
      <c r="JQ41" s="1814" t="str">
        <f t="shared" si="255"/>
        <v/>
      </c>
      <c r="JR41" s="1814" t="str">
        <f t="shared" si="256"/>
        <v/>
      </c>
      <c r="JS41" s="1814" t="str">
        <f t="shared" si="257"/>
        <v/>
      </c>
      <c r="JT41" s="1814" t="str">
        <f t="shared" si="258"/>
        <v/>
      </c>
      <c r="JU41" s="1814" t="str">
        <f t="shared" si="259"/>
        <v/>
      </c>
      <c r="JV41" s="1814" t="str">
        <f t="shared" si="260"/>
        <v/>
      </c>
      <c r="JW41" s="1814" t="str">
        <f t="shared" si="261"/>
        <v/>
      </c>
      <c r="JX41" s="1814" t="str">
        <f t="shared" si="262"/>
        <v/>
      </c>
      <c r="JY41" s="1814" t="str">
        <f t="shared" si="263"/>
        <v/>
      </c>
      <c r="JZ41" s="1814" t="str">
        <f t="shared" si="264"/>
        <v/>
      </c>
      <c r="KA41" s="1814" t="str">
        <f t="shared" si="265"/>
        <v/>
      </c>
      <c r="KB41" s="1814" t="str">
        <f t="shared" si="266"/>
        <v/>
      </c>
      <c r="KC41" s="1814" t="str">
        <f t="shared" si="267"/>
        <v/>
      </c>
      <c r="KD41" s="1814" t="str">
        <f t="shared" si="268"/>
        <v/>
      </c>
      <c r="KE41" s="1814" t="str">
        <f t="shared" si="269"/>
        <v/>
      </c>
      <c r="KF41" s="1814" t="str">
        <f t="shared" si="270"/>
        <v/>
      </c>
      <c r="KG41" s="1814" t="str">
        <f t="shared" si="271"/>
        <v/>
      </c>
      <c r="KH41" s="1814" t="str">
        <f t="shared" si="272"/>
        <v/>
      </c>
      <c r="KI41" s="1814" t="str">
        <f t="shared" si="273"/>
        <v/>
      </c>
      <c r="KJ41" s="1814" t="str">
        <f t="shared" si="274"/>
        <v/>
      </c>
      <c r="KK41" s="1814" t="str">
        <f t="shared" si="275"/>
        <v/>
      </c>
      <c r="KL41" s="1814" t="str">
        <f t="shared" si="276"/>
        <v/>
      </c>
      <c r="KM41" s="1814" t="str">
        <f t="shared" si="277"/>
        <v/>
      </c>
      <c r="KN41" s="1814" t="str">
        <f t="shared" si="278"/>
        <v/>
      </c>
      <c r="KO41" s="1814" t="str">
        <f t="shared" si="279"/>
        <v/>
      </c>
      <c r="KP41" s="1814" t="str">
        <f t="shared" si="280"/>
        <v/>
      </c>
      <c r="KQ41" s="1814" t="str">
        <f t="shared" si="281"/>
        <v/>
      </c>
      <c r="KR41" s="1814" t="str">
        <f t="shared" si="282"/>
        <v/>
      </c>
      <c r="KS41" s="1814" t="str">
        <f t="shared" si="283"/>
        <v/>
      </c>
      <c r="KT41" s="1814" t="str">
        <f t="shared" si="284"/>
        <v/>
      </c>
      <c r="KU41" s="1814" t="str">
        <f t="shared" si="285"/>
        <v/>
      </c>
      <c r="KV41" s="1814" t="str">
        <f t="shared" si="286"/>
        <v/>
      </c>
      <c r="KW41" s="1814" t="str">
        <f t="shared" si="287"/>
        <v/>
      </c>
      <c r="KX41" s="1814" t="str">
        <f t="shared" si="288"/>
        <v/>
      </c>
      <c r="KY41" s="1814" t="str">
        <f t="shared" si="289"/>
        <v/>
      </c>
      <c r="KZ41" s="1814" t="str">
        <f t="shared" si="290"/>
        <v/>
      </c>
      <c r="LA41" s="1814" t="str">
        <f t="shared" si="291"/>
        <v/>
      </c>
      <c r="LB41" s="1814" t="str">
        <f t="shared" si="292"/>
        <v/>
      </c>
      <c r="LC41" s="1814" t="str">
        <f t="shared" si="293"/>
        <v/>
      </c>
      <c r="LD41" s="1814" t="str">
        <f t="shared" si="294"/>
        <v/>
      </c>
      <c r="LE41" s="1814" t="str">
        <f t="shared" si="295"/>
        <v/>
      </c>
      <c r="LF41" s="1814" t="str">
        <f t="shared" si="296"/>
        <v/>
      </c>
      <c r="LG41" s="1786" t="str">
        <f t="shared" si="297"/>
        <v/>
      </c>
      <c r="LH41" s="1786" t="str">
        <f t="shared" si="298"/>
        <v/>
      </c>
      <c r="LI41" s="1786" t="str">
        <f t="shared" si="299"/>
        <v/>
      </c>
      <c r="LJ41" s="1786" t="str">
        <f t="shared" si="300"/>
        <v/>
      </c>
      <c r="LK41" s="1786" t="str">
        <f t="shared" si="301"/>
        <v/>
      </c>
      <c r="LL41" s="430" t="str">
        <f t="shared" si="302"/>
        <v/>
      </c>
      <c r="LM41" s="430" t="str">
        <f t="shared" si="303"/>
        <v/>
      </c>
      <c r="LN41" s="430" t="str">
        <f t="shared" si="304"/>
        <v/>
      </c>
      <c r="LO41" s="430" t="str">
        <f t="shared" si="305"/>
        <v/>
      </c>
      <c r="LP41" s="430" t="str">
        <f t="shared" si="306"/>
        <v/>
      </c>
      <c r="LQ41" s="430" t="str">
        <f t="shared" si="307"/>
        <v/>
      </c>
      <c r="LR41" s="430" t="str">
        <f t="shared" si="308"/>
        <v/>
      </c>
      <c r="LS41" s="430" t="str">
        <f t="shared" si="309"/>
        <v/>
      </c>
      <c r="LT41" s="430" t="str">
        <f t="shared" si="310"/>
        <v/>
      </c>
      <c r="LU41" s="430" t="str">
        <f t="shared" si="311"/>
        <v/>
      </c>
      <c r="LV41" s="430" t="str">
        <f t="shared" si="312"/>
        <v/>
      </c>
      <c r="LW41" s="430" t="str">
        <f t="shared" si="313"/>
        <v/>
      </c>
      <c r="LX41" s="430" t="str">
        <f t="shared" si="314"/>
        <v/>
      </c>
      <c r="LY41" s="430" t="str">
        <f t="shared" si="315"/>
        <v/>
      </c>
      <c r="LZ41" s="430" t="str">
        <f t="shared" si="316"/>
        <v/>
      </c>
      <c r="MA41" s="430" t="str">
        <f t="shared" si="317"/>
        <v/>
      </c>
      <c r="MB41" s="430" t="str">
        <f t="shared" si="318"/>
        <v/>
      </c>
      <c r="MC41" s="430" t="str">
        <f t="shared" si="319"/>
        <v/>
      </c>
      <c r="MD41" s="430" t="str">
        <f t="shared" si="320"/>
        <v/>
      </c>
      <c r="ME41" s="430" t="str">
        <f t="shared" si="321"/>
        <v/>
      </c>
      <c r="MF41" s="1815">
        <f t="shared" si="328"/>
        <v>0</v>
      </c>
      <c r="MG41" s="1815">
        <f t="shared" si="329"/>
        <v>0</v>
      </c>
      <c r="MH41" s="1815">
        <f t="shared" si="330"/>
        <v>0</v>
      </c>
      <c r="MI41" s="1815">
        <f t="shared" si="331"/>
        <v>0</v>
      </c>
      <c r="MJ41" s="1815">
        <f t="shared" si="332"/>
        <v>0</v>
      </c>
      <c r="MK41" s="1815">
        <f t="shared" si="333"/>
        <v>0</v>
      </c>
      <c r="ML41" s="1815">
        <f t="shared" si="334"/>
        <v>0</v>
      </c>
      <c r="MM41" s="1815">
        <f t="shared" si="335"/>
        <v>0</v>
      </c>
      <c r="MN41" s="1815">
        <f t="shared" si="336"/>
        <v>0</v>
      </c>
      <c r="MO41" s="1815">
        <f t="shared" si="337"/>
        <v>0</v>
      </c>
      <c r="MP41" s="1815">
        <f t="shared" si="322"/>
        <v>0</v>
      </c>
      <c r="MQ41" s="1815">
        <f t="shared" si="323"/>
        <v>0</v>
      </c>
      <c r="MR41" s="1815">
        <f t="shared" si="324"/>
        <v>0</v>
      </c>
      <c r="MS41" s="1815">
        <f t="shared" si="325"/>
        <v>0</v>
      </c>
      <c r="MT41" s="1815">
        <f t="shared" si="326"/>
        <v>0</v>
      </c>
      <c r="NP41" s="2807" t="s">
        <v>6747</v>
      </c>
    </row>
    <row r="42" spans="1:380" ht="13.9" customHeight="1">
      <c r="A42" s="108" t="str">
        <f t="shared" si="327"/>
        <v/>
      </c>
      <c r="B42" s="2896"/>
      <c r="C42" s="2869"/>
      <c r="D42" s="2870"/>
      <c r="E42" s="2871"/>
      <c r="F42" s="2871"/>
      <c r="G42" s="2871"/>
      <c r="H42" s="2871"/>
      <c r="I42" s="2871"/>
      <c r="J42" s="2897">
        <f>IF(C42="",0,HLOOKUP(C42,'Part V-Utility Allowances'!$I$11:$M$22,12))</f>
        <v>0</v>
      </c>
      <c r="K42" s="2873"/>
      <c r="L42" s="537">
        <f t="shared" si="0"/>
        <v>0</v>
      </c>
      <c r="M42" s="537">
        <f t="shared" si="1"/>
        <v>0</v>
      </c>
      <c r="N42" s="2712"/>
      <c r="O42" s="2874"/>
      <c r="P42" s="2712"/>
      <c r="Q42" s="2875"/>
      <c r="R42" s="2876"/>
      <c r="S42" s="2877"/>
      <c r="T42" s="3833"/>
      <c r="U42" s="3834"/>
      <c r="V42" s="3834"/>
      <c r="W42" s="3835"/>
      <c r="X42" s="430" t="str">
        <f t="shared" si="2"/>
        <v/>
      </c>
      <c r="Y42" s="430" t="str">
        <f t="shared" si="3"/>
        <v/>
      </c>
      <c r="Z42" s="430" t="str">
        <f t="shared" si="4"/>
        <v/>
      </c>
      <c r="AA42" s="430" t="str">
        <f t="shared" si="5"/>
        <v/>
      </c>
      <c r="AB42" s="430" t="str">
        <f t="shared" si="6"/>
        <v/>
      </c>
      <c r="AC42" s="430" t="str">
        <f t="shared" si="7"/>
        <v/>
      </c>
      <c r="AD42" s="430" t="str">
        <f t="shared" si="8"/>
        <v/>
      </c>
      <c r="AE42" s="430" t="str">
        <f t="shared" si="9"/>
        <v/>
      </c>
      <c r="AF42" s="430" t="str">
        <f t="shared" si="10"/>
        <v/>
      </c>
      <c r="AG42" s="430" t="str">
        <f t="shared" si="11"/>
        <v/>
      </c>
      <c r="AH42" s="430" t="str">
        <f t="shared" si="12"/>
        <v/>
      </c>
      <c r="AI42" s="430" t="str">
        <f t="shared" si="13"/>
        <v/>
      </c>
      <c r="AJ42" s="430" t="str">
        <f t="shared" si="14"/>
        <v/>
      </c>
      <c r="AK42" s="430" t="str">
        <f t="shared" si="15"/>
        <v/>
      </c>
      <c r="AL42" s="430" t="str">
        <f t="shared" si="16"/>
        <v/>
      </c>
      <c r="AM42" s="430" t="str">
        <f t="shared" si="17"/>
        <v/>
      </c>
      <c r="AN42" s="430" t="str">
        <f t="shared" si="18"/>
        <v/>
      </c>
      <c r="AO42" s="430" t="str">
        <f t="shared" si="19"/>
        <v/>
      </c>
      <c r="AP42" s="430" t="str">
        <f t="shared" si="20"/>
        <v/>
      </c>
      <c r="AQ42" s="430" t="str">
        <f t="shared" si="21"/>
        <v/>
      </c>
      <c r="AR42" s="430" t="str">
        <f t="shared" si="22"/>
        <v/>
      </c>
      <c r="AS42" s="430" t="str">
        <f t="shared" si="23"/>
        <v/>
      </c>
      <c r="AT42" s="430" t="str">
        <f t="shared" si="24"/>
        <v/>
      </c>
      <c r="AU42" s="430" t="str">
        <f t="shared" si="25"/>
        <v/>
      </c>
      <c r="AV42" s="430" t="str">
        <f t="shared" si="26"/>
        <v/>
      </c>
      <c r="AW42" s="430" t="str">
        <f t="shared" si="27"/>
        <v/>
      </c>
      <c r="AX42" s="430" t="str">
        <f t="shared" si="28"/>
        <v/>
      </c>
      <c r="AY42" s="430" t="str">
        <f t="shared" si="29"/>
        <v/>
      </c>
      <c r="AZ42" s="430" t="str">
        <f t="shared" si="30"/>
        <v/>
      </c>
      <c r="BA42" s="430" t="str">
        <f t="shared" si="31"/>
        <v/>
      </c>
      <c r="BB42" s="430" t="str">
        <f t="shared" si="32"/>
        <v/>
      </c>
      <c r="BC42" s="430" t="str">
        <f t="shared" si="33"/>
        <v/>
      </c>
      <c r="BD42" s="430" t="str">
        <f t="shared" si="34"/>
        <v/>
      </c>
      <c r="BE42" s="430" t="str">
        <f t="shared" si="35"/>
        <v/>
      </c>
      <c r="BF42" s="430" t="str">
        <f t="shared" si="36"/>
        <v/>
      </c>
      <c r="BG42" s="430" t="str">
        <f t="shared" si="37"/>
        <v/>
      </c>
      <c r="BH42" s="430" t="str">
        <f t="shared" si="38"/>
        <v/>
      </c>
      <c r="BI42" s="430" t="str">
        <f t="shared" si="39"/>
        <v/>
      </c>
      <c r="BJ42" s="430" t="str">
        <f t="shared" si="40"/>
        <v/>
      </c>
      <c r="BK42" s="430" t="str">
        <f t="shared" si="41"/>
        <v/>
      </c>
      <c r="BL42" s="430" t="str">
        <f t="shared" si="42"/>
        <v/>
      </c>
      <c r="BM42" s="430" t="str">
        <f t="shared" si="43"/>
        <v/>
      </c>
      <c r="BN42" s="430" t="str">
        <f t="shared" si="44"/>
        <v/>
      </c>
      <c r="BO42" s="430" t="str">
        <f t="shared" si="45"/>
        <v/>
      </c>
      <c r="BP42" s="430" t="str">
        <f t="shared" si="46"/>
        <v/>
      </c>
      <c r="BQ42" s="430" t="str">
        <f t="shared" si="47"/>
        <v/>
      </c>
      <c r="BR42" s="430" t="str">
        <f t="shared" si="48"/>
        <v/>
      </c>
      <c r="BS42" s="430" t="str">
        <f t="shared" si="49"/>
        <v/>
      </c>
      <c r="BT42" s="430" t="str">
        <f t="shared" si="50"/>
        <v/>
      </c>
      <c r="BU42" s="430" t="str">
        <f t="shared" si="51"/>
        <v/>
      </c>
      <c r="BV42" s="430" t="str">
        <f t="shared" si="52"/>
        <v/>
      </c>
      <c r="BW42" s="430" t="str">
        <f t="shared" si="53"/>
        <v/>
      </c>
      <c r="BX42" s="430" t="str">
        <f t="shared" si="54"/>
        <v/>
      </c>
      <c r="BY42" s="430" t="str">
        <f t="shared" si="55"/>
        <v/>
      </c>
      <c r="BZ42" s="430" t="str">
        <f t="shared" si="56"/>
        <v/>
      </c>
      <c r="CA42" s="430" t="str">
        <f t="shared" si="57"/>
        <v/>
      </c>
      <c r="CB42" s="430" t="str">
        <f t="shared" si="58"/>
        <v/>
      </c>
      <c r="CC42" s="430" t="str">
        <f t="shared" si="59"/>
        <v/>
      </c>
      <c r="CD42" s="430" t="str">
        <f t="shared" si="60"/>
        <v/>
      </c>
      <c r="CE42" s="430" t="str">
        <f t="shared" si="61"/>
        <v/>
      </c>
      <c r="CF42" s="430" t="str">
        <f t="shared" si="62"/>
        <v/>
      </c>
      <c r="CG42" s="430" t="str">
        <f t="shared" si="63"/>
        <v/>
      </c>
      <c r="CH42" s="430" t="str">
        <f t="shared" si="64"/>
        <v/>
      </c>
      <c r="CI42" s="430" t="str">
        <f t="shared" si="65"/>
        <v/>
      </c>
      <c r="CJ42" s="430" t="str">
        <f t="shared" si="66"/>
        <v/>
      </c>
      <c r="CK42" s="430" t="str">
        <f t="shared" si="67"/>
        <v/>
      </c>
      <c r="CL42" s="430" t="str">
        <f t="shared" si="68"/>
        <v/>
      </c>
      <c r="CM42" s="430" t="str">
        <f t="shared" si="69"/>
        <v/>
      </c>
      <c r="CN42" s="430" t="str">
        <f t="shared" si="70"/>
        <v/>
      </c>
      <c r="CO42" s="430" t="str">
        <f t="shared" si="71"/>
        <v/>
      </c>
      <c r="CP42" s="430" t="str">
        <f t="shared" si="72"/>
        <v/>
      </c>
      <c r="CQ42" s="430" t="str">
        <f t="shared" si="73"/>
        <v/>
      </c>
      <c r="CR42" s="430" t="str">
        <f t="shared" si="74"/>
        <v/>
      </c>
      <c r="CS42" s="430" t="str">
        <f t="shared" si="75"/>
        <v/>
      </c>
      <c r="CT42" s="430" t="str">
        <f t="shared" si="76"/>
        <v/>
      </c>
      <c r="CU42" s="430" t="str">
        <f t="shared" si="77"/>
        <v/>
      </c>
      <c r="CV42" s="430" t="str">
        <f t="shared" si="78"/>
        <v/>
      </c>
      <c r="CW42" s="430" t="str">
        <f t="shared" si="79"/>
        <v/>
      </c>
      <c r="CX42" s="430" t="str">
        <f t="shared" si="80"/>
        <v/>
      </c>
      <c r="CY42" s="430" t="str">
        <f t="shared" si="81"/>
        <v/>
      </c>
      <c r="CZ42" s="430" t="str">
        <f t="shared" si="82"/>
        <v/>
      </c>
      <c r="DA42" s="430" t="str">
        <f t="shared" si="83"/>
        <v/>
      </c>
      <c r="DB42" s="430" t="str">
        <f t="shared" si="84"/>
        <v/>
      </c>
      <c r="DC42" s="430" t="str">
        <f t="shared" si="85"/>
        <v/>
      </c>
      <c r="DD42" s="430" t="str">
        <f t="shared" si="86"/>
        <v/>
      </c>
      <c r="DE42" s="430" t="str">
        <f t="shared" si="87"/>
        <v/>
      </c>
      <c r="DF42" s="430" t="str">
        <f t="shared" si="88"/>
        <v/>
      </c>
      <c r="DG42" s="430" t="str">
        <f t="shared" si="89"/>
        <v/>
      </c>
      <c r="DH42" s="430" t="str">
        <f t="shared" si="90"/>
        <v/>
      </c>
      <c r="DI42" s="430" t="str">
        <f t="shared" si="91"/>
        <v/>
      </c>
      <c r="DJ42" s="430" t="str">
        <f t="shared" si="92"/>
        <v/>
      </c>
      <c r="DK42" s="430" t="str">
        <f t="shared" si="93"/>
        <v/>
      </c>
      <c r="DL42" s="430" t="str">
        <f t="shared" si="94"/>
        <v/>
      </c>
      <c r="DM42" s="430" t="str">
        <f t="shared" si="95"/>
        <v/>
      </c>
      <c r="DN42" s="430" t="str">
        <f t="shared" si="96"/>
        <v/>
      </c>
      <c r="DO42" s="430" t="str">
        <f t="shared" si="97"/>
        <v/>
      </c>
      <c r="DP42" s="430" t="str">
        <f t="shared" si="98"/>
        <v/>
      </c>
      <c r="DQ42" s="430" t="str">
        <f t="shared" si="99"/>
        <v/>
      </c>
      <c r="DR42" s="430" t="str">
        <f t="shared" si="100"/>
        <v/>
      </c>
      <c r="DS42" s="430" t="str">
        <f t="shared" si="101"/>
        <v/>
      </c>
      <c r="DT42" s="430" t="str">
        <f t="shared" si="102"/>
        <v/>
      </c>
      <c r="DU42" s="430" t="str">
        <f t="shared" si="103"/>
        <v/>
      </c>
      <c r="DV42" s="430" t="str">
        <f t="shared" si="104"/>
        <v/>
      </c>
      <c r="DW42" s="430" t="str">
        <f t="shared" si="105"/>
        <v/>
      </c>
      <c r="DX42" s="430" t="str">
        <f t="shared" si="106"/>
        <v/>
      </c>
      <c r="DY42" s="430" t="str">
        <f t="shared" si="107"/>
        <v/>
      </c>
      <c r="DZ42" s="430" t="str">
        <f t="shared" si="108"/>
        <v/>
      </c>
      <c r="EA42" s="430" t="str">
        <f t="shared" si="109"/>
        <v/>
      </c>
      <c r="EB42" s="430" t="str">
        <f t="shared" si="110"/>
        <v/>
      </c>
      <c r="EC42" s="430" t="str">
        <f t="shared" si="111"/>
        <v/>
      </c>
      <c r="ED42" s="430" t="str">
        <f t="shared" si="112"/>
        <v/>
      </c>
      <c r="EE42" s="430" t="str">
        <f t="shared" si="113"/>
        <v/>
      </c>
      <c r="EF42" s="430" t="str">
        <f t="shared" si="114"/>
        <v/>
      </c>
      <c r="EG42" s="430" t="str">
        <f t="shared" si="115"/>
        <v/>
      </c>
      <c r="EH42" s="430" t="str">
        <f t="shared" si="116"/>
        <v/>
      </c>
      <c r="EI42" s="430" t="str">
        <f t="shared" si="117"/>
        <v/>
      </c>
      <c r="EJ42" s="430" t="str">
        <f t="shared" si="118"/>
        <v/>
      </c>
      <c r="EK42" s="430" t="str">
        <f t="shared" si="119"/>
        <v/>
      </c>
      <c r="EL42" s="430" t="str">
        <f t="shared" si="120"/>
        <v/>
      </c>
      <c r="EM42" s="430" t="str">
        <f t="shared" si="121"/>
        <v/>
      </c>
      <c r="EN42" s="430" t="str">
        <f t="shared" si="122"/>
        <v/>
      </c>
      <c r="EO42" s="430" t="str">
        <f t="shared" si="123"/>
        <v/>
      </c>
      <c r="EP42" s="430" t="str">
        <f t="shared" si="124"/>
        <v/>
      </c>
      <c r="EQ42" s="430" t="str">
        <f t="shared" si="125"/>
        <v/>
      </c>
      <c r="ER42" s="430" t="str">
        <f t="shared" si="126"/>
        <v/>
      </c>
      <c r="ES42" s="430" t="str">
        <f t="shared" si="127"/>
        <v/>
      </c>
      <c r="ET42" s="430" t="str">
        <f t="shared" si="128"/>
        <v/>
      </c>
      <c r="EU42" s="430" t="str">
        <f t="shared" si="129"/>
        <v/>
      </c>
      <c r="EV42" s="430" t="str">
        <f t="shared" si="130"/>
        <v/>
      </c>
      <c r="EW42" s="430" t="str">
        <f t="shared" si="131"/>
        <v/>
      </c>
      <c r="EX42" s="430" t="str">
        <f t="shared" si="132"/>
        <v/>
      </c>
      <c r="EY42" s="430" t="str">
        <f t="shared" si="133"/>
        <v/>
      </c>
      <c r="EZ42" s="430" t="str">
        <f t="shared" si="134"/>
        <v/>
      </c>
      <c r="FA42" s="430" t="str">
        <f t="shared" si="135"/>
        <v/>
      </c>
      <c r="FB42" s="430" t="str">
        <f t="shared" si="136"/>
        <v/>
      </c>
      <c r="FC42" s="430" t="str">
        <f t="shared" si="137"/>
        <v/>
      </c>
      <c r="FD42" s="430" t="str">
        <f t="shared" si="138"/>
        <v/>
      </c>
      <c r="FE42" s="430" t="str">
        <f t="shared" si="139"/>
        <v/>
      </c>
      <c r="FF42" s="430" t="str">
        <f t="shared" si="140"/>
        <v/>
      </c>
      <c r="FG42" s="430" t="str">
        <f t="shared" si="141"/>
        <v/>
      </c>
      <c r="FH42" s="430" t="str">
        <f t="shared" si="142"/>
        <v/>
      </c>
      <c r="FI42" s="430" t="str">
        <f t="shared" si="143"/>
        <v/>
      </c>
      <c r="FJ42" s="430" t="str">
        <f t="shared" si="144"/>
        <v/>
      </c>
      <c r="FK42" s="430" t="str">
        <f t="shared" si="145"/>
        <v/>
      </c>
      <c r="FL42" s="430" t="str">
        <f t="shared" si="146"/>
        <v/>
      </c>
      <c r="FM42" s="430" t="str">
        <f t="shared" si="147"/>
        <v/>
      </c>
      <c r="FN42" s="430" t="str">
        <f t="shared" si="148"/>
        <v/>
      </c>
      <c r="FO42" s="430" t="str">
        <f t="shared" si="149"/>
        <v/>
      </c>
      <c r="FP42" s="430" t="str">
        <f t="shared" si="150"/>
        <v/>
      </c>
      <c r="FQ42" s="430" t="str">
        <f t="shared" si="151"/>
        <v/>
      </c>
      <c r="FR42" s="430" t="str">
        <f t="shared" si="152"/>
        <v/>
      </c>
      <c r="FS42" s="430" t="str">
        <f t="shared" si="153"/>
        <v/>
      </c>
      <c r="FT42" s="430" t="str">
        <f t="shared" si="154"/>
        <v/>
      </c>
      <c r="FU42" s="430" t="str">
        <f t="shared" si="155"/>
        <v/>
      </c>
      <c r="FV42" s="430" t="str">
        <f t="shared" si="156"/>
        <v/>
      </c>
      <c r="FW42" s="430" t="str">
        <f t="shared" si="157"/>
        <v/>
      </c>
      <c r="FX42" s="430" t="str">
        <f t="shared" si="158"/>
        <v/>
      </c>
      <c r="FY42" s="430" t="str">
        <f t="shared" si="159"/>
        <v/>
      </c>
      <c r="FZ42" s="430" t="str">
        <f t="shared" si="160"/>
        <v/>
      </c>
      <c r="GA42" s="430" t="str">
        <f t="shared" si="161"/>
        <v/>
      </c>
      <c r="GB42" s="430" t="str">
        <f t="shared" si="162"/>
        <v/>
      </c>
      <c r="GC42" s="430" t="str">
        <f t="shared" si="163"/>
        <v/>
      </c>
      <c r="GD42" s="430" t="str">
        <f t="shared" si="164"/>
        <v/>
      </c>
      <c r="GE42" s="430" t="str">
        <f t="shared" si="165"/>
        <v/>
      </c>
      <c r="GF42" s="430" t="str">
        <f t="shared" si="166"/>
        <v/>
      </c>
      <c r="GG42" s="430" t="str">
        <f t="shared" si="167"/>
        <v/>
      </c>
      <c r="GH42" s="430" t="str">
        <f t="shared" si="168"/>
        <v/>
      </c>
      <c r="GI42" s="430" t="str">
        <f t="shared" si="169"/>
        <v/>
      </c>
      <c r="GJ42" s="430" t="str">
        <f t="shared" si="170"/>
        <v/>
      </c>
      <c r="GK42" s="430" t="str">
        <f t="shared" si="171"/>
        <v/>
      </c>
      <c r="GL42" s="430" t="str">
        <f t="shared" si="172"/>
        <v/>
      </c>
      <c r="GM42" s="430" t="str">
        <f t="shared" si="173"/>
        <v/>
      </c>
      <c r="GN42" s="430" t="str">
        <f t="shared" si="174"/>
        <v/>
      </c>
      <c r="GO42" s="430" t="str">
        <f t="shared" si="175"/>
        <v/>
      </c>
      <c r="GP42" s="430" t="str">
        <f t="shared" si="176"/>
        <v/>
      </c>
      <c r="GQ42" s="430" t="str">
        <f t="shared" si="177"/>
        <v/>
      </c>
      <c r="GR42" s="430" t="str">
        <f t="shared" si="178"/>
        <v/>
      </c>
      <c r="GS42" s="430" t="str">
        <f t="shared" si="179"/>
        <v/>
      </c>
      <c r="GT42" s="430" t="str">
        <f t="shared" si="180"/>
        <v/>
      </c>
      <c r="GU42" s="430" t="str">
        <f t="shared" si="181"/>
        <v/>
      </c>
      <c r="GV42" s="430" t="str">
        <f t="shared" si="182"/>
        <v/>
      </c>
      <c r="GW42" s="430" t="str">
        <f t="shared" si="183"/>
        <v/>
      </c>
      <c r="GX42" s="430" t="str">
        <f t="shared" si="184"/>
        <v/>
      </c>
      <c r="GY42" s="430" t="str">
        <f t="shared" si="185"/>
        <v/>
      </c>
      <c r="GZ42" s="430" t="str">
        <f t="shared" si="186"/>
        <v/>
      </c>
      <c r="HA42" s="430" t="str">
        <f t="shared" si="187"/>
        <v/>
      </c>
      <c r="HB42" s="430" t="str">
        <f t="shared" si="188"/>
        <v/>
      </c>
      <c r="HC42" s="430" t="str">
        <f t="shared" si="189"/>
        <v/>
      </c>
      <c r="HD42" s="430" t="str">
        <f t="shared" si="190"/>
        <v/>
      </c>
      <c r="HE42" s="430" t="str">
        <f t="shared" si="191"/>
        <v/>
      </c>
      <c r="HF42" s="430" t="str">
        <f t="shared" si="192"/>
        <v/>
      </c>
      <c r="HG42" s="430" t="str">
        <f t="shared" si="193"/>
        <v/>
      </c>
      <c r="HH42" s="430" t="str">
        <f t="shared" si="194"/>
        <v/>
      </c>
      <c r="HI42" s="430" t="str">
        <f t="shared" si="195"/>
        <v/>
      </c>
      <c r="HJ42" s="430" t="str">
        <f t="shared" si="196"/>
        <v/>
      </c>
      <c r="HK42" s="430" t="str">
        <f t="shared" si="197"/>
        <v/>
      </c>
      <c r="HL42" s="430" t="str">
        <f t="shared" si="198"/>
        <v/>
      </c>
      <c r="HM42" s="430" t="str">
        <f t="shared" si="199"/>
        <v/>
      </c>
      <c r="HN42" s="430" t="str">
        <f t="shared" si="200"/>
        <v/>
      </c>
      <c r="HO42" s="430" t="str">
        <f t="shared" si="201"/>
        <v/>
      </c>
      <c r="HP42" s="430" t="str">
        <f t="shared" si="202"/>
        <v/>
      </c>
      <c r="HQ42" s="430" t="str">
        <f t="shared" si="203"/>
        <v/>
      </c>
      <c r="HR42" s="430" t="str">
        <f t="shared" si="204"/>
        <v/>
      </c>
      <c r="HS42" s="430" t="str">
        <f t="shared" si="205"/>
        <v/>
      </c>
      <c r="HT42" s="430" t="str">
        <f t="shared" si="206"/>
        <v/>
      </c>
      <c r="HU42" s="430" t="str">
        <f t="shared" si="207"/>
        <v/>
      </c>
      <c r="HV42" s="430" t="str">
        <f t="shared" si="208"/>
        <v/>
      </c>
      <c r="HW42" s="430" t="str">
        <f t="shared" si="209"/>
        <v/>
      </c>
      <c r="HX42" s="430" t="str">
        <f t="shared" si="210"/>
        <v/>
      </c>
      <c r="HY42" s="430" t="str">
        <f t="shared" si="211"/>
        <v/>
      </c>
      <c r="HZ42" s="1814" t="str">
        <f t="shared" si="212"/>
        <v/>
      </c>
      <c r="IA42" s="1814" t="str">
        <f t="shared" si="213"/>
        <v/>
      </c>
      <c r="IB42" s="1814" t="str">
        <f t="shared" si="214"/>
        <v/>
      </c>
      <c r="IC42" s="1814" t="str">
        <f t="shared" si="215"/>
        <v/>
      </c>
      <c r="ID42" s="1814" t="str">
        <f t="shared" si="216"/>
        <v/>
      </c>
      <c r="IE42" s="1814" t="str">
        <f t="shared" si="217"/>
        <v/>
      </c>
      <c r="IF42" s="1814" t="str">
        <f t="shared" si="218"/>
        <v/>
      </c>
      <c r="IG42" s="1814" t="str">
        <f t="shared" si="219"/>
        <v/>
      </c>
      <c r="IH42" s="1814" t="str">
        <f t="shared" si="220"/>
        <v/>
      </c>
      <c r="II42" s="1814" t="str">
        <f t="shared" si="221"/>
        <v/>
      </c>
      <c r="IJ42" s="1814" t="str">
        <f t="shared" si="222"/>
        <v/>
      </c>
      <c r="IK42" s="1814" t="str">
        <f t="shared" si="223"/>
        <v/>
      </c>
      <c r="IL42" s="1814" t="str">
        <f t="shared" si="224"/>
        <v/>
      </c>
      <c r="IM42" s="1814" t="str">
        <f t="shared" si="225"/>
        <v/>
      </c>
      <c r="IN42" s="1814" t="str">
        <f t="shared" si="226"/>
        <v/>
      </c>
      <c r="IO42" s="1814" t="str">
        <f t="shared" si="227"/>
        <v/>
      </c>
      <c r="IP42" s="1814" t="str">
        <f t="shared" si="228"/>
        <v/>
      </c>
      <c r="IQ42" s="1814" t="str">
        <f t="shared" si="229"/>
        <v/>
      </c>
      <c r="IR42" s="1814" t="str">
        <f t="shared" si="230"/>
        <v/>
      </c>
      <c r="IS42" s="1814" t="str">
        <f t="shared" si="231"/>
        <v/>
      </c>
      <c r="IT42" s="1814" t="str">
        <f t="shared" si="232"/>
        <v/>
      </c>
      <c r="IU42" s="1814" t="str">
        <f t="shared" si="233"/>
        <v/>
      </c>
      <c r="IV42" s="1814" t="str">
        <f t="shared" si="234"/>
        <v/>
      </c>
      <c r="IW42" s="1814" t="str">
        <f t="shared" si="235"/>
        <v/>
      </c>
      <c r="IX42" s="1814" t="str">
        <f t="shared" si="236"/>
        <v/>
      </c>
      <c r="IY42" s="1814" t="str">
        <f t="shared" si="237"/>
        <v/>
      </c>
      <c r="IZ42" s="1814" t="str">
        <f t="shared" si="238"/>
        <v/>
      </c>
      <c r="JA42" s="1814" t="str">
        <f t="shared" si="239"/>
        <v/>
      </c>
      <c r="JB42" s="1814" t="str">
        <f t="shared" si="240"/>
        <v/>
      </c>
      <c r="JC42" s="1814" t="str">
        <f t="shared" si="241"/>
        <v/>
      </c>
      <c r="JD42" s="1814" t="str">
        <f t="shared" si="242"/>
        <v/>
      </c>
      <c r="JE42" s="1814" t="str">
        <f t="shared" si="243"/>
        <v/>
      </c>
      <c r="JF42" s="1814" t="str">
        <f t="shared" si="244"/>
        <v/>
      </c>
      <c r="JG42" s="1814" t="str">
        <f t="shared" si="245"/>
        <v/>
      </c>
      <c r="JH42" s="1814" t="str">
        <f t="shared" si="246"/>
        <v/>
      </c>
      <c r="JI42" s="1814" t="str">
        <f t="shared" si="247"/>
        <v/>
      </c>
      <c r="JJ42" s="1814" t="str">
        <f t="shared" si="248"/>
        <v/>
      </c>
      <c r="JK42" s="1814" t="str">
        <f t="shared" si="249"/>
        <v/>
      </c>
      <c r="JL42" s="1814" t="str">
        <f t="shared" si="250"/>
        <v/>
      </c>
      <c r="JM42" s="1814" t="str">
        <f t="shared" si="251"/>
        <v/>
      </c>
      <c r="JN42" s="1814" t="str">
        <f t="shared" si="252"/>
        <v/>
      </c>
      <c r="JO42" s="1814" t="str">
        <f t="shared" si="253"/>
        <v/>
      </c>
      <c r="JP42" s="1814" t="str">
        <f t="shared" si="254"/>
        <v/>
      </c>
      <c r="JQ42" s="1814" t="str">
        <f t="shared" si="255"/>
        <v/>
      </c>
      <c r="JR42" s="1814" t="str">
        <f t="shared" si="256"/>
        <v/>
      </c>
      <c r="JS42" s="1814" t="str">
        <f t="shared" si="257"/>
        <v/>
      </c>
      <c r="JT42" s="1814" t="str">
        <f t="shared" si="258"/>
        <v/>
      </c>
      <c r="JU42" s="1814" t="str">
        <f t="shared" si="259"/>
        <v/>
      </c>
      <c r="JV42" s="1814" t="str">
        <f t="shared" si="260"/>
        <v/>
      </c>
      <c r="JW42" s="1814" t="str">
        <f t="shared" si="261"/>
        <v/>
      </c>
      <c r="JX42" s="1814" t="str">
        <f t="shared" si="262"/>
        <v/>
      </c>
      <c r="JY42" s="1814" t="str">
        <f t="shared" si="263"/>
        <v/>
      </c>
      <c r="JZ42" s="1814" t="str">
        <f t="shared" si="264"/>
        <v/>
      </c>
      <c r="KA42" s="1814" t="str">
        <f t="shared" si="265"/>
        <v/>
      </c>
      <c r="KB42" s="1814" t="str">
        <f t="shared" si="266"/>
        <v/>
      </c>
      <c r="KC42" s="1814" t="str">
        <f t="shared" si="267"/>
        <v/>
      </c>
      <c r="KD42" s="1814" t="str">
        <f t="shared" si="268"/>
        <v/>
      </c>
      <c r="KE42" s="1814" t="str">
        <f t="shared" si="269"/>
        <v/>
      </c>
      <c r="KF42" s="1814" t="str">
        <f t="shared" si="270"/>
        <v/>
      </c>
      <c r="KG42" s="1814" t="str">
        <f t="shared" si="271"/>
        <v/>
      </c>
      <c r="KH42" s="1814" t="str">
        <f t="shared" si="272"/>
        <v/>
      </c>
      <c r="KI42" s="1814" t="str">
        <f t="shared" si="273"/>
        <v/>
      </c>
      <c r="KJ42" s="1814" t="str">
        <f t="shared" si="274"/>
        <v/>
      </c>
      <c r="KK42" s="1814" t="str">
        <f t="shared" si="275"/>
        <v/>
      </c>
      <c r="KL42" s="1814" t="str">
        <f t="shared" si="276"/>
        <v/>
      </c>
      <c r="KM42" s="1814" t="str">
        <f t="shared" si="277"/>
        <v/>
      </c>
      <c r="KN42" s="1814" t="str">
        <f t="shared" si="278"/>
        <v/>
      </c>
      <c r="KO42" s="1814" t="str">
        <f t="shared" si="279"/>
        <v/>
      </c>
      <c r="KP42" s="1814" t="str">
        <f t="shared" si="280"/>
        <v/>
      </c>
      <c r="KQ42" s="1814" t="str">
        <f t="shared" si="281"/>
        <v/>
      </c>
      <c r="KR42" s="1814" t="str">
        <f t="shared" si="282"/>
        <v/>
      </c>
      <c r="KS42" s="1814" t="str">
        <f t="shared" si="283"/>
        <v/>
      </c>
      <c r="KT42" s="1814" t="str">
        <f t="shared" si="284"/>
        <v/>
      </c>
      <c r="KU42" s="1814" t="str">
        <f t="shared" si="285"/>
        <v/>
      </c>
      <c r="KV42" s="1814" t="str">
        <f t="shared" si="286"/>
        <v/>
      </c>
      <c r="KW42" s="1814" t="str">
        <f t="shared" si="287"/>
        <v/>
      </c>
      <c r="KX42" s="1814" t="str">
        <f t="shared" si="288"/>
        <v/>
      </c>
      <c r="KY42" s="1814" t="str">
        <f t="shared" si="289"/>
        <v/>
      </c>
      <c r="KZ42" s="1814" t="str">
        <f t="shared" si="290"/>
        <v/>
      </c>
      <c r="LA42" s="1814" t="str">
        <f t="shared" si="291"/>
        <v/>
      </c>
      <c r="LB42" s="1814" t="str">
        <f t="shared" si="292"/>
        <v/>
      </c>
      <c r="LC42" s="1814" t="str">
        <f t="shared" si="293"/>
        <v/>
      </c>
      <c r="LD42" s="1814" t="str">
        <f t="shared" si="294"/>
        <v/>
      </c>
      <c r="LE42" s="1814" t="str">
        <f t="shared" si="295"/>
        <v/>
      </c>
      <c r="LF42" s="1814" t="str">
        <f t="shared" si="296"/>
        <v/>
      </c>
      <c r="LG42" s="1786" t="str">
        <f t="shared" si="297"/>
        <v/>
      </c>
      <c r="LH42" s="1786" t="str">
        <f t="shared" si="298"/>
        <v/>
      </c>
      <c r="LI42" s="1786" t="str">
        <f t="shared" si="299"/>
        <v/>
      </c>
      <c r="LJ42" s="1786" t="str">
        <f t="shared" si="300"/>
        <v/>
      </c>
      <c r="LK42" s="1786" t="str">
        <f t="shared" si="301"/>
        <v/>
      </c>
      <c r="LL42" s="430" t="str">
        <f t="shared" si="302"/>
        <v/>
      </c>
      <c r="LM42" s="430" t="str">
        <f t="shared" si="303"/>
        <v/>
      </c>
      <c r="LN42" s="430" t="str">
        <f t="shared" si="304"/>
        <v/>
      </c>
      <c r="LO42" s="430" t="str">
        <f t="shared" si="305"/>
        <v/>
      </c>
      <c r="LP42" s="430" t="str">
        <f t="shared" si="306"/>
        <v/>
      </c>
      <c r="LQ42" s="430" t="str">
        <f t="shared" si="307"/>
        <v/>
      </c>
      <c r="LR42" s="430" t="str">
        <f t="shared" si="308"/>
        <v/>
      </c>
      <c r="LS42" s="430" t="str">
        <f t="shared" si="309"/>
        <v/>
      </c>
      <c r="LT42" s="430" t="str">
        <f t="shared" si="310"/>
        <v/>
      </c>
      <c r="LU42" s="430" t="str">
        <f t="shared" si="311"/>
        <v/>
      </c>
      <c r="LV42" s="430" t="str">
        <f t="shared" si="312"/>
        <v/>
      </c>
      <c r="LW42" s="430" t="str">
        <f t="shared" si="313"/>
        <v/>
      </c>
      <c r="LX42" s="430" t="str">
        <f t="shared" si="314"/>
        <v/>
      </c>
      <c r="LY42" s="430" t="str">
        <f t="shared" si="315"/>
        <v/>
      </c>
      <c r="LZ42" s="430" t="str">
        <f t="shared" si="316"/>
        <v/>
      </c>
      <c r="MA42" s="430" t="str">
        <f t="shared" si="317"/>
        <v/>
      </c>
      <c r="MB42" s="430" t="str">
        <f t="shared" si="318"/>
        <v/>
      </c>
      <c r="MC42" s="430" t="str">
        <f t="shared" si="319"/>
        <v/>
      </c>
      <c r="MD42" s="430" t="str">
        <f t="shared" si="320"/>
        <v/>
      </c>
      <c r="ME42" s="430" t="str">
        <f t="shared" si="321"/>
        <v/>
      </c>
      <c r="MF42" s="1815">
        <f t="shared" si="328"/>
        <v>0</v>
      </c>
      <c r="MG42" s="1815">
        <f t="shared" si="329"/>
        <v>0</v>
      </c>
      <c r="MH42" s="1815">
        <f t="shared" si="330"/>
        <v>0</v>
      </c>
      <c r="MI42" s="1815">
        <f t="shared" si="331"/>
        <v>0</v>
      </c>
      <c r="MJ42" s="1815">
        <f t="shared" si="332"/>
        <v>0</v>
      </c>
      <c r="MK42" s="1815">
        <f t="shared" si="333"/>
        <v>0</v>
      </c>
      <c r="ML42" s="1815">
        <f t="shared" si="334"/>
        <v>0</v>
      </c>
      <c r="MM42" s="1815">
        <f t="shared" si="335"/>
        <v>0</v>
      </c>
      <c r="MN42" s="1815">
        <f t="shared" si="336"/>
        <v>0</v>
      </c>
      <c r="MO42" s="1815">
        <f t="shared" si="337"/>
        <v>0</v>
      </c>
      <c r="MP42" s="1815">
        <f t="shared" si="322"/>
        <v>0</v>
      </c>
      <c r="MQ42" s="1815">
        <f t="shared" si="323"/>
        <v>0</v>
      </c>
      <c r="MR42" s="1815">
        <f t="shared" si="324"/>
        <v>0</v>
      </c>
      <c r="MS42" s="1815">
        <f t="shared" si="325"/>
        <v>0</v>
      </c>
      <c r="MT42" s="1815">
        <f t="shared" si="326"/>
        <v>0</v>
      </c>
      <c r="NP42" s="2807" t="s">
        <v>6748</v>
      </c>
    </row>
    <row r="43" spans="1:380" ht="13.9" customHeight="1">
      <c r="A43" s="108" t="str">
        <f t="shared" si="327"/>
        <v/>
      </c>
      <c r="B43" s="2896"/>
      <c r="C43" s="2869"/>
      <c r="D43" s="2870"/>
      <c r="E43" s="2871"/>
      <c r="F43" s="2871"/>
      <c r="G43" s="2871"/>
      <c r="H43" s="2871"/>
      <c r="I43" s="2871"/>
      <c r="J43" s="2897">
        <f>IF(C43="",0,HLOOKUP(C43,'Part V-Utility Allowances'!$I$11:$M$22,12))</f>
        <v>0</v>
      </c>
      <c r="K43" s="2873"/>
      <c r="L43" s="537">
        <f t="shared" si="0"/>
        <v>0</v>
      </c>
      <c r="M43" s="537">
        <f t="shared" si="1"/>
        <v>0</v>
      </c>
      <c r="N43" s="2712"/>
      <c r="O43" s="2874"/>
      <c r="P43" s="2712"/>
      <c r="Q43" s="2875"/>
      <c r="R43" s="2876"/>
      <c r="S43" s="2877"/>
      <c r="T43" s="3833"/>
      <c r="U43" s="3834"/>
      <c r="V43" s="3834"/>
      <c r="W43" s="3835"/>
      <c r="X43" s="430" t="str">
        <f t="shared" si="2"/>
        <v/>
      </c>
      <c r="Y43" s="430" t="str">
        <f t="shared" si="3"/>
        <v/>
      </c>
      <c r="Z43" s="430" t="str">
        <f t="shared" si="4"/>
        <v/>
      </c>
      <c r="AA43" s="430" t="str">
        <f t="shared" si="5"/>
        <v/>
      </c>
      <c r="AB43" s="430" t="str">
        <f t="shared" si="6"/>
        <v/>
      </c>
      <c r="AC43" s="430" t="str">
        <f t="shared" si="7"/>
        <v/>
      </c>
      <c r="AD43" s="430" t="str">
        <f t="shared" si="8"/>
        <v/>
      </c>
      <c r="AE43" s="430" t="str">
        <f t="shared" si="9"/>
        <v/>
      </c>
      <c r="AF43" s="430" t="str">
        <f t="shared" si="10"/>
        <v/>
      </c>
      <c r="AG43" s="430" t="str">
        <f t="shared" si="11"/>
        <v/>
      </c>
      <c r="AH43" s="430" t="str">
        <f t="shared" si="12"/>
        <v/>
      </c>
      <c r="AI43" s="430" t="str">
        <f t="shared" si="13"/>
        <v/>
      </c>
      <c r="AJ43" s="430" t="str">
        <f t="shared" si="14"/>
        <v/>
      </c>
      <c r="AK43" s="430" t="str">
        <f t="shared" si="15"/>
        <v/>
      </c>
      <c r="AL43" s="430" t="str">
        <f t="shared" si="16"/>
        <v/>
      </c>
      <c r="AM43" s="430" t="str">
        <f t="shared" si="17"/>
        <v/>
      </c>
      <c r="AN43" s="430" t="str">
        <f t="shared" si="18"/>
        <v/>
      </c>
      <c r="AO43" s="430" t="str">
        <f t="shared" si="19"/>
        <v/>
      </c>
      <c r="AP43" s="430" t="str">
        <f t="shared" si="20"/>
        <v/>
      </c>
      <c r="AQ43" s="430" t="str">
        <f t="shared" si="21"/>
        <v/>
      </c>
      <c r="AR43" s="430" t="str">
        <f t="shared" si="22"/>
        <v/>
      </c>
      <c r="AS43" s="430" t="str">
        <f t="shared" si="23"/>
        <v/>
      </c>
      <c r="AT43" s="430" t="str">
        <f t="shared" si="24"/>
        <v/>
      </c>
      <c r="AU43" s="430" t="str">
        <f t="shared" si="25"/>
        <v/>
      </c>
      <c r="AV43" s="430" t="str">
        <f t="shared" si="26"/>
        <v/>
      </c>
      <c r="AW43" s="430" t="str">
        <f t="shared" si="27"/>
        <v/>
      </c>
      <c r="AX43" s="430" t="str">
        <f t="shared" si="28"/>
        <v/>
      </c>
      <c r="AY43" s="430" t="str">
        <f t="shared" si="29"/>
        <v/>
      </c>
      <c r="AZ43" s="430" t="str">
        <f t="shared" si="30"/>
        <v/>
      </c>
      <c r="BA43" s="430" t="str">
        <f t="shared" si="31"/>
        <v/>
      </c>
      <c r="BB43" s="430" t="str">
        <f t="shared" si="32"/>
        <v/>
      </c>
      <c r="BC43" s="430" t="str">
        <f t="shared" si="33"/>
        <v/>
      </c>
      <c r="BD43" s="430" t="str">
        <f t="shared" si="34"/>
        <v/>
      </c>
      <c r="BE43" s="430" t="str">
        <f t="shared" si="35"/>
        <v/>
      </c>
      <c r="BF43" s="430" t="str">
        <f t="shared" si="36"/>
        <v/>
      </c>
      <c r="BG43" s="430" t="str">
        <f t="shared" si="37"/>
        <v/>
      </c>
      <c r="BH43" s="430" t="str">
        <f t="shared" si="38"/>
        <v/>
      </c>
      <c r="BI43" s="430" t="str">
        <f t="shared" si="39"/>
        <v/>
      </c>
      <c r="BJ43" s="430" t="str">
        <f t="shared" si="40"/>
        <v/>
      </c>
      <c r="BK43" s="430" t="str">
        <f t="shared" si="41"/>
        <v/>
      </c>
      <c r="BL43" s="430" t="str">
        <f t="shared" si="42"/>
        <v/>
      </c>
      <c r="BM43" s="430" t="str">
        <f t="shared" si="43"/>
        <v/>
      </c>
      <c r="BN43" s="430" t="str">
        <f t="shared" si="44"/>
        <v/>
      </c>
      <c r="BO43" s="430" t="str">
        <f t="shared" si="45"/>
        <v/>
      </c>
      <c r="BP43" s="430" t="str">
        <f t="shared" si="46"/>
        <v/>
      </c>
      <c r="BQ43" s="430" t="str">
        <f t="shared" si="47"/>
        <v/>
      </c>
      <c r="BR43" s="430" t="str">
        <f t="shared" si="48"/>
        <v/>
      </c>
      <c r="BS43" s="430" t="str">
        <f t="shared" si="49"/>
        <v/>
      </c>
      <c r="BT43" s="430" t="str">
        <f t="shared" si="50"/>
        <v/>
      </c>
      <c r="BU43" s="430" t="str">
        <f t="shared" si="51"/>
        <v/>
      </c>
      <c r="BV43" s="430" t="str">
        <f t="shared" si="52"/>
        <v/>
      </c>
      <c r="BW43" s="430" t="str">
        <f t="shared" si="53"/>
        <v/>
      </c>
      <c r="BX43" s="430" t="str">
        <f t="shared" si="54"/>
        <v/>
      </c>
      <c r="BY43" s="430" t="str">
        <f t="shared" si="55"/>
        <v/>
      </c>
      <c r="BZ43" s="430" t="str">
        <f t="shared" si="56"/>
        <v/>
      </c>
      <c r="CA43" s="430" t="str">
        <f t="shared" si="57"/>
        <v/>
      </c>
      <c r="CB43" s="430" t="str">
        <f t="shared" si="58"/>
        <v/>
      </c>
      <c r="CC43" s="430" t="str">
        <f t="shared" si="59"/>
        <v/>
      </c>
      <c r="CD43" s="430" t="str">
        <f t="shared" si="60"/>
        <v/>
      </c>
      <c r="CE43" s="430" t="str">
        <f t="shared" si="61"/>
        <v/>
      </c>
      <c r="CF43" s="430" t="str">
        <f t="shared" si="62"/>
        <v/>
      </c>
      <c r="CG43" s="430" t="str">
        <f t="shared" si="63"/>
        <v/>
      </c>
      <c r="CH43" s="430" t="str">
        <f t="shared" si="64"/>
        <v/>
      </c>
      <c r="CI43" s="430" t="str">
        <f t="shared" si="65"/>
        <v/>
      </c>
      <c r="CJ43" s="430" t="str">
        <f t="shared" si="66"/>
        <v/>
      </c>
      <c r="CK43" s="430" t="str">
        <f t="shared" si="67"/>
        <v/>
      </c>
      <c r="CL43" s="430" t="str">
        <f t="shared" si="68"/>
        <v/>
      </c>
      <c r="CM43" s="430" t="str">
        <f t="shared" si="69"/>
        <v/>
      </c>
      <c r="CN43" s="430" t="str">
        <f t="shared" si="70"/>
        <v/>
      </c>
      <c r="CO43" s="430" t="str">
        <f t="shared" si="71"/>
        <v/>
      </c>
      <c r="CP43" s="430" t="str">
        <f t="shared" si="72"/>
        <v/>
      </c>
      <c r="CQ43" s="430" t="str">
        <f t="shared" si="73"/>
        <v/>
      </c>
      <c r="CR43" s="430" t="str">
        <f t="shared" si="74"/>
        <v/>
      </c>
      <c r="CS43" s="430" t="str">
        <f t="shared" si="75"/>
        <v/>
      </c>
      <c r="CT43" s="430" t="str">
        <f t="shared" si="76"/>
        <v/>
      </c>
      <c r="CU43" s="430" t="str">
        <f t="shared" si="77"/>
        <v/>
      </c>
      <c r="CV43" s="430" t="str">
        <f t="shared" si="78"/>
        <v/>
      </c>
      <c r="CW43" s="430" t="str">
        <f t="shared" si="79"/>
        <v/>
      </c>
      <c r="CX43" s="430" t="str">
        <f t="shared" si="80"/>
        <v/>
      </c>
      <c r="CY43" s="430" t="str">
        <f t="shared" si="81"/>
        <v/>
      </c>
      <c r="CZ43" s="430" t="str">
        <f t="shared" si="82"/>
        <v/>
      </c>
      <c r="DA43" s="430" t="str">
        <f t="shared" si="83"/>
        <v/>
      </c>
      <c r="DB43" s="430" t="str">
        <f t="shared" si="84"/>
        <v/>
      </c>
      <c r="DC43" s="430" t="str">
        <f t="shared" si="85"/>
        <v/>
      </c>
      <c r="DD43" s="430" t="str">
        <f t="shared" si="86"/>
        <v/>
      </c>
      <c r="DE43" s="430" t="str">
        <f t="shared" si="87"/>
        <v/>
      </c>
      <c r="DF43" s="430" t="str">
        <f t="shared" si="88"/>
        <v/>
      </c>
      <c r="DG43" s="430" t="str">
        <f t="shared" si="89"/>
        <v/>
      </c>
      <c r="DH43" s="430" t="str">
        <f t="shared" si="90"/>
        <v/>
      </c>
      <c r="DI43" s="430" t="str">
        <f t="shared" si="91"/>
        <v/>
      </c>
      <c r="DJ43" s="430" t="str">
        <f t="shared" si="92"/>
        <v/>
      </c>
      <c r="DK43" s="430" t="str">
        <f t="shared" si="93"/>
        <v/>
      </c>
      <c r="DL43" s="430" t="str">
        <f t="shared" si="94"/>
        <v/>
      </c>
      <c r="DM43" s="430" t="str">
        <f t="shared" si="95"/>
        <v/>
      </c>
      <c r="DN43" s="430" t="str">
        <f t="shared" si="96"/>
        <v/>
      </c>
      <c r="DO43" s="430" t="str">
        <f t="shared" si="97"/>
        <v/>
      </c>
      <c r="DP43" s="430" t="str">
        <f t="shared" si="98"/>
        <v/>
      </c>
      <c r="DQ43" s="430" t="str">
        <f t="shared" si="99"/>
        <v/>
      </c>
      <c r="DR43" s="430" t="str">
        <f t="shared" si="100"/>
        <v/>
      </c>
      <c r="DS43" s="430" t="str">
        <f t="shared" si="101"/>
        <v/>
      </c>
      <c r="DT43" s="430" t="str">
        <f t="shared" si="102"/>
        <v/>
      </c>
      <c r="DU43" s="430" t="str">
        <f t="shared" si="103"/>
        <v/>
      </c>
      <c r="DV43" s="430" t="str">
        <f t="shared" si="104"/>
        <v/>
      </c>
      <c r="DW43" s="430" t="str">
        <f t="shared" si="105"/>
        <v/>
      </c>
      <c r="DX43" s="430" t="str">
        <f t="shared" si="106"/>
        <v/>
      </c>
      <c r="DY43" s="430" t="str">
        <f t="shared" si="107"/>
        <v/>
      </c>
      <c r="DZ43" s="430" t="str">
        <f t="shared" si="108"/>
        <v/>
      </c>
      <c r="EA43" s="430" t="str">
        <f t="shared" si="109"/>
        <v/>
      </c>
      <c r="EB43" s="430" t="str">
        <f t="shared" si="110"/>
        <v/>
      </c>
      <c r="EC43" s="430" t="str">
        <f t="shared" si="111"/>
        <v/>
      </c>
      <c r="ED43" s="430" t="str">
        <f t="shared" si="112"/>
        <v/>
      </c>
      <c r="EE43" s="430" t="str">
        <f t="shared" si="113"/>
        <v/>
      </c>
      <c r="EF43" s="430" t="str">
        <f t="shared" si="114"/>
        <v/>
      </c>
      <c r="EG43" s="430" t="str">
        <f t="shared" si="115"/>
        <v/>
      </c>
      <c r="EH43" s="430" t="str">
        <f t="shared" si="116"/>
        <v/>
      </c>
      <c r="EI43" s="430" t="str">
        <f t="shared" si="117"/>
        <v/>
      </c>
      <c r="EJ43" s="430" t="str">
        <f t="shared" si="118"/>
        <v/>
      </c>
      <c r="EK43" s="430" t="str">
        <f t="shared" si="119"/>
        <v/>
      </c>
      <c r="EL43" s="430" t="str">
        <f t="shared" si="120"/>
        <v/>
      </c>
      <c r="EM43" s="430" t="str">
        <f t="shared" si="121"/>
        <v/>
      </c>
      <c r="EN43" s="430" t="str">
        <f t="shared" si="122"/>
        <v/>
      </c>
      <c r="EO43" s="430" t="str">
        <f t="shared" si="123"/>
        <v/>
      </c>
      <c r="EP43" s="430" t="str">
        <f t="shared" si="124"/>
        <v/>
      </c>
      <c r="EQ43" s="430" t="str">
        <f t="shared" si="125"/>
        <v/>
      </c>
      <c r="ER43" s="430" t="str">
        <f t="shared" si="126"/>
        <v/>
      </c>
      <c r="ES43" s="430" t="str">
        <f t="shared" si="127"/>
        <v/>
      </c>
      <c r="ET43" s="430" t="str">
        <f t="shared" si="128"/>
        <v/>
      </c>
      <c r="EU43" s="430" t="str">
        <f t="shared" si="129"/>
        <v/>
      </c>
      <c r="EV43" s="430" t="str">
        <f t="shared" si="130"/>
        <v/>
      </c>
      <c r="EW43" s="430" t="str">
        <f t="shared" si="131"/>
        <v/>
      </c>
      <c r="EX43" s="430" t="str">
        <f t="shared" si="132"/>
        <v/>
      </c>
      <c r="EY43" s="430" t="str">
        <f t="shared" si="133"/>
        <v/>
      </c>
      <c r="EZ43" s="430" t="str">
        <f t="shared" si="134"/>
        <v/>
      </c>
      <c r="FA43" s="430" t="str">
        <f t="shared" si="135"/>
        <v/>
      </c>
      <c r="FB43" s="430" t="str">
        <f t="shared" si="136"/>
        <v/>
      </c>
      <c r="FC43" s="430" t="str">
        <f t="shared" si="137"/>
        <v/>
      </c>
      <c r="FD43" s="430" t="str">
        <f t="shared" si="138"/>
        <v/>
      </c>
      <c r="FE43" s="430" t="str">
        <f t="shared" si="139"/>
        <v/>
      </c>
      <c r="FF43" s="430" t="str">
        <f t="shared" si="140"/>
        <v/>
      </c>
      <c r="FG43" s="430" t="str">
        <f t="shared" si="141"/>
        <v/>
      </c>
      <c r="FH43" s="430" t="str">
        <f t="shared" si="142"/>
        <v/>
      </c>
      <c r="FI43" s="430" t="str">
        <f t="shared" si="143"/>
        <v/>
      </c>
      <c r="FJ43" s="430" t="str">
        <f t="shared" si="144"/>
        <v/>
      </c>
      <c r="FK43" s="430" t="str">
        <f t="shared" si="145"/>
        <v/>
      </c>
      <c r="FL43" s="430" t="str">
        <f t="shared" si="146"/>
        <v/>
      </c>
      <c r="FM43" s="430" t="str">
        <f t="shared" si="147"/>
        <v/>
      </c>
      <c r="FN43" s="430" t="str">
        <f t="shared" si="148"/>
        <v/>
      </c>
      <c r="FO43" s="430" t="str">
        <f t="shared" si="149"/>
        <v/>
      </c>
      <c r="FP43" s="430" t="str">
        <f t="shared" si="150"/>
        <v/>
      </c>
      <c r="FQ43" s="430" t="str">
        <f t="shared" si="151"/>
        <v/>
      </c>
      <c r="FR43" s="430" t="str">
        <f t="shared" si="152"/>
        <v/>
      </c>
      <c r="FS43" s="430" t="str">
        <f t="shared" si="153"/>
        <v/>
      </c>
      <c r="FT43" s="430" t="str">
        <f t="shared" si="154"/>
        <v/>
      </c>
      <c r="FU43" s="430" t="str">
        <f t="shared" si="155"/>
        <v/>
      </c>
      <c r="FV43" s="430" t="str">
        <f t="shared" si="156"/>
        <v/>
      </c>
      <c r="FW43" s="430" t="str">
        <f t="shared" si="157"/>
        <v/>
      </c>
      <c r="FX43" s="430" t="str">
        <f t="shared" si="158"/>
        <v/>
      </c>
      <c r="FY43" s="430" t="str">
        <f t="shared" si="159"/>
        <v/>
      </c>
      <c r="FZ43" s="430" t="str">
        <f t="shared" si="160"/>
        <v/>
      </c>
      <c r="GA43" s="430" t="str">
        <f t="shared" si="161"/>
        <v/>
      </c>
      <c r="GB43" s="430" t="str">
        <f t="shared" si="162"/>
        <v/>
      </c>
      <c r="GC43" s="430" t="str">
        <f t="shared" si="163"/>
        <v/>
      </c>
      <c r="GD43" s="430" t="str">
        <f t="shared" si="164"/>
        <v/>
      </c>
      <c r="GE43" s="430" t="str">
        <f t="shared" si="165"/>
        <v/>
      </c>
      <c r="GF43" s="430" t="str">
        <f t="shared" si="166"/>
        <v/>
      </c>
      <c r="GG43" s="430" t="str">
        <f t="shared" si="167"/>
        <v/>
      </c>
      <c r="GH43" s="430" t="str">
        <f t="shared" si="168"/>
        <v/>
      </c>
      <c r="GI43" s="430" t="str">
        <f t="shared" si="169"/>
        <v/>
      </c>
      <c r="GJ43" s="430" t="str">
        <f t="shared" si="170"/>
        <v/>
      </c>
      <c r="GK43" s="430" t="str">
        <f t="shared" si="171"/>
        <v/>
      </c>
      <c r="GL43" s="430" t="str">
        <f t="shared" si="172"/>
        <v/>
      </c>
      <c r="GM43" s="430" t="str">
        <f t="shared" si="173"/>
        <v/>
      </c>
      <c r="GN43" s="430" t="str">
        <f t="shared" si="174"/>
        <v/>
      </c>
      <c r="GO43" s="430" t="str">
        <f t="shared" si="175"/>
        <v/>
      </c>
      <c r="GP43" s="430" t="str">
        <f t="shared" si="176"/>
        <v/>
      </c>
      <c r="GQ43" s="430" t="str">
        <f t="shared" si="177"/>
        <v/>
      </c>
      <c r="GR43" s="430" t="str">
        <f t="shared" si="178"/>
        <v/>
      </c>
      <c r="GS43" s="430" t="str">
        <f t="shared" si="179"/>
        <v/>
      </c>
      <c r="GT43" s="430" t="str">
        <f t="shared" si="180"/>
        <v/>
      </c>
      <c r="GU43" s="430" t="str">
        <f t="shared" si="181"/>
        <v/>
      </c>
      <c r="GV43" s="430" t="str">
        <f t="shared" si="182"/>
        <v/>
      </c>
      <c r="GW43" s="430" t="str">
        <f t="shared" si="183"/>
        <v/>
      </c>
      <c r="GX43" s="430" t="str">
        <f t="shared" si="184"/>
        <v/>
      </c>
      <c r="GY43" s="430" t="str">
        <f t="shared" si="185"/>
        <v/>
      </c>
      <c r="GZ43" s="430" t="str">
        <f t="shared" si="186"/>
        <v/>
      </c>
      <c r="HA43" s="430" t="str">
        <f t="shared" si="187"/>
        <v/>
      </c>
      <c r="HB43" s="430" t="str">
        <f t="shared" si="188"/>
        <v/>
      </c>
      <c r="HC43" s="430" t="str">
        <f t="shared" si="189"/>
        <v/>
      </c>
      <c r="HD43" s="430" t="str">
        <f t="shared" si="190"/>
        <v/>
      </c>
      <c r="HE43" s="430" t="str">
        <f t="shared" si="191"/>
        <v/>
      </c>
      <c r="HF43" s="430" t="str">
        <f t="shared" si="192"/>
        <v/>
      </c>
      <c r="HG43" s="430" t="str">
        <f t="shared" si="193"/>
        <v/>
      </c>
      <c r="HH43" s="430" t="str">
        <f t="shared" si="194"/>
        <v/>
      </c>
      <c r="HI43" s="430" t="str">
        <f t="shared" si="195"/>
        <v/>
      </c>
      <c r="HJ43" s="430" t="str">
        <f t="shared" si="196"/>
        <v/>
      </c>
      <c r="HK43" s="430" t="str">
        <f t="shared" si="197"/>
        <v/>
      </c>
      <c r="HL43" s="430" t="str">
        <f t="shared" si="198"/>
        <v/>
      </c>
      <c r="HM43" s="430" t="str">
        <f t="shared" si="199"/>
        <v/>
      </c>
      <c r="HN43" s="430" t="str">
        <f t="shared" si="200"/>
        <v/>
      </c>
      <c r="HO43" s="430" t="str">
        <f t="shared" si="201"/>
        <v/>
      </c>
      <c r="HP43" s="430" t="str">
        <f t="shared" si="202"/>
        <v/>
      </c>
      <c r="HQ43" s="430" t="str">
        <f t="shared" si="203"/>
        <v/>
      </c>
      <c r="HR43" s="430" t="str">
        <f t="shared" si="204"/>
        <v/>
      </c>
      <c r="HS43" s="430" t="str">
        <f t="shared" si="205"/>
        <v/>
      </c>
      <c r="HT43" s="430" t="str">
        <f t="shared" si="206"/>
        <v/>
      </c>
      <c r="HU43" s="430" t="str">
        <f t="shared" si="207"/>
        <v/>
      </c>
      <c r="HV43" s="430" t="str">
        <f t="shared" si="208"/>
        <v/>
      </c>
      <c r="HW43" s="430" t="str">
        <f t="shared" si="209"/>
        <v/>
      </c>
      <c r="HX43" s="430" t="str">
        <f t="shared" si="210"/>
        <v/>
      </c>
      <c r="HY43" s="430" t="str">
        <f t="shared" si="211"/>
        <v/>
      </c>
      <c r="HZ43" s="1814" t="str">
        <f t="shared" si="212"/>
        <v/>
      </c>
      <c r="IA43" s="1814" t="str">
        <f t="shared" si="213"/>
        <v/>
      </c>
      <c r="IB43" s="1814" t="str">
        <f t="shared" si="214"/>
        <v/>
      </c>
      <c r="IC43" s="1814" t="str">
        <f t="shared" si="215"/>
        <v/>
      </c>
      <c r="ID43" s="1814" t="str">
        <f t="shared" si="216"/>
        <v/>
      </c>
      <c r="IE43" s="1814" t="str">
        <f t="shared" si="217"/>
        <v/>
      </c>
      <c r="IF43" s="1814" t="str">
        <f t="shared" si="218"/>
        <v/>
      </c>
      <c r="IG43" s="1814" t="str">
        <f t="shared" si="219"/>
        <v/>
      </c>
      <c r="IH43" s="1814" t="str">
        <f t="shared" si="220"/>
        <v/>
      </c>
      <c r="II43" s="1814" t="str">
        <f t="shared" si="221"/>
        <v/>
      </c>
      <c r="IJ43" s="1814" t="str">
        <f t="shared" si="222"/>
        <v/>
      </c>
      <c r="IK43" s="1814" t="str">
        <f t="shared" si="223"/>
        <v/>
      </c>
      <c r="IL43" s="1814" t="str">
        <f t="shared" si="224"/>
        <v/>
      </c>
      <c r="IM43" s="1814" t="str">
        <f t="shared" si="225"/>
        <v/>
      </c>
      <c r="IN43" s="1814" t="str">
        <f t="shared" si="226"/>
        <v/>
      </c>
      <c r="IO43" s="1814" t="str">
        <f t="shared" si="227"/>
        <v/>
      </c>
      <c r="IP43" s="1814" t="str">
        <f t="shared" si="228"/>
        <v/>
      </c>
      <c r="IQ43" s="1814" t="str">
        <f t="shared" si="229"/>
        <v/>
      </c>
      <c r="IR43" s="1814" t="str">
        <f t="shared" si="230"/>
        <v/>
      </c>
      <c r="IS43" s="1814" t="str">
        <f t="shared" si="231"/>
        <v/>
      </c>
      <c r="IT43" s="1814" t="str">
        <f t="shared" si="232"/>
        <v/>
      </c>
      <c r="IU43" s="1814" t="str">
        <f t="shared" si="233"/>
        <v/>
      </c>
      <c r="IV43" s="1814" t="str">
        <f t="shared" si="234"/>
        <v/>
      </c>
      <c r="IW43" s="1814" t="str">
        <f t="shared" si="235"/>
        <v/>
      </c>
      <c r="IX43" s="1814" t="str">
        <f t="shared" si="236"/>
        <v/>
      </c>
      <c r="IY43" s="1814" t="str">
        <f t="shared" si="237"/>
        <v/>
      </c>
      <c r="IZ43" s="1814" t="str">
        <f t="shared" si="238"/>
        <v/>
      </c>
      <c r="JA43" s="1814" t="str">
        <f t="shared" si="239"/>
        <v/>
      </c>
      <c r="JB43" s="1814" t="str">
        <f t="shared" si="240"/>
        <v/>
      </c>
      <c r="JC43" s="1814" t="str">
        <f t="shared" si="241"/>
        <v/>
      </c>
      <c r="JD43" s="1814" t="str">
        <f t="shared" si="242"/>
        <v/>
      </c>
      <c r="JE43" s="1814" t="str">
        <f t="shared" si="243"/>
        <v/>
      </c>
      <c r="JF43" s="1814" t="str">
        <f t="shared" si="244"/>
        <v/>
      </c>
      <c r="JG43" s="1814" t="str">
        <f t="shared" si="245"/>
        <v/>
      </c>
      <c r="JH43" s="1814" t="str">
        <f t="shared" si="246"/>
        <v/>
      </c>
      <c r="JI43" s="1814" t="str">
        <f t="shared" si="247"/>
        <v/>
      </c>
      <c r="JJ43" s="1814" t="str">
        <f t="shared" si="248"/>
        <v/>
      </c>
      <c r="JK43" s="1814" t="str">
        <f t="shared" si="249"/>
        <v/>
      </c>
      <c r="JL43" s="1814" t="str">
        <f t="shared" si="250"/>
        <v/>
      </c>
      <c r="JM43" s="1814" t="str">
        <f t="shared" si="251"/>
        <v/>
      </c>
      <c r="JN43" s="1814" t="str">
        <f t="shared" si="252"/>
        <v/>
      </c>
      <c r="JO43" s="1814" t="str">
        <f t="shared" si="253"/>
        <v/>
      </c>
      <c r="JP43" s="1814" t="str">
        <f t="shared" si="254"/>
        <v/>
      </c>
      <c r="JQ43" s="1814" t="str">
        <f t="shared" si="255"/>
        <v/>
      </c>
      <c r="JR43" s="1814" t="str">
        <f t="shared" si="256"/>
        <v/>
      </c>
      <c r="JS43" s="1814" t="str">
        <f t="shared" si="257"/>
        <v/>
      </c>
      <c r="JT43" s="1814" t="str">
        <f t="shared" si="258"/>
        <v/>
      </c>
      <c r="JU43" s="1814" t="str">
        <f t="shared" si="259"/>
        <v/>
      </c>
      <c r="JV43" s="1814" t="str">
        <f t="shared" si="260"/>
        <v/>
      </c>
      <c r="JW43" s="1814" t="str">
        <f t="shared" si="261"/>
        <v/>
      </c>
      <c r="JX43" s="1814" t="str">
        <f t="shared" si="262"/>
        <v/>
      </c>
      <c r="JY43" s="1814" t="str">
        <f t="shared" si="263"/>
        <v/>
      </c>
      <c r="JZ43" s="1814" t="str">
        <f t="shared" si="264"/>
        <v/>
      </c>
      <c r="KA43" s="1814" t="str">
        <f t="shared" si="265"/>
        <v/>
      </c>
      <c r="KB43" s="1814" t="str">
        <f t="shared" si="266"/>
        <v/>
      </c>
      <c r="KC43" s="1814" t="str">
        <f t="shared" si="267"/>
        <v/>
      </c>
      <c r="KD43" s="1814" t="str">
        <f t="shared" si="268"/>
        <v/>
      </c>
      <c r="KE43" s="1814" t="str">
        <f t="shared" si="269"/>
        <v/>
      </c>
      <c r="KF43" s="1814" t="str">
        <f t="shared" si="270"/>
        <v/>
      </c>
      <c r="KG43" s="1814" t="str">
        <f t="shared" si="271"/>
        <v/>
      </c>
      <c r="KH43" s="1814" t="str">
        <f t="shared" si="272"/>
        <v/>
      </c>
      <c r="KI43" s="1814" t="str">
        <f t="shared" si="273"/>
        <v/>
      </c>
      <c r="KJ43" s="1814" t="str">
        <f t="shared" si="274"/>
        <v/>
      </c>
      <c r="KK43" s="1814" t="str">
        <f t="shared" si="275"/>
        <v/>
      </c>
      <c r="KL43" s="1814" t="str">
        <f t="shared" si="276"/>
        <v/>
      </c>
      <c r="KM43" s="1814" t="str">
        <f t="shared" si="277"/>
        <v/>
      </c>
      <c r="KN43" s="1814" t="str">
        <f t="shared" si="278"/>
        <v/>
      </c>
      <c r="KO43" s="1814" t="str">
        <f t="shared" si="279"/>
        <v/>
      </c>
      <c r="KP43" s="1814" t="str">
        <f t="shared" si="280"/>
        <v/>
      </c>
      <c r="KQ43" s="1814" t="str">
        <f t="shared" si="281"/>
        <v/>
      </c>
      <c r="KR43" s="1814" t="str">
        <f t="shared" si="282"/>
        <v/>
      </c>
      <c r="KS43" s="1814" t="str">
        <f t="shared" si="283"/>
        <v/>
      </c>
      <c r="KT43" s="1814" t="str">
        <f t="shared" si="284"/>
        <v/>
      </c>
      <c r="KU43" s="1814" t="str">
        <f t="shared" si="285"/>
        <v/>
      </c>
      <c r="KV43" s="1814" t="str">
        <f t="shared" si="286"/>
        <v/>
      </c>
      <c r="KW43" s="1814" t="str">
        <f t="shared" si="287"/>
        <v/>
      </c>
      <c r="KX43" s="1814" t="str">
        <f t="shared" si="288"/>
        <v/>
      </c>
      <c r="KY43" s="1814" t="str">
        <f t="shared" si="289"/>
        <v/>
      </c>
      <c r="KZ43" s="1814" t="str">
        <f t="shared" si="290"/>
        <v/>
      </c>
      <c r="LA43" s="1814" t="str">
        <f t="shared" si="291"/>
        <v/>
      </c>
      <c r="LB43" s="1814" t="str">
        <f t="shared" si="292"/>
        <v/>
      </c>
      <c r="LC43" s="1814" t="str">
        <f t="shared" si="293"/>
        <v/>
      </c>
      <c r="LD43" s="1814" t="str">
        <f t="shared" si="294"/>
        <v/>
      </c>
      <c r="LE43" s="1814" t="str">
        <f t="shared" si="295"/>
        <v/>
      </c>
      <c r="LF43" s="1814" t="str">
        <f t="shared" si="296"/>
        <v/>
      </c>
      <c r="LG43" s="1786" t="str">
        <f t="shared" si="297"/>
        <v/>
      </c>
      <c r="LH43" s="1786" t="str">
        <f t="shared" si="298"/>
        <v/>
      </c>
      <c r="LI43" s="1786" t="str">
        <f t="shared" si="299"/>
        <v/>
      </c>
      <c r="LJ43" s="1786" t="str">
        <f t="shared" si="300"/>
        <v/>
      </c>
      <c r="LK43" s="1786" t="str">
        <f t="shared" si="301"/>
        <v/>
      </c>
      <c r="LL43" s="430" t="str">
        <f t="shared" si="302"/>
        <v/>
      </c>
      <c r="LM43" s="430" t="str">
        <f t="shared" si="303"/>
        <v/>
      </c>
      <c r="LN43" s="430" t="str">
        <f t="shared" si="304"/>
        <v/>
      </c>
      <c r="LO43" s="430" t="str">
        <f t="shared" si="305"/>
        <v/>
      </c>
      <c r="LP43" s="430" t="str">
        <f t="shared" si="306"/>
        <v/>
      </c>
      <c r="LQ43" s="430" t="str">
        <f t="shared" si="307"/>
        <v/>
      </c>
      <c r="LR43" s="430" t="str">
        <f t="shared" si="308"/>
        <v/>
      </c>
      <c r="LS43" s="430" t="str">
        <f t="shared" si="309"/>
        <v/>
      </c>
      <c r="LT43" s="430" t="str">
        <f t="shared" si="310"/>
        <v/>
      </c>
      <c r="LU43" s="430" t="str">
        <f t="shared" si="311"/>
        <v/>
      </c>
      <c r="LV43" s="430" t="str">
        <f t="shared" si="312"/>
        <v/>
      </c>
      <c r="LW43" s="430" t="str">
        <f t="shared" si="313"/>
        <v/>
      </c>
      <c r="LX43" s="430" t="str">
        <f t="shared" si="314"/>
        <v/>
      </c>
      <c r="LY43" s="430" t="str">
        <f t="shared" si="315"/>
        <v/>
      </c>
      <c r="LZ43" s="430" t="str">
        <f t="shared" si="316"/>
        <v/>
      </c>
      <c r="MA43" s="430" t="str">
        <f t="shared" si="317"/>
        <v/>
      </c>
      <c r="MB43" s="430" t="str">
        <f t="shared" si="318"/>
        <v/>
      </c>
      <c r="MC43" s="430" t="str">
        <f t="shared" si="319"/>
        <v/>
      </c>
      <c r="MD43" s="430" t="str">
        <f t="shared" si="320"/>
        <v/>
      </c>
      <c r="ME43" s="430" t="str">
        <f t="shared" si="321"/>
        <v/>
      </c>
      <c r="MF43" s="1815">
        <f t="shared" si="328"/>
        <v>0</v>
      </c>
      <c r="MG43" s="1815">
        <f t="shared" si="329"/>
        <v>0</v>
      </c>
      <c r="MH43" s="1815">
        <f t="shared" si="330"/>
        <v>0</v>
      </c>
      <c r="MI43" s="1815">
        <f t="shared" si="331"/>
        <v>0</v>
      </c>
      <c r="MJ43" s="1815">
        <f t="shared" si="332"/>
        <v>0</v>
      </c>
      <c r="MK43" s="1815">
        <f t="shared" si="333"/>
        <v>0</v>
      </c>
      <c r="ML43" s="1815">
        <f t="shared" si="334"/>
        <v>0</v>
      </c>
      <c r="MM43" s="1815">
        <f t="shared" si="335"/>
        <v>0</v>
      </c>
      <c r="MN43" s="1815">
        <f t="shared" si="336"/>
        <v>0</v>
      </c>
      <c r="MO43" s="1815">
        <f t="shared" si="337"/>
        <v>0</v>
      </c>
      <c r="MP43" s="1815">
        <f t="shared" si="322"/>
        <v>0</v>
      </c>
      <c r="MQ43" s="1815">
        <f t="shared" si="323"/>
        <v>0</v>
      </c>
      <c r="MR43" s="1815">
        <f t="shared" si="324"/>
        <v>0</v>
      </c>
      <c r="MS43" s="1815">
        <f t="shared" si="325"/>
        <v>0</v>
      </c>
      <c r="MT43" s="1815">
        <f t="shared" si="326"/>
        <v>0</v>
      </c>
      <c r="NP43" s="2807" t="s">
        <v>6749</v>
      </c>
    </row>
    <row r="44" spans="1:380" ht="13.9" customHeight="1">
      <c r="A44" s="108" t="str">
        <f t="shared" si="327"/>
        <v/>
      </c>
      <c r="B44" s="2896"/>
      <c r="C44" s="2869"/>
      <c r="D44" s="2870"/>
      <c r="E44" s="2871"/>
      <c r="F44" s="2871"/>
      <c r="G44" s="2871"/>
      <c r="H44" s="2871"/>
      <c r="I44" s="2871"/>
      <c r="J44" s="2897">
        <f>IF(C44="",0,HLOOKUP(C44,'Part V-Utility Allowances'!$I$11:$M$22,12))</f>
        <v>0</v>
      </c>
      <c r="K44" s="2873"/>
      <c r="L44" s="537">
        <f t="shared" si="0"/>
        <v>0</v>
      </c>
      <c r="M44" s="537">
        <f t="shared" si="1"/>
        <v>0</v>
      </c>
      <c r="N44" s="2712"/>
      <c r="O44" s="2874"/>
      <c r="P44" s="2712"/>
      <c r="Q44" s="2875"/>
      <c r="R44" s="2876"/>
      <c r="S44" s="2877"/>
      <c r="T44" s="3833"/>
      <c r="U44" s="3834"/>
      <c r="V44" s="3834"/>
      <c r="W44" s="3835"/>
      <c r="X44" s="430" t="str">
        <f t="shared" si="2"/>
        <v/>
      </c>
      <c r="Y44" s="430" t="str">
        <f t="shared" si="3"/>
        <v/>
      </c>
      <c r="Z44" s="430" t="str">
        <f t="shared" si="4"/>
        <v/>
      </c>
      <c r="AA44" s="430" t="str">
        <f t="shared" si="5"/>
        <v/>
      </c>
      <c r="AB44" s="430" t="str">
        <f t="shared" si="6"/>
        <v/>
      </c>
      <c r="AC44" s="430" t="str">
        <f t="shared" si="7"/>
        <v/>
      </c>
      <c r="AD44" s="430" t="str">
        <f t="shared" si="8"/>
        <v/>
      </c>
      <c r="AE44" s="430" t="str">
        <f t="shared" si="9"/>
        <v/>
      </c>
      <c r="AF44" s="430" t="str">
        <f t="shared" si="10"/>
        <v/>
      </c>
      <c r="AG44" s="430" t="str">
        <f t="shared" si="11"/>
        <v/>
      </c>
      <c r="AH44" s="430" t="str">
        <f t="shared" si="12"/>
        <v/>
      </c>
      <c r="AI44" s="430" t="str">
        <f t="shared" si="13"/>
        <v/>
      </c>
      <c r="AJ44" s="430" t="str">
        <f t="shared" si="14"/>
        <v/>
      </c>
      <c r="AK44" s="430" t="str">
        <f t="shared" si="15"/>
        <v/>
      </c>
      <c r="AL44" s="430" t="str">
        <f t="shared" si="16"/>
        <v/>
      </c>
      <c r="AM44" s="430" t="str">
        <f t="shared" si="17"/>
        <v/>
      </c>
      <c r="AN44" s="430" t="str">
        <f t="shared" si="18"/>
        <v/>
      </c>
      <c r="AO44" s="430" t="str">
        <f t="shared" si="19"/>
        <v/>
      </c>
      <c r="AP44" s="430" t="str">
        <f t="shared" si="20"/>
        <v/>
      </c>
      <c r="AQ44" s="430" t="str">
        <f t="shared" si="21"/>
        <v/>
      </c>
      <c r="AR44" s="430" t="str">
        <f t="shared" si="22"/>
        <v/>
      </c>
      <c r="AS44" s="430" t="str">
        <f t="shared" si="23"/>
        <v/>
      </c>
      <c r="AT44" s="430" t="str">
        <f t="shared" si="24"/>
        <v/>
      </c>
      <c r="AU44" s="430" t="str">
        <f t="shared" si="25"/>
        <v/>
      </c>
      <c r="AV44" s="430" t="str">
        <f t="shared" si="26"/>
        <v/>
      </c>
      <c r="AW44" s="430" t="str">
        <f t="shared" si="27"/>
        <v/>
      </c>
      <c r="AX44" s="430" t="str">
        <f t="shared" si="28"/>
        <v/>
      </c>
      <c r="AY44" s="430" t="str">
        <f t="shared" si="29"/>
        <v/>
      </c>
      <c r="AZ44" s="430" t="str">
        <f t="shared" si="30"/>
        <v/>
      </c>
      <c r="BA44" s="430" t="str">
        <f t="shared" si="31"/>
        <v/>
      </c>
      <c r="BB44" s="430" t="str">
        <f t="shared" si="32"/>
        <v/>
      </c>
      <c r="BC44" s="430" t="str">
        <f t="shared" si="33"/>
        <v/>
      </c>
      <c r="BD44" s="430" t="str">
        <f t="shared" si="34"/>
        <v/>
      </c>
      <c r="BE44" s="430" t="str">
        <f t="shared" si="35"/>
        <v/>
      </c>
      <c r="BF44" s="430" t="str">
        <f t="shared" si="36"/>
        <v/>
      </c>
      <c r="BG44" s="430" t="str">
        <f t="shared" si="37"/>
        <v/>
      </c>
      <c r="BH44" s="430" t="str">
        <f t="shared" si="38"/>
        <v/>
      </c>
      <c r="BI44" s="430" t="str">
        <f t="shared" si="39"/>
        <v/>
      </c>
      <c r="BJ44" s="430" t="str">
        <f t="shared" si="40"/>
        <v/>
      </c>
      <c r="BK44" s="430" t="str">
        <f t="shared" si="41"/>
        <v/>
      </c>
      <c r="BL44" s="430" t="str">
        <f t="shared" si="42"/>
        <v/>
      </c>
      <c r="BM44" s="430" t="str">
        <f t="shared" si="43"/>
        <v/>
      </c>
      <c r="BN44" s="430" t="str">
        <f t="shared" si="44"/>
        <v/>
      </c>
      <c r="BO44" s="430" t="str">
        <f t="shared" si="45"/>
        <v/>
      </c>
      <c r="BP44" s="430" t="str">
        <f t="shared" si="46"/>
        <v/>
      </c>
      <c r="BQ44" s="430" t="str">
        <f t="shared" si="47"/>
        <v/>
      </c>
      <c r="BR44" s="430" t="str">
        <f t="shared" si="48"/>
        <v/>
      </c>
      <c r="BS44" s="430" t="str">
        <f t="shared" si="49"/>
        <v/>
      </c>
      <c r="BT44" s="430" t="str">
        <f t="shared" si="50"/>
        <v/>
      </c>
      <c r="BU44" s="430" t="str">
        <f t="shared" si="51"/>
        <v/>
      </c>
      <c r="BV44" s="430" t="str">
        <f t="shared" si="52"/>
        <v/>
      </c>
      <c r="BW44" s="430" t="str">
        <f t="shared" si="53"/>
        <v/>
      </c>
      <c r="BX44" s="430" t="str">
        <f t="shared" si="54"/>
        <v/>
      </c>
      <c r="BY44" s="430" t="str">
        <f t="shared" si="55"/>
        <v/>
      </c>
      <c r="BZ44" s="430" t="str">
        <f t="shared" si="56"/>
        <v/>
      </c>
      <c r="CA44" s="430" t="str">
        <f t="shared" si="57"/>
        <v/>
      </c>
      <c r="CB44" s="430" t="str">
        <f t="shared" si="58"/>
        <v/>
      </c>
      <c r="CC44" s="430" t="str">
        <f t="shared" si="59"/>
        <v/>
      </c>
      <c r="CD44" s="430" t="str">
        <f t="shared" si="60"/>
        <v/>
      </c>
      <c r="CE44" s="430" t="str">
        <f t="shared" si="61"/>
        <v/>
      </c>
      <c r="CF44" s="430" t="str">
        <f t="shared" si="62"/>
        <v/>
      </c>
      <c r="CG44" s="430" t="str">
        <f t="shared" si="63"/>
        <v/>
      </c>
      <c r="CH44" s="430" t="str">
        <f t="shared" si="64"/>
        <v/>
      </c>
      <c r="CI44" s="430" t="str">
        <f t="shared" si="65"/>
        <v/>
      </c>
      <c r="CJ44" s="430" t="str">
        <f t="shared" si="66"/>
        <v/>
      </c>
      <c r="CK44" s="430" t="str">
        <f t="shared" si="67"/>
        <v/>
      </c>
      <c r="CL44" s="430" t="str">
        <f t="shared" si="68"/>
        <v/>
      </c>
      <c r="CM44" s="430" t="str">
        <f t="shared" si="69"/>
        <v/>
      </c>
      <c r="CN44" s="430" t="str">
        <f t="shared" si="70"/>
        <v/>
      </c>
      <c r="CO44" s="430" t="str">
        <f t="shared" si="71"/>
        <v/>
      </c>
      <c r="CP44" s="430" t="str">
        <f t="shared" si="72"/>
        <v/>
      </c>
      <c r="CQ44" s="430" t="str">
        <f t="shared" si="73"/>
        <v/>
      </c>
      <c r="CR44" s="430" t="str">
        <f t="shared" si="74"/>
        <v/>
      </c>
      <c r="CS44" s="430" t="str">
        <f t="shared" si="75"/>
        <v/>
      </c>
      <c r="CT44" s="430" t="str">
        <f t="shared" si="76"/>
        <v/>
      </c>
      <c r="CU44" s="430" t="str">
        <f t="shared" si="77"/>
        <v/>
      </c>
      <c r="CV44" s="430" t="str">
        <f t="shared" si="78"/>
        <v/>
      </c>
      <c r="CW44" s="430" t="str">
        <f t="shared" si="79"/>
        <v/>
      </c>
      <c r="CX44" s="430" t="str">
        <f t="shared" si="80"/>
        <v/>
      </c>
      <c r="CY44" s="430" t="str">
        <f t="shared" si="81"/>
        <v/>
      </c>
      <c r="CZ44" s="430" t="str">
        <f t="shared" si="82"/>
        <v/>
      </c>
      <c r="DA44" s="430" t="str">
        <f t="shared" si="83"/>
        <v/>
      </c>
      <c r="DB44" s="430" t="str">
        <f t="shared" si="84"/>
        <v/>
      </c>
      <c r="DC44" s="430" t="str">
        <f t="shared" si="85"/>
        <v/>
      </c>
      <c r="DD44" s="430" t="str">
        <f t="shared" si="86"/>
        <v/>
      </c>
      <c r="DE44" s="430" t="str">
        <f t="shared" si="87"/>
        <v/>
      </c>
      <c r="DF44" s="430" t="str">
        <f t="shared" si="88"/>
        <v/>
      </c>
      <c r="DG44" s="430" t="str">
        <f t="shared" si="89"/>
        <v/>
      </c>
      <c r="DH44" s="430" t="str">
        <f t="shared" si="90"/>
        <v/>
      </c>
      <c r="DI44" s="430" t="str">
        <f t="shared" si="91"/>
        <v/>
      </c>
      <c r="DJ44" s="430" t="str">
        <f t="shared" si="92"/>
        <v/>
      </c>
      <c r="DK44" s="430" t="str">
        <f t="shared" si="93"/>
        <v/>
      </c>
      <c r="DL44" s="430" t="str">
        <f t="shared" si="94"/>
        <v/>
      </c>
      <c r="DM44" s="430" t="str">
        <f t="shared" si="95"/>
        <v/>
      </c>
      <c r="DN44" s="430" t="str">
        <f t="shared" si="96"/>
        <v/>
      </c>
      <c r="DO44" s="430" t="str">
        <f t="shared" si="97"/>
        <v/>
      </c>
      <c r="DP44" s="430" t="str">
        <f t="shared" si="98"/>
        <v/>
      </c>
      <c r="DQ44" s="430" t="str">
        <f t="shared" si="99"/>
        <v/>
      </c>
      <c r="DR44" s="430" t="str">
        <f t="shared" si="100"/>
        <v/>
      </c>
      <c r="DS44" s="430" t="str">
        <f t="shared" si="101"/>
        <v/>
      </c>
      <c r="DT44" s="430" t="str">
        <f t="shared" si="102"/>
        <v/>
      </c>
      <c r="DU44" s="430" t="str">
        <f t="shared" si="103"/>
        <v/>
      </c>
      <c r="DV44" s="430" t="str">
        <f t="shared" si="104"/>
        <v/>
      </c>
      <c r="DW44" s="430" t="str">
        <f t="shared" si="105"/>
        <v/>
      </c>
      <c r="DX44" s="430" t="str">
        <f t="shared" si="106"/>
        <v/>
      </c>
      <c r="DY44" s="430" t="str">
        <f t="shared" si="107"/>
        <v/>
      </c>
      <c r="DZ44" s="430" t="str">
        <f t="shared" si="108"/>
        <v/>
      </c>
      <c r="EA44" s="430" t="str">
        <f t="shared" si="109"/>
        <v/>
      </c>
      <c r="EB44" s="430" t="str">
        <f t="shared" si="110"/>
        <v/>
      </c>
      <c r="EC44" s="430" t="str">
        <f t="shared" si="111"/>
        <v/>
      </c>
      <c r="ED44" s="430" t="str">
        <f t="shared" si="112"/>
        <v/>
      </c>
      <c r="EE44" s="430" t="str">
        <f t="shared" si="113"/>
        <v/>
      </c>
      <c r="EF44" s="430" t="str">
        <f t="shared" si="114"/>
        <v/>
      </c>
      <c r="EG44" s="430" t="str">
        <f t="shared" si="115"/>
        <v/>
      </c>
      <c r="EH44" s="430" t="str">
        <f t="shared" si="116"/>
        <v/>
      </c>
      <c r="EI44" s="430" t="str">
        <f t="shared" si="117"/>
        <v/>
      </c>
      <c r="EJ44" s="430" t="str">
        <f t="shared" si="118"/>
        <v/>
      </c>
      <c r="EK44" s="430" t="str">
        <f t="shared" si="119"/>
        <v/>
      </c>
      <c r="EL44" s="430" t="str">
        <f t="shared" si="120"/>
        <v/>
      </c>
      <c r="EM44" s="430" t="str">
        <f t="shared" si="121"/>
        <v/>
      </c>
      <c r="EN44" s="430" t="str">
        <f t="shared" si="122"/>
        <v/>
      </c>
      <c r="EO44" s="430" t="str">
        <f t="shared" si="123"/>
        <v/>
      </c>
      <c r="EP44" s="430" t="str">
        <f t="shared" si="124"/>
        <v/>
      </c>
      <c r="EQ44" s="430" t="str">
        <f t="shared" si="125"/>
        <v/>
      </c>
      <c r="ER44" s="430" t="str">
        <f t="shared" si="126"/>
        <v/>
      </c>
      <c r="ES44" s="430" t="str">
        <f t="shared" si="127"/>
        <v/>
      </c>
      <c r="ET44" s="430" t="str">
        <f t="shared" si="128"/>
        <v/>
      </c>
      <c r="EU44" s="430" t="str">
        <f t="shared" si="129"/>
        <v/>
      </c>
      <c r="EV44" s="430" t="str">
        <f t="shared" si="130"/>
        <v/>
      </c>
      <c r="EW44" s="430" t="str">
        <f t="shared" si="131"/>
        <v/>
      </c>
      <c r="EX44" s="430" t="str">
        <f t="shared" si="132"/>
        <v/>
      </c>
      <c r="EY44" s="430" t="str">
        <f t="shared" si="133"/>
        <v/>
      </c>
      <c r="EZ44" s="430" t="str">
        <f t="shared" si="134"/>
        <v/>
      </c>
      <c r="FA44" s="430" t="str">
        <f t="shared" si="135"/>
        <v/>
      </c>
      <c r="FB44" s="430" t="str">
        <f t="shared" si="136"/>
        <v/>
      </c>
      <c r="FC44" s="430" t="str">
        <f t="shared" si="137"/>
        <v/>
      </c>
      <c r="FD44" s="430" t="str">
        <f t="shared" si="138"/>
        <v/>
      </c>
      <c r="FE44" s="430" t="str">
        <f t="shared" si="139"/>
        <v/>
      </c>
      <c r="FF44" s="430" t="str">
        <f t="shared" si="140"/>
        <v/>
      </c>
      <c r="FG44" s="430" t="str">
        <f t="shared" si="141"/>
        <v/>
      </c>
      <c r="FH44" s="430" t="str">
        <f t="shared" si="142"/>
        <v/>
      </c>
      <c r="FI44" s="430" t="str">
        <f t="shared" si="143"/>
        <v/>
      </c>
      <c r="FJ44" s="430" t="str">
        <f t="shared" si="144"/>
        <v/>
      </c>
      <c r="FK44" s="430" t="str">
        <f t="shared" si="145"/>
        <v/>
      </c>
      <c r="FL44" s="430" t="str">
        <f t="shared" si="146"/>
        <v/>
      </c>
      <c r="FM44" s="430" t="str">
        <f t="shared" si="147"/>
        <v/>
      </c>
      <c r="FN44" s="430" t="str">
        <f t="shared" si="148"/>
        <v/>
      </c>
      <c r="FO44" s="430" t="str">
        <f t="shared" si="149"/>
        <v/>
      </c>
      <c r="FP44" s="430" t="str">
        <f t="shared" si="150"/>
        <v/>
      </c>
      <c r="FQ44" s="430" t="str">
        <f t="shared" si="151"/>
        <v/>
      </c>
      <c r="FR44" s="430" t="str">
        <f t="shared" si="152"/>
        <v/>
      </c>
      <c r="FS44" s="430" t="str">
        <f t="shared" si="153"/>
        <v/>
      </c>
      <c r="FT44" s="430" t="str">
        <f t="shared" si="154"/>
        <v/>
      </c>
      <c r="FU44" s="430" t="str">
        <f t="shared" si="155"/>
        <v/>
      </c>
      <c r="FV44" s="430" t="str">
        <f t="shared" si="156"/>
        <v/>
      </c>
      <c r="FW44" s="430" t="str">
        <f t="shared" si="157"/>
        <v/>
      </c>
      <c r="FX44" s="430" t="str">
        <f t="shared" si="158"/>
        <v/>
      </c>
      <c r="FY44" s="430" t="str">
        <f t="shared" si="159"/>
        <v/>
      </c>
      <c r="FZ44" s="430" t="str">
        <f t="shared" si="160"/>
        <v/>
      </c>
      <c r="GA44" s="430" t="str">
        <f t="shared" si="161"/>
        <v/>
      </c>
      <c r="GB44" s="430" t="str">
        <f t="shared" si="162"/>
        <v/>
      </c>
      <c r="GC44" s="430" t="str">
        <f t="shared" si="163"/>
        <v/>
      </c>
      <c r="GD44" s="430" t="str">
        <f t="shared" si="164"/>
        <v/>
      </c>
      <c r="GE44" s="430" t="str">
        <f t="shared" si="165"/>
        <v/>
      </c>
      <c r="GF44" s="430" t="str">
        <f t="shared" si="166"/>
        <v/>
      </c>
      <c r="GG44" s="430" t="str">
        <f t="shared" si="167"/>
        <v/>
      </c>
      <c r="GH44" s="430" t="str">
        <f t="shared" si="168"/>
        <v/>
      </c>
      <c r="GI44" s="430" t="str">
        <f t="shared" si="169"/>
        <v/>
      </c>
      <c r="GJ44" s="430" t="str">
        <f t="shared" si="170"/>
        <v/>
      </c>
      <c r="GK44" s="430" t="str">
        <f t="shared" si="171"/>
        <v/>
      </c>
      <c r="GL44" s="430" t="str">
        <f t="shared" si="172"/>
        <v/>
      </c>
      <c r="GM44" s="430" t="str">
        <f t="shared" si="173"/>
        <v/>
      </c>
      <c r="GN44" s="430" t="str">
        <f t="shared" si="174"/>
        <v/>
      </c>
      <c r="GO44" s="430" t="str">
        <f t="shared" si="175"/>
        <v/>
      </c>
      <c r="GP44" s="430" t="str">
        <f t="shared" si="176"/>
        <v/>
      </c>
      <c r="GQ44" s="430" t="str">
        <f t="shared" si="177"/>
        <v/>
      </c>
      <c r="GR44" s="430" t="str">
        <f t="shared" si="178"/>
        <v/>
      </c>
      <c r="GS44" s="430" t="str">
        <f t="shared" si="179"/>
        <v/>
      </c>
      <c r="GT44" s="430" t="str">
        <f t="shared" si="180"/>
        <v/>
      </c>
      <c r="GU44" s="430" t="str">
        <f t="shared" si="181"/>
        <v/>
      </c>
      <c r="GV44" s="430" t="str">
        <f t="shared" si="182"/>
        <v/>
      </c>
      <c r="GW44" s="430" t="str">
        <f t="shared" si="183"/>
        <v/>
      </c>
      <c r="GX44" s="430" t="str">
        <f t="shared" si="184"/>
        <v/>
      </c>
      <c r="GY44" s="430" t="str">
        <f t="shared" si="185"/>
        <v/>
      </c>
      <c r="GZ44" s="430" t="str">
        <f t="shared" si="186"/>
        <v/>
      </c>
      <c r="HA44" s="430" t="str">
        <f t="shared" si="187"/>
        <v/>
      </c>
      <c r="HB44" s="430" t="str">
        <f t="shared" si="188"/>
        <v/>
      </c>
      <c r="HC44" s="430" t="str">
        <f t="shared" si="189"/>
        <v/>
      </c>
      <c r="HD44" s="430" t="str">
        <f t="shared" si="190"/>
        <v/>
      </c>
      <c r="HE44" s="430" t="str">
        <f t="shared" si="191"/>
        <v/>
      </c>
      <c r="HF44" s="430" t="str">
        <f t="shared" si="192"/>
        <v/>
      </c>
      <c r="HG44" s="430" t="str">
        <f t="shared" si="193"/>
        <v/>
      </c>
      <c r="HH44" s="430" t="str">
        <f t="shared" si="194"/>
        <v/>
      </c>
      <c r="HI44" s="430" t="str">
        <f t="shared" si="195"/>
        <v/>
      </c>
      <c r="HJ44" s="430" t="str">
        <f t="shared" si="196"/>
        <v/>
      </c>
      <c r="HK44" s="430" t="str">
        <f t="shared" si="197"/>
        <v/>
      </c>
      <c r="HL44" s="430" t="str">
        <f t="shared" si="198"/>
        <v/>
      </c>
      <c r="HM44" s="430" t="str">
        <f t="shared" si="199"/>
        <v/>
      </c>
      <c r="HN44" s="430" t="str">
        <f t="shared" si="200"/>
        <v/>
      </c>
      <c r="HO44" s="430" t="str">
        <f t="shared" si="201"/>
        <v/>
      </c>
      <c r="HP44" s="430" t="str">
        <f t="shared" si="202"/>
        <v/>
      </c>
      <c r="HQ44" s="430" t="str">
        <f t="shared" si="203"/>
        <v/>
      </c>
      <c r="HR44" s="430" t="str">
        <f t="shared" si="204"/>
        <v/>
      </c>
      <c r="HS44" s="430" t="str">
        <f t="shared" si="205"/>
        <v/>
      </c>
      <c r="HT44" s="430" t="str">
        <f t="shared" si="206"/>
        <v/>
      </c>
      <c r="HU44" s="430" t="str">
        <f t="shared" si="207"/>
        <v/>
      </c>
      <c r="HV44" s="430" t="str">
        <f t="shared" si="208"/>
        <v/>
      </c>
      <c r="HW44" s="430" t="str">
        <f t="shared" si="209"/>
        <v/>
      </c>
      <c r="HX44" s="430" t="str">
        <f t="shared" si="210"/>
        <v/>
      </c>
      <c r="HY44" s="430" t="str">
        <f t="shared" si="211"/>
        <v/>
      </c>
      <c r="HZ44" s="1814" t="str">
        <f t="shared" si="212"/>
        <v/>
      </c>
      <c r="IA44" s="1814" t="str">
        <f t="shared" si="213"/>
        <v/>
      </c>
      <c r="IB44" s="1814" t="str">
        <f t="shared" si="214"/>
        <v/>
      </c>
      <c r="IC44" s="1814" t="str">
        <f t="shared" si="215"/>
        <v/>
      </c>
      <c r="ID44" s="1814" t="str">
        <f t="shared" si="216"/>
        <v/>
      </c>
      <c r="IE44" s="1814" t="str">
        <f t="shared" si="217"/>
        <v/>
      </c>
      <c r="IF44" s="1814" t="str">
        <f t="shared" si="218"/>
        <v/>
      </c>
      <c r="IG44" s="1814" t="str">
        <f t="shared" si="219"/>
        <v/>
      </c>
      <c r="IH44" s="1814" t="str">
        <f t="shared" si="220"/>
        <v/>
      </c>
      <c r="II44" s="1814" t="str">
        <f t="shared" si="221"/>
        <v/>
      </c>
      <c r="IJ44" s="1814" t="str">
        <f t="shared" si="222"/>
        <v/>
      </c>
      <c r="IK44" s="1814" t="str">
        <f t="shared" si="223"/>
        <v/>
      </c>
      <c r="IL44" s="1814" t="str">
        <f t="shared" si="224"/>
        <v/>
      </c>
      <c r="IM44" s="1814" t="str">
        <f t="shared" si="225"/>
        <v/>
      </c>
      <c r="IN44" s="1814" t="str">
        <f t="shared" si="226"/>
        <v/>
      </c>
      <c r="IO44" s="1814" t="str">
        <f t="shared" si="227"/>
        <v/>
      </c>
      <c r="IP44" s="1814" t="str">
        <f t="shared" si="228"/>
        <v/>
      </c>
      <c r="IQ44" s="1814" t="str">
        <f t="shared" si="229"/>
        <v/>
      </c>
      <c r="IR44" s="1814" t="str">
        <f t="shared" si="230"/>
        <v/>
      </c>
      <c r="IS44" s="1814" t="str">
        <f t="shared" si="231"/>
        <v/>
      </c>
      <c r="IT44" s="1814" t="str">
        <f t="shared" si="232"/>
        <v/>
      </c>
      <c r="IU44" s="1814" t="str">
        <f t="shared" si="233"/>
        <v/>
      </c>
      <c r="IV44" s="1814" t="str">
        <f t="shared" si="234"/>
        <v/>
      </c>
      <c r="IW44" s="1814" t="str">
        <f t="shared" si="235"/>
        <v/>
      </c>
      <c r="IX44" s="1814" t="str">
        <f t="shared" si="236"/>
        <v/>
      </c>
      <c r="IY44" s="1814" t="str">
        <f t="shared" si="237"/>
        <v/>
      </c>
      <c r="IZ44" s="1814" t="str">
        <f t="shared" si="238"/>
        <v/>
      </c>
      <c r="JA44" s="1814" t="str">
        <f t="shared" si="239"/>
        <v/>
      </c>
      <c r="JB44" s="1814" t="str">
        <f t="shared" si="240"/>
        <v/>
      </c>
      <c r="JC44" s="1814" t="str">
        <f t="shared" si="241"/>
        <v/>
      </c>
      <c r="JD44" s="1814" t="str">
        <f t="shared" si="242"/>
        <v/>
      </c>
      <c r="JE44" s="1814" t="str">
        <f t="shared" si="243"/>
        <v/>
      </c>
      <c r="JF44" s="1814" t="str">
        <f t="shared" si="244"/>
        <v/>
      </c>
      <c r="JG44" s="1814" t="str">
        <f t="shared" si="245"/>
        <v/>
      </c>
      <c r="JH44" s="1814" t="str">
        <f t="shared" si="246"/>
        <v/>
      </c>
      <c r="JI44" s="1814" t="str">
        <f t="shared" si="247"/>
        <v/>
      </c>
      <c r="JJ44" s="1814" t="str">
        <f t="shared" si="248"/>
        <v/>
      </c>
      <c r="JK44" s="1814" t="str">
        <f t="shared" si="249"/>
        <v/>
      </c>
      <c r="JL44" s="1814" t="str">
        <f t="shared" si="250"/>
        <v/>
      </c>
      <c r="JM44" s="1814" t="str">
        <f t="shared" si="251"/>
        <v/>
      </c>
      <c r="JN44" s="1814" t="str">
        <f t="shared" si="252"/>
        <v/>
      </c>
      <c r="JO44" s="1814" t="str">
        <f t="shared" si="253"/>
        <v/>
      </c>
      <c r="JP44" s="1814" t="str">
        <f t="shared" si="254"/>
        <v/>
      </c>
      <c r="JQ44" s="1814" t="str">
        <f t="shared" si="255"/>
        <v/>
      </c>
      <c r="JR44" s="1814" t="str">
        <f t="shared" si="256"/>
        <v/>
      </c>
      <c r="JS44" s="1814" t="str">
        <f t="shared" si="257"/>
        <v/>
      </c>
      <c r="JT44" s="1814" t="str">
        <f t="shared" si="258"/>
        <v/>
      </c>
      <c r="JU44" s="1814" t="str">
        <f t="shared" si="259"/>
        <v/>
      </c>
      <c r="JV44" s="1814" t="str">
        <f t="shared" si="260"/>
        <v/>
      </c>
      <c r="JW44" s="1814" t="str">
        <f t="shared" si="261"/>
        <v/>
      </c>
      <c r="JX44" s="1814" t="str">
        <f t="shared" si="262"/>
        <v/>
      </c>
      <c r="JY44" s="1814" t="str">
        <f t="shared" si="263"/>
        <v/>
      </c>
      <c r="JZ44" s="1814" t="str">
        <f t="shared" si="264"/>
        <v/>
      </c>
      <c r="KA44" s="1814" t="str">
        <f t="shared" si="265"/>
        <v/>
      </c>
      <c r="KB44" s="1814" t="str">
        <f t="shared" si="266"/>
        <v/>
      </c>
      <c r="KC44" s="1814" t="str">
        <f t="shared" si="267"/>
        <v/>
      </c>
      <c r="KD44" s="1814" t="str">
        <f t="shared" si="268"/>
        <v/>
      </c>
      <c r="KE44" s="1814" t="str">
        <f t="shared" si="269"/>
        <v/>
      </c>
      <c r="KF44" s="1814" t="str">
        <f t="shared" si="270"/>
        <v/>
      </c>
      <c r="KG44" s="1814" t="str">
        <f t="shared" si="271"/>
        <v/>
      </c>
      <c r="KH44" s="1814" t="str">
        <f t="shared" si="272"/>
        <v/>
      </c>
      <c r="KI44" s="1814" t="str">
        <f t="shared" si="273"/>
        <v/>
      </c>
      <c r="KJ44" s="1814" t="str">
        <f t="shared" si="274"/>
        <v/>
      </c>
      <c r="KK44" s="1814" t="str">
        <f t="shared" si="275"/>
        <v/>
      </c>
      <c r="KL44" s="1814" t="str">
        <f t="shared" si="276"/>
        <v/>
      </c>
      <c r="KM44" s="1814" t="str">
        <f t="shared" si="277"/>
        <v/>
      </c>
      <c r="KN44" s="1814" t="str">
        <f t="shared" si="278"/>
        <v/>
      </c>
      <c r="KO44" s="1814" t="str">
        <f t="shared" si="279"/>
        <v/>
      </c>
      <c r="KP44" s="1814" t="str">
        <f t="shared" si="280"/>
        <v/>
      </c>
      <c r="KQ44" s="1814" t="str">
        <f t="shared" si="281"/>
        <v/>
      </c>
      <c r="KR44" s="1814" t="str">
        <f t="shared" si="282"/>
        <v/>
      </c>
      <c r="KS44" s="1814" t="str">
        <f t="shared" si="283"/>
        <v/>
      </c>
      <c r="KT44" s="1814" t="str">
        <f t="shared" si="284"/>
        <v/>
      </c>
      <c r="KU44" s="1814" t="str">
        <f t="shared" si="285"/>
        <v/>
      </c>
      <c r="KV44" s="1814" t="str">
        <f t="shared" si="286"/>
        <v/>
      </c>
      <c r="KW44" s="1814" t="str">
        <f t="shared" si="287"/>
        <v/>
      </c>
      <c r="KX44" s="1814" t="str">
        <f t="shared" si="288"/>
        <v/>
      </c>
      <c r="KY44" s="1814" t="str">
        <f t="shared" si="289"/>
        <v/>
      </c>
      <c r="KZ44" s="1814" t="str">
        <f t="shared" si="290"/>
        <v/>
      </c>
      <c r="LA44" s="1814" t="str">
        <f t="shared" si="291"/>
        <v/>
      </c>
      <c r="LB44" s="1814" t="str">
        <f t="shared" si="292"/>
        <v/>
      </c>
      <c r="LC44" s="1814" t="str">
        <f t="shared" si="293"/>
        <v/>
      </c>
      <c r="LD44" s="1814" t="str">
        <f t="shared" si="294"/>
        <v/>
      </c>
      <c r="LE44" s="1814" t="str">
        <f t="shared" si="295"/>
        <v/>
      </c>
      <c r="LF44" s="1814" t="str">
        <f t="shared" si="296"/>
        <v/>
      </c>
      <c r="LG44" s="1786" t="str">
        <f t="shared" si="297"/>
        <v/>
      </c>
      <c r="LH44" s="1786" t="str">
        <f t="shared" si="298"/>
        <v/>
      </c>
      <c r="LI44" s="1786" t="str">
        <f t="shared" si="299"/>
        <v/>
      </c>
      <c r="LJ44" s="1786" t="str">
        <f t="shared" si="300"/>
        <v/>
      </c>
      <c r="LK44" s="1786" t="str">
        <f t="shared" si="301"/>
        <v/>
      </c>
      <c r="LL44" s="430" t="str">
        <f t="shared" si="302"/>
        <v/>
      </c>
      <c r="LM44" s="430" t="str">
        <f t="shared" si="303"/>
        <v/>
      </c>
      <c r="LN44" s="430" t="str">
        <f t="shared" si="304"/>
        <v/>
      </c>
      <c r="LO44" s="430" t="str">
        <f t="shared" si="305"/>
        <v/>
      </c>
      <c r="LP44" s="430" t="str">
        <f t="shared" si="306"/>
        <v/>
      </c>
      <c r="LQ44" s="430" t="str">
        <f t="shared" si="307"/>
        <v/>
      </c>
      <c r="LR44" s="430" t="str">
        <f t="shared" si="308"/>
        <v/>
      </c>
      <c r="LS44" s="430" t="str">
        <f t="shared" si="309"/>
        <v/>
      </c>
      <c r="LT44" s="430" t="str">
        <f t="shared" si="310"/>
        <v/>
      </c>
      <c r="LU44" s="430" t="str">
        <f t="shared" si="311"/>
        <v/>
      </c>
      <c r="LV44" s="430" t="str">
        <f t="shared" si="312"/>
        <v/>
      </c>
      <c r="LW44" s="430" t="str">
        <f t="shared" si="313"/>
        <v/>
      </c>
      <c r="LX44" s="430" t="str">
        <f t="shared" si="314"/>
        <v/>
      </c>
      <c r="LY44" s="430" t="str">
        <f t="shared" si="315"/>
        <v/>
      </c>
      <c r="LZ44" s="430" t="str">
        <f t="shared" si="316"/>
        <v/>
      </c>
      <c r="MA44" s="430" t="str">
        <f t="shared" si="317"/>
        <v/>
      </c>
      <c r="MB44" s="430" t="str">
        <f t="shared" si="318"/>
        <v/>
      </c>
      <c r="MC44" s="430" t="str">
        <f t="shared" si="319"/>
        <v/>
      </c>
      <c r="MD44" s="430" t="str">
        <f t="shared" si="320"/>
        <v/>
      </c>
      <c r="ME44" s="430" t="str">
        <f t="shared" si="321"/>
        <v/>
      </c>
      <c r="MF44" s="1815">
        <f t="shared" si="328"/>
        <v>0</v>
      </c>
      <c r="MG44" s="1815">
        <f t="shared" si="329"/>
        <v>0</v>
      </c>
      <c r="MH44" s="1815">
        <f t="shared" si="330"/>
        <v>0</v>
      </c>
      <c r="MI44" s="1815">
        <f t="shared" si="331"/>
        <v>0</v>
      </c>
      <c r="MJ44" s="1815">
        <f t="shared" si="332"/>
        <v>0</v>
      </c>
      <c r="MK44" s="1815">
        <f t="shared" si="333"/>
        <v>0</v>
      </c>
      <c r="ML44" s="1815">
        <f t="shared" si="334"/>
        <v>0</v>
      </c>
      <c r="MM44" s="1815">
        <f t="shared" si="335"/>
        <v>0</v>
      </c>
      <c r="MN44" s="1815">
        <f t="shared" si="336"/>
        <v>0</v>
      </c>
      <c r="MO44" s="1815">
        <f t="shared" si="337"/>
        <v>0</v>
      </c>
      <c r="MP44" s="1815">
        <f t="shared" si="322"/>
        <v>0</v>
      </c>
      <c r="MQ44" s="1815">
        <f t="shared" si="323"/>
        <v>0</v>
      </c>
      <c r="MR44" s="1815">
        <f t="shared" si="324"/>
        <v>0</v>
      </c>
      <c r="MS44" s="1815">
        <f t="shared" si="325"/>
        <v>0</v>
      </c>
      <c r="MT44" s="1815">
        <f t="shared" si="326"/>
        <v>0</v>
      </c>
      <c r="NP44" s="2807" t="s">
        <v>6750</v>
      </c>
    </row>
    <row r="45" spans="1:380" ht="13.9" customHeight="1">
      <c r="A45" s="108" t="str">
        <f t="shared" si="327"/>
        <v/>
      </c>
      <c r="B45" s="2896"/>
      <c r="C45" s="2869"/>
      <c r="D45" s="2870"/>
      <c r="E45" s="2871"/>
      <c r="F45" s="2871"/>
      <c r="G45" s="2871"/>
      <c r="H45" s="2871"/>
      <c r="I45" s="2871"/>
      <c r="J45" s="2897">
        <f>IF(C45="",0,HLOOKUP(C45,'Part V-Utility Allowances'!$I$11:$M$22,12))</f>
        <v>0</v>
      </c>
      <c r="K45" s="2873"/>
      <c r="L45" s="537">
        <f t="shared" si="0"/>
        <v>0</v>
      </c>
      <c r="M45" s="537">
        <f t="shared" si="1"/>
        <v>0</v>
      </c>
      <c r="N45" s="2712"/>
      <c r="O45" s="2874"/>
      <c r="P45" s="2712"/>
      <c r="Q45" s="2875"/>
      <c r="R45" s="2876"/>
      <c r="S45" s="2877"/>
      <c r="T45" s="3833"/>
      <c r="U45" s="3834"/>
      <c r="V45" s="3834"/>
      <c r="W45" s="3835"/>
      <c r="X45" s="430" t="str">
        <f t="shared" si="2"/>
        <v/>
      </c>
      <c r="Y45" s="430" t="str">
        <f t="shared" si="3"/>
        <v/>
      </c>
      <c r="Z45" s="430" t="str">
        <f t="shared" si="4"/>
        <v/>
      </c>
      <c r="AA45" s="430" t="str">
        <f t="shared" si="5"/>
        <v/>
      </c>
      <c r="AB45" s="430" t="str">
        <f t="shared" si="6"/>
        <v/>
      </c>
      <c r="AC45" s="430" t="str">
        <f t="shared" si="7"/>
        <v/>
      </c>
      <c r="AD45" s="430" t="str">
        <f t="shared" si="8"/>
        <v/>
      </c>
      <c r="AE45" s="430" t="str">
        <f t="shared" si="9"/>
        <v/>
      </c>
      <c r="AF45" s="430" t="str">
        <f t="shared" si="10"/>
        <v/>
      </c>
      <c r="AG45" s="430" t="str">
        <f t="shared" si="11"/>
        <v/>
      </c>
      <c r="AH45" s="430" t="str">
        <f t="shared" si="12"/>
        <v/>
      </c>
      <c r="AI45" s="430" t="str">
        <f t="shared" si="13"/>
        <v/>
      </c>
      <c r="AJ45" s="430" t="str">
        <f t="shared" si="14"/>
        <v/>
      </c>
      <c r="AK45" s="430" t="str">
        <f t="shared" si="15"/>
        <v/>
      </c>
      <c r="AL45" s="430" t="str">
        <f t="shared" si="16"/>
        <v/>
      </c>
      <c r="AM45" s="430" t="str">
        <f t="shared" si="17"/>
        <v/>
      </c>
      <c r="AN45" s="430" t="str">
        <f t="shared" si="18"/>
        <v/>
      </c>
      <c r="AO45" s="430" t="str">
        <f t="shared" si="19"/>
        <v/>
      </c>
      <c r="AP45" s="430" t="str">
        <f t="shared" si="20"/>
        <v/>
      </c>
      <c r="AQ45" s="430" t="str">
        <f t="shared" si="21"/>
        <v/>
      </c>
      <c r="AR45" s="430" t="str">
        <f t="shared" si="22"/>
        <v/>
      </c>
      <c r="AS45" s="430" t="str">
        <f t="shared" si="23"/>
        <v/>
      </c>
      <c r="AT45" s="430" t="str">
        <f t="shared" si="24"/>
        <v/>
      </c>
      <c r="AU45" s="430" t="str">
        <f t="shared" si="25"/>
        <v/>
      </c>
      <c r="AV45" s="430" t="str">
        <f t="shared" si="26"/>
        <v/>
      </c>
      <c r="AW45" s="430" t="str">
        <f t="shared" si="27"/>
        <v/>
      </c>
      <c r="AX45" s="430" t="str">
        <f t="shared" si="28"/>
        <v/>
      </c>
      <c r="AY45" s="430" t="str">
        <f t="shared" si="29"/>
        <v/>
      </c>
      <c r="AZ45" s="430" t="str">
        <f t="shared" si="30"/>
        <v/>
      </c>
      <c r="BA45" s="430" t="str">
        <f t="shared" si="31"/>
        <v/>
      </c>
      <c r="BB45" s="430" t="str">
        <f t="shared" si="32"/>
        <v/>
      </c>
      <c r="BC45" s="430" t="str">
        <f t="shared" si="33"/>
        <v/>
      </c>
      <c r="BD45" s="430" t="str">
        <f t="shared" si="34"/>
        <v/>
      </c>
      <c r="BE45" s="430" t="str">
        <f t="shared" si="35"/>
        <v/>
      </c>
      <c r="BF45" s="430" t="str">
        <f t="shared" si="36"/>
        <v/>
      </c>
      <c r="BG45" s="430" t="str">
        <f t="shared" si="37"/>
        <v/>
      </c>
      <c r="BH45" s="430" t="str">
        <f t="shared" si="38"/>
        <v/>
      </c>
      <c r="BI45" s="430" t="str">
        <f t="shared" si="39"/>
        <v/>
      </c>
      <c r="BJ45" s="430" t="str">
        <f t="shared" si="40"/>
        <v/>
      </c>
      <c r="BK45" s="430" t="str">
        <f t="shared" si="41"/>
        <v/>
      </c>
      <c r="BL45" s="430" t="str">
        <f t="shared" si="42"/>
        <v/>
      </c>
      <c r="BM45" s="430" t="str">
        <f t="shared" si="43"/>
        <v/>
      </c>
      <c r="BN45" s="430" t="str">
        <f t="shared" si="44"/>
        <v/>
      </c>
      <c r="BO45" s="430" t="str">
        <f t="shared" si="45"/>
        <v/>
      </c>
      <c r="BP45" s="430" t="str">
        <f t="shared" si="46"/>
        <v/>
      </c>
      <c r="BQ45" s="430" t="str">
        <f t="shared" si="47"/>
        <v/>
      </c>
      <c r="BR45" s="430" t="str">
        <f t="shared" si="48"/>
        <v/>
      </c>
      <c r="BS45" s="430" t="str">
        <f t="shared" si="49"/>
        <v/>
      </c>
      <c r="BT45" s="430" t="str">
        <f t="shared" si="50"/>
        <v/>
      </c>
      <c r="BU45" s="430" t="str">
        <f t="shared" si="51"/>
        <v/>
      </c>
      <c r="BV45" s="430" t="str">
        <f t="shared" si="52"/>
        <v/>
      </c>
      <c r="BW45" s="430" t="str">
        <f t="shared" si="53"/>
        <v/>
      </c>
      <c r="BX45" s="430" t="str">
        <f t="shared" si="54"/>
        <v/>
      </c>
      <c r="BY45" s="430" t="str">
        <f t="shared" si="55"/>
        <v/>
      </c>
      <c r="BZ45" s="430" t="str">
        <f t="shared" si="56"/>
        <v/>
      </c>
      <c r="CA45" s="430" t="str">
        <f t="shared" si="57"/>
        <v/>
      </c>
      <c r="CB45" s="430" t="str">
        <f t="shared" si="58"/>
        <v/>
      </c>
      <c r="CC45" s="430" t="str">
        <f t="shared" si="59"/>
        <v/>
      </c>
      <c r="CD45" s="430" t="str">
        <f t="shared" si="60"/>
        <v/>
      </c>
      <c r="CE45" s="430" t="str">
        <f t="shared" si="61"/>
        <v/>
      </c>
      <c r="CF45" s="430" t="str">
        <f t="shared" si="62"/>
        <v/>
      </c>
      <c r="CG45" s="430" t="str">
        <f t="shared" si="63"/>
        <v/>
      </c>
      <c r="CH45" s="430" t="str">
        <f t="shared" si="64"/>
        <v/>
      </c>
      <c r="CI45" s="430" t="str">
        <f t="shared" si="65"/>
        <v/>
      </c>
      <c r="CJ45" s="430" t="str">
        <f t="shared" si="66"/>
        <v/>
      </c>
      <c r="CK45" s="430" t="str">
        <f t="shared" si="67"/>
        <v/>
      </c>
      <c r="CL45" s="430" t="str">
        <f t="shared" si="68"/>
        <v/>
      </c>
      <c r="CM45" s="430" t="str">
        <f t="shared" si="69"/>
        <v/>
      </c>
      <c r="CN45" s="430" t="str">
        <f t="shared" si="70"/>
        <v/>
      </c>
      <c r="CO45" s="430" t="str">
        <f t="shared" si="71"/>
        <v/>
      </c>
      <c r="CP45" s="430" t="str">
        <f t="shared" si="72"/>
        <v/>
      </c>
      <c r="CQ45" s="430" t="str">
        <f t="shared" si="73"/>
        <v/>
      </c>
      <c r="CR45" s="430" t="str">
        <f t="shared" si="74"/>
        <v/>
      </c>
      <c r="CS45" s="430" t="str">
        <f t="shared" si="75"/>
        <v/>
      </c>
      <c r="CT45" s="430" t="str">
        <f t="shared" si="76"/>
        <v/>
      </c>
      <c r="CU45" s="430" t="str">
        <f t="shared" si="77"/>
        <v/>
      </c>
      <c r="CV45" s="430" t="str">
        <f t="shared" si="78"/>
        <v/>
      </c>
      <c r="CW45" s="430" t="str">
        <f t="shared" si="79"/>
        <v/>
      </c>
      <c r="CX45" s="430" t="str">
        <f t="shared" si="80"/>
        <v/>
      </c>
      <c r="CY45" s="430" t="str">
        <f t="shared" si="81"/>
        <v/>
      </c>
      <c r="CZ45" s="430" t="str">
        <f t="shared" si="82"/>
        <v/>
      </c>
      <c r="DA45" s="430" t="str">
        <f t="shared" si="83"/>
        <v/>
      </c>
      <c r="DB45" s="430" t="str">
        <f t="shared" si="84"/>
        <v/>
      </c>
      <c r="DC45" s="430" t="str">
        <f t="shared" si="85"/>
        <v/>
      </c>
      <c r="DD45" s="430" t="str">
        <f t="shared" si="86"/>
        <v/>
      </c>
      <c r="DE45" s="430" t="str">
        <f t="shared" si="87"/>
        <v/>
      </c>
      <c r="DF45" s="430" t="str">
        <f t="shared" si="88"/>
        <v/>
      </c>
      <c r="DG45" s="430" t="str">
        <f t="shared" si="89"/>
        <v/>
      </c>
      <c r="DH45" s="430" t="str">
        <f t="shared" si="90"/>
        <v/>
      </c>
      <c r="DI45" s="430" t="str">
        <f t="shared" si="91"/>
        <v/>
      </c>
      <c r="DJ45" s="430" t="str">
        <f t="shared" si="92"/>
        <v/>
      </c>
      <c r="DK45" s="430" t="str">
        <f t="shared" si="93"/>
        <v/>
      </c>
      <c r="DL45" s="430" t="str">
        <f t="shared" si="94"/>
        <v/>
      </c>
      <c r="DM45" s="430" t="str">
        <f t="shared" si="95"/>
        <v/>
      </c>
      <c r="DN45" s="430" t="str">
        <f t="shared" si="96"/>
        <v/>
      </c>
      <c r="DO45" s="430" t="str">
        <f t="shared" si="97"/>
        <v/>
      </c>
      <c r="DP45" s="430" t="str">
        <f t="shared" si="98"/>
        <v/>
      </c>
      <c r="DQ45" s="430" t="str">
        <f t="shared" si="99"/>
        <v/>
      </c>
      <c r="DR45" s="430" t="str">
        <f t="shared" si="100"/>
        <v/>
      </c>
      <c r="DS45" s="430" t="str">
        <f t="shared" si="101"/>
        <v/>
      </c>
      <c r="DT45" s="430" t="str">
        <f t="shared" si="102"/>
        <v/>
      </c>
      <c r="DU45" s="430" t="str">
        <f t="shared" si="103"/>
        <v/>
      </c>
      <c r="DV45" s="430" t="str">
        <f t="shared" si="104"/>
        <v/>
      </c>
      <c r="DW45" s="430" t="str">
        <f t="shared" si="105"/>
        <v/>
      </c>
      <c r="DX45" s="430" t="str">
        <f t="shared" si="106"/>
        <v/>
      </c>
      <c r="DY45" s="430" t="str">
        <f t="shared" si="107"/>
        <v/>
      </c>
      <c r="DZ45" s="430" t="str">
        <f t="shared" si="108"/>
        <v/>
      </c>
      <c r="EA45" s="430" t="str">
        <f t="shared" si="109"/>
        <v/>
      </c>
      <c r="EB45" s="430" t="str">
        <f t="shared" si="110"/>
        <v/>
      </c>
      <c r="EC45" s="430" t="str">
        <f t="shared" si="111"/>
        <v/>
      </c>
      <c r="ED45" s="430" t="str">
        <f t="shared" si="112"/>
        <v/>
      </c>
      <c r="EE45" s="430" t="str">
        <f t="shared" si="113"/>
        <v/>
      </c>
      <c r="EF45" s="430" t="str">
        <f t="shared" si="114"/>
        <v/>
      </c>
      <c r="EG45" s="430" t="str">
        <f t="shared" si="115"/>
        <v/>
      </c>
      <c r="EH45" s="430" t="str">
        <f t="shared" si="116"/>
        <v/>
      </c>
      <c r="EI45" s="430" t="str">
        <f t="shared" si="117"/>
        <v/>
      </c>
      <c r="EJ45" s="430" t="str">
        <f t="shared" si="118"/>
        <v/>
      </c>
      <c r="EK45" s="430" t="str">
        <f t="shared" si="119"/>
        <v/>
      </c>
      <c r="EL45" s="430" t="str">
        <f t="shared" si="120"/>
        <v/>
      </c>
      <c r="EM45" s="430" t="str">
        <f t="shared" si="121"/>
        <v/>
      </c>
      <c r="EN45" s="430" t="str">
        <f t="shared" si="122"/>
        <v/>
      </c>
      <c r="EO45" s="430" t="str">
        <f t="shared" si="123"/>
        <v/>
      </c>
      <c r="EP45" s="430" t="str">
        <f t="shared" si="124"/>
        <v/>
      </c>
      <c r="EQ45" s="430" t="str">
        <f t="shared" si="125"/>
        <v/>
      </c>
      <c r="ER45" s="430" t="str">
        <f t="shared" si="126"/>
        <v/>
      </c>
      <c r="ES45" s="430" t="str">
        <f t="shared" si="127"/>
        <v/>
      </c>
      <c r="ET45" s="430" t="str">
        <f t="shared" si="128"/>
        <v/>
      </c>
      <c r="EU45" s="430" t="str">
        <f t="shared" si="129"/>
        <v/>
      </c>
      <c r="EV45" s="430" t="str">
        <f t="shared" si="130"/>
        <v/>
      </c>
      <c r="EW45" s="430" t="str">
        <f t="shared" si="131"/>
        <v/>
      </c>
      <c r="EX45" s="430" t="str">
        <f t="shared" si="132"/>
        <v/>
      </c>
      <c r="EY45" s="430" t="str">
        <f t="shared" si="133"/>
        <v/>
      </c>
      <c r="EZ45" s="430" t="str">
        <f t="shared" si="134"/>
        <v/>
      </c>
      <c r="FA45" s="430" t="str">
        <f t="shared" si="135"/>
        <v/>
      </c>
      <c r="FB45" s="430" t="str">
        <f t="shared" si="136"/>
        <v/>
      </c>
      <c r="FC45" s="430" t="str">
        <f t="shared" si="137"/>
        <v/>
      </c>
      <c r="FD45" s="430" t="str">
        <f t="shared" si="138"/>
        <v/>
      </c>
      <c r="FE45" s="430" t="str">
        <f t="shared" si="139"/>
        <v/>
      </c>
      <c r="FF45" s="430" t="str">
        <f t="shared" si="140"/>
        <v/>
      </c>
      <c r="FG45" s="430" t="str">
        <f t="shared" si="141"/>
        <v/>
      </c>
      <c r="FH45" s="430" t="str">
        <f t="shared" si="142"/>
        <v/>
      </c>
      <c r="FI45" s="430" t="str">
        <f t="shared" si="143"/>
        <v/>
      </c>
      <c r="FJ45" s="430" t="str">
        <f t="shared" si="144"/>
        <v/>
      </c>
      <c r="FK45" s="430" t="str">
        <f t="shared" si="145"/>
        <v/>
      </c>
      <c r="FL45" s="430" t="str">
        <f t="shared" si="146"/>
        <v/>
      </c>
      <c r="FM45" s="430" t="str">
        <f t="shared" si="147"/>
        <v/>
      </c>
      <c r="FN45" s="430" t="str">
        <f t="shared" si="148"/>
        <v/>
      </c>
      <c r="FO45" s="430" t="str">
        <f t="shared" si="149"/>
        <v/>
      </c>
      <c r="FP45" s="430" t="str">
        <f t="shared" si="150"/>
        <v/>
      </c>
      <c r="FQ45" s="430" t="str">
        <f t="shared" si="151"/>
        <v/>
      </c>
      <c r="FR45" s="430" t="str">
        <f t="shared" si="152"/>
        <v/>
      </c>
      <c r="FS45" s="430" t="str">
        <f t="shared" si="153"/>
        <v/>
      </c>
      <c r="FT45" s="430" t="str">
        <f t="shared" si="154"/>
        <v/>
      </c>
      <c r="FU45" s="430" t="str">
        <f t="shared" si="155"/>
        <v/>
      </c>
      <c r="FV45" s="430" t="str">
        <f t="shared" si="156"/>
        <v/>
      </c>
      <c r="FW45" s="430" t="str">
        <f t="shared" si="157"/>
        <v/>
      </c>
      <c r="FX45" s="430" t="str">
        <f t="shared" si="158"/>
        <v/>
      </c>
      <c r="FY45" s="430" t="str">
        <f t="shared" si="159"/>
        <v/>
      </c>
      <c r="FZ45" s="430" t="str">
        <f t="shared" si="160"/>
        <v/>
      </c>
      <c r="GA45" s="430" t="str">
        <f t="shared" si="161"/>
        <v/>
      </c>
      <c r="GB45" s="430" t="str">
        <f t="shared" si="162"/>
        <v/>
      </c>
      <c r="GC45" s="430" t="str">
        <f t="shared" si="163"/>
        <v/>
      </c>
      <c r="GD45" s="430" t="str">
        <f t="shared" si="164"/>
        <v/>
      </c>
      <c r="GE45" s="430" t="str">
        <f t="shared" si="165"/>
        <v/>
      </c>
      <c r="GF45" s="430" t="str">
        <f t="shared" si="166"/>
        <v/>
      </c>
      <c r="GG45" s="430" t="str">
        <f t="shared" si="167"/>
        <v/>
      </c>
      <c r="GH45" s="430" t="str">
        <f t="shared" si="168"/>
        <v/>
      </c>
      <c r="GI45" s="430" t="str">
        <f t="shared" si="169"/>
        <v/>
      </c>
      <c r="GJ45" s="430" t="str">
        <f t="shared" si="170"/>
        <v/>
      </c>
      <c r="GK45" s="430" t="str">
        <f t="shared" si="171"/>
        <v/>
      </c>
      <c r="GL45" s="430" t="str">
        <f t="shared" si="172"/>
        <v/>
      </c>
      <c r="GM45" s="430" t="str">
        <f t="shared" si="173"/>
        <v/>
      </c>
      <c r="GN45" s="430" t="str">
        <f t="shared" si="174"/>
        <v/>
      </c>
      <c r="GO45" s="430" t="str">
        <f t="shared" si="175"/>
        <v/>
      </c>
      <c r="GP45" s="430" t="str">
        <f t="shared" si="176"/>
        <v/>
      </c>
      <c r="GQ45" s="430" t="str">
        <f t="shared" si="177"/>
        <v/>
      </c>
      <c r="GR45" s="430" t="str">
        <f t="shared" si="178"/>
        <v/>
      </c>
      <c r="GS45" s="430" t="str">
        <f t="shared" si="179"/>
        <v/>
      </c>
      <c r="GT45" s="430" t="str">
        <f t="shared" si="180"/>
        <v/>
      </c>
      <c r="GU45" s="430" t="str">
        <f t="shared" si="181"/>
        <v/>
      </c>
      <c r="GV45" s="430" t="str">
        <f t="shared" si="182"/>
        <v/>
      </c>
      <c r="GW45" s="430" t="str">
        <f t="shared" si="183"/>
        <v/>
      </c>
      <c r="GX45" s="430" t="str">
        <f t="shared" si="184"/>
        <v/>
      </c>
      <c r="GY45" s="430" t="str">
        <f t="shared" si="185"/>
        <v/>
      </c>
      <c r="GZ45" s="430" t="str">
        <f t="shared" si="186"/>
        <v/>
      </c>
      <c r="HA45" s="430" t="str">
        <f t="shared" si="187"/>
        <v/>
      </c>
      <c r="HB45" s="430" t="str">
        <f t="shared" si="188"/>
        <v/>
      </c>
      <c r="HC45" s="430" t="str">
        <f t="shared" si="189"/>
        <v/>
      </c>
      <c r="HD45" s="430" t="str">
        <f t="shared" si="190"/>
        <v/>
      </c>
      <c r="HE45" s="430" t="str">
        <f t="shared" si="191"/>
        <v/>
      </c>
      <c r="HF45" s="430" t="str">
        <f t="shared" si="192"/>
        <v/>
      </c>
      <c r="HG45" s="430" t="str">
        <f t="shared" si="193"/>
        <v/>
      </c>
      <c r="HH45" s="430" t="str">
        <f t="shared" si="194"/>
        <v/>
      </c>
      <c r="HI45" s="430" t="str">
        <f t="shared" si="195"/>
        <v/>
      </c>
      <c r="HJ45" s="430" t="str">
        <f t="shared" si="196"/>
        <v/>
      </c>
      <c r="HK45" s="430" t="str">
        <f t="shared" si="197"/>
        <v/>
      </c>
      <c r="HL45" s="430" t="str">
        <f t="shared" si="198"/>
        <v/>
      </c>
      <c r="HM45" s="430" t="str">
        <f t="shared" si="199"/>
        <v/>
      </c>
      <c r="HN45" s="430" t="str">
        <f t="shared" si="200"/>
        <v/>
      </c>
      <c r="HO45" s="430" t="str">
        <f t="shared" si="201"/>
        <v/>
      </c>
      <c r="HP45" s="430" t="str">
        <f t="shared" si="202"/>
        <v/>
      </c>
      <c r="HQ45" s="430" t="str">
        <f t="shared" si="203"/>
        <v/>
      </c>
      <c r="HR45" s="430" t="str">
        <f t="shared" si="204"/>
        <v/>
      </c>
      <c r="HS45" s="430" t="str">
        <f t="shared" si="205"/>
        <v/>
      </c>
      <c r="HT45" s="430" t="str">
        <f t="shared" si="206"/>
        <v/>
      </c>
      <c r="HU45" s="430" t="str">
        <f t="shared" si="207"/>
        <v/>
      </c>
      <c r="HV45" s="430" t="str">
        <f t="shared" si="208"/>
        <v/>
      </c>
      <c r="HW45" s="430" t="str">
        <f t="shared" si="209"/>
        <v/>
      </c>
      <c r="HX45" s="430" t="str">
        <f t="shared" si="210"/>
        <v/>
      </c>
      <c r="HY45" s="430" t="str">
        <f t="shared" si="211"/>
        <v/>
      </c>
      <c r="HZ45" s="1814" t="str">
        <f t="shared" si="212"/>
        <v/>
      </c>
      <c r="IA45" s="1814" t="str">
        <f t="shared" si="213"/>
        <v/>
      </c>
      <c r="IB45" s="1814" t="str">
        <f t="shared" si="214"/>
        <v/>
      </c>
      <c r="IC45" s="1814" t="str">
        <f t="shared" si="215"/>
        <v/>
      </c>
      <c r="ID45" s="1814" t="str">
        <f t="shared" si="216"/>
        <v/>
      </c>
      <c r="IE45" s="1814" t="str">
        <f t="shared" si="217"/>
        <v/>
      </c>
      <c r="IF45" s="1814" t="str">
        <f t="shared" si="218"/>
        <v/>
      </c>
      <c r="IG45" s="1814" t="str">
        <f t="shared" si="219"/>
        <v/>
      </c>
      <c r="IH45" s="1814" t="str">
        <f t="shared" si="220"/>
        <v/>
      </c>
      <c r="II45" s="1814" t="str">
        <f t="shared" si="221"/>
        <v/>
      </c>
      <c r="IJ45" s="1814" t="str">
        <f t="shared" si="222"/>
        <v/>
      </c>
      <c r="IK45" s="1814" t="str">
        <f t="shared" si="223"/>
        <v/>
      </c>
      <c r="IL45" s="1814" t="str">
        <f t="shared" si="224"/>
        <v/>
      </c>
      <c r="IM45" s="1814" t="str">
        <f t="shared" si="225"/>
        <v/>
      </c>
      <c r="IN45" s="1814" t="str">
        <f t="shared" si="226"/>
        <v/>
      </c>
      <c r="IO45" s="1814" t="str">
        <f t="shared" si="227"/>
        <v/>
      </c>
      <c r="IP45" s="1814" t="str">
        <f t="shared" si="228"/>
        <v/>
      </c>
      <c r="IQ45" s="1814" t="str">
        <f t="shared" si="229"/>
        <v/>
      </c>
      <c r="IR45" s="1814" t="str">
        <f t="shared" si="230"/>
        <v/>
      </c>
      <c r="IS45" s="1814" t="str">
        <f t="shared" si="231"/>
        <v/>
      </c>
      <c r="IT45" s="1814" t="str">
        <f t="shared" si="232"/>
        <v/>
      </c>
      <c r="IU45" s="1814" t="str">
        <f t="shared" si="233"/>
        <v/>
      </c>
      <c r="IV45" s="1814" t="str">
        <f t="shared" si="234"/>
        <v/>
      </c>
      <c r="IW45" s="1814" t="str">
        <f t="shared" si="235"/>
        <v/>
      </c>
      <c r="IX45" s="1814" t="str">
        <f t="shared" si="236"/>
        <v/>
      </c>
      <c r="IY45" s="1814" t="str">
        <f t="shared" si="237"/>
        <v/>
      </c>
      <c r="IZ45" s="1814" t="str">
        <f t="shared" si="238"/>
        <v/>
      </c>
      <c r="JA45" s="1814" t="str">
        <f t="shared" si="239"/>
        <v/>
      </c>
      <c r="JB45" s="1814" t="str">
        <f t="shared" si="240"/>
        <v/>
      </c>
      <c r="JC45" s="1814" t="str">
        <f t="shared" si="241"/>
        <v/>
      </c>
      <c r="JD45" s="1814" t="str">
        <f t="shared" si="242"/>
        <v/>
      </c>
      <c r="JE45" s="1814" t="str">
        <f t="shared" si="243"/>
        <v/>
      </c>
      <c r="JF45" s="1814" t="str">
        <f t="shared" si="244"/>
        <v/>
      </c>
      <c r="JG45" s="1814" t="str">
        <f t="shared" si="245"/>
        <v/>
      </c>
      <c r="JH45" s="1814" t="str">
        <f t="shared" si="246"/>
        <v/>
      </c>
      <c r="JI45" s="1814" t="str">
        <f t="shared" si="247"/>
        <v/>
      </c>
      <c r="JJ45" s="1814" t="str">
        <f t="shared" si="248"/>
        <v/>
      </c>
      <c r="JK45" s="1814" t="str">
        <f t="shared" si="249"/>
        <v/>
      </c>
      <c r="JL45" s="1814" t="str">
        <f t="shared" si="250"/>
        <v/>
      </c>
      <c r="JM45" s="1814" t="str">
        <f t="shared" si="251"/>
        <v/>
      </c>
      <c r="JN45" s="1814" t="str">
        <f t="shared" si="252"/>
        <v/>
      </c>
      <c r="JO45" s="1814" t="str">
        <f t="shared" si="253"/>
        <v/>
      </c>
      <c r="JP45" s="1814" t="str">
        <f t="shared" si="254"/>
        <v/>
      </c>
      <c r="JQ45" s="1814" t="str">
        <f t="shared" si="255"/>
        <v/>
      </c>
      <c r="JR45" s="1814" t="str">
        <f t="shared" si="256"/>
        <v/>
      </c>
      <c r="JS45" s="1814" t="str">
        <f t="shared" si="257"/>
        <v/>
      </c>
      <c r="JT45" s="1814" t="str">
        <f t="shared" si="258"/>
        <v/>
      </c>
      <c r="JU45" s="1814" t="str">
        <f t="shared" si="259"/>
        <v/>
      </c>
      <c r="JV45" s="1814" t="str">
        <f t="shared" si="260"/>
        <v/>
      </c>
      <c r="JW45" s="1814" t="str">
        <f t="shared" si="261"/>
        <v/>
      </c>
      <c r="JX45" s="1814" t="str">
        <f t="shared" si="262"/>
        <v/>
      </c>
      <c r="JY45" s="1814" t="str">
        <f t="shared" si="263"/>
        <v/>
      </c>
      <c r="JZ45" s="1814" t="str">
        <f t="shared" si="264"/>
        <v/>
      </c>
      <c r="KA45" s="1814" t="str">
        <f t="shared" si="265"/>
        <v/>
      </c>
      <c r="KB45" s="1814" t="str">
        <f t="shared" si="266"/>
        <v/>
      </c>
      <c r="KC45" s="1814" t="str">
        <f t="shared" si="267"/>
        <v/>
      </c>
      <c r="KD45" s="1814" t="str">
        <f t="shared" si="268"/>
        <v/>
      </c>
      <c r="KE45" s="1814" t="str">
        <f t="shared" si="269"/>
        <v/>
      </c>
      <c r="KF45" s="1814" t="str">
        <f t="shared" si="270"/>
        <v/>
      </c>
      <c r="KG45" s="1814" t="str">
        <f t="shared" si="271"/>
        <v/>
      </c>
      <c r="KH45" s="1814" t="str">
        <f t="shared" si="272"/>
        <v/>
      </c>
      <c r="KI45" s="1814" t="str">
        <f t="shared" si="273"/>
        <v/>
      </c>
      <c r="KJ45" s="1814" t="str">
        <f t="shared" si="274"/>
        <v/>
      </c>
      <c r="KK45" s="1814" t="str">
        <f t="shared" si="275"/>
        <v/>
      </c>
      <c r="KL45" s="1814" t="str">
        <f t="shared" si="276"/>
        <v/>
      </c>
      <c r="KM45" s="1814" t="str">
        <f t="shared" si="277"/>
        <v/>
      </c>
      <c r="KN45" s="1814" t="str">
        <f t="shared" si="278"/>
        <v/>
      </c>
      <c r="KO45" s="1814" t="str">
        <f t="shared" si="279"/>
        <v/>
      </c>
      <c r="KP45" s="1814" t="str">
        <f t="shared" si="280"/>
        <v/>
      </c>
      <c r="KQ45" s="1814" t="str">
        <f t="shared" si="281"/>
        <v/>
      </c>
      <c r="KR45" s="1814" t="str">
        <f t="shared" si="282"/>
        <v/>
      </c>
      <c r="KS45" s="1814" t="str">
        <f t="shared" si="283"/>
        <v/>
      </c>
      <c r="KT45" s="1814" t="str">
        <f t="shared" si="284"/>
        <v/>
      </c>
      <c r="KU45" s="1814" t="str">
        <f t="shared" si="285"/>
        <v/>
      </c>
      <c r="KV45" s="1814" t="str">
        <f t="shared" si="286"/>
        <v/>
      </c>
      <c r="KW45" s="1814" t="str">
        <f t="shared" si="287"/>
        <v/>
      </c>
      <c r="KX45" s="1814" t="str">
        <f t="shared" si="288"/>
        <v/>
      </c>
      <c r="KY45" s="1814" t="str">
        <f t="shared" si="289"/>
        <v/>
      </c>
      <c r="KZ45" s="1814" t="str">
        <f t="shared" si="290"/>
        <v/>
      </c>
      <c r="LA45" s="1814" t="str">
        <f t="shared" si="291"/>
        <v/>
      </c>
      <c r="LB45" s="1814" t="str">
        <f t="shared" si="292"/>
        <v/>
      </c>
      <c r="LC45" s="1814" t="str">
        <f t="shared" si="293"/>
        <v/>
      </c>
      <c r="LD45" s="1814" t="str">
        <f t="shared" si="294"/>
        <v/>
      </c>
      <c r="LE45" s="1814" t="str">
        <f t="shared" si="295"/>
        <v/>
      </c>
      <c r="LF45" s="1814" t="str">
        <f t="shared" si="296"/>
        <v/>
      </c>
      <c r="LG45" s="1786" t="str">
        <f t="shared" si="297"/>
        <v/>
      </c>
      <c r="LH45" s="1786" t="str">
        <f t="shared" si="298"/>
        <v/>
      </c>
      <c r="LI45" s="1786" t="str">
        <f t="shared" si="299"/>
        <v/>
      </c>
      <c r="LJ45" s="1786" t="str">
        <f t="shared" si="300"/>
        <v/>
      </c>
      <c r="LK45" s="1786" t="str">
        <f t="shared" si="301"/>
        <v/>
      </c>
      <c r="LL45" s="430" t="str">
        <f t="shared" si="302"/>
        <v/>
      </c>
      <c r="LM45" s="430" t="str">
        <f t="shared" si="303"/>
        <v/>
      </c>
      <c r="LN45" s="430" t="str">
        <f t="shared" si="304"/>
        <v/>
      </c>
      <c r="LO45" s="430" t="str">
        <f t="shared" si="305"/>
        <v/>
      </c>
      <c r="LP45" s="430" t="str">
        <f t="shared" si="306"/>
        <v/>
      </c>
      <c r="LQ45" s="430" t="str">
        <f t="shared" si="307"/>
        <v/>
      </c>
      <c r="LR45" s="430" t="str">
        <f t="shared" si="308"/>
        <v/>
      </c>
      <c r="LS45" s="430" t="str">
        <f t="shared" si="309"/>
        <v/>
      </c>
      <c r="LT45" s="430" t="str">
        <f t="shared" si="310"/>
        <v/>
      </c>
      <c r="LU45" s="430" t="str">
        <f t="shared" si="311"/>
        <v/>
      </c>
      <c r="LV45" s="430" t="str">
        <f t="shared" si="312"/>
        <v/>
      </c>
      <c r="LW45" s="430" t="str">
        <f t="shared" si="313"/>
        <v/>
      </c>
      <c r="LX45" s="430" t="str">
        <f t="shared" si="314"/>
        <v/>
      </c>
      <c r="LY45" s="430" t="str">
        <f t="shared" si="315"/>
        <v/>
      </c>
      <c r="LZ45" s="430" t="str">
        <f t="shared" si="316"/>
        <v/>
      </c>
      <c r="MA45" s="430" t="str">
        <f t="shared" si="317"/>
        <v/>
      </c>
      <c r="MB45" s="430" t="str">
        <f t="shared" si="318"/>
        <v/>
      </c>
      <c r="MC45" s="430" t="str">
        <f t="shared" si="319"/>
        <v/>
      </c>
      <c r="MD45" s="430" t="str">
        <f t="shared" si="320"/>
        <v/>
      </c>
      <c r="ME45" s="430" t="str">
        <f t="shared" si="321"/>
        <v/>
      </c>
      <c r="MF45" s="1815">
        <f t="shared" si="328"/>
        <v>0</v>
      </c>
      <c r="MG45" s="1815">
        <f t="shared" si="329"/>
        <v>0</v>
      </c>
      <c r="MH45" s="1815">
        <f t="shared" si="330"/>
        <v>0</v>
      </c>
      <c r="MI45" s="1815">
        <f t="shared" si="331"/>
        <v>0</v>
      </c>
      <c r="MJ45" s="1815">
        <f t="shared" si="332"/>
        <v>0</v>
      </c>
      <c r="MK45" s="1815">
        <f t="shared" si="333"/>
        <v>0</v>
      </c>
      <c r="ML45" s="1815">
        <f t="shared" si="334"/>
        <v>0</v>
      </c>
      <c r="MM45" s="1815">
        <f t="shared" si="335"/>
        <v>0</v>
      </c>
      <c r="MN45" s="1815">
        <f t="shared" si="336"/>
        <v>0</v>
      </c>
      <c r="MO45" s="1815">
        <f t="shared" si="337"/>
        <v>0</v>
      </c>
      <c r="MP45" s="1815">
        <f t="shared" si="322"/>
        <v>0</v>
      </c>
      <c r="MQ45" s="1815">
        <f t="shared" si="323"/>
        <v>0</v>
      </c>
      <c r="MR45" s="1815">
        <f t="shared" si="324"/>
        <v>0</v>
      </c>
      <c r="MS45" s="1815">
        <f t="shared" si="325"/>
        <v>0</v>
      </c>
      <c r="MT45" s="1815">
        <f t="shared" si="326"/>
        <v>0</v>
      </c>
      <c r="NP45" s="2807" t="s">
        <v>6751</v>
      </c>
    </row>
    <row r="46" spans="1:380" ht="13.9" customHeight="1">
      <c r="A46" s="108" t="str">
        <f t="shared" si="327"/>
        <v/>
      </c>
      <c r="B46" s="2896"/>
      <c r="C46" s="2869"/>
      <c r="D46" s="2870"/>
      <c r="E46" s="2871"/>
      <c r="F46" s="2871"/>
      <c r="G46" s="2871"/>
      <c r="H46" s="2871"/>
      <c r="I46" s="2871"/>
      <c r="J46" s="2897">
        <f>IF(C46="",0,HLOOKUP(C46,'Part V-Utility Allowances'!$I$11:$M$22,12))</f>
        <v>0</v>
      </c>
      <c r="K46" s="2873"/>
      <c r="L46" s="537">
        <f t="shared" si="0"/>
        <v>0</v>
      </c>
      <c r="M46" s="537">
        <f t="shared" si="1"/>
        <v>0</v>
      </c>
      <c r="N46" s="2712"/>
      <c r="O46" s="2874"/>
      <c r="P46" s="2712"/>
      <c r="Q46" s="2875"/>
      <c r="R46" s="2876"/>
      <c r="S46" s="2877"/>
      <c r="T46" s="3833"/>
      <c r="U46" s="3834"/>
      <c r="V46" s="3834"/>
      <c r="W46" s="3835"/>
      <c r="X46" s="430" t="str">
        <f t="shared" si="2"/>
        <v/>
      </c>
      <c r="Y46" s="430" t="str">
        <f t="shared" si="3"/>
        <v/>
      </c>
      <c r="Z46" s="430" t="str">
        <f t="shared" si="4"/>
        <v/>
      </c>
      <c r="AA46" s="430" t="str">
        <f t="shared" si="5"/>
        <v/>
      </c>
      <c r="AB46" s="430" t="str">
        <f t="shared" si="6"/>
        <v/>
      </c>
      <c r="AC46" s="430" t="str">
        <f t="shared" si="7"/>
        <v/>
      </c>
      <c r="AD46" s="430" t="str">
        <f t="shared" si="8"/>
        <v/>
      </c>
      <c r="AE46" s="430" t="str">
        <f t="shared" si="9"/>
        <v/>
      </c>
      <c r="AF46" s="430" t="str">
        <f t="shared" si="10"/>
        <v/>
      </c>
      <c r="AG46" s="430" t="str">
        <f t="shared" si="11"/>
        <v/>
      </c>
      <c r="AH46" s="430" t="str">
        <f t="shared" si="12"/>
        <v/>
      </c>
      <c r="AI46" s="430" t="str">
        <f t="shared" si="13"/>
        <v/>
      </c>
      <c r="AJ46" s="430" t="str">
        <f t="shared" si="14"/>
        <v/>
      </c>
      <c r="AK46" s="430" t="str">
        <f t="shared" si="15"/>
        <v/>
      </c>
      <c r="AL46" s="430" t="str">
        <f t="shared" si="16"/>
        <v/>
      </c>
      <c r="AM46" s="430" t="str">
        <f t="shared" si="17"/>
        <v/>
      </c>
      <c r="AN46" s="430" t="str">
        <f t="shared" si="18"/>
        <v/>
      </c>
      <c r="AO46" s="430" t="str">
        <f t="shared" si="19"/>
        <v/>
      </c>
      <c r="AP46" s="430" t="str">
        <f t="shared" si="20"/>
        <v/>
      </c>
      <c r="AQ46" s="430" t="str">
        <f t="shared" si="21"/>
        <v/>
      </c>
      <c r="AR46" s="430" t="str">
        <f t="shared" si="22"/>
        <v/>
      </c>
      <c r="AS46" s="430" t="str">
        <f t="shared" si="23"/>
        <v/>
      </c>
      <c r="AT46" s="430" t="str">
        <f t="shared" si="24"/>
        <v/>
      </c>
      <c r="AU46" s="430" t="str">
        <f t="shared" si="25"/>
        <v/>
      </c>
      <c r="AV46" s="430" t="str">
        <f t="shared" si="26"/>
        <v/>
      </c>
      <c r="AW46" s="430" t="str">
        <f t="shared" si="27"/>
        <v/>
      </c>
      <c r="AX46" s="430" t="str">
        <f t="shared" si="28"/>
        <v/>
      </c>
      <c r="AY46" s="430" t="str">
        <f t="shared" si="29"/>
        <v/>
      </c>
      <c r="AZ46" s="430" t="str">
        <f t="shared" si="30"/>
        <v/>
      </c>
      <c r="BA46" s="430" t="str">
        <f t="shared" si="31"/>
        <v/>
      </c>
      <c r="BB46" s="430" t="str">
        <f t="shared" si="32"/>
        <v/>
      </c>
      <c r="BC46" s="430" t="str">
        <f t="shared" si="33"/>
        <v/>
      </c>
      <c r="BD46" s="430" t="str">
        <f t="shared" si="34"/>
        <v/>
      </c>
      <c r="BE46" s="430" t="str">
        <f t="shared" si="35"/>
        <v/>
      </c>
      <c r="BF46" s="430" t="str">
        <f t="shared" si="36"/>
        <v/>
      </c>
      <c r="BG46" s="430" t="str">
        <f t="shared" si="37"/>
        <v/>
      </c>
      <c r="BH46" s="430" t="str">
        <f t="shared" si="38"/>
        <v/>
      </c>
      <c r="BI46" s="430" t="str">
        <f t="shared" si="39"/>
        <v/>
      </c>
      <c r="BJ46" s="430" t="str">
        <f t="shared" si="40"/>
        <v/>
      </c>
      <c r="BK46" s="430" t="str">
        <f t="shared" si="41"/>
        <v/>
      </c>
      <c r="BL46" s="430" t="str">
        <f t="shared" si="42"/>
        <v/>
      </c>
      <c r="BM46" s="430" t="str">
        <f t="shared" si="43"/>
        <v/>
      </c>
      <c r="BN46" s="430" t="str">
        <f t="shared" si="44"/>
        <v/>
      </c>
      <c r="BO46" s="430" t="str">
        <f t="shared" si="45"/>
        <v/>
      </c>
      <c r="BP46" s="430" t="str">
        <f t="shared" si="46"/>
        <v/>
      </c>
      <c r="BQ46" s="430" t="str">
        <f t="shared" si="47"/>
        <v/>
      </c>
      <c r="BR46" s="430" t="str">
        <f t="shared" si="48"/>
        <v/>
      </c>
      <c r="BS46" s="430" t="str">
        <f t="shared" si="49"/>
        <v/>
      </c>
      <c r="BT46" s="430" t="str">
        <f t="shared" si="50"/>
        <v/>
      </c>
      <c r="BU46" s="430" t="str">
        <f t="shared" si="51"/>
        <v/>
      </c>
      <c r="BV46" s="430" t="str">
        <f t="shared" si="52"/>
        <v/>
      </c>
      <c r="BW46" s="430" t="str">
        <f t="shared" si="53"/>
        <v/>
      </c>
      <c r="BX46" s="430" t="str">
        <f t="shared" si="54"/>
        <v/>
      </c>
      <c r="BY46" s="430" t="str">
        <f t="shared" si="55"/>
        <v/>
      </c>
      <c r="BZ46" s="430" t="str">
        <f t="shared" si="56"/>
        <v/>
      </c>
      <c r="CA46" s="430" t="str">
        <f t="shared" si="57"/>
        <v/>
      </c>
      <c r="CB46" s="430" t="str">
        <f t="shared" si="58"/>
        <v/>
      </c>
      <c r="CC46" s="430" t="str">
        <f t="shared" si="59"/>
        <v/>
      </c>
      <c r="CD46" s="430" t="str">
        <f t="shared" si="60"/>
        <v/>
      </c>
      <c r="CE46" s="430" t="str">
        <f t="shared" si="61"/>
        <v/>
      </c>
      <c r="CF46" s="430" t="str">
        <f t="shared" si="62"/>
        <v/>
      </c>
      <c r="CG46" s="430" t="str">
        <f t="shared" si="63"/>
        <v/>
      </c>
      <c r="CH46" s="430" t="str">
        <f t="shared" si="64"/>
        <v/>
      </c>
      <c r="CI46" s="430" t="str">
        <f t="shared" si="65"/>
        <v/>
      </c>
      <c r="CJ46" s="430" t="str">
        <f t="shared" si="66"/>
        <v/>
      </c>
      <c r="CK46" s="430" t="str">
        <f t="shared" si="67"/>
        <v/>
      </c>
      <c r="CL46" s="430" t="str">
        <f t="shared" si="68"/>
        <v/>
      </c>
      <c r="CM46" s="430" t="str">
        <f t="shared" si="69"/>
        <v/>
      </c>
      <c r="CN46" s="430" t="str">
        <f t="shared" si="70"/>
        <v/>
      </c>
      <c r="CO46" s="430" t="str">
        <f t="shared" si="71"/>
        <v/>
      </c>
      <c r="CP46" s="430" t="str">
        <f t="shared" si="72"/>
        <v/>
      </c>
      <c r="CQ46" s="430" t="str">
        <f t="shared" si="73"/>
        <v/>
      </c>
      <c r="CR46" s="430" t="str">
        <f t="shared" si="74"/>
        <v/>
      </c>
      <c r="CS46" s="430" t="str">
        <f t="shared" si="75"/>
        <v/>
      </c>
      <c r="CT46" s="430" t="str">
        <f t="shared" si="76"/>
        <v/>
      </c>
      <c r="CU46" s="430" t="str">
        <f t="shared" si="77"/>
        <v/>
      </c>
      <c r="CV46" s="430" t="str">
        <f t="shared" si="78"/>
        <v/>
      </c>
      <c r="CW46" s="430" t="str">
        <f t="shared" si="79"/>
        <v/>
      </c>
      <c r="CX46" s="430" t="str">
        <f t="shared" si="80"/>
        <v/>
      </c>
      <c r="CY46" s="430" t="str">
        <f t="shared" si="81"/>
        <v/>
      </c>
      <c r="CZ46" s="430" t="str">
        <f t="shared" si="82"/>
        <v/>
      </c>
      <c r="DA46" s="430" t="str">
        <f t="shared" si="83"/>
        <v/>
      </c>
      <c r="DB46" s="430" t="str">
        <f t="shared" si="84"/>
        <v/>
      </c>
      <c r="DC46" s="430" t="str">
        <f t="shared" si="85"/>
        <v/>
      </c>
      <c r="DD46" s="430" t="str">
        <f t="shared" si="86"/>
        <v/>
      </c>
      <c r="DE46" s="430" t="str">
        <f t="shared" si="87"/>
        <v/>
      </c>
      <c r="DF46" s="430" t="str">
        <f t="shared" si="88"/>
        <v/>
      </c>
      <c r="DG46" s="430" t="str">
        <f t="shared" si="89"/>
        <v/>
      </c>
      <c r="DH46" s="430" t="str">
        <f t="shared" si="90"/>
        <v/>
      </c>
      <c r="DI46" s="430" t="str">
        <f t="shared" si="91"/>
        <v/>
      </c>
      <c r="DJ46" s="430" t="str">
        <f t="shared" si="92"/>
        <v/>
      </c>
      <c r="DK46" s="430" t="str">
        <f t="shared" si="93"/>
        <v/>
      </c>
      <c r="DL46" s="430" t="str">
        <f t="shared" si="94"/>
        <v/>
      </c>
      <c r="DM46" s="430" t="str">
        <f t="shared" si="95"/>
        <v/>
      </c>
      <c r="DN46" s="430" t="str">
        <f t="shared" si="96"/>
        <v/>
      </c>
      <c r="DO46" s="430" t="str">
        <f t="shared" si="97"/>
        <v/>
      </c>
      <c r="DP46" s="430" t="str">
        <f t="shared" si="98"/>
        <v/>
      </c>
      <c r="DQ46" s="430" t="str">
        <f t="shared" si="99"/>
        <v/>
      </c>
      <c r="DR46" s="430" t="str">
        <f t="shared" si="100"/>
        <v/>
      </c>
      <c r="DS46" s="430" t="str">
        <f t="shared" si="101"/>
        <v/>
      </c>
      <c r="DT46" s="430" t="str">
        <f t="shared" si="102"/>
        <v/>
      </c>
      <c r="DU46" s="430" t="str">
        <f t="shared" si="103"/>
        <v/>
      </c>
      <c r="DV46" s="430" t="str">
        <f t="shared" si="104"/>
        <v/>
      </c>
      <c r="DW46" s="430" t="str">
        <f t="shared" si="105"/>
        <v/>
      </c>
      <c r="DX46" s="430" t="str">
        <f t="shared" si="106"/>
        <v/>
      </c>
      <c r="DY46" s="430" t="str">
        <f t="shared" si="107"/>
        <v/>
      </c>
      <c r="DZ46" s="430" t="str">
        <f t="shared" si="108"/>
        <v/>
      </c>
      <c r="EA46" s="430" t="str">
        <f t="shared" si="109"/>
        <v/>
      </c>
      <c r="EB46" s="430" t="str">
        <f t="shared" si="110"/>
        <v/>
      </c>
      <c r="EC46" s="430" t="str">
        <f t="shared" si="111"/>
        <v/>
      </c>
      <c r="ED46" s="430" t="str">
        <f t="shared" si="112"/>
        <v/>
      </c>
      <c r="EE46" s="430" t="str">
        <f t="shared" si="113"/>
        <v/>
      </c>
      <c r="EF46" s="430" t="str">
        <f t="shared" si="114"/>
        <v/>
      </c>
      <c r="EG46" s="430" t="str">
        <f t="shared" si="115"/>
        <v/>
      </c>
      <c r="EH46" s="430" t="str">
        <f t="shared" si="116"/>
        <v/>
      </c>
      <c r="EI46" s="430" t="str">
        <f t="shared" si="117"/>
        <v/>
      </c>
      <c r="EJ46" s="430" t="str">
        <f t="shared" si="118"/>
        <v/>
      </c>
      <c r="EK46" s="430" t="str">
        <f t="shared" si="119"/>
        <v/>
      </c>
      <c r="EL46" s="430" t="str">
        <f t="shared" si="120"/>
        <v/>
      </c>
      <c r="EM46" s="430" t="str">
        <f t="shared" si="121"/>
        <v/>
      </c>
      <c r="EN46" s="430" t="str">
        <f t="shared" si="122"/>
        <v/>
      </c>
      <c r="EO46" s="430" t="str">
        <f t="shared" si="123"/>
        <v/>
      </c>
      <c r="EP46" s="430" t="str">
        <f t="shared" si="124"/>
        <v/>
      </c>
      <c r="EQ46" s="430" t="str">
        <f t="shared" si="125"/>
        <v/>
      </c>
      <c r="ER46" s="430" t="str">
        <f t="shared" si="126"/>
        <v/>
      </c>
      <c r="ES46" s="430" t="str">
        <f t="shared" si="127"/>
        <v/>
      </c>
      <c r="ET46" s="430" t="str">
        <f t="shared" si="128"/>
        <v/>
      </c>
      <c r="EU46" s="430" t="str">
        <f t="shared" si="129"/>
        <v/>
      </c>
      <c r="EV46" s="430" t="str">
        <f t="shared" si="130"/>
        <v/>
      </c>
      <c r="EW46" s="430" t="str">
        <f t="shared" si="131"/>
        <v/>
      </c>
      <c r="EX46" s="430" t="str">
        <f t="shared" si="132"/>
        <v/>
      </c>
      <c r="EY46" s="430" t="str">
        <f t="shared" si="133"/>
        <v/>
      </c>
      <c r="EZ46" s="430" t="str">
        <f t="shared" si="134"/>
        <v/>
      </c>
      <c r="FA46" s="430" t="str">
        <f t="shared" si="135"/>
        <v/>
      </c>
      <c r="FB46" s="430" t="str">
        <f t="shared" si="136"/>
        <v/>
      </c>
      <c r="FC46" s="430" t="str">
        <f t="shared" si="137"/>
        <v/>
      </c>
      <c r="FD46" s="430" t="str">
        <f t="shared" si="138"/>
        <v/>
      </c>
      <c r="FE46" s="430" t="str">
        <f t="shared" si="139"/>
        <v/>
      </c>
      <c r="FF46" s="430" t="str">
        <f t="shared" si="140"/>
        <v/>
      </c>
      <c r="FG46" s="430" t="str">
        <f t="shared" si="141"/>
        <v/>
      </c>
      <c r="FH46" s="430" t="str">
        <f t="shared" si="142"/>
        <v/>
      </c>
      <c r="FI46" s="430" t="str">
        <f t="shared" si="143"/>
        <v/>
      </c>
      <c r="FJ46" s="430" t="str">
        <f t="shared" si="144"/>
        <v/>
      </c>
      <c r="FK46" s="430" t="str">
        <f t="shared" si="145"/>
        <v/>
      </c>
      <c r="FL46" s="430" t="str">
        <f t="shared" si="146"/>
        <v/>
      </c>
      <c r="FM46" s="430" t="str">
        <f t="shared" si="147"/>
        <v/>
      </c>
      <c r="FN46" s="430" t="str">
        <f t="shared" si="148"/>
        <v/>
      </c>
      <c r="FO46" s="430" t="str">
        <f t="shared" si="149"/>
        <v/>
      </c>
      <c r="FP46" s="430" t="str">
        <f t="shared" si="150"/>
        <v/>
      </c>
      <c r="FQ46" s="430" t="str">
        <f t="shared" si="151"/>
        <v/>
      </c>
      <c r="FR46" s="430" t="str">
        <f t="shared" si="152"/>
        <v/>
      </c>
      <c r="FS46" s="430" t="str">
        <f t="shared" si="153"/>
        <v/>
      </c>
      <c r="FT46" s="430" t="str">
        <f t="shared" si="154"/>
        <v/>
      </c>
      <c r="FU46" s="430" t="str">
        <f t="shared" si="155"/>
        <v/>
      </c>
      <c r="FV46" s="430" t="str">
        <f t="shared" si="156"/>
        <v/>
      </c>
      <c r="FW46" s="430" t="str">
        <f t="shared" si="157"/>
        <v/>
      </c>
      <c r="FX46" s="430" t="str">
        <f t="shared" si="158"/>
        <v/>
      </c>
      <c r="FY46" s="430" t="str">
        <f t="shared" si="159"/>
        <v/>
      </c>
      <c r="FZ46" s="430" t="str">
        <f t="shared" si="160"/>
        <v/>
      </c>
      <c r="GA46" s="430" t="str">
        <f t="shared" si="161"/>
        <v/>
      </c>
      <c r="GB46" s="430" t="str">
        <f t="shared" si="162"/>
        <v/>
      </c>
      <c r="GC46" s="430" t="str">
        <f t="shared" si="163"/>
        <v/>
      </c>
      <c r="GD46" s="430" t="str">
        <f t="shared" si="164"/>
        <v/>
      </c>
      <c r="GE46" s="430" t="str">
        <f t="shared" si="165"/>
        <v/>
      </c>
      <c r="GF46" s="430" t="str">
        <f t="shared" si="166"/>
        <v/>
      </c>
      <c r="GG46" s="430" t="str">
        <f t="shared" si="167"/>
        <v/>
      </c>
      <c r="GH46" s="430" t="str">
        <f t="shared" si="168"/>
        <v/>
      </c>
      <c r="GI46" s="430" t="str">
        <f t="shared" si="169"/>
        <v/>
      </c>
      <c r="GJ46" s="430" t="str">
        <f t="shared" si="170"/>
        <v/>
      </c>
      <c r="GK46" s="430" t="str">
        <f t="shared" si="171"/>
        <v/>
      </c>
      <c r="GL46" s="430" t="str">
        <f t="shared" si="172"/>
        <v/>
      </c>
      <c r="GM46" s="430" t="str">
        <f t="shared" si="173"/>
        <v/>
      </c>
      <c r="GN46" s="430" t="str">
        <f t="shared" si="174"/>
        <v/>
      </c>
      <c r="GO46" s="430" t="str">
        <f t="shared" si="175"/>
        <v/>
      </c>
      <c r="GP46" s="430" t="str">
        <f t="shared" si="176"/>
        <v/>
      </c>
      <c r="GQ46" s="430" t="str">
        <f t="shared" si="177"/>
        <v/>
      </c>
      <c r="GR46" s="430" t="str">
        <f t="shared" si="178"/>
        <v/>
      </c>
      <c r="GS46" s="430" t="str">
        <f t="shared" si="179"/>
        <v/>
      </c>
      <c r="GT46" s="430" t="str">
        <f t="shared" si="180"/>
        <v/>
      </c>
      <c r="GU46" s="430" t="str">
        <f t="shared" si="181"/>
        <v/>
      </c>
      <c r="GV46" s="430" t="str">
        <f t="shared" si="182"/>
        <v/>
      </c>
      <c r="GW46" s="430" t="str">
        <f t="shared" si="183"/>
        <v/>
      </c>
      <c r="GX46" s="430" t="str">
        <f t="shared" si="184"/>
        <v/>
      </c>
      <c r="GY46" s="430" t="str">
        <f t="shared" si="185"/>
        <v/>
      </c>
      <c r="GZ46" s="430" t="str">
        <f t="shared" si="186"/>
        <v/>
      </c>
      <c r="HA46" s="430" t="str">
        <f t="shared" si="187"/>
        <v/>
      </c>
      <c r="HB46" s="430" t="str">
        <f t="shared" si="188"/>
        <v/>
      </c>
      <c r="HC46" s="430" t="str">
        <f t="shared" si="189"/>
        <v/>
      </c>
      <c r="HD46" s="430" t="str">
        <f t="shared" si="190"/>
        <v/>
      </c>
      <c r="HE46" s="430" t="str">
        <f t="shared" si="191"/>
        <v/>
      </c>
      <c r="HF46" s="430" t="str">
        <f t="shared" si="192"/>
        <v/>
      </c>
      <c r="HG46" s="430" t="str">
        <f t="shared" si="193"/>
        <v/>
      </c>
      <c r="HH46" s="430" t="str">
        <f t="shared" si="194"/>
        <v/>
      </c>
      <c r="HI46" s="430" t="str">
        <f t="shared" si="195"/>
        <v/>
      </c>
      <c r="HJ46" s="430" t="str">
        <f t="shared" si="196"/>
        <v/>
      </c>
      <c r="HK46" s="430" t="str">
        <f t="shared" si="197"/>
        <v/>
      </c>
      <c r="HL46" s="430" t="str">
        <f t="shared" si="198"/>
        <v/>
      </c>
      <c r="HM46" s="430" t="str">
        <f t="shared" si="199"/>
        <v/>
      </c>
      <c r="HN46" s="430" t="str">
        <f t="shared" si="200"/>
        <v/>
      </c>
      <c r="HO46" s="430" t="str">
        <f t="shared" si="201"/>
        <v/>
      </c>
      <c r="HP46" s="430" t="str">
        <f t="shared" si="202"/>
        <v/>
      </c>
      <c r="HQ46" s="430" t="str">
        <f t="shared" si="203"/>
        <v/>
      </c>
      <c r="HR46" s="430" t="str">
        <f t="shared" si="204"/>
        <v/>
      </c>
      <c r="HS46" s="430" t="str">
        <f t="shared" si="205"/>
        <v/>
      </c>
      <c r="HT46" s="430" t="str">
        <f t="shared" si="206"/>
        <v/>
      </c>
      <c r="HU46" s="430" t="str">
        <f t="shared" si="207"/>
        <v/>
      </c>
      <c r="HV46" s="430" t="str">
        <f t="shared" si="208"/>
        <v/>
      </c>
      <c r="HW46" s="430" t="str">
        <f t="shared" si="209"/>
        <v/>
      </c>
      <c r="HX46" s="430" t="str">
        <f t="shared" si="210"/>
        <v/>
      </c>
      <c r="HY46" s="430" t="str">
        <f t="shared" si="211"/>
        <v/>
      </c>
      <c r="HZ46" s="1814" t="str">
        <f t="shared" si="212"/>
        <v/>
      </c>
      <c r="IA46" s="1814" t="str">
        <f t="shared" si="213"/>
        <v/>
      </c>
      <c r="IB46" s="1814" t="str">
        <f t="shared" si="214"/>
        <v/>
      </c>
      <c r="IC46" s="1814" t="str">
        <f t="shared" si="215"/>
        <v/>
      </c>
      <c r="ID46" s="1814" t="str">
        <f t="shared" si="216"/>
        <v/>
      </c>
      <c r="IE46" s="1814" t="str">
        <f t="shared" si="217"/>
        <v/>
      </c>
      <c r="IF46" s="1814" t="str">
        <f t="shared" si="218"/>
        <v/>
      </c>
      <c r="IG46" s="1814" t="str">
        <f t="shared" si="219"/>
        <v/>
      </c>
      <c r="IH46" s="1814" t="str">
        <f t="shared" si="220"/>
        <v/>
      </c>
      <c r="II46" s="1814" t="str">
        <f t="shared" si="221"/>
        <v/>
      </c>
      <c r="IJ46" s="1814" t="str">
        <f t="shared" si="222"/>
        <v/>
      </c>
      <c r="IK46" s="1814" t="str">
        <f t="shared" si="223"/>
        <v/>
      </c>
      <c r="IL46" s="1814" t="str">
        <f t="shared" si="224"/>
        <v/>
      </c>
      <c r="IM46" s="1814" t="str">
        <f t="shared" si="225"/>
        <v/>
      </c>
      <c r="IN46" s="1814" t="str">
        <f t="shared" si="226"/>
        <v/>
      </c>
      <c r="IO46" s="1814" t="str">
        <f t="shared" si="227"/>
        <v/>
      </c>
      <c r="IP46" s="1814" t="str">
        <f t="shared" si="228"/>
        <v/>
      </c>
      <c r="IQ46" s="1814" t="str">
        <f t="shared" si="229"/>
        <v/>
      </c>
      <c r="IR46" s="1814" t="str">
        <f t="shared" si="230"/>
        <v/>
      </c>
      <c r="IS46" s="1814" t="str">
        <f t="shared" si="231"/>
        <v/>
      </c>
      <c r="IT46" s="1814" t="str">
        <f t="shared" si="232"/>
        <v/>
      </c>
      <c r="IU46" s="1814" t="str">
        <f t="shared" si="233"/>
        <v/>
      </c>
      <c r="IV46" s="1814" t="str">
        <f t="shared" si="234"/>
        <v/>
      </c>
      <c r="IW46" s="1814" t="str">
        <f t="shared" si="235"/>
        <v/>
      </c>
      <c r="IX46" s="1814" t="str">
        <f t="shared" si="236"/>
        <v/>
      </c>
      <c r="IY46" s="1814" t="str">
        <f t="shared" si="237"/>
        <v/>
      </c>
      <c r="IZ46" s="1814" t="str">
        <f t="shared" si="238"/>
        <v/>
      </c>
      <c r="JA46" s="1814" t="str">
        <f t="shared" si="239"/>
        <v/>
      </c>
      <c r="JB46" s="1814" t="str">
        <f t="shared" si="240"/>
        <v/>
      </c>
      <c r="JC46" s="1814" t="str">
        <f t="shared" si="241"/>
        <v/>
      </c>
      <c r="JD46" s="1814" t="str">
        <f t="shared" si="242"/>
        <v/>
      </c>
      <c r="JE46" s="1814" t="str">
        <f t="shared" si="243"/>
        <v/>
      </c>
      <c r="JF46" s="1814" t="str">
        <f t="shared" si="244"/>
        <v/>
      </c>
      <c r="JG46" s="1814" t="str">
        <f t="shared" si="245"/>
        <v/>
      </c>
      <c r="JH46" s="1814" t="str">
        <f t="shared" si="246"/>
        <v/>
      </c>
      <c r="JI46" s="1814" t="str">
        <f t="shared" si="247"/>
        <v/>
      </c>
      <c r="JJ46" s="1814" t="str">
        <f t="shared" si="248"/>
        <v/>
      </c>
      <c r="JK46" s="1814" t="str">
        <f t="shared" si="249"/>
        <v/>
      </c>
      <c r="JL46" s="1814" t="str">
        <f t="shared" si="250"/>
        <v/>
      </c>
      <c r="JM46" s="1814" t="str">
        <f t="shared" si="251"/>
        <v/>
      </c>
      <c r="JN46" s="1814" t="str">
        <f t="shared" si="252"/>
        <v/>
      </c>
      <c r="JO46" s="1814" t="str">
        <f t="shared" si="253"/>
        <v/>
      </c>
      <c r="JP46" s="1814" t="str">
        <f t="shared" si="254"/>
        <v/>
      </c>
      <c r="JQ46" s="1814" t="str">
        <f t="shared" si="255"/>
        <v/>
      </c>
      <c r="JR46" s="1814" t="str">
        <f t="shared" si="256"/>
        <v/>
      </c>
      <c r="JS46" s="1814" t="str">
        <f t="shared" si="257"/>
        <v/>
      </c>
      <c r="JT46" s="1814" t="str">
        <f t="shared" si="258"/>
        <v/>
      </c>
      <c r="JU46" s="1814" t="str">
        <f t="shared" si="259"/>
        <v/>
      </c>
      <c r="JV46" s="1814" t="str">
        <f t="shared" si="260"/>
        <v/>
      </c>
      <c r="JW46" s="1814" t="str">
        <f t="shared" si="261"/>
        <v/>
      </c>
      <c r="JX46" s="1814" t="str">
        <f t="shared" si="262"/>
        <v/>
      </c>
      <c r="JY46" s="1814" t="str">
        <f t="shared" si="263"/>
        <v/>
      </c>
      <c r="JZ46" s="1814" t="str">
        <f t="shared" si="264"/>
        <v/>
      </c>
      <c r="KA46" s="1814" t="str">
        <f t="shared" si="265"/>
        <v/>
      </c>
      <c r="KB46" s="1814" t="str">
        <f t="shared" si="266"/>
        <v/>
      </c>
      <c r="KC46" s="1814" t="str">
        <f t="shared" si="267"/>
        <v/>
      </c>
      <c r="KD46" s="1814" t="str">
        <f t="shared" si="268"/>
        <v/>
      </c>
      <c r="KE46" s="1814" t="str">
        <f t="shared" si="269"/>
        <v/>
      </c>
      <c r="KF46" s="1814" t="str">
        <f t="shared" si="270"/>
        <v/>
      </c>
      <c r="KG46" s="1814" t="str">
        <f t="shared" si="271"/>
        <v/>
      </c>
      <c r="KH46" s="1814" t="str">
        <f t="shared" si="272"/>
        <v/>
      </c>
      <c r="KI46" s="1814" t="str">
        <f t="shared" si="273"/>
        <v/>
      </c>
      <c r="KJ46" s="1814" t="str">
        <f t="shared" si="274"/>
        <v/>
      </c>
      <c r="KK46" s="1814" t="str">
        <f t="shared" si="275"/>
        <v/>
      </c>
      <c r="KL46" s="1814" t="str">
        <f t="shared" si="276"/>
        <v/>
      </c>
      <c r="KM46" s="1814" t="str">
        <f t="shared" si="277"/>
        <v/>
      </c>
      <c r="KN46" s="1814" t="str">
        <f t="shared" si="278"/>
        <v/>
      </c>
      <c r="KO46" s="1814" t="str">
        <f t="shared" si="279"/>
        <v/>
      </c>
      <c r="KP46" s="1814" t="str">
        <f t="shared" si="280"/>
        <v/>
      </c>
      <c r="KQ46" s="1814" t="str">
        <f t="shared" si="281"/>
        <v/>
      </c>
      <c r="KR46" s="1814" t="str">
        <f t="shared" si="282"/>
        <v/>
      </c>
      <c r="KS46" s="1814" t="str">
        <f t="shared" si="283"/>
        <v/>
      </c>
      <c r="KT46" s="1814" t="str">
        <f t="shared" si="284"/>
        <v/>
      </c>
      <c r="KU46" s="1814" t="str">
        <f t="shared" si="285"/>
        <v/>
      </c>
      <c r="KV46" s="1814" t="str">
        <f t="shared" si="286"/>
        <v/>
      </c>
      <c r="KW46" s="1814" t="str">
        <f t="shared" si="287"/>
        <v/>
      </c>
      <c r="KX46" s="1814" t="str">
        <f t="shared" si="288"/>
        <v/>
      </c>
      <c r="KY46" s="1814" t="str">
        <f t="shared" si="289"/>
        <v/>
      </c>
      <c r="KZ46" s="1814" t="str">
        <f t="shared" si="290"/>
        <v/>
      </c>
      <c r="LA46" s="1814" t="str">
        <f t="shared" si="291"/>
        <v/>
      </c>
      <c r="LB46" s="1814" t="str">
        <f t="shared" si="292"/>
        <v/>
      </c>
      <c r="LC46" s="1814" t="str">
        <f t="shared" si="293"/>
        <v/>
      </c>
      <c r="LD46" s="1814" t="str">
        <f t="shared" si="294"/>
        <v/>
      </c>
      <c r="LE46" s="1814" t="str">
        <f t="shared" si="295"/>
        <v/>
      </c>
      <c r="LF46" s="1814" t="str">
        <f t="shared" si="296"/>
        <v/>
      </c>
      <c r="LG46" s="1786" t="str">
        <f t="shared" si="297"/>
        <v/>
      </c>
      <c r="LH46" s="1786" t="str">
        <f t="shared" si="298"/>
        <v/>
      </c>
      <c r="LI46" s="1786" t="str">
        <f t="shared" si="299"/>
        <v/>
      </c>
      <c r="LJ46" s="1786" t="str">
        <f t="shared" si="300"/>
        <v/>
      </c>
      <c r="LK46" s="1786" t="str">
        <f t="shared" si="301"/>
        <v/>
      </c>
      <c r="LL46" s="430" t="str">
        <f t="shared" si="302"/>
        <v/>
      </c>
      <c r="LM46" s="430" t="str">
        <f t="shared" si="303"/>
        <v/>
      </c>
      <c r="LN46" s="430" t="str">
        <f t="shared" si="304"/>
        <v/>
      </c>
      <c r="LO46" s="430" t="str">
        <f t="shared" si="305"/>
        <v/>
      </c>
      <c r="LP46" s="430" t="str">
        <f t="shared" si="306"/>
        <v/>
      </c>
      <c r="LQ46" s="430" t="str">
        <f t="shared" si="307"/>
        <v/>
      </c>
      <c r="LR46" s="430" t="str">
        <f t="shared" si="308"/>
        <v/>
      </c>
      <c r="LS46" s="430" t="str">
        <f t="shared" si="309"/>
        <v/>
      </c>
      <c r="LT46" s="430" t="str">
        <f t="shared" si="310"/>
        <v/>
      </c>
      <c r="LU46" s="430" t="str">
        <f t="shared" si="311"/>
        <v/>
      </c>
      <c r="LV46" s="430" t="str">
        <f t="shared" si="312"/>
        <v/>
      </c>
      <c r="LW46" s="430" t="str">
        <f t="shared" si="313"/>
        <v/>
      </c>
      <c r="LX46" s="430" t="str">
        <f t="shared" si="314"/>
        <v/>
      </c>
      <c r="LY46" s="430" t="str">
        <f t="shared" si="315"/>
        <v/>
      </c>
      <c r="LZ46" s="430" t="str">
        <f t="shared" si="316"/>
        <v/>
      </c>
      <c r="MA46" s="430" t="str">
        <f t="shared" si="317"/>
        <v/>
      </c>
      <c r="MB46" s="430" t="str">
        <f t="shared" si="318"/>
        <v/>
      </c>
      <c r="MC46" s="430" t="str">
        <f t="shared" si="319"/>
        <v/>
      </c>
      <c r="MD46" s="430" t="str">
        <f t="shared" si="320"/>
        <v/>
      </c>
      <c r="ME46" s="430" t="str">
        <f t="shared" si="321"/>
        <v/>
      </c>
      <c r="MF46" s="1815">
        <f t="shared" si="328"/>
        <v>0</v>
      </c>
      <c r="MG46" s="1815">
        <f t="shared" si="329"/>
        <v>0</v>
      </c>
      <c r="MH46" s="1815">
        <f t="shared" si="330"/>
        <v>0</v>
      </c>
      <c r="MI46" s="1815">
        <f t="shared" si="331"/>
        <v>0</v>
      </c>
      <c r="MJ46" s="1815">
        <f t="shared" si="332"/>
        <v>0</v>
      </c>
      <c r="MK46" s="1815">
        <f t="shared" si="333"/>
        <v>0</v>
      </c>
      <c r="ML46" s="1815">
        <f t="shared" si="334"/>
        <v>0</v>
      </c>
      <c r="MM46" s="1815">
        <f t="shared" si="335"/>
        <v>0</v>
      </c>
      <c r="MN46" s="1815">
        <f t="shared" si="336"/>
        <v>0</v>
      </c>
      <c r="MO46" s="1815">
        <f t="shared" si="337"/>
        <v>0</v>
      </c>
      <c r="MP46" s="1815">
        <f t="shared" si="322"/>
        <v>0</v>
      </c>
      <c r="MQ46" s="1815">
        <f t="shared" si="323"/>
        <v>0</v>
      </c>
      <c r="MR46" s="1815">
        <f t="shared" si="324"/>
        <v>0</v>
      </c>
      <c r="MS46" s="1815">
        <f t="shared" si="325"/>
        <v>0</v>
      </c>
      <c r="MT46" s="1815">
        <f t="shared" si="326"/>
        <v>0</v>
      </c>
      <c r="NP46" s="2807" t="s">
        <v>6752</v>
      </c>
    </row>
    <row r="47" spans="1:380" ht="13.9" customHeight="1">
      <c r="A47" s="108" t="str">
        <f t="shared" si="327"/>
        <v/>
      </c>
      <c r="B47" s="2896"/>
      <c r="C47" s="2869"/>
      <c r="D47" s="2870"/>
      <c r="E47" s="2871"/>
      <c r="F47" s="2871"/>
      <c r="G47" s="2871"/>
      <c r="H47" s="2871"/>
      <c r="I47" s="2871"/>
      <c r="J47" s="2897">
        <f>IF(C47="",0,HLOOKUP(C47,'Part V-Utility Allowances'!$I$11:$M$22,12))</f>
        <v>0</v>
      </c>
      <c r="K47" s="2873"/>
      <c r="L47" s="537">
        <f t="shared" si="0"/>
        <v>0</v>
      </c>
      <c r="M47" s="537">
        <f t="shared" si="1"/>
        <v>0</v>
      </c>
      <c r="N47" s="2712"/>
      <c r="O47" s="2874"/>
      <c r="P47" s="2712"/>
      <c r="Q47" s="2875"/>
      <c r="R47" s="2876"/>
      <c r="S47" s="2877"/>
      <c r="T47" s="3833"/>
      <c r="U47" s="3834"/>
      <c r="V47" s="3834"/>
      <c r="W47" s="3835"/>
      <c r="X47" s="430" t="str">
        <f t="shared" si="2"/>
        <v/>
      </c>
      <c r="Y47" s="430" t="str">
        <f t="shared" si="3"/>
        <v/>
      </c>
      <c r="Z47" s="430" t="str">
        <f t="shared" si="4"/>
        <v/>
      </c>
      <c r="AA47" s="430" t="str">
        <f t="shared" si="5"/>
        <v/>
      </c>
      <c r="AB47" s="430" t="str">
        <f t="shared" si="6"/>
        <v/>
      </c>
      <c r="AC47" s="430" t="str">
        <f t="shared" si="7"/>
        <v/>
      </c>
      <c r="AD47" s="430" t="str">
        <f t="shared" si="8"/>
        <v/>
      </c>
      <c r="AE47" s="430" t="str">
        <f t="shared" si="9"/>
        <v/>
      </c>
      <c r="AF47" s="430" t="str">
        <f t="shared" si="10"/>
        <v/>
      </c>
      <c r="AG47" s="430" t="str">
        <f t="shared" si="11"/>
        <v/>
      </c>
      <c r="AH47" s="430" t="str">
        <f t="shared" si="12"/>
        <v/>
      </c>
      <c r="AI47" s="430" t="str">
        <f t="shared" si="13"/>
        <v/>
      </c>
      <c r="AJ47" s="430" t="str">
        <f t="shared" si="14"/>
        <v/>
      </c>
      <c r="AK47" s="430" t="str">
        <f t="shared" si="15"/>
        <v/>
      </c>
      <c r="AL47" s="430" t="str">
        <f t="shared" si="16"/>
        <v/>
      </c>
      <c r="AM47" s="430" t="str">
        <f t="shared" si="17"/>
        <v/>
      </c>
      <c r="AN47" s="430" t="str">
        <f t="shared" si="18"/>
        <v/>
      </c>
      <c r="AO47" s="430" t="str">
        <f t="shared" si="19"/>
        <v/>
      </c>
      <c r="AP47" s="430" t="str">
        <f t="shared" si="20"/>
        <v/>
      </c>
      <c r="AQ47" s="430" t="str">
        <f t="shared" si="21"/>
        <v/>
      </c>
      <c r="AR47" s="430" t="str">
        <f t="shared" si="22"/>
        <v/>
      </c>
      <c r="AS47" s="430" t="str">
        <f t="shared" si="23"/>
        <v/>
      </c>
      <c r="AT47" s="430" t="str">
        <f t="shared" si="24"/>
        <v/>
      </c>
      <c r="AU47" s="430" t="str">
        <f t="shared" si="25"/>
        <v/>
      </c>
      <c r="AV47" s="430" t="str">
        <f t="shared" si="26"/>
        <v/>
      </c>
      <c r="AW47" s="430" t="str">
        <f t="shared" si="27"/>
        <v/>
      </c>
      <c r="AX47" s="430" t="str">
        <f t="shared" si="28"/>
        <v/>
      </c>
      <c r="AY47" s="430" t="str">
        <f t="shared" si="29"/>
        <v/>
      </c>
      <c r="AZ47" s="430" t="str">
        <f t="shared" si="30"/>
        <v/>
      </c>
      <c r="BA47" s="430" t="str">
        <f t="shared" si="31"/>
        <v/>
      </c>
      <c r="BB47" s="430" t="str">
        <f t="shared" si="32"/>
        <v/>
      </c>
      <c r="BC47" s="430" t="str">
        <f t="shared" si="33"/>
        <v/>
      </c>
      <c r="BD47" s="430" t="str">
        <f t="shared" si="34"/>
        <v/>
      </c>
      <c r="BE47" s="430" t="str">
        <f t="shared" si="35"/>
        <v/>
      </c>
      <c r="BF47" s="430" t="str">
        <f t="shared" si="36"/>
        <v/>
      </c>
      <c r="BG47" s="430" t="str">
        <f t="shared" si="37"/>
        <v/>
      </c>
      <c r="BH47" s="430" t="str">
        <f t="shared" si="38"/>
        <v/>
      </c>
      <c r="BI47" s="430" t="str">
        <f t="shared" si="39"/>
        <v/>
      </c>
      <c r="BJ47" s="430" t="str">
        <f t="shared" si="40"/>
        <v/>
      </c>
      <c r="BK47" s="430" t="str">
        <f t="shared" si="41"/>
        <v/>
      </c>
      <c r="BL47" s="430" t="str">
        <f t="shared" si="42"/>
        <v/>
      </c>
      <c r="BM47" s="430" t="str">
        <f t="shared" si="43"/>
        <v/>
      </c>
      <c r="BN47" s="430" t="str">
        <f t="shared" si="44"/>
        <v/>
      </c>
      <c r="BO47" s="430" t="str">
        <f t="shared" si="45"/>
        <v/>
      </c>
      <c r="BP47" s="430" t="str">
        <f t="shared" si="46"/>
        <v/>
      </c>
      <c r="BQ47" s="430" t="str">
        <f t="shared" si="47"/>
        <v/>
      </c>
      <c r="BR47" s="430" t="str">
        <f t="shared" si="48"/>
        <v/>
      </c>
      <c r="BS47" s="430" t="str">
        <f t="shared" si="49"/>
        <v/>
      </c>
      <c r="BT47" s="430" t="str">
        <f t="shared" si="50"/>
        <v/>
      </c>
      <c r="BU47" s="430" t="str">
        <f t="shared" si="51"/>
        <v/>
      </c>
      <c r="BV47" s="430" t="str">
        <f t="shared" si="52"/>
        <v/>
      </c>
      <c r="BW47" s="430" t="str">
        <f t="shared" si="53"/>
        <v/>
      </c>
      <c r="BX47" s="430" t="str">
        <f t="shared" si="54"/>
        <v/>
      </c>
      <c r="BY47" s="430" t="str">
        <f t="shared" si="55"/>
        <v/>
      </c>
      <c r="BZ47" s="430" t="str">
        <f t="shared" si="56"/>
        <v/>
      </c>
      <c r="CA47" s="430" t="str">
        <f t="shared" si="57"/>
        <v/>
      </c>
      <c r="CB47" s="430" t="str">
        <f t="shared" si="58"/>
        <v/>
      </c>
      <c r="CC47" s="430" t="str">
        <f t="shared" si="59"/>
        <v/>
      </c>
      <c r="CD47" s="430" t="str">
        <f t="shared" si="60"/>
        <v/>
      </c>
      <c r="CE47" s="430" t="str">
        <f t="shared" si="61"/>
        <v/>
      </c>
      <c r="CF47" s="430" t="str">
        <f t="shared" si="62"/>
        <v/>
      </c>
      <c r="CG47" s="430" t="str">
        <f t="shared" si="63"/>
        <v/>
      </c>
      <c r="CH47" s="430" t="str">
        <f t="shared" si="64"/>
        <v/>
      </c>
      <c r="CI47" s="430" t="str">
        <f t="shared" si="65"/>
        <v/>
      </c>
      <c r="CJ47" s="430" t="str">
        <f t="shared" si="66"/>
        <v/>
      </c>
      <c r="CK47" s="430" t="str">
        <f t="shared" si="67"/>
        <v/>
      </c>
      <c r="CL47" s="430" t="str">
        <f t="shared" si="68"/>
        <v/>
      </c>
      <c r="CM47" s="430" t="str">
        <f t="shared" si="69"/>
        <v/>
      </c>
      <c r="CN47" s="430" t="str">
        <f t="shared" si="70"/>
        <v/>
      </c>
      <c r="CO47" s="430" t="str">
        <f t="shared" si="71"/>
        <v/>
      </c>
      <c r="CP47" s="430" t="str">
        <f t="shared" si="72"/>
        <v/>
      </c>
      <c r="CQ47" s="430" t="str">
        <f t="shared" si="73"/>
        <v/>
      </c>
      <c r="CR47" s="430" t="str">
        <f t="shared" si="74"/>
        <v/>
      </c>
      <c r="CS47" s="430" t="str">
        <f t="shared" si="75"/>
        <v/>
      </c>
      <c r="CT47" s="430" t="str">
        <f t="shared" si="76"/>
        <v/>
      </c>
      <c r="CU47" s="430" t="str">
        <f t="shared" si="77"/>
        <v/>
      </c>
      <c r="CV47" s="430" t="str">
        <f t="shared" si="78"/>
        <v/>
      </c>
      <c r="CW47" s="430" t="str">
        <f t="shared" si="79"/>
        <v/>
      </c>
      <c r="CX47" s="430" t="str">
        <f t="shared" si="80"/>
        <v/>
      </c>
      <c r="CY47" s="430" t="str">
        <f t="shared" si="81"/>
        <v/>
      </c>
      <c r="CZ47" s="430" t="str">
        <f t="shared" si="82"/>
        <v/>
      </c>
      <c r="DA47" s="430" t="str">
        <f t="shared" si="83"/>
        <v/>
      </c>
      <c r="DB47" s="430" t="str">
        <f t="shared" si="84"/>
        <v/>
      </c>
      <c r="DC47" s="430" t="str">
        <f t="shared" si="85"/>
        <v/>
      </c>
      <c r="DD47" s="430" t="str">
        <f t="shared" si="86"/>
        <v/>
      </c>
      <c r="DE47" s="430" t="str">
        <f t="shared" si="87"/>
        <v/>
      </c>
      <c r="DF47" s="430" t="str">
        <f t="shared" si="88"/>
        <v/>
      </c>
      <c r="DG47" s="430" t="str">
        <f t="shared" si="89"/>
        <v/>
      </c>
      <c r="DH47" s="430" t="str">
        <f t="shared" si="90"/>
        <v/>
      </c>
      <c r="DI47" s="430" t="str">
        <f t="shared" si="91"/>
        <v/>
      </c>
      <c r="DJ47" s="430" t="str">
        <f t="shared" si="92"/>
        <v/>
      </c>
      <c r="DK47" s="430" t="str">
        <f t="shared" si="93"/>
        <v/>
      </c>
      <c r="DL47" s="430" t="str">
        <f t="shared" si="94"/>
        <v/>
      </c>
      <c r="DM47" s="430" t="str">
        <f t="shared" si="95"/>
        <v/>
      </c>
      <c r="DN47" s="430" t="str">
        <f t="shared" si="96"/>
        <v/>
      </c>
      <c r="DO47" s="430" t="str">
        <f t="shared" si="97"/>
        <v/>
      </c>
      <c r="DP47" s="430" t="str">
        <f t="shared" si="98"/>
        <v/>
      </c>
      <c r="DQ47" s="430" t="str">
        <f t="shared" si="99"/>
        <v/>
      </c>
      <c r="DR47" s="430" t="str">
        <f t="shared" si="100"/>
        <v/>
      </c>
      <c r="DS47" s="430" t="str">
        <f t="shared" si="101"/>
        <v/>
      </c>
      <c r="DT47" s="430" t="str">
        <f t="shared" si="102"/>
        <v/>
      </c>
      <c r="DU47" s="430" t="str">
        <f t="shared" si="103"/>
        <v/>
      </c>
      <c r="DV47" s="430" t="str">
        <f t="shared" si="104"/>
        <v/>
      </c>
      <c r="DW47" s="430" t="str">
        <f t="shared" si="105"/>
        <v/>
      </c>
      <c r="DX47" s="430" t="str">
        <f t="shared" si="106"/>
        <v/>
      </c>
      <c r="DY47" s="430" t="str">
        <f t="shared" si="107"/>
        <v/>
      </c>
      <c r="DZ47" s="430" t="str">
        <f t="shared" si="108"/>
        <v/>
      </c>
      <c r="EA47" s="430" t="str">
        <f t="shared" si="109"/>
        <v/>
      </c>
      <c r="EB47" s="430" t="str">
        <f t="shared" si="110"/>
        <v/>
      </c>
      <c r="EC47" s="430" t="str">
        <f t="shared" si="111"/>
        <v/>
      </c>
      <c r="ED47" s="430" t="str">
        <f t="shared" si="112"/>
        <v/>
      </c>
      <c r="EE47" s="430" t="str">
        <f t="shared" si="113"/>
        <v/>
      </c>
      <c r="EF47" s="430" t="str">
        <f t="shared" si="114"/>
        <v/>
      </c>
      <c r="EG47" s="430" t="str">
        <f t="shared" si="115"/>
        <v/>
      </c>
      <c r="EH47" s="430" t="str">
        <f t="shared" si="116"/>
        <v/>
      </c>
      <c r="EI47" s="430" t="str">
        <f t="shared" si="117"/>
        <v/>
      </c>
      <c r="EJ47" s="430" t="str">
        <f t="shared" si="118"/>
        <v/>
      </c>
      <c r="EK47" s="430" t="str">
        <f t="shared" si="119"/>
        <v/>
      </c>
      <c r="EL47" s="430" t="str">
        <f t="shared" si="120"/>
        <v/>
      </c>
      <c r="EM47" s="430" t="str">
        <f t="shared" si="121"/>
        <v/>
      </c>
      <c r="EN47" s="430" t="str">
        <f t="shared" si="122"/>
        <v/>
      </c>
      <c r="EO47" s="430" t="str">
        <f t="shared" si="123"/>
        <v/>
      </c>
      <c r="EP47" s="430" t="str">
        <f t="shared" si="124"/>
        <v/>
      </c>
      <c r="EQ47" s="430" t="str">
        <f t="shared" si="125"/>
        <v/>
      </c>
      <c r="ER47" s="430" t="str">
        <f t="shared" si="126"/>
        <v/>
      </c>
      <c r="ES47" s="430" t="str">
        <f t="shared" si="127"/>
        <v/>
      </c>
      <c r="ET47" s="430" t="str">
        <f t="shared" si="128"/>
        <v/>
      </c>
      <c r="EU47" s="430" t="str">
        <f t="shared" si="129"/>
        <v/>
      </c>
      <c r="EV47" s="430" t="str">
        <f t="shared" si="130"/>
        <v/>
      </c>
      <c r="EW47" s="430" t="str">
        <f t="shared" si="131"/>
        <v/>
      </c>
      <c r="EX47" s="430" t="str">
        <f t="shared" si="132"/>
        <v/>
      </c>
      <c r="EY47" s="430" t="str">
        <f t="shared" si="133"/>
        <v/>
      </c>
      <c r="EZ47" s="430" t="str">
        <f t="shared" si="134"/>
        <v/>
      </c>
      <c r="FA47" s="430" t="str">
        <f t="shared" si="135"/>
        <v/>
      </c>
      <c r="FB47" s="430" t="str">
        <f t="shared" si="136"/>
        <v/>
      </c>
      <c r="FC47" s="430" t="str">
        <f t="shared" si="137"/>
        <v/>
      </c>
      <c r="FD47" s="430" t="str">
        <f t="shared" si="138"/>
        <v/>
      </c>
      <c r="FE47" s="430" t="str">
        <f t="shared" si="139"/>
        <v/>
      </c>
      <c r="FF47" s="430" t="str">
        <f t="shared" si="140"/>
        <v/>
      </c>
      <c r="FG47" s="430" t="str">
        <f t="shared" si="141"/>
        <v/>
      </c>
      <c r="FH47" s="430" t="str">
        <f t="shared" si="142"/>
        <v/>
      </c>
      <c r="FI47" s="430" t="str">
        <f t="shared" si="143"/>
        <v/>
      </c>
      <c r="FJ47" s="430" t="str">
        <f t="shared" si="144"/>
        <v/>
      </c>
      <c r="FK47" s="430" t="str">
        <f t="shared" si="145"/>
        <v/>
      </c>
      <c r="FL47" s="430" t="str">
        <f t="shared" si="146"/>
        <v/>
      </c>
      <c r="FM47" s="430" t="str">
        <f t="shared" si="147"/>
        <v/>
      </c>
      <c r="FN47" s="430" t="str">
        <f t="shared" si="148"/>
        <v/>
      </c>
      <c r="FO47" s="430" t="str">
        <f t="shared" si="149"/>
        <v/>
      </c>
      <c r="FP47" s="430" t="str">
        <f t="shared" si="150"/>
        <v/>
      </c>
      <c r="FQ47" s="430" t="str">
        <f t="shared" si="151"/>
        <v/>
      </c>
      <c r="FR47" s="430" t="str">
        <f t="shared" si="152"/>
        <v/>
      </c>
      <c r="FS47" s="430" t="str">
        <f t="shared" si="153"/>
        <v/>
      </c>
      <c r="FT47" s="430" t="str">
        <f t="shared" si="154"/>
        <v/>
      </c>
      <c r="FU47" s="430" t="str">
        <f t="shared" si="155"/>
        <v/>
      </c>
      <c r="FV47" s="430" t="str">
        <f t="shared" si="156"/>
        <v/>
      </c>
      <c r="FW47" s="430" t="str">
        <f t="shared" si="157"/>
        <v/>
      </c>
      <c r="FX47" s="430" t="str">
        <f t="shared" si="158"/>
        <v/>
      </c>
      <c r="FY47" s="430" t="str">
        <f t="shared" si="159"/>
        <v/>
      </c>
      <c r="FZ47" s="430" t="str">
        <f t="shared" si="160"/>
        <v/>
      </c>
      <c r="GA47" s="430" t="str">
        <f t="shared" si="161"/>
        <v/>
      </c>
      <c r="GB47" s="430" t="str">
        <f t="shared" si="162"/>
        <v/>
      </c>
      <c r="GC47" s="430" t="str">
        <f t="shared" si="163"/>
        <v/>
      </c>
      <c r="GD47" s="430" t="str">
        <f t="shared" si="164"/>
        <v/>
      </c>
      <c r="GE47" s="430" t="str">
        <f t="shared" si="165"/>
        <v/>
      </c>
      <c r="GF47" s="430" t="str">
        <f t="shared" si="166"/>
        <v/>
      </c>
      <c r="GG47" s="430" t="str">
        <f t="shared" si="167"/>
        <v/>
      </c>
      <c r="GH47" s="430" t="str">
        <f t="shared" si="168"/>
        <v/>
      </c>
      <c r="GI47" s="430" t="str">
        <f t="shared" si="169"/>
        <v/>
      </c>
      <c r="GJ47" s="430" t="str">
        <f t="shared" si="170"/>
        <v/>
      </c>
      <c r="GK47" s="430" t="str">
        <f t="shared" si="171"/>
        <v/>
      </c>
      <c r="GL47" s="430" t="str">
        <f t="shared" si="172"/>
        <v/>
      </c>
      <c r="GM47" s="430" t="str">
        <f t="shared" si="173"/>
        <v/>
      </c>
      <c r="GN47" s="430" t="str">
        <f t="shared" si="174"/>
        <v/>
      </c>
      <c r="GO47" s="430" t="str">
        <f t="shared" si="175"/>
        <v/>
      </c>
      <c r="GP47" s="430" t="str">
        <f t="shared" si="176"/>
        <v/>
      </c>
      <c r="GQ47" s="430" t="str">
        <f t="shared" si="177"/>
        <v/>
      </c>
      <c r="GR47" s="430" t="str">
        <f t="shared" si="178"/>
        <v/>
      </c>
      <c r="GS47" s="430" t="str">
        <f t="shared" si="179"/>
        <v/>
      </c>
      <c r="GT47" s="430" t="str">
        <f t="shared" si="180"/>
        <v/>
      </c>
      <c r="GU47" s="430" t="str">
        <f t="shared" si="181"/>
        <v/>
      </c>
      <c r="GV47" s="430" t="str">
        <f t="shared" si="182"/>
        <v/>
      </c>
      <c r="GW47" s="430" t="str">
        <f t="shared" si="183"/>
        <v/>
      </c>
      <c r="GX47" s="430" t="str">
        <f t="shared" si="184"/>
        <v/>
      </c>
      <c r="GY47" s="430" t="str">
        <f t="shared" si="185"/>
        <v/>
      </c>
      <c r="GZ47" s="430" t="str">
        <f t="shared" si="186"/>
        <v/>
      </c>
      <c r="HA47" s="430" t="str">
        <f t="shared" si="187"/>
        <v/>
      </c>
      <c r="HB47" s="430" t="str">
        <f t="shared" si="188"/>
        <v/>
      </c>
      <c r="HC47" s="430" t="str">
        <f t="shared" si="189"/>
        <v/>
      </c>
      <c r="HD47" s="430" t="str">
        <f t="shared" si="190"/>
        <v/>
      </c>
      <c r="HE47" s="430" t="str">
        <f t="shared" si="191"/>
        <v/>
      </c>
      <c r="HF47" s="430" t="str">
        <f t="shared" si="192"/>
        <v/>
      </c>
      <c r="HG47" s="430" t="str">
        <f t="shared" si="193"/>
        <v/>
      </c>
      <c r="HH47" s="430" t="str">
        <f t="shared" si="194"/>
        <v/>
      </c>
      <c r="HI47" s="430" t="str">
        <f t="shared" si="195"/>
        <v/>
      </c>
      <c r="HJ47" s="430" t="str">
        <f t="shared" si="196"/>
        <v/>
      </c>
      <c r="HK47" s="430" t="str">
        <f t="shared" si="197"/>
        <v/>
      </c>
      <c r="HL47" s="430" t="str">
        <f t="shared" si="198"/>
        <v/>
      </c>
      <c r="HM47" s="430" t="str">
        <f t="shared" si="199"/>
        <v/>
      </c>
      <c r="HN47" s="430" t="str">
        <f t="shared" si="200"/>
        <v/>
      </c>
      <c r="HO47" s="430" t="str">
        <f t="shared" si="201"/>
        <v/>
      </c>
      <c r="HP47" s="430" t="str">
        <f t="shared" si="202"/>
        <v/>
      </c>
      <c r="HQ47" s="430" t="str">
        <f t="shared" si="203"/>
        <v/>
      </c>
      <c r="HR47" s="430" t="str">
        <f t="shared" si="204"/>
        <v/>
      </c>
      <c r="HS47" s="430" t="str">
        <f t="shared" si="205"/>
        <v/>
      </c>
      <c r="HT47" s="430" t="str">
        <f t="shared" si="206"/>
        <v/>
      </c>
      <c r="HU47" s="430" t="str">
        <f t="shared" si="207"/>
        <v/>
      </c>
      <c r="HV47" s="430" t="str">
        <f t="shared" si="208"/>
        <v/>
      </c>
      <c r="HW47" s="430" t="str">
        <f t="shared" si="209"/>
        <v/>
      </c>
      <c r="HX47" s="430" t="str">
        <f t="shared" si="210"/>
        <v/>
      </c>
      <c r="HY47" s="430" t="str">
        <f t="shared" si="211"/>
        <v/>
      </c>
      <c r="HZ47" s="1814" t="str">
        <f t="shared" si="212"/>
        <v/>
      </c>
      <c r="IA47" s="1814" t="str">
        <f t="shared" si="213"/>
        <v/>
      </c>
      <c r="IB47" s="1814" t="str">
        <f t="shared" si="214"/>
        <v/>
      </c>
      <c r="IC47" s="1814" t="str">
        <f t="shared" si="215"/>
        <v/>
      </c>
      <c r="ID47" s="1814" t="str">
        <f t="shared" si="216"/>
        <v/>
      </c>
      <c r="IE47" s="1814" t="str">
        <f t="shared" si="217"/>
        <v/>
      </c>
      <c r="IF47" s="1814" t="str">
        <f t="shared" si="218"/>
        <v/>
      </c>
      <c r="IG47" s="1814" t="str">
        <f t="shared" si="219"/>
        <v/>
      </c>
      <c r="IH47" s="1814" t="str">
        <f t="shared" si="220"/>
        <v/>
      </c>
      <c r="II47" s="1814" t="str">
        <f t="shared" si="221"/>
        <v/>
      </c>
      <c r="IJ47" s="1814" t="str">
        <f t="shared" si="222"/>
        <v/>
      </c>
      <c r="IK47" s="1814" t="str">
        <f t="shared" si="223"/>
        <v/>
      </c>
      <c r="IL47" s="1814" t="str">
        <f t="shared" si="224"/>
        <v/>
      </c>
      <c r="IM47" s="1814" t="str">
        <f t="shared" si="225"/>
        <v/>
      </c>
      <c r="IN47" s="1814" t="str">
        <f t="shared" si="226"/>
        <v/>
      </c>
      <c r="IO47" s="1814" t="str">
        <f t="shared" si="227"/>
        <v/>
      </c>
      <c r="IP47" s="1814" t="str">
        <f t="shared" si="228"/>
        <v/>
      </c>
      <c r="IQ47" s="1814" t="str">
        <f t="shared" si="229"/>
        <v/>
      </c>
      <c r="IR47" s="1814" t="str">
        <f t="shared" si="230"/>
        <v/>
      </c>
      <c r="IS47" s="1814" t="str">
        <f t="shared" si="231"/>
        <v/>
      </c>
      <c r="IT47" s="1814" t="str">
        <f t="shared" si="232"/>
        <v/>
      </c>
      <c r="IU47" s="1814" t="str">
        <f t="shared" si="233"/>
        <v/>
      </c>
      <c r="IV47" s="1814" t="str">
        <f t="shared" si="234"/>
        <v/>
      </c>
      <c r="IW47" s="1814" t="str">
        <f t="shared" si="235"/>
        <v/>
      </c>
      <c r="IX47" s="1814" t="str">
        <f t="shared" si="236"/>
        <v/>
      </c>
      <c r="IY47" s="1814" t="str">
        <f t="shared" si="237"/>
        <v/>
      </c>
      <c r="IZ47" s="1814" t="str">
        <f t="shared" si="238"/>
        <v/>
      </c>
      <c r="JA47" s="1814" t="str">
        <f t="shared" si="239"/>
        <v/>
      </c>
      <c r="JB47" s="1814" t="str">
        <f t="shared" si="240"/>
        <v/>
      </c>
      <c r="JC47" s="1814" t="str">
        <f t="shared" si="241"/>
        <v/>
      </c>
      <c r="JD47" s="1814" t="str">
        <f t="shared" si="242"/>
        <v/>
      </c>
      <c r="JE47" s="1814" t="str">
        <f t="shared" si="243"/>
        <v/>
      </c>
      <c r="JF47" s="1814" t="str">
        <f t="shared" si="244"/>
        <v/>
      </c>
      <c r="JG47" s="1814" t="str">
        <f t="shared" si="245"/>
        <v/>
      </c>
      <c r="JH47" s="1814" t="str">
        <f t="shared" si="246"/>
        <v/>
      </c>
      <c r="JI47" s="1814" t="str">
        <f t="shared" si="247"/>
        <v/>
      </c>
      <c r="JJ47" s="1814" t="str">
        <f t="shared" si="248"/>
        <v/>
      </c>
      <c r="JK47" s="1814" t="str">
        <f t="shared" si="249"/>
        <v/>
      </c>
      <c r="JL47" s="1814" t="str">
        <f t="shared" si="250"/>
        <v/>
      </c>
      <c r="JM47" s="1814" t="str">
        <f t="shared" si="251"/>
        <v/>
      </c>
      <c r="JN47" s="1814" t="str">
        <f t="shared" si="252"/>
        <v/>
      </c>
      <c r="JO47" s="1814" t="str">
        <f t="shared" si="253"/>
        <v/>
      </c>
      <c r="JP47" s="1814" t="str">
        <f t="shared" si="254"/>
        <v/>
      </c>
      <c r="JQ47" s="1814" t="str">
        <f t="shared" si="255"/>
        <v/>
      </c>
      <c r="JR47" s="1814" t="str">
        <f t="shared" si="256"/>
        <v/>
      </c>
      <c r="JS47" s="1814" t="str">
        <f t="shared" si="257"/>
        <v/>
      </c>
      <c r="JT47" s="1814" t="str">
        <f t="shared" si="258"/>
        <v/>
      </c>
      <c r="JU47" s="1814" t="str">
        <f t="shared" si="259"/>
        <v/>
      </c>
      <c r="JV47" s="1814" t="str">
        <f t="shared" si="260"/>
        <v/>
      </c>
      <c r="JW47" s="1814" t="str">
        <f t="shared" si="261"/>
        <v/>
      </c>
      <c r="JX47" s="1814" t="str">
        <f t="shared" si="262"/>
        <v/>
      </c>
      <c r="JY47" s="1814" t="str">
        <f t="shared" si="263"/>
        <v/>
      </c>
      <c r="JZ47" s="1814" t="str">
        <f t="shared" si="264"/>
        <v/>
      </c>
      <c r="KA47" s="1814" t="str">
        <f t="shared" si="265"/>
        <v/>
      </c>
      <c r="KB47" s="1814" t="str">
        <f t="shared" si="266"/>
        <v/>
      </c>
      <c r="KC47" s="1814" t="str">
        <f t="shared" si="267"/>
        <v/>
      </c>
      <c r="KD47" s="1814" t="str">
        <f t="shared" si="268"/>
        <v/>
      </c>
      <c r="KE47" s="1814" t="str">
        <f t="shared" si="269"/>
        <v/>
      </c>
      <c r="KF47" s="1814" t="str">
        <f t="shared" si="270"/>
        <v/>
      </c>
      <c r="KG47" s="1814" t="str">
        <f t="shared" si="271"/>
        <v/>
      </c>
      <c r="KH47" s="1814" t="str">
        <f t="shared" si="272"/>
        <v/>
      </c>
      <c r="KI47" s="1814" t="str">
        <f t="shared" si="273"/>
        <v/>
      </c>
      <c r="KJ47" s="1814" t="str">
        <f t="shared" si="274"/>
        <v/>
      </c>
      <c r="KK47" s="1814" t="str">
        <f t="shared" si="275"/>
        <v/>
      </c>
      <c r="KL47" s="1814" t="str">
        <f t="shared" si="276"/>
        <v/>
      </c>
      <c r="KM47" s="1814" t="str">
        <f t="shared" si="277"/>
        <v/>
      </c>
      <c r="KN47" s="1814" t="str">
        <f t="shared" si="278"/>
        <v/>
      </c>
      <c r="KO47" s="1814" t="str">
        <f t="shared" si="279"/>
        <v/>
      </c>
      <c r="KP47" s="1814" t="str">
        <f t="shared" si="280"/>
        <v/>
      </c>
      <c r="KQ47" s="1814" t="str">
        <f t="shared" si="281"/>
        <v/>
      </c>
      <c r="KR47" s="1814" t="str">
        <f t="shared" si="282"/>
        <v/>
      </c>
      <c r="KS47" s="1814" t="str">
        <f t="shared" si="283"/>
        <v/>
      </c>
      <c r="KT47" s="1814" t="str">
        <f t="shared" si="284"/>
        <v/>
      </c>
      <c r="KU47" s="1814" t="str">
        <f t="shared" si="285"/>
        <v/>
      </c>
      <c r="KV47" s="1814" t="str">
        <f t="shared" si="286"/>
        <v/>
      </c>
      <c r="KW47" s="1814" t="str">
        <f t="shared" si="287"/>
        <v/>
      </c>
      <c r="KX47" s="1814" t="str">
        <f t="shared" si="288"/>
        <v/>
      </c>
      <c r="KY47" s="1814" t="str">
        <f t="shared" si="289"/>
        <v/>
      </c>
      <c r="KZ47" s="1814" t="str">
        <f t="shared" si="290"/>
        <v/>
      </c>
      <c r="LA47" s="1814" t="str">
        <f t="shared" si="291"/>
        <v/>
      </c>
      <c r="LB47" s="1814" t="str">
        <f t="shared" si="292"/>
        <v/>
      </c>
      <c r="LC47" s="1814" t="str">
        <f t="shared" si="293"/>
        <v/>
      </c>
      <c r="LD47" s="1814" t="str">
        <f t="shared" si="294"/>
        <v/>
      </c>
      <c r="LE47" s="1814" t="str">
        <f t="shared" si="295"/>
        <v/>
      </c>
      <c r="LF47" s="1814" t="str">
        <f t="shared" si="296"/>
        <v/>
      </c>
      <c r="LG47" s="1786" t="str">
        <f t="shared" si="297"/>
        <v/>
      </c>
      <c r="LH47" s="1786" t="str">
        <f t="shared" si="298"/>
        <v/>
      </c>
      <c r="LI47" s="1786" t="str">
        <f t="shared" si="299"/>
        <v/>
      </c>
      <c r="LJ47" s="1786" t="str">
        <f t="shared" si="300"/>
        <v/>
      </c>
      <c r="LK47" s="1786" t="str">
        <f t="shared" si="301"/>
        <v/>
      </c>
      <c r="LL47" s="430" t="str">
        <f t="shared" si="302"/>
        <v/>
      </c>
      <c r="LM47" s="430" t="str">
        <f t="shared" si="303"/>
        <v/>
      </c>
      <c r="LN47" s="430" t="str">
        <f t="shared" si="304"/>
        <v/>
      </c>
      <c r="LO47" s="430" t="str">
        <f t="shared" si="305"/>
        <v/>
      </c>
      <c r="LP47" s="430" t="str">
        <f t="shared" si="306"/>
        <v/>
      </c>
      <c r="LQ47" s="430" t="str">
        <f t="shared" si="307"/>
        <v/>
      </c>
      <c r="LR47" s="430" t="str">
        <f t="shared" si="308"/>
        <v/>
      </c>
      <c r="LS47" s="430" t="str">
        <f t="shared" si="309"/>
        <v/>
      </c>
      <c r="LT47" s="430" t="str">
        <f t="shared" si="310"/>
        <v/>
      </c>
      <c r="LU47" s="430" t="str">
        <f t="shared" si="311"/>
        <v/>
      </c>
      <c r="LV47" s="430" t="str">
        <f t="shared" si="312"/>
        <v/>
      </c>
      <c r="LW47" s="430" t="str">
        <f t="shared" si="313"/>
        <v/>
      </c>
      <c r="LX47" s="430" t="str">
        <f t="shared" si="314"/>
        <v/>
      </c>
      <c r="LY47" s="430" t="str">
        <f t="shared" si="315"/>
        <v/>
      </c>
      <c r="LZ47" s="430" t="str">
        <f t="shared" si="316"/>
        <v/>
      </c>
      <c r="MA47" s="430" t="str">
        <f t="shared" si="317"/>
        <v/>
      </c>
      <c r="MB47" s="430" t="str">
        <f t="shared" si="318"/>
        <v/>
      </c>
      <c r="MC47" s="430" t="str">
        <f t="shared" si="319"/>
        <v/>
      </c>
      <c r="MD47" s="430" t="str">
        <f t="shared" si="320"/>
        <v/>
      </c>
      <c r="ME47" s="430" t="str">
        <f t="shared" si="321"/>
        <v/>
      </c>
      <c r="MF47" s="1815">
        <f t="shared" si="328"/>
        <v>0</v>
      </c>
      <c r="MG47" s="1815">
        <f t="shared" si="329"/>
        <v>0</v>
      </c>
      <c r="MH47" s="1815">
        <f t="shared" si="330"/>
        <v>0</v>
      </c>
      <c r="MI47" s="1815">
        <f t="shared" si="331"/>
        <v>0</v>
      </c>
      <c r="MJ47" s="1815">
        <f t="shared" si="332"/>
        <v>0</v>
      </c>
      <c r="MK47" s="1815">
        <f t="shared" si="333"/>
        <v>0</v>
      </c>
      <c r="ML47" s="1815">
        <f t="shared" si="334"/>
        <v>0</v>
      </c>
      <c r="MM47" s="1815">
        <f t="shared" si="335"/>
        <v>0</v>
      </c>
      <c r="MN47" s="1815">
        <f t="shared" si="336"/>
        <v>0</v>
      </c>
      <c r="MO47" s="1815">
        <f t="shared" si="337"/>
        <v>0</v>
      </c>
      <c r="MP47" s="1815">
        <f t="shared" si="322"/>
        <v>0</v>
      </c>
      <c r="MQ47" s="1815">
        <f t="shared" si="323"/>
        <v>0</v>
      </c>
      <c r="MR47" s="1815">
        <f t="shared" si="324"/>
        <v>0</v>
      </c>
      <c r="MS47" s="1815">
        <f t="shared" si="325"/>
        <v>0</v>
      </c>
      <c r="MT47" s="1815">
        <f t="shared" si="326"/>
        <v>0</v>
      </c>
      <c r="NP47" s="2807" t="s">
        <v>6753</v>
      </c>
    </row>
    <row r="48" spans="1:380" ht="13.9" customHeight="1">
      <c r="A48" s="108" t="str">
        <f t="shared" si="327"/>
        <v/>
      </c>
      <c r="B48" s="2898"/>
      <c r="C48" s="2899"/>
      <c r="D48" s="2900"/>
      <c r="E48" s="2901"/>
      <c r="F48" s="2901"/>
      <c r="G48" s="2901"/>
      <c r="H48" s="2901"/>
      <c r="I48" s="2901"/>
      <c r="J48" s="2902">
        <f>IF(C48="",0,HLOOKUP(C48,'Part V-Utility Allowances'!$I$11:$M$22,12))</f>
        <v>0</v>
      </c>
      <c r="K48" s="2903"/>
      <c r="L48" s="538">
        <f t="shared" si="0"/>
        <v>0</v>
      </c>
      <c r="M48" s="538">
        <f t="shared" si="1"/>
        <v>0</v>
      </c>
      <c r="N48" s="2713"/>
      <c r="O48" s="2610"/>
      <c r="P48" s="2713"/>
      <c r="Q48" s="2904"/>
      <c r="R48" s="2905"/>
      <c r="S48" s="2906"/>
      <c r="T48" s="3839"/>
      <c r="U48" s="3840"/>
      <c r="V48" s="3840"/>
      <c r="W48" s="3841"/>
      <c r="X48" s="430" t="str">
        <f t="shared" si="2"/>
        <v/>
      </c>
      <c r="Y48" s="430" t="str">
        <f t="shared" si="3"/>
        <v/>
      </c>
      <c r="Z48" s="430" t="str">
        <f t="shared" si="4"/>
        <v/>
      </c>
      <c r="AA48" s="430" t="str">
        <f t="shared" si="5"/>
        <v/>
      </c>
      <c r="AB48" s="430" t="str">
        <f t="shared" si="6"/>
        <v/>
      </c>
      <c r="AC48" s="430" t="str">
        <f t="shared" si="7"/>
        <v/>
      </c>
      <c r="AD48" s="430" t="str">
        <f t="shared" si="8"/>
        <v/>
      </c>
      <c r="AE48" s="430" t="str">
        <f t="shared" si="9"/>
        <v/>
      </c>
      <c r="AF48" s="430" t="str">
        <f t="shared" si="10"/>
        <v/>
      </c>
      <c r="AG48" s="430" t="str">
        <f t="shared" si="11"/>
        <v/>
      </c>
      <c r="AH48" s="430" t="str">
        <f t="shared" si="12"/>
        <v/>
      </c>
      <c r="AI48" s="430" t="str">
        <f t="shared" si="13"/>
        <v/>
      </c>
      <c r="AJ48" s="430" t="str">
        <f t="shared" si="14"/>
        <v/>
      </c>
      <c r="AK48" s="430" t="str">
        <f t="shared" si="15"/>
        <v/>
      </c>
      <c r="AL48" s="430" t="str">
        <f t="shared" si="16"/>
        <v/>
      </c>
      <c r="AM48" s="430" t="str">
        <f t="shared" si="17"/>
        <v/>
      </c>
      <c r="AN48" s="430" t="str">
        <f t="shared" si="18"/>
        <v/>
      </c>
      <c r="AO48" s="430" t="str">
        <f t="shared" si="19"/>
        <v/>
      </c>
      <c r="AP48" s="430" t="str">
        <f t="shared" si="20"/>
        <v/>
      </c>
      <c r="AQ48" s="430" t="str">
        <f t="shared" si="21"/>
        <v/>
      </c>
      <c r="AR48" s="430" t="str">
        <f t="shared" si="22"/>
        <v/>
      </c>
      <c r="AS48" s="430" t="str">
        <f t="shared" si="23"/>
        <v/>
      </c>
      <c r="AT48" s="430" t="str">
        <f t="shared" si="24"/>
        <v/>
      </c>
      <c r="AU48" s="430" t="str">
        <f t="shared" si="25"/>
        <v/>
      </c>
      <c r="AV48" s="430" t="str">
        <f t="shared" si="26"/>
        <v/>
      </c>
      <c r="AW48" s="430" t="str">
        <f t="shared" si="27"/>
        <v/>
      </c>
      <c r="AX48" s="430" t="str">
        <f t="shared" si="28"/>
        <v/>
      </c>
      <c r="AY48" s="430" t="str">
        <f t="shared" si="29"/>
        <v/>
      </c>
      <c r="AZ48" s="430" t="str">
        <f t="shared" si="30"/>
        <v/>
      </c>
      <c r="BA48" s="430" t="str">
        <f t="shared" si="31"/>
        <v/>
      </c>
      <c r="BB48" s="430" t="str">
        <f t="shared" si="32"/>
        <v/>
      </c>
      <c r="BC48" s="430" t="str">
        <f t="shared" si="33"/>
        <v/>
      </c>
      <c r="BD48" s="430" t="str">
        <f t="shared" si="34"/>
        <v/>
      </c>
      <c r="BE48" s="430" t="str">
        <f t="shared" si="35"/>
        <v/>
      </c>
      <c r="BF48" s="430" t="str">
        <f t="shared" si="36"/>
        <v/>
      </c>
      <c r="BG48" s="430" t="str">
        <f t="shared" si="37"/>
        <v/>
      </c>
      <c r="BH48" s="430" t="str">
        <f t="shared" si="38"/>
        <v/>
      </c>
      <c r="BI48" s="430" t="str">
        <f t="shared" si="39"/>
        <v/>
      </c>
      <c r="BJ48" s="430" t="str">
        <f t="shared" si="40"/>
        <v/>
      </c>
      <c r="BK48" s="430" t="str">
        <f t="shared" si="41"/>
        <v/>
      </c>
      <c r="BL48" s="430" t="str">
        <f t="shared" si="42"/>
        <v/>
      </c>
      <c r="BM48" s="430" t="str">
        <f t="shared" si="43"/>
        <v/>
      </c>
      <c r="BN48" s="430" t="str">
        <f t="shared" si="44"/>
        <v/>
      </c>
      <c r="BO48" s="430" t="str">
        <f t="shared" si="45"/>
        <v/>
      </c>
      <c r="BP48" s="430" t="str">
        <f t="shared" si="46"/>
        <v/>
      </c>
      <c r="BQ48" s="430" t="str">
        <f t="shared" si="47"/>
        <v/>
      </c>
      <c r="BR48" s="430" t="str">
        <f t="shared" si="48"/>
        <v/>
      </c>
      <c r="BS48" s="430" t="str">
        <f t="shared" si="49"/>
        <v/>
      </c>
      <c r="BT48" s="430" t="str">
        <f t="shared" si="50"/>
        <v/>
      </c>
      <c r="BU48" s="430" t="str">
        <f t="shared" si="51"/>
        <v/>
      </c>
      <c r="BV48" s="430" t="str">
        <f t="shared" si="52"/>
        <v/>
      </c>
      <c r="BW48" s="430" t="str">
        <f t="shared" si="53"/>
        <v/>
      </c>
      <c r="BX48" s="430" t="str">
        <f t="shared" si="54"/>
        <v/>
      </c>
      <c r="BY48" s="430" t="str">
        <f t="shared" si="55"/>
        <v/>
      </c>
      <c r="BZ48" s="430" t="str">
        <f t="shared" si="56"/>
        <v/>
      </c>
      <c r="CA48" s="430" t="str">
        <f t="shared" si="57"/>
        <v/>
      </c>
      <c r="CB48" s="430" t="str">
        <f t="shared" si="58"/>
        <v/>
      </c>
      <c r="CC48" s="430" t="str">
        <f t="shared" si="59"/>
        <v/>
      </c>
      <c r="CD48" s="430" t="str">
        <f t="shared" si="60"/>
        <v/>
      </c>
      <c r="CE48" s="430" t="str">
        <f t="shared" si="61"/>
        <v/>
      </c>
      <c r="CF48" s="430" t="str">
        <f t="shared" si="62"/>
        <v/>
      </c>
      <c r="CG48" s="430" t="str">
        <f t="shared" si="63"/>
        <v/>
      </c>
      <c r="CH48" s="430" t="str">
        <f t="shared" si="64"/>
        <v/>
      </c>
      <c r="CI48" s="430" t="str">
        <f t="shared" si="65"/>
        <v/>
      </c>
      <c r="CJ48" s="430" t="str">
        <f t="shared" si="66"/>
        <v/>
      </c>
      <c r="CK48" s="430" t="str">
        <f t="shared" si="67"/>
        <v/>
      </c>
      <c r="CL48" s="430" t="str">
        <f t="shared" si="68"/>
        <v/>
      </c>
      <c r="CM48" s="430" t="str">
        <f t="shared" si="69"/>
        <v/>
      </c>
      <c r="CN48" s="430" t="str">
        <f t="shared" si="70"/>
        <v/>
      </c>
      <c r="CO48" s="430" t="str">
        <f t="shared" si="71"/>
        <v/>
      </c>
      <c r="CP48" s="430" t="str">
        <f t="shared" si="72"/>
        <v/>
      </c>
      <c r="CQ48" s="430" t="str">
        <f t="shared" si="73"/>
        <v/>
      </c>
      <c r="CR48" s="430" t="str">
        <f t="shared" si="74"/>
        <v/>
      </c>
      <c r="CS48" s="430" t="str">
        <f t="shared" si="75"/>
        <v/>
      </c>
      <c r="CT48" s="430" t="str">
        <f t="shared" si="76"/>
        <v/>
      </c>
      <c r="CU48" s="430" t="str">
        <f t="shared" si="77"/>
        <v/>
      </c>
      <c r="CV48" s="430" t="str">
        <f t="shared" si="78"/>
        <v/>
      </c>
      <c r="CW48" s="430" t="str">
        <f t="shared" si="79"/>
        <v/>
      </c>
      <c r="CX48" s="430" t="str">
        <f t="shared" si="80"/>
        <v/>
      </c>
      <c r="CY48" s="430" t="str">
        <f t="shared" si="81"/>
        <v/>
      </c>
      <c r="CZ48" s="430" t="str">
        <f t="shared" si="82"/>
        <v/>
      </c>
      <c r="DA48" s="430" t="str">
        <f t="shared" si="83"/>
        <v/>
      </c>
      <c r="DB48" s="430" t="str">
        <f t="shared" si="84"/>
        <v/>
      </c>
      <c r="DC48" s="430" t="str">
        <f t="shared" si="85"/>
        <v/>
      </c>
      <c r="DD48" s="430" t="str">
        <f t="shared" si="86"/>
        <v/>
      </c>
      <c r="DE48" s="430" t="str">
        <f t="shared" si="87"/>
        <v/>
      </c>
      <c r="DF48" s="430" t="str">
        <f t="shared" si="88"/>
        <v/>
      </c>
      <c r="DG48" s="430" t="str">
        <f t="shared" si="89"/>
        <v/>
      </c>
      <c r="DH48" s="430" t="str">
        <f t="shared" si="90"/>
        <v/>
      </c>
      <c r="DI48" s="430" t="str">
        <f t="shared" si="91"/>
        <v/>
      </c>
      <c r="DJ48" s="430" t="str">
        <f t="shared" si="92"/>
        <v/>
      </c>
      <c r="DK48" s="430" t="str">
        <f t="shared" si="93"/>
        <v/>
      </c>
      <c r="DL48" s="430" t="str">
        <f t="shared" si="94"/>
        <v/>
      </c>
      <c r="DM48" s="430" t="str">
        <f t="shared" si="95"/>
        <v/>
      </c>
      <c r="DN48" s="430" t="str">
        <f t="shared" si="96"/>
        <v/>
      </c>
      <c r="DO48" s="430" t="str">
        <f t="shared" si="97"/>
        <v/>
      </c>
      <c r="DP48" s="430" t="str">
        <f t="shared" si="98"/>
        <v/>
      </c>
      <c r="DQ48" s="430" t="str">
        <f t="shared" si="99"/>
        <v/>
      </c>
      <c r="DR48" s="430" t="str">
        <f t="shared" si="100"/>
        <v/>
      </c>
      <c r="DS48" s="430" t="str">
        <f t="shared" si="101"/>
        <v/>
      </c>
      <c r="DT48" s="430" t="str">
        <f t="shared" si="102"/>
        <v/>
      </c>
      <c r="DU48" s="430" t="str">
        <f t="shared" si="103"/>
        <v/>
      </c>
      <c r="DV48" s="430" t="str">
        <f t="shared" si="104"/>
        <v/>
      </c>
      <c r="DW48" s="430" t="str">
        <f t="shared" si="105"/>
        <v/>
      </c>
      <c r="DX48" s="430" t="str">
        <f t="shared" si="106"/>
        <v/>
      </c>
      <c r="DY48" s="430" t="str">
        <f t="shared" si="107"/>
        <v/>
      </c>
      <c r="DZ48" s="430" t="str">
        <f t="shared" si="108"/>
        <v/>
      </c>
      <c r="EA48" s="430" t="str">
        <f t="shared" si="109"/>
        <v/>
      </c>
      <c r="EB48" s="430" t="str">
        <f t="shared" si="110"/>
        <v/>
      </c>
      <c r="EC48" s="430" t="str">
        <f t="shared" si="111"/>
        <v/>
      </c>
      <c r="ED48" s="430" t="str">
        <f t="shared" si="112"/>
        <v/>
      </c>
      <c r="EE48" s="430" t="str">
        <f t="shared" si="113"/>
        <v/>
      </c>
      <c r="EF48" s="430" t="str">
        <f t="shared" si="114"/>
        <v/>
      </c>
      <c r="EG48" s="430" t="str">
        <f t="shared" si="115"/>
        <v/>
      </c>
      <c r="EH48" s="430" t="str">
        <f t="shared" si="116"/>
        <v/>
      </c>
      <c r="EI48" s="430" t="str">
        <f t="shared" si="117"/>
        <v/>
      </c>
      <c r="EJ48" s="430" t="str">
        <f t="shared" si="118"/>
        <v/>
      </c>
      <c r="EK48" s="430" t="str">
        <f t="shared" si="119"/>
        <v/>
      </c>
      <c r="EL48" s="430" t="str">
        <f t="shared" si="120"/>
        <v/>
      </c>
      <c r="EM48" s="430" t="str">
        <f t="shared" si="121"/>
        <v/>
      </c>
      <c r="EN48" s="430" t="str">
        <f t="shared" si="122"/>
        <v/>
      </c>
      <c r="EO48" s="430" t="str">
        <f t="shared" si="123"/>
        <v/>
      </c>
      <c r="EP48" s="430" t="str">
        <f t="shared" si="124"/>
        <v/>
      </c>
      <c r="EQ48" s="430" t="str">
        <f t="shared" si="125"/>
        <v/>
      </c>
      <c r="ER48" s="430" t="str">
        <f t="shared" si="126"/>
        <v/>
      </c>
      <c r="ES48" s="430" t="str">
        <f t="shared" si="127"/>
        <v/>
      </c>
      <c r="ET48" s="430" t="str">
        <f t="shared" si="128"/>
        <v/>
      </c>
      <c r="EU48" s="430" t="str">
        <f t="shared" si="129"/>
        <v/>
      </c>
      <c r="EV48" s="430" t="str">
        <f t="shared" si="130"/>
        <v/>
      </c>
      <c r="EW48" s="430" t="str">
        <f t="shared" si="131"/>
        <v/>
      </c>
      <c r="EX48" s="430" t="str">
        <f t="shared" si="132"/>
        <v/>
      </c>
      <c r="EY48" s="430" t="str">
        <f t="shared" si="133"/>
        <v/>
      </c>
      <c r="EZ48" s="430" t="str">
        <f t="shared" si="134"/>
        <v/>
      </c>
      <c r="FA48" s="430" t="str">
        <f t="shared" si="135"/>
        <v/>
      </c>
      <c r="FB48" s="430" t="str">
        <f t="shared" si="136"/>
        <v/>
      </c>
      <c r="FC48" s="430" t="str">
        <f t="shared" si="137"/>
        <v/>
      </c>
      <c r="FD48" s="430" t="str">
        <f t="shared" si="138"/>
        <v/>
      </c>
      <c r="FE48" s="430" t="str">
        <f t="shared" si="139"/>
        <v/>
      </c>
      <c r="FF48" s="430" t="str">
        <f t="shared" si="140"/>
        <v/>
      </c>
      <c r="FG48" s="430" t="str">
        <f t="shared" si="141"/>
        <v/>
      </c>
      <c r="FH48" s="430" t="str">
        <f t="shared" si="142"/>
        <v/>
      </c>
      <c r="FI48" s="430" t="str">
        <f t="shared" si="143"/>
        <v/>
      </c>
      <c r="FJ48" s="430" t="str">
        <f t="shared" si="144"/>
        <v/>
      </c>
      <c r="FK48" s="430" t="str">
        <f t="shared" si="145"/>
        <v/>
      </c>
      <c r="FL48" s="430" t="str">
        <f t="shared" si="146"/>
        <v/>
      </c>
      <c r="FM48" s="430" t="str">
        <f t="shared" si="147"/>
        <v/>
      </c>
      <c r="FN48" s="430" t="str">
        <f t="shared" si="148"/>
        <v/>
      </c>
      <c r="FO48" s="430" t="str">
        <f t="shared" si="149"/>
        <v/>
      </c>
      <c r="FP48" s="430" t="str">
        <f t="shared" si="150"/>
        <v/>
      </c>
      <c r="FQ48" s="430" t="str">
        <f t="shared" si="151"/>
        <v/>
      </c>
      <c r="FR48" s="430" t="str">
        <f t="shared" si="152"/>
        <v/>
      </c>
      <c r="FS48" s="430" t="str">
        <f t="shared" si="153"/>
        <v/>
      </c>
      <c r="FT48" s="430" t="str">
        <f t="shared" si="154"/>
        <v/>
      </c>
      <c r="FU48" s="430" t="str">
        <f t="shared" si="155"/>
        <v/>
      </c>
      <c r="FV48" s="430" t="str">
        <f t="shared" si="156"/>
        <v/>
      </c>
      <c r="FW48" s="430" t="str">
        <f t="shared" si="157"/>
        <v/>
      </c>
      <c r="FX48" s="430" t="str">
        <f t="shared" si="158"/>
        <v/>
      </c>
      <c r="FY48" s="430" t="str">
        <f t="shared" si="159"/>
        <v/>
      </c>
      <c r="FZ48" s="430" t="str">
        <f t="shared" si="160"/>
        <v/>
      </c>
      <c r="GA48" s="430" t="str">
        <f t="shared" si="161"/>
        <v/>
      </c>
      <c r="GB48" s="430" t="str">
        <f t="shared" si="162"/>
        <v/>
      </c>
      <c r="GC48" s="430" t="str">
        <f t="shared" si="163"/>
        <v/>
      </c>
      <c r="GD48" s="430" t="str">
        <f t="shared" si="164"/>
        <v/>
      </c>
      <c r="GE48" s="430" t="str">
        <f t="shared" si="165"/>
        <v/>
      </c>
      <c r="GF48" s="430" t="str">
        <f t="shared" si="166"/>
        <v/>
      </c>
      <c r="GG48" s="430" t="str">
        <f t="shared" si="167"/>
        <v/>
      </c>
      <c r="GH48" s="430" t="str">
        <f t="shared" si="168"/>
        <v/>
      </c>
      <c r="GI48" s="430" t="str">
        <f t="shared" si="169"/>
        <v/>
      </c>
      <c r="GJ48" s="430" t="str">
        <f t="shared" si="170"/>
        <v/>
      </c>
      <c r="GK48" s="430" t="str">
        <f t="shared" si="171"/>
        <v/>
      </c>
      <c r="GL48" s="430" t="str">
        <f t="shared" si="172"/>
        <v/>
      </c>
      <c r="GM48" s="430" t="str">
        <f t="shared" si="173"/>
        <v/>
      </c>
      <c r="GN48" s="430" t="str">
        <f t="shared" si="174"/>
        <v/>
      </c>
      <c r="GO48" s="430" t="str">
        <f t="shared" si="175"/>
        <v/>
      </c>
      <c r="GP48" s="430" t="str">
        <f t="shared" si="176"/>
        <v/>
      </c>
      <c r="GQ48" s="430" t="str">
        <f t="shared" si="177"/>
        <v/>
      </c>
      <c r="GR48" s="430" t="str">
        <f t="shared" si="178"/>
        <v/>
      </c>
      <c r="GS48" s="430" t="str">
        <f t="shared" si="179"/>
        <v/>
      </c>
      <c r="GT48" s="430" t="str">
        <f t="shared" si="180"/>
        <v/>
      </c>
      <c r="GU48" s="430" t="str">
        <f t="shared" si="181"/>
        <v/>
      </c>
      <c r="GV48" s="430" t="str">
        <f t="shared" si="182"/>
        <v/>
      </c>
      <c r="GW48" s="430" t="str">
        <f t="shared" si="183"/>
        <v/>
      </c>
      <c r="GX48" s="430" t="str">
        <f t="shared" si="184"/>
        <v/>
      </c>
      <c r="GY48" s="430" t="str">
        <f t="shared" si="185"/>
        <v/>
      </c>
      <c r="GZ48" s="430" t="str">
        <f t="shared" si="186"/>
        <v/>
      </c>
      <c r="HA48" s="430" t="str">
        <f t="shared" si="187"/>
        <v/>
      </c>
      <c r="HB48" s="430" t="str">
        <f t="shared" si="188"/>
        <v/>
      </c>
      <c r="HC48" s="430" t="str">
        <f t="shared" si="189"/>
        <v/>
      </c>
      <c r="HD48" s="430" t="str">
        <f t="shared" si="190"/>
        <v/>
      </c>
      <c r="HE48" s="430" t="str">
        <f t="shared" si="191"/>
        <v/>
      </c>
      <c r="HF48" s="430" t="str">
        <f t="shared" si="192"/>
        <v/>
      </c>
      <c r="HG48" s="430" t="str">
        <f t="shared" si="193"/>
        <v/>
      </c>
      <c r="HH48" s="430" t="str">
        <f t="shared" si="194"/>
        <v/>
      </c>
      <c r="HI48" s="430" t="str">
        <f t="shared" si="195"/>
        <v/>
      </c>
      <c r="HJ48" s="430" t="str">
        <f t="shared" si="196"/>
        <v/>
      </c>
      <c r="HK48" s="430" t="str">
        <f t="shared" si="197"/>
        <v/>
      </c>
      <c r="HL48" s="430" t="str">
        <f t="shared" si="198"/>
        <v/>
      </c>
      <c r="HM48" s="430" t="str">
        <f t="shared" si="199"/>
        <v/>
      </c>
      <c r="HN48" s="430" t="str">
        <f t="shared" si="200"/>
        <v/>
      </c>
      <c r="HO48" s="430" t="str">
        <f t="shared" si="201"/>
        <v/>
      </c>
      <c r="HP48" s="430" t="str">
        <f t="shared" si="202"/>
        <v/>
      </c>
      <c r="HQ48" s="430" t="str">
        <f t="shared" si="203"/>
        <v/>
      </c>
      <c r="HR48" s="430" t="str">
        <f t="shared" si="204"/>
        <v/>
      </c>
      <c r="HS48" s="430" t="str">
        <f t="shared" si="205"/>
        <v/>
      </c>
      <c r="HT48" s="430" t="str">
        <f t="shared" si="206"/>
        <v/>
      </c>
      <c r="HU48" s="430" t="str">
        <f t="shared" si="207"/>
        <v/>
      </c>
      <c r="HV48" s="430" t="str">
        <f t="shared" si="208"/>
        <v/>
      </c>
      <c r="HW48" s="430" t="str">
        <f t="shared" si="209"/>
        <v/>
      </c>
      <c r="HX48" s="430" t="str">
        <f t="shared" si="210"/>
        <v/>
      </c>
      <c r="HY48" s="430" t="str">
        <f t="shared" si="211"/>
        <v/>
      </c>
      <c r="HZ48" s="1814" t="str">
        <f t="shared" si="212"/>
        <v/>
      </c>
      <c r="IA48" s="1814" t="str">
        <f t="shared" si="213"/>
        <v/>
      </c>
      <c r="IB48" s="1814" t="str">
        <f t="shared" si="214"/>
        <v/>
      </c>
      <c r="IC48" s="1814" t="str">
        <f t="shared" si="215"/>
        <v/>
      </c>
      <c r="ID48" s="1814" t="str">
        <f t="shared" si="216"/>
        <v/>
      </c>
      <c r="IE48" s="1814" t="str">
        <f t="shared" si="217"/>
        <v/>
      </c>
      <c r="IF48" s="1814" t="str">
        <f t="shared" si="218"/>
        <v/>
      </c>
      <c r="IG48" s="1814" t="str">
        <f t="shared" si="219"/>
        <v/>
      </c>
      <c r="IH48" s="1814" t="str">
        <f t="shared" si="220"/>
        <v/>
      </c>
      <c r="II48" s="1814" t="str">
        <f t="shared" si="221"/>
        <v/>
      </c>
      <c r="IJ48" s="1814" t="str">
        <f t="shared" si="222"/>
        <v/>
      </c>
      <c r="IK48" s="1814" t="str">
        <f t="shared" si="223"/>
        <v/>
      </c>
      <c r="IL48" s="1814" t="str">
        <f t="shared" si="224"/>
        <v/>
      </c>
      <c r="IM48" s="1814" t="str">
        <f t="shared" si="225"/>
        <v/>
      </c>
      <c r="IN48" s="1814" t="str">
        <f t="shared" si="226"/>
        <v/>
      </c>
      <c r="IO48" s="1814" t="str">
        <f t="shared" si="227"/>
        <v/>
      </c>
      <c r="IP48" s="1814" t="str">
        <f t="shared" si="228"/>
        <v/>
      </c>
      <c r="IQ48" s="1814" t="str">
        <f t="shared" si="229"/>
        <v/>
      </c>
      <c r="IR48" s="1814" t="str">
        <f t="shared" si="230"/>
        <v/>
      </c>
      <c r="IS48" s="1814" t="str">
        <f t="shared" si="231"/>
        <v/>
      </c>
      <c r="IT48" s="1814" t="str">
        <f t="shared" si="232"/>
        <v/>
      </c>
      <c r="IU48" s="1814" t="str">
        <f t="shared" si="233"/>
        <v/>
      </c>
      <c r="IV48" s="1814" t="str">
        <f t="shared" si="234"/>
        <v/>
      </c>
      <c r="IW48" s="1814" t="str">
        <f t="shared" si="235"/>
        <v/>
      </c>
      <c r="IX48" s="1814" t="str">
        <f t="shared" si="236"/>
        <v/>
      </c>
      <c r="IY48" s="1814" t="str">
        <f t="shared" si="237"/>
        <v/>
      </c>
      <c r="IZ48" s="1814" t="str">
        <f t="shared" si="238"/>
        <v/>
      </c>
      <c r="JA48" s="1814" t="str">
        <f t="shared" si="239"/>
        <v/>
      </c>
      <c r="JB48" s="1814" t="str">
        <f t="shared" si="240"/>
        <v/>
      </c>
      <c r="JC48" s="1814" t="str">
        <f t="shared" si="241"/>
        <v/>
      </c>
      <c r="JD48" s="1814" t="str">
        <f t="shared" si="242"/>
        <v/>
      </c>
      <c r="JE48" s="1814" t="str">
        <f t="shared" si="243"/>
        <v/>
      </c>
      <c r="JF48" s="1814" t="str">
        <f t="shared" si="244"/>
        <v/>
      </c>
      <c r="JG48" s="1814" t="str">
        <f t="shared" si="245"/>
        <v/>
      </c>
      <c r="JH48" s="1814" t="str">
        <f t="shared" si="246"/>
        <v/>
      </c>
      <c r="JI48" s="1814" t="str">
        <f t="shared" si="247"/>
        <v/>
      </c>
      <c r="JJ48" s="1814" t="str">
        <f t="shared" si="248"/>
        <v/>
      </c>
      <c r="JK48" s="1814" t="str">
        <f t="shared" si="249"/>
        <v/>
      </c>
      <c r="JL48" s="1814" t="str">
        <f t="shared" si="250"/>
        <v/>
      </c>
      <c r="JM48" s="1814" t="str">
        <f t="shared" si="251"/>
        <v/>
      </c>
      <c r="JN48" s="1814" t="str">
        <f t="shared" si="252"/>
        <v/>
      </c>
      <c r="JO48" s="1814" t="str">
        <f t="shared" si="253"/>
        <v/>
      </c>
      <c r="JP48" s="1814" t="str">
        <f t="shared" si="254"/>
        <v/>
      </c>
      <c r="JQ48" s="1814" t="str">
        <f t="shared" si="255"/>
        <v/>
      </c>
      <c r="JR48" s="1814" t="str">
        <f t="shared" si="256"/>
        <v/>
      </c>
      <c r="JS48" s="1814" t="str">
        <f t="shared" si="257"/>
        <v/>
      </c>
      <c r="JT48" s="1814" t="str">
        <f t="shared" si="258"/>
        <v/>
      </c>
      <c r="JU48" s="1814" t="str">
        <f t="shared" si="259"/>
        <v/>
      </c>
      <c r="JV48" s="1814" t="str">
        <f t="shared" si="260"/>
        <v/>
      </c>
      <c r="JW48" s="1814" t="str">
        <f t="shared" si="261"/>
        <v/>
      </c>
      <c r="JX48" s="1814" t="str">
        <f t="shared" si="262"/>
        <v/>
      </c>
      <c r="JY48" s="1814" t="str">
        <f t="shared" si="263"/>
        <v/>
      </c>
      <c r="JZ48" s="1814" t="str">
        <f t="shared" si="264"/>
        <v/>
      </c>
      <c r="KA48" s="1814" t="str">
        <f t="shared" si="265"/>
        <v/>
      </c>
      <c r="KB48" s="1814" t="str">
        <f t="shared" si="266"/>
        <v/>
      </c>
      <c r="KC48" s="1814" t="str">
        <f t="shared" si="267"/>
        <v/>
      </c>
      <c r="KD48" s="1814" t="str">
        <f t="shared" si="268"/>
        <v/>
      </c>
      <c r="KE48" s="1814" t="str">
        <f t="shared" si="269"/>
        <v/>
      </c>
      <c r="KF48" s="1814" t="str">
        <f t="shared" si="270"/>
        <v/>
      </c>
      <c r="KG48" s="1814" t="str">
        <f t="shared" si="271"/>
        <v/>
      </c>
      <c r="KH48" s="1814" t="str">
        <f t="shared" si="272"/>
        <v/>
      </c>
      <c r="KI48" s="1814" t="str">
        <f t="shared" si="273"/>
        <v/>
      </c>
      <c r="KJ48" s="1814" t="str">
        <f t="shared" si="274"/>
        <v/>
      </c>
      <c r="KK48" s="1814" t="str">
        <f t="shared" si="275"/>
        <v/>
      </c>
      <c r="KL48" s="1814" t="str">
        <f t="shared" si="276"/>
        <v/>
      </c>
      <c r="KM48" s="1814" t="str">
        <f t="shared" si="277"/>
        <v/>
      </c>
      <c r="KN48" s="1814" t="str">
        <f t="shared" si="278"/>
        <v/>
      </c>
      <c r="KO48" s="1814" t="str">
        <f t="shared" si="279"/>
        <v/>
      </c>
      <c r="KP48" s="1814" t="str">
        <f t="shared" si="280"/>
        <v/>
      </c>
      <c r="KQ48" s="1814" t="str">
        <f t="shared" si="281"/>
        <v/>
      </c>
      <c r="KR48" s="1814" t="str">
        <f t="shared" si="282"/>
        <v/>
      </c>
      <c r="KS48" s="1814" t="str">
        <f t="shared" si="283"/>
        <v/>
      </c>
      <c r="KT48" s="1814" t="str">
        <f t="shared" si="284"/>
        <v/>
      </c>
      <c r="KU48" s="1814" t="str">
        <f t="shared" si="285"/>
        <v/>
      </c>
      <c r="KV48" s="1814" t="str">
        <f t="shared" si="286"/>
        <v/>
      </c>
      <c r="KW48" s="1814" t="str">
        <f t="shared" si="287"/>
        <v/>
      </c>
      <c r="KX48" s="1814" t="str">
        <f t="shared" si="288"/>
        <v/>
      </c>
      <c r="KY48" s="1814" t="str">
        <f t="shared" si="289"/>
        <v/>
      </c>
      <c r="KZ48" s="1814" t="str">
        <f t="shared" si="290"/>
        <v/>
      </c>
      <c r="LA48" s="1814" t="str">
        <f t="shared" si="291"/>
        <v/>
      </c>
      <c r="LB48" s="1814" t="str">
        <f t="shared" si="292"/>
        <v/>
      </c>
      <c r="LC48" s="1814" t="str">
        <f t="shared" si="293"/>
        <v/>
      </c>
      <c r="LD48" s="1814" t="str">
        <f t="shared" si="294"/>
        <v/>
      </c>
      <c r="LE48" s="1814" t="str">
        <f t="shared" si="295"/>
        <v/>
      </c>
      <c r="LF48" s="1814" t="str">
        <f t="shared" si="296"/>
        <v/>
      </c>
      <c r="LG48" s="1786" t="str">
        <f t="shared" si="297"/>
        <v/>
      </c>
      <c r="LH48" s="1786" t="str">
        <f t="shared" si="298"/>
        <v/>
      </c>
      <c r="LI48" s="1786" t="str">
        <f t="shared" si="299"/>
        <v/>
      </c>
      <c r="LJ48" s="1786" t="str">
        <f t="shared" si="300"/>
        <v/>
      </c>
      <c r="LK48" s="1786" t="str">
        <f t="shared" si="301"/>
        <v/>
      </c>
      <c r="LL48" s="430" t="str">
        <f t="shared" si="302"/>
        <v/>
      </c>
      <c r="LM48" s="430" t="str">
        <f t="shared" si="303"/>
        <v/>
      </c>
      <c r="LN48" s="430" t="str">
        <f t="shared" si="304"/>
        <v/>
      </c>
      <c r="LO48" s="430" t="str">
        <f t="shared" si="305"/>
        <v/>
      </c>
      <c r="LP48" s="430" t="str">
        <f t="shared" si="306"/>
        <v/>
      </c>
      <c r="LQ48" s="430" t="str">
        <f t="shared" si="307"/>
        <v/>
      </c>
      <c r="LR48" s="430" t="str">
        <f t="shared" si="308"/>
        <v/>
      </c>
      <c r="LS48" s="430" t="str">
        <f t="shared" si="309"/>
        <v/>
      </c>
      <c r="LT48" s="430" t="str">
        <f t="shared" si="310"/>
        <v/>
      </c>
      <c r="LU48" s="430" t="str">
        <f t="shared" si="311"/>
        <v/>
      </c>
      <c r="LV48" s="430" t="str">
        <f t="shared" si="312"/>
        <v/>
      </c>
      <c r="LW48" s="430" t="str">
        <f t="shared" si="313"/>
        <v/>
      </c>
      <c r="LX48" s="430" t="str">
        <f t="shared" si="314"/>
        <v/>
      </c>
      <c r="LY48" s="430" t="str">
        <f t="shared" si="315"/>
        <v/>
      </c>
      <c r="LZ48" s="430" t="str">
        <f t="shared" si="316"/>
        <v/>
      </c>
      <c r="MA48" s="430" t="str">
        <f t="shared" si="317"/>
        <v/>
      </c>
      <c r="MB48" s="430" t="str">
        <f t="shared" si="318"/>
        <v/>
      </c>
      <c r="MC48" s="430" t="str">
        <f t="shared" si="319"/>
        <v/>
      </c>
      <c r="MD48" s="430" t="str">
        <f t="shared" si="320"/>
        <v/>
      </c>
      <c r="ME48" s="430" t="str">
        <f t="shared" si="321"/>
        <v/>
      </c>
      <c r="MF48" s="1815">
        <f t="shared" si="328"/>
        <v>0</v>
      </c>
      <c r="MG48" s="1815">
        <f t="shared" si="329"/>
        <v>0</v>
      </c>
      <c r="MH48" s="1815">
        <f t="shared" si="330"/>
        <v>0</v>
      </c>
      <c r="MI48" s="1815">
        <f t="shared" si="331"/>
        <v>0</v>
      </c>
      <c r="MJ48" s="1815">
        <f t="shared" si="332"/>
        <v>0</v>
      </c>
      <c r="MK48" s="1815">
        <f t="shared" si="333"/>
        <v>0</v>
      </c>
      <c r="ML48" s="1815">
        <f t="shared" si="334"/>
        <v>0</v>
      </c>
      <c r="MM48" s="1815">
        <f t="shared" si="335"/>
        <v>0</v>
      </c>
      <c r="MN48" s="1815">
        <f t="shared" si="336"/>
        <v>0</v>
      </c>
      <c r="MO48" s="1815">
        <f t="shared" si="337"/>
        <v>0</v>
      </c>
      <c r="MP48" s="1815">
        <f t="shared" si="322"/>
        <v>0</v>
      </c>
      <c r="MQ48" s="1815">
        <f t="shared" si="323"/>
        <v>0</v>
      </c>
      <c r="MR48" s="1815">
        <f t="shared" si="324"/>
        <v>0</v>
      </c>
      <c r="MS48" s="1815">
        <f t="shared" si="325"/>
        <v>0</v>
      </c>
      <c r="MT48" s="1815">
        <f t="shared" si="326"/>
        <v>0</v>
      </c>
      <c r="NP48" s="2807" t="s">
        <v>6754</v>
      </c>
    </row>
    <row r="49" spans="1:380" s="146" customFormat="1" ht="13.9" customHeight="1">
      <c r="A49" s="1500">
        <f>COUNT(A11,A12,A13,A14,A15,A16,A17,A18,A19,A20,A21,A22,A23,A24,A25,A26,A27,A28,A29,A30,A31,A32,A33,A34,A35,A36,A37,A38,A39,A40)</f>
        <v>0</v>
      </c>
      <c r="B49" s="3909" t="s">
        <v>3921</v>
      </c>
      <c r="C49" s="3910"/>
      <c r="D49" s="137" t="s">
        <v>979</v>
      </c>
      <c r="E49" s="1194">
        <f>SUM(E11:E48)</f>
        <v>72</v>
      </c>
      <c r="F49" s="1192">
        <f>(E11*F11+E12*F12+E13*F13+E14*F14+E15*F15+E16*F16+E17*F17+E18*F18+E19*F19+E20*F20+E21*F21+E22*F22+E23*F23+E24*F24+E25*F25+E26*F26+E27*F27+E28*F28+E29*F29+E30*F30+E31*F31+E32*F32+E33*F33+E34*F34+E35*F35+E36*F36+E37*F37+E38*F38+E39*F39+E40*F40+E41*F41+E42*F42+E43*F43+E44*F44+E45*F45+E46*F46+E47*F47+E48*F48)</f>
        <v>66160</v>
      </c>
      <c r="H49" s="3845" t="s">
        <v>3918</v>
      </c>
      <c r="I49" s="2907" t="s">
        <v>3919</v>
      </c>
      <c r="J49" s="1195" t="str">
        <f>IF(P67=0,"",IF(SUM(P58:P62)/P67&gt;=0.4,"Pass","Fail"))</f>
        <v>Pass</v>
      </c>
      <c r="K49" s="521"/>
      <c r="L49" s="794" t="s">
        <v>1254</v>
      </c>
      <c r="M49" s="122">
        <f>SUM(M11:M48)</f>
        <v>51259</v>
      </c>
      <c r="N49" s="93"/>
      <c r="O49" s="522"/>
      <c r="P49" s="93"/>
      <c r="Q49" s="445"/>
      <c r="R49" s="445"/>
      <c r="S49" s="445"/>
      <c r="T49" s="445"/>
      <c r="U49" s="445"/>
      <c r="V49" s="782"/>
      <c r="W49" s="523"/>
      <c r="X49" s="1816">
        <f t="shared" ref="X49:FA49" si="338">SUM(X11:X48)</f>
        <v>0</v>
      </c>
      <c r="Y49" s="1816">
        <f t="shared" si="338"/>
        <v>0</v>
      </c>
      <c r="Z49" s="1816">
        <f t="shared" si="338"/>
        <v>0</v>
      </c>
      <c r="AA49" s="1816">
        <f t="shared" si="338"/>
        <v>0</v>
      </c>
      <c r="AB49" s="1816">
        <f t="shared" si="338"/>
        <v>0</v>
      </c>
      <c r="AC49" s="1816">
        <f t="shared" ref="AC49:AL49" si="339">SUM(AC11:AC48)</f>
        <v>0</v>
      </c>
      <c r="AD49" s="1816">
        <f t="shared" si="339"/>
        <v>0</v>
      </c>
      <c r="AE49" s="1816">
        <f t="shared" si="339"/>
        <v>0</v>
      </c>
      <c r="AF49" s="1816">
        <f t="shared" si="339"/>
        <v>0</v>
      </c>
      <c r="AG49" s="1816">
        <f t="shared" si="339"/>
        <v>0</v>
      </c>
      <c r="AH49" s="1816">
        <f t="shared" si="339"/>
        <v>0</v>
      </c>
      <c r="AI49" s="1816">
        <f t="shared" si="339"/>
        <v>13</v>
      </c>
      <c r="AJ49" s="1816">
        <f t="shared" si="339"/>
        <v>34</v>
      </c>
      <c r="AK49" s="1816">
        <f t="shared" si="339"/>
        <v>17</v>
      </c>
      <c r="AL49" s="1816">
        <f t="shared" si="339"/>
        <v>0</v>
      </c>
      <c r="AM49" s="1816">
        <f>SUM(AM11:AM48)</f>
        <v>0</v>
      </c>
      <c r="AN49" s="1816">
        <f>SUM(AN11:AN48)</f>
        <v>0</v>
      </c>
      <c r="AO49" s="1816">
        <f>SUM(AO11:AO48)</f>
        <v>0</v>
      </c>
      <c r="AP49" s="1816">
        <f>SUM(AP11:AP48)</f>
        <v>0</v>
      </c>
      <c r="AQ49" s="1816">
        <f>SUM(AQ11:AQ48)</f>
        <v>0</v>
      </c>
      <c r="AR49" s="1816">
        <f t="shared" si="338"/>
        <v>0</v>
      </c>
      <c r="AS49" s="1816">
        <f t="shared" si="338"/>
        <v>0</v>
      </c>
      <c r="AT49" s="1816">
        <f t="shared" si="338"/>
        <v>0</v>
      </c>
      <c r="AU49" s="1816">
        <f t="shared" si="338"/>
        <v>0</v>
      </c>
      <c r="AV49" s="1816">
        <f t="shared" si="338"/>
        <v>0</v>
      </c>
      <c r="AW49" s="1816">
        <f t="shared" si="338"/>
        <v>0</v>
      </c>
      <c r="AX49" s="1816">
        <f t="shared" si="338"/>
        <v>0</v>
      </c>
      <c r="AY49" s="1816">
        <f t="shared" si="338"/>
        <v>0</v>
      </c>
      <c r="AZ49" s="1816">
        <f t="shared" si="338"/>
        <v>0</v>
      </c>
      <c r="BA49" s="1816">
        <f t="shared" si="338"/>
        <v>0</v>
      </c>
      <c r="BB49" s="1816">
        <f>SUM(BB11:BB48)</f>
        <v>0</v>
      </c>
      <c r="BC49" s="1816">
        <f>SUM(BC11:BC48)</f>
        <v>0</v>
      </c>
      <c r="BD49" s="1816">
        <f>SUM(BD11:BD48)</f>
        <v>0</v>
      </c>
      <c r="BE49" s="1816">
        <f>SUM(BE11:BE48)</f>
        <v>0</v>
      </c>
      <c r="BF49" s="1816">
        <f>SUM(BF11:BF48)</f>
        <v>0</v>
      </c>
      <c r="BG49" s="1816">
        <f t="shared" si="338"/>
        <v>0</v>
      </c>
      <c r="BH49" s="1816">
        <f t="shared" si="338"/>
        <v>3</v>
      </c>
      <c r="BI49" s="1816">
        <f t="shared" si="338"/>
        <v>2</v>
      </c>
      <c r="BJ49" s="1816">
        <f t="shared" si="338"/>
        <v>3</v>
      </c>
      <c r="BK49" s="1816">
        <f t="shared" si="338"/>
        <v>0</v>
      </c>
      <c r="BL49" s="1816">
        <f>SUM(BL11:BL48)</f>
        <v>0</v>
      </c>
      <c r="BM49" s="1816">
        <f>SUM(BM11:BM48)</f>
        <v>0</v>
      </c>
      <c r="BN49" s="1816">
        <f>SUM(BN11:BN48)</f>
        <v>0</v>
      </c>
      <c r="BO49" s="1816">
        <f>SUM(BO11:BO48)</f>
        <v>0</v>
      </c>
      <c r="BP49" s="1816">
        <f>SUM(BP11:BP48)</f>
        <v>0</v>
      </c>
      <c r="BQ49" s="1816">
        <f t="shared" si="338"/>
        <v>0</v>
      </c>
      <c r="BR49" s="1816">
        <f t="shared" si="338"/>
        <v>0</v>
      </c>
      <c r="BS49" s="1816">
        <f t="shared" si="338"/>
        <v>0</v>
      </c>
      <c r="BT49" s="1816">
        <f t="shared" si="338"/>
        <v>0</v>
      </c>
      <c r="BU49" s="1816">
        <f t="shared" si="338"/>
        <v>0</v>
      </c>
      <c r="BV49" s="1816">
        <f>SUM(BV11:BV48)</f>
        <v>0</v>
      </c>
      <c r="BW49" s="1816">
        <f>SUM(BW11:BW48)</f>
        <v>0</v>
      </c>
      <c r="BX49" s="1816">
        <f>SUM(BX11:BX48)</f>
        <v>0</v>
      </c>
      <c r="BY49" s="1816">
        <f>SUM(BY11:BY48)</f>
        <v>0</v>
      </c>
      <c r="BZ49" s="1816">
        <f>SUM(BZ11:BZ48)</f>
        <v>0</v>
      </c>
      <c r="CA49" s="1816">
        <f t="shared" si="338"/>
        <v>0</v>
      </c>
      <c r="CB49" s="1816">
        <f t="shared" si="338"/>
        <v>0</v>
      </c>
      <c r="CC49" s="1816">
        <f t="shared" si="338"/>
        <v>0</v>
      </c>
      <c r="CD49" s="1816">
        <f t="shared" si="338"/>
        <v>0</v>
      </c>
      <c r="CE49" s="1816">
        <f t="shared" si="338"/>
        <v>0</v>
      </c>
      <c r="CF49" s="1816">
        <f t="shared" si="338"/>
        <v>0</v>
      </c>
      <c r="CG49" s="1816">
        <f t="shared" si="338"/>
        <v>0</v>
      </c>
      <c r="CH49" s="1816">
        <f t="shared" si="338"/>
        <v>25</v>
      </c>
      <c r="CI49" s="1816">
        <f t="shared" si="338"/>
        <v>7</v>
      </c>
      <c r="CJ49" s="1816">
        <f t="shared" si="338"/>
        <v>0</v>
      </c>
      <c r="CK49" s="1816">
        <f>SUM(CK11:CK48)</f>
        <v>0</v>
      </c>
      <c r="CL49" s="1816">
        <f>SUM(CL11:CL48)</f>
        <v>0</v>
      </c>
      <c r="CM49" s="1816">
        <f>SUM(CM11:CM48)</f>
        <v>0</v>
      </c>
      <c r="CN49" s="1816">
        <f>SUM(CN11:CN48)</f>
        <v>0</v>
      </c>
      <c r="CO49" s="1816">
        <f>SUM(CO11:CO48)</f>
        <v>0</v>
      </c>
      <c r="CP49" s="1816">
        <f t="shared" ref="CP49:CY49" si="340">SUM(CP11:CP48)</f>
        <v>0</v>
      </c>
      <c r="CQ49" s="1816">
        <f t="shared" si="340"/>
        <v>0</v>
      </c>
      <c r="CR49" s="1816">
        <f t="shared" si="340"/>
        <v>0</v>
      </c>
      <c r="CS49" s="1816">
        <f t="shared" si="340"/>
        <v>0</v>
      </c>
      <c r="CT49" s="1816">
        <f t="shared" si="340"/>
        <v>0</v>
      </c>
      <c r="CU49" s="1816">
        <f t="shared" si="340"/>
        <v>0</v>
      </c>
      <c r="CV49" s="1816">
        <f t="shared" si="340"/>
        <v>0</v>
      </c>
      <c r="CW49" s="1816">
        <f t="shared" si="340"/>
        <v>0</v>
      </c>
      <c r="CX49" s="1816">
        <f t="shared" si="340"/>
        <v>0</v>
      </c>
      <c r="CY49" s="1816">
        <f t="shared" si="340"/>
        <v>0</v>
      </c>
      <c r="CZ49" s="1816">
        <f t="shared" si="338"/>
        <v>0</v>
      </c>
      <c r="DA49" s="1816">
        <f t="shared" si="338"/>
        <v>0</v>
      </c>
      <c r="DB49" s="1816">
        <f t="shared" si="338"/>
        <v>0</v>
      </c>
      <c r="DC49" s="1816">
        <f t="shared" si="338"/>
        <v>0</v>
      </c>
      <c r="DD49" s="1816">
        <f t="shared" si="338"/>
        <v>0</v>
      </c>
      <c r="DE49" s="1816">
        <f t="shared" si="338"/>
        <v>0</v>
      </c>
      <c r="DF49" s="1816">
        <f t="shared" si="338"/>
        <v>0</v>
      </c>
      <c r="DG49" s="1816">
        <f t="shared" si="338"/>
        <v>0</v>
      </c>
      <c r="DH49" s="1816">
        <f t="shared" si="338"/>
        <v>0</v>
      </c>
      <c r="DI49" s="1816">
        <f t="shared" si="338"/>
        <v>0</v>
      </c>
      <c r="DJ49" s="1816">
        <f t="shared" si="338"/>
        <v>0</v>
      </c>
      <c r="DK49" s="1816">
        <f t="shared" si="338"/>
        <v>0</v>
      </c>
      <c r="DL49" s="1816">
        <f t="shared" si="338"/>
        <v>0</v>
      </c>
      <c r="DM49" s="1816">
        <f t="shared" si="338"/>
        <v>0</v>
      </c>
      <c r="DN49" s="1816">
        <f t="shared" si="338"/>
        <v>0</v>
      </c>
      <c r="DO49" s="1816">
        <f t="shared" si="338"/>
        <v>0</v>
      </c>
      <c r="DP49" s="1816">
        <f t="shared" si="338"/>
        <v>0</v>
      </c>
      <c r="DQ49" s="1816">
        <f t="shared" si="338"/>
        <v>0</v>
      </c>
      <c r="DR49" s="1816">
        <f t="shared" si="338"/>
        <v>0</v>
      </c>
      <c r="DS49" s="1816">
        <f t="shared" si="338"/>
        <v>0</v>
      </c>
      <c r="DT49" s="1816">
        <f t="shared" ref="DT49:EC49" si="341">SUM(DT11:DT48)</f>
        <v>0</v>
      </c>
      <c r="DU49" s="1816">
        <f t="shared" si="341"/>
        <v>0</v>
      </c>
      <c r="DV49" s="1816">
        <f t="shared" si="341"/>
        <v>0</v>
      </c>
      <c r="DW49" s="1816">
        <f t="shared" si="341"/>
        <v>0</v>
      </c>
      <c r="DX49" s="1816">
        <f t="shared" si="341"/>
        <v>0</v>
      </c>
      <c r="DY49" s="1816">
        <f t="shared" si="341"/>
        <v>0</v>
      </c>
      <c r="DZ49" s="1816">
        <f t="shared" si="341"/>
        <v>0</v>
      </c>
      <c r="EA49" s="1816">
        <f t="shared" si="341"/>
        <v>0</v>
      </c>
      <c r="EB49" s="1816">
        <f t="shared" si="341"/>
        <v>0</v>
      </c>
      <c r="EC49" s="1816">
        <f t="shared" si="341"/>
        <v>0</v>
      </c>
      <c r="ED49" s="1816">
        <f t="shared" si="338"/>
        <v>0</v>
      </c>
      <c r="EE49" s="1816">
        <f t="shared" si="338"/>
        <v>0</v>
      </c>
      <c r="EF49" s="1816">
        <f t="shared" si="338"/>
        <v>0</v>
      </c>
      <c r="EG49" s="1816">
        <f t="shared" si="338"/>
        <v>0</v>
      </c>
      <c r="EH49" s="1816">
        <f t="shared" si="338"/>
        <v>0</v>
      </c>
      <c r="EI49" s="1816">
        <f t="shared" si="338"/>
        <v>0</v>
      </c>
      <c r="EJ49" s="1816">
        <f t="shared" si="338"/>
        <v>0</v>
      </c>
      <c r="EK49" s="1816">
        <f t="shared" si="338"/>
        <v>0</v>
      </c>
      <c r="EL49" s="1816">
        <f t="shared" si="338"/>
        <v>0</v>
      </c>
      <c r="EM49" s="1816">
        <f t="shared" si="338"/>
        <v>0</v>
      </c>
      <c r="EN49" s="1816">
        <f t="shared" ref="EN49:EW49" si="342">SUM(EN11:EN48)</f>
        <v>0</v>
      </c>
      <c r="EO49" s="1816">
        <f t="shared" si="342"/>
        <v>0</v>
      </c>
      <c r="EP49" s="1816">
        <f t="shared" si="342"/>
        <v>0</v>
      </c>
      <c r="EQ49" s="1816">
        <f t="shared" si="342"/>
        <v>0</v>
      </c>
      <c r="ER49" s="1816">
        <f t="shared" si="342"/>
        <v>0</v>
      </c>
      <c r="ES49" s="1816">
        <f t="shared" si="342"/>
        <v>0</v>
      </c>
      <c r="ET49" s="1816">
        <f t="shared" si="342"/>
        <v>8840</v>
      </c>
      <c r="EU49" s="1816">
        <f t="shared" si="342"/>
        <v>29920</v>
      </c>
      <c r="EV49" s="1816">
        <f t="shared" si="342"/>
        <v>20060</v>
      </c>
      <c r="EW49" s="1816">
        <f t="shared" si="342"/>
        <v>0</v>
      </c>
      <c r="EX49" s="1816">
        <f t="shared" si="338"/>
        <v>0</v>
      </c>
      <c r="EY49" s="1816">
        <f t="shared" si="338"/>
        <v>0</v>
      </c>
      <c r="EZ49" s="1816">
        <f t="shared" si="338"/>
        <v>0</v>
      </c>
      <c r="FA49" s="1816">
        <f t="shared" si="338"/>
        <v>0</v>
      </c>
      <c r="FB49" s="1816">
        <f t="shared" ref="FB49:HW49" si="343">SUM(FB11:FB48)</f>
        <v>0</v>
      </c>
      <c r="FC49" s="1816">
        <f>SUM(FC11:FC48)</f>
        <v>0</v>
      </c>
      <c r="FD49" s="1816">
        <f>SUM(FD11:FD48)</f>
        <v>0</v>
      </c>
      <c r="FE49" s="1816">
        <f>SUM(FE11:FE48)</f>
        <v>0</v>
      </c>
      <c r="FF49" s="1816">
        <f>SUM(FF11:FF48)</f>
        <v>0</v>
      </c>
      <c r="FG49" s="1816">
        <f>SUM(FG11:FG48)</f>
        <v>0</v>
      </c>
      <c r="FH49" s="1816">
        <f t="shared" si="343"/>
        <v>0</v>
      </c>
      <c r="FI49" s="1816">
        <f t="shared" si="343"/>
        <v>0</v>
      </c>
      <c r="FJ49" s="1816">
        <f t="shared" si="343"/>
        <v>0</v>
      </c>
      <c r="FK49" s="1816">
        <f t="shared" si="343"/>
        <v>0</v>
      </c>
      <c r="FL49" s="1816">
        <f t="shared" si="343"/>
        <v>0</v>
      </c>
      <c r="FM49" s="1816">
        <f>SUM(FM11:FM48)</f>
        <v>0</v>
      </c>
      <c r="FN49" s="1816">
        <f>SUM(FN11:FN48)</f>
        <v>0</v>
      </c>
      <c r="FO49" s="1816">
        <f>SUM(FO11:FO48)</f>
        <v>0</v>
      </c>
      <c r="FP49" s="1816">
        <f>SUM(FP11:FP48)</f>
        <v>0</v>
      </c>
      <c r="FQ49" s="1816">
        <f>SUM(FQ11:FQ48)</f>
        <v>0</v>
      </c>
      <c r="FR49" s="1816">
        <f t="shared" si="343"/>
        <v>0</v>
      </c>
      <c r="FS49" s="1816">
        <f t="shared" si="343"/>
        <v>2040</v>
      </c>
      <c r="FT49" s="1816">
        <f t="shared" si="343"/>
        <v>1760</v>
      </c>
      <c r="FU49" s="1816">
        <f t="shared" si="343"/>
        <v>3540</v>
      </c>
      <c r="FV49" s="1816">
        <f t="shared" si="343"/>
        <v>0</v>
      </c>
      <c r="FW49" s="1816">
        <f t="shared" si="343"/>
        <v>0</v>
      </c>
      <c r="FX49" s="1816">
        <f t="shared" si="343"/>
        <v>0</v>
      </c>
      <c r="FY49" s="1816">
        <f t="shared" si="343"/>
        <v>22000</v>
      </c>
      <c r="FZ49" s="1816">
        <f t="shared" si="343"/>
        <v>8260</v>
      </c>
      <c r="GA49" s="1816">
        <f t="shared" si="343"/>
        <v>0</v>
      </c>
      <c r="GB49" s="1816">
        <f t="shared" si="343"/>
        <v>0</v>
      </c>
      <c r="GC49" s="1816">
        <f t="shared" si="343"/>
        <v>0</v>
      </c>
      <c r="GD49" s="1816">
        <f t="shared" si="343"/>
        <v>0</v>
      </c>
      <c r="GE49" s="1816">
        <f t="shared" si="343"/>
        <v>0</v>
      </c>
      <c r="GF49" s="1816">
        <f t="shared" si="343"/>
        <v>0</v>
      </c>
      <c r="GG49" s="1816">
        <f t="shared" si="343"/>
        <v>0</v>
      </c>
      <c r="GH49" s="1816">
        <f t="shared" si="343"/>
        <v>13</v>
      </c>
      <c r="GI49" s="1816">
        <f t="shared" si="343"/>
        <v>34</v>
      </c>
      <c r="GJ49" s="1816">
        <f t="shared" si="343"/>
        <v>17</v>
      </c>
      <c r="GK49" s="1816">
        <f t="shared" si="343"/>
        <v>0</v>
      </c>
      <c r="GL49" s="1816">
        <f t="shared" si="343"/>
        <v>0</v>
      </c>
      <c r="GM49" s="1816">
        <f t="shared" si="343"/>
        <v>3</v>
      </c>
      <c r="GN49" s="1816">
        <f t="shared" si="343"/>
        <v>2</v>
      </c>
      <c r="GO49" s="1816">
        <f t="shared" si="343"/>
        <v>3</v>
      </c>
      <c r="GP49" s="1816">
        <f t="shared" si="343"/>
        <v>0</v>
      </c>
      <c r="GQ49" s="1816">
        <f t="shared" si="343"/>
        <v>0</v>
      </c>
      <c r="GR49" s="1816">
        <f t="shared" si="343"/>
        <v>0</v>
      </c>
      <c r="GS49" s="1816">
        <f t="shared" si="343"/>
        <v>0</v>
      </c>
      <c r="GT49" s="1816">
        <f t="shared" si="343"/>
        <v>0</v>
      </c>
      <c r="GU49" s="1816">
        <f t="shared" si="343"/>
        <v>0</v>
      </c>
      <c r="GV49" s="1816">
        <f t="shared" si="343"/>
        <v>0</v>
      </c>
      <c r="GW49" s="1816">
        <f t="shared" si="343"/>
        <v>0</v>
      </c>
      <c r="GX49" s="1816">
        <f t="shared" si="343"/>
        <v>0</v>
      </c>
      <c r="GY49" s="1816">
        <f t="shared" si="343"/>
        <v>0</v>
      </c>
      <c r="GZ49" s="1816">
        <f t="shared" si="343"/>
        <v>0</v>
      </c>
      <c r="HA49" s="1816">
        <f t="shared" si="343"/>
        <v>0</v>
      </c>
      <c r="HB49" s="1816">
        <f t="shared" si="343"/>
        <v>0</v>
      </c>
      <c r="HC49" s="1816">
        <f t="shared" si="343"/>
        <v>0</v>
      </c>
      <c r="HD49" s="1816">
        <f t="shared" si="343"/>
        <v>0</v>
      </c>
      <c r="HE49" s="1816">
        <f t="shared" si="343"/>
        <v>0</v>
      </c>
      <c r="HF49" s="1816">
        <f t="shared" si="343"/>
        <v>0</v>
      </c>
      <c r="HG49" s="1816">
        <f t="shared" si="343"/>
        <v>0</v>
      </c>
      <c r="HH49" s="1816">
        <f t="shared" si="343"/>
        <v>0</v>
      </c>
      <c r="HI49" s="1816">
        <f t="shared" si="343"/>
        <v>0</v>
      </c>
      <c r="HJ49" s="1816">
        <f t="shared" si="343"/>
        <v>0</v>
      </c>
      <c r="HK49" s="1816">
        <f t="shared" si="343"/>
        <v>0</v>
      </c>
      <c r="HL49" s="1816">
        <f t="shared" si="343"/>
        <v>0</v>
      </c>
      <c r="HM49" s="1816">
        <f t="shared" si="343"/>
        <v>0</v>
      </c>
      <c r="HN49" s="1816">
        <f t="shared" si="343"/>
        <v>0</v>
      </c>
      <c r="HO49" s="1816">
        <f t="shared" si="343"/>
        <v>0</v>
      </c>
      <c r="HP49" s="1816">
        <f t="shared" si="343"/>
        <v>0</v>
      </c>
      <c r="HQ49" s="1816">
        <f t="shared" si="343"/>
        <v>0</v>
      </c>
      <c r="HR49" s="1816">
        <f t="shared" si="343"/>
        <v>0</v>
      </c>
      <c r="HS49" s="1816">
        <f t="shared" si="343"/>
        <v>0</v>
      </c>
      <c r="HT49" s="1816">
        <f t="shared" si="343"/>
        <v>0</v>
      </c>
      <c r="HU49" s="1816">
        <f t="shared" si="343"/>
        <v>0</v>
      </c>
      <c r="HV49" s="1816">
        <f t="shared" si="343"/>
        <v>0</v>
      </c>
      <c r="HW49" s="1816">
        <f t="shared" si="343"/>
        <v>0</v>
      </c>
      <c r="HX49" s="1816">
        <f t="shared" ref="HX49:KG49" si="344">SUM(HX11:HX48)</f>
        <v>0</v>
      </c>
      <c r="HY49" s="1816">
        <f t="shared" si="344"/>
        <v>0</v>
      </c>
      <c r="HZ49" s="1816">
        <f t="shared" si="344"/>
        <v>0</v>
      </c>
      <c r="IA49" s="1816">
        <f t="shared" si="344"/>
        <v>16</v>
      </c>
      <c r="IB49" s="1816">
        <f t="shared" si="344"/>
        <v>36</v>
      </c>
      <c r="IC49" s="1816">
        <f t="shared" si="344"/>
        <v>20</v>
      </c>
      <c r="ID49" s="1816">
        <f t="shared" si="344"/>
        <v>0</v>
      </c>
      <c r="IE49" s="1816">
        <f t="shared" si="344"/>
        <v>0</v>
      </c>
      <c r="IF49" s="1816">
        <f t="shared" si="344"/>
        <v>0</v>
      </c>
      <c r="IG49" s="1816">
        <f t="shared" si="344"/>
        <v>0</v>
      </c>
      <c r="IH49" s="1816">
        <f t="shared" si="344"/>
        <v>0</v>
      </c>
      <c r="II49" s="1816">
        <f t="shared" si="344"/>
        <v>0</v>
      </c>
      <c r="IJ49" s="1816">
        <f t="shared" si="344"/>
        <v>0</v>
      </c>
      <c r="IK49" s="1816">
        <f t="shared" si="344"/>
        <v>0</v>
      </c>
      <c r="IL49" s="1816">
        <f t="shared" si="344"/>
        <v>0</v>
      </c>
      <c r="IM49" s="1816">
        <f t="shared" si="344"/>
        <v>0</v>
      </c>
      <c r="IN49" s="1816">
        <f t="shared" si="344"/>
        <v>0</v>
      </c>
      <c r="IO49" s="1816">
        <f t="shared" si="344"/>
        <v>0</v>
      </c>
      <c r="IP49" s="1816">
        <f t="shared" si="344"/>
        <v>0</v>
      </c>
      <c r="IQ49" s="1816">
        <f t="shared" si="344"/>
        <v>0</v>
      </c>
      <c r="IR49" s="1816">
        <f t="shared" si="344"/>
        <v>0</v>
      </c>
      <c r="IS49" s="1816">
        <f t="shared" si="344"/>
        <v>0</v>
      </c>
      <c r="IT49" s="1816">
        <f t="shared" si="344"/>
        <v>0</v>
      </c>
      <c r="IU49" s="1816">
        <f t="shared" si="344"/>
        <v>0</v>
      </c>
      <c r="IV49" s="1816">
        <f t="shared" si="344"/>
        <v>0</v>
      </c>
      <c r="IW49" s="1816">
        <f t="shared" si="344"/>
        <v>0</v>
      </c>
      <c r="IX49" s="1816">
        <f t="shared" si="344"/>
        <v>0</v>
      </c>
      <c r="IY49" s="1816">
        <f t="shared" si="344"/>
        <v>0</v>
      </c>
      <c r="IZ49" s="1816">
        <f t="shared" si="344"/>
        <v>0</v>
      </c>
      <c r="JA49" s="1816">
        <f t="shared" si="344"/>
        <v>0</v>
      </c>
      <c r="JB49" s="1816">
        <f t="shared" si="344"/>
        <v>0</v>
      </c>
      <c r="JC49" s="1816">
        <f t="shared" si="344"/>
        <v>0</v>
      </c>
      <c r="JD49" s="1816">
        <f t="shared" si="344"/>
        <v>0</v>
      </c>
      <c r="JE49" s="1816">
        <f t="shared" si="344"/>
        <v>0</v>
      </c>
      <c r="JF49" s="1816">
        <f t="shared" si="344"/>
        <v>0</v>
      </c>
      <c r="JG49" s="1816">
        <f t="shared" si="344"/>
        <v>0</v>
      </c>
      <c r="JH49" s="1816">
        <f t="shared" si="344"/>
        <v>0</v>
      </c>
      <c r="JI49" s="1816">
        <f t="shared" si="344"/>
        <v>0</v>
      </c>
      <c r="JJ49" s="1816">
        <f t="shared" si="344"/>
        <v>0</v>
      </c>
      <c r="JK49" s="1816">
        <f t="shared" si="344"/>
        <v>0</v>
      </c>
      <c r="JL49" s="1816">
        <f t="shared" si="344"/>
        <v>0</v>
      </c>
      <c r="JM49" s="1816">
        <f t="shared" si="344"/>
        <v>0</v>
      </c>
      <c r="JN49" s="1816">
        <f t="shared" si="344"/>
        <v>0</v>
      </c>
      <c r="JO49" s="1816">
        <f t="shared" si="344"/>
        <v>0</v>
      </c>
      <c r="JP49" s="1816">
        <f t="shared" si="344"/>
        <v>0</v>
      </c>
      <c r="JQ49" s="1816">
        <f t="shared" si="344"/>
        <v>0</v>
      </c>
      <c r="JR49" s="1816">
        <f t="shared" si="344"/>
        <v>0</v>
      </c>
      <c r="JS49" s="1816">
        <f t="shared" si="344"/>
        <v>0</v>
      </c>
      <c r="JT49" s="1816">
        <f t="shared" si="344"/>
        <v>16</v>
      </c>
      <c r="JU49" s="1816">
        <f t="shared" si="344"/>
        <v>36</v>
      </c>
      <c r="JV49" s="1816">
        <f t="shared" si="344"/>
        <v>20</v>
      </c>
      <c r="JW49" s="1816">
        <f t="shared" si="344"/>
        <v>0</v>
      </c>
      <c r="JX49" s="1816">
        <f t="shared" ref="JX49:KB49" si="345">SUM(JX11:JX48)</f>
        <v>0</v>
      </c>
      <c r="JY49" s="1816">
        <f t="shared" si="345"/>
        <v>0</v>
      </c>
      <c r="JZ49" s="1816">
        <f t="shared" si="345"/>
        <v>0</v>
      </c>
      <c r="KA49" s="1816">
        <f t="shared" si="345"/>
        <v>0</v>
      </c>
      <c r="KB49" s="1816">
        <f t="shared" si="345"/>
        <v>0</v>
      </c>
      <c r="KC49" s="1816">
        <f t="shared" si="344"/>
        <v>0</v>
      </c>
      <c r="KD49" s="1816">
        <f t="shared" si="344"/>
        <v>0</v>
      </c>
      <c r="KE49" s="1816">
        <f t="shared" si="344"/>
        <v>0</v>
      </c>
      <c r="KF49" s="1816">
        <f t="shared" si="344"/>
        <v>0</v>
      </c>
      <c r="KG49" s="1816">
        <f t="shared" si="344"/>
        <v>0</v>
      </c>
      <c r="KH49" s="1816">
        <f t="shared" ref="KH49:KL49" si="346">SUM(KH11:KH48)</f>
        <v>0</v>
      </c>
      <c r="KI49" s="1816">
        <f t="shared" si="346"/>
        <v>0</v>
      </c>
      <c r="KJ49" s="1816">
        <f t="shared" si="346"/>
        <v>0</v>
      </c>
      <c r="KK49" s="1816">
        <f t="shared" si="346"/>
        <v>0</v>
      </c>
      <c r="KL49" s="1816">
        <f t="shared" si="346"/>
        <v>0</v>
      </c>
      <c r="KM49" s="1816">
        <f t="shared" ref="KM49:LA49" si="347">SUM(KM11:KM48)</f>
        <v>0</v>
      </c>
      <c r="KN49" s="1816">
        <f t="shared" si="347"/>
        <v>0</v>
      </c>
      <c r="KO49" s="1816">
        <f t="shared" si="347"/>
        <v>0</v>
      </c>
      <c r="KP49" s="1816">
        <f t="shared" si="347"/>
        <v>0</v>
      </c>
      <c r="KQ49" s="1816">
        <f t="shared" si="347"/>
        <v>0</v>
      </c>
      <c r="KR49" s="1816">
        <f t="shared" ref="KR49:KV49" si="348">SUM(KR11:KR48)</f>
        <v>0</v>
      </c>
      <c r="KS49" s="1816">
        <f t="shared" si="348"/>
        <v>0</v>
      </c>
      <c r="KT49" s="1816">
        <f t="shared" si="348"/>
        <v>0</v>
      </c>
      <c r="KU49" s="1816">
        <f t="shared" si="348"/>
        <v>0</v>
      </c>
      <c r="KV49" s="1816">
        <f t="shared" si="348"/>
        <v>0</v>
      </c>
      <c r="KW49" s="1816">
        <f t="shared" si="347"/>
        <v>0</v>
      </c>
      <c r="KX49" s="1816">
        <f t="shared" si="347"/>
        <v>0</v>
      </c>
      <c r="KY49" s="1816">
        <f t="shared" si="347"/>
        <v>0</v>
      </c>
      <c r="KZ49" s="1816">
        <f t="shared" si="347"/>
        <v>0</v>
      </c>
      <c r="LA49" s="1816">
        <f t="shared" si="347"/>
        <v>0</v>
      </c>
      <c r="LB49" s="1816">
        <f t="shared" ref="LB49:LF49" si="349">SUM(LB11:LB48)</f>
        <v>0</v>
      </c>
      <c r="LC49" s="1816">
        <f t="shared" si="349"/>
        <v>0</v>
      </c>
      <c r="LD49" s="1816">
        <f t="shared" si="349"/>
        <v>0</v>
      </c>
      <c r="LE49" s="1816">
        <f t="shared" si="349"/>
        <v>0</v>
      </c>
      <c r="LF49" s="1816">
        <f t="shared" si="349"/>
        <v>0</v>
      </c>
      <c r="LG49" s="1816">
        <f t="shared" ref="LG49:MU49" si="350">SUM(LG11:LG48)</f>
        <v>0</v>
      </c>
      <c r="LH49" s="1816">
        <f t="shared" si="350"/>
        <v>0</v>
      </c>
      <c r="LI49" s="1816">
        <f t="shared" si="350"/>
        <v>0</v>
      </c>
      <c r="LJ49" s="1816">
        <f t="shared" si="350"/>
        <v>0</v>
      </c>
      <c r="LK49" s="1816">
        <f t="shared" si="350"/>
        <v>0</v>
      </c>
      <c r="LL49" s="1816">
        <f t="shared" si="350"/>
        <v>0</v>
      </c>
      <c r="LM49" s="1816">
        <f t="shared" si="350"/>
        <v>0</v>
      </c>
      <c r="LN49" s="1816">
        <f t="shared" si="350"/>
        <v>0</v>
      </c>
      <c r="LO49" s="1816">
        <f t="shared" si="350"/>
        <v>0</v>
      </c>
      <c r="LP49" s="1816">
        <f t="shared" si="350"/>
        <v>0</v>
      </c>
      <c r="LQ49" s="1816">
        <f t="shared" si="350"/>
        <v>0</v>
      </c>
      <c r="LR49" s="1816">
        <f t="shared" si="350"/>
        <v>0</v>
      </c>
      <c r="LS49" s="1816">
        <f t="shared" si="350"/>
        <v>0</v>
      </c>
      <c r="LT49" s="1816">
        <f t="shared" si="350"/>
        <v>0</v>
      </c>
      <c r="LU49" s="1816">
        <f t="shared" si="350"/>
        <v>0</v>
      </c>
      <c r="LV49" s="1816">
        <f t="shared" si="350"/>
        <v>0</v>
      </c>
      <c r="LW49" s="1816">
        <f t="shared" si="350"/>
        <v>0</v>
      </c>
      <c r="LX49" s="1816">
        <f t="shared" si="350"/>
        <v>0</v>
      </c>
      <c r="LY49" s="1816">
        <f t="shared" si="350"/>
        <v>0</v>
      </c>
      <c r="LZ49" s="1816">
        <f t="shared" si="350"/>
        <v>0</v>
      </c>
      <c r="MA49" s="1816">
        <f t="shared" si="350"/>
        <v>0</v>
      </c>
      <c r="MB49" s="1816">
        <f t="shared" si="350"/>
        <v>0</v>
      </c>
      <c r="MC49" s="1816">
        <f t="shared" si="350"/>
        <v>0</v>
      </c>
      <c r="MD49" s="1816">
        <f t="shared" si="350"/>
        <v>0</v>
      </c>
      <c r="ME49" s="1816">
        <f t="shared" si="350"/>
        <v>0</v>
      </c>
      <c r="MF49" s="1816">
        <f t="shared" si="350"/>
        <v>0</v>
      </c>
      <c r="MG49" s="1816">
        <f t="shared" si="350"/>
        <v>0</v>
      </c>
      <c r="MH49" s="1816">
        <f t="shared" si="350"/>
        <v>0</v>
      </c>
      <c r="MI49" s="1816">
        <f t="shared" si="350"/>
        <v>0</v>
      </c>
      <c r="MJ49" s="1816">
        <f t="shared" si="350"/>
        <v>0</v>
      </c>
      <c r="MK49" s="1816">
        <f t="shared" si="350"/>
        <v>0</v>
      </c>
      <c r="ML49" s="1816">
        <f t="shared" si="350"/>
        <v>16</v>
      </c>
      <c r="MM49" s="1816">
        <f t="shared" si="350"/>
        <v>36</v>
      </c>
      <c r="MN49" s="1816">
        <f t="shared" si="350"/>
        <v>20</v>
      </c>
      <c r="MO49" s="1816">
        <f t="shared" si="350"/>
        <v>0</v>
      </c>
      <c r="MP49" s="1816">
        <f t="shared" si="350"/>
        <v>0</v>
      </c>
      <c r="MQ49" s="1816">
        <f t="shared" si="350"/>
        <v>0</v>
      </c>
      <c r="MR49" s="1816">
        <f t="shared" si="350"/>
        <v>0</v>
      </c>
      <c r="MS49" s="1816">
        <f t="shared" si="350"/>
        <v>0</v>
      </c>
      <c r="MT49" s="1816">
        <f t="shared" si="350"/>
        <v>0</v>
      </c>
      <c r="MU49" s="1816">
        <f t="shared" si="350"/>
        <v>0</v>
      </c>
      <c r="NP49" s="2807" t="s">
        <v>6755</v>
      </c>
    </row>
    <row r="50" spans="1:380" s="146" customFormat="1" ht="13.9" customHeight="1">
      <c r="B50" s="3911">
        <f>IF(SUM(E18:E48)=0,"",(B18*E18+B19*E19+B20*E20+B21*E21+B22*E22+B23*E23+B24*E24+B25*E25+B26*E26+B27*E27+B28*E28+B29*E29+B30*E30+B31*E31+B32*E32+B33*E33+B34*E34+B35*E35+B36*E36+B37*E37+B38*E38+B39*E39+B40*E40+B41*E41+B42*E42+B43*E43+B44*E44+B45*E45+B46*E46+B47*E47+B48*E48)/SUM(E18:E48))</f>
        <v>60</v>
      </c>
      <c r="C50" s="3912"/>
      <c r="D50" s="2648" t="s">
        <v>3828</v>
      </c>
      <c r="E50" s="1191">
        <f>SUM(E18:E48)</f>
        <v>64</v>
      </c>
      <c r="F50" s="1193">
        <f>(E18*F18+E19*F19+E20*F20+E21*F21+E22*F22+E23*F23+E24*F24+E25*F25+E26*F26+E27*F27+E28*F28+E29*F29+E30*F30+E31*F31+E32*F32+E33*F33+E34*F34+E35*F35+E36*F36+E37*F37+E38*F38+E39*F39+E40*F40+E41*F41+E42*F42+E43*F43+E44*F44+E45*F45+E46*F46+E47*F47+E48*F48)</f>
        <v>58820</v>
      </c>
      <c r="H50" s="3846"/>
      <c r="I50" s="2908" t="s">
        <v>3920</v>
      </c>
      <c r="J50" s="1196" t="str">
        <f>IF(P67=0,"",IF(SUM(P59:P62)/P67&gt;=0.2,"Pass","Fail"))</f>
        <v>Fail</v>
      </c>
      <c r="K50" s="521"/>
      <c r="L50" s="137" t="s">
        <v>781</v>
      </c>
      <c r="M50" s="122">
        <f>M49*12</f>
        <v>615108</v>
      </c>
      <c r="N50" s="93"/>
      <c r="O50" s="522"/>
      <c r="P50" s="93"/>
      <c r="Q50" s="93"/>
      <c r="R50" s="93"/>
      <c r="S50" s="93"/>
      <c r="T50" s="93"/>
      <c r="U50" s="93"/>
      <c r="V50" s="93"/>
      <c r="W50" s="524"/>
      <c r="X50" s="1816"/>
      <c r="Y50" s="1816"/>
      <c r="Z50" s="1816"/>
      <c r="AA50" s="1816"/>
      <c r="AB50" s="1816"/>
      <c r="AC50" s="1816"/>
      <c r="AD50" s="1816"/>
      <c r="AE50" s="1816"/>
      <c r="AF50" s="1816"/>
      <c r="AG50" s="1816"/>
      <c r="AH50" s="1816"/>
      <c r="AI50" s="1816"/>
      <c r="AJ50" s="1816"/>
      <c r="AK50" s="1816"/>
      <c r="AL50" s="1816"/>
      <c r="AM50" s="1816"/>
      <c r="AN50" s="1816"/>
      <c r="AO50" s="1816"/>
      <c r="AP50" s="1816"/>
      <c r="AQ50" s="1816"/>
      <c r="AR50" s="1816"/>
      <c r="AS50" s="1816"/>
      <c r="AT50" s="1816"/>
      <c r="AU50" s="1816"/>
      <c r="AV50" s="1816"/>
      <c r="AW50" s="1816"/>
      <c r="AX50" s="1816"/>
      <c r="AY50" s="1816"/>
      <c r="AZ50" s="1816"/>
      <c r="BA50" s="1816"/>
      <c r="BB50" s="1816"/>
      <c r="BC50" s="1816"/>
      <c r="BD50" s="1816"/>
      <c r="BE50" s="1816"/>
      <c r="BF50" s="1816"/>
      <c r="BG50" s="1816"/>
      <c r="BH50" s="1816"/>
      <c r="BI50" s="1816"/>
      <c r="BJ50" s="1816"/>
      <c r="BK50" s="1816"/>
      <c r="BL50" s="1816"/>
      <c r="BM50" s="1816"/>
      <c r="BN50" s="1816"/>
      <c r="BO50" s="1816"/>
      <c r="BP50" s="1816"/>
      <c r="BQ50" s="1816"/>
      <c r="BR50" s="1816"/>
      <c r="BS50" s="1816"/>
      <c r="BT50" s="1816"/>
      <c r="BU50" s="1816"/>
      <c r="BV50" s="1816"/>
      <c r="BW50" s="1816"/>
      <c r="BX50" s="1816"/>
      <c r="BY50" s="1816"/>
      <c r="BZ50" s="1816"/>
      <c r="CA50" s="1816"/>
      <c r="CB50" s="1816"/>
      <c r="CC50" s="1816"/>
      <c r="CD50" s="1816"/>
      <c r="CE50" s="1816"/>
      <c r="CF50" s="1816"/>
      <c r="CG50" s="1816"/>
      <c r="CH50" s="1816"/>
      <c r="CI50" s="1816"/>
      <c r="CJ50" s="1816"/>
      <c r="CK50" s="1816"/>
      <c r="CL50" s="1816"/>
      <c r="CM50" s="1816"/>
      <c r="CN50" s="1816"/>
      <c r="CO50" s="1816"/>
      <c r="CP50" s="1816"/>
      <c r="CQ50" s="1816"/>
      <c r="CR50" s="1816"/>
      <c r="CS50" s="1816"/>
      <c r="CT50" s="1816"/>
      <c r="CU50" s="1816"/>
      <c r="CV50" s="1816"/>
      <c r="CW50" s="1816"/>
      <c r="CX50" s="1816"/>
      <c r="CY50" s="1816"/>
      <c r="CZ50" s="1816"/>
      <c r="DA50" s="1816"/>
      <c r="DB50" s="1816"/>
      <c r="DC50" s="1816"/>
      <c r="DD50" s="1816"/>
      <c r="DE50" s="1816"/>
      <c r="DF50" s="1816"/>
      <c r="DG50" s="1816"/>
      <c r="DH50" s="1816"/>
      <c r="DI50" s="1816"/>
      <c r="DJ50" s="1816"/>
      <c r="DK50" s="1816"/>
      <c r="DL50" s="1816"/>
      <c r="DM50" s="1816"/>
      <c r="DN50" s="1816"/>
      <c r="DO50" s="1816"/>
      <c r="DP50" s="1816"/>
      <c r="DQ50" s="1816"/>
      <c r="DR50" s="1816"/>
      <c r="DS50" s="1816"/>
      <c r="DT50" s="1816"/>
      <c r="DU50" s="1816"/>
      <c r="DV50" s="1816"/>
      <c r="DW50" s="1816"/>
      <c r="DX50" s="1816"/>
      <c r="DY50" s="1816"/>
      <c r="DZ50" s="1816"/>
      <c r="EA50" s="1816"/>
      <c r="EB50" s="1816"/>
      <c r="EC50" s="1816"/>
      <c r="ED50" s="1816"/>
      <c r="EE50" s="1816"/>
      <c r="EF50" s="1816"/>
      <c r="EG50" s="1816"/>
      <c r="EH50" s="1816"/>
      <c r="EI50" s="1816"/>
      <c r="EJ50" s="1816"/>
      <c r="EK50" s="1816"/>
      <c r="EL50" s="1816"/>
      <c r="EM50" s="1816"/>
      <c r="EN50" s="1816"/>
      <c r="EO50" s="1816"/>
      <c r="EP50" s="1816"/>
      <c r="EQ50" s="1816"/>
      <c r="ER50" s="1816"/>
      <c r="ES50" s="1816"/>
      <c r="ET50" s="1816"/>
      <c r="EU50" s="1816"/>
      <c r="EV50" s="1816"/>
      <c r="EW50" s="1816"/>
      <c r="EX50" s="1816"/>
      <c r="EY50" s="1816"/>
      <c r="EZ50" s="1816"/>
      <c r="FA50" s="1816"/>
      <c r="FB50" s="1816"/>
      <c r="FC50" s="1816"/>
      <c r="FD50" s="1816"/>
      <c r="FE50" s="1816"/>
      <c r="FF50" s="1816"/>
      <c r="FG50" s="1816"/>
      <c r="FH50" s="1816"/>
      <c r="FI50" s="1816"/>
      <c r="FJ50" s="1816"/>
      <c r="FK50" s="1816"/>
      <c r="FL50" s="1816"/>
      <c r="FM50" s="1816"/>
      <c r="FN50" s="1816"/>
      <c r="FO50" s="1816"/>
      <c r="FP50" s="1816"/>
      <c r="FQ50" s="1816"/>
      <c r="FR50" s="1816"/>
      <c r="FS50" s="1816"/>
      <c r="FT50" s="1816"/>
      <c r="FU50" s="1816"/>
      <c r="FV50" s="1816"/>
      <c r="FW50" s="1816"/>
      <c r="FX50" s="1816"/>
      <c r="FY50" s="1816"/>
      <c r="FZ50" s="1816"/>
      <c r="GA50" s="1816"/>
      <c r="GB50" s="1816"/>
      <c r="GC50" s="1816"/>
      <c r="GD50" s="1816"/>
      <c r="GE50" s="1816"/>
      <c r="GF50" s="1816"/>
      <c r="GG50" s="1816"/>
      <c r="GH50" s="1816"/>
      <c r="GI50" s="1816"/>
      <c r="GJ50" s="1816"/>
      <c r="GK50" s="1816"/>
      <c r="GL50" s="1816"/>
      <c r="GM50" s="1816"/>
      <c r="GN50" s="1816"/>
      <c r="GO50" s="1816"/>
      <c r="GP50" s="1816"/>
      <c r="GQ50" s="1816"/>
      <c r="GR50" s="1816"/>
      <c r="GS50" s="1816"/>
      <c r="GT50" s="1816"/>
      <c r="GU50" s="1816"/>
      <c r="GV50" s="1816"/>
      <c r="GW50" s="1816"/>
      <c r="GX50" s="1816"/>
      <c r="GY50" s="1816"/>
      <c r="GZ50" s="1816"/>
      <c r="HA50" s="1816"/>
      <c r="HB50" s="1816"/>
      <c r="HC50" s="1816"/>
      <c r="HD50" s="1816"/>
      <c r="HE50" s="1816"/>
      <c r="HF50" s="1816"/>
      <c r="HG50" s="1816"/>
      <c r="HH50" s="1816"/>
      <c r="HI50" s="1816"/>
      <c r="HJ50" s="1816"/>
      <c r="HK50" s="1816"/>
      <c r="HL50" s="1816"/>
      <c r="HM50" s="1816"/>
      <c r="HN50" s="1816"/>
      <c r="HO50" s="1816"/>
      <c r="HP50" s="1816"/>
      <c r="HQ50" s="1816"/>
      <c r="HR50" s="1816"/>
      <c r="HS50" s="1816"/>
      <c r="HT50" s="1816"/>
      <c r="HU50" s="1816"/>
      <c r="HV50" s="1816"/>
      <c r="HW50" s="1816"/>
      <c r="HX50" s="1816"/>
      <c r="HY50" s="1816"/>
      <c r="HZ50" s="1816"/>
      <c r="IA50" s="1816"/>
      <c r="IB50" s="1816"/>
      <c r="IC50" s="1816"/>
      <c r="ID50" s="1816"/>
      <c r="IE50" s="1816"/>
      <c r="IF50" s="1816"/>
      <c r="IG50" s="1816"/>
      <c r="IH50" s="1816"/>
      <c r="II50" s="1816"/>
      <c r="IJ50" s="1816"/>
      <c r="IK50" s="1816"/>
      <c r="IL50" s="1816"/>
      <c r="IM50" s="1816"/>
      <c r="IN50" s="1816"/>
      <c r="IO50" s="1816"/>
      <c r="IP50" s="1816"/>
      <c r="IQ50" s="1816"/>
      <c r="IR50" s="1816"/>
      <c r="IS50" s="1816"/>
      <c r="IT50" s="1816"/>
      <c r="IU50" s="1816"/>
      <c r="IV50" s="1816"/>
      <c r="IW50" s="1816"/>
      <c r="IX50" s="1816"/>
      <c r="IY50" s="1816"/>
      <c r="IZ50" s="1816"/>
      <c r="JA50" s="1816"/>
      <c r="JB50" s="1816"/>
      <c r="JC50" s="1816"/>
      <c r="JD50" s="1816"/>
      <c r="JE50" s="1816"/>
      <c r="JF50" s="1816"/>
      <c r="JG50" s="1816"/>
      <c r="JH50" s="1816"/>
      <c r="JI50" s="1816"/>
      <c r="JJ50" s="1816"/>
      <c r="JK50" s="1816"/>
      <c r="JL50" s="1816"/>
      <c r="JM50" s="1816"/>
      <c r="JN50" s="1816"/>
      <c r="JO50" s="1816"/>
      <c r="JP50" s="1816"/>
      <c r="JQ50" s="1816"/>
      <c r="JR50" s="1816"/>
      <c r="JS50" s="1816"/>
      <c r="JT50" s="1816"/>
      <c r="JU50" s="1816"/>
      <c r="JV50" s="1816"/>
      <c r="JW50" s="1816"/>
      <c r="JX50" s="1816"/>
      <c r="JY50" s="1816"/>
      <c r="JZ50" s="1816"/>
      <c r="KA50" s="1816"/>
      <c r="KB50" s="1816"/>
      <c r="KC50" s="1816"/>
      <c r="KD50" s="1816"/>
      <c r="KE50" s="1816"/>
      <c r="KF50" s="1816"/>
      <c r="KG50" s="1816"/>
      <c r="KH50" s="1816"/>
      <c r="KI50" s="1816"/>
      <c r="KJ50" s="1816"/>
      <c r="KK50" s="1816"/>
      <c r="KL50" s="1816"/>
      <c r="KM50" s="1816"/>
      <c r="KN50" s="1816"/>
      <c r="KO50" s="1816"/>
      <c r="KP50" s="1816"/>
      <c r="KQ50" s="1816"/>
      <c r="KR50" s="1816"/>
      <c r="KS50" s="1816"/>
      <c r="KT50" s="1816"/>
      <c r="KU50" s="1816"/>
      <c r="KV50" s="1816"/>
      <c r="KW50" s="1816"/>
      <c r="KX50" s="1816"/>
      <c r="KY50" s="1816"/>
      <c r="KZ50" s="1816"/>
      <c r="LA50" s="1816"/>
      <c r="LB50" s="1816"/>
      <c r="LC50" s="1816"/>
      <c r="LD50" s="1816"/>
      <c r="LE50" s="1816"/>
      <c r="LF50" s="1816"/>
      <c r="LG50" s="1816"/>
      <c r="LH50" s="1816"/>
      <c r="LI50" s="1816"/>
      <c r="LJ50" s="1816"/>
      <c r="LK50" s="1816"/>
      <c r="LL50" s="1816"/>
      <c r="LM50" s="1816"/>
      <c r="LN50" s="1816"/>
      <c r="LO50" s="1816"/>
      <c r="LP50" s="1816"/>
      <c r="LQ50" s="1816"/>
      <c r="LR50" s="1816"/>
      <c r="LS50" s="1816"/>
      <c r="LT50" s="1816"/>
      <c r="LU50" s="1816"/>
      <c r="LV50" s="1816"/>
      <c r="LW50" s="1816"/>
      <c r="LX50" s="1816"/>
      <c r="LY50" s="1816"/>
      <c r="LZ50" s="1816"/>
      <c r="MA50" s="1816"/>
      <c r="MB50" s="1816"/>
      <c r="MC50" s="1816"/>
      <c r="MD50" s="1816"/>
      <c r="ME50" s="1816"/>
      <c r="MF50" s="430"/>
      <c r="MG50" s="430"/>
      <c r="MH50" s="430"/>
      <c r="MI50" s="430"/>
      <c r="MJ50" s="430"/>
      <c r="MK50" s="430"/>
      <c r="ML50" s="430"/>
      <c r="MM50" s="430"/>
      <c r="MN50" s="430"/>
      <c r="MO50" s="430"/>
      <c r="MP50" s="430"/>
      <c r="MQ50" s="430"/>
      <c r="MR50" s="430"/>
      <c r="MS50" s="430"/>
      <c r="MT50" s="430"/>
      <c r="MU50" s="430"/>
      <c r="NP50" s="2807" t="s">
        <v>6756</v>
      </c>
    </row>
    <row r="51" spans="1:380" ht="12" customHeight="1">
      <c r="A51" s="3931" t="s">
        <v>2495</v>
      </c>
      <c r="B51" s="3932"/>
      <c r="C51" s="3932"/>
      <c r="D51" s="3932"/>
      <c r="E51" s="3932"/>
      <c r="F51" s="3932"/>
      <c r="G51" s="3932"/>
      <c r="H51" s="3932"/>
      <c r="I51" s="3932"/>
      <c r="J51" s="3932"/>
      <c r="K51" s="3932"/>
      <c r="L51" s="3932"/>
      <c r="M51" s="3932"/>
      <c r="N51" s="3932"/>
      <c r="O51" s="3932"/>
      <c r="P51" s="3932"/>
      <c r="Q51" s="3932"/>
      <c r="R51" s="2909"/>
      <c r="S51" s="90"/>
      <c r="T51" s="90"/>
      <c r="U51" s="90"/>
      <c r="V51" s="90"/>
      <c r="W51" s="286"/>
      <c r="X51" s="1816"/>
      <c r="Y51" s="1816"/>
      <c r="Z51" s="1816"/>
      <c r="AA51" s="1816"/>
      <c r="AB51" s="1816"/>
      <c r="AC51" s="1816"/>
      <c r="AD51" s="1816"/>
      <c r="AE51" s="1816"/>
      <c r="AF51" s="1816"/>
      <c r="AG51" s="1816"/>
      <c r="AH51" s="1816"/>
      <c r="AI51" s="1816"/>
      <c r="AJ51" s="1816"/>
      <c r="AK51" s="1816"/>
      <c r="AL51" s="1816"/>
      <c r="AM51" s="1816"/>
      <c r="AN51" s="1816"/>
      <c r="AO51" s="1816"/>
      <c r="AP51" s="1816"/>
      <c r="AQ51" s="1816"/>
      <c r="AR51" s="1816"/>
      <c r="AS51" s="1816"/>
      <c r="AT51" s="1816"/>
      <c r="AU51" s="1816"/>
      <c r="AV51" s="1816"/>
      <c r="AW51" s="1816"/>
      <c r="AX51" s="1816"/>
      <c r="AY51" s="1816"/>
      <c r="AZ51" s="1816"/>
      <c r="BA51" s="1816"/>
      <c r="BB51" s="1816"/>
      <c r="BC51" s="1816"/>
      <c r="BD51" s="1816"/>
      <c r="BE51" s="1816"/>
      <c r="BF51" s="1816"/>
      <c r="BG51" s="1816"/>
      <c r="BH51" s="1816"/>
      <c r="BI51" s="1816"/>
      <c r="BJ51" s="1816"/>
      <c r="BK51" s="1816"/>
      <c r="BL51" s="1816"/>
      <c r="BM51" s="1816"/>
      <c r="BN51" s="1816"/>
      <c r="BO51" s="1816"/>
      <c r="BP51" s="1816"/>
      <c r="BQ51" s="1816"/>
      <c r="BR51" s="1816"/>
      <c r="BS51" s="1816"/>
      <c r="BT51" s="1816"/>
      <c r="BU51" s="1816"/>
      <c r="BV51" s="1816"/>
      <c r="BW51" s="1816"/>
      <c r="BX51" s="1816"/>
      <c r="BY51" s="1816"/>
      <c r="BZ51" s="1816"/>
      <c r="CA51" s="1816"/>
      <c r="CB51" s="1816"/>
      <c r="CC51" s="1816"/>
      <c r="CD51" s="1816"/>
      <c r="CE51" s="1816"/>
      <c r="CF51" s="1816"/>
      <c r="CG51" s="1816"/>
      <c r="CH51" s="1816"/>
      <c r="CI51" s="1816"/>
      <c r="CJ51" s="1816"/>
      <c r="CK51" s="1816"/>
      <c r="CL51" s="1816"/>
      <c r="CM51" s="1816"/>
      <c r="CN51" s="1816"/>
      <c r="CO51" s="1816"/>
      <c r="CP51" s="1816"/>
      <c r="CQ51" s="1816"/>
      <c r="CR51" s="1816"/>
      <c r="CS51" s="1816"/>
      <c r="CT51" s="1816"/>
      <c r="CU51" s="1816"/>
      <c r="CV51" s="1816"/>
      <c r="CW51" s="1816"/>
      <c r="CX51" s="1816"/>
      <c r="CY51" s="1816"/>
      <c r="CZ51" s="1816"/>
      <c r="DA51" s="1816"/>
      <c r="DB51" s="1816"/>
      <c r="DC51" s="1816"/>
      <c r="DD51" s="1816"/>
      <c r="DE51" s="1816"/>
      <c r="DF51" s="1816"/>
      <c r="DG51" s="1816"/>
      <c r="DH51" s="1816"/>
      <c r="DI51" s="1816"/>
      <c r="DJ51" s="1816"/>
      <c r="DK51" s="1816"/>
      <c r="DL51" s="1816"/>
      <c r="DM51" s="1816"/>
      <c r="DN51" s="1816"/>
      <c r="DO51" s="1816"/>
      <c r="DP51" s="1816"/>
      <c r="DQ51" s="1816"/>
      <c r="DR51" s="1816"/>
      <c r="DS51" s="1816"/>
      <c r="DT51" s="1816"/>
      <c r="DU51" s="1816"/>
      <c r="DV51" s="1816"/>
      <c r="DW51" s="1816"/>
      <c r="DX51" s="1816"/>
      <c r="DY51" s="1816"/>
      <c r="DZ51" s="1816"/>
      <c r="EA51" s="1816"/>
      <c r="EB51" s="1816"/>
      <c r="EC51" s="1816"/>
      <c r="ED51" s="1816"/>
      <c r="EE51" s="1816"/>
      <c r="EF51" s="1816"/>
      <c r="EG51" s="1816"/>
      <c r="EH51" s="1816"/>
      <c r="EI51" s="1816"/>
      <c r="EJ51" s="1816"/>
      <c r="EK51" s="1816"/>
      <c r="EL51" s="1816"/>
      <c r="EM51" s="1816"/>
      <c r="EN51" s="1816"/>
      <c r="EO51" s="1816"/>
      <c r="EP51" s="1816"/>
      <c r="EQ51" s="1816"/>
      <c r="ER51" s="1816"/>
      <c r="ES51" s="1816"/>
      <c r="ET51" s="1816"/>
      <c r="EU51" s="1816"/>
      <c r="EV51" s="1816"/>
      <c r="EW51" s="1816"/>
      <c r="EX51" s="1816"/>
      <c r="EY51" s="1816"/>
      <c r="EZ51" s="1816"/>
      <c r="FA51" s="1816"/>
      <c r="FB51" s="1816"/>
      <c r="FC51" s="1816"/>
      <c r="FD51" s="1816"/>
      <c r="FE51" s="1816"/>
      <c r="FF51" s="1816"/>
      <c r="FG51" s="1816"/>
      <c r="FH51" s="1816"/>
      <c r="FI51" s="1816"/>
      <c r="FJ51" s="1816"/>
      <c r="FK51" s="1816"/>
      <c r="FL51" s="1816"/>
      <c r="FM51" s="1816"/>
      <c r="FN51" s="1816"/>
      <c r="FO51" s="1816"/>
      <c r="FP51" s="1816"/>
      <c r="FQ51" s="1816"/>
      <c r="FR51" s="1816"/>
      <c r="FS51" s="1816"/>
      <c r="FT51" s="1816"/>
      <c r="FU51" s="1816"/>
      <c r="FV51" s="1816"/>
      <c r="FW51" s="1816"/>
      <c r="FX51" s="1816"/>
      <c r="FY51" s="1816"/>
      <c r="FZ51" s="1816"/>
      <c r="GA51" s="1816"/>
      <c r="GB51" s="1816"/>
      <c r="GC51" s="1816"/>
      <c r="GD51" s="1816"/>
      <c r="GE51" s="1816"/>
      <c r="GF51" s="1816"/>
      <c r="GG51" s="1816"/>
      <c r="GH51" s="1816"/>
      <c r="GI51" s="1816"/>
      <c r="GJ51" s="1816"/>
      <c r="GK51" s="1816"/>
      <c r="GL51" s="1816"/>
      <c r="GM51" s="1816"/>
      <c r="GN51" s="1816"/>
      <c r="GO51" s="1816"/>
      <c r="GP51" s="1816"/>
      <c r="GQ51" s="1816"/>
      <c r="GR51" s="1816"/>
      <c r="GS51" s="1816"/>
      <c r="GT51" s="1816"/>
      <c r="GU51" s="1816"/>
      <c r="GV51" s="1816"/>
      <c r="GW51" s="1816"/>
      <c r="GX51" s="1816"/>
      <c r="GY51" s="1816"/>
      <c r="GZ51" s="1816"/>
      <c r="HA51" s="1816"/>
      <c r="HB51" s="1816"/>
      <c r="HC51" s="1816"/>
      <c r="HD51" s="1816"/>
      <c r="HE51" s="1816"/>
      <c r="HF51" s="1816"/>
      <c r="HG51" s="1816"/>
      <c r="HH51" s="1816"/>
      <c r="HI51" s="1816"/>
      <c r="HJ51" s="1816"/>
      <c r="HK51" s="1816"/>
      <c r="HL51" s="1816"/>
      <c r="HM51" s="1816"/>
      <c r="HN51" s="1816"/>
      <c r="HO51" s="1816"/>
      <c r="HP51" s="1816"/>
      <c r="HQ51" s="1816"/>
      <c r="HR51" s="1816"/>
      <c r="HS51" s="1816"/>
      <c r="HT51" s="1816"/>
      <c r="HU51" s="1816"/>
      <c r="HV51" s="1816"/>
      <c r="HW51" s="1816"/>
      <c r="HX51" s="1816"/>
      <c r="HY51" s="1816"/>
      <c r="HZ51" s="1816"/>
      <c r="IA51" s="1816"/>
      <c r="IB51" s="1816"/>
      <c r="IC51" s="1816"/>
      <c r="ID51" s="1816"/>
      <c r="IE51" s="1816"/>
      <c r="IF51" s="1816"/>
      <c r="IG51" s="1816"/>
      <c r="IH51" s="1816"/>
      <c r="II51" s="1816"/>
      <c r="IJ51" s="1816"/>
      <c r="IK51" s="1816"/>
      <c r="IL51" s="1816"/>
      <c r="IM51" s="1816"/>
      <c r="IN51" s="1816"/>
      <c r="IO51" s="1816"/>
      <c r="IP51" s="1816"/>
      <c r="IQ51" s="1816"/>
      <c r="IR51" s="1816"/>
      <c r="IS51" s="1816"/>
      <c r="IT51" s="1816"/>
      <c r="IU51" s="1816"/>
      <c r="IV51" s="1816"/>
      <c r="IW51" s="1816"/>
      <c r="IX51" s="1816"/>
      <c r="IY51" s="1816"/>
      <c r="IZ51" s="1816"/>
      <c r="JA51" s="1816"/>
      <c r="JB51" s="1816"/>
      <c r="JC51" s="1816"/>
      <c r="JD51" s="1816"/>
      <c r="JE51" s="1816"/>
      <c r="JF51" s="1816"/>
      <c r="JG51" s="1816"/>
      <c r="JH51" s="1816"/>
      <c r="JI51" s="1816"/>
      <c r="JJ51" s="1816"/>
      <c r="JK51" s="1816"/>
      <c r="JL51" s="1816"/>
      <c r="JM51" s="1816"/>
      <c r="JN51" s="1816"/>
      <c r="JO51" s="1816"/>
      <c r="JP51" s="1816"/>
      <c r="JQ51" s="1816"/>
      <c r="JR51" s="1816"/>
      <c r="JS51" s="1816"/>
      <c r="JT51" s="1816"/>
      <c r="JU51" s="1816"/>
      <c r="JV51" s="1816"/>
      <c r="JW51" s="1816"/>
      <c r="JX51" s="1816"/>
      <c r="JY51" s="1816"/>
      <c r="JZ51" s="1816"/>
      <c r="KA51" s="1816"/>
      <c r="KB51" s="1816"/>
      <c r="KC51" s="1816"/>
      <c r="KD51" s="1816"/>
      <c r="KE51" s="1816"/>
      <c r="KF51" s="1816"/>
      <c r="KG51" s="1816"/>
      <c r="KH51" s="1816"/>
      <c r="KI51" s="1816"/>
      <c r="KJ51" s="1816"/>
      <c r="KK51" s="1816"/>
      <c r="KL51" s="1816"/>
      <c r="KM51" s="1816"/>
      <c r="KN51" s="1816"/>
      <c r="KO51" s="1816"/>
      <c r="KP51" s="1816"/>
      <c r="KQ51" s="1816"/>
      <c r="KR51" s="1816"/>
      <c r="KS51" s="1816"/>
      <c r="KT51" s="1816"/>
      <c r="KU51" s="1816"/>
      <c r="KV51" s="1816"/>
      <c r="KW51" s="1816"/>
      <c r="KX51" s="1816"/>
      <c r="KY51" s="1816"/>
      <c r="KZ51" s="1816"/>
      <c r="LA51" s="1816"/>
      <c r="LB51" s="1816"/>
      <c r="LC51" s="1816"/>
      <c r="LD51" s="1816"/>
      <c r="LE51" s="1816"/>
      <c r="LF51" s="1816"/>
      <c r="LG51" s="1816"/>
      <c r="LH51" s="1816"/>
      <c r="LI51" s="1816"/>
      <c r="LJ51" s="1816"/>
      <c r="LK51" s="1816"/>
      <c r="LL51" s="1816"/>
      <c r="LM51" s="1816"/>
      <c r="LN51" s="1816"/>
      <c r="LO51" s="1816"/>
      <c r="LP51" s="1816"/>
      <c r="LQ51" s="1816"/>
      <c r="LR51" s="1816"/>
      <c r="LS51" s="1816"/>
      <c r="LT51" s="1816"/>
      <c r="LU51" s="1816"/>
      <c r="LV51" s="1816"/>
      <c r="LW51" s="1816"/>
      <c r="LX51" s="1816"/>
      <c r="LY51" s="1816"/>
      <c r="LZ51" s="1816"/>
      <c r="MA51" s="1816"/>
      <c r="MB51" s="1816"/>
      <c r="MC51" s="1816"/>
      <c r="MD51" s="1816"/>
      <c r="ME51" s="1816"/>
    </row>
    <row r="52" spans="1:380" ht="12" customHeight="1" thickBot="1">
      <c r="A52" s="3932"/>
      <c r="B52" s="3932"/>
      <c r="C52" s="3932"/>
      <c r="D52" s="3932"/>
      <c r="E52" s="3932"/>
      <c r="F52" s="3932"/>
      <c r="G52" s="3932"/>
      <c r="H52" s="3932"/>
      <c r="I52" s="3932"/>
      <c r="J52" s="3932"/>
      <c r="K52" s="3932"/>
      <c r="L52" s="3932"/>
      <c r="M52" s="3932"/>
      <c r="N52" s="3932"/>
      <c r="O52" s="3932"/>
      <c r="P52" s="3932"/>
      <c r="Q52" s="3932"/>
      <c r="R52" s="2909"/>
      <c r="S52" s="90"/>
      <c r="T52" s="90"/>
      <c r="U52" s="90"/>
      <c r="V52" s="90"/>
      <c r="W52" s="286"/>
      <c r="X52" s="1816"/>
      <c r="Y52" s="1816"/>
      <c r="Z52" s="1816"/>
      <c r="AA52" s="1816"/>
      <c r="AB52" s="1816"/>
      <c r="AC52" s="1816"/>
      <c r="AD52" s="1816"/>
      <c r="AE52" s="1816"/>
      <c r="AF52" s="1816"/>
      <c r="AG52" s="1816"/>
      <c r="AH52" s="1816"/>
      <c r="AI52" s="1816"/>
      <c r="AJ52" s="1816"/>
      <c r="AK52" s="1816"/>
      <c r="AL52" s="1816"/>
      <c r="AM52" s="1816"/>
      <c r="AN52" s="1816"/>
      <c r="AO52" s="1816"/>
      <c r="AP52" s="1816"/>
      <c r="AQ52" s="1816"/>
      <c r="AR52" s="1816"/>
      <c r="AS52" s="1816"/>
      <c r="AT52" s="1816"/>
      <c r="AU52" s="1816"/>
      <c r="AV52" s="1816"/>
      <c r="AW52" s="1816"/>
      <c r="AX52" s="1816"/>
      <c r="AY52" s="1816"/>
      <c r="AZ52" s="1816"/>
      <c r="BA52" s="1816"/>
      <c r="BB52" s="1816"/>
      <c r="BC52" s="1816"/>
      <c r="BD52" s="1816"/>
      <c r="BE52" s="1816"/>
      <c r="BF52" s="1816"/>
      <c r="BG52" s="1816"/>
      <c r="BH52" s="1816"/>
      <c r="BI52" s="1816"/>
      <c r="BJ52" s="1816"/>
      <c r="BK52" s="1816"/>
      <c r="BL52" s="1816"/>
      <c r="BM52" s="1816"/>
      <c r="BN52" s="1816"/>
      <c r="BO52" s="1816"/>
      <c r="BP52" s="1816"/>
      <c r="BQ52" s="1816"/>
      <c r="BR52" s="1816"/>
      <c r="BS52" s="1816"/>
      <c r="BT52" s="1816"/>
      <c r="BU52" s="1816"/>
      <c r="BV52" s="1816"/>
      <c r="BW52" s="1816"/>
      <c r="BX52" s="1816"/>
      <c r="BY52" s="1816"/>
      <c r="BZ52" s="1816"/>
      <c r="CA52" s="1816"/>
      <c r="CB52" s="1816"/>
      <c r="CC52" s="1816"/>
      <c r="CD52" s="1816"/>
      <c r="CE52" s="1816"/>
      <c r="CF52" s="1816"/>
      <c r="CG52" s="1816"/>
      <c r="CH52" s="1816"/>
      <c r="CI52" s="1816"/>
      <c r="CJ52" s="1816"/>
      <c r="CK52" s="1816"/>
      <c r="CL52" s="1816"/>
      <c r="CM52" s="1816"/>
      <c r="CN52" s="1816"/>
      <c r="CO52" s="1816"/>
      <c r="CP52" s="1816"/>
      <c r="CQ52" s="1816"/>
      <c r="CR52" s="1816"/>
      <c r="CS52" s="1816"/>
      <c r="CT52" s="1816"/>
      <c r="CU52" s="1816"/>
      <c r="CV52" s="1816"/>
      <c r="CW52" s="1816"/>
      <c r="CX52" s="1816"/>
      <c r="CY52" s="1816"/>
      <c r="CZ52" s="1816"/>
      <c r="DA52" s="1816"/>
      <c r="DB52" s="1816"/>
      <c r="DC52" s="1816"/>
      <c r="DD52" s="1816"/>
      <c r="DE52" s="1816"/>
      <c r="DF52" s="1816"/>
      <c r="DG52" s="1816"/>
      <c r="DH52" s="1816"/>
      <c r="DI52" s="1816"/>
      <c r="DJ52" s="1816"/>
      <c r="DK52" s="1816"/>
      <c r="DL52" s="1816"/>
      <c r="DM52" s="1816"/>
      <c r="DN52" s="1816"/>
      <c r="DO52" s="1816"/>
      <c r="DP52" s="1816"/>
      <c r="DQ52" s="1816"/>
      <c r="DR52" s="1816"/>
      <c r="DS52" s="1816"/>
      <c r="DT52" s="1816"/>
      <c r="DU52" s="1816"/>
      <c r="DV52" s="1816"/>
      <c r="DW52" s="1816"/>
      <c r="DX52" s="1816"/>
      <c r="DY52" s="1816"/>
      <c r="DZ52" s="1816"/>
      <c r="EA52" s="1816"/>
      <c r="EB52" s="1816"/>
      <c r="EC52" s="1816"/>
      <c r="ED52" s="1816"/>
      <c r="EE52" s="1816"/>
      <c r="EF52" s="1816"/>
      <c r="EG52" s="1816"/>
      <c r="EH52" s="1816"/>
      <c r="EI52" s="1816"/>
      <c r="EJ52" s="1816"/>
      <c r="EK52" s="1816"/>
      <c r="EL52" s="1816"/>
      <c r="EM52" s="1816"/>
      <c r="EN52" s="1816"/>
      <c r="EO52" s="1816"/>
      <c r="EP52" s="1816"/>
      <c r="EQ52" s="1816"/>
      <c r="ER52" s="1816"/>
      <c r="ES52" s="1816"/>
      <c r="ET52" s="1816"/>
      <c r="EU52" s="1816"/>
      <c r="EV52" s="1816"/>
      <c r="EW52" s="1816"/>
      <c r="EX52" s="1816"/>
      <c r="EY52" s="1816"/>
      <c r="EZ52" s="1816"/>
      <c r="FA52" s="1816"/>
      <c r="FB52" s="1816"/>
      <c r="FC52" s="1816"/>
      <c r="FD52" s="1816"/>
      <c r="FE52" s="1816"/>
      <c r="FF52" s="1816"/>
      <c r="FG52" s="1816"/>
      <c r="FH52" s="1816"/>
      <c r="FI52" s="1816"/>
      <c r="FJ52" s="1816"/>
      <c r="FK52" s="1816"/>
      <c r="FL52" s="1816"/>
      <c r="FM52" s="1816"/>
      <c r="FN52" s="1816"/>
      <c r="FO52" s="1816"/>
      <c r="FP52" s="1816"/>
      <c r="FQ52" s="1816"/>
      <c r="FR52" s="1816"/>
      <c r="FS52" s="1816"/>
      <c r="FT52" s="1816"/>
      <c r="FU52" s="1816"/>
      <c r="FV52" s="1816"/>
      <c r="FW52" s="1816"/>
      <c r="FX52" s="1816"/>
      <c r="FY52" s="1816"/>
      <c r="FZ52" s="1816"/>
      <c r="GA52" s="1816"/>
      <c r="GB52" s="1816"/>
      <c r="GC52" s="1816"/>
      <c r="GD52" s="1816"/>
      <c r="GE52" s="1816"/>
      <c r="GF52" s="1816"/>
      <c r="GG52" s="1816"/>
      <c r="GH52" s="1816"/>
      <c r="GI52" s="1816"/>
      <c r="GJ52" s="1816"/>
      <c r="GK52" s="1816"/>
      <c r="GL52" s="1816"/>
      <c r="GM52" s="1816"/>
      <c r="GN52" s="1816"/>
      <c r="GO52" s="1816"/>
      <c r="GP52" s="1816"/>
      <c r="GQ52" s="1816"/>
      <c r="GR52" s="1816"/>
      <c r="GS52" s="1816"/>
      <c r="GT52" s="1816"/>
      <c r="GU52" s="1816"/>
      <c r="GV52" s="1816"/>
      <c r="GW52" s="1816"/>
      <c r="GX52" s="1816"/>
      <c r="GY52" s="1816"/>
      <c r="GZ52" s="1816"/>
      <c r="HA52" s="1816"/>
      <c r="HB52" s="1816"/>
      <c r="HC52" s="1816"/>
      <c r="HD52" s="1816"/>
      <c r="HE52" s="1816"/>
      <c r="HF52" s="1816"/>
      <c r="HG52" s="1816"/>
      <c r="HH52" s="1816"/>
      <c r="HI52" s="1816"/>
      <c r="HJ52" s="1816"/>
      <c r="HK52" s="1816"/>
      <c r="HL52" s="1816"/>
      <c r="HM52" s="1816"/>
      <c r="HN52" s="1816"/>
      <c r="HO52" s="1816"/>
      <c r="HP52" s="1816"/>
      <c r="HQ52" s="1816"/>
      <c r="HR52" s="1816"/>
      <c r="HS52" s="1816"/>
      <c r="HT52" s="1816"/>
      <c r="HU52" s="1816"/>
      <c r="HV52" s="1816"/>
      <c r="HW52" s="1816"/>
      <c r="HX52" s="1816"/>
      <c r="HY52" s="1816"/>
      <c r="HZ52" s="1816"/>
      <c r="IA52" s="1816"/>
      <c r="IB52" s="1816"/>
      <c r="IC52" s="1816"/>
      <c r="ID52" s="1816"/>
      <c r="IE52" s="1816"/>
      <c r="IF52" s="1816"/>
      <c r="IG52" s="1816"/>
      <c r="IH52" s="1816"/>
      <c r="II52" s="1816"/>
      <c r="IJ52" s="1816"/>
      <c r="IK52" s="1816"/>
      <c r="IL52" s="1816"/>
      <c r="IM52" s="1816"/>
      <c r="IN52" s="1816"/>
      <c r="IO52" s="1816"/>
      <c r="IP52" s="1816"/>
      <c r="IQ52" s="1816"/>
      <c r="IR52" s="1816"/>
      <c r="IS52" s="1816"/>
      <c r="IT52" s="1816"/>
      <c r="IU52" s="1816"/>
      <c r="IV52" s="1816"/>
      <c r="IW52" s="1816"/>
      <c r="IX52" s="1816"/>
      <c r="IY52" s="1816"/>
      <c r="IZ52" s="1816"/>
      <c r="JA52" s="1816"/>
      <c r="JB52" s="1816"/>
      <c r="JC52" s="1816"/>
      <c r="JD52" s="1816"/>
      <c r="JE52" s="1816"/>
      <c r="JF52" s="1816"/>
      <c r="JG52" s="1816"/>
      <c r="JH52" s="1816"/>
      <c r="JI52" s="1816"/>
      <c r="JJ52" s="1816"/>
      <c r="JK52" s="1816"/>
      <c r="JL52" s="1816"/>
      <c r="JM52" s="1816"/>
      <c r="JN52" s="1816"/>
      <c r="JO52" s="1816"/>
      <c r="JP52" s="1816"/>
      <c r="JQ52" s="1816"/>
      <c r="JR52" s="1816"/>
      <c r="JS52" s="1816"/>
      <c r="JT52" s="1816"/>
      <c r="JU52" s="1816"/>
      <c r="JV52" s="1816"/>
      <c r="JW52" s="1816"/>
      <c r="JX52" s="1816"/>
      <c r="JY52" s="1816"/>
      <c r="JZ52" s="1816"/>
      <c r="KA52" s="1816"/>
      <c r="KB52" s="1816"/>
      <c r="KC52" s="1816"/>
      <c r="KD52" s="1816"/>
      <c r="KE52" s="1816"/>
      <c r="KF52" s="1816"/>
      <c r="KG52" s="1816"/>
      <c r="KH52" s="1816"/>
      <c r="KI52" s="1816"/>
      <c r="KJ52" s="1816"/>
      <c r="KK52" s="1816"/>
      <c r="KL52" s="1816"/>
      <c r="KM52" s="1816"/>
      <c r="KN52" s="1816"/>
      <c r="KO52" s="1816"/>
      <c r="KP52" s="1816"/>
      <c r="KQ52" s="1816"/>
      <c r="KR52" s="1816"/>
      <c r="KS52" s="1816"/>
      <c r="KT52" s="1816"/>
      <c r="KU52" s="1816"/>
      <c r="KV52" s="1816"/>
      <c r="KW52" s="1816"/>
      <c r="KX52" s="1816"/>
      <c r="KY52" s="1816"/>
      <c r="KZ52" s="1816"/>
      <c r="LA52" s="1816"/>
      <c r="LB52" s="1816"/>
      <c r="LC52" s="1816"/>
      <c r="LD52" s="1816"/>
      <c r="LE52" s="1816"/>
      <c r="LF52" s="1816"/>
      <c r="LG52" s="1816"/>
      <c r="LH52" s="1816"/>
      <c r="LI52" s="1816"/>
      <c r="LJ52" s="1816"/>
      <c r="LK52" s="1816"/>
      <c r="LL52" s="1816"/>
      <c r="LM52" s="1816"/>
      <c r="LN52" s="1816"/>
      <c r="LO52" s="1816"/>
      <c r="LP52" s="1816"/>
      <c r="LQ52" s="1816"/>
      <c r="LR52" s="1816"/>
      <c r="LS52" s="1816"/>
      <c r="LT52" s="1816"/>
      <c r="LU52" s="1816"/>
      <c r="LV52" s="1816"/>
      <c r="LW52" s="1816"/>
      <c r="LX52" s="1816"/>
      <c r="LY52" s="1816"/>
      <c r="LZ52" s="1816"/>
      <c r="MA52" s="1816"/>
      <c r="MB52" s="1816"/>
      <c r="MC52" s="1816"/>
      <c r="MD52" s="1816"/>
      <c r="ME52" s="1816"/>
    </row>
    <row r="53" spans="1:380" ht="14.45" customHeight="1" thickBot="1">
      <c r="A53" s="13" t="s">
        <v>710</v>
      </c>
      <c r="B53" s="13" t="s">
        <v>508</v>
      </c>
      <c r="L53" s="3842" t="str">
        <f>'Part I-Project Information'!$K$94</f>
        <v>40% of Units at 60% of AMI</v>
      </c>
      <c r="M53" s="3843"/>
      <c r="N53" s="3843"/>
      <c r="O53" s="3844"/>
      <c r="P53" s="82"/>
      <c r="S53" s="3857" t="str">
        <f>B53</f>
        <v>UNIT SUMMARY</v>
      </c>
      <c r="T53" s="3857"/>
      <c r="U53" s="3857"/>
      <c r="V53" s="3857"/>
      <c r="X53" s="577"/>
      <c r="AA53" s="577"/>
      <c r="AB53" s="577"/>
      <c r="AC53" s="577"/>
      <c r="AF53" s="577"/>
      <c r="AG53" s="577"/>
      <c r="AH53" s="577"/>
      <c r="AK53" s="577"/>
      <c r="AL53" s="577"/>
      <c r="AM53" s="577"/>
      <c r="AP53" s="577"/>
      <c r="AQ53" s="577"/>
      <c r="AR53" s="577"/>
      <c r="AS53" s="577"/>
      <c r="AT53" s="577"/>
      <c r="AU53" s="577"/>
      <c r="AV53" s="577"/>
      <c r="AW53" s="577"/>
      <c r="AX53" s="577"/>
      <c r="AY53" s="432"/>
      <c r="BB53" s="577"/>
      <c r="BC53" s="577"/>
      <c r="BD53" s="432"/>
      <c r="LO53" s="434"/>
      <c r="MD53" s="430"/>
    </row>
    <row r="54" spans="1:380" ht="6" customHeight="1">
      <c r="A54" s="13"/>
      <c r="B54" s="13"/>
      <c r="P54" s="82"/>
      <c r="S54" s="123"/>
      <c r="T54" s="395"/>
      <c r="U54" s="447"/>
      <c r="X54" s="577"/>
      <c r="AA54" s="577"/>
      <c r="AB54" s="577"/>
      <c r="AC54" s="577"/>
      <c r="AF54" s="577"/>
      <c r="AG54" s="577"/>
      <c r="AH54" s="577"/>
      <c r="AK54" s="577"/>
      <c r="AL54" s="577"/>
      <c r="AM54" s="577"/>
      <c r="AP54" s="577"/>
      <c r="AQ54" s="577"/>
      <c r="AR54" s="577"/>
      <c r="AS54" s="577"/>
      <c r="AT54" s="577"/>
      <c r="AU54" s="577"/>
      <c r="AV54" s="577"/>
      <c r="AW54" s="577"/>
      <c r="AX54" s="577"/>
      <c r="AY54" s="432"/>
      <c r="BB54" s="577"/>
      <c r="BC54" s="577"/>
      <c r="BD54" s="432"/>
      <c r="LO54" s="434"/>
      <c r="MD54" s="430"/>
    </row>
    <row r="55" spans="1:380" ht="14.45" customHeight="1">
      <c r="A55" s="13"/>
      <c r="B55" s="13" t="s">
        <v>6821</v>
      </c>
      <c r="H55" s="82" t="s">
        <v>1000</v>
      </c>
      <c r="I55" s="82"/>
      <c r="J55" s="82"/>
      <c r="K55" s="118" t="s">
        <v>539</v>
      </c>
      <c r="L55" s="118" t="s">
        <v>509</v>
      </c>
      <c r="M55" s="118" t="s">
        <v>510</v>
      </c>
      <c r="N55" s="118" t="s">
        <v>511</v>
      </c>
      <c r="O55" s="118" t="s">
        <v>512</v>
      </c>
      <c r="P55" s="118" t="s">
        <v>513</v>
      </c>
      <c r="S55" s="31" t="s">
        <v>1759</v>
      </c>
      <c r="T55" s="31"/>
      <c r="U55" s="447"/>
      <c r="X55" s="577"/>
      <c r="AA55" s="577"/>
      <c r="AB55" s="577"/>
      <c r="AC55" s="577"/>
      <c r="AF55" s="577"/>
      <c r="AG55" s="577"/>
      <c r="AH55" s="577"/>
      <c r="AK55" s="577"/>
      <c r="AL55" s="577"/>
      <c r="AM55" s="577"/>
      <c r="AP55" s="577"/>
      <c r="AQ55" s="577"/>
      <c r="AR55" s="1817"/>
      <c r="AS55" s="1817"/>
      <c r="AT55" s="1817"/>
      <c r="AU55" s="1817"/>
      <c r="AV55" s="1817"/>
      <c r="AW55" s="1817"/>
      <c r="AX55" s="577"/>
      <c r="AY55" s="432"/>
      <c r="BB55" s="1817"/>
      <c r="BC55" s="577"/>
      <c r="BD55" s="432"/>
      <c r="LO55" s="434"/>
      <c r="MD55" s="430"/>
    </row>
    <row r="56" spans="1:380" ht="15" customHeight="1">
      <c r="A56" s="3850" t="s">
        <v>4283</v>
      </c>
      <c r="B56" s="3850"/>
      <c r="C56" s="93" t="s">
        <v>1095</v>
      </c>
      <c r="D56" s="1"/>
      <c r="E56" s="1"/>
      <c r="F56" s="1"/>
      <c r="G56" s="82"/>
      <c r="H56" s="109" t="s">
        <v>3829</v>
      </c>
      <c r="I56" s="36"/>
      <c r="J56" s="82"/>
      <c r="K56" s="1200">
        <f>X49</f>
        <v>0</v>
      </c>
      <c r="L56" s="1201">
        <f>Y49</f>
        <v>0</v>
      </c>
      <c r="M56" s="1201">
        <f>Z49</f>
        <v>0</v>
      </c>
      <c r="N56" s="1201">
        <f>AA49</f>
        <v>0</v>
      </c>
      <c r="O56" s="1202">
        <f>AB49</f>
        <v>0</v>
      </c>
      <c r="P56" s="837">
        <f t="shared" ref="P56:P67" si="351">SUM(K56:O56)</f>
        <v>0</v>
      </c>
      <c r="Q56" s="3929" t="s">
        <v>3308</v>
      </c>
      <c r="R56" s="2659"/>
      <c r="S56" s="3854"/>
      <c r="T56" s="3855"/>
      <c r="U56" s="3855"/>
      <c r="V56" s="3855"/>
      <c r="W56" s="3856"/>
      <c r="X56" s="1818"/>
      <c r="AA56" s="1818"/>
      <c r="AB56" s="435"/>
      <c r="AC56" s="1818"/>
      <c r="AF56" s="1818"/>
      <c r="AG56" s="435"/>
      <c r="AH56" s="1818"/>
      <c r="AK56" s="1818"/>
      <c r="AL56" s="435"/>
      <c r="AM56" s="1818"/>
      <c r="AP56" s="1818"/>
      <c r="AQ56" s="435"/>
      <c r="AR56" s="436"/>
      <c r="AS56" s="436"/>
      <c r="AT56" s="436"/>
      <c r="AU56" s="436"/>
      <c r="AV56" s="436"/>
      <c r="AW56" s="436"/>
      <c r="AX56" s="435"/>
      <c r="AY56" s="432"/>
      <c r="BB56" s="436"/>
      <c r="BC56" s="435"/>
      <c r="BD56" s="432"/>
      <c r="LO56" s="434"/>
      <c r="MD56" s="430"/>
    </row>
    <row r="57" spans="1:380" ht="15" customHeight="1">
      <c r="A57" s="3850"/>
      <c r="B57" s="3850"/>
      <c r="C57" s="93"/>
      <c r="D57" s="1"/>
      <c r="E57" s="1"/>
      <c r="F57" s="1"/>
      <c r="G57" s="82"/>
      <c r="H57" s="109" t="s">
        <v>3830</v>
      </c>
      <c r="I57" s="36"/>
      <c r="J57" s="82"/>
      <c r="K57" s="1203">
        <f>AC49</f>
        <v>0</v>
      </c>
      <c r="L57" s="1204">
        <f>AD49</f>
        <v>0</v>
      </c>
      <c r="M57" s="1204">
        <f>AE49</f>
        <v>0</v>
      </c>
      <c r="N57" s="1204">
        <f>AF49</f>
        <v>0</v>
      </c>
      <c r="O57" s="1205">
        <f>AG49</f>
        <v>0</v>
      </c>
      <c r="P57" s="833">
        <f t="shared" si="351"/>
        <v>0</v>
      </c>
      <c r="Q57" s="3929"/>
      <c r="R57" s="2659"/>
      <c r="S57" s="3833"/>
      <c r="T57" s="3834"/>
      <c r="U57" s="3834"/>
      <c r="V57" s="3834"/>
      <c r="W57" s="3835"/>
      <c r="X57" s="1818"/>
      <c r="AA57" s="1818"/>
      <c r="AB57" s="435"/>
      <c r="AC57" s="1818"/>
      <c r="AF57" s="1818"/>
      <c r="AG57" s="435"/>
      <c r="AH57" s="1818"/>
      <c r="AK57" s="1818"/>
      <c r="AL57" s="435"/>
      <c r="AM57" s="1818"/>
      <c r="AP57" s="1818"/>
      <c r="AQ57" s="435"/>
      <c r="AR57" s="436"/>
      <c r="AS57" s="436"/>
      <c r="AT57" s="436"/>
      <c r="AU57" s="436"/>
      <c r="AV57" s="436"/>
      <c r="AW57" s="436"/>
      <c r="AX57" s="435"/>
      <c r="AY57" s="432"/>
      <c r="BB57" s="436"/>
      <c r="BC57" s="435"/>
      <c r="BD57" s="432"/>
      <c r="LO57" s="434"/>
      <c r="MD57" s="430"/>
    </row>
    <row r="58" spans="1:380" ht="15" customHeight="1">
      <c r="A58" s="3850"/>
      <c r="B58" s="3850"/>
      <c r="C58" s="93"/>
      <c r="D58" s="1"/>
      <c r="E58" s="1"/>
      <c r="F58" s="1"/>
      <c r="G58" s="82"/>
      <c r="H58" s="109" t="s">
        <v>1107</v>
      </c>
      <c r="I58" s="36"/>
      <c r="J58" s="82"/>
      <c r="K58" s="1203">
        <f>AH49</f>
        <v>0</v>
      </c>
      <c r="L58" s="1204">
        <f>AI49</f>
        <v>13</v>
      </c>
      <c r="M58" s="1204">
        <f>AJ49</f>
        <v>34</v>
      </c>
      <c r="N58" s="1204">
        <f>AK49</f>
        <v>17</v>
      </c>
      <c r="O58" s="1205">
        <f>AL49</f>
        <v>0</v>
      </c>
      <c r="P58" s="833">
        <f t="shared" si="351"/>
        <v>64</v>
      </c>
      <c r="Q58" s="3929"/>
      <c r="R58" s="2659"/>
      <c r="S58" s="3833"/>
      <c r="T58" s="3834"/>
      <c r="U58" s="3834"/>
      <c r="V58" s="3834"/>
      <c r="W58" s="3835"/>
      <c r="X58" s="1818"/>
      <c r="AA58" s="1818"/>
      <c r="AB58" s="435"/>
      <c r="AC58" s="1818"/>
      <c r="AF58" s="1818"/>
      <c r="AG58" s="435"/>
      <c r="AH58" s="1818"/>
      <c r="AK58" s="1818"/>
      <c r="AL58" s="435"/>
      <c r="AM58" s="1818"/>
      <c r="AP58" s="1818"/>
      <c r="AQ58" s="435"/>
      <c r="AR58" s="436"/>
      <c r="AS58" s="436"/>
      <c r="AT58" s="436"/>
      <c r="AU58" s="436"/>
      <c r="AV58" s="436"/>
      <c r="AW58" s="436"/>
      <c r="AX58" s="435"/>
      <c r="AY58" s="432"/>
      <c r="BB58" s="436"/>
      <c r="BC58" s="435"/>
      <c r="BD58" s="432"/>
      <c r="LO58" s="434"/>
      <c r="MD58" s="430"/>
    </row>
    <row r="59" spans="1:380" ht="15" customHeight="1">
      <c r="A59" s="3850"/>
      <c r="B59" s="3850"/>
      <c r="C59" s="93"/>
      <c r="D59" s="1"/>
      <c r="E59" s="1"/>
      <c r="F59" s="1"/>
      <c r="G59" s="82"/>
      <c r="H59" s="102" t="s">
        <v>111</v>
      </c>
      <c r="I59" s="52"/>
      <c r="J59" s="982"/>
      <c r="K59" s="1224">
        <f>AM49</f>
        <v>0</v>
      </c>
      <c r="L59" s="1225">
        <f>AN49</f>
        <v>0</v>
      </c>
      <c r="M59" s="1225">
        <f>AO49</f>
        <v>0</v>
      </c>
      <c r="N59" s="1225">
        <f>AP49</f>
        <v>0</v>
      </c>
      <c r="O59" s="1226">
        <f>AQ49</f>
        <v>0</v>
      </c>
      <c r="P59" s="542">
        <f t="shared" si="351"/>
        <v>0</v>
      </c>
      <c r="Q59" s="3929"/>
      <c r="R59" s="2659"/>
      <c r="S59" s="3833"/>
      <c r="T59" s="3834"/>
      <c r="U59" s="3834"/>
      <c r="V59" s="3834"/>
      <c r="W59" s="3835"/>
      <c r="X59" s="1818"/>
      <c r="AA59" s="1818"/>
      <c r="AB59" s="435"/>
      <c r="AC59" s="1818"/>
      <c r="AF59" s="1818"/>
      <c r="AG59" s="435"/>
      <c r="AH59" s="1818"/>
      <c r="AK59" s="1818"/>
      <c r="AL59" s="435"/>
      <c r="AM59" s="1818"/>
      <c r="AP59" s="1818"/>
      <c r="AQ59" s="435"/>
      <c r="AR59" s="436"/>
      <c r="AS59" s="436"/>
      <c r="AT59" s="436"/>
      <c r="AU59" s="436"/>
      <c r="AV59" s="436"/>
      <c r="AW59" s="436"/>
      <c r="AX59" s="435"/>
      <c r="AY59" s="432"/>
      <c r="BB59" s="436"/>
      <c r="BC59" s="435"/>
      <c r="BD59" s="432"/>
      <c r="LO59" s="434"/>
      <c r="MD59" s="430"/>
    </row>
    <row r="60" spans="1:380" ht="15" customHeight="1">
      <c r="A60" s="3850"/>
      <c r="B60" s="3850"/>
      <c r="C60" s="93"/>
      <c r="D60" s="1"/>
      <c r="E60" s="1"/>
      <c r="F60" s="1"/>
      <c r="G60" s="82"/>
      <c r="H60" s="102" t="s">
        <v>3831</v>
      </c>
      <c r="I60" s="52"/>
      <c r="J60" s="982"/>
      <c r="K60" s="1203">
        <f>AR49</f>
        <v>0</v>
      </c>
      <c r="L60" s="1204">
        <f>AS49</f>
        <v>0</v>
      </c>
      <c r="M60" s="1204">
        <f>AT49</f>
        <v>0</v>
      </c>
      <c r="N60" s="1204">
        <f>AU49</f>
        <v>0</v>
      </c>
      <c r="O60" s="1205">
        <f>AV49</f>
        <v>0</v>
      </c>
      <c r="P60" s="833">
        <f t="shared" si="351"/>
        <v>0</v>
      </c>
      <c r="Q60" s="3929"/>
      <c r="R60" s="2659"/>
      <c r="S60" s="3833"/>
      <c r="T60" s="3834"/>
      <c r="U60" s="3834"/>
      <c r="V60" s="3834"/>
      <c r="W60" s="3835"/>
      <c r="X60" s="1818"/>
      <c r="AA60" s="1818"/>
      <c r="AB60" s="435"/>
      <c r="AC60" s="1818"/>
      <c r="AF60" s="1818"/>
      <c r="AG60" s="435"/>
      <c r="AH60" s="1818"/>
      <c r="AK60" s="1818"/>
      <c r="AL60" s="435"/>
      <c r="AM60" s="1818"/>
      <c r="AP60" s="1818"/>
      <c r="AQ60" s="435"/>
      <c r="AR60" s="436"/>
      <c r="AS60" s="436"/>
      <c r="AT60" s="436"/>
      <c r="AU60" s="436"/>
      <c r="AV60" s="436"/>
      <c r="AW60" s="436"/>
      <c r="AX60" s="435"/>
      <c r="AY60" s="432"/>
      <c r="BB60" s="436"/>
      <c r="BC60" s="435"/>
      <c r="BD60" s="432"/>
      <c r="LO60" s="434"/>
      <c r="MD60" s="430"/>
    </row>
    <row r="61" spans="1:380" ht="15" customHeight="1">
      <c r="A61" s="3850"/>
      <c r="B61" s="3850"/>
      <c r="C61" s="93"/>
      <c r="D61" s="1"/>
      <c r="E61" s="1"/>
      <c r="F61" s="1"/>
      <c r="G61" s="82"/>
      <c r="H61" s="109" t="s">
        <v>3832</v>
      </c>
      <c r="I61" s="36"/>
      <c r="J61" s="82"/>
      <c r="K61" s="1203">
        <f>AW49</f>
        <v>0</v>
      </c>
      <c r="L61" s="1204">
        <f>AX49</f>
        <v>0</v>
      </c>
      <c r="M61" s="1204">
        <f>AY49</f>
        <v>0</v>
      </c>
      <c r="N61" s="1204">
        <f>AZ49</f>
        <v>0</v>
      </c>
      <c r="O61" s="1205">
        <f>BA49</f>
        <v>0</v>
      </c>
      <c r="P61" s="833">
        <f t="shared" si="351"/>
        <v>0</v>
      </c>
      <c r="Q61" s="3929"/>
      <c r="R61" s="2659"/>
      <c r="S61" s="3833"/>
      <c r="T61" s="3834"/>
      <c r="U61" s="3834"/>
      <c r="V61" s="3834"/>
      <c r="W61" s="3835"/>
      <c r="X61" s="1818"/>
      <c r="AA61" s="1818"/>
      <c r="AB61" s="435"/>
      <c r="AC61" s="1818"/>
      <c r="AF61" s="1818"/>
      <c r="AG61" s="435"/>
      <c r="AH61" s="1818"/>
      <c r="AK61" s="1818"/>
      <c r="AL61" s="435"/>
      <c r="AM61" s="1818"/>
      <c r="AP61" s="1818"/>
      <c r="AQ61" s="435"/>
      <c r="AR61" s="436"/>
      <c r="AS61" s="436"/>
      <c r="AT61" s="436"/>
      <c r="AU61" s="436"/>
      <c r="AV61" s="436"/>
      <c r="AW61" s="436"/>
      <c r="AX61" s="435"/>
      <c r="AY61" s="432"/>
      <c r="BB61" s="436"/>
      <c r="BC61" s="435"/>
      <c r="BD61" s="432"/>
      <c r="LO61" s="434"/>
      <c r="MD61" s="430"/>
    </row>
    <row r="62" spans="1:380" ht="15" customHeight="1">
      <c r="A62" s="3850"/>
      <c r="B62" s="3850"/>
      <c r="C62" s="4"/>
      <c r="D62" s="1"/>
      <c r="E62" s="1"/>
      <c r="F62" s="1"/>
      <c r="G62" s="82"/>
      <c r="H62" s="109" t="s">
        <v>3833</v>
      </c>
      <c r="I62" s="36"/>
      <c r="J62" s="82"/>
      <c r="K62" s="1206">
        <f>BB49</f>
        <v>0</v>
      </c>
      <c r="L62" s="1207">
        <f>BC49</f>
        <v>0</v>
      </c>
      <c r="M62" s="1207">
        <f>BD49</f>
        <v>0</v>
      </c>
      <c r="N62" s="1207">
        <f>BE49</f>
        <v>0</v>
      </c>
      <c r="O62" s="1208">
        <f>BF49</f>
        <v>0</v>
      </c>
      <c r="P62" s="542">
        <f t="shared" si="351"/>
        <v>0</v>
      </c>
      <c r="Q62" s="3929"/>
      <c r="R62" s="2659"/>
      <c r="S62" s="3833"/>
      <c r="T62" s="3834"/>
      <c r="U62" s="3834"/>
      <c r="V62" s="3834"/>
      <c r="W62" s="3835"/>
      <c r="X62" s="1819"/>
      <c r="AA62" s="1818"/>
      <c r="AB62" s="435"/>
      <c r="AC62" s="1819"/>
      <c r="AF62" s="1818"/>
      <c r="AG62" s="435"/>
      <c r="AH62" s="1819"/>
      <c r="AK62" s="1818"/>
      <c r="AL62" s="435"/>
      <c r="AM62" s="1819"/>
      <c r="AP62" s="1818"/>
      <c r="AQ62" s="435"/>
      <c r="AR62" s="436"/>
      <c r="AS62" s="436"/>
      <c r="AT62" s="436"/>
      <c r="AU62" s="436"/>
      <c r="AV62" s="436"/>
      <c r="AW62" s="436"/>
      <c r="AX62" s="435"/>
      <c r="AY62" s="432"/>
      <c r="BB62" s="436"/>
      <c r="BC62" s="435"/>
      <c r="BD62" s="432"/>
      <c r="LO62" s="434"/>
      <c r="MD62" s="430"/>
    </row>
    <row r="63" spans="1:380" ht="15" customHeight="1">
      <c r="A63" s="3850"/>
      <c r="B63" s="3850"/>
      <c r="C63" s="109" t="s">
        <v>3915</v>
      </c>
      <c r="D63" s="1"/>
      <c r="E63" s="1"/>
      <c r="F63" s="1"/>
      <c r="G63" s="82"/>
      <c r="H63" s="89"/>
      <c r="I63" s="55"/>
      <c r="J63" s="82"/>
      <c r="K63" s="1180">
        <f>SUM(K56:K62)</f>
        <v>0</v>
      </c>
      <c r="L63" s="1180">
        <f>SUM(L56:L62)</f>
        <v>13</v>
      </c>
      <c r="M63" s="1180">
        <f>SUM(M56:M62)</f>
        <v>34</v>
      </c>
      <c r="N63" s="1180">
        <f>SUM(N56:N62)</f>
        <v>17</v>
      </c>
      <c r="O63" s="1180">
        <f>SUM(O56:O62)</f>
        <v>0</v>
      </c>
      <c r="P63" s="1180">
        <f t="shared" si="351"/>
        <v>64</v>
      </c>
      <c r="Q63" s="3930"/>
      <c r="S63" s="3833"/>
      <c r="T63" s="3834"/>
      <c r="U63" s="3834"/>
      <c r="V63" s="3834"/>
      <c r="W63" s="3835"/>
      <c r="X63" s="1819"/>
      <c r="AA63" s="1818"/>
      <c r="AB63" s="435"/>
      <c r="AC63" s="1819"/>
      <c r="AF63" s="1818"/>
      <c r="AG63" s="435"/>
      <c r="AH63" s="1819"/>
      <c r="AK63" s="1818"/>
      <c r="AL63" s="435"/>
      <c r="AM63" s="1819"/>
      <c r="AP63" s="1818"/>
      <c r="AQ63" s="435"/>
      <c r="AR63" s="436"/>
      <c r="AS63" s="436"/>
      <c r="AT63" s="436"/>
      <c r="AU63" s="436"/>
      <c r="AV63" s="436"/>
      <c r="AW63" s="436"/>
      <c r="AX63" s="435"/>
      <c r="AY63" s="432"/>
      <c r="BB63" s="436"/>
      <c r="BC63" s="435"/>
      <c r="BD63" s="432"/>
      <c r="LO63" s="434"/>
      <c r="MD63" s="430"/>
    </row>
    <row r="64" spans="1:380" ht="15" customHeight="1">
      <c r="A64" s="3850"/>
      <c r="B64" s="3850"/>
      <c r="D64" s="1"/>
      <c r="E64" s="1"/>
      <c r="F64" s="1"/>
      <c r="G64" s="82"/>
      <c r="H64" s="109" t="s">
        <v>292</v>
      </c>
      <c r="I64" s="36"/>
      <c r="J64" s="82"/>
      <c r="K64" s="834">
        <f>BG49</f>
        <v>0</v>
      </c>
      <c r="L64" s="834">
        <f>BH49</f>
        <v>3</v>
      </c>
      <c r="M64" s="834">
        <f>BI49</f>
        <v>2</v>
      </c>
      <c r="N64" s="834">
        <f>BJ49</f>
        <v>3</v>
      </c>
      <c r="O64" s="834">
        <f>BK49</f>
        <v>0</v>
      </c>
      <c r="P64" s="834">
        <f t="shared" si="351"/>
        <v>8</v>
      </c>
      <c r="S64" s="3833"/>
      <c r="T64" s="3834"/>
      <c r="U64" s="3834"/>
      <c r="V64" s="3834"/>
      <c r="W64" s="3835"/>
      <c r="X64" s="432"/>
      <c r="AA64" s="1818"/>
      <c r="AB64" s="435"/>
      <c r="AC64" s="432"/>
      <c r="AF64" s="1818"/>
      <c r="AG64" s="435"/>
      <c r="AH64" s="432"/>
      <c r="AK64" s="1818"/>
      <c r="AL64" s="435"/>
      <c r="AM64" s="432"/>
      <c r="AP64" s="1818"/>
      <c r="AQ64" s="435"/>
      <c r="AR64" s="436"/>
      <c r="AS64" s="436"/>
      <c r="AT64" s="436"/>
      <c r="AU64" s="436"/>
      <c r="AV64" s="436"/>
      <c r="AW64" s="436"/>
      <c r="AX64" s="915"/>
      <c r="AY64" s="432"/>
      <c r="BB64" s="436"/>
      <c r="BC64" s="915"/>
      <c r="BD64" s="432"/>
      <c r="LO64" s="434"/>
      <c r="MD64" s="430"/>
    </row>
    <row r="65" spans="1:485" ht="15" customHeight="1">
      <c r="A65" s="3850"/>
      <c r="B65" s="3850"/>
      <c r="C65" s="1185" t="s">
        <v>1096</v>
      </c>
      <c r="D65" s="1185"/>
      <c r="E65" s="1185"/>
      <c r="F65" s="1185"/>
      <c r="G65" s="1186"/>
      <c r="H65" s="1502"/>
      <c r="I65" s="49"/>
      <c r="J65" s="1186"/>
      <c r="K65" s="1187">
        <f>SUM(K63:K64)</f>
        <v>0</v>
      </c>
      <c r="L65" s="1187">
        <f>SUM(L63:L64)</f>
        <v>16</v>
      </c>
      <c r="M65" s="1187">
        <f>SUM(M63:M64)</f>
        <v>36</v>
      </c>
      <c r="N65" s="1187">
        <f>SUM(N63:N64)</f>
        <v>20</v>
      </c>
      <c r="O65" s="1187">
        <f>SUM(O63:O64)</f>
        <v>0</v>
      </c>
      <c r="P65" s="1187">
        <f t="shared" si="351"/>
        <v>72</v>
      </c>
      <c r="S65" s="3833"/>
      <c r="T65" s="3834"/>
      <c r="U65" s="3834"/>
      <c r="V65" s="3834"/>
      <c r="W65" s="3835"/>
      <c r="X65" s="1818"/>
      <c r="AA65" s="1818"/>
      <c r="AB65" s="435"/>
      <c r="AC65" s="1818"/>
      <c r="AF65" s="1818"/>
      <c r="AG65" s="435"/>
      <c r="AH65" s="1818"/>
      <c r="AK65" s="1818"/>
      <c r="AL65" s="435"/>
      <c r="AM65" s="1818"/>
      <c r="AP65" s="1818"/>
      <c r="AQ65" s="435"/>
      <c r="AR65" s="436"/>
      <c r="AS65" s="436"/>
      <c r="AT65" s="436"/>
      <c r="AU65" s="436"/>
      <c r="AV65" s="436"/>
      <c r="AW65" s="436"/>
      <c r="AX65" s="915"/>
      <c r="AY65" s="432"/>
      <c r="BB65" s="436"/>
      <c r="BC65" s="915"/>
      <c r="BD65" s="432"/>
      <c r="LO65" s="434"/>
      <c r="MD65" s="430"/>
    </row>
    <row r="66" spans="1:485" ht="15" customHeight="1">
      <c r="A66" s="3850"/>
      <c r="B66" s="3850"/>
      <c r="D66" s="1"/>
      <c r="E66" s="1"/>
      <c r="F66" s="1"/>
      <c r="G66" s="82"/>
      <c r="H66" s="109" t="s">
        <v>2392</v>
      </c>
      <c r="I66" s="36"/>
      <c r="J66" s="82"/>
      <c r="K66" s="834">
        <f>ED49</f>
        <v>0</v>
      </c>
      <c r="L66" s="834">
        <f>EE49</f>
        <v>0</v>
      </c>
      <c r="M66" s="834">
        <f>EF49</f>
        <v>0</v>
      </c>
      <c r="N66" s="834">
        <f>EG49</f>
        <v>0</v>
      </c>
      <c r="O66" s="834">
        <f>EH49</f>
        <v>0</v>
      </c>
      <c r="P66" s="834">
        <f t="shared" si="351"/>
        <v>0</v>
      </c>
      <c r="Q66" s="465" t="s">
        <v>3309</v>
      </c>
      <c r="S66" s="3833"/>
      <c r="T66" s="3834"/>
      <c r="U66" s="3834"/>
      <c r="V66" s="3834"/>
      <c r="W66" s="3835"/>
      <c r="X66" s="1818"/>
      <c r="AA66" s="1818"/>
      <c r="AB66" s="435"/>
      <c r="AC66" s="1818"/>
      <c r="AF66" s="1818"/>
      <c r="AG66" s="435"/>
      <c r="AH66" s="1818"/>
      <c r="AK66" s="1818"/>
      <c r="AL66" s="435"/>
      <c r="AM66" s="1818"/>
      <c r="AP66" s="1818"/>
      <c r="AQ66" s="435"/>
      <c r="AR66" s="436"/>
      <c r="AS66" s="436"/>
      <c r="AT66" s="436"/>
      <c r="AU66" s="436"/>
      <c r="AV66" s="436"/>
      <c r="AW66" s="436"/>
      <c r="AX66" s="435"/>
      <c r="AY66" s="432"/>
      <c r="BB66" s="436"/>
      <c r="BC66" s="435"/>
      <c r="BD66" s="432"/>
      <c r="LO66" s="434"/>
      <c r="MD66" s="430"/>
    </row>
    <row r="67" spans="1:485" ht="15" customHeight="1">
      <c r="A67" s="3850"/>
      <c r="B67" s="3850"/>
      <c r="C67" s="4" t="s">
        <v>1712</v>
      </c>
      <c r="D67" s="1"/>
      <c r="E67" s="1"/>
      <c r="F67" s="1"/>
      <c r="G67" s="82"/>
      <c r="H67" s="109"/>
      <c r="I67" s="36"/>
      <c r="J67" s="82"/>
      <c r="K67" s="1179">
        <f>SUM(K65:K66)</f>
        <v>0</v>
      </c>
      <c r="L67" s="1179">
        <f>SUM(L65:L66)</f>
        <v>16</v>
      </c>
      <c r="M67" s="1179">
        <f>SUM(M65:M66)</f>
        <v>36</v>
      </c>
      <c r="N67" s="1179">
        <f>SUM(N65:N66)</f>
        <v>20</v>
      </c>
      <c r="O67" s="1179">
        <f>SUM(O65:O66)</f>
        <v>0</v>
      </c>
      <c r="P67" s="1179">
        <f t="shared" si="351"/>
        <v>72</v>
      </c>
      <c r="S67" s="3839"/>
      <c r="T67" s="3840"/>
      <c r="U67" s="3840"/>
      <c r="V67" s="3840"/>
      <c r="W67" s="3841"/>
      <c r="X67" s="1818"/>
      <c r="AA67" s="1818"/>
      <c r="AB67" s="435"/>
      <c r="AC67" s="1818"/>
      <c r="AF67" s="1818"/>
      <c r="AG67" s="435"/>
      <c r="AH67" s="1818"/>
      <c r="AK67" s="1818"/>
      <c r="AL67" s="435"/>
      <c r="AM67" s="1818"/>
      <c r="AP67" s="1818"/>
      <c r="AQ67" s="435"/>
      <c r="AR67" s="436"/>
      <c r="AS67" s="436"/>
      <c r="AT67" s="436"/>
      <c r="AU67" s="436"/>
      <c r="AV67" s="436"/>
      <c r="AW67" s="436"/>
      <c r="AX67" s="577"/>
      <c r="AY67" s="432"/>
      <c r="BB67" s="436"/>
      <c r="BC67" s="577"/>
      <c r="BD67" s="432"/>
      <c r="LO67" s="434"/>
      <c r="MD67" s="430"/>
    </row>
    <row r="68" spans="1:485" ht="16.149999999999999" customHeight="1">
      <c r="A68" s="3850"/>
      <c r="B68" s="3850"/>
      <c r="C68" s="1325"/>
      <c r="D68" s="1325"/>
      <c r="E68" s="1325"/>
      <c r="F68" s="1325"/>
      <c r="G68" s="1325"/>
      <c r="H68" s="1503"/>
      <c r="I68" s="1325"/>
      <c r="J68" s="1325"/>
      <c r="K68" s="1325"/>
      <c r="L68" s="1325"/>
      <c r="M68" s="1325"/>
      <c r="N68" s="1325"/>
      <c r="O68" s="1325"/>
      <c r="P68" s="1325"/>
      <c r="Q68" s="430"/>
      <c r="X68" s="1818"/>
      <c r="AA68" s="1818"/>
      <c r="AB68" s="435"/>
      <c r="AC68" s="1818"/>
      <c r="AF68" s="1818"/>
      <c r="AG68" s="435"/>
      <c r="AH68" s="1818"/>
      <c r="AK68" s="1818"/>
      <c r="AL68" s="435"/>
      <c r="AM68" s="1818"/>
      <c r="AP68" s="1818"/>
      <c r="AQ68" s="435"/>
      <c r="AR68" s="1818"/>
      <c r="AS68" s="1818"/>
      <c r="AT68" s="1818"/>
      <c r="AU68" s="1818"/>
      <c r="AV68" s="1818"/>
      <c r="AW68" s="1818"/>
      <c r="AX68" s="577"/>
      <c r="AY68" s="432"/>
      <c r="BB68" s="1818"/>
      <c r="BC68" s="577"/>
      <c r="BD68" s="432"/>
      <c r="LO68" s="434"/>
      <c r="MD68" s="430"/>
    </row>
    <row r="69" spans="1:485" ht="12" customHeight="1">
      <c r="A69" s="3850"/>
      <c r="B69" s="3850"/>
      <c r="C69" s="3908" t="s">
        <v>3926</v>
      </c>
      <c r="D69" s="3908"/>
      <c r="E69" s="3908"/>
      <c r="F69" s="3908"/>
      <c r="G69" s="1325"/>
      <c r="H69" s="1503"/>
      <c r="I69" s="1325"/>
      <c r="J69" s="1325"/>
      <c r="K69" s="1508"/>
      <c r="L69" s="1508"/>
      <c r="M69" s="1508"/>
      <c r="N69" s="1508"/>
      <c r="O69" s="1508"/>
      <c r="P69" s="1508"/>
      <c r="Q69" s="430"/>
      <c r="S69" s="265" t="str">
        <f>C69</f>
        <v xml:space="preserve">Income Limit Distribution among Bedroom Sizes </v>
      </c>
      <c r="T69" s="150"/>
      <c r="U69" s="396"/>
      <c r="X69" s="1818"/>
      <c r="AA69" s="1818"/>
      <c r="AB69" s="435"/>
      <c r="AC69" s="1818"/>
      <c r="AF69" s="1818"/>
      <c r="AG69" s="435"/>
      <c r="AH69" s="1818"/>
      <c r="AK69" s="1818"/>
      <c r="AL69" s="435"/>
      <c r="AM69" s="1818"/>
      <c r="AP69" s="1818"/>
      <c r="AQ69" s="435"/>
      <c r="AR69" s="1818"/>
      <c r="AS69" s="1818"/>
      <c r="AT69" s="1818"/>
      <c r="AU69" s="1818"/>
      <c r="AV69" s="1818"/>
      <c r="AW69" s="1818"/>
      <c r="AX69" s="577"/>
      <c r="AY69" s="432"/>
      <c r="BB69" s="1818"/>
      <c r="BC69" s="577"/>
      <c r="BD69" s="432"/>
      <c r="LO69" s="434"/>
      <c r="MD69" s="430"/>
    </row>
    <row r="70" spans="1:485" s="27" customFormat="1" ht="13.15" customHeight="1">
      <c r="A70" s="3850"/>
      <c r="B70" s="3850"/>
      <c r="C70" s="3908"/>
      <c r="D70" s="3908"/>
      <c r="E70" s="3908"/>
      <c r="F70" s="3908"/>
      <c r="G70" s="8"/>
      <c r="H70" s="109" t="s">
        <v>3829</v>
      </c>
      <c r="I70" s="36"/>
      <c r="J70" s="1497"/>
      <c r="K70" s="2910" t="str">
        <f t="shared" ref="K70:P70" si="352">IF(OR(K56=0,K67=0),"",K56/K67)</f>
        <v/>
      </c>
      <c r="L70" s="2911" t="str">
        <f t="shared" si="352"/>
        <v/>
      </c>
      <c r="M70" s="2911" t="str">
        <f t="shared" si="352"/>
        <v/>
      </c>
      <c r="N70" s="2911" t="str">
        <f t="shared" si="352"/>
        <v/>
      </c>
      <c r="O70" s="2911" t="str">
        <f t="shared" si="352"/>
        <v/>
      </c>
      <c r="P70" s="2912" t="str">
        <f t="shared" si="352"/>
        <v/>
      </c>
      <c r="Q70" s="40" t="s">
        <v>4275</v>
      </c>
      <c r="S70" s="3854"/>
      <c r="T70" s="3855"/>
      <c r="U70" s="3855"/>
      <c r="V70" s="3855"/>
      <c r="W70" s="3856"/>
      <c r="X70" s="1831"/>
      <c r="Y70" s="1831"/>
      <c r="Z70" s="1831"/>
      <c r="AA70" s="1831"/>
      <c r="AB70" s="1831"/>
      <c r="AC70" s="1831"/>
      <c r="AD70" s="1831"/>
      <c r="AE70" s="1831"/>
      <c r="AF70" s="1831"/>
      <c r="AG70" s="1831"/>
      <c r="AH70" s="1831"/>
      <c r="AI70" s="1831"/>
      <c r="AJ70" s="1831"/>
      <c r="AK70" s="1831"/>
      <c r="AL70" s="1831"/>
      <c r="AM70" s="1831"/>
      <c r="AN70" s="1831"/>
      <c r="AO70" s="1831"/>
      <c r="AP70" s="1831"/>
      <c r="AQ70" s="1831"/>
      <c r="AR70" s="1831"/>
      <c r="AS70" s="1831"/>
      <c r="AT70" s="1831"/>
      <c r="AU70" s="1831"/>
      <c r="AV70" s="1831"/>
      <c r="AW70" s="1831"/>
      <c r="AX70" s="1831"/>
      <c r="AY70" s="1831"/>
      <c r="AZ70" s="1831"/>
      <c r="BA70" s="1831"/>
      <c r="BB70" s="1831"/>
      <c r="BC70" s="1831"/>
      <c r="BD70" s="1831"/>
      <c r="BE70" s="1831"/>
      <c r="BF70" s="1831"/>
      <c r="BG70" s="1831"/>
      <c r="BH70" s="1831"/>
      <c r="BI70" s="1831"/>
      <c r="BJ70" s="1831"/>
      <c r="BK70" s="1831"/>
      <c r="BL70" s="1831"/>
      <c r="BM70" s="1831"/>
      <c r="BN70" s="1831"/>
      <c r="BO70" s="1831"/>
      <c r="BP70" s="1831"/>
      <c r="BQ70" s="1831"/>
      <c r="BR70" s="1831"/>
      <c r="BS70" s="1831"/>
      <c r="BT70" s="1831"/>
      <c r="BU70" s="1831"/>
      <c r="BV70" s="1831"/>
      <c r="BW70" s="1831"/>
      <c r="BX70" s="1831"/>
      <c r="BY70" s="1831"/>
      <c r="BZ70" s="1831"/>
      <c r="CA70" s="1831"/>
      <c r="CB70" s="1831"/>
      <c r="CC70" s="1831"/>
      <c r="CD70" s="1831"/>
      <c r="CE70" s="1831"/>
      <c r="CF70" s="1831"/>
      <c r="CG70" s="1831"/>
      <c r="CH70" s="1831"/>
      <c r="CI70" s="1831"/>
      <c r="CJ70" s="1831"/>
      <c r="CK70" s="1831"/>
      <c r="CL70" s="1831"/>
      <c r="CM70" s="1831"/>
      <c r="CN70" s="1831"/>
      <c r="CO70" s="1831"/>
      <c r="CP70" s="1831"/>
      <c r="CQ70" s="1831"/>
      <c r="CR70" s="1831"/>
      <c r="CS70" s="1831"/>
      <c r="CT70" s="1831"/>
      <c r="CU70" s="1831"/>
      <c r="CV70" s="1831"/>
      <c r="CW70" s="1831"/>
      <c r="CX70" s="1831"/>
      <c r="CY70" s="1831"/>
      <c r="CZ70" s="1831"/>
      <c r="DA70" s="1831"/>
      <c r="DB70" s="1831"/>
      <c r="DC70" s="1831"/>
      <c r="DD70" s="1831"/>
      <c r="DE70" s="1831"/>
      <c r="DF70" s="1831"/>
      <c r="DG70" s="1831"/>
      <c r="DH70" s="1831"/>
      <c r="DI70" s="1831"/>
      <c r="DJ70" s="1831"/>
      <c r="DK70" s="1831"/>
      <c r="DL70" s="1831"/>
      <c r="DM70" s="1831"/>
      <c r="DN70" s="1831"/>
      <c r="DO70" s="1831"/>
      <c r="DP70" s="1831"/>
      <c r="DQ70" s="1831"/>
      <c r="DR70" s="1831"/>
      <c r="DS70" s="1831"/>
      <c r="DT70" s="1831"/>
      <c r="DU70" s="1831"/>
      <c r="DV70" s="1831"/>
      <c r="DW70" s="1831"/>
      <c r="DX70" s="1831"/>
      <c r="DY70" s="1831"/>
      <c r="DZ70" s="1831"/>
      <c r="EA70" s="1831"/>
      <c r="EB70" s="1831"/>
      <c r="EC70" s="1831"/>
      <c r="ED70" s="1831"/>
      <c r="EE70" s="1831"/>
      <c r="EF70" s="1831"/>
      <c r="EG70" s="1831"/>
      <c r="EH70" s="1831"/>
      <c r="EI70" s="1831"/>
      <c r="EJ70" s="1831"/>
      <c r="EK70" s="1831"/>
      <c r="EL70" s="1831"/>
      <c r="EM70" s="1831"/>
      <c r="EN70" s="1831"/>
      <c r="EO70" s="1831"/>
      <c r="EP70" s="1831"/>
      <c r="EQ70" s="1831"/>
      <c r="ER70" s="1831"/>
      <c r="ES70" s="1831"/>
      <c r="ET70" s="1831"/>
      <c r="EU70" s="1831"/>
      <c r="EV70" s="1831"/>
      <c r="EW70" s="1831"/>
      <c r="EX70" s="1831"/>
      <c r="EY70" s="1831"/>
      <c r="EZ70" s="1831"/>
      <c r="FA70" s="1831"/>
      <c r="FB70" s="1831"/>
      <c r="FC70" s="1831"/>
      <c r="FD70" s="1831"/>
      <c r="FE70" s="1831"/>
      <c r="FF70" s="1831"/>
      <c r="FG70" s="1831"/>
      <c r="FH70" s="1831"/>
      <c r="FI70" s="1831"/>
      <c r="FJ70" s="1831"/>
      <c r="FK70" s="1831"/>
      <c r="FL70" s="1831"/>
      <c r="FM70" s="1831"/>
      <c r="FN70" s="1831"/>
      <c r="FO70" s="1831"/>
      <c r="FP70" s="1831"/>
      <c r="FQ70" s="1831"/>
      <c r="FR70" s="1831"/>
      <c r="FS70" s="1831"/>
      <c r="FT70" s="1831"/>
      <c r="FU70" s="1831"/>
      <c r="FV70" s="1831"/>
      <c r="FW70" s="1831"/>
      <c r="FX70" s="1831"/>
      <c r="FY70" s="1831"/>
      <c r="FZ70" s="1831"/>
      <c r="GA70" s="1831"/>
      <c r="GB70" s="1831"/>
      <c r="GC70" s="1831"/>
      <c r="GD70" s="1831"/>
      <c r="GE70" s="1831"/>
      <c r="GF70" s="1831"/>
      <c r="GG70" s="1831"/>
      <c r="GH70" s="1831"/>
      <c r="GI70" s="1831"/>
      <c r="GJ70" s="1831"/>
      <c r="GK70" s="1831"/>
      <c r="GL70" s="1831"/>
      <c r="GM70" s="1831"/>
      <c r="GN70" s="1831"/>
      <c r="GO70" s="1831"/>
      <c r="GP70" s="1831"/>
      <c r="GQ70" s="1831"/>
      <c r="GR70" s="1831"/>
      <c r="GS70" s="1831"/>
      <c r="GT70" s="1831"/>
      <c r="GU70" s="1831"/>
      <c r="GV70" s="1831"/>
      <c r="GW70" s="1831"/>
      <c r="GX70" s="1831"/>
      <c r="GY70" s="1831"/>
      <c r="GZ70" s="1831"/>
      <c r="HA70" s="1831"/>
      <c r="HB70" s="1831"/>
      <c r="HC70" s="1831"/>
      <c r="HD70" s="1831"/>
      <c r="HE70" s="1831"/>
      <c r="HF70" s="1831"/>
      <c r="HG70" s="1831"/>
      <c r="HH70" s="1831"/>
      <c r="HI70" s="1831"/>
      <c r="HJ70" s="1831"/>
      <c r="HK70" s="1831"/>
      <c r="HL70" s="1831"/>
      <c r="HM70" s="1831"/>
      <c r="HN70" s="1831"/>
      <c r="HO70" s="1831"/>
      <c r="HP70" s="1831"/>
      <c r="HQ70" s="1831"/>
      <c r="HR70" s="1831"/>
      <c r="HS70" s="1831"/>
      <c r="HT70" s="1831"/>
      <c r="HU70" s="1831"/>
      <c r="HV70" s="1831"/>
      <c r="HW70" s="1831"/>
      <c r="HX70" s="1831"/>
      <c r="HY70" s="1831"/>
      <c r="HZ70" s="1831"/>
      <c r="IA70" s="1831"/>
      <c r="IB70" s="1831"/>
      <c r="IC70" s="1831"/>
      <c r="ID70" s="1831"/>
      <c r="IE70" s="1831"/>
      <c r="IF70" s="1831"/>
      <c r="IG70" s="1831"/>
      <c r="IH70" s="1831"/>
      <c r="II70" s="1831"/>
      <c r="IJ70" s="1831"/>
      <c r="IK70" s="1831"/>
      <c r="IL70" s="1831"/>
      <c r="IM70" s="1831"/>
      <c r="IN70" s="1831"/>
      <c r="IO70" s="1831"/>
      <c r="IP70" s="1831"/>
      <c r="IQ70" s="1831"/>
      <c r="IR70" s="1831"/>
      <c r="IS70" s="1831"/>
      <c r="IT70" s="1831"/>
      <c r="IU70" s="1831"/>
      <c r="IV70" s="1831"/>
      <c r="IW70" s="1831"/>
      <c r="IX70" s="1831"/>
      <c r="IY70" s="1831"/>
      <c r="IZ70" s="1831"/>
      <c r="JA70" s="1831"/>
      <c r="JB70" s="1831"/>
      <c r="JC70" s="1831"/>
      <c r="JD70" s="1831"/>
      <c r="JE70" s="1831"/>
      <c r="JF70" s="1831"/>
      <c r="JG70" s="1831"/>
      <c r="JH70" s="1831"/>
      <c r="JI70" s="1831"/>
      <c r="JJ70" s="1831"/>
      <c r="JK70" s="1831"/>
      <c r="JL70" s="1831"/>
      <c r="JM70" s="1831"/>
      <c r="JN70" s="1831"/>
      <c r="JO70" s="1831"/>
      <c r="JP70" s="1831"/>
      <c r="JQ70" s="1831"/>
      <c r="JR70" s="1831"/>
      <c r="JS70" s="1831"/>
      <c r="JT70" s="1831"/>
      <c r="JU70" s="1831"/>
      <c r="JV70" s="1831"/>
      <c r="JW70" s="1831"/>
      <c r="JX70" s="1831"/>
      <c r="JY70" s="1831"/>
      <c r="JZ70" s="1831"/>
      <c r="KA70" s="1831"/>
      <c r="KB70" s="1831"/>
      <c r="KC70" s="1831"/>
      <c r="KD70" s="1831"/>
      <c r="KE70" s="1831"/>
      <c r="KF70" s="1831"/>
      <c r="KG70" s="1831"/>
      <c r="KH70" s="1831"/>
      <c r="KI70" s="1831"/>
      <c r="KJ70" s="1831"/>
      <c r="KK70" s="1831"/>
      <c r="KL70" s="1831"/>
      <c r="KM70" s="1831"/>
      <c r="KN70" s="1831"/>
      <c r="KO70" s="1831"/>
      <c r="KP70" s="1831"/>
      <c r="KQ70" s="1831"/>
      <c r="KR70" s="1831"/>
      <c r="KS70" s="1831"/>
      <c r="KT70" s="1831"/>
      <c r="KU70" s="1831"/>
      <c r="KV70" s="1831"/>
      <c r="KW70" s="1831"/>
      <c r="KX70" s="1831"/>
      <c r="KY70" s="1831"/>
      <c r="KZ70" s="1831"/>
      <c r="LA70" s="1831"/>
      <c r="LB70" s="1831"/>
      <c r="LC70" s="1831"/>
      <c r="LD70" s="1831"/>
      <c r="LE70" s="1831"/>
      <c r="LF70" s="1831"/>
      <c r="LG70" s="1831"/>
      <c r="LH70" s="1831"/>
      <c r="LI70" s="1831"/>
      <c r="LJ70" s="1831"/>
      <c r="LK70" s="1831"/>
      <c r="LL70" s="1831"/>
      <c r="LM70" s="1831"/>
      <c r="LN70" s="1831"/>
      <c r="LO70" s="1831"/>
      <c r="LP70" s="1831"/>
      <c r="LQ70" s="1831"/>
      <c r="LR70" s="1831"/>
      <c r="LS70" s="1831"/>
      <c r="LT70" s="1831"/>
      <c r="LU70" s="1831"/>
      <c r="LV70" s="1831"/>
      <c r="LW70" s="1831"/>
      <c r="LX70" s="1831"/>
      <c r="LY70" s="1831"/>
      <c r="LZ70" s="1831"/>
      <c r="MA70" s="1831"/>
      <c r="MB70" s="1831"/>
      <c r="MC70" s="1831"/>
      <c r="MD70" s="1831"/>
      <c r="ME70" s="1831"/>
      <c r="MF70" s="1831"/>
      <c r="MG70" s="1831"/>
      <c r="MH70" s="1831"/>
      <c r="MI70" s="1831"/>
      <c r="MJ70" s="1831"/>
      <c r="MK70" s="1831"/>
      <c r="ML70" s="1831"/>
      <c r="MM70" s="1831"/>
      <c r="MN70" s="1831"/>
      <c r="MO70" s="1831"/>
      <c r="MP70" s="1831"/>
      <c r="MQ70" s="1831"/>
      <c r="MR70" s="1831"/>
      <c r="MS70" s="1831"/>
      <c r="MT70" s="1831"/>
      <c r="MU70" s="1831"/>
      <c r="MV70" s="157"/>
      <c r="MW70" s="157"/>
      <c r="MX70" s="157"/>
      <c r="MY70" s="157"/>
      <c r="MZ70" s="157"/>
      <c r="NA70" s="157"/>
      <c r="NB70" s="157"/>
      <c r="NC70" s="157"/>
      <c r="ND70" s="157"/>
      <c r="NE70" s="157"/>
      <c r="NF70" s="157"/>
      <c r="NG70" s="157"/>
      <c r="NH70" s="157"/>
      <c r="NI70" s="157"/>
      <c r="NJ70" s="157"/>
      <c r="NK70" s="157"/>
      <c r="NL70" s="157"/>
      <c r="NM70" s="157"/>
      <c r="NN70" s="157"/>
      <c r="NO70" s="157"/>
      <c r="NP70" s="2807"/>
      <c r="NQ70" s="157"/>
      <c r="NR70" s="157"/>
      <c r="NS70" s="157"/>
      <c r="NT70" s="157"/>
      <c r="NU70" s="157"/>
      <c r="NV70" s="157"/>
      <c r="NW70" s="157"/>
      <c r="NX70" s="157"/>
      <c r="NY70" s="157"/>
      <c r="NZ70" s="157"/>
      <c r="OA70" s="157"/>
      <c r="OB70" s="157"/>
      <c r="OC70" s="157"/>
      <c r="OD70" s="157"/>
      <c r="OE70" s="157"/>
      <c r="OF70" s="157"/>
      <c r="OG70" s="157"/>
      <c r="OH70" s="157"/>
      <c r="OI70" s="157"/>
      <c r="OJ70" s="157"/>
      <c r="OK70" s="157"/>
      <c r="OL70" s="157"/>
      <c r="OM70" s="157"/>
      <c r="ON70" s="157"/>
      <c r="OO70" s="157"/>
      <c r="OP70" s="157"/>
      <c r="OQ70" s="157"/>
      <c r="OR70" s="157"/>
      <c r="OS70" s="157"/>
      <c r="OT70" s="157"/>
      <c r="OU70" s="157"/>
      <c r="OV70" s="157"/>
      <c r="OW70" s="157"/>
      <c r="OX70" s="157"/>
      <c r="OY70" s="157"/>
      <c r="OZ70" s="157"/>
      <c r="PA70" s="157"/>
      <c r="PB70" s="157"/>
      <c r="PC70" s="157"/>
      <c r="PD70" s="157"/>
      <c r="PE70" s="157"/>
      <c r="PF70" s="157"/>
      <c r="PG70" s="157"/>
      <c r="PH70" s="157"/>
      <c r="PI70" s="157"/>
      <c r="PJ70" s="157"/>
      <c r="PK70" s="157"/>
      <c r="PL70" s="157"/>
      <c r="PM70" s="157"/>
      <c r="PN70" s="157"/>
      <c r="PO70" s="157"/>
      <c r="PP70" s="157"/>
      <c r="PQ70" s="157"/>
      <c r="PR70" s="157"/>
      <c r="PS70" s="157"/>
      <c r="PT70" s="157"/>
      <c r="PU70" s="157"/>
      <c r="PV70" s="157"/>
      <c r="PW70" s="157"/>
      <c r="PX70" s="157"/>
      <c r="PY70" s="157"/>
      <c r="PZ70" s="157"/>
      <c r="QA70" s="157"/>
      <c r="QB70" s="157"/>
      <c r="QC70" s="157"/>
      <c r="QD70" s="157"/>
      <c r="QE70" s="157"/>
      <c r="QF70" s="157"/>
      <c r="QG70" s="157"/>
      <c r="QH70" s="157"/>
      <c r="QI70" s="157"/>
      <c r="QJ70" s="157"/>
      <c r="QK70" s="157"/>
      <c r="QL70" s="157"/>
      <c r="QM70" s="157"/>
      <c r="QN70" s="157"/>
      <c r="QO70" s="157"/>
      <c r="QP70" s="157"/>
      <c r="QQ70" s="157"/>
      <c r="QR70" s="157"/>
      <c r="QS70" s="157"/>
      <c r="QT70" s="157"/>
      <c r="QU70" s="157"/>
      <c r="QV70" s="157"/>
      <c r="QW70" s="157"/>
      <c r="QX70" s="157"/>
      <c r="QY70" s="157"/>
      <c r="QZ70" s="157"/>
      <c r="RA70" s="157"/>
      <c r="RB70" s="157"/>
      <c r="RC70" s="157"/>
      <c r="RD70" s="157"/>
      <c r="RE70" s="157"/>
      <c r="RF70" s="157"/>
      <c r="RG70" s="157"/>
      <c r="RH70" s="157"/>
      <c r="RI70" s="157"/>
      <c r="RJ70" s="157"/>
      <c r="RK70" s="157"/>
      <c r="RL70" s="157"/>
      <c r="RM70" s="157"/>
      <c r="RN70" s="157"/>
      <c r="RO70" s="157"/>
      <c r="RP70" s="157"/>
      <c r="RQ70" s="157"/>
    </row>
    <row r="71" spans="1:485" s="27" customFormat="1">
      <c r="A71" s="3850"/>
      <c r="B71" s="3850"/>
      <c r="C71" s="1294"/>
      <c r="D71" s="8"/>
      <c r="E71" s="8"/>
      <c r="F71" s="8"/>
      <c r="G71" s="8"/>
      <c r="H71" s="109" t="s">
        <v>6814</v>
      </c>
      <c r="I71" s="36"/>
      <c r="J71" s="1"/>
      <c r="K71" s="2913" t="str">
        <f>IF(OR(K56=0,P70="",K67=0),"",P70*K67)</f>
        <v/>
      </c>
      <c r="L71" s="2913" t="str">
        <f>IF(OR(L56=0,P70="",L67=0),"",P70*L67)</f>
        <v/>
      </c>
      <c r="M71" s="2913" t="str">
        <f>IF(OR(M56=0,P70="",M67=0),"",P70*M67)</f>
        <v/>
      </c>
      <c r="N71" s="2913" t="str">
        <f>IF(OR(N56=0,P70="",N67=0),"",P70*N67)</f>
        <v/>
      </c>
      <c r="O71" s="2913" t="str">
        <f>IF(OR(O56=0,P70="",O67=0),"",P70*O67)</f>
        <v/>
      </c>
      <c r="P71" s="2914" t="str">
        <f>IF(OR(P70="",P67=0),"",P70*P67)</f>
        <v/>
      </c>
      <c r="S71" s="3833"/>
      <c r="T71" s="3834"/>
      <c r="U71" s="3834"/>
      <c r="V71" s="3834"/>
      <c r="W71" s="3835"/>
      <c r="X71" s="1831"/>
      <c r="Y71" s="1831"/>
      <c r="Z71" s="1831"/>
      <c r="AA71" s="1831"/>
      <c r="AB71" s="1831"/>
      <c r="AC71" s="1831"/>
      <c r="AD71" s="1831"/>
      <c r="AE71" s="1831"/>
      <c r="AF71" s="1831"/>
      <c r="AG71" s="1831"/>
      <c r="AH71" s="1831"/>
      <c r="AI71" s="1831"/>
      <c r="AJ71" s="1831"/>
      <c r="AK71" s="1831"/>
      <c r="AL71" s="1831"/>
      <c r="AM71" s="1831"/>
      <c r="AN71" s="1831"/>
      <c r="AO71" s="1831"/>
      <c r="AP71" s="1831"/>
      <c r="AQ71" s="1831"/>
      <c r="AR71" s="1831"/>
      <c r="AS71" s="1831"/>
      <c r="AT71" s="1831"/>
      <c r="AU71" s="1831"/>
      <c r="AV71" s="1831"/>
      <c r="AW71" s="1831"/>
      <c r="AX71" s="1831"/>
      <c r="AY71" s="1831"/>
      <c r="AZ71" s="1831"/>
      <c r="BA71" s="1831"/>
      <c r="BB71" s="1831"/>
      <c r="BC71" s="1831"/>
      <c r="BD71" s="1831"/>
      <c r="BE71" s="1831"/>
      <c r="BF71" s="1831"/>
      <c r="BG71" s="1831"/>
      <c r="BH71" s="1831"/>
      <c r="BI71" s="1831"/>
      <c r="BJ71" s="1831"/>
      <c r="BK71" s="1831"/>
      <c r="BL71" s="1831"/>
      <c r="BM71" s="1831"/>
      <c r="BN71" s="1831"/>
      <c r="BO71" s="1831"/>
      <c r="BP71" s="1831"/>
      <c r="BQ71" s="1831"/>
      <c r="BR71" s="1831"/>
      <c r="BS71" s="1831"/>
      <c r="BT71" s="1831"/>
      <c r="BU71" s="1831"/>
      <c r="BV71" s="1831"/>
      <c r="BW71" s="1831"/>
      <c r="BX71" s="1831"/>
      <c r="BY71" s="1831"/>
      <c r="BZ71" s="1831"/>
      <c r="CA71" s="1831"/>
      <c r="CB71" s="1831"/>
      <c r="CC71" s="1831"/>
      <c r="CD71" s="1831"/>
      <c r="CE71" s="1831"/>
      <c r="CF71" s="1831"/>
      <c r="CG71" s="1831"/>
      <c r="CH71" s="1831"/>
      <c r="CI71" s="1831"/>
      <c r="CJ71" s="1831"/>
      <c r="CK71" s="1831"/>
      <c r="CL71" s="1831"/>
      <c r="CM71" s="1831"/>
      <c r="CN71" s="1831"/>
      <c r="CO71" s="1831"/>
      <c r="CP71" s="1831"/>
      <c r="CQ71" s="1831"/>
      <c r="CR71" s="1831"/>
      <c r="CS71" s="1831"/>
      <c r="CT71" s="1831"/>
      <c r="CU71" s="1831"/>
      <c r="CV71" s="1831"/>
      <c r="CW71" s="1831"/>
      <c r="CX71" s="1831"/>
      <c r="CY71" s="1831"/>
      <c r="CZ71" s="1831"/>
      <c r="DA71" s="1831"/>
      <c r="DB71" s="1831"/>
      <c r="DC71" s="1831"/>
      <c r="DD71" s="1831"/>
      <c r="DE71" s="1831"/>
      <c r="DF71" s="1831"/>
      <c r="DG71" s="1831"/>
      <c r="DH71" s="1831"/>
      <c r="DI71" s="1831"/>
      <c r="DJ71" s="1831"/>
      <c r="DK71" s="1831"/>
      <c r="DL71" s="1831"/>
      <c r="DM71" s="1831"/>
      <c r="DN71" s="1831"/>
      <c r="DO71" s="1831"/>
      <c r="DP71" s="1831"/>
      <c r="DQ71" s="1831"/>
      <c r="DR71" s="1831"/>
      <c r="DS71" s="1831"/>
      <c r="DT71" s="1831"/>
      <c r="DU71" s="1831"/>
      <c r="DV71" s="1831"/>
      <c r="DW71" s="1831"/>
      <c r="DX71" s="1831"/>
      <c r="DY71" s="1831"/>
      <c r="DZ71" s="1831"/>
      <c r="EA71" s="1831"/>
      <c r="EB71" s="1831"/>
      <c r="EC71" s="1831"/>
      <c r="ED71" s="1831"/>
      <c r="EE71" s="1831"/>
      <c r="EF71" s="1831"/>
      <c r="EG71" s="1831"/>
      <c r="EH71" s="1831"/>
      <c r="EI71" s="1831"/>
      <c r="EJ71" s="1831"/>
      <c r="EK71" s="1831"/>
      <c r="EL71" s="1831"/>
      <c r="EM71" s="1831"/>
      <c r="EN71" s="1831"/>
      <c r="EO71" s="1831"/>
      <c r="EP71" s="1831"/>
      <c r="EQ71" s="1831"/>
      <c r="ER71" s="1831"/>
      <c r="ES71" s="1831"/>
      <c r="ET71" s="1831"/>
      <c r="EU71" s="1831"/>
      <c r="EV71" s="1831"/>
      <c r="EW71" s="1831"/>
      <c r="EX71" s="1831"/>
      <c r="EY71" s="1831"/>
      <c r="EZ71" s="1831"/>
      <c r="FA71" s="1831"/>
      <c r="FB71" s="1831"/>
      <c r="FC71" s="1831"/>
      <c r="FD71" s="1831"/>
      <c r="FE71" s="1831"/>
      <c r="FF71" s="1831"/>
      <c r="FG71" s="1831"/>
      <c r="FH71" s="1831"/>
      <c r="FI71" s="1831"/>
      <c r="FJ71" s="1831"/>
      <c r="FK71" s="1831"/>
      <c r="FL71" s="1831"/>
      <c r="FM71" s="1831"/>
      <c r="FN71" s="1831"/>
      <c r="FO71" s="1831"/>
      <c r="FP71" s="1831"/>
      <c r="FQ71" s="1831"/>
      <c r="FR71" s="1831"/>
      <c r="FS71" s="1831"/>
      <c r="FT71" s="1831"/>
      <c r="FU71" s="1831"/>
      <c r="FV71" s="1831"/>
      <c r="FW71" s="1831"/>
      <c r="FX71" s="1831"/>
      <c r="FY71" s="1831"/>
      <c r="FZ71" s="1831"/>
      <c r="GA71" s="1831"/>
      <c r="GB71" s="1831"/>
      <c r="GC71" s="1831"/>
      <c r="GD71" s="1831"/>
      <c r="GE71" s="1831"/>
      <c r="GF71" s="1831"/>
      <c r="GG71" s="1831"/>
      <c r="GH71" s="1831"/>
      <c r="GI71" s="1831"/>
      <c r="GJ71" s="1831"/>
      <c r="GK71" s="1831"/>
      <c r="GL71" s="1831"/>
      <c r="GM71" s="1831"/>
      <c r="GN71" s="1831"/>
      <c r="GO71" s="1831"/>
      <c r="GP71" s="1831"/>
      <c r="GQ71" s="1831"/>
      <c r="GR71" s="1831"/>
      <c r="GS71" s="1831"/>
      <c r="GT71" s="1831"/>
      <c r="GU71" s="1831"/>
      <c r="GV71" s="1831"/>
      <c r="GW71" s="1831"/>
      <c r="GX71" s="1831"/>
      <c r="GY71" s="1831"/>
      <c r="GZ71" s="1831"/>
      <c r="HA71" s="1831"/>
      <c r="HB71" s="1831"/>
      <c r="HC71" s="1831"/>
      <c r="HD71" s="1831"/>
      <c r="HE71" s="1831"/>
      <c r="HF71" s="1831"/>
      <c r="HG71" s="1831"/>
      <c r="HH71" s="1831"/>
      <c r="HI71" s="1831"/>
      <c r="HJ71" s="1831"/>
      <c r="HK71" s="1831"/>
      <c r="HL71" s="1831"/>
      <c r="HM71" s="1831"/>
      <c r="HN71" s="1831"/>
      <c r="HO71" s="1831"/>
      <c r="HP71" s="1831"/>
      <c r="HQ71" s="1831"/>
      <c r="HR71" s="1831"/>
      <c r="HS71" s="1831"/>
      <c r="HT71" s="1831"/>
      <c r="HU71" s="1831"/>
      <c r="HV71" s="1831"/>
      <c r="HW71" s="1831"/>
      <c r="HX71" s="1831"/>
      <c r="HY71" s="1831"/>
      <c r="HZ71" s="1831"/>
      <c r="IA71" s="1831"/>
      <c r="IB71" s="1831"/>
      <c r="IC71" s="1831"/>
      <c r="ID71" s="1831"/>
      <c r="IE71" s="1831"/>
      <c r="IF71" s="1831"/>
      <c r="IG71" s="1831"/>
      <c r="IH71" s="1831"/>
      <c r="II71" s="1831"/>
      <c r="IJ71" s="1831"/>
      <c r="IK71" s="1831"/>
      <c r="IL71" s="1831"/>
      <c r="IM71" s="1831"/>
      <c r="IN71" s="1831"/>
      <c r="IO71" s="1831"/>
      <c r="IP71" s="1831"/>
      <c r="IQ71" s="1831"/>
      <c r="IR71" s="1831"/>
      <c r="IS71" s="1831"/>
      <c r="IT71" s="1831"/>
      <c r="IU71" s="1831"/>
      <c r="IV71" s="1831"/>
      <c r="IW71" s="1831"/>
      <c r="IX71" s="1831"/>
      <c r="IY71" s="1831"/>
      <c r="IZ71" s="1831"/>
      <c r="JA71" s="1831"/>
      <c r="JB71" s="1831"/>
      <c r="JC71" s="1831"/>
      <c r="JD71" s="1831"/>
      <c r="JE71" s="1831"/>
      <c r="JF71" s="1831"/>
      <c r="JG71" s="1831"/>
      <c r="JH71" s="1831"/>
      <c r="JI71" s="1831"/>
      <c r="JJ71" s="1831"/>
      <c r="JK71" s="1831"/>
      <c r="JL71" s="1831"/>
      <c r="JM71" s="1831"/>
      <c r="JN71" s="1831"/>
      <c r="JO71" s="1831"/>
      <c r="JP71" s="1831"/>
      <c r="JQ71" s="1831"/>
      <c r="JR71" s="1831"/>
      <c r="JS71" s="1831"/>
      <c r="JT71" s="1831"/>
      <c r="JU71" s="1831"/>
      <c r="JV71" s="1831"/>
      <c r="JW71" s="1831"/>
      <c r="JX71" s="1831"/>
      <c r="JY71" s="1831"/>
      <c r="JZ71" s="1831"/>
      <c r="KA71" s="1831"/>
      <c r="KB71" s="1831"/>
      <c r="KC71" s="1831"/>
      <c r="KD71" s="1831"/>
      <c r="KE71" s="1831"/>
      <c r="KF71" s="1831"/>
      <c r="KG71" s="1831"/>
      <c r="KH71" s="1831"/>
      <c r="KI71" s="1831"/>
      <c r="KJ71" s="1831"/>
      <c r="KK71" s="1831"/>
      <c r="KL71" s="1831"/>
      <c r="KM71" s="1831"/>
      <c r="KN71" s="1831"/>
      <c r="KO71" s="1831"/>
      <c r="KP71" s="1831"/>
      <c r="KQ71" s="1831"/>
      <c r="KR71" s="1831"/>
      <c r="KS71" s="1831"/>
      <c r="KT71" s="1831"/>
      <c r="KU71" s="1831"/>
      <c r="KV71" s="1831"/>
      <c r="KW71" s="1831"/>
      <c r="KX71" s="1831"/>
      <c r="KY71" s="1831"/>
      <c r="KZ71" s="1831"/>
      <c r="LA71" s="1831"/>
      <c r="LB71" s="1831"/>
      <c r="LC71" s="1831"/>
      <c r="LD71" s="1831"/>
      <c r="LE71" s="1831"/>
      <c r="LF71" s="1831"/>
      <c r="LG71" s="1831"/>
      <c r="LH71" s="1831"/>
      <c r="LI71" s="1831"/>
      <c r="LJ71" s="1831"/>
      <c r="LK71" s="1831"/>
      <c r="LL71" s="1831"/>
      <c r="LM71" s="1831"/>
      <c r="LN71" s="1831"/>
      <c r="LO71" s="1831"/>
      <c r="LP71" s="1831"/>
      <c r="LQ71" s="1831"/>
      <c r="LR71" s="1831"/>
      <c r="LS71" s="1831"/>
      <c r="LT71" s="1831"/>
      <c r="LU71" s="1831"/>
      <c r="LV71" s="1831"/>
      <c r="LW71" s="1831"/>
      <c r="LX71" s="1831"/>
      <c r="LY71" s="1831"/>
      <c r="LZ71" s="1831"/>
      <c r="MA71" s="1831"/>
      <c r="MB71" s="1831"/>
      <c r="MC71" s="1831"/>
      <c r="MD71" s="1831"/>
      <c r="ME71" s="1831"/>
      <c r="MF71" s="1831"/>
      <c r="MG71" s="1831"/>
      <c r="MH71" s="1831"/>
      <c r="MI71" s="1831"/>
      <c r="MJ71" s="1831"/>
      <c r="MK71" s="1831"/>
      <c r="ML71" s="1831"/>
      <c r="MM71" s="1831"/>
      <c r="MN71" s="1831"/>
      <c r="MO71" s="1831"/>
      <c r="MP71" s="1831"/>
      <c r="MQ71" s="1831"/>
      <c r="MR71" s="1831"/>
      <c r="MS71" s="1831"/>
      <c r="MT71" s="1831"/>
      <c r="MU71" s="1831"/>
      <c r="MV71" s="157"/>
      <c r="MW71" s="157"/>
      <c r="MX71" s="157"/>
      <c r="MY71" s="157"/>
      <c r="MZ71" s="157"/>
      <c r="NA71" s="157"/>
      <c r="NB71" s="157"/>
      <c r="NC71" s="157"/>
      <c r="ND71" s="157"/>
      <c r="NE71" s="157"/>
      <c r="NF71" s="157"/>
      <c r="NG71" s="157"/>
      <c r="NH71" s="157"/>
      <c r="NI71" s="157"/>
      <c r="NJ71" s="157"/>
      <c r="NK71" s="157"/>
      <c r="NL71" s="157"/>
      <c r="NM71" s="157"/>
      <c r="NN71" s="157"/>
      <c r="NO71" s="157"/>
      <c r="NP71" s="2807"/>
      <c r="NQ71" s="157"/>
      <c r="NR71" s="157"/>
      <c r="NS71" s="157"/>
      <c r="NT71" s="157"/>
      <c r="NU71" s="157"/>
      <c r="NV71" s="157"/>
      <c r="NW71" s="157"/>
      <c r="NX71" s="157"/>
      <c r="NY71" s="157"/>
      <c r="NZ71" s="157"/>
      <c r="OA71" s="157"/>
      <c r="OB71" s="157"/>
      <c r="OC71" s="157"/>
      <c r="OD71" s="157"/>
      <c r="OE71" s="157"/>
      <c r="OF71" s="157"/>
      <c r="OG71" s="157"/>
      <c r="OH71" s="157"/>
      <c r="OI71" s="157"/>
      <c r="OJ71" s="157"/>
      <c r="OK71" s="157"/>
      <c r="OL71" s="157"/>
      <c r="OM71" s="157"/>
      <c r="ON71" s="157"/>
      <c r="OO71" s="157"/>
      <c r="OP71" s="157"/>
      <c r="OQ71" s="157"/>
      <c r="OR71" s="157"/>
      <c r="OS71" s="157"/>
      <c r="OT71" s="157"/>
      <c r="OU71" s="157"/>
      <c r="OV71" s="157"/>
      <c r="OW71" s="157"/>
      <c r="OX71" s="157"/>
      <c r="OY71" s="157"/>
      <c r="OZ71" s="157"/>
      <c r="PA71" s="157"/>
      <c r="PB71" s="157"/>
      <c r="PC71" s="157"/>
      <c r="PD71" s="157"/>
      <c r="PE71" s="157"/>
      <c r="PF71" s="157"/>
      <c r="PG71" s="157"/>
      <c r="PH71" s="157"/>
      <c r="PI71" s="157"/>
      <c r="PJ71" s="157"/>
      <c r="PK71" s="157"/>
      <c r="PL71" s="157"/>
      <c r="PM71" s="157"/>
      <c r="PN71" s="157"/>
      <c r="PO71" s="157"/>
      <c r="PP71" s="157"/>
      <c r="PQ71" s="157"/>
      <c r="PR71" s="157"/>
      <c r="PS71" s="157"/>
      <c r="PT71" s="157"/>
      <c r="PU71" s="157"/>
      <c r="PV71" s="157"/>
      <c r="PW71" s="157"/>
      <c r="PX71" s="157"/>
      <c r="PY71" s="157"/>
      <c r="PZ71" s="157"/>
      <c r="QA71" s="157"/>
      <c r="QB71" s="157"/>
      <c r="QC71" s="157"/>
      <c r="QD71" s="157"/>
      <c r="QE71" s="157"/>
      <c r="QF71" s="157"/>
      <c r="QG71" s="157"/>
      <c r="QH71" s="157"/>
      <c r="QI71" s="157"/>
      <c r="QJ71" s="157"/>
      <c r="QK71" s="157"/>
      <c r="QL71" s="157"/>
      <c r="QM71" s="157"/>
      <c r="QN71" s="157"/>
      <c r="QO71" s="157"/>
      <c r="QP71" s="157"/>
      <c r="QQ71" s="157"/>
      <c r="QR71" s="157"/>
      <c r="QS71" s="157"/>
      <c r="QT71" s="157"/>
      <c r="QU71" s="157"/>
      <c r="QV71" s="157"/>
      <c r="QW71" s="157"/>
      <c r="QX71" s="157"/>
      <c r="QY71" s="157"/>
      <c r="QZ71" s="157"/>
      <c r="RA71" s="157"/>
      <c r="RB71" s="157"/>
      <c r="RC71" s="157"/>
      <c r="RD71" s="157"/>
      <c r="RE71" s="157"/>
      <c r="RF71" s="157"/>
      <c r="RG71" s="157"/>
      <c r="RH71" s="157"/>
      <c r="RI71" s="157"/>
      <c r="RJ71" s="157"/>
      <c r="RK71" s="157"/>
      <c r="RL71" s="157"/>
      <c r="RM71" s="157"/>
      <c r="RN71" s="157"/>
      <c r="RO71" s="157"/>
      <c r="RP71" s="157"/>
      <c r="RQ71" s="157"/>
    </row>
    <row r="72" spans="1:485" s="27" customFormat="1">
      <c r="C72" s="1294"/>
      <c r="D72" s="8"/>
      <c r="E72" s="8"/>
      <c r="F72" s="8"/>
      <c r="G72" s="1579"/>
      <c r="H72" s="2915" t="s">
        <v>6815</v>
      </c>
      <c r="I72" s="2916"/>
      <c r="J72" s="1"/>
      <c r="K72" s="2917" t="str">
        <f t="shared" ref="K72:P72" si="353">IF(OR(K71="",K56=0),"", K56-K71)</f>
        <v/>
      </c>
      <c r="L72" s="2918" t="str">
        <f t="shared" si="353"/>
        <v/>
      </c>
      <c r="M72" s="2918" t="str">
        <f t="shared" si="353"/>
        <v/>
      </c>
      <c r="N72" s="2918" t="str">
        <f t="shared" si="353"/>
        <v/>
      </c>
      <c r="O72" s="2918" t="str">
        <f t="shared" si="353"/>
        <v/>
      </c>
      <c r="P72" s="2919" t="str">
        <f t="shared" si="353"/>
        <v/>
      </c>
      <c r="S72" s="3833"/>
      <c r="T72" s="3834"/>
      <c r="U72" s="3834"/>
      <c r="V72" s="3834"/>
      <c r="W72" s="3835"/>
      <c r="X72" s="1831"/>
      <c r="Y72" s="1831"/>
      <c r="Z72" s="1831"/>
      <c r="AA72" s="1831"/>
      <c r="AB72" s="1831"/>
      <c r="AC72" s="1831"/>
      <c r="AD72" s="1831"/>
      <c r="AE72" s="1831"/>
      <c r="AF72" s="1831"/>
      <c r="AG72" s="1831"/>
      <c r="AH72" s="1831"/>
      <c r="AI72" s="1831"/>
      <c r="AJ72" s="1831"/>
      <c r="AK72" s="1831"/>
      <c r="AL72" s="1831"/>
      <c r="AM72" s="1831"/>
      <c r="AN72" s="1831"/>
      <c r="AO72" s="1831"/>
      <c r="AP72" s="1831"/>
      <c r="AQ72" s="1831"/>
      <c r="AR72" s="1831"/>
      <c r="AS72" s="1831"/>
      <c r="AT72" s="1831"/>
      <c r="AU72" s="1831"/>
      <c r="AV72" s="1831"/>
      <c r="AW72" s="1831"/>
      <c r="AX72" s="1831"/>
      <c r="AY72" s="1831"/>
      <c r="AZ72" s="1831"/>
      <c r="BA72" s="1831"/>
      <c r="BB72" s="1831"/>
      <c r="BC72" s="1831"/>
      <c r="BD72" s="1831"/>
      <c r="BE72" s="1831"/>
      <c r="BF72" s="1831"/>
      <c r="BG72" s="1831"/>
      <c r="BH72" s="1831"/>
      <c r="BI72" s="1831"/>
      <c r="BJ72" s="1831"/>
      <c r="BK72" s="1831"/>
      <c r="BL72" s="1831"/>
      <c r="BM72" s="1831"/>
      <c r="BN72" s="1831"/>
      <c r="BO72" s="1831"/>
      <c r="BP72" s="1831"/>
      <c r="BQ72" s="1831"/>
      <c r="BR72" s="1831"/>
      <c r="BS72" s="1831"/>
      <c r="BT72" s="1831"/>
      <c r="BU72" s="1831"/>
      <c r="BV72" s="1831"/>
      <c r="BW72" s="1831"/>
      <c r="BX72" s="1831"/>
      <c r="BY72" s="1831"/>
      <c r="BZ72" s="1831"/>
      <c r="CA72" s="1831"/>
      <c r="CB72" s="1831"/>
      <c r="CC72" s="1831"/>
      <c r="CD72" s="1831"/>
      <c r="CE72" s="1831"/>
      <c r="CF72" s="1831"/>
      <c r="CG72" s="1831"/>
      <c r="CH72" s="1831"/>
      <c r="CI72" s="1831"/>
      <c r="CJ72" s="1831"/>
      <c r="CK72" s="1831"/>
      <c r="CL72" s="1831"/>
      <c r="CM72" s="1831"/>
      <c r="CN72" s="1831"/>
      <c r="CO72" s="1831"/>
      <c r="CP72" s="1831"/>
      <c r="CQ72" s="1831"/>
      <c r="CR72" s="1831"/>
      <c r="CS72" s="1831"/>
      <c r="CT72" s="1831"/>
      <c r="CU72" s="1831"/>
      <c r="CV72" s="1831"/>
      <c r="CW72" s="1831"/>
      <c r="CX72" s="1831"/>
      <c r="CY72" s="1831"/>
      <c r="CZ72" s="1831"/>
      <c r="DA72" s="1831"/>
      <c r="DB72" s="1831"/>
      <c r="DC72" s="1831"/>
      <c r="DD72" s="1831"/>
      <c r="DE72" s="1831"/>
      <c r="DF72" s="1831"/>
      <c r="DG72" s="1831"/>
      <c r="DH72" s="1831"/>
      <c r="DI72" s="1831"/>
      <c r="DJ72" s="1831"/>
      <c r="DK72" s="1831"/>
      <c r="DL72" s="1831"/>
      <c r="DM72" s="1831"/>
      <c r="DN72" s="1831"/>
      <c r="DO72" s="1831"/>
      <c r="DP72" s="1831"/>
      <c r="DQ72" s="1831"/>
      <c r="DR72" s="1831"/>
      <c r="DS72" s="1831"/>
      <c r="DT72" s="1831"/>
      <c r="DU72" s="1831"/>
      <c r="DV72" s="1831"/>
      <c r="DW72" s="1831"/>
      <c r="DX72" s="1831"/>
      <c r="DY72" s="1831"/>
      <c r="DZ72" s="1831"/>
      <c r="EA72" s="1831"/>
      <c r="EB72" s="1831"/>
      <c r="EC72" s="1831"/>
      <c r="ED72" s="1831"/>
      <c r="EE72" s="1831"/>
      <c r="EF72" s="1831"/>
      <c r="EG72" s="1831"/>
      <c r="EH72" s="1831"/>
      <c r="EI72" s="1831"/>
      <c r="EJ72" s="1831"/>
      <c r="EK72" s="1831"/>
      <c r="EL72" s="1831"/>
      <c r="EM72" s="1831"/>
      <c r="EN72" s="1831"/>
      <c r="EO72" s="1831"/>
      <c r="EP72" s="1831"/>
      <c r="EQ72" s="1831"/>
      <c r="ER72" s="1831"/>
      <c r="ES72" s="1831"/>
      <c r="ET72" s="1831"/>
      <c r="EU72" s="1831"/>
      <c r="EV72" s="1831"/>
      <c r="EW72" s="1831"/>
      <c r="EX72" s="1831"/>
      <c r="EY72" s="1831"/>
      <c r="EZ72" s="1831"/>
      <c r="FA72" s="1831"/>
      <c r="FB72" s="1831"/>
      <c r="FC72" s="1831"/>
      <c r="FD72" s="1831"/>
      <c r="FE72" s="1831"/>
      <c r="FF72" s="1831"/>
      <c r="FG72" s="1831"/>
      <c r="FH72" s="1831"/>
      <c r="FI72" s="1831"/>
      <c r="FJ72" s="1831"/>
      <c r="FK72" s="1831"/>
      <c r="FL72" s="1831"/>
      <c r="FM72" s="1831"/>
      <c r="FN72" s="1831"/>
      <c r="FO72" s="1831"/>
      <c r="FP72" s="1831"/>
      <c r="FQ72" s="1831"/>
      <c r="FR72" s="1831"/>
      <c r="FS72" s="1831"/>
      <c r="FT72" s="1831"/>
      <c r="FU72" s="1831"/>
      <c r="FV72" s="1831"/>
      <c r="FW72" s="1831"/>
      <c r="FX72" s="1831"/>
      <c r="FY72" s="1831"/>
      <c r="FZ72" s="1831"/>
      <c r="GA72" s="1831"/>
      <c r="GB72" s="1831"/>
      <c r="GC72" s="1831"/>
      <c r="GD72" s="1831"/>
      <c r="GE72" s="1831"/>
      <c r="GF72" s="1831"/>
      <c r="GG72" s="1831"/>
      <c r="GH72" s="1831"/>
      <c r="GI72" s="1831"/>
      <c r="GJ72" s="1831"/>
      <c r="GK72" s="1831"/>
      <c r="GL72" s="1831"/>
      <c r="GM72" s="1831"/>
      <c r="GN72" s="1831"/>
      <c r="GO72" s="1831"/>
      <c r="GP72" s="1831"/>
      <c r="GQ72" s="1831"/>
      <c r="GR72" s="1831"/>
      <c r="GS72" s="1831"/>
      <c r="GT72" s="1831"/>
      <c r="GU72" s="1831"/>
      <c r="GV72" s="1831"/>
      <c r="GW72" s="1831"/>
      <c r="GX72" s="1831"/>
      <c r="GY72" s="1831"/>
      <c r="GZ72" s="1831"/>
      <c r="HA72" s="1831"/>
      <c r="HB72" s="1831"/>
      <c r="HC72" s="1831"/>
      <c r="HD72" s="1831"/>
      <c r="HE72" s="1831"/>
      <c r="HF72" s="1831"/>
      <c r="HG72" s="1831"/>
      <c r="HH72" s="1831"/>
      <c r="HI72" s="1831"/>
      <c r="HJ72" s="1831"/>
      <c r="HK72" s="1831"/>
      <c r="HL72" s="1831"/>
      <c r="HM72" s="1831"/>
      <c r="HN72" s="1831"/>
      <c r="HO72" s="1831"/>
      <c r="HP72" s="1831"/>
      <c r="HQ72" s="1831"/>
      <c r="HR72" s="1831"/>
      <c r="HS72" s="1831"/>
      <c r="HT72" s="1831"/>
      <c r="HU72" s="1831"/>
      <c r="HV72" s="1831"/>
      <c r="HW72" s="1831"/>
      <c r="HX72" s="1831"/>
      <c r="HY72" s="1831"/>
      <c r="HZ72" s="1831"/>
      <c r="IA72" s="1831"/>
      <c r="IB72" s="1831"/>
      <c r="IC72" s="1831"/>
      <c r="ID72" s="1831"/>
      <c r="IE72" s="1831"/>
      <c r="IF72" s="1831"/>
      <c r="IG72" s="1831"/>
      <c r="IH72" s="1831"/>
      <c r="II72" s="1831"/>
      <c r="IJ72" s="1831"/>
      <c r="IK72" s="1831"/>
      <c r="IL72" s="1831"/>
      <c r="IM72" s="1831"/>
      <c r="IN72" s="1831"/>
      <c r="IO72" s="1831"/>
      <c r="IP72" s="1831"/>
      <c r="IQ72" s="1831"/>
      <c r="IR72" s="1831"/>
      <c r="IS72" s="1831"/>
      <c r="IT72" s="1831"/>
      <c r="IU72" s="1831"/>
      <c r="IV72" s="1831"/>
      <c r="IW72" s="1831"/>
      <c r="IX72" s="1831"/>
      <c r="IY72" s="1831"/>
      <c r="IZ72" s="1831"/>
      <c r="JA72" s="1831"/>
      <c r="JB72" s="1831"/>
      <c r="JC72" s="1831"/>
      <c r="JD72" s="1831"/>
      <c r="JE72" s="1831"/>
      <c r="JF72" s="1831"/>
      <c r="JG72" s="1831"/>
      <c r="JH72" s="1831"/>
      <c r="JI72" s="1831"/>
      <c r="JJ72" s="1831"/>
      <c r="JK72" s="1831"/>
      <c r="JL72" s="1831"/>
      <c r="JM72" s="1831"/>
      <c r="JN72" s="1831"/>
      <c r="JO72" s="1831"/>
      <c r="JP72" s="1831"/>
      <c r="JQ72" s="1831"/>
      <c r="JR72" s="1831"/>
      <c r="JS72" s="1831"/>
      <c r="JT72" s="1831"/>
      <c r="JU72" s="1831"/>
      <c r="JV72" s="1831"/>
      <c r="JW72" s="1831"/>
      <c r="JX72" s="1831"/>
      <c r="JY72" s="1831"/>
      <c r="JZ72" s="1831"/>
      <c r="KA72" s="1831"/>
      <c r="KB72" s="1831"/>
      <c r="KC72" s="1831"/>
      <c r="KD72" s="1831"/>
      <c r="KE72" s="1831"/>
      <c r="KF72" s="1831"/>
      <c r="KG72" s="1831"/>
      <c r="KH72" s="1831"/>
      <c r="KI72" s="1831"/>
      <c r="KJ72" s="1831"/>
      <c r="KK72" s="1831"/>
      <c r="KL72" s="1831"/>
      <c r="KM72" s="1831"/>
      <c r="KN72" s="1831"/>
      <c r="KO72" s="1831"/>
      <c r="KP72" s="1831"/>
      <c r="KQ72" s="1831"/>
      <c r="KR72" s="1831"/>
      <c r="KS72" s="1831"/>
      <c r="KT72" s="1831"/>
      <c r="KU72" s="1831"/>
      <c r="KV72" s="1831"/>
      <c r="KW72" s="1831"/>
      <c r="KX72" s="1831"/>
      <c r="KY72" s="1831"/>
      <c r="KZ72" s="1831"/>
      <c r="LA72" s="1831"/>
      <c r="LB72" s="1831"/>
      <c r="LC72" s="1831"/>
      <c r="LD72" s="1831"/>
      <c r="LE72" s="1831"/>
      <c r="LF72" s="1831"/>
      <c r="LG72" s="1831"/>
      <c r="LH72" s="1831"/>
      <c r="LI72" s="1831"/>
      <c r="LJ72" s="1831"/>
      <c r="LK72" s="1831"/>
      <c r="LL72" s="1831"/>
      <c r="LM72" s="1831"/>
      <c r="LN72" s="1831"/>
      <c r="LO72" s="1831"/>
      <c r="LP72" s="1831"/>
      <c r="LQ72" s="1831"/>
      <c r="LR72" s="1831"/>
      <c r="LS72" s="1831"/>
      <c r="LT72" s="1831"/>
      <c r="LU72" s="1831"/>
      <c r="LV72" s="1831"/>
      <c r="LW72" s="1831"/>
      <c r="LX72" s="1831"/>
      <c r="LY72" s="1831"/>
      <c r="LZ72" s="1831"/>
      <c r="MA72" s="1831"/>
      <c r="MB72" s="1831"/>
      <c r="MC72" s="1831"/>
      <c r="MD72" s="1831"/>
      <c r="ME72" s="1831"/>
      <c r="MF72" s="1831"/>
      <c r="MG72" s="1831"/>
      <c r="MH72" s="1831"/>
      <c r="MI72" s="1831"/>
      <c r="MJ72" s="1831"/>
      <c r="MK72" s="1831"/>
      <c r="ML72" s="1831"/>
      <c r="MM72" s="1831"/>
      <c r="MN72" s="1831"/>
      <c r="MO72" s="1831"/>
      <c r="MP72" s="1831"/>
      <c r="MQ72" s="1831"/>
      <c r="MR72" s="1831"/>
      <c r="MS72" s="1831"/>
      <c r="MT72" s="1831"/>
      <c r="MU72" s="1831"/>
      <c r="MV72" s="157"/>
      <c r="MW72" s="157"/>
      <c r="MX72" s="157"/>
      <c r="MY72" s="157"/>
      <c r="MZ72" s="157"/>
      <c r="NA72" s="157"/>
      <c r="NB72" s="157"/>
      <c r="NC72" s="157"/>
      <c r="ND72" s="157"/>
      <c r="NE72" s="157"/>
      <c r="NF72" s="157"/>
      <c r="NG72" s="157"/>
      <c r="NH72" s="157"/>
      <c r="NI72" s="157"/>
      <c r="NJ72" s="157"/>
      <c r="NK72" s="157"/>
      <c r="NL72" s="157"/>
      <c r="NM72" s="157"/>
      <c r="NN72" s="157"/>
      <c r="NO72" s="157"/>
      <c r="NP72" s="2807"/>
      <c r="NQ72" s="157"/>
      <c r="NR72" s="157"/>
      <c r="NS72" s="157"/>
      <c r="NT72" s="157"/>
      <c r="NU72" s="157"/>
      <c r="NV72" s="157"/>
      <c r="NW72" s="157"/>
      <c r="NX72" s="157"/>
      <c r="NY72" s="157"/>
      <c r="NZ72" s="157"/>
      <c r="OA72" s="157"/>
      <c r="OB72" s="157"/>
      <c r="OC72" s="157"/>
      <c r="OD72" s="157"/>
      <c r="OE72" s="157"/>
      <c r="OF72" s="157"/>
      <c r="OG72" s="157"/>
      <c r="OH72" s="157"/>
      <c r="OI72" s="157"/>
      <c r="OJ72" s="157"/>
      <c r="OK72" s="157"/>
      <c r="OL72" s="157"/>
      <c r="OM72" s="157"/>
      <c r="ON72" s="157"/>
      <c r="OO72" s="157"/>
      <c r="OP72" s="157"/>
      <c r="OQ72" s="157"/>
      <c r="OR72" s="157"/>
      <c r="OS72" s="157"/>
      <c r="OT72" s="157"/>
      <c r="OU72" s="157"/>
      <c r="OV72" s="157"/>
      <c r="OW72" s="157"/>
      <c r="OX72" s="157"/>
      <c r="OY72" s="157"/>
      <c r="OZ72" s="157"/>
      <c r="PA72" s="157"/>
      <c r="PB72" s="157"/>
      <c r="PC72" s="157"/>
      <c r="PD72" s="157"/>
      <c r="PE72" s="157"/>
      <c r="PF72" s="157"/>
      <c r="PG72" s="157"/>
      <c r="PH72" s="157"/>
      <c r="PI72" s="157"/>
      <c r="PJ72" s="157"/>
      <c r="PK72" s="157"/>
      <c r="PL72" s="157"/>
      <c r="PM72" s="157"/>
      <c r="PN72" s="157"/>
      <c r="PO72" s="157"/>
      <c r="PP72" s="157"/>
      <c r="PQ72" s="157"/>
      <c r="PR72" s="157"/>
      <c r="PS72" s="157"/>
      <c r="PT72" s="157"/>
      <c r="PU72" s="157"/>
      <c r="PV72" s="157"/>
      <c r="PW72" s="157"/>
      <c r="PX72" s="157"/>
      <c r="PY72" s="157"/>
      <c r="PZ72" s="157"/>
      <c r="QA72" s="157"/>
      <c r="QB72" s="157"/>
      <c r="QC72" s="157"/>
      <c r="QD72" s="157"/>
      <c r="QE72" s="157"/>
      <c r="QF72" s="157"/>
      <c r="QG72" s="157"/>
      <c r="QH72" s="157"/>
      <c r="QI72" s="157"/>
      <c r="QJ72" s="157"/>
      <c r="QK72" s="157"/>
      <c r="QL72" s="157"/>
      <c r="QM72" s="157"/>
      <c r="QN72" s="157"/>
      <c r="QO72" s="157"/>
      <c r="QP72" s="157"/>
      <c r="QQ72" s="157"/>
      <c r="QR72" s="157"/>
      <c r="QS72" s="157"/>
      <c r="QT72" s="157"/>
      <c r="QU72" s="157"/>
      <c r="QV72" s="157"/>
      <c r="QW72" s="157"/>
      <c r="QX72" s="157"/>
      <c r="QY72" s="157"/>
      <c r="QZ72" s="157"/>
      <c r="RA72" s="157"/>
      <c r="RB72" s="157"/>
      <c r="RC72" s="157"/>
      <c r="RD72" s="157"/>
      <c r="RE72" s="157"/>
      <c r="RF72" s="157"/>
      <c r="RG72" s="157"/>
      <c r="RH72" s="157"/>
      <c r="RI72" s="157"/>
      <c r="RJ72" s="157"/>
      <c r="RK72" s="157"/>
      <c r="RL72" s="157"/>
      <c r="RM72" s="157"/>
      <c r="RN72" s="157"/>
      <c r="RO72" s="157"/>
      <c r="RP72" s="157"/>
      <c r="RQ72" s="157"/>
    </row>
    <row r="73" spans="1:485" s="27" customFormat="1" ht="12.75" customHeight="1">
      <c r="C73" s="1294"/>
      <c r="D73" s="3933" t="s">
        <v>4274</v>
      </c>
      <c r="E73" s="3933"/>
      <c r="F73" s="3933"/>
      <c r="G73" s="8"/>
      <c r="H73" s="109" t="s">
        <v>3830</v>
      </c>
      <c r="I73" s="36"/>
      <c r="J73" s="1"/>
      <c r="K73" s="2920" t="str">
        <f t="shared" ref="K73:P73" si="354">IF(OR(K57=0,K67=0),"",K57/K67)</f>
        <v/>
      </c>
      <c r="L73" s="2921" t="str">
        <f t="shared" si="354"/>
        <v/>
      </c>
      <c r="M73" s="2921" t="str">
        <f t="shared" si="354"/>
        <v/>
      </c>
      <c r="N73" s="2921" t="str">
        <f t="shared" si="354"/>
        <v/>
      </c>
      <c r="O73" s="2921" t="str">
        <f t="shared" si="354"/>
        <v/>
      </c>
      <c r="P73" s="2922" t="str">
        <f t="shared" si="354"/>
        <v/>
      </c>
      <c r="S73" s="3833"/>
      <c r="T73" s="3834"/>
      <c r="U73" s="3834"/>
      <c r="V73" s="3834"/>
      <c r="W73" s="3835"/>
      <c r="X73" s="1831"/>
      <c r="Y73" s="1831"/>
      <c r="Z73" s="1831"/>
      <c r="AA73" s="1831"/>
      <c r="AB73" s="1831"/>
      <c r="AC73" s="1831"/>
      <c r="AD73" s="1831"/>
      <c r="AE73" s="1831"/>
      <c r="AF73" s="1831"/>
      <c r="AG73" s="1831"/>
      <c r="AH73" s="1831"/>
      <c r="AI73" s="1831"/>
      <c r="AJ73" s="1831"/>
      <c r="AK73" s="1831"/>
      <c r="AL73" s="1831"/>
      <c r="AM73" s="1831"/>
      <c r="AN73" s="1831"/>
      <c r="AO73" s="1831"/>
      <c r="AP73" s="1831"/>
      <c r="AQ73" s="1831"/>
      <c r="AR73" s="1831"/>
      <c r="AS73" s="1831"/>
      <c r="AT73" s="1831"/>
      <c r="AU73" s="1831"/>
      <c r="AV73" s="1831"/>
      <c r="AW73" s="1831"/>
      <c r="AX73" s="1831"/>
      <c r="AY73" s="1831"/>
      <c r="AZ73" s="1831"/>
      <c r="BA73" s="1831"/>
      <c r="BB73" s="1831"/>
      <c r="BC73" s="1831"/>
      <c r="BD73" s="1831"/>
      <c r="BE73" s="1831"/>
      <c r="BF73" s="1831"/>
      <c r="BG73" s="1831"/>
      <c r="BH73" s="1831"/>
      <c r="BI73" s="1831"/>
      <c r="BJ73" s="1831"/>
      <c r="BK73" s="1831"/>
      <c r="BL73" s="1831"/>
      <c r="BM73" s="1831"/>
      <c r="BN73" s="1831"/>
      <c r="BO73" s="1831"/>
      <c r="BP73" s="1831"/>
      <c r="BQ73" s="1831"/>
      <c r="BR73" s="1831"/>
      <c r="BS73" s="1831"/>
      <c r="BT73" s="1831"/>
      <c r="BU73" s="1831"/>
      <c r="BV73" s="1831"/>
      <c r="BW73" s="1831"/>
      <c r="BX73" s="1831"/>
      <c r="BY73" s="1831"/>
      <c r="BZ73" s="1831"/>
      <c r="CA73" s="1831"/>
      <c r="CB73" s="1831"/>
      <c r="CC73" s="1831"/>
      <c r="CD73" s="1831"/>
      <c r="CE73" s="1831"/>
      <c r="CF73" s="1831"/>
      <c r="CG73" s="1831"/>
      <c r="CH73" s="1831"/>
      <c r="CI73" s="1831"/>
      <c r="CJ73" s="1831"/>
      <c r="CK73" s="1831"/>
      <c r="CL73" s="1831"/>
      <c r="CM73" s="1831"/>
      <c r="CN73" s="1831"/>
      <c r="CO73" s="1831"/>
      <c r="CP73" s="1831"/>
      <c r="CQ73" s="1831"/>
      <c r="CR73" s="1831"/>
      <c r="CS73" s="1831"/>
      <c r="CT73" s="1831"/>
      <c r="CU73" s="1831"/>
      <c r="CV73" s="1831"/>
      <c r="CW73" s="1831"/>
      <c r="CX73" s="1831"/>
      <c r="CY73" s="1831"/>
      <c r="CZ73" s="1831"/>
      <c r="DA73" s="1831"/>
      <c r="DB73" s="1831"/>
      <c r="DC73" s="1831"/>
      <c r="DD73" s="1831"/>
      <c r="DE73" s="1831"/>
      <c r="DF73" s="1831"/>
      <c r="DG73" s="1831"/>
      <c r="DH73" s="1831"/>
      <c r="DI73" s="1831"/>
      <c r="DJ73" s="1831"/>
      <c r="DK73" s="1831"/>
      <c r="DL73" s="1831"/>
      <c r="DM73" s="1831"/>
      <c r="DN73" s="1831"/>
      <c r="DO73" s="1831"/>
      <c r="DP73" s="1831"/>
      <c r="DQ73" s="1831"/>
      <c r="DR73" s="1831"/>
      <c r="DS73" s="1831"/>
      <c r="DT73" s="1831"/>
      <c r="DU73" s="1831"/>
      <c r="DV73" s="1831"/>
      <c r="DW73" s="1831"/>
      <c r="DX73" s="1831"/>
      <c r="DY73" s="1831"/>
      <c r="DZ73" s="1831"/>
      <c r="EA73" s="1831"/>
      <c r="EB73" s="1831"/>
      <c r="EC73" s="1831"/>
      <c r="ED73" s="1831"/>
      <c r="EE73" s="1831"/>
      <c r="EF73" s="1831"/>
      <c r="EG73" s="1831"/>
      <c r="EH73" s="1831"/>
      <c r="EI73" s="1831"/>
      <c r="EJ73" s="1831"/>
      <c r="EK73" s="1831"/>
      <c r="EL73" s="1831"/>
      <c r="EM73" s="1831"/>
      <c r="EN73" s="1831"/>
      <c r="EO73" s="1831"/>
      <c r="EP73" s="1831"/>
      <c r="EQ73" s="1831"/>
      <c r="ER73" s="1831"/>
      <c r="ES73" s="1831"/>
      <c r="ET73" s="1831"/>
      <c r="EU73" s="1831"/>
      <c r="EV73" s="1831"/>
      <c r="EW73" s="1831"/>
      <c r="EX73" s="1831"/>
      <c r="EY73" s="1831"/>
      <c r="EZ73" s="1831"/>
      <c r="FA73" s="1831"/>
      <c r="FB73" s="1831"/>
      <c r="FC73" s="1831"/>
      <c r="FD73" s="1831"/>
      <c r="FE73" s="1831"/>
      <c r="FF73" s="1831"/>
      <c r="FG73" s="1831"/>
      <c r="FH73" s="1831"/>
      <c r="FI73" s="1831"/>
      <c r="FJ73" s="1831"/>
      <c r="FK73" s="1831"/>
      <c r="FL73" s="1831"/>
      <c r="FM73" s="1831"/>
      <c r="FN73" s="1831"/>
      <c r="FO73" s="1831"/>
      <c r="FP73" s="1831"/>
      <c r="FQ73" s="1831"/>
      <c r="FR73" s="1831"/>
      <c r="FS73" s="1831"/>
      <c r="FT73" s="1831"/>
      <c r="FU73" s="1831"/>
      <c r="FV73" s="1831"/>
      <c r="FW73" s="1831"/>
      <c r="FX73" s="1831"/>
      <c r="FY73" s="1831"/>
      <c r="FZ73" s="1831"/>
      <c r="GA73" s="1831"/>
      <c r="GB73" s="1831"/>
      <c r="GC73" s="1831"/>
      <c r="GD73" s="1831"/>
      <c r="GE73" s="1831"/>
      <c r="GF73" s="1831"/>
      <c r="GG73" s="1831"/>
      <c r="GH73" s="1831"/>
      <c r="GI73" s="1831"/>
      <c r="GJ73" s="1831"/>
      <c r="GK73" s="1831"/>
      <c r="GL73" s="1831"/>
      <c r="GM73" s="1831"/>
      <c r="GN73" s="1831"/>
      <c r="GO73" s="1831"/>
      <c r="GP73" s="1831"/>
      <c r="GQ73" s="1831"/>
      <c r="GR73" s="1831"/>
      <c r="GS73" s="1831"/>
      <c r="GT73" s="1831"/>
      <c r="GU73" s="1831"/>
      <c r="GV73" s="1831"/>
      <c r="GW73" s="1831"/>
      <c r="GX73" s="1831"/>
      <c r="GY73" s="1831"/>
      <c r="GZ73" s="1831"/>
      <c r="HA73" s="1831"/>
      <c r="HB73" s="1831"/>
      <c r="HC73" s="1831"/>
      <c r="HD73" s="1831"/>
      <c r="HE73" s="1831"/>
      <c r="HF73" s="1831"/>
      <c r="HG73" s="1831"/>
      <c r="HH73" s="1831"/>
      <c r="HI73" s="1831"/>
      <c r="HJ73" s="1831"/>
      <c r="HK73" s="1831"/>
      <c r="HL73" s="1831"/>
      <c r="HM73" s="1831"/>
      <c r="HN73" s="1831"/>
      <c r="HO73" s="1831"/>
      <c r="HP73" s="1831"/>
      <c r="HQ73" s="1831"/>
      <c r="HR73" s="1831"/>
      <c r="HS73" s="1831"/>
      <c r="HT73" s="1831"/>
      <c r="HU73" s="1831"/>
      <c r="HV73" s="1831"/>
      <c r="HW73" s="1831"/>
      <c r="HX73" s="1831"/>
      <c r="HY73" s="1831"/>
      <c r="HZ73" s="1831"/>
      <c r="IA73" s="1831"/>
      <c r="IB73" s="1831"/>
      <c r="IC73" s="1831"/>
      <c r="ID73" s="1831"/>
      <c r="IE73" s="1831"/>
      <c r="IF73" s="1831"/>
      <c r="IG73" s="1831"/>
      <c r="IH73" s="1831"/>
      <c r="II73" s="1831"/>
      <c r="IJ73" s="1831"/>
      <c r="IK73" s="1831"/>
      <c r="IL73" s="1831"/>
      <c r="IM73" s="1831"/>
      <c r="IN73" s="1831"/>
      <c r="IO73" s="1831"/>
      <c r="IP73" s="1831"/>
      <c r="IQ73" s="1831"/>
      <c r="IR73" s="1831"/>
      <c r="IS73" s="1831"/>
      <c r="IT73" s="1831"/>
      <c r="IU73" s="1831"/>
      <c r="IV73" s="1831"/>
      <c r="IW73" s="1831"/>
      <c r="IX73" s="1831"/>
      <c r="IY73" s="1831"/>
      <c r="IZ73" s="1831"/>
      <c r="JA73" s="1831"/>
      <c r="JB73" s="1831"/>
      <c r="JC73" s="1831"/>
      <c r="JD73" s="1831"/>
      <c r="JE73" s="1831"/>
      <c r="JF73" s="1831"/>
      <c r="JG73" s="1831"/>
      <c r="JH73" s="1831"/>
      <c r="JI73" s="1831"/>
      <c r="JJ73" s="1831"/>
      <c r="JK73" s="1831"/>
      <c r="JL73" s="1831"/>
      <c r="JM73" s="1831"/>
      <c r="JN73" s="1831"/>
      <c r="JO73" s="1831"/>
      <c r="JP73" s="1831"/>
      <c r="JQ73" s="1831"/>
      <c r="JR73" s="1831"/>
      <c r="JS73" s="1831"/>
      <c r="JT73" s="1831"/>
      <c r="JU73" s="1831"/>
      <c r="JV73" s="1831"/>
      <c r="JW73" s="1831"/>
      <c r="JX73" s="1831"/>
      <c r="JY73" s="1831"/>
      <c r="JZ73" s="1831"/>
      <c r="KA73" s="1831"/>
      <c r="KB73" s="1831"/>
      <c r="KC73" s="1831"/>
      <c r="KD73" s="1831"/>
      <c r="KE73" s="1831"/>
      <c r="KF73" s="1831"/>
      <c r="KG73" s="1831"/>
      <c r="KH73" s="1831"/>
      <c r="KI73" s="1831"/>
      <c r="KJ73" s="1831"/>
      <c r="KK73" s="1831"/>
      <c r="KL73" s="1831"/>
      <c r="KM73" s="1831"/>
      <c r="KN73" s="1831"/>
      <c r="KO73" s="1831"/>
      <c r="KP73" s="1831"/>
      <c r="KQ73" s="1831"/>
      <c r="KR73" s="1831"/>
      <c r="KS73" s="1831"/>
      <c r="KT73" s="1831"/>
      <c r="KU73" s="1831"/>
      <c r="KV73" s="1831"/>
      <c r="KW73" s="1831"/>
      <c r="KX73" s="1831"/>
      <c r="KY73" s="1831"/>
      <c r="KZ73" s="1831"/>
      <c r="LA73" s="1831"/>
      <c r="LB73" s="1831"/>
      <c r="LC73" s="1831"/>
      <c r="LD73" s="1831"/>
      <c r="LE73" s="1831"/>
      <c r="LF73" s="1831"/>
      <c r="LG73" s="1831"/>
      <c r="LH73" s="1831"/>
      <c r="LI73" s="1831"/>
      <c r="LJ73" s="1831"/>
      <c r="LK73" s="1831"/>
      <c r="LL73" s="1831"/>
      <c r="LM73" s="1831"/>
      <c r="LN73" s="1831"/>
      <c r="LO73" s="1831"/>
      <c r="LP73" s="1831"/>
      <c r="LQ73" s="1831"/>
      <c r="LR73" s="1831"/>
      <c r="LS73" s="1831"/>
      <c r="LT73" s="1831"/>
      <c r="LU73" s="1831"/>
      <c r="LV73" s="1831"/>
      <c r="LW73" s="1831"/>
      <c r="LX73" s="1831"/>
      <c r="LY73" s="1831"/>
      <c r="LZ73" s="1831"/>
      <c r="MA73" s="1831"/>
      <c r="MB73" s="1831"/>
      <c r="MC73" s="1831"/>
      <c r="MD73" s="1831"/>
      <c r="ME73" s="1831"/>
      <c r="MF73" s="1831"/>
      <c r="MG73" s="1831"/>
      <c r="MH73" s="1831"/>
      <c r="MI73" s="1831"/>
      <c r="MJ73" s="1831"/>
      <c r="MK73" s="1831"/>
      <c r="ML73" s="1831"/>
      <c r="MM73" s="1831"/>
      <c r="MN73" s="1831"/>
      <c r="MO73" s="1831"/>
      <c r="MP73" s="1831"/>
      <c r="MQ73" s="1831"/>
      <c r="MR73" s="1831"/>
      <c r="MS73" s="1831"/>
      <c r="MT73" s="1831"/>
      <c r="MU73" s="1831"/>
      <c r="MV73" s="157"/>
      <c r="MW73" s="157"/>
      <c r="MX73" s="157"/>
      <c r="MY73" s="157"/>
      <c r="MZ73" s="157"/>
      <c r="NA73" s="157"/>
      <c r="NB73" s="157"/>
      <c r="NC73" s="157"/>
      <c r="ND73" s="157"/>
      <c r="NE73" s="157"/>
      <c r="NF73" s="157"/>
      <c r="NG73" s="157"/>
      <c r="NH73" s="157"/>
      <c r="NI73" s="157"/>
      <c r="NJ73" s="157"/>
      <c r="NK73" s="157"/>
      <c r="NL73" s="157"/>
      <c r="NM73" s="157"/>
      <c r="NN73" s="157"/>
      <c r="NO73" s="157"/>
      <c r="NP73" s="2807"/>
      <c r="NQ73" s="157"/>
      <c r="NR73" s="157"/>
      <c r="NS73" s="157"/>
      <c r="NT73" s="157"/>
      <c r="NU73" s="157"/>
      <c r="NV73" s="157"/>
      <c r="NW73" s="157"/>
      <c r="NX73" s="157"/>
      <c r="NY73" s="157"/>
      <c r="NZ73" s="157"/>
      <c r="OA73" s="157"/>
      <c r="OB73" s="157"/>
      <c r="OC73" s="157"/>
      <c r="OD73" s="157"/>
      <c r="OE73" s="157"/>
      <c r="OF73" s="157"/>
      <c r="OG73" s="157"/>
      <c r="OH73" s="157"/>
      <c r="OI73" s="157"/>
      <c r="OJ73" s="157"/>
      <c r="OK73" s="157"/>
      <c r="OL73" s="157"/>
      <c r="OM73" s="157"/>
      <c r="ON73" s="157"/>
      <c r="OO73" s="157"/>
      <c r="OP73" s="157"/>
      <c r="OQ73" s="157"/>
      <c r="OR73" s="157"/>
      <c r="OS73" s="157"/>
      <c r="OT73" s="157"/>
      <c r="OU73" s="157"/>
      <c r="OV73" s="157"/>
      <c r="OW73" s="157"/>
      <c r="OX73" s="157"/>
      <c r="OY73" s="157"/>
      <c r="OZ73" s="157"/>
      <c r="PA73" s="157"/>
      <c r="PB73" s="157"/>
      <c r="PC73" s="157"/>
      <c r="PD73" s="157"/>
      <c r="PE73" s="157"/>
      <c r="PF73" s="157"/>
      <c r="PG73" s="157"/>
      <c r="PH73" s="157"/>
      <c r="PI73" s="157"/>
      <c r="PJ73" s="157"/>
      <c r="PK73" s="157"/>
      <c r="PL73" s="157"/>
      <c r="PM73" s="157"/>
      <c r="PN73" s="157"/>
      <c r="PO73" s="157"/>
      <c r="PP73" s="157"/>
      <c r="PQ73" s="157"/>
      <c r="PR73" s="157"/>
      <c r="PS73" s="157"/>
      <c r="PT73" s="157"/>
      <c r="PU73" s="157"/>
      <c r="PV73" s="157"/>
      <c r="PW73" s="157"/>
      <c r="PX73" s="157"/>
      <c r="PY73" s="157"/>
      <c r="PZ73" s="157"/>
      <c r="QA73" s="157"/>
      <c r="QB73" s="157"/>
      <c r="QC73" s="157"/>
      <c r="QD73" s="157"/>
      <c r="QE73" s="157"/>
      <c r="QF73" s="157"/>
      <c r="QG73" s="157"/>
      <c r="QH73" s="157"/>
      <c r="QI73" s="157"/>
      <c r="QJ73" s="157"/>
      <c r="QK73" s="157"/>
      <c r="QL73" s="157"/>
      <c r="QM73" s="157"/>
      <c r="QN73" s="157"/>
      <c r="QO73" s="157"/>
      <c r="QP73" s="157"/>
      <c r="QQ73" s="157"/>
      <c r="QR73" s="157"/>
      <c r="QS73" s="157"/>
      <c r="QT73" s="157"/>
      <c r="QU73" s="157"/>
      <c r="QV73" s="157"/>
      <c r="QW73" s="157"/>
      <c r="QX73" s="157"/>
      <c r="QY73" s="157"/>
      <c r="QZ73" s="157"/>
      <c r="RA73" s="157"/>
      <c r="RB73" s="157"/>
      <c r="RC73" s="157"/>
      <c r="RD73" s="157"/>
      <c r="RE73" s="157"/>
      <c r="RF73" s="157"/>
      <c r="RG73" s="157"/>
      <c r="RH73" s="157"/>
      <c r="RI73" s="157"/>
      <c r="RJ73" s="157"/>
      <c r="RK73" s="157"/>
      <c r="RL73" s="157"/>
      <c r="RM73" s="157"/>
      <c r="RN73" s="157"/>
      <c r="RO73" s="157"/>
      <c r="RP73" s="157"/>
      <c r="RQ73" s="157"/>
    </row>
    <row r="74" spans="1:485" s="27" customFormat="1">
      <c r="C74" s="1294"/>
      <c r="D74" s="3933"/>
      <c r="E74" s="3933"/>
      <c r="F74" s="3933"/>
      <c r="G74" s="8"/>
      <c r="H74" s="109" t="s">
        <v>6814</v>
      </c>
      <c r="I74" s="36"/>
      <c r="J74" s="1"/>
      <c r="K74" s="2913" t="str">
        <f>IF(OR(K57=0,P73="",K67=0),"",P73*K67)</f>
        <v/>
      </c>
      <c r="L74" s="2913" t="str">
        <f>IF(OR(L57=0,P73="",L67=0),"",P73*L67)</f>
        <v/>
      </c>
      <c r="M74" s="2913" t="str">
        <f>IF(OR(M57=0,P73="",M67=0),"",P73*M67)</f>
        <v/>
      </c>
      <c r="N74" s="2913" t="str">
        <f>IF(OR(N57=0,P73="",N67=0),"",P73*N67)</f>
        <v/>
      </c>
      <c r="O74" s="2913" t="str">
        <f>IF(OR(O57=0,P73="",O67=0),"",P73*O67)</f>
        <v/>
      </c>
      <c r="P74" s="2914" t="str">
        <f>IF(OR(P73="",P67=0),"",P73*P67)</f>
        <v/>
      </c>
      <c r="S74" s="3833"/>
      <c r="T74" s="3834"/>
      <c r="U74" s="3834"/>
      <c r="V74" s="3834"/>
      <c r="W74" s="3835"/>
      <c r="X74" s="1831"/>
      <c r="Y74" s="1831"/>
      <c r="Z74" s="1831"/>
      <c r="AA74" s="1831"/>
      <c r="AB74" s="1831"/>
      <c r="AC74" s="1831"/>
      <c r="AD74" s="1831"/>
      <c r="AE74" s="1831"/>
      <c r="AF74" s="1831"/>
      <c r="AG74" s="1831"/>
      <c r="AH74" s="1831"/>
      <c r="AI74" s="1831"/>
      <c r="AJ74" s="1831"/>
      <c r="AK74" s="1831"/>
      <c r="AL74" s="1831"/>
      <c r="AM74" s="1831"/>
      <c r="AN74" s="1831"/>
      <c r="AO74" s="1831"/>
      <c r="AP74" s="1831"/>
      <c r="AQ74" s="1831"/>
      <c r="AR74" s="1831"/>
      <c r="AS74" s="1831"/>
      <c r="AT74" s="1831"/>
      <c r="AU74" s="1831"/>
      <c r="AV74" s="1831"/>
      <c r="AW74" s="1831"/>
      <c r="AX74" s="1831"/>
      <c r="AY74" s="1831"/>
      <c r="AZ74" s="1831"/>
      <c r="BA74" s="1831"/>
      <c r="BB74" s="1831"/>
      <c r="BC74" s="1831"/>
      <c r="BD74" s="1831"/>
      <c r="BE74" s="1831"/>
      <c r="BF74" s="1831"/>
      <c r="BG74" s="1831"/>
      <c r="BH74" s="1831"/>
      <c r="BI74" s="1831"/>
      <c r="BJ74" s="1831"/>
      <c r="BK74" s="1831"/>
      <c r="BL74" s="1831"/>
      <c r="BM74" s="1831"/>
      <c r="BN74" s="1831"/>
      <c r="BO74" s="1831"/>
      <c r="BP74" s="1831"/>
      <c r="BQ74" s="1831"/>
      <c r="BR74" s="1831"/>
      <c r="BS74" s="1831"/>
      <c r="BT74" s="1831"/>
      <c r="BU74" s="1831"/>
      <c r="BV74" s="1831"/>
      <c r="BW74" s="1831"/>
      <c r="BX74" s="1831"/>
      <c r="BY74" s="1831"/>
      <c r="BZ74" s="1831"/>
      <c r="CA74" s="1831"/>
      <c r="CB74" s="1831"/>
      <c r="CC74" s="1831"/>
      <c r="CD74" s="1831"/>
      <c r="CE74" s="1831"/>
      <c r="CF74" s="1831"/>
      <c r="CG74" s="1831"/>
      <c r="CH74" s="1831"/>
      <c r="CI74" s="1831"/>
      <c r="CJ74" s="1831"/>
      <c r="CK74" s="1831"/>
      <c r="CL74" s="1831"/>
      <c r="CM74" s="1831"/>
      <c r="CN74" s="1831"/>
      <c r="CO74" s="1831"/>
      <c r="CP74" s="1831"/>
      <c r="CQ74" s="1831"/>
      <c r="CR74" s="1831"/>
      <c r="CS74" s="1831"/>
      <c r="CT74" s="1831"/>
      <c r="CU74" s="1831"/>
      <c r="CV74" s="1831"/>
      <c r="CW74" s="1831"/>
      <c r="CX74" s="1831"/>
      <c r="CY74" s="1831"/>
      <c r="CZ74" s="1831"/>
      <c r="DA74" s="1831"/>
      <c r="DB74" s="1831"/>
      <c r="DC74" s="1831"/>
      <c r="DD74" s="1831"/>
      <c r="DE74" s="1831"/>
      <c r="DF74" s="1831"/>
      <c r="DG74" s="1831"/>
      <c r="DH74" s="1831"/>
      <c r="DI74" s="1831"/>
      <c r="DJ74" s="1831"/>
      <c r="DK74" s="1831"/>
      <c r="DL74" s="1831"/>
      <c r="DM74" s="1831"/>
      <c r="DN74" s="1831"/>
      <c r="DO74" s="1831"/>
      <c r="DP74" s="1831"/>
      <c r="DQ74" s="1831"/>
      <c r="DR74" s="1831"/>
      <c r="DS74" s="1831"/>
      <c r="DT74" s="1831"/>
      <c r="DU74" s="1831"/>
      <c r="DV74" s="1831"/>
      <c r="DW74" s="1831"/>
      <c r="DX74" s="1831"/>
      <c r="DY74" s="1831"/>
      <c r="DZ74" s="1831"/>
      <c r="EA74" s="1831"/>
      <c r="EB74" s="1831"/>
      <c r="EC74" s="1831"/>
      <c r="ED74" s="1831"/>
      <c r="EE74" s="1831"/>
      <c r="EF74" s="1831"/>
      <c r="EG74" s="1831"/>
      <c r="EH74" s="1831"/>
      <c r="EI74" s="1831"/>
      <c r="EJ74" s="1831"/>
      <c r="EK74" s="1831"/>
      <c r="EL74" s="1831"/>
      <c r="EM74" s="1831"/>
      <c r="EN74" s="1831"/>
      <c r="EO74" s="1831"/>
      <c r="EP74" s="1831"/>
      <c r="EQ74" s="1831"/>
      <c r="ER74" s="1831"/>
      <c r="ES74" s="1831"/>
      <c r="ET74" s="1831"/>
      <c r="EU74" s="1831"/>
      <c r="EV74" s="1831"/>
      <c r="EW74" s="1831"/>
      <c r="EX74" s="1831"/>
      <c r="EY74" s="1831"/>
      <c r="EZ74" s="1831"/>
      <c r="FA74" s="1831"/>
      <c r="FB74" s="1831"/>
      <c r="FC74" s="1831"/>
      <c r="FD74" s="1831"/>
      <c r="FE74" s="1831"/>
      <c r="FF74" s="1831"/>
      <c r="FG74" s="1831"/>
      <c r="FH74" s="1831"/>
      <c r="FI74" s="1831"/>
      <c r="FJ74" s="1831"/>
      <c r="FK74" s="1831"/>
      <c r="FL74" s="1831"/>
      <c r="FM74" s="1831"/>
      <c r="FN74" s="1831"/>
      <c r="FO74" s="1831"/>
      <c r="FP74" s="1831"/>
      <c r="FQ74" s="1831"/>
      <c r="FR74" s="1831"/>
      <c r="FS74" s="1831"/>
      <c r="FT74" s="1831"/>
      <c r="FU74" s="1831"/>
      <c r="FV74" s="1831"/>
      <c r="FW74" s="1831"/>
      <c r="FX74" s="1831"/>
      <c r="FY74" s="1831"/>
      <c r="FZ74" s="1831"/>
      <c r="GA74" s="1831"/>
      <c r="GB74" s="1831"/>
      <c r="GC74" s="1831"/>
      <c r="GD74" s="1831"/>
      <c r="GE74" s="1831"/>
      <c r="GF74" s="1831"/>
      <c r="GG74" s="1831"/>
      <c r="GH74" s="1831"/>
      <c r="GI74" s="1831"/>
      <c r="GJ74" s="1831"/>
      <c r="GK74" s="1831"/>
      <c r="GL74" s="1831"/>
      <c r="GM74" s="1831"/>
      <c r="GN74" s="1831"/>
      <c r="GO74" s="1831"/>
      <c r="GP74" s="1831"/>
      <c r="GQ74" s="1831"/>
      <c r="GR74" s="1831"/>
      <c r="GS74" s="1831"/>
      <c r="GT74" s="1831"/>
      <c r="GU74" s="1831"/>
      <c r="GV74" s="1831"/>
      <c r="GW74" s="1831"/>
      <c r="GX74" s="1831"/>
      <c r="GY74" s="1831"/>
      <c r="GZ74" s="1831"/>
      <c r="HA74" s="1831"/>
      <c r="HB74" s="1831"/>
      <c r="HC74" s="1831"/>
      <c r="HD74" s="1831"/>
      <c r="HE74" s="1831"/>
      <c r="HF74" s="1831"/>
      <c r="HG74" s="1831"/>
      <c r="HH74" s="1831"/>
      <c r="HI74" s="1831"/>
      <c r="HJ74" s="1831"/>
      <c r="HK74" s="1831"/>
      <c r="HL74" s="1831"/>
      <c r="HM74" s="1831"/>
      <c r="HN74" s="1831"/>
      <c r="HO74" s="1831"/>
      <c r="HP74" s="1831"/>
      <c r="HQ74" s="1831"/>
      <c r="HR74" s="1831"/>
      <c r="HS74" s="1831"/>
      <c r="HT74" s="1831"/>
      <c r="HU74" s="1831"/>
      <c r="HV74" s="1831"/>
      <c r="HW74" s="1831"/>
      <c r="HX74" s="1831"/>
      <c r="HY74" s="1831"/>
      <c r="HZ74" s="1831"/>
      <c r="IA74" s="1831"/>
      <c r="IB74" s="1831"/>
      <c r="IC74" s="1831"/>
      <c r="ID74" s="1831"/>
      <c r="IE74" s="1831"/>
      <c r="IF74" s="1831"/>
      <c r="IG74" s="1831"/>
      <c r="IH74" s="1831"/>
      <c r="II74" s="1831"/>
      <c r="IJ74" s="1831"/>
      <c r="IK74" s="1831"/>
      <c r="IL74" s="1831"/>
      <c r="IM74" s="1831"/>
      <c r="IN74" s="1831"/>
      <c r="IO74" s="1831"/>
      <c r="IP74" s="1831"/>
      <c r="IQ74" s="1831"/>
      <c r="IR74" s="1831"/>
      <c r="IS74" s="1831"/>
      <c r="IT74" s="1831"/>
      <c r="IU74" s="1831"/>
      <c r="IV74" s="1831"/>
      <c r="IW74" s="1831"/>
      <c r="IX74" s="1831"/>
      <c r="IY74" s="1831"/>
      <c r="IZ74" s="1831"/>
      <c r="JA74" s="1831"/>
      <c r="JB74" s="1831"/>
      <c r="JC74" s="1831"/>
      <c r="JD74" s="1831"/>
      <c r="JE74" s="1831"/>
      <c r="JF74" s="1831"/>
      <c r="JG74" s="1831"/>
      <c r="JH74" s="1831"/>
      <c r="JI74" s="1831"/>
      <c r="JJ74" s="1831"/>
      <c r="JK74" s="1831"/>
      <c r="JL74" s="1831"/>
      <c r="JM74" s="1831"/>
      <c r="JN74" s="1831"/>
      <c r="JO74" s="1831"/>
      <c r="JP74" s="1831"/>
      <c r="JQ74" s="1831"/>
      <c r="JR74" s="1831"/>
      <c r="JS74" s="1831"/>
      <c r="JT74" s="1831"/>
      <c r="JU74" s="1831"/>
      <c r="JV74" s="1831"/>
      <c r="JW74" s="1831"/>
      <c r="JX74" s="1831"/>
      <c r="JY74" s="1831"/>
      <c r="JZ74" s="1831"/>
      <c r="KA74" s="1831"/>
      <c r="KB74" s="1831"/>
      <c r="KC74" s="1831"/>
      <c r="KD74" s="1831"/>
      <c r="KE74" s="1831"/>
      <c r="KF74" s="1831"/>
      <c r="KG74" s="1831"/>
      <c r="KH74" s="1831"/>
      <c r="KI74" s="1831"/>
      <c r="KJ74" s="1831"/>
      <c r="KK74" s="1831"/>
      <c r="KL74" s="1831"/>
      <c r="KM74" s="1831"/>
      <c r="KN74" s="1831"/>
      <c r="KO74" s="1831"/>
      <c r="KP74" s="1831"/>
      <c r="KQ74" s="1831"/>
      <c r="KR74" s="1831"/>
      <c r="KS74" s="1831"/>
      <c r="KT74" s="1831"/>
      <c r="KU74" s="1831"/>
      <c r="KV74" s="1831"/>
      <c r="KW74" s="1831"/>
      <c r="KX74" s="1831"/>
      <c r="KY74" s="1831"/>
      <c r="KZ74" s="1831"/>
      <c r="LA74" s="1831"/>
      <c r="LB74" s="1831"/>
      <c r="LC74" s="1831"/>
      <c r="LD74" s="1831"/>
      <c r="LE74" s="1831"/>
      <c r="LF74" s="1831"/>
      <c r="LG74" s="1831"/>
      <c r="LH74" s="1831"/>
      <c r="LI74" s="1831"/>
      <c r="LJ74" s="1831"/>
      <c r="LK74" s="1831"/>
      <c r="LL74" s="1831"/>
      <c r="LM74" s="1831"/>
      <c r="LN74" s="1831"/>
      <c r="LO74" s="1831"/>
      <c r="LP74" s="1831"/>
      <c r="LQ74" s="1831"/>
      <c r="LR74" s="1831"/>
      <c r="LS74" s="1831"/>
      <c r="LT74" s="1831"/>
      <c r="LU74" s="1831"/>
      <c r="LV74" s="1831"/>
      <c r="LW74" s="1831"/>
      <c r="LX74" s="1831"/>
      <c r="LY74" s="1831"/>
      <c r="LZ74" s="1831"/>
      <c r="MA74" s="1831"/>
      <c r="MB74" s="1831"/>
      <c r="MC74" s="1831"/>
      <c r="MD74" s="1831"/>
      <c r="ME74" s="1831"/>
      <c r="MF74" s="1831"/>
      <c r="MG74" s="1831"/>
      <c r="MH74" s="1831"/>
      <c r="MI74" s="1831"/>
      <c r="MJ74" s="1831"/>
      <c r="MK74" s="1831"/>
      <c r="ML74" s="1831"/>
      <c r="MM74" s="1831"/>
      <c r="MN74" s="1831"/>
      <c r="MO74" s="1831"/>
      <c r="MP74" s="1831"/>
      <c r="MQ74" s="1831"/>
      <c r="MR74" s="1831"/>
      <c r="MS74" s="1831"/>
      <c r="MT74" s="1831"/>
      <c r="MU74" s="1831"/>
      <c r="MV74" s="157"/>
      <c r="MW74" s="157"/>
      <c r="MX74" s="157"/>
      <c r="MY74" s="157"/>
      <c r="MZ74" s="157"/>
      <c r="NA74" s="157"/>
      <c r="NB74" s="157"/>
      <c r="NC74" s="157"/>
      <c r="ND74" s="157"/>
      <c r="NE74" s="157"/>
      <c r="NF74" s="157"/>
      <c r="NG74" s="157"/>
      <c r="NH74" s="157"/>
      <c r="NI74" s="157"/>
      <c r="NJ74" s="157"/>
      <c r="NK74" s="157"/>
      <c r="NL74" s="157"/>
      <c r="NM74" s="157"/>
      <c r="NN74" s="157"/>
      <c r="NO74" s="157"/>
      <c r="NP74" s="2807"/>
      <c r="NQ74" s="157"/>
      <c r="NR74" s="157"/>
      <c r="NS74" s="157"/>
      <c r="NT74" s="157"/>
      <c r="NU74" s="157"/>
      <c r="NV74" s="157"/>
      <c r="NW74" s="157"/>
      <c r="NX74" s="157"/>
      <c r="NY74" s="157"/>
      <c r="NZ74" s="157"/>
      <c r="OA74" s="157"/>
      <c r="OB74" s="157"/>
      <c r="OC74" s="157"/>
      <c r="OD74" s="157"/>
      <c r="OE74" s="157"/>
      <c r="OF74" s="157"/>
      <c r="OG74" s="157"/>
      <c r="OH74" s="157"/>
      <c r="OI74" s="157"/>
      <c r="OJ74" s="157"/>
      <c r="OK74" s="157"/>
      <c r="OL74" s="157"/>
      <c r="OM74" s="157"/>
      <c r="ON74" s="157"/>
      <c r="OO74" s="157"/>
      <c r="OP74" s="157"/>
      <c r="OQ74" s="157"/>
      <c r="OR74" s="157"/>
      <c r="OS74" s="157"/>
      <c r="OT74" s="157"/>
      <c r="OU74" s="157"/>
      <c r="OV74" s="157"/>
      <c r="OW74" s="157"/>
      <c r="OX74" s="157"/>
      <c r="OY74" s="157"/>
      <c r="OZ74" s="157"/>
      <c r="PA74" s="157"/>
      <c r="PB74" s="157"/>
      <c r="PC74" s="157"/>
      <c r="PD74" s="157"/>
      <c r="PE74" s="157"/>
      <c r="PF74" s="157"/>
      <c r="PG74" s="157"/>
      <c r="PH74" s="157"/>
      <c r="PI74" s="157"/>
      <c r="PJ74" s="157"/>
      <c r="PK74" s="157"/>
      <c r="PL74" s="157"/>
      <c r="PM74" s="157"/>
      <c r="PN74" s="157"/>
      <c r="PO74" s="157"/>
      <c r="PP74" s="157"/>
      <c r="PQ74" s="157"/>
      <c r="PR74" s="157"/>
      <c r="PS74" s="157"/>
      <c r="PT74" s="157"/>
      <c r="PU74" s="157"/>
      <c r="PV74" s="157"/>
      <c r="PW74" s="157"/>
      <c r="PX74" s="157"/>
      <c r="PY74" s="157"/>
      <c r="PZ74" s="157"/>
      <c r="QA74" s="157"/>
      <c r="QB74" s="157"/>
      <c r="QC74" s="157"/>
      <c r="QD74" s="157"/>
      <c r="QE74" s="157"/>
      <c r="QF74" s="157"/>
      <c r="QG74" s="157"/>
      <c r="QH74" s="157"/>
      <c r="QI74" s="157"/>
      <c r="QJ74" s="157"/>
      <c r="QK74" s="157"/>
      <c r="QL74" s="157"/>
      <c r="QM74" s="157"/>
      <c r="QN74" s="157"/>
      <c r="QO74" s="157"/>
      <c r="QP74" s="157"/>
      <c r="QQ74" s="157"/>
      <c r="QR74" s="157"/>
      <c r="QS74" s="157"/>
      <c r="QT74" s="157"/>
      <c r="QU74" s="157"/>
      <c r="QV74" s="157"/>
      <c r="QW74" s="157"/>
      <c r="QX74" s="157"/>
      <c r="QY74" s="157"/>
      <c r="QZ74" s="157"/>
      <c r="RA74" s="157"/>
      <c r="RB74" s="157"/>
      <c r="RC74" s="157"/>
      <c r="RD74" s="157"/>
      <c r="RE74" s="157"/>
      <c r="RF74" s="157"/>
      <c r="RG74" s="157"/>
      <c r="RH74" s="157"/>
      <c r="RI74" s="157"/>
      <c r="RJ74" s="157"/>
      <c r="RK74" s="157"/>
      <c r="RL74" s="157"/>
      <c r="RM74" s="157"/>
      <c r="RN74" s="157"/>
      <c r="RO74" s="157"/>
      <c r="RP74" s="157"/>
      <c r="RQ74" s="157"/>
    </row>
    <row r="75" spans="1:485" s="27" customFormat="1">
      <c r="C75" s="1294"/>
      <c r="D75" s="3933"/>
      <c r="E75" s="3933"/>
      <c r="F75" s="3933"/>
      <c r="G75" s="1579"/>
      <c r="H75" s="2915" t="s">
        <v>6815</v>
      </c>
      <c r="I75" s="2916"/>
      <c r="J75" s="1"/>
      <c r="K75" s="2917" t="str">
        <f t="shared" ref="K75:P75" si="355">IF(OR(K74="",K57=0),"", K57-K74)</f>
        <v/>
      </c>
      <c r="L75" s="2917" t="str">
        <f t="shared" si="355"/>
        <v/>
      </c>
      <c r="M75" s="2917" t="str">
        <f t="shared" si="355"/>
        <v/>
      </c>
      <c r="N75" s="2917" t="str">
        <f t="shared" si="355"/>
        <v/>
      </c>
      <c r="O75" s="2917" t="str">
        <f t="shared" si="355"/>
        <v/>
      </c>
      <c r="P75" s="2917" t="str">
        <f t="shared" si="355"/>
        <v/>
      </c>
      <c r="S75" s="3833"/>
      <c r="T75" s="3834"/>
      <c r="U75" s="3834"/>
      <c r="V75" s="3834"/>
      <c r="W75" s="3835"/>
      <c r="X75" s="1831"/>
      <c r="Y75" s="1831"/>
      <c r="Z75" s="1831"/>
      <c r="AA75" s="1831"/>
      <c r="AB75" s="1831"/>
      <c r="AC75" s="1831"/>
      <c r="AD75" s="1831"/>
      <c r="AE75" s="1831"/>
      <c r="AF75" s="1831"/>
      <c r="AG75" s="1831"/>
      <c r="AH75" s="1831"/>
      <c r="AI75" s="1831"/>
      <c r="AJ75" s="1831"/>
      <c r="AK75" s="1831"/>
      <c r="AL75" s="1831"/>
      <c r="AM75" s="1831"/>
      <c r="AN75" s="1831"/>
      <c r="AO75" s="1831"/>
      <c r="AP75" s="1831"/>
      <c r="AQ75" s="1831"/>
      <c r="AR75" s="1831"/>
      <c r="AS75" s="1831"/>
      <c r="AT75" s="1831"/>
      <c r="AU75" s="1831"/>
      <c r="AV75" s="1831"/>
      <c r="AW75" s="1831"/>
      <c r="AX75" s="1831"/>
      <c r="AY75" s="1831"/>
      <c r="AZ75" s="1831"/>
      <c r="BA75" s="1831"/>
      <c r="BB75" s="1831"/>
      <c r="BC75" s="1831"/>
      <c r="BD75" s="1831"/>
      <c r="BE75" s="1831"/>
      <c r="BF75" s="1831"/>
      <c r="BG75" s="1831"/>
      <c r="BH75" s="1831"/>
      <c r="BI75" s="1831"/>
      <c r="BJ75" s="1831"/>
      <c r="BK75" s="1831"/>
      <c r="BL75" s="1831"/>
      <c r="BM75" s="1831"/>
      <c r="BN75" s="1831"/>
      <c r="BO75" s="1831"/>
      <c r="BP75" s="1831"/>
      <c r="BQ75" s="1831"/>
      <c r="BR75" s="1831"/>
      <c r="BS75" s="1831"/>
      <c r="BT75" s="1831"/>
      <c r="BU75" s="1831"/>
      <c r="BV75" s="1831"/>
      <c r="BW75" s="1831"/>
      <c r="BX75" s="1831"/>
      <c r="BY75" s="1831"/>
      <c r="BZ75" s="1831"/>
      <c r="CA75" s="1831"/>
      <c r="CB75" s="1831"/>
      <c r="CC75" s="1831"/>
      <c r="CD75" s="1831"/>
      <c r="CE75" s="1831"/>
      <c r="CF75" s="1831"/>
      <c r="CG75" s="1831"/>
      <c r="CH75" s="1831"/>
      <c r="CI75" s="1831"/>
      <c r="CJ75" s="1831"/>
      <c r="CK75" s="1831"/>
      <c r="CL75" s="1831"/>
      <c r="CM75" s="1831"/>
      <c r="CN75" s="1831"/>
      <c r="CO75" s="1831"/>
      <c r="CP75" s="1831"/>
      <c r="CQ75" s="1831"/>
      <c r="CR75" s="1831"/>
      <c r="CS75" s="1831"/>
      <c r="CT75" s="1831"/>
      <c r="CU75" s="1831"/>
      <c r="CV75" s="1831"/>
      <c r="CW75" s="1831"/>
      <c r="CX75" s="1831"/>
      <c r="CY75" s="1831"/>
      <c r="CZ75" s="1831"/>
      <c r="DA75" s="1831"/>
      <c r="DB75" s="1831"/>
      <c r="DC75" s="1831"/>
      <c r="DD75" s="1831"/>
      <c r="DE75" s="1831"/>
      <c r="DF75" s="1831"/>
      <c r="DG75" s="1831"/>
      <c r="DH75" s="1831"/>
      <c r="DI75" s="1831"/>
      <c r="DJ75" s="1831"/>
      <c r="DK75" s="1831"/>
      <c r="DL75" s="1831"/>
      <c r="DM75" s="1831"/>
      <c r="DN75" s="1831"/>
      <c r="DO75" s="1831"/>
      <c r="DP75" s="1831"/>
      <c r="DQ75" s="1831"/>
      <c r="DR75" s="1831"/>
      <c r="DS75" s="1831"/>
      <c r="DT75" s="1831"/>
      <c r="DU75" s="1831"/>
      <c r="DV75" s="1831"/>
      <c r="DW75" s="1831"/>
      <c r="DX75" s="1831"/>
      <c r="DY75" s="1831"/>
      <c r="DZ75" s="1831"/>
      <c r="EA75" s="1831"/>
      <c r="EB75" s="1831"/>
      <c r="EC75" s="1831"/>
      <c r="ED75" s="1831"/>
      <c r="EE75" s="1831"/>
      <c r="EF75" s="1831"/>
      <c r="EG75" s="1831"/>
      <c r="EH75" s="1831"/>
      <c r="EI75" s="1831"/>
      <c r="EJ75" s="1831"/>
      <c r="EK75" s="1831"/>
      <c r="EL75" s="1831"/>
      <c r="EM75" s="1831"/>
      <c r="EN75" s="1831"/>
      <c r="EO75" s="1831"/>
      <c r="EP75" s="1831"/>
      <c r="EQ75" s="1831"/>
      <c r="ER75" s="1831"/>
      <c r="ES75" s="1831"/>
      <c r="ET75" s="1831"/>
      <c r="EU75" s="1831"/>
      <c r="EV75" s="1831"/>
      <c r="EW75" s="1831"/>
      <c r="EX75" s="1831"/>
      <c r="EY75" s="1831"/>
      <c r="EZ75" s="1831"/>
      <c r="FA75" s="1831"/>
      <c r="FB75" s="1831"/>
      <c r="FC75" s="1831"/>
      <c r="FD75" s="1831"/>
      <c r="FE75" s="1831"/>
      <c r="FF75" s="1831"/>
      <c r="FG75" s="1831"/>
      <c r="FH75" s="1831"/>
      <c r="FI75" s="1831"/>
      <c r="FJ75" s="1831"/>
      <c r="FK75" s="1831"/>
      <c r="FL75" s="1831"/>
      <c r="FM75" s="1831"/>
      <c r="FN75" s="1831"/>
      <c r="FO75" s="1831"/>
      <c r="FP75" s="1831"/>
      <c r="FQ75" s="1831"/>
      <c r="FR75" s="1831"/>
      <c r="FS75" s="1831"/>
      <c r="FT75" s="1831"/>
      <c r="FU75" s="1831"/>
      <c r="FV75" s="1831"/>
      <c r="FW75" s="1831"/>
      <c r="FX75" s="1831"/>
      <c r="FY75" s="1831"/>
      <c r="FZ75" s="1831"/>
      <c r="GA75" s="1831"/>
      <c r="GB75" s="1831"/>
      <c r="GC75" s="1831"/>
      <c r="GD75" s="1831"/>
      <c r="GE75" s="1831"/>
      <c r="GF75" s="1831"/>
      <c r="GG75" s="1831"/>
      <c r="GH75" s="1831"/>
      <c r="GI75" s="1831"/>
      <c r="GJ75" s="1831"/>
      <c r="GK75" s="1831"/>
      <c r="GL75" s="1831"/>
      <c r="GM75" s="1831"/>
      <c r="GN75" s="1831"/>
      <c r="GO75" s="1831"/>
      <c r="GP75" s="1831"/>
      <c r="GQ75" s="1831"/>
      <c r="GR75" s="1831"/>
      <c r="GS75" s="1831"/>
      <c r="GT75" s="1831"/>
      <c r="GU75" s="1831"/>
      <c r="GV75" s="1831"/>
      <c r="GW75" s="1831"/>
      <c r="GX75" s="1831"/>
      <c r="GY75" s="1831"/>
      <c r="GZ75" s="1831"/>
      <c r="HA75" s="1831"/>
      <c r="HB75" s="1831"/>
      <c r="HC75" s="1831"/>
      <c r="HD75" s="1831"/>
      <c r="HE75" s="1831"/>
      <c r="HF75" s="1831"/>
      <c r="HG75" s="1831"/>
      <c r="HH75" s="1831"/>
      <c r="HI75" s="1831"/>
      <c r="HJ75" s="1831"/>
      <c r="HK75" s="1831"/>
      <c r="HL75" s="1831"/>
      <c r="HM75" s="1831"/>
      <c r="HN75" s="1831"/>
      <c r="HO75" s="1831"/>
      <c r="HP75" s="1831"/>
      <c r="HQ75" s="1831"/>
      <c r="HR75" s="1831"/>
      <c r="HS75" s="1831"/>
      <c r="HT75" s="1831"/>
      <c r="HU75" s="1831"/>
      <c r="HV75" s="1831"/>
      <c r="HW75" s="1831"/>
      <c r="HX75" s="1831"/>
      <c r="HY75" s="1831"/>
      <c r="HZ75" s="1831"/>
      <c r="IA75" s="1831"/>
      <c r="IB75" s="1831"/>
      <c r="IC75" s="1831"/>
      <c r="ID75" s="1831"/>
      <c r="IE75" s="1831"/>
      <c r="IF75" s="1831"/>
      <c r="IG75" s="1831"/>
      <c r="IH75" s="1831"/>
      <c r="II75" s="1831"/>
      <c r="IJ75" s="1831"/>
      <c r="IK75" s="1831"/>
      <c r="IL75" s="1831"/>
      <c r="IM75" s="1831"/>
      <c r="IN75" s="1831"/>
      <c r="IO75" s="1831"/>
      <c r="IP75" s="1831"/>
      <c r="IQ75" s="1831"/>
      <c r="IR75" s="1831"/>
      <c r="IS75" s="1831"/>
      <c r="IT75" s="1831"/>
      <c r="IU75" s="1831"/>
      <c r="IV75" s="1831"/>
      <c r="IW75" s="1831"/>
      <c r="IX75" s="1831"/>
      <c r="IY75" s="1831"/>
      <c r="IZ75" s="1831"/>
      <c r="JA75" s="1831"/>
      <c r="JB75" s="1831"/>
      <c r="JC75" s="1831"/>
      <c r="JD75" s="1831"/>
      <c r="JE75" s="1831"/>
      <c r="JF75" s="1831"/>
      <c r="JG75" s="1831"/>
      <c r="JH75" s="1831"/>
      <c r="JI75" s="1831"/>
      <c r="JJ75" s="1831"/>
      <c r="JK75" s="1831"/>
      <c r="JL75" s="1831"/>
      <c r="JM75" s="1831"/>
      <c r="JN75" s="1831"/>
      <c r="JO75" s="1831"/>
      <c r="JP75" s="1831"/>
      <c r="JQ75" s="1831"/>
      <c r="JR75" s="1831"/>
      <c r="JS75" s="1831"/>
      <c r="JT75" s="1831"/>
      <c r="JU75" s="1831"/>
      <c r="JV75" s="1831"/>
      <c r="JW75" s="1831"/>
      <c r="JX75" s="1831"/>
      <c r="JY75" s="1831"/>
      <c r="JZ75" s="1831"/>
      <c r="KA75" s="1831"/>
      <c r="KB75" s="1831"/>
      <c r="KC75" s="1831"/>
      <c r="KD75" s="1831"/>
      <c r="KE75" s="1831"/>
      <c r="KF75" s="1831"/>
      <c r="KG75" s="1831"/>
      <c r="KH75" s="1831"/>
      <c r="KI75" s="1831"/>
      <c r="KJ75" s="1831"/>
      <c r="KK75" s="1831"/>
      <c r="KL75" s="1831"/>
      <c r="KM75" s="1831"/>
      <c r="KN75" s="1831"/>
      <c r="KO75" s="1831"/>
      <c r="KP75" s="1831"/>
      <c r="KQ75" s="1831"/>
      <c r="KR75" s="1831"/>
      <c r="KS75" s="1831"/>
      <c r="KT75" s="1831"/>
      <c r="KU75" s="1831"/>
      <c r="KV75" s="1831"/>
      <c r="KW75" s="1831"/>
      <c r="KX75" s="1831"/>
      <c r="KY75" s="1831"/>
      <c r="KZ75" s="1831"/>
      <c r="LA75" s="1831"/>
      <c r="LB75" s="1831"/>
      <c r="LC75" s="1831"/>
      <c r="LD75" s="1831"/>
      <c r="LE75" s="1831"/>
      <c r="LF75" s="1831"/>
      <c r="LG75" s="1831"/>
      <c r="LH75" s="1831"/>
      <c r="LI75" s="1831"/>
      <c r="LJ75" s="1831"/>
      <c r="LK75" s="1831"/>
      <c r="LL75" s="1831"/>
      <c r="LM75" s="1831"/>
      <c r="LN75" s="1831"/>
      <c r="LO75" s="1831"/>
      <c r="LP75" s="1831"/>
      <c r="LQ75" s="1831"/>
      <c r="LR75" s="1831"/>
      <c r="LS75" s="1831"/>
      <c r="LT75" s="1831"/>
      <c r="LU75" s="1831"/>
      <c r="LV75" s="1831"/>
      <c r="LW75" s="1831"/>
      <c r="LX75" s="1831"/>
      <c r="LY75" s="1831"/>
      <c r="LZ75" s="1831"/>
      <c r="MA75" s="1831"/>
      <c r="MB75" s="1831"/>
      <c r="MC75" s="1831"/>
      <c r="MD75" s="1831"/>
      <c r="ME75" s="1831"/>
      <c r="MF75" s="1831"/>
      <c r="MG75" s="1831"/>
      <c r="MH75" s="1831"/>
      <c r="MI75" s="1831"/>
      <c r="MJ75" s="1831"/>
      <c r="MK75" s="1831"/>
      <c r="ML75" s="1831"/>
      <c r="MM75" s="1831"/>
      <c r="MN75" s="1831"/>
      <c r="MO75" s="1831"/>
      <c r="MP75" s="1831"/>
      <c r="MQ75" s="1831"/>
      <c r="MR75" s="1831"/>
      <c r="MS75" s="1831"/>
      <c r="MT75" s="1831"/>
      <c r="MU75" s="1831"/>
      <c r="MV75" s="157"/>
      <c r="MW75" s="157"/>
      <c r="MX75" s="157"/>
      <c r="MY75" s="157"/>
      <c r="MZ75" s="157"/>
      <c r="NA75" s="157"/>
      <c r="NB75" s="157"/>
      <c r="NC75" s="157"/>
      <c r="ND75" s="157"/>
      <c r="NE75" s="157"/>
      <c r="NF75" s="157"/>
      <c r="NG75" s="157"/>
      <c r="NH75" s="157"/>
      <c r="NI75" s="157"/>
      <c r="NJ75" s="157"/>
      <c r="NK75" s="157"/>
      <c r="NL75" s="157"/>
      <c r="NM75" s="157"/>
      <c r="NN75" s="157"/>
      <c r="NO75" s="157"/>
      <c r="NP75" s="2807"/>
      <c r="NQ75" s="157"/>
      <c r="NR75" s="157"/>
      <c r="NS75" s="157"/>
      <c r="NT75" s="157"/>
      <c r="NU75" s="157"/>
      <c r="NV75" s="157"/>
      <c r="NW75" s="157"/>
      <c r="NX75" s="157"/>
      <c r="NY75" s="157"/>
      <c r="NZ75" s="157"/>
      <c r="OA75" s="157"/>
      <c r="OB75" s="157"/>
      <c r="OC75" s="157"/>
      <c r="OD75" s="157"/>
      <c r="OE75" s="157"/>
      <c r="OF75" s="157"/>
      <c r="OG75" s="157"/>
      <c r="OH75" s="157"/>
      <c r="OI75" s="157"/>
      <c r="OJ75" s="157"/>
      <c r="OK75" s="157"/>
      <c r="OL75" s="157"/>
      <c r="OM75" s="157"/>
      <c r="ON75" s="157"/>
      <c r="OO75" s="157"/>
      <c r="OP75" s="157"/>
      <c r="OQ75" s="157"/>
      <c r="OR75" s="157"/>
      <c r="OS75" s="157"/>
      <c r="OT75" s="157"/>
      <c r="OU75" s="157"/>
      <c r="OV75" s="157"/>
      <c r="OW75" s="157"/>
      <c r="OX75" s="157"/>
      <c r="OY75" s="157"/>
      <c r="OZ75" s="157"/>
      <c r="PA75" s="157"/>
      <c r="PB75" s="157"/>
      <c r="PC75" s="157"/>
      <c r="PD75" s="157"/>
      <c r="PE75" s="157"/>
      <c r="PF75" s="157"/>
      <c r="PG75" s="157"/>
      <c r="PH75" s="157"/>
      <c r="PI75" s="157"/>
      <c r="PJ75" s="157"/>
      <c r="PK75" s="157"/>
      <c r="PL75" s="157"/>
      <c r="PM75" s="157"/>
      <c r="PN75" s="157"/>
      <c r="PO75" s="157"/>
      <c r="PP75" s="157"/>
      <c r="PQ75" s="157"/>
      <c r="PR75" s="157"/>
      <c r="PS75" s="157"/>
      <c r="PT75" s="157"/>
      <c r="PU75" s="157"/>
      <c r="PV75" s="157"/>
      <c r="PW75" s="157"/>
      <c r="PX75" s="157"/>
      <c r="PY75" s="157"/>
      <c r="PZ75" s="157"/>
      <c r="QA75" s="157"/>
      <c r="QB75" s="157"/>
      <c r="QC75" s="157"/>
      <c r="QD75" s="157"/>
      <c r="QE75" s="157"/>
      <c r="QF75" s="157"/>
      <c r="QG75" s="157"/>
      <c r="QH75" s="157"/>
      <c r="QI75" s="157"/>
      <c r="QJ75" s="157"/>
      <c r="QK75" s="157"/>
      <c r="QL75" s="157"/>
      <c r="QM75" s="157"/>
      <c r="QN75" s="157"/>
      <c r="QO75" s="157"/>
      <c r="QP75" s="157"/>
      <c r="QQ75" s="157"/>
      <c r="QR75" s="157"/>
      <c r="QS75" s="157"/>
      <c r="QT75" s="157"/>
      <c r="QU75" s="157"/>
      <c r="QV75" s="157"/>
      <c r="QW75" s="157"/>
      <c r="QX75" s="157"/>
      <c r="QY75" s="157"/>
      <c r="QZ75" s="157"/>
      <c r="RA75" s="157"/>
      <c r="RB75" s="157"/>
      <c r="RC75" s="157"/>
      <c r="RD75" s="157"/>
      <c r="RE75" s="157"/>
      <c r="RF75" s="157"/>
      <c r="RG75" s="157"/>
      <c r="RH75" s="157"/>
      <c r="RI75" s="157"/>
      <c r="RJ75" s="157"/>
      <c r="RK75" s="157"/>
      <c r="RL75" s="157"/>
      <c r="RM75" s="157"/>
      <c r="RN75" s="157"/>
      <c r="RO75" s="157"/>
      <c r="RP75" s="157"/>
      <c r="RQ75" s="157"/>
    </row>
    <row r="76" spans="1:485" s="27" customFormat="1">
      <c r="B76" s="115"/>
      <c r="C76" s="202" t="s">
        <v>4273</v>
      </c>
      <c r="D76" s="3933"/>
      <c r="E76" s="3933"/>
      <c r="F76" s="3933"/>
      <c r="G76" s="8"/>
      <c r="H76" s="109" t="s">
        <v>1107</v>
      </c>
      <c r="I76" s="36"/>
      <c r="J76" s="1"/>
      <c r="K76" s="2920" t="str">
        <f t="shared" ref="K76:P76" si="356">IF(OR(K58=0,K67=0),"",K58/K67)</f>
        <v/>
      </c>
      <c r="L76" s="2921">
        <f t="shared" si="356"/>
        <v>0.8125</v>
      </c>
      <c r="M76" s="2921">
        <f t="shared" si="356"/>
        <v>0.94444444444444442</v>
      </c>
      <c r="N76" s="2921">
        <f t="shared" si="356"/>
        <v>0.85</v>
      </c>
      <c r="O76" s="2921" t="str">
        <f t="shared" si="356"/>
        <v/>
      </c>
      <c r="P76" s="2922">
        <f t="shared" si="356"/>
        <v>0.88888888888888884</v>
      </c>
      <c r="S76" s="3833"/>
      <c r="T76" s="3834"/>
      <c r="U76" s="3834"/>
      <c r="V76" s="3834"/>
      <c r="W76" s="3835"/>
      <c r="X76" s="1831"/>
      <c r="Y76" s="1831"/>
      <c r="Z76" s="1831"/>
      <c r="AA76" s="1831"/>
      <c r="AB76" s="1831"/>
      <c r="AC76" s="1831"/>
      <c r="AD76" s="1831"/>
      <c r="AE76" s="1831"/>
      <c r="AF76" s="1831"/>
      <c r="AG76" s="1831"/>
      <c r="AH76" s="1831"/>
      <c r="AI76" s="1831"/>
      <c r="AJ76" s="1831"/>
      <c r="AK76" s="1831"/>
      <c r="AL76" s="1831"/>
      <c r="AM76" s="1831"/>
      <c r="AN76" s="1831"/>
      <c r="AO76" s="1831"/>
      <c r="AP76" s="1831"/>
      <c r="AQ76" s="1831"/>
      <c r="AR76" s="1831"/>
      <c r="AS76" s="1831"/>
      <c r="AT76" s="1831"/>
      <c r="AU76" s="1831"/>
      <c r="AV76" s="1831"/>
      <c r="AW76" s="1831"/>
      <c r="AX76" s="1831"/>
      <c r="AY76" s="1831"/>
      <c r="AZ76" s="1831"/>
      <c r="BA76" s="1831"/>
      <c r="BB76" s="1831"/>
      <c r="BC76" s="1831"/>
      <c r="BD76" s="1831"/>
      <c r="BE76" s="1831"/>
      <c r="BF76" s="1831"/>
      <c r="BG76" s="1831"/>
      <c r="BH76" s="1831"/>
      <c r="BI76" s="1831"/>
      <c r="BJ76" s="1831"/>
      <c r="BK76" s="1831"/>
      <c r="BL76" s="1831"/>
      <c r="BM76" s="1831"/>
      <c r="BN76" s="1831"/>
      <c r="BO76" s="1831"/>
      <c r="BP76" s="1831"/>
      <c r="BQ76" s="1831"/>
      <c r="BR76" s="1831"/>
      <c r="BS76" s="1831"/>
      <c r="BT76" s="1831"/>
      <c r="BU76" s="1831"/>
      <c r="BV76" s="1831"/>
      <c r="BW76" s="1831"/>
      <c r="BX76" s="1831"/>
      <c r="BY76" s="1831"/>
      <c r="BZ76" s="1831"/>
      <c r="CA76" s="1831"/>
      <c r="CB76" s="1831"/>
      <c r="CC76" s="1831"/>
      <c r="CD76" s="1831"/>
      <c r="CE76" s="1831"/>
      <c r="CF76" s="1831"/>
      <c r="CG76" s="1831"/>
      <c r="CH76" s="1831"/>
      <c r="CI76" s="1831"/>
      <c r="CJ76" s="1831"/>
      <c r="CK76" s="1831"/>
      <c r="CL76" s="1831"/>
      <c r="CM76" s="1831"/>
      <c r="CN76" s="1831"/>
      <c r="CO76" s="1831"/>
      <c r="CP76" s="1831"/>
      <c r="CQ76" s="1831"/>
      <c r="CR76" s="1831"/>
      <c r="CS76" s="1831"/>
      <c r="CT76" s="1831"/>
      <c r="CU76" s="1831"/>
      <c r="CV76" s="1831"/>
      <c r="CW76" s="1831"/>
      <c r="CX76" s="1831"/>
      <c r="CY76" s="1831"/>
      <c r="CZ76" s="1831"/>
      <c r="DA76" s="1831"/>
      <c r="DB76" s="1831"/>
      <c r="DC76" s="1831"/>
      <c r="DD76" s="1831"/>
      <c r="DE76" s="1831"/>
      <c r="DF76" s="1831"/>
      <c r="DG76" s="1831"/>
      <c r="DH76" s="1831"/>
      <c r="DI76" s="1831"/>
      <c r="DJ76" s="1831"/>
      <c r="DK76" s="1831"/>
      <c r="DL76" s="1831"/>
      <c r="DM76" s="1831"/>
      <c r="DN76" s="1831"/>
      <c r="DO76" s="1831"/>
      <c r="DP76" s="1831"/>
      <c r="DQ76" s="1831"/>
      <c r="DR76" s="1831"/>
      <c r="DS76" s="1831"/>
      <c r="DT76" s="1831"/>
      <c r="DU76" s="1831"/>
      <c r="DV76" s="1831"/>
      <c r="DW76" s="1831"/>
      <c r="DX76" s="1831"/>
      <c r="DY76" s="1831"/>
      <c r="DZ76" s="1831"/>
      <c r="EA76" s="1831"/>
      <c r="EB76" s="1831"/>
      <c r="EC76" s="1831"/>
      <c r="ED76" s="1831"/>
      <c r="EE76" s="1831"/>
      <c r="EF76" s="1831"/>
      <c r="EG76" s="1831"/>
      <c r="EH76" s="1831"/>
      <c r="EI76" s="1831"/>
      <c r="EJ76" s="1831"/>
      <c r="EK76" s="1831"/>
      <c r="EL76" s="1831"/>
      <c r="EM76" s="1831"/>
      <c r="EN76" s="1831"/>
      <c r="EO76" s="1831"/>
      <c r="EP76" s="1831"/>
      <c r="EQ76" s="1831"/>
      <c r="ER76" s="1831"/>
      <c r="ES76" s="1831"/>
      <c r="ET76" s="1831"/>
      <c r="EU76" s="1831"/>
      <c r="EV76" s="1831"/>
      <c r="EW76" s="1831"/>
      <c r="EX76" s="1831"/>
      <c r="EY76" s="1831"/>
      <c r="EZ76" s="1831"/>
      <c r="FA76" s="1831"/>
      <c r="FB76" s="1831"/>
      <c r="FC76" s="1831"/>
      <c r="FD76" s="1831"/>
      <c r="FE76" s="1831"/>
      <c r="FF76" s="1831"/>
      <c r="FG76" s="1831"/>
      <c r="FH76" s="1831"/>
      <c r="FI76" s="1831"/>
      <c r="FJ76" s="1831"/>
      <c r="FK76" s="1831"/>
      <c r="FL76" s="1831"/>
      <c r="FM76" s="1831"/>
      <c r="FN76" s="1831"/>
      <c r="FO76" s="1831"/>
      <c r="FP76" s="1831"/>
      <c r="FQ76" s="1831"/>
      <c r="FR76" s="1831"/>
      <c r="FS76" s="1831"/>
      <c r="FT76" s="1831"/>
      <c r="FU76" s="1831"/>
      <c r="FV76" s="1831"/>
      <c r="FW76" s="1831"/>
      <c r="FX76" s="1831"/>
      <c r="FY76" s="1831"/>
      <c r="FZ76" s="1831"/>
      <c r="GA76" s="1831"/>
      <c r="GB76" s="1831"/>
      <c r="GC76" s="1831"/>
      <c r="GD76" s="1831"/>
      <c r="GE76" s="1831"/>
      <c r="GF76" s="1831"/>
      <c r="GG76" s="1831"/>
      <c r="GH76" s="1831"/>
      <c r="GI76" s="1831"/>
      <c r="GJ76" s="1831"/>
      <c r="GK76" s="1831"/>
      <c r="GL76" s="1831"/>
      <c r="GM76" s="1831"/>
      <c r="GN76" s="1831"/>
      <c r="GO76" s="1831"/>
      <c r="GP76" s="1831"/>
      <c r="GQ76" s="1831"/>
      <c r="GR76" s="1831"/>
      <c r="GS76" s="1831"/>
      <c r="GT76" s="1831"/>
      <c r="GU76" s="1831"/>
      <c r="GV76" s="1831"/>
      <c r="GW76" s="1831"/>
      <c r="GX76" s="1831"/>
      <c r="GY76" s="1831"/>
      <c r="GZ76" s="1831"/>
      <c r="HA76" s="1831"/>
      <c r="HB76" s="1831"/>
      <c r="HC76" s="1831"/>
      <c r="HD76" s="1831"/>
      <c r="HE76" s="1831"/>
      <c r="HF76" s="1831"/>
      <c r="HG76" s="1831"/>
      <c r="HH76" s="1831"/>
      <c r="HI76" s="1831"/>
      <c r="HJ76" s="1831"/>
      <c r="HK76" s="1831"/>
      <c r="HL76" s="1831"/>
      <c r="HM76" s="1831"/>
      <c r="HN76" s="1831"/>
      <c r="HO76" s="1831"/>
      <c r="HP76" s="1831"/>
      <c r="HQ76" s="1831"/>
      <c r="HR76" s="1831"/>
      <c r="HS76" s="1831"/>
      <c r="HT76" s="1831"/>
      <c r="HU76" s="1831"/>
      <c r="HV76" s="1831"/>
      <c r="HW76" s="1831"/>
      <c r="HX76" s="1831"/>
      <c r="HY76" s="1831"/>
      <c r="HZ76" s="1831"/>
      <c r="IA76" s="1831"/>
      <c r="IB76" s="1831"/>
      <c r="IC76" s="1831"/>
      <c r="ID76" s="1831"/>
      <c r="IE76" s="1831"/>
      <c r="IF76" s="1831"/>
      <c r="IG76" s="1831"/>
      <c r="IH76" s="1831"/>
      <c r="II76" s="1831"/>
      <c r="IJ76" s="1831"/>
      <c r="IK76" s="1831"/>
      <c r="IL76" s="1831"/>
      <c r="IM76" s="1831"/>
      <c r="IN76" s="1831"/>
      <c r="IO76" s="1831"/>
      <c r="IP76" s="1831"/>
      <c r="IQ76" s="1831"/>
      <c r="IR76" s="1831"/>
      <c r="IS76" s="1831"/>
      <c r="IT76" s="1831"/>
      <c r="IU76" s="1831"/>
      <c r="IV76" s="1831"/>
      <c r="IW76" s="1831"/>
      <c r="IX76" s="1831"/>
      <c r="IY76" s="1831"/>
      <c r="IZ76" s="1831"/>
      <c r="JA76" s="1831"/>
      <c r="JB76" s="1831"/>
      <c r="JC76" s="1831"/>
      <c r="JD76" s="1831"/>
      <c r="JE76" s="1831"/>
      <c r="JF76" s="1831"/>
      <c r="JG76" s="1831"/>
      <c r="JH76" s="1831"/>
      <c r="JI76" s="1831"/>
      <c r="JJ76" s="1831"/>
      <c r="JK76" s="1831"/>
      <c r="JL76" s="1831"/>
      <c r="JM76" s="1831"/>
      <c r="JN76" s="1831"/>
      <c r="JO76" s="1831"/>
      <c r="JP76" s="1831"/>
      <c r="JQ76" s="1831"/>
      <c r="JR76" s="1831"/>
      <c r="JS76" s="1831"/>
      <c r="JT76" s="1831"/>
      <c r="JU76" s="1831"/>
      <c r="JV76" s="1831"/>
      <c r="JW76" s="1831"/>
      <c r="JX76" s="1831"/>
      <c r="JY76" s="1831"/>
      <c r="JZ76" s="1831"/>
      <c r="KA76" s="1831"/>
      <c r="KB76" s="1831"/>
      <c r="KC76" s="1831"/>
      <c r="KD76" s="1831"/>
      <c r="KE76" s="1831"/>
      <c r="KF76" s="1831"/>
      <c r="KG76" s="1831"/>
      <c r="KH76" s="1831"/>
      <c r="KI76" s="1831"/>
      <c r="KJ76" s="1831"/>
      <c r="KK76" s="1831"/>
      <c r="KL76" s="1831"/>
      <c r="KM76" s="1831"/>
      <c r="KN76" s="1831"/>
      <c r="KO76" s="1831"/>
      <c r="KP76" s="1831"/>
      <c r="KQ76" s="1831"/>
      <c r="KR76" s="1831"/>
      <c r="KS76" s="1831"/>
      <c r="KT76" s="1831"/>
      <c r="KU76" s="1831"/>
      <c r="KV76" s="1831"/>
      <c r="KW76" s="1831"/>
      <c r="KX76" s="1831"/>
      <c r="KY76" s="1831"/>
      <c r="KZ76" s="1831"/>
      <c r="LA76" s="1831"/>
      <c r="LB76" s="1831"/>
      <c r="LC76" s="1831"/>
      <c r="LD76" s="1831"/>
      <c r="LE76" s="1831"/>
      <c r="LF76" s="1831"/>
      <c r="LG76" s="1831"/>
      <c r="LH76" s="1831"/>
      <c r="LI76" s="1831"/>
      <c r="LJ76" s="1831"/>
      <c r="LK76" s="1831"/>
      <c r="LL76" s="1831"/>
      <c r="LM76" s="1831"/>
      <c r="LN76" s="1831"/>
      <c r="LO76" s="1831"/>
      <c r="LP76" s="1831"/>
      <c r="LQ76" s="1831"/>
      <c r="LR76" s="1831"/>
      <c r="LS76" s="1831"/>
      <c r="LT76" s="1831"/>
      <c r="LU76" s="1831"/>
      <c r="LV76" s="1831"/>
      <c r="LW76" s="1831"/>
      <c r="LX76" s="1831"/>
      <c r="LY76" s="1831"/>
      <c r="LZ76" s="1831"/>
      <c r="MA76" s="1831"/>
      <c r="MB76" s="1831"/>
      <c r="MC76" s="1831"/>
      <c r="MD76" s="1831"/>
      <c r="ME76" s="1831"/>
      <c r="MF76" s="1831"/>
      <c r="MG76" s="1831"/>
      <c r="MH76" s="1831"/>
      <c r="MI76" s="1831"/>
      <c r="MJ76" s="1831"/>
      <c r="MK76" s="1831"/>
      <c r="ML76" s="1831"/>
      <c r="MM76" s="1831"/>
      <c r="MN76" s="1831"/>
      <c r="MO76" s="1831"/>
      <c r="MP76" s="1831"/>
      <c r="MQ76" s="1831"/>
      <c r="MR76" s="1831"/>
      <c r="MS76" s="1831"/>
      <c r="MT76" s="1831"/>
      <c r="MU76" s="1831"/>
      <c r="MV76" s="157"/>
      <c r="MW76" s="157"/>
      <c r="MX76" s="157"/>
      <c r="MY76" s="157"/>
      <c r="MZ76" s="157"/>
      <c r="NA76" s="157"/>
      <c r="NB76" s="157"/>
      <c r="NC76" s="157"/>
      <c r="ND76" s="157"/>
      <c r="NE76" s="157"/>
      <c r="NF76" s="157"/>
      <c r="NG76" s="157"/>
      <c r="NH76" s="157"/>
      <c r="NI76" s="157"/>
      <c r="NJ76" s="157"/>
      <c r="NK76" s="157"/>
      <c r="NL76" s="157"/>
      <c r="NM76" s="157"/>
      <c r="NN76" s="157"/>
      <c r="NO76" s="157"/>
      <c r="NP76" s="2807"/>
      <c r="NQ76" s="157"/>
      <c r="NR76" s="157"/>
      <c r="NS76" s="157"/>
      <c r="NT76" s="157"/>
      <c r="NU76" s="157"/>
      <c r="NV76" s="157"/>
      <c r="NW76" s="157"/>
      <c r="NX76" s="157"/>
      <c r="NY76" s="157"/>
      <c r="NZ76" s="157"/>
      <c r="OA76" s="157"/>
      <c r="OB76" s="157"/>
      <c r="OC76" s="157"/>
      <c r="OD76" s="157"/>
      <c r="OE76" s="157"/>
      <c r="OF76" s="157"/>
      <c r="OG76" s="157"/>
      <c r="OH76" s="157"/>
      <c r="OI76" s="157"/>
      <c r="OJ76" s="157"/>
      <c r="OK76" s="157"/>
      <c r="OL76" s="157"/>
      <c r="OM76" s="157"/>
      <c r="ON76" s="157"/>
      <c r="OO76" s="157"/>
      <c r="OP76" s="157"/>
      <c r="OQ76" s="157"/>
      <c r="OR76" s="157"/>
      <c r="OS76" s="157"/>
      <c r="OT76" s="157"/>
      <c r="OU76" s="157"/>
      <c r="OV76" s="157"/>
      <c r="OW76" s="157"/>
      <c r="OX76" s="157"/>
      <c r="OY76" s="157"/>
      <c r="OZ76" s="157"/>
      <c r="PA76" s="157"/>
      <c r="PB76" s="157"/>
      <c r="PC76" s="157"/>
      <c r="PD76" s="157"/>
      <c r="PE76" s="157"/>
      <c r="PF76" s="157"/>
      <c r="PG76" s="157"/>
      <c r="PH76" s="157"/>
      <c r="PI76" s="157"/>
      <c r="PJ76" s="157"/>
      <c r="PK76" s="157"/>
      <c r="PL76" s="157"/>
      <c r="PM76" s="157"/>
      <c r="PN76" s="157"/>
      <c r="PO76" s="157"/>
      <c r="PP76" s="157"/>
      <c r="PQ76" s="157"/>
      <c r="PR76" s="157"/>
      <c r="PS76" s="157"/>
      <c r="PT76" s="157"/>
      <c r="PU76" s="157"/>
      <c r="PV76" s="157"/>
      <c r="PW76" s="157"/>
      <c r="PX76" s="157"/>
      <c r="PY76" s="157"/>
      <c r="PZ76" s="157"/>
      <c r="QA76" s="157"/>
      <c r="QB76" s="157"/>
      <c r="QC76" s="157"/>
      <c r="QD76" s="157"/>
      <c r="QE76" s="157"/>
      <c r="QF76" s="157"/>
      <c r="QG76" s="157"/>
      <c r="QH76" s="157"/>
      <c r="QI76" s="157"/>
      <c r="QJ76" s="157"/>
      <c r="QK76" s="157"/>
      <c r="QL76" s="157"/>
      <c r="QM76" s="157"/>
      <c r="QN76" s="157"/>
      <c r="QO76" s="157"/>
      <c r="QP76" s="157"/>
      <c r="QQ76" s="157"/>
      <c r="QR76" s="157"/>
      <c r="QS76" s="157"/>
      <c r="QT76" s="157"/>
      <c r="QU76" s="157"/>
      <c r="QV76" s="157"/>
      <c r="QW76" s="157"/>
      <c r="QX76" s="157"/>
      <c r="QY76" s="157"/>
      <c r="QZ76" s="157"/>
      <c r="RA76" s="157"/>
      <c r="RB76" s="157"/>
      <c r="RC76" s="157"/>
      <c r="RD76" s="157"/>
      <c r="RE76" s="157"/>
      <c r="RF76" s="157"/>
      <c r="RG76" s="157"/>
      <c r="RH76" s="157"/>
      <c r="RI76" s="157"/>
      <c r="RJ76" s="157"/>
      <c r="RK76" s="157"/>
      <c r="RL76" s="157"/>
      <c r="RM76" s="157"/>
      <c r="RN76" s="157"/>
      <c r="RO76" s="157"/>
      <c r="RP76" s="157"/>
      <c r="RQ76" s="157"/>
    </row>
    <row r="77" spans="1:485" s="27" customFormat="1" ht="15.75" customHeight="1">
      <c r="B77" s="115"/>
      <c r="C77" s="202"/>
      <c r="D77" s="3933"/>
      <c r="E77" s="3933"/>
      <c r="F77" s="3933"/>
      <c r="G77" s="8"/>
      <c r="H77" s="109" t="s">
        <v>6814</v>
      </c>
      <c r="I77" s="36"/>
      <c r="J77" s="1"/>
      <c r="K77" s="2913" t="str">
        <f>IF(OR(K58=0,P76="",K67=0),"",P76*K67)</f>
        <v/>
      </c>
      <c r="L77" s="2913">
        <f>IF(OR(L58=0,P76="",L67=0),"",P76*L67)</f>
        <v>14.222222222222221</v>
      </c>
      <c r="M77" s="2913">
        <f>IF(OR(M58=0,P76="",M67=0),"",P76*M67)</f>
        <v>32</v>
      </c>
      <c r="N77" s="2913">
        <f>IF(OR(N58=0,P76="",N67=0),"",P76*N67)</f>
        <v>17.777777777777779</v>
      </c>
      <c r="O77" s="2913" t="str">
        <f>IF(OR(O58=0,P76="",O67=0),"",P76*O67)</f>
        <v/>
      </c>
      <c r="P77" s="2914">
        <f>IF(OR(P76="",P67=0),"",P76*P67)</f>
        <v>64</v>
      </c>
      <c r="S77" s="3839"/>
      <c r="T77" s="3840"/>
      <c r="U77" s="3840"/>
      <c r="V77" s="3840"/>
      <c r="W77" s="3841"/>
      <c r="X77" s="1831"/>
      <c r="Y77" s="1831"/>
      <c r="Z77" s="1831"/>
      <c r="AA77" s="1831"/>
      <c r="AB77" s="1831"/>
      <c r="AC77" s="1831"/>
      <c r="AD77" s="1831"/>
      <c r="AE77" s="1831"/>
      <c r="AF77" s="1831"/>
      <c r="AG77" s="1831"/>
      <c r="AH77" s="1831"/>
      <c r="AI77" s="1831"/>
      <c r="AJ77" s="1831"/>
      <c r="AK77" s="1831"/>
      <c r="AL77" s="1831"/>
      <c r="AM77" s="1831"/>
      <c r="AN77" s="1831"/>
      <c r="AO77" s="1831"/>
      <c r="AP77" s="1831"/>
      <c r="AQ77" s="1831"/>
      <c r="AR77" s="1831"/>
      <c r="AS77" s="1831"/>
      <c r="AT77" s="1831"/>
      <c r="AU77" s="1831"/>
      <c r="AV77" s="1831"/>
      <c r="AW77" s="1831"/>
      <c r="AX77" s="1831"/>
      <c r="AY77" s="1831"/>
      <c r="AZ77" s="1831"/>
      <c r="BA77" s="1831"/>
      <c r="BB77" s="1831"/>
      <c r="BC77" s="1831"/>
      <c r="BD77" s="1831"/>
      <c r="BE77" s="1831"/>
      <c r="BF77" s="1831"/>
      <c r="BG77" s="1831"/>
      <c r="BH77" s="1831"/>
      <c r="BI77" s="1831"/>
      <c r="BJ77" s="1831"/>
      <c r="BK77" s="1831"/>
      <c r="BL77" s="1831"/>
      <c r="BM77" s="1831"/>
      <c r="BN77" s="1831"/>
      <c r="BO77" s="1831"/>
      <c r="BP77" s="1831"/>
      <c r="BQ77" s="1831"/>
      <c r="BR77" s="1831"/>
      <c r="BS77" s="1831"/>
      <c r="BT77" s="1831"/>
      <c r="BU77" s="1831"/>
      <c r="BV77" s="1831"/>
      <c r="BW77" s="1831"/>
      <c r="BX77" s="1831"/>
      <c r="BY77" s="1831"/>
      <c r="BZ77" s="1831"/>
      <c r="CA77" s="1831"/>
      <c r="CB77" s="1831"/>
      <c r="CC77" s="1831"/>
      <c r="CD77" s="1831"/>
      <c r="CE77" s="1831"/>
      <c r="CF77" s="1831"/>
      <c r="CG77" s="1831"/>
      <c r="CH77" s="1831"/>
      <c r="CI77" s="1831"/>
      <c r="CJ77" s="1831"/>
      <c r="CK77" s="1831"/>
      <c r="CL77" s="1831"/>
      <c r="CM77" s="1831"/>
      <c r="CN77" s="1831"/>
      <c r="CO77" s="1831"/>
      <c r="CP77" s="1831"/>
      <c r="CQ77" s="1831"/>
      <c r="CR77" s="1831"/>
      <c r="CS77" s="1831"/>
      <c r="CT77" s="1831"/>
      <c r="CU77" s="1831"/>
      <c r="CV77" s="1831"/>
      <c r="CW77" s="1831"/>
      <c r="CX77" s="1831"/>
      <c r="CY77" s="1831"/>
      <c r="CZ77" s="1831"/>
      <c r="DA77" s="1831"/>
      <c r="DB77" s="1831"/>
      <c r="DC77" s="1831"/>
      <c r="DD77" s="1831"/>
      <c r="DE77" s="1831"/>
      <c r="DF77" s="1831"/>
      <c r="DG77" s="1831"/>
      <c r="DH77" s="1831"/>
      <c r="DI77" s="1831"/>
      <c r="DJ77" s="1831"/>
      <c r="DK77" s="1831"/>
      <c r="DL77" s="1831"/>
      <c r="DM77" s="1831"/>
      <c r="DN77" s="1831"/>
      <c r="DO77" s="1831"/>
      <c r="DP77" s="1831"/>
      <c r="DQ77" s="1831"/>
      <c r="DR77" s="1831"/>
      <c r="DS77" s="1831"/>
      <c r="DT77" s="1831"/>
      <c r="DU77" s="1831"/>
      <c r="DV77" s="1831"/>
      <c r="DW77" s="1831"/>
      <c r="DX77" s="1831"/>
      <c r="DY77" s="1831"/>
      <c r="DZ77" s="1831"/>
      <c r="EA77" s="1831"/>
      <c r="EB77" s="1831"/>
      <c r="EC77" s="1831"/>
      <c r="ED77" s="1831"/>
      <c r="EE77" s="1831"/>
      <c r="EF77" s="1831"/>
      <c r="EG77" s="1831"/>
      <c r="EH77" s="1831"/>
      <c r="EI77" s="1831"/>
      <c r="EJ77" s="1831"/>
      <c r="EK77" s="1831"/>
      <c r="EL77" s="1831"/>
      <c r="EM77" s="1831"/>
      <c r="EN77" s="1831"/>
      <c r="EO77" s="1831"/>
      <c r="EP77" s="1831"/>
      <c r="EQ77" s="1831"/>
      <c r="ER77" s="1831"/>
      <c r="ES77" s="1831"/>
      <c r="ET77" s="1831"/>
      <c r="EU77" s="1831"/>
      <c r="EV77" s="1831"/>
      <c r="EW77" s="1831"/>
      <c r="EX77" s="1831"/>
      <c r="EY77" s="1831"/>
      <c r="EZ77" s="1831"/>
      <c r="FA77" s="1831"/>
      <c r="FB77" s="1831"/>
      <c r="FC77" s="1831"/>
      <c r="FD77" s="1831"/>
      <c r="FE77" s="1831"/>
      <c r="FF77" s="1831"/>
      <c r="FG77" s="1831"/>
      <c r="FH77" s="1831"/>
      <c r="FI77" s="1831"/>
      <c r="FJ77" s="1831"/>
      <c r="FK77" s="1831"/>
      <c r="FL77" s="1831"/>
      <c r="FM77" s="1831"/>
      <c r="FN77" s="1831"/>
      <c r="FO77" s="1831"/>
      <c r="FP77" s="1831"/>
      <c r="FQ77" s="1831"/>
      <c r="FR77" s="1831"/>
      <c r="FS77" s="1831"/>
      <c r="FT77" s="1831"/>
      <c r="FU77" s="1831"/>
      <c r="FV77" s="1831"/>
      <c r="FW77" s="1831"/>
      <c r="FX77" s="1831"/>
      <c r="FY77" s="1831"/>
      <c r="FZ77" s="1831"/>
      <c r="GA77" s="1831"/>
      <c r="GB77" s="1831"/>
      <c r="GC77" s="1831"/>
      <c r="GD77" s="1831"/>
      <c r="GE77" s="1831"/>
      <c r="GF77" s="1831"/>
      <c r="GG77" s="1831"/>
      <c r="GH77" s="1831"/>
      <c r="GI77" s="1831"/>
      <c r="GJ77" s="1831"/>
      <c r="GK77" s="1831"/>
      <c r="GL77" s="1831"/>
      <c r="GM77" s="1831"/>
      <c r="GN77" s="1831"/>
      <c r="GO77" s="1831"/>
      <c r="GP77" s="1831"/>
      <c r="GQ77" s="1831"/>
      <c r="GR77" s="1831"/>
      <c r="GS77" s="1831"/>
      <c r="GT77" s="1831"/>
      <c r="GU77" s="1831"/>
      <c r="GV77" s="1831"/>
      <c r="GW77" s="1831"/>
      <c r="GX77" s="1831"/>
      <c r="GY77" s="1831"/>
      <c r="GZ77" s="1831"/>
      <c r="HA77" s="1831"/>
      <c r="HB77" s="1831"/>
      <c r="HC77" s="1831"/>
      <c r="HD77" s="1831"/>
      <c r="HE77" s="1831"/>
      <c r="HF77" s="1831"/>
      <c r="HG77" s="1831"/>
      <c r="HH77" s="1831"/>
      <c r="HI77" s="1831"/>
      <c r="HJ77" s="1831"/>
      <c r="HK77" s="1831"/>
      <c r="HL77" s="1831"/>
      <c r="HM77" s="1831"/>
      <c r="HN77" s="1831"/>
      <c r="HO77" s="1831"/>
      <c r="HP77" s="1831"/>
      <c r="HQ77" s="1831"/>
      <c r="HR77" s="1831"/>
      <c r="HS77" s="1831"/>
      <c r="HT77" s="1831"/>
      <c r="HU77" s="1831"/>
      <c r="HV77" s="1831"/>
      <c r="HW77" s="1831"/>
      <c r="HX77" s="1831"/>
      <c r="HY77" s="1831"/>
      <c r="HZ77" s="1831"/>
      <c r="IA77" s="1831"/>
      <c r="IB77" s="1831"/>
      <c r="IC77" s="1831"/>
      <c r="ID77" s="1831"/>
      <c r="IE77" s="1831"/>
      <c r="IF77" s="1831"/>
      <c r="IG77" s="1831"/>
      <c r="IH77" s="1831"/>
      <c r="II77" s="1831"/>
      <c r="IJ77" s="1831"/>
      <c r="IK77" s="1831"/>
      <c r="IL77" s="1831"/>
      <c r="IM77" s="1831"/>
      <c r="IN77" s="1831"/>
      <c r="IO77" s="1831"/>
      <c r="IP77" s="1831"/>
      <c r="IQ77" s="1831"/>
      <c r="IR77" s="1831"/>
      <c r="IS77" s="1831"/>
      <c r="IT77" s="1831"/>
      <c r="IU77" s="1831"/>
      <c r="IV77" s="1831"/>
      <c r="IW77" s="1831"/>
      <c r="IX77" s="1831"/>
      <c r="IY77" s="1831"/>
      <c r="IZ77" s="1831"/>
      <c r="JA77" s="1831"/>
      <c r="JB77" s="1831"/>
      <c r="JC77" s="1831"/>
      <c r="JD77" s="1831"/>
      <c r="JE77" s="1831"/>
      <c r="JF77" s="1831"/>
      <c r="JG77" s="1831"/>
      <c r="JH77" s="1831"/>
      <c r="JI77" s="1831"/>
      <c r="JJ77" s="1831"/>
      <c r="JK77" s="1831"/>
      <c r="JL77" s="1831"/>
      <c r="JM77" s="1831"/>
      <c r="JN77" s="1831"/>
      <c r="JO77" s="1831"/>
      <c r="JP77" s="1831"/>
      <c r="JQ77" s="1831"/>
      <c r="JR77" s="1831"/>
      <c r="JS77" s="1831"/>
      <c r="JT77" s="1831"/>
      <c r="JU77" s="1831"/>
      <c r="JV77" s="1831"/>
      <c r="JW77" s="1831"/>
      <c r="JX77" s="1831"/>
      <c r="JY77" s="1831"/>
      <c r="JZ77" s="1831"/>
      <c r="KA77" s="1831"/>
      <c r="KB77" s="1831"/>
      <c r="KC77" s="1831"/>
      <c r="KD77" s="1831"/>
      <c r="KE77" s="1831"/>
      <c r="KF77" s="1831"/>
      <c r="KG77" s="1831"/>
      <c r="KH77" s="1831"/>
      <c r="KI77" s="1831"/>
      <c r="KJ77" s="1831"/>
      <c r="KK77" s="1831"/>
      <c r="KL77" s="1831"/>
      <c r="KM77" s="1831"/>
      <c r="KN77" s="1831"/>
      <c r="KO77" s="1831"/>
      <c r="KP77" s="1831"/>
      <c r="KQ77" s="1831"/>
      <c r="KR77" s="1831"/>
      <c r="KS77" s="1831"/>
      <c r="KT77" s="1831"/>
      <c r="KU77" s="1831"/>
      <c r="KV77" s="1831"/>
      <c r="KW77" s="1831"/>
      <c r="KX77" s="1831"/>
      <c r="KY77" s="1831"/>
      <c r="KZ77" s="1831"/>
      <c r="LA77" s="1831"/>
      <c r="LB77" s="1831"/>
      <c r="LC77" s="1831"/>
      <c r="LD77" s="1831"/>
      <c r="LE77" s="1831"/>
      <c r="LF77" s="1831"/>
      <c r="LG77" s="1831"/>
      <c r="LH77" s="1831"/>
      <c r="LI77" s="1831"/>
      <c r="LJ77" s="1831"/>
      <c r="LK77" s="1831"/>
      <c r="LL77" s="1831"/>
      <c r="LM77" s="1831"/>
      <c r="LN77" s="1831"/>
      <c r="LO77" s="1831"/>
      <c r="LP77" s="1831"/>
      <c r="LQ77" s="1831"/>
      <c r="LR77" s="1831"/>
      <c r="LS77" s="1831"/>
      <c r="LT77" s="1831"/>
      <c r="LU77" s="1831"/>
      <c r="LV77" s="1831"/>
      <c r="LW77" s="1831"/>
      <c r="LX77" s="1831"/>
      <c r="LY77" s="1831"/>
      <c r="LZ77" s="1831"/>
      <c r="MA77" s="1831"/>
      <c r="MB77" s="1831"/>
      <c r="MC77" s="1831"/>
      <c r="MD77" s="1831"/>
      <c r="ME77" s="1831"/>
      <c r="MF77" s="1831"/>
      <c r="MG77" s="1831"/>
      <c r="MH77" s="1831"/>
      <c r="MI77" s="1831"/>
      <c r="MJ77" s="1831"/>
      <c r="MK77" s="1831"/>
      <c r="ML77" s="1831"/>
      <c r="MM77" s="1831"/>
      <c r="MN77" s="1831"/>
      <c r="MO77" s="1831"/>
      <c r="MP77" s="1831"/>
      <c r="MQ77" s="1831"/>
      <c r="MR77" s="1831"/>
      <c r="MS77" s="1831"/>
      <c r="MT77" s="1831"/>
      <c r="MU77" s="1831"/>
      <c r="MV77" s="157"/>
      <c r="MW77" s="157"/>
      <c r="MX77" s="157"/>
      <c r="MY77" s="157"/>
      <c r="MZ77" s="157"/>
      <c r="NA77" s="157"/>
      <c r="NB77" s="157"/>
      <c r="NC77" s="157"/>
      <c r="ND77" s="157"/>
      <c r="NE77" s="157"/>
      <c r="NF77" s="157"/>
      <c r="NG77" s="157"/>
      <c r="NH77" s="157"/>
      <c r="NI77" s="157"/>
      <c r="NJ77" s="157"/>
      <c r="NK77" s="157"/>
      <c r="NL77" s="157"/>
      <c r="NM77" s="157"/>
      <c r="NN77" s="157"/>
      <c r="NO77" s="157"/>
      <c r="NP77" s="2807"/>
      <c r="NQ77" s="157"/>
      <c r="NR77" s="157"/>
      <c r="NS77" s="157"/>
      <c r="NT77" s="157"/>
      <c r="NU77" s="157"/>
      <c r="NV77" s="157"/>
      <c r="NW77" s="157"/>
      <c r="NX77" s="157"/>
      <c r="NY77" s="157"/>
      <c r="NZ77" s="157"/>
      <c r="OA77" s="157"/>
      <c r="OB77" s="157"/>
      <c r="OC77" s="157"/>
      <c r="OD77" s="157"/>
      <c r="OE77" s="157"/>
      <c r="OF77" s="157"/>
      <c r="OG77" s="157"/>
      <c r="OH77" s="157"/>
      <c r="OI77" s="157"/>
      <c r="OJ77" s="157"/>
      <c r="OK77" s="157"/>
      <c r="OL77" s="157"/>
      <c r="OM77" s="157"/>
      <c r="ON77" s="157"/>
      <c r="OO77" s="157"/>
      <c r="OP77" s="157"/>
      <c r="OQ77" s="157"/>
      <c r="OR77" s="157"/>
      <c r="OS77" s="157"/>
      <c r="OT77" s="157"/>
      <c r="OU77" s="157"/>
      <c r="OV77" s="157"/>
      <c r="OW77" s="157"/>
      <c r="OX77" s="157"/>
      <c r="OY77" s="157"/>
      <c r="OZ77" s="157"/>
      <c r="PA77" s="157"/>
      <c r="PB77" s="157"/>
      <c r="PC77" s="157"/>
      <c r="PD77" s="157"/>
      <c r="PE77" s="157"/>
      <c r="PF77" s="157"/>
      <c r="PG77" s="157"/>
      <c r="PH77" s="157"/>
      <c r="PI77" s="157"/>
      <c r="PJ77" s="157"/>
      <c r="PK77" s="157"/>
      <c r="PL77" s="157"/>
      <c r="PM77" s="157"/>
      <c r="PN77" s="157"/>
      <c r="PO77" s="157"/>
      <c r="PP77" s="157"/>
      <c r="PQ77" s="157"/>
      <c r="PR77" s="157"/>
      <c r="PS77" s="157"/>
      <c r="PT77" s="157"/>
      <c r="PU77" s="157"/>
      <c r="PV77" s="157"/>
      <c r="PW77" s="157"/>
      <c r="PX77" s="157"/>
      <c r="PY77" s="157"/>
      <c r="PZ77" s="157"/>
      <c r="QA77" s="157"/>
      <c r="QB77" s="157"/>
      <c r="QC77" s="157"/>
      <c r="QD77" s="157"/>
      <c r="QE77" s="157"/>
      <c r="QF77" s="157"/>
      <c r="QG77" s="157"/>
      <c r="QH77" s="157"/>
      <c r="QI77" s="157"/>
      <c r="QJ77" s="157"/>
      <c r="QK77" s="157"/>
      <c r="QL77" s="157"/>
      <c r="QM77" s="157"/>
      <c r="QN77" s="157"/>
      <c r="QO77" s="157"/>
      <c r="QP77" s="157"/>
      <c r="QQ77" s="157"/>
      <c r="QR77" s="157"/>
      <c r="QS77" s="157"/>
      <c r="QT77" s="157"/>
      <c r="QU77" s="157"/>
      <c r="QV77" s="157"/>
      <c r="QW77" s="157"/>
      <c r="QX77" s="157"/>
      <c r="QY77" s="157"/>
      <c r="QZ77" s="157"/>
      <c r="RA77" s="157"/>
      <c r="RB77" s="157"/>
      <c r="RC77" s="157"/>
      <c r="RD77" s="157"/>
      <c r="RE77" s="157"/>
      <c r="RF77" s="157"/>
      <c r="RG77" s="157"/>
      <c r="RH77" s="157"/>
      <c r="RI77" s="157"/>
      <c r="RJ77" s="157"/>
      <c r="RK77" s="157"/>
      <c r="RL77" s="157"/>
      <c r="RM77" s="157"/>
      <c r="RN77" s="157"/>
      <c r="RO77" s="157"/>
      <c r="RP77" s="157"/>
      <c r="RQ77" s="157"/>
    </row>
    <row r="78" spans="1:485" s="27" customFormat="1" ht="15.75" customHeight="1">
      <c r="B78" s="115"/>
      <c r="C78" s="202"/>
      <c r="D78" s="3933"/>
      <c r="E78" s="3933"/>
      <c r="F78" s="3933"/>
      <c r="G78" s="1579"/>
      <c r="H78" s="2915" t="s">
        <v>6815</v>
      </c>
      <c r="I78" s="2916"/>
      <c r="J78" s="1"/>
      <c r="K78" s="2917" t="str">
        <f t="shared" ref="K78:P78" si="357">IF(OR(K77="",K58=0),"", K58-K77)</f>
        <v/>
      </c>
      <c r="L78" s="2917">
        <f t="shared" si="357"/>
        <v>-1.2222222222222214</v>
      </c>
      <c r="M78" s="2917">
        <f t="shared" si="357"/>
        <v>2</v>
      </c>
      <c r="N78" s="2917">
        <f t="shared" si="357"/>
        <v>-0.77777777777777857</v>
      </c>
      <c r="O78" s="2917" t="str">
        <f t="shared" si="357"/>
        <v/>
      </c>
      <c r="P78" s="2917">
        <f t="shared" si="357"/>
        <v>0</v>
      </c>
      <c r="X78" s="1831"/>
      <c r="Y78" s="1831"/>
      <c r="Z78" s="1831"/>
      <c r="AA78" s="1831"/>
      <c r="AB78" s="1831"/>
      <c r="AC78" s="1831"/>
      <c r="AD78" s="1831"/>
      <c r="AE78" s="1831"/>
      <c r="AF78" s="1831"/>
      <c r="AG78" s="1831"/>
      <c r="AH78" s="1831"/>
      <c r="AI78" s="1831"/>
      <c r="AJ78" s="1831"/>
      <c r="AK78" s="1831"/>
      <c r="AL78" s="1831"/>
      <c r="AM78" s="1831"/>
      <c r="AN78" s="1831"/>
      <c r="AO78" s="1831"/>
      <c r="AP78" s="1831"/>
      <c r="AQ78" s="1831"/>
      <c r="AR78" s="1831"/>
      <c r="AS78" s="1831"/>
      <c r="AT78" s="1831"/>
      <c r="AU78" s="1831"/>
      <c r="AV78" s="1831"/>
      <c r="AW78" s="1831"/>
      <c r="AX78" s="1831"/>
      <c r="AY78" s="1831"/>
      <c r="AZ78" s="1831"/>
      <c r="BA78" s="1831"/>
      <c r="BB78" s="1831"/>
      <c r="BC78" s="1831"/>
      <c r="BD78" s="1831"/>
      <c r="BE78" s="1831"/>
      <c r="BF78" s="1831"/>
      <c r="BG78" s="1831"/>
      <c r="BH78" s="1831"/>
      <c r="BI78" s="1831"/>
      <c r="BJ78" s="1831"/>
      <c r="BK78" s="1831"/>
      <c r="BL78" s="1831"/>
      <c r="BM78" s="1831"/>
      <c r="BN78" s="1831"/>
      <c r="BO78" s="1831"/>
      <c r="BP78" s="1831"/>
      <c r="BQ78" s="1831"/>
      <c r="BR78" s="1831"/>
      <c r="BS78" s="1831"/>
      <c r="BT78" s="1831"/>
      <c r="BU78" s="1831"/>
      <c r="BV78" s="1831"/>
      <c r="BW78" s="1831"/>
      <c r="BX78" s="1831"/>
      <c r="BY78" s="1831"/>
      <c r="BZ78" s="1831"/>
      <c r="CA78" s="1831"/>
      <c r="CB78" s="1831"/>
      <c r="CC78" s="1831"/>
      <c r="CD78" s="1831"/>
      <c r="CE78" s="1831"/>
      <c r="CF78" s="1831"/>
      <c r="CG78" s="1831"/>
      <c r="CH78" s="1831"/>
      <c r="CI78" s="1831"/>
      <c r="CJ78" s="1831"/>
      <c r="CK78" s="1831"/>
      <c r="CL78" s="1831"/>
      <c r="CM78" s="1831"/>
      <c r="CN78" s="1831"/>
      <c r="CO78" s="1831"/>
      <c r="CP78" s="1831"/>
      <c r="CQ78" s="1831"/>
      <c r="CR78" s="1831"/>
      <c r="CS78" s="1831"/>
      <c r="CT78" s="1831"/>
      <c r="CU78" s="1831"/>
      <c r="CV78" s="1831"/>
      <c r="CW78" s="1831"/>
      <c r="CX78" s="1831"/>
      <c r="CY78" s="1831"/>
      <c r="CZ78" s="1831"/>
      <c r="DA78" s="1831"/>
      <c r="DB78" s="1831"/>
      <c r="DC78" s="1831"/>
      <c r="DD78" s="1831"/>
      <c r="DE78" s="1831"/>
      <c r="DF78" s="1831"/>
      <c r="DG78" s="1831"/>
      <c r="DH78" s="1831"/>
      <c r="DI78" s="1831"/>
      <c r="DJ78" s="1831"/>
      <c r="DK78" s="1831"/>
      <c r="DL78" s="1831"/>
      <c r="DM78" s="1831"/>
      <c r="DN78" s="1831"/>
      <c r="DO78" s="1831"/>
      <c r="DP78" s="1831"/>
      <c r="DQ78" s="1831"/>
      <c r="DR78" s="1831"/>
      <c r="DS78" s="1831"/>
      <c r="DT78" s="1831"/>
      <c r="DU78" s="1831"/>
      <c r="DV78" s="1831"/>
      <c r="DW78" s="1831"/>
      <c r="DX78" s="1831"/>
      <c r="DY78" s="1831"/>
      <c r="DZ78" s="1831"/>
      <c r="EA78" s="1831"/>
      <c r="EB78" s="1831"/>
      <c r="EC78" s="1831"/>
      <c r="ED78" s="1831"/>
      <c r="EE78" s="1831"/>
      <c r="EF78" s="1831"/>
      <c r="EG78" s="1831"/>
      <c r="EH78" s="1831"/>
      <c r="EI78" s="1831"/>
      <c r="EJ78" s="1831"/>
      <c r="EK78" s="1831"/>
      <c r="EL78" s="1831"/>
      <c r="EM78" s="1831"/>
      <c r="EN78" s="1831"/>
      <c r="EO78" s="1831"/>
      <c r="EP78" s="1831"/>
      <c r="EQ78" s="1831"/>
      <c r="ER78" s="1831"/>
      <c r="ES78" s="1831"/>
      <c r="ET78" s="1831"/>
      <c r="EU78" s="1831"/>
      <c r="EV78" s="1831"/>
      <c r="EW78" s="1831"/>
      <c r="EX78" s="1831"/>
      <c r="EY78" s="1831"/>
      <c r="EZ78" s="1831"/>
      <c r="FA78" s="1831"/>
      <c r="FB78" s="1831"/>
      <c r="FC78" s="1831"/>
      <c r="FD78" s="1831"/>
      <c r="FE78" s="1831"/>
      <c r="FF78" s="1831"/>
      <c r="FG78" s="1831"/>
      <c r="FH78" s="1831"/>
      <c r="FI78" s="1831"/>
      <c r="FJ78" s="1831"/>
      <c r="FK78" s="1831"/>
      <c r="FL78" s="1831"/>
      <c r="FM78" s="1831"/>
      <c r="FN78" s="1831"/>
      <c r="FO78" s="1831"/>
      <c r="FP78" s="1831"/>
      <c r="FQ78" s="1831"/>
      <c r="FR78" s="1831"/>
      <c r="FS78" s="1831"/>
      <c r="FT78" s="1831"/>
      <c r="FU78" s="1831"/>
      <c r="FV78" s="1831"/>
      <c r="FW78" s="1831"/>
      <c r="FX78" s="1831"/>
      <c r="FY78" s="1831"/>
      <c r="FZ78" s="1831"/>
      <c r="GA78" s="1831"/>
      <c r="GB78" s="1831"/>
      <c r="GC78" s="1831"/>
      <c r="GD78" s="1831"/>
      <c r="GE78" s="1831"/>
      <c r="GF78" s="1831"/>
      <c r="GG78" s="1831"/>
      <c r="GH78" s="1831"/>
      <c r="GI78" s="1831"/>
      <c r="GJ78" s="1831"/>
      <c r="GK78" s="1831"/>
      <c r="GL78" s="1831"/>
      <c r="GM78" s="1831"/>
      <c r="GN78" s="1831"/>
      <c r="GO78" s="1831"/>
      <c r="GP78" s="1831"/>
      <c r="GQ78" s="1831"/>
      <c r="GR78" s="1831"/>
      <c r="GS78" s="1831"/>
      <c r="GT78" s="1831"/>
      <c r="GU78" s="1831"/>
      <c r="GV78" s="1831"/>
      <c r="GW78" s="1831"/>
      <c r="GX78" s="1831"/>
      <c r="GY78" s="1831"/>
      <c r="GZ78" s="1831"/>
      <c r="HA78" s="1831"/>
      <c r="HB78" s="1831"/>
      <c r="HC78" s="1831"/>
      <c r="HD78" s="1831"/>
      <c r="HE78" s="1831"/>
      <c r="HF78" s="1831"/>
      <c r="HG78" s="1831"/>
      <c r="HH78" s="1831"/>
      <c r="HI78" s="1831"/>
      <c r="HJ78" s="1831"/>
      <c r="HK78" s="1831"/>
      <c r="HL78" s="1831"/>
      <c r="HM78" s="1831"/>
      <c r="HN78" s="1831"/>
      <c r="HO78" s="1831"/>
      <c r="HP78" s="1831"/>
      <c r="HQ78" s="1831"/>
      <c r="HR78" s="1831"/>
      <c r="HS78" s="1831"/>
      <c r="HT78" s="1831"/>
      <c r="HU78" s="1831"/>
      <c r="HV78" s="1831"/>
      <c r="HW78" s="1831"/>
      <c r="HX78" s="1831"/>
      <c r="HY78" s="1831"/>
      <c r="HZ78" s="1831"/>
      <c r="IA78" s="1831"/>
      <c r="IB78" s="1831"/>
      <c r="IC78" s="1831"/>
      <c r="ID78" s="1831"/>
      <c r="IE78" s="1831"/>
      <c r="IF78" s="1831"/>
      <c r="IG78" s="1831"/>
      <c r="IH78" s="1831"/>
      <c r="II78" s="1831"/>
      <c r="IJ78" s="1831"/>
      <c r="IK78" s="1831"/>
      <c r="IL78" s="1831"/>
      <c r="IM78" s="1831"/>
      <c r="IN78" s="1831"/>
      <c r="IO78" s="1831"/>
      <c r="IP78" s="1831"/>
      <c r="IQ78" s="1831"/>
      <c r="IR78" s="1831"/>
      <c r="IS78" s="1831"/>
      <c r="IT78" s="1831"/>
      <c r="IU78" s="1831"/>
      <c r="IV78" s="1831"/>
      <c r="IW78" s="1831"/>
      <c r="IX78" s="1831"/>
      <c r="IY78" s="1831"/>
      <c r="IZ78" s="1831"/>
      <c r="JA78" s="1831"/>
      <c r="JB78" s="1831"/>
      <c r="JC78" s="1831"/>
      <c r="JD78" s="1831"/>
      <c r="JE78" s="1831"/>
      <c r="JF78" s="1831"/>
      <c r="JG78" s="1831"/>
      <c r="JH78" s="1831"/>
      <c r="JI78" s="1831"/>
      <c r="JJ78" s="1831"/>
      <c r="JK78" s="1831"/>
      <c r="JL78" s="1831"/>
      <c r="JM78" s="1831"/>
      <c r="JN78" s="1831"/>
      <c r="JO78" s="1831"/>
      <c r="JP78" s="1831"/>
      <c r="JQ78" s="1831"/>
      <c r="JR78" s="1831"/>
      <c r="JS78" s="1831"/>
      <c r="JT78" s="1831"/>
      <c r="JU78" s="1831"/>
      <c r="JV78" s="1831"/>
      <c r="JW78" s="1831"/>
      <c r="JX78" s="1831"/>
      <c r="JY78" s="1831"/>
      <c r="JZ78" s="1831"/>
      <c r="KA78" s="1831"/>
      <c r="KB78" s="1831"/>
      <c r="KC78" s="1831"/>
      <c r="KD78" s="1831"/>
      <c r="KE78" s="1831"/>
      <c r="KF78" s="1831"/>
      <c r="KG78" s="1831"/>
      <c r="KH78" s="1831"/>
      <c r="KI78" s="1831"/>
      <c r="KJ78" s="1831"/>
      <c r="KK78" s="1831"/>
      <c r="KL78" s="1831"/>
      <c r="KM78" s="1831"/>
      <c r="KN78" s="1831"/>
      <c r="KO78" s="1831"/>
      <c r="KP78" s="1831"/>
      <c r="KQ78" s="1831"/>
      <c r="KR78" s="1831"/>
      <c r="KS78" s="1831"/>
      <c r="KT78" s="1831"/>
      <c r="KU78" s="1831"/>
      <c r="KV78" s="1831"/>
      <c r="KW78" s="1831"/>
      <c r="KX78" s="1831"/>
      <c r="KY78" s="1831"/>
      <c r="KZ78" s="1831"/>
      <c r="LA78" s="1831"/>
      <c r="LB78" s="1831"/>
      <c r="LC78" s="1831"/>
      <c r="LD78" s="1831"/>
      <c r="LE78" s="1831"/>
      <c r="LF78" s="1831"/>
      <c r="LG78" s="1831"/>
      <c r="LH78" s="1831"/>
      <c r="LI78" s="1831"/>
      <c r="LJ78" s="1831"/>
      <c r="LK78" s="1831"/>
      <c r="LL78" s="1831"/>
      <c r="LM78" s="1831"/>
      <c r="LN78" s="1831"/>
      <c r="LO78" s="1831"/>
      <c r="LP78" s="1831"/>
      <c r="LQ78" s="1831"/>
      <c r="LR78" s="1831"/>
      <c r="LS78" s="1831"/>
      <c r="LT78" s="1831"/>
      <c r="LU78" s="1831"/>
      <c r="LV78" s="1831"/>
      <c r="LW78" s="1831"/>
      <c r="LX78" s="1831"/>
      <c r="LY78" s="1831"/>
      <c r="LZ78" s="1831"/>
      <c r="MA78" s="1831"/>
      <c r="MB78" s="1831"/>
      <c r="MC78" s="1831"/>
      <c r="MD78" s="1831"/>
      <c r="ME78" s="1831"/>
      <c r="MF78" s="1831"/>
      <c r="MG78" s="1831"/>
      <c r="MH78" s="1831"/>
      <c r="MI78" s="1831"/>
      <c r="MJ78" s="1831"/>
      <c r="MK78" s="1831"/>
      <c r="ML78" s="1831"/>
      <c r="MM78" s="1831"/>
      <c r="MN78" s="1831"/>
      <c r="MO78" s="1831"/>
      <c r="MP78" s="1831"/>
      <c r="MQ78" s="1831"/>
      <c r="MR78" s="1831"/>
      <c r="MS78" s="1831"/>
      <c r="MT78" s="1831"/>
      <c r="MU78" s="1831"/>
      <c r="MV78" s="157"/>
      <c r="MW78" s="157"/>
      <c r="MX78" s="157"/>
      <c r="MY78" s="157"/>
      <c r="MZ78" s="157"/>
      <c r="NA78" s="157"/>
      <c r="NB78" s="157"/>
      <c r="NC78" s="157"/>
      <c r="ND78" s="157"/>
      <c r="NE78" s="157"/>
      <c r="NF78" s="157"/>
      <c r="NG78" s="157"/>
      <c r="NH78" s="157"/>
      <c r="NI78" s="157"/>
      <c r="NJ78" s="157"/>
      <c r="NK78" s="157"/>
      <c r="NL78" s="157"/>
      <c r="NM78" s="157"/>
      <c r="NN78" s="157"/>
      <c r="NO78" s="157"/>
      <c r="NP78" s="2807"/>
      <c r="NQ78" s="157"/>
      <c r="NR78" s="157"/>
      <c r="NS78" s="157"/>
      <c r="NT78" s="157"/>
      <c r="NU78" s="157"/>
      <c r="NV78" s="157"/>
      <c r="NW78" s="157"/>
      <c r="NX78" s="157"/>
      <c r="NY78" s="157"/>
      <c r="NZ78" s="157"/>
      <c r="OA78" s="157"/>
      <c r="OB78" s="157"/>
      <c r="OC78" s="157"/>
      <c r="OD78" s="157"/>
      <c r="OE78" s="157"/>
      <c r="OF78" s="157"/>
      <c r="OG78" s="157"/>
      <c r="OH78" s="157"/>
      <c r="OI78" s="157"/>
      <c r="OJ78" s="157"/>
      <c r="OK78" s="157"/>
      <c r="OL78" s="157"/>
      <c r="OM78" s="157"/>
      <c r="ON78" s="157"/>
      <c r="OO78" s="157"/>
      <c r="OP78" s="157"/>
      <c r="OQ78" s="157"/>
      <c r="OR78" s="157"/>
      <c r="OS78" s="157"/>
      <c r="OT78" s="157"/>
      <c r="OU78" s="157"/>
      <c r="OV78" s="157"/>
      <c r="OW78" s="157"/>
      <c r="OX78" s="157"/>
      <c r="OY78" s="157"/>
      <c r="OZ78" s="157"/>
      <c r="PA78" s="157"/>
      <c r="PB78" s="157"/>
      <c r="PC78" s="157"/>
      <c r="PD78" s="157"/>
      <c r="PE78" s="157"/>
      <c r="PF78" s="157"/>
      <c r="PG78" s="157"/>
      <c r="PH78" s="157"/>
      <c r="PI78" s="157"/>
      <c r="PJ78" s="157"/>
      <c r="PK78" s="157"/>
      <c r="PL78" s="157"/>
      <c r="PM78" s="157"/>
      <c r="PN78" s="157"/>
      <c r="PO78" s="157"/>
      <c r="PP78" s="157"/>
      <c r="PQ78" s="157"/>
      <c r="PR78" s="157"/>
      <c r="PS78" s="157"/>
      <c r="PT78" s="157"/>
      <c r="PU78" s="157"/>
      <c r="PV78" s="157"/>
      <c r="PW78" s="157"/>
      <c r="PX78" s="157"/>
      <c r="PY78" s="157"/>
      <c r="PZ78" s="157"/>
      <c r="QA78" s="157"/>
      <c r="QB78" s="157"/>
      <c r="QC78" s="157"/>
      <c r="QD78" s="157"/>
      <c r="QE78" s="157"/>
      <c r="QF78" s="157"/>
      <c r="QG78" s="157"/>
      <c r="QH78" s="157"/>
      <c r="QI78" s="157"/>
      <c r="QJ78" s="157"/>
      <c r="QK78" s="157"/>
      <c r="QL78" s="157"/>
      <c r="QM78" s="157"/>
      <c r="QN78" s="157"/>
      <c r="QO78" s="157"/>
      <c r="QP78" s="157"/>
      <c r="QQ78" s="157"/>
      <c r="QR78" s="157"/>
      <c r="QS78" s="157"/>
      <c r="QT78" s="157"/>
      <c r="QU78" s="157"/>
      <c r="QV78" s="157"/>
      <c r="QW78" s="157"/>
      <c r="QX78" s="157"/>
      <c r="QY78" s="157"/>
      <c r="QZ78" s="157"/>
      <c r="RA78" s="157"/>
      <c r="RB78" s="157"/>
      <c r="RC78" s="157"/>
      <c r="RD78" s="157"/>
      <c r="RE78" s="157"/>
      <c r="RF78" s="157"/>
      <c r="RG78" s="157"/>
      <c r="RH78" s="157"/>
      <c r="RI78" s="157"/>
      <c r="RJ78" s="157"/>
      <c r="RK78" s="157"/>
      <c r="RL78" s="157"/>
      <c r="RM78" s="157"/>
      <c r="RN78" s="157"/>
      <c r="RO78" s="157"/>
      <c r="RP78" s="157"/>
      <c r="RQ78" s="157"/>
    </row>
    <row r="79" spans="1:485" s="27" customFormat="1">
      <c r="B79" s="115"/>
      <c r="C79" s="202" t="s">
        <v>4273</v>
      </c>
      <c r="D79" s="2923"/>
      <c r="E79" s="2923"/>
      <c r="F79" s="8"/>
      <c r="G79" s="8"/>
      <c r="H79" s="109" t="s">
        <v>111</v>
      </c>
      <c r="I79" s="36"/>
      <c r="J79" s="1"/>
      <c r="K79" s="2920" t="str">
        <f t="shared" ref="K79:P79" si="358">IF(OR(K59=0,K67=0),"",K59/K67)</f>
        <v/>
      </c>
      <c r="L79" s="2921" t="str">
        <f t="shared" si="358"/>
        <v/>
      </c>
      <c r="M79" s="2921" t="str">
        <f t="shared" si="358"/>
        <v/>
      </c>
      <c r="N79" s="2921" t="str">
        <f t="shared" si="358"/>
        <v/>
      </c>
      <c r="O79" s="2921" t="str">
        <f t="shared" si="358"/>
        <v/>
      </c>
      <c r="P79" s="2922" t="str">
        <f t="shared" si="358"/>
        <v/>
      </c>
      <c r="X79" s="1831"/>
      <c r="Y79" s="1831"/>
      <c r="Z79" s="1831"/>
      <c r="AA79" s="1831"/>
      <c r="AB79" s="1831"/>
      <c r="AC79" s="1831"/>
      <c r="AD79" s="1831"/>
      <c r="AE79" s="1831"/>
      <c r="AF79" s="1831"/>
      <c r="AG79" s="1831"/>
      <c r="AH79" s="1831"/>
      <c r="AI79" s="1831"/>
      <c r="AJ79" s="1831"/>
      <c r="AK79" s="1831"/>
      <c r="AL79" s="1831"/>
      <c r="AM79" s="1831"/>
      <c r="AN79" s="1831"/>
      <c r="AO79" s="1831"/>
      <c r="AP79" s="1831"/>
      <c r="AQ79" s="1831"/>
      <c r="AR79" s="1831"/>
      <c r="AS79" s="1831"/>
      <c r="AT79" s="1831"/>
      <c r="AU79" s="1831"/>
      <c r="AV79" s="1831"/>
      <c r="AW79" s="1831"/>
      <c r="AX79" s="1831"/>
      <c r="AY79" s="1831"/>
      <c r="AZ79" s="1831"/>
      <c r="BA79" s="1831"/>
      <c r="BB79" s="1831"/>
      <c r="BC79" s="1831"/>
      <c r="BD79" s="1831"/>
      <c r="BE79" s="1831"/>
      <c r="BF79" s="1831"/>
      <c r="BG79" s="1831"/>
      <c r="BH79" s="1831"/>
      <c r="BI79" s="1831"/>
      <c r="BJ79" s="1831"/>
      <c r="BK79" s="1831"/>
      <c r="BL79" s="1831"/>
      <c r="BM79" s="1831"/>
      <c r="BN79" s="1831"/>
      <c r="BO79" s="1831"/>
      <c r="BP79" s="1831"/>
      <c r="BQ79" s="1831"/>
      <c r="BR79" s="1831"/>
      <c r="BS79" s="1831"/>
      <c r="BT79" s="1831"/>
      <c r="BU79" s="1831"/>
      <c r="BV79" s="1831"/>
      <c r="BW79" s="1831"/>
      <c r="BX79" s="1831"/>
      <c r="BY79" s="1831"/>
      <c r="BZ79" s="1831"/>
      <c r="CA79" s="1831"/>
      <c r="CB79" s="1831"/>
      <c r="CC79" s="1831"/>
      <c r="CD79" s="1831"/>
      <c r="CE79" s="1831"/>
      <c r="CF79" s="1831"/>
      <c r="CG79" s="1831"/>
      <c r="CH79" s="1831"/>
      <c r="CI79" s="1831"/>
      <c r="CJ79" s="1831"/>
      <c r="CK79" s="1831"/>
      <c r="CL79" s="1831"/>
      <c r="CM79" s="1831"/>
      <c r="CN79" s="1831"/>
      <c r="CO79" s="1831"/>
      <c r="CP79" s="1831"/>
      <c r="CQ79" s="1831"/>
      <c r="CR79" s="1831"/>
      <c r="CS79" s="1831"/>
      <c r="CT79" s="1831"/>
      <c r="CU79" s="1831"/>
      <c r="CV79" s="1831"/>
      <c r="CW79" s="1831"/>
      <c r="CX79" s="1831"/>
      <c r="CY79" s="1831"/>
      <c r="CZ79" s="1831"/>
      <c r="DA79" s="1831"/>
      <c r="DB79" s="1831"/>
      <c r="DC79" s="1831"/>
      <c r="DD79" s="1831"/>
      <c r="DE79" s="1831"/>
      <c r="DF79" s="1831"/>
      <c r="DG79" s="1831"/>
      <c r="DH79" s="1831"/>
      <c r="DI79" s="1831"/>
      <c r="DJ79" s="1831"/>
      <c r="DK79" s="1831"/>
      <c r="DL79" s="1831"/>
      <c r="DM79" s="1831"/>
      <c r="DN79" s="1831"/>
      <c r="DO79" s="1831"/>
      <c r="DP79" s="1831"/>
      <c r="DQ79" s="1831"/>
      <c r="DR79" s="1831"/>
      <c r="DS79" s="1831"/>
      <c r="DT79" s="1831"/>
      <c r="DU79" s="1831"/>
      <c r="DV79" s="1831"/>
      <c r="DW79" s="1831"/>
      <c r="DX79" s="1831"/>
      <c r="DY79" s="1831"/>
      <c r="DZ79" s="1831"/>
      <c r="EA79" s="1831"/>
      <c r="EB79" s="1831"/>
      <c r="EC79" s="1831"/>
      <c r="ED79" s="1831"/>
      <c r="EE79" s="1831"/>
      <c r="EF79" s="1831"/>
      <c r="EG79" s="1831"/>
      <c r="EH79" s="1831"/>
      <c r="EI79" s="1831"/>
      <c r="EJ79" s="1831"/>
      <c r="EK79" s="1831"/>
      <c r="EL79" s="1831"/>
      <c r="EM79" s="1831"/>
      <c r="EN79" s="1831"/>
      <c r="EO79" s="1831"/>
      <c r="EP79" s="1831"/>
      <c r="EQ79" s="1831"/>
      <c r="ER79" s="1831"/>
      <c r="ES79" s="1831"/>
      <c r="ET79" s="1831"/>
      <c r="EU79" s="1831"/>
      <c r="EV79" s="1831"/>
      <c r="EW79" s="1831"/>
      <c r="EX79" s="1831"/>
      <c r="EY79" s="1831"/>
      <c r="EZ79" s="1831"/>
      <c r="FA79" s="1831"/>
      <c r="FB79" s="1831"/>
      <c r="FC79" s="1831"/>
      <c r="FD79" s="1831"/>
      <c r="FE79" s="1831"/>
      <c r="FF79" s="1831"/>
      <c r="FG79" s="1831"/>
      <c r="FH79" s="1831"/>
      <c r="FI79" s="1831"/>
      <c r="FJ79" s="1831"/>
      <c r="FK79" s="1831"/>
      <c r="FL79" s="1831"/>
      <c r="FM79" s="1831"/>
      <c r="FN79" s="1831"/>
      <c r="FO79" s="1831"/>
      <c r="FP79" s="1831"/>
      <c r="FQ79" s="1831"/>
      <c r="FR79" s="1831"/>
      <c r="FS79" s="1831"/>
      <c r="FT79" s="1831"/>
      <c r="FU79" s="1831"/>
      <c r="FV79" s="1831"/>
      <c r="FW79" s="1831"/>
      <c r="FX79" s="1831"/>
      <c r="FY79" s="1831"/>
      <c r="FZ79" s="1831"/>
      <c r="GA79" s="1831"/>
      <c r="GB79" s="1831"/>
      <c r="GC79" s="1831"/>
      <c r="GD79" s="1831"/>
      <c r="GE79" s="1831"/>
      <c r="GF79" s="1831"/>
      <c r="GG79" s="1831"/>
      <c r="GH79" s="1831"/>
      <c r="GI79" s="1831"/>
      <c r="GJ79" s="1831"/>
      <c r="GK79" s="1831"/>
      <c r="GL79" s="1831"/>
      <c r="GM79" s="1831"/>
      <c r="GN79" s="1831"/>
      <c r="GO79" s="1831"/>
      <c r="GP79" s="1831"/>
      <c r="GQ79" s="1831"/>
      <c r="GR79" s="1831"/>
      <c r="GS79" s="1831"/>
      <c r="GT79" s="1831"/>
      <c r="GU79" s="1831"/>
      <c r="GV79" s="1831"/>
      <c r="GW79" s="1831"/>
      <c r="GX79" s="1831"/>
      <c r="GY79" s="1831"/>
      <c r="GZ79" s="1831"/>
      <c r="HA79" s="1831"/>
      <c r="HB79" s="1831"/>
      <c r="HC79" s="1831"/>
      <c r="HD79" s="1831"/>
      <c r="HE79" s="1831"/>
      <c r="HF79" s="1831"/>
      <c r="HG79" s="1831"/>
      <c r="HH79" s="1831"/>
      <c r="HI79" s="1831"/>
      <c r="HJ79" s="1831"/>
      <c r="HK79" s="1831"/>
      <c r="HL79" s="1831"/>
      <c r="HM79" s="1831"/>
      <c r="HN79" s="1831"/>
      <c r="HO79" s="1831"/>
      <c r="HP79" s="1831"/>
      <c r="HQ79" s="1831"/>
      <c r="HR79" s="1831"/>
      <c r="HS79" s="1831"/>
      <c r="HT79" s="1831"/>
      <c r="HU79" s="1831"/>
      <c r="HV79" s="1831"/>
      <c r="HW79" s="1831"/>
      <c r="HX79" s="1831"/>
      <c r="HY79" s="1831"/>
      <c r="HZ79" s="1831"/>
      <c r="IA79" s="1831"/>
      <c r="IB79" s="1831"/>
      <c r="IC79" s="1831"/>
      <c r="ID79" s="1831"/>
      <c r="IE79" s="1831"/>
      <c r="IF79" s="1831"/>
      <c r="IG79" s="1831"/>
      <c r="IH79" s="1831"/>
      <c r="II79" s="1831"/>
      <c r="IJ79" s="1831"/>
      <c r="IK79" s="1831"/>
      <c r="IL79" s="1831"/>
      <c r="IM79" s="1831"/>
      <c r="IN79" s="1831"/>
      <c r="IO79" s="1831"/>
      <c r="IP79" s="1831"/>
      <c r="IQ79" s="1831"/>
      <c r="IR79" s="1831"/>
      <c r="IS79" s="1831"/>
      <c r="IT79" s="1831"/>
      <c r="IU79" s="1831"/>
      <c r="IV79" s="1831"/>
      <c r="IW79" s="1831"/>
      <c r="IX79" s="1831"/>
      <c r="IY79" s="1831"/>
      <c r="IZ79" s="1831"/>
      <c r="JA79" s="1831"/>
      <c r="JB79" s="1831"/>
      <c r="JC79" s="1831"/>
      <c r="JD79" s="1831"/>
      <c r="JE79" s="1831"/>
      <c r="JF79" s="1831"/>
      <c r="JG79" s="1831"/>
      <c r="JH79" s="1831"/>
      <c r="JI79" s="1831"/>
      <c r="JJ79" s="1831"/>
      <c r="JK79" s="1831"/>
      <c r="JL79" s="1831"/>
      <c r="JM79" s="1831"/>
      <c r="JN79" s="1831"/>
      <c r="JO79" s="1831"/>
      <c r="JP79" s="1831"/>
      <c r="JQ79" s="1831"/>
      <c r="JR79" s="1831"/>
      <c r="JS79" s="1831"/>
      <c r="JT79" s="1831"/>
      <c r="JU79" s="1831"/>
      <c r="JV79" s="1831"/>
      <c r="JW79" s="1831"/>
      <c r="JX79" s="1831"/>
      <c r="JY79" s="1831"/>
      <c r="JZ79" s="1831"/>
      <c r="KA79" s="1831"/>
      <c r="KB79" s="1831"/>
      <c r="KC79" s="1831"/>
      <c r="KD79" s="1831"/>
      <c r="KE79" s="1831"/>
      <c r="KF79" s="1831"/>
      <c r="KG79" s="1831"/>
      <c r="KH79" s="1831"/>
      <c r="KI79" s="1831"/>
      <c r="KJ79" s="1831"/>
      <c r="KK79" s="1831"/>
      <c r="KL79" s="1831"/>
      <c r="KM79" s="1831"/>
      <c r="KN79" s="1831"/>
      <c r="KO79" s="1831"/>
      <c r="KP79" s="1831"/>
      <c r="KQ79" s="1831"/>
      <c r="KR79" s="1831"/>
      <c r="KS79" s="1831"/>
      <c r="KT79" s="1831"/>
      <c r="KU79" s="1831"/>
      <c r="KV79" s="1831"/>
      <c r="KW79" s="1831"/>
      <c r="KX79" s="1831"/>
      <c r="KY79" s="1831"/>
      <c r="KZ79" s="1831"/>
      <c r="LA79" s="1831"/>
      <c r="LB79" s="1831"/>
      <c r="LC79" s="1831"/>
      <c r="LD79" s="1831"/>
      <c r="LE79" s="1831"/>
      <c r="LF79" s="1831"/>
      <c r="LG79" s="1831"/>
      <c r="LH79" s="1831"/>
      <c r="LI79" s="1831"/>
      <c r="LJ79" s="1831"/>
      <c r="LK79" s="1831"/>
      <c r="LL79" s="1831"/>
      <c r="LM79" s="1831"/>
      <c r="LN79" s="1831"/>
      <c r="LO79" s="1831"/>
      <c r="LP79" s="1831"/>
      <c r="LQ79" s="1831"/>
      <c r="LR79" s="1831"/>
      <c r="LS79" s="1831"/>
      <c r="LT79" s="1831"/>
      <c r="LU79" s="1831"/>
      <c r="LV79" s="1831"/>
      <c r="LW79" s="1831"/>
      <c r="LX79" s="1831"/>
      <c r="LY79" s="1831"/>
      <c r="LZ79" s="1831"/>
      <c r="MA79" s="1831"/>
      <c r="MB79" s="1831"/>
      <c r="MC79" s="1831"/>
      <c r="MD79" s="1831"/>
      <c r="ME79" s="1831"/>
      <c r="MF79" s="1831"/>
      <c r="MG79" s="1831"/>
      <c r="MH79" s="1831"/>
      <c r="MI79" s="1831"/>
      <c r="MJ79" s="1831"/>
      <c r="MK79" s="1831"/>
      <c r="ML79" s="1831"/>
      <c r="MM79" s="1831"/>
      <c r="MN79" s="1831"/>
      <c r="MO79" s="1831"/>
      <c r="MP79" s="1831"/>
      <c r="MQ79" s="1831"/>
      <c r="MR79" s="1831"/>
      <c r="MS79" s="1831"/>
      <c r="MT79" s="1831"/>
      <c r="MU79" s="1831"/>
      <c r="MV79" s="157"/>
      <c r="MW79" s="157"/>
      <c r="MX79" s="157"/>
      <c r="MY79" s="157"/>
      <c r="MZ79" s="157"/>
      <c r="NA79" s="157"/>
      <c r="NB79" s="157"/>
      <c r="NC79" s="157"/>
      <c r="ND79" s="157"/>
      <c r="NE79" s="157"/>
      <c r="NF79" s="157"/>
      <c r="NG79" s="157"/>
      <c r="NH79" s="157"/>
      <c r="NI79" s="157"/>
      <c r="NJ79" s="157"/>
      <c r="NK79" s="157"/>
      <c r="NL79" s="157"/>
      <c r="NM79" s="157"/>
      <c r="NN79" s="157"/>
      <c r="NO79" s="157"/>
      <c r="NP79" s="2807"/>
      <c r="NQ79" s="157"/>
      <c r="NR79" s="157"/>
      <c r="NS79" s="157"/>
      <c r="NT79" s="157"/>
      <c r="NU79" s="157"/>
      <c r="NV79" s="157"/>
      <c r="NW79" s="157"/>
      <c r="NX79" s="157"/>
      <c r="NY79" s="157"/>
      <c r="NZ79" s="157"/>
      <c r="OA79" s="157"/>
      <c r="OB79" s="157"/>
      <c r="OC79" s="157"/>
      <c r="OD79" s="157"/>
      <c r="OE79" s="157"/>
      <c r="OF79" s="157"/>
      <c r="OG79" s="157"/>
      <c r="OH79" s="157"/>
      <c r="OI79" s="157"/>
      <c r="OJ79" s="157"/>
      <c r="OK79" s="157"/>
      <c r="OL79" s="157"/>
      <c r="OM79" s="157"/>
      <c r="ON79" s="157"/>
      <c r="OO79" s="157"/>
      <c r="OP79" s="157"/>
      <c r="OQ79" s="157"/>
      <c r="OR79" s="157"/>
      <c r="OS79" s="157"/>
      <c r="OT79" s="157"/>
      <c r="OU79" s="157"/>
      <c r="OV79" s="157"/>
      <c r="OW79" s="157"/>
      <c r="OX79" s="157"/>
      <c r="OY79" s="157"/>
      <c r="OZ79" s="157"/>
      <c r="PA79" s="157"/>
      <c r="PB79" s="157"/>
      <c r="PC79" s="157"/>
      <c r="PD79" s="157"/>
      <c r="PE79" s="157"/>
      <c r="PF79" s="157"/>
      <c r="PG79" s="157"/>
      <c r="PH79" s="157"/>
      <c r="PI79" s="157"/>
      <c r="PJ79" s="157"/>
      <c r="PK79" s="157"/>
      <c r="PL79" s="157"/>
      <c r="PM79" s="157"/>
      <c r="PN79" s="157"/>
      <c r="PO79" s="157"/>
      <c r="PP79" s="157"/>
      <c r="PQ79" s="157"/>
      <c r="PR79" s="157"/>
      <c r="PS79" s="157"/>
      <c r="PT79" s="157"/>
      <c r="PU79" s="157"/>
      <c r="PV79" s="157"/>
      <c r="PW79" s="157"/>
      <c r="PX79" s="157"/>
      <c r="PY79" s="157"/>
      <c r="PZ79" s="157"/>
      <c r="QA79" s="157"/>
      <c r="QB79" s="157"/>
      <c r="QC79" s="157"/>
      <c r="QD79" s="157"/>
      <c r="QE79" s="157"/>
      <c r="QF79" s="157"/>
      <c r="QG79" s="157"/>
      <c r="QH79" s="157"/>
      <c r="QI79" s="157"/>
      <c r="QJ79" s="157"/>
      <c r="QK79" s="157"/>
      <c r="QL79" s="157"/>
      <c r="QM79" s="157"/>
      <c r="QN79" s="157"/>
      <c r="QO79" s="157"/>
      <c r="QP79" s="157"/>
      <c r="QQ79" s="157"/>
      <c r="QR79" s="157"/>
      <c r="QS79" s="157"/>
      <c r="QT79" s="157"/>
      <c r="QU79" s="157"/>
      <c r="QV79" s="157"/>
      <c r="QW79" s="157"/>
      <c r="QX79" s="157"/>
      <c r="QY79" s="157"/>
      <c r="QZ79" s="157"/>
      <c r="RA79" s="157"/>
      <c r="RB79" s="157"/>
      <c r="RC79" s="157"/>
      <c r="RD79" s="157"/>
      <c r="RE79" s="157"/>
      <c r="RF79" s="157"/>
      <c r="RG79" s="157"/>
      <c r="RH79" s="157"/>
      <c r="RI79" s="157"/>
      <c r="RJ79" s="157"/>
      <c r="RK79" s="157"/>
      <c r="RL79" s="157"/>
      <c r="RM79" s="157"/>
      <c r="RN79" s="157"/>
      <c r="RO79" s="157"/>
      <c r="RP79" s="157"/>
      <c r="RQ79" s="157"/>
    </row>
    <row r="80" spans="1:485" s="27" customFormat="1">
      <c r="B80" s="115"/>
      <c r="C80" s="202"/>
      <c r="D80" s="2923"/>
      <c r="E80" s="2923"/>
      <c r="F80" s="8"/>
      <c r="G80" s="8"/>
      <c r="H80" s="109" t="s">
        <v>6814</v>
      </c>
      <c r="I80" s="36"/>
      <c r="J80" s="1"/>
      <c r="K80" s="2913" t="str">
        <f>IF(OR(K59=0,P79="",K67=0),"",P79*K67)</f>
        <v/>
      </c>
      <c r="L80" s="2913" t="str">
        <f>IF(OR(L59=0,P79="",L67=0),"",P79*L67)</f>
        <v/>
      </c>
      <c r="M80" s="2913" t="str">
        <f>IF(OR(M59=0,P79="",M67=0),"",P79*M67)</f>
        <v/>
      </c>
      <c r="N80" s="2913" t="str">
        <f>IF(OR(N59=0,P79="",N67=0),"",P79*N67)</f>
        <v/>
      </c>
      <c r="O80" s="2913" t="str">
        <f>IF(OR(O59=0,P79="",O67=0),"",P79*O67)</f>
        <v/>
      </c>
      <c r="P80" s="2914" t="str">
        <f>IF(OR(P79="",P67=0),"",P79*P67)</f>
        <v/>
      </c>
      <c r="X80" s="1831"/>
      <c r="Y80" s="1831"/>
      <c r="Z80" s="1831"/>
      <c r="AA80" s="1831"/>
      <c r="AB80" s="1831"/>
      <c r="AC80" s="1831"/>
      <c r="AD80" s="1831"/>
      <c r="AE80" s="1831"/>
      <c r="AF80" s="1831"/>
      <c r="AG80" s="1831"/>
      <c r="AH80" s="1831"/>
      <c r="AI80" s="1831"/>
      <c r="AJ80" s="1831"/>
      <c r="AK80" s="1831"/>
      <c r="AL80" s="1831"/>
      <c r="AM80" s="1831"/>
      <c r="AN80" s="1831"/>
      <c r="AO80" s="1831"/>
      <c r="AP80" s="1831"/>
      <c r="AQ80" s="1831"/>
      <c r="AR80" s="1831"/>
      <c r="AS80" s="1831"/>
      <c r="AT80" s="1831"/>
      <c r="AU80" s="1831"/>
      <c r="AV80" s="1831"/>
      <c r="AW80" s="1831"/>
      <c r="AX80" s="1831"/>
      <c r="AY80" s="1831"/>
      <c r="AZ80" s="1831"/>
      <c r="BA80" s="1831"/>
      <c r="BB80" s="1831"/>
      <c r="BC80" s="1831"/>
      <c r="BD80" s="1831"/>
      <c r="BE80" s="1831"/>
      <c r="BF80" s="1831"/>
      <c r="BG80" s="1831"/>
      <c r="BH80" s="1831"/>
      <c r="BI80" s="1831"/>
      <c r="BJ80" s="1831"/>
      <c r="BK80" s="1831"/>
      <c r="BL80" s="1831"/>
      <c r="BM80" s="1831"/>
      <c r="BN80" s="1831"/>
      <c r="BO80" s="1831"/>
      <c r="BP80" s="1831"/>
      <c r="BQ80" s="1831"/>
      <c r="BR80" s="1831"/>
      <c r="BS80" s="1831"/>
      <c r="BT80" s="1831"/>
      <c r="BU80" s="1831"/>
      <c r="BV80" s="1831"/>
      <c r="BW80" s="1831"/>
      <c r="BX80" s="1831"/>
      <c r="BY80" s="1831"/>
      <c r="BZ80" s="1831"/>
      <c r="CA80" s="1831"/>
      <c r="CB80" s="1831"/>
      <c r="CC80" s="1831"/>
      <c r="CD80" s="1831"/>
      <c r="CE80" s="1831"/>
      <c r="CF80" s="1831"/>
      <c r="CG80" s="1831"/>
      <c r="CH80" s="1831"/>
      <c r="CI80" s="1831"/>
      <c r="CJ80" s="1831"/>
      <c r="CK80" s="1831"/>
      <c r="CL80" s="1831"/>
      <c r="CM80" s="1831"/>
      <c r="CN80" s="1831"/>
      <c r="CO80" s="1831"/>
      <c r="CP80" s="1831"/>
      <c r="CQ80" s="1831"/>
      <c r="CR80" s="1831"/>
      <c r="CS80" s="1831"/>
      <c r="CT80" s="1831"/>
      <c r="CU80" s="1831"/>
      <c r="CV80" s="1831"/>
      <c r="CW80" s="1831"/>
      <c r="CX80" s="1831"/>
      <c r="CY80" s="1831"/>
      <c r="CZ80" s="1831"/>
      <c r="DA80" s="1831"/>
      <c r="DB80" s="1831"/>
      <c r="DC80" s="1831"/>
      <c r="DD80" s="1831"/>
      <c r="DE80" s="1831"/>
      <c r="DF80" s="1831"/>
      <c r="DG80" s="1831"/>
      <c r="DH80" s="1831"/>
      <c r="DI80" s="1831"/>
      <c r="DJ80" s="1831"/>
      <c r="DK80" s="1831"/>
      <c r="DL80" s="1831"/>
      <c r="DM80" s="1831"/>
      <c r="DN80" s="1831"/>
      <c r="DO80" s="1831"/>
      <c r="DP80" s="1831"/>
      <c r="DQ80" s="1831"/>
      <c r="DR80" s="1831"/>
      <c r="DS80" s="1831"/>
      <c r="DT80" s="1831"/>
      <c r="DU80" s="1831"/>
      <c r="DV80" s="1831"/>
      <c r="DW80" s="1831"/>
      <c r="DX80" s="1831"/>
      <c r="DY80" s="1831"/>
      <c r="DZ80" s="1831"/>
      <c r="EA80" s="1831"/>
      <c r="EB80" s="1831"/>
      <c r="EC80" s="1831"/>
      <c r="ED80" s="1831"/>
      <c r="EE80" s="1831"/>
      <c r="EF80" s="1831"/>
      <c r="EG80" s="1831"/>
      <c r="EH80" s="1831"/>
      <c r="EI80" s="1831"/>
      <c r="EJ80" s="1831"/>
      <c r="EK80" s="1831"/>
      <c r="EL80" s="1831"/>
      <c r="EM80" s="1831"/>
      <c r="EN80" s="1831"/>
      <c r="EO80" s="1831"/>
      <c r="EP80" s="1831"/>
      <c r="EQ80" s="1831"/>
      <c r="ER80" s="1831"/>
      <c r="ES80" s="1831"/>
      <c r="ET80" s="1831"/>
      <c r="EU80" s="1831"/>
      <c r="EV80" s="1831"/>
      <c r="EW80" s="1831"/>
      <c r="EX80" s="1831"/>
      <c r="EY80" s="1831"/>
      <c r="EZ80" s="1831"/>
      <c r="FA80" s="1831"/>
      <c r="FB80" s="1831"/>
      <c r="FC80" s="1831"/>
      <c r="FD80" s="1831"/>
      <c r="FE80" s="1831"/>
      <c r="FF80" s="1831"/>
      <c r="FG80" s="1831"/>
      <c r="FH80" s="1831"/>
      <c r="FI80" s="1831"/>
      <c r="FJ80" s="1831"/>
      <c r="FK80" s="1831"/>
      <c r="FL80" s="1831"/>
      <c r="FM80" s="1831"/>
      <c r="FN80" s="1831"/>
      <c r="FO80" s="1831"/>
      <c r="FP80" s="1831"/>
      <c r="FQ80" s="1831"/>
      <c r="FR80" s="1831"/>
      <c r="FS80" s="1831"/>
      <c r="FT80" s="1831"/>
      <c r="FU80" s="1831"/>
      <c r="FV80" s="1831"/>
      <c r="FW80" s="1831"/>
      <c r="FX80" s="1831"/>
      <c r="FY80" s="1831"/>
      <c r="FZ80" s="1831"/>
      <c r="GA80" s="1831"/>
      <c r="GB80" s="1831"/>
      <c r="GC80" s="1831"/>
      <c r="GD80" s="1831"/>
      <c r="GE80" s="1831"/>
      <c r="GF80" s="1831"/>
      <c r="GG80" s="1831"/>
      <c r="GH80" s="1831"/>
      <c r="GI80" s="1831"/>
      <c r="GJ80" s="1831"/>
      <c r="GK80" s="1831"/>
      <c r="GL80" s="1831"/>
      <c r="GM80" s="1831"/>
      <c r="GN80" s="1831"/>
      <c r="GO80" s="1831"/>
      <c r="GP80" s="1831"/>
      <c r="GQ80" s="1831"/>
      <c r="GR80" s="1831"/>
      <c r="GS80" s="1831"/>
      <c r="GT80" s="1831"/>
      <c r="GU80" s="1831"/>
      <c r="GV80" s="1831"/>
      <c r="GW80" s="1831"/>
      <c r="GX80" s="1831"/>
      <c r="GY80" s="1831"/>
      <c r="GZ80" s="1831"/>
      <c r="HA80" s="1831"/>
      <c r="HB80" s="1831"/>
      <c r="HC80" s="1831"/>
      <c r="HD80" s="1831"/>
      <c r="HE80" s="1831"/>
      <c r="HF80" s="1831"/>
      <c r="HG80" s="1831"/>
      <c r="HH80" s="1831"/>
      <c r="HI80" s="1831"/>
      <c r="HJ80" s="1831"/>
      <c r="HK80" s="1831"/>
      <c r="HL80" s="1831"/>
      <c r="HM80" s="1831"/>
      <c r="HN80" s="1831"/>
      <c r="HO80" s="1831"/>
      <c r="HP80" s="1831"/>
      <c r="HQ80" s="1831"/>
      <c r="HR80" s="1831"/>
      <c r="HS80" s="1831"/>
      <c r="HT80" s="1831"/>
      <c r="HU80" s="1831"/>
      <c r="HV80" s="1831"/>
      <c r="HW80" s="1831"/>
      <c r="HX80" s="1831"/>
      <c r="HY80" s="1831"/>
      <c r="HZ80" s="1831"/>
      <c r="IA80" s="1831"/>
      <c r="IB80" s="1831"/>
      <c r="IC80" s="1831"/>
      <c r="ID80" s="1831"/>
      <c r="IE80" s="1831"/>
      <c r="IF80" s="1831"/>
      <c r="IG80" s="1831"/>
      <c r="IH80" s="1831"/>
      <c r="II80" s="1831"/>
      <c r="IJ80" s="1831"/>
      <c r="IK80" s="1831"/>
      <c r="IL80" s="1831"/>
      <c r="IM80" s="1831"/>
      <c r="IN80" s="1831"/>
      <c r="IO80" s="1831"/>
      <c r="IP80" s="1831"/>
      <c r="IQ80" s="1831"/>
      <c r="IR80" s="1831"/>
      <c r="IS80" s="1831"/>
      <c r="IT80" s="1831"/>
      <c r="IU80" s="1831"/>
      <c r="IV80" s="1831"/>
      <c r="IW80" s="1831"/>
      <c r="IX80" s="1831"/>
      <c r="IY80" s="1831"/>
      <c r="IZ80" s="1831"/>
      <c r="JA80" s="1831"/>
      <c r="JB80" s="1831"/>
      <c r="JC80" s="1831"/>
      <c r="JD80" s="1831"/>
      <c r="JE80" s="1831"/>
      <c r="JF80" s="1831"/>
      <c r="JG80" s="1831"/>
      <c r="JH80" s="1831"/>
      <c r="JI80" s="1831"/>
      <c r="JJ80" s="1831"/>
      <c r="JK80" s="1831"/>
      <c r="JL80" s="1831"/>
      <c r="JM80" s="1831"/>
      <c r="JN80" s="1831"/>
      <c r="JO80" s="1831"/>
      <c r="JP80" s="1831"/>
      <c r="JQ80" s="1831"/>
      <c r="JR80" s="1831"/>
      <c r="JS80" s="1831"/>
      <c r="JT80" s="1831"/>
      <c r="JU80" s="1831"/>
      <c r="JV80" s="1831"/>
      <c r="JW80" s="1831"/>
      <c r="JX80" s="1831"/>
      <c r="JY80" s="1831"/>
      <c r="JZ80" s="1831"/>
      <c r="KA80" s="1831"/>
      <c r="KB80" s="1831"/>
      <c r="KC80" s="1831"/>
      <c r="KD80" s="1831"/>
      <c r="KE80" s="1831"/>
      <c r="KF80" s="1831"/>
      <c r="KG80" s="1831"/>
      <c r="KH80" s="1831"/>
      <c r="KI80" s="1831"/>
      <c r="KJ80" s="1831"/>
      <c r="KK80" s="1831"/>
      <c r="KL80" s="1831"/>
      <c r="KM80" s="1831"/>
      <c r="KN80" s="1831"/>
      <c r="KO80" s="1831"/>
      <c r="KP80" s="1831"/>
      <c r="KQ80" s="1831"/>
      <c r="KR80" s="1831"/>
      <c r="KS80" s="1831"/>
      <c r="KT80" s="1831"/>
      <c r="KU80" s="1831"/>
      <c r="KV80" s="1831"/>
      <c r="KW80" s="1831"/>
      <c r="KX80" s="1831"/>
      <c r="KY80" s="1831"/>
      <c r="KZ80" s="1831"/>
      <c r="LA80" s="1831"/>
      <c r="LB80" s="1831"/>
      <c r="LC80" s="1831"/>
      <c r="LD80" s="1831"/>
      <c r="LE80" s="1831"/>
      <c r="LF80" s="1831"/>
      <c r="LG80" s="1831"/>
      <c r="LH80" s="1831"/>
      <c r="LI80" s="1831"/>
      <c r="LJ80" s="1831"/>
      <c r="LK80" s="1831"/>
      <c r="LL80" s="1831"/>
      <c r="LM80" s="1831"/>
      <c r="LN80" s="1831"/>
      <c r="LO80" s="1831"/>
      <c r="LP80" s="1831"/>
      <c r="LQ80" s="1831"/>
      <c r="LR80" s="1831"/>
      <c r="LS80" s="1831"/>
      <c r="LT80" s="1831"/>
      <c r="LU80" s="1831"/>
      <c r="LV80" s="1831"/>
      <c r="LW80" s="1831"/>
      <c r="LX80" s="1831"/>
      <c r="LY80" s="1831"/>
      <c r="LZ80" s="1831"/>
      <c r="MA80" s="1831"/>
      <c r="MB80" s="1831"/>
      <c r="MC80" s="1831"/>
      <c r="MD80" s="1831"/>
      <c r="ME80" s="1831"/>
      <c r="MF80" s="1831"/>
      <c r="MG80" s="1831"/>
      <c r="MH80" s="1831"/>
      <c r="MI80" s="1831"/>
      <c r="MJ80" s="1831"/>
      <c r="MK80" s="1831"/>
      <c r="ML80" s="1831"/>
      <c r="MM80" s="1831"/>
      <c r="MN80" s="1831"/>
      <c r="MO80" s="1831"/>
      <c r="MP80" s="1831"/>
      <c r="MQ80" s="1831"/>
      <c r="MR80" s="1831"/>
      <c r="MS80" s="1831"/>
      <c r="MT80" s="1831"/>
      <c r="MU80" s="1831"/>
      <c r="MV80" s="157"/>
      <c r="MW80" s="157"/>
      <c r="MX80" s="157"/>
      <c r="MY80" s="157"/>
      <c r="MZ80" s="157"/>
      <c r="NA80" s="157"/>
      <c r="NB80" s="157"/>
      <c r="NC80" s="157"/>
      <c r="ND80" s="157"/>
      <c r="NE80" s="157"/>
      <c r="NF80" s="157"/>
      <c r="NG80" s="157"/>
      <c r="NH80" s="157"/>
      <c r="NI80" s="157"/>
      <c r="NJ80" s="157"/>
      <c r="NK80" s="157"/>
      <c r="NL80" s="157"/>
      <c r="NM80" s="157"/>
      <c r="NN80" s="157"/>
      <c r="NO80" s="157"/>
      <c r="NP80" s="2807"/>
      <c r="NQ80" s="157"/>
      <c r="NR80" s="157"/>
      <c r="NS80" s="157"/>
      <c r="NT80" s="157"/>
      <c r="NU80" s="157"/>
      <c r="NV80" s="157"/>
      <c r="NW80" s="157"/>
      <c r="NX80" s="157"/>
      <c r="NY80" s="157"/>
      <c r="NZ80" s="157"/>
      <c r="OA80" s="157"/>
      <c r="OB80" s="157"/>
      <c r="OC80" s="157"/>
      <c r="OD80" s="157"/>
      <c r="OE80" s="157"/>
      <c r="OF80" s="157"/>
      <c r="OG80" s="157"/>
      <c r="OH80" s="157"/>
      <c r="OI80" s="157"/>
      <c r="OJ80" s="157"/>
      <c r="OK80" s="157"/>
      <c r="OL80" s="157"/>
      <c r="OM80" s="157"/>
      <c r="ON80" s="157"/>
      <c r="OO80" s="157"/>
      <c r="OP80" s="157"/>
      <c r="OQ80" s="157"/>
      <c r="OR80" s="157"/>
      <c r="OS80" s="157"/>
      <c r="OT80" s="157"/>
      <c r="OU80" s="157"/>
      <c r="OV80" s="157"/>
      <c r="OW80" s="157"/>
      <c r="OX80" s="157"/>
      <c r="OY80" s="157"/>
      <c r="OZ80" s="157"/>
      <c r="PA80" s="157"/>
      <c r="PB80" s="157"/>
      <c r="PC80" s="157"/>
      <c r="PD80" s="157"/>
      <c r="PE80" s="157"/>
      <c r="PF80" s="157"/>
      <c r="PG80" s="157"/>
      <c r="PH80" s="157"/>
      <c r="PI80" s="157"/>
      <c r="PJ80" s="157"/>
      <c r="PK80" s="157"/>
      <c r="PL80" s="157"/>
      <c r="PM80" s="157"/>
      <c r="PN80" s="157"/>
      <c r="PO80" s="157"/>
      <c r="PP80" s="157"/>
      <c r="PQ80" s="157"/>
      <c r="PR80" s="157"/>
      <c r="PS80" s="157"/>
      <c r="PT80" s="157"/>
      <c r="PU80" s="157"/>
      <c r="PV80" s="157"/>
      <c r="PW80" s="157"/>
      <c r="PX80" s="157"/>
      <c r="PY80" s="157"/>
      <c r="PZ80" s="157"/>
      <c r="QA80" s="157"/>
      <c r="QB80" s="157"/>
      <c r="QC80" s="157"/>
      <c r="QD80" s="157"/>
      <c r="QE80" s="157"/>
      <c r="QF80" s="157"/>
      <c r="QG80" s="157"/>
      <c r="QH80" s="157"/>
      <c r="QI80" s="157"/>
      <c r="QJ80" s="157"/>
      <c r="QK80" s="157"/>
      <c r="QL80" s="157"/>
      <c r="QM80" s="157"/>
      <c r="QN80" s="157"/>
      <c r="QO80" s="157"/>
      <c r="QP80" s="157"/>
      <c r="QQ80" s="157"/>
      <c r="QR80" s="157"/>
      <c r="QS80" s="157"/>
      <c r="QT80" s="157"/>
      <c r="QU80" s="157"/>
      <c r="QV80" s="157"/>
      <c r="QW80" s="157"/>
      <c r="QX80" s="157"/>
      <c r="QY80" s="157"/>
      <c r="QZ80" s="157"/>
      <c r="RA80" s="157"/>
      <c r="RB80" s="157"/>
      <c r="RC80" s="157"/>
      <c r="RD80" s="157"/>
      <c r="RE80" s="157"/>
      <c r="RF80" s="157"/>
      <c r="RG80" s="157"/>
      <c r="RH80" s="157"/>
      <c r="RI80" s="157"/>
      <c r="RJ80" s="157"/>
      <c r="RK80" s="157"/>
      <c r="RL80" s="157"/>
      <c r="RM80" s="157"/>
      <c r="RN80" s="157"/>
      <c r="RO80" s="157"/>
      <c r="RP80" s="157"/>
      <c r="RQ80" s="157"/>
    </row>
    <row r="81" spans="1:485" s="27" customFormat="1">
      <c r="B81" s="115"/>
      <c r="C81" s="202"/>
      <c r="D81" s="2923"/>
      <c r="E81" s="2923"/>
      <c r="F81" s="8"/>
      <c r="G81" s="1579"/>
      <c r="H81" s="2915" t="s">
        <v>6815</v>
      </c>
      <c r="I81" s="2916"/>
      <c r="J81" s="1"/>
      <c r="K81" s="2917" t="str">
        <f t="shared" ref="K81:P81" si="359">IF(OR(K80="",K59=0),"", K59-K80)</f>
        <v/>
      </c>
      <c r="L81" s="2917" t="str">
        <f t="shared" si="359"/>
        <v/>
      </c>
      <c r="M81" s="2917" t="str">
        <f t="shared" si="359"/>
        <v/>
      </c>
      <c r="N81" s="2917" t="str">
        <f t="shared" si="359"/>
        <v/>
      </c>
      <c r="O81" s="2917" t="str">
        <f t="shared" si="359"/>
        <v/>
      </c>
      <c r="P81" s="2917" t="str">
        <f t="shared" si="359"/>
        <v/>
      </c>
      <c r="X81" s="1831"/>
      <c r="Y81" s="1831"/>
      <c r="Z81" s="1831"/>
      <c r="AA81" s="1831"/>
      <c r="AB81" s="1831"/>
      <c r="AC81" s="1831"/>
      <c r="AD81" s="1831"/>
      <c r="AE81" s="1831"/>
      <c r="AF81" s="1831"/>
      <c r="AG81" s="1831"/>
      <c r="AH81" s="1831"/>
      <c r="AI81" s="1831"/>
      <c r="AJ81" s="1831"/>
      <c r="AK81" s="1831"/>
      <c r="AL81" s="1831"/>
      <c r="AM81" s="1831"/>
      <c r="AN81" s="1831"/>
      <c r="AO81" s="1831"/>
      <c r="AP81" s="1831"/>
      <c r="AQ81" s="1831"/>
      <c r="AR81" s="1831"/>
      <c r="AS81" s="1831"/>
      <c r="AT81" s="1831"/>
      <c r="AU81" s="1831"/>
      <c r="AV81" s="1831"/>
      <c r="AW81" s="1831"/>
      <c r="AX81" s="1831"/>
      <c r="AY81" s="1831"/>
      <c r="AZ81" s="1831"/>
      <c r="BA81" s="1831"/>
      <c r="BB81" s="1831"/>
      <c r="BC81" s="1831"/>
      <c r="BD81" s="1831"/>
      <c r="BE81" s="1831"/>
      <c r="BF81" s="1831"/>
      <c r="BG81" s="1831"/>
      <c r="BH81" s="1831"/>
      <c r="BI81" s="1831"/>
      <c r="BJ81" s="1831"/>
      <c r="BK81" s="1831"/>
      <c r="BL81" s="1831"/>
      <c r="BM81" s="1831"/>
      <c r="BN81" s="1831"/>
      <c r="BO81" s="1831"/>
      <c r="BP81" s="1831"/>
      <c r="BQ81" s="1831"/>
      <c r="BR81" s="1831"/>
      <c r="BS81" s="1831"/>
      <c r="BT81" s="1831"/>
      <c r="BU81" s="1831"/>
      <c r="BV81" s="1831"/>
      <c r="BW81" s="1831"/>
      <c r="BX81" s="1831"/>
      <c r="BY81" s="1831"/>
      <c r="BZ81" s="1831"/>
      <c r="CA81" s="1831"/>
      <c r="CB81" s="1831"/>
      <c r="CC81" s="1831"/>
      <c r="CD81" s="1831"/>
      <c r="CE81" s="1831"/>
      <c r="CF81" s="1831"/>
      <c r="CG81" s="1831"/>
      <c r="CH81" s="1831"/>
      <c r="CI81" s="1831"/>
      <c r="CJ81" s="1831"/>
      <c r="CK81" s="1831"/>
      <c r="CL81" s="1831"/>
      <c r="CM81" s="1831"/>
      <c r="CN81" s="1831"/>
      <c r="CO81" s="1831"/>
      <c r="CP81" s="1831"/>
      <c r="CQ81" s="1831"/>
      <c r="CR81" s="1831"/>
      <c r="CS81" s="1831"/>
      <c r="CT81" s="1831"/>
      <c r="CU81" s="1831"/>
      <c r="CV81" s="1831"/>
      <c r="CW81" s="1831"/>
      <c r="CX81" s="1831"/>
      <c r="CY81" s="1831"/>
      <c r="CZ81" s="1831"/>
      <c r="DA81" s="1831"/>
      <c r="DB81" s="1831"/>
      <c r="DC81" s="1831"/>
      <c r="DD81" s="1831"/>
      <c r="DE81" s="1831"/>
      <c r="DF81" s="1831"/>
      <c r="DG81" s="1831"/>
      <c r="DH81" s="1831"/>
      <c r="DI81" s="1831"/>
      <c r="DJ81" s="1831"/>
      <c r="DK81" s="1831"/>
      <c r="DL81" s="1831"/>
      <c r="DM81" s="1831"/>
      <c r="DN81" s="1831"/>
      <c r="DO81" s="1831"/>
      <c r="DP81" s="1831"/>
      <c r="DQ81" s="1831"/>
      <c r="DR81" s="1831"/>
      <c r="DS81" s="1831"/>
      <c r="DT81" s="1831"/>
      <c r="DU81" s="1831"/>
      <c r="DV81" s="1831"/>
      <c r="DW81" s="1831"/>
      <c r="DX81" s="1831"/>
      <c r="DY81" s="1831"/>
      <c r="DZ81" s="1831"/>
      <c r="EA81" s="1831"/>
      <c r="EB81" s="1831"/>
      <c r="EC81" s="1831"/>
      <c r="ED81" s="1831"/>
      <c r="EE81" s="1831"/>
      <c r="EF81" s="1831"/>
      <c r="EG81" s="1831"/>
      <c r="EH81" s="1831"/>
      <c r="EI81" s="1831"/>
      <c r="EJ81" s="1831"/>
      <c r="EK81" s="1831"/>
      <c r="EL81" s="1831"/>
      <c r="EM81" s="1831"/>
      <c r="EN81" s="1831"/>
      <c r="EO81" s="1831"/>
      <c r="EP81" s="1831"/>
      <c r="EQ81" s="1831"/>
      <c r="ER81" s="1831"/>
      <c r="ES81" s="1831"/>
      <c r="ET81" s="1831"/>
      <c r="EU81" s="1831"/>
      <c r="EV81" s="1831"/>
      <c r="EW81" s="1831"/>
      <c r="EX81" s="1831"/>
      <c r="EY81" s="1831"/>
      <c r="EZ81" s="1831"/>
      <c r="FA81" s="1831"/>
      <c r="FB81" s="1831"/>
      <c r="FC81" s="1831"/>
      <c r="FD81" s="1831"/>
      <c r="FE81" s="1831"/>
      <c r="FF81" s="1831"/>
      <c r="FG81" s="1831"/>
      <c r="FH81" s="1831"/>
      <c r="FI81" s="1831"/>
      <c r="FJ81" s="1831"/>
      <c r="FK81" s="1831"/>
      <c r="FL81" s="1831"/>
      <c r="FM81" s="1831"/>
      <c r="FN81" s="1831"/>
      <c r="FO81" s="1831"/>
      <c r="FP81" s="1831"/>
      <c r="FQ81" s="1831"/>
      <c r="FR81" s="1831"/>
      <c r="FS81" s="1831"/>
      <c r="FT81" s="1831"/>
      <c r="FU81" s="1831"/>
      <c r="FV81" s="1831"/>
      <c r="FW81" s="1831"/>
      <c r="FX81" s="1831"/>
      <c r="FY81" s="1831"/>
      <c r="FZ81" s="1831"/>
      <c r="GA81" s="1831"/>
      <c r="GB81" s="1831"/>
      <c r="GC81" s="1831"/>
      <c r="GD81" s="1831"/>
      <c r="GE81" s="1831"/>
      <c r="GF81" s="1831"/>
      <c r="GG81" s="1831"/>
      <c r="GH81" s="1831"/>
      <c r="GI81" s="1831"/>
      <c r="GJ81" s="1831"/>
      <c r="GK81" s="1831"/>
      <c r="GL81" s="1831"/>
      <c r="GM81" s="1831"/>
      <c r="GN81" s="1831"/>
      <c r="GO81" s="1831"/>
      <c r="GP81" s="1831"/>
      <c r="GQ81" s="1831"/>
      <c r="GR81" s="1831"/>
      <c r="GS81" s="1831"/>
      <c r="GT81" s="1831"/>
      <c r="GU81" s="1831"/>
      <c r="GV81" s="1831"/>
      <c r="GW81" s="1831"/>
      <c r="GX81" s="1831"/>
      <c r="GY81" s="1831"/>
      <c r="GZ81" s="1831"/>
      <c r="HA81" s="1831"/>
      <c r="HB81" s="1831"/>
      <c r="HC81" s="1831"/>
      <c r="HD81" s="1831"/>
      <c r="HE81" s="1831"/>
      <c r="HF81" s="1831"/>
      <c r="HG81" s="1831"/>
      <c r="HH81" s="1831"/>
      <c r="HI81" s="1831"/>
      <c r="HJ81" s="1831"/>
      <c r="HK81" s="1831"/>
      <c r="HL81" s="1831"/>
      <c r="HM81" s="1831"/>
      <c r="HN81" s="1831"/>
      <c r="HO81" s="1831"/>
      <c r="HP81" s="1831"/>
      <c r="HQ81" s="1831"/>
      <c r="HR81" s="1831"/>
      <c r="HS81" s="1831"/>
      <c r="HT81" s="1831"/>
      <c r="HU81" s="1831"/>
      <c r="HV81" s="1831"/>
      <c r="HW81" s="1831"/>
      <c r="HX81" s="1831"/>
      <c r="HY81" s="1831"/>
      <c r="HZ81" s="1831"/>
      <c r="IA81" s="1831"/>
      <c r="IB81" s="1831"/>
      <c r="IC81" s="1831"/>
      <c r="ID81" s="1831"/>
      <c r="IE81" s="1831"/>
      <c r="IF81" s="1831"/>
      <c r="IG81" s="1831"/>
      <c r="IH81" s="1831"/>
      <c r="II81" s="1831"/>
      <c r="IJ81" s="1831"/>
      <c r="IK81" s="1831"/>
      <c r="IL81" s="1831"/>
      <c r="IM81" s="1831"/>
      <c r="IN81" s="1831"/>
      <c r="IO81" s="1831"/>
      <c r="IP81" s="1831"/>
      <c r="IQ81" s="1831"/>
      <c r="IR81" s="1831"/>
      <c r="IS81" s="1831"/>
      <c r="IT81" s="1831"/>
      <c r="IU81" s="1831"/>
      <c r="IV81" s="1831"/>
      <c r="IW81" s="1831"/>
      <c r="IX81" s="1831"/>
      <c r="IY81" s="1831"/>
      <c r="IZ81" s="1831"/>
      <c r="JA81" s="1831"/>
      <c r="JB81" s="1831"/>
      <c r="JC81" s="1831"/>
      <c r="JD81" s="1831"/>
      <c r="JE81" s="1831"/>
      <c r="JF81" s="1831"/>
      <c r="JG81" s="1831"/>
      <c r="JH81" s="1831"/>
      <c r="JI81" s="1831"/>
      <c r="JJ81" s="1831"/>
      <c r="JK81" s="1831"/>
      <c r="JL81" s="1831"/>
      <c r="JM81" s="1831"/>
      <c r="JN81" s="1831"/>
      <c r="JO81" s="1831"/>
      <c r="JP81" s="1831"/>
      <c r="JQ81" s="1831"/>
      <c r="JR81" s="1831"/>
      <c r="JS81" s="1831"/>
      <c r="JT81" s="1831"/>
      <c r="JU81" s="1831"/>
      <c r="JV81" s="1831"/>
      <c r="JW81" s="1831"/>
      <c r="JX81" s="1831"/>
      <c r="JY81" s="1831"/>
      <c r="JZ81" s="1831"/>
      <c r="KA81" s="1831"/>
      <c r="KB81" s="1831"/>
      <c r="KC81" s="1831"/>
      <c r="KD81" s="1831"/>
      <c r="KE81" s="1831"/>
      <c r="KF81" s="1831"/>
      <c r="KG81" s="1831"/>
      <c r="KH81" s="1831"/>
      <c r="KI81" s="1831"/>
      <c r="KJ81" s="1831"/>
      <c r="KK81" s="1831"/>
      <c r="KL81" s="1831"/>
      <c r="KM81" s="1831"/>
      <c r="KN81" s="1831"/>
      <c r="KO81" s="1831"/>
      <c r="KP81" s="1831"/>
      <c r="KQ81" s="1831"/>
      <c r="KR81" s="1831"/>
      <c r="KS81" s="1831"/>
      <c r="KT81" s="1831"/>
      <c r="KU81" s="1831"/>
      <c r="KV81" s="1831"/>
      <c r="KW81" s="1831"/>
      <c r="KX81" s="1831"/>
      <c r="KY81" s="1831"/>
      <c r="KZ81" s="1831"/>
      <c r="LA81" s="1831"/>
      <c r="LB81" s="1831"/>
      <c r="LC81" s="1831"/>
      <c r="LD81" s="1831"/>
      <c r="LE81" s="1831"/>
      <c r="LF81" s="1831"/>
      <c r="LG81" s="1831"/>
      <c r="LH81" s="1831"/>
      <c r="LI81" s="1831"/>
      <c r="LJ81" s="1831"/>
      <c r="LK81" s="1831"/>
      <c r="LL81" s="1831"/>
      <c r="LM81" s="1831"/>
      <c r="LN81" s="1831"/>
      <c r="LO81" s="1831"/>
      <c r="LP81" s="1831"/>
      <c r="LQ81" s="1831"/>
      <c r="LR81" s="1831"/>
      <c r="LS81" s="1831"/>
      <c r="LT81" s="1831"/>
      <c r="LU81" s="1831"/>
      <c r="LV81" s="1831"/>
      <c r="LW81" s="1831"/>
      <c r="LX81" s="1831"/>
      <c r="LY81" s="1831"/>
      <c r="LZ81" s="1831"/>
      <c r="MA81" s="1831"/>
      <c r="MB81" s="1831"/>
      <c r="MC81" s="1831"/>
      <c r="MD81" s="1831"/>
      <c r="ME81" s="1831"/>
      <c r="MF81" s="1831"/>
      <c r="MG81" s="1831"/>
      <c r="MH81" s="1831"/>
      <c r="MI81" s="1831"/>
      <c r="MJ81" s="1831"/>
      <c r="MK81" s="1831"/>
      <c r="ML81" s="1831"/>
      <c r="MM81" s="1831"/>
      <c r="MN81" s="1831"/>
      <c r="MO81" s="1831"/>
      <c r="MP81" s="1831"/>
      <c r="MQ81" s="1831"/>
      <c r="MR81" s="1831"/>
      <c r="MS81" s="1831"/>
      <c r="MT81" s="1831"/>
      <c r="MU81" s="1831"/>
      <c r="MV81" s="157"/>
      <c r="MW81" s="157"/>
      <c r="MX81" s="157"/>
      <c r="MY81" s="157"/>
      <c r="MZ81" s="157"/>
      <c r="NA81" s="157"/>
      <c r="NB81" s="157"/>
      <c r="NC81" s="157"/>
      <c r="ND81" s="157"/>
      <c r="NE81" s="157"/>
      <c r="NF81" s="157"/>
      <c r="NG81" s="157"/>
      <c r="NH81" s="157"/>
      <c r="NI81" s="157"/>
      <c r="NJ81" s="157"/>
      <c r="NK81" s="157"/>
      <c r="NL81" s="157"/>
      <c r="NM81" s="157"/>
      <c r="NN81" s="157"/>
      <c r="NO81" s="157"/>
      <c r="NP81" s="2807"/>
      <c r="NQ81" s="157"/>
      <c r="NR81" s="157"/>
      <c r="NS81" s="157"/>
      <c r="NT81" s="157"/>
      <c r="NU81" s="157"/>
      <c r="NV81" s="157"/>
      <c r="NW81" s="157"/>
      <c r="NX81" s="157"/>
      <c r="NY81" s="157"/>
      <c r="NZ81" s="157"/>
      <c r="OA81" s="157"/>
      <c r="OB81" s="157"/>
      <c r="OC81" s="157"/>
      <c r="OD81" s="157"/>
      <c r="OE81" s="157"/>
      <c r="OF81" s="157"/>
      <c r="OG81" s="157"/>
      <c r="OH81" s="157"/>
      <c r="OI81" s="157"/>
      <c r="OJ81" s="157"/>
      <c r="OK81" s="157"/>
      <c r="OL81" s="157"/>
      <c r="OM81" s="157"/>
      <c r="ON81" s="157"/>
      <c r="OO81" s="157"/>
      <c r="OP81" s="157"/>
      <c r="OQ81" s="157"/>
      <c r="OR81" s="157"/>
      <c r="OS81" s="157"/>
      <c r="OT81" s="157"/>
      <c r="OU81" s="157"/>
      <c r="OV81" s="157"/>
      <c r="OW81" s="157"/>
      <c r="OX81" s="157"/>
      <c r="OY81" s="157"/>
      <c r="OZ81" s="157"/>
      <c r="PA81" s="157"/>
      <c r="PB81" s="157"/>
      <c r="PC81" s="157"/>
      <c r="PD81" s="157"/>
      <c r="PE81" s="157"/>
      <c r="PF81" s="157"/>
      <c r="PG81" s="157"/>
      <c r="PH81" s="157"/>
      <c r="PI81" s="157"/>
      <c r="PJ81" s="157"/>
      <c r="PK81" s="157"/>
      <c r="PL81" s="157"/>
      <c r="PM81" s="157"/>
      <c r="PN81" s="157"/>
      <c r="PO81" s="157"/>
      <c r="PP81" s="157"/>
      <c r="PQ81" s="157"/>
      <c r="PR81" s="157"/>
      <c r="PS81" s="157"/>
      <c r="PT81" s="157"/>
      <c r="PU81" s="157"/>
      <c r="PV81" s="157"/>
      <c r="PW81" s="157"/>
      <c r="PX81" s="157"/>
      <c r="PY81" s="157"/>
      <c r="PZ81" s="157"/>
      <c r="QA81" s="157"/>
      <c r="QB81" s="157"/>
      <c r="QC81" s="157"/>
      <c r="QD81" s="157"/>
      <c r="QE81" s="157"/>
      <c r="QF81" s="157"/>
      <c r="QG81" s="157"/>
      <c r="QH81" s="157"/>
      <c r="QI81" s="157"/>
      <c r="QJ81" s="157"/>
      <c r="QK81" s="157"/>
      <c r="QL81" s="157"/>
      <c r="QM81" s="157"/>
      <c r="QN81" s="157"/>
      <c r="QO81" s="157"/>
      <c r="QP81" s="157"/>
      <c r="QQ81" s="157"/>
      <c r="QR81" s="157"/>
      <c r="QS81" s="157"/>
      <c r="QT81" s="157"/>
      <c r="QU81" s="157"/>
      <c r="QV81" s="157"/>
      <c r="QW81" s="157"/>
      <c r="QX81" s="157"/>
      <c r="QY81" s="157"/>
      <c r="QZ81" s="157"/>
      <c r="RA81" s="157"/>
      <c r="RB81" s="157"/>
      <c r="RC81" s="157"/>
      <c r="RD81" s="157"/>
      <c r="RE81" s="157"/>
      <c r="RF81" s="157"/>
      <c r="RG81" s="157"/>
      <c r="RH81" s="157"/>
      <c r="RI81" s="157"/>
      <c r="RJ81" s="157"/>
      <c r="RK81" s="157"/>
      <c r="RL81" s="157"/>
      <c r="RM81" s="157"/>
      <c r="RN81" s="157"/>
      <c r="RO81" s="157"/>
      <c r="RP81" s="157"/>
      <c r="RQ81" s="157"/>
    </row>
    <row r="82" spans="1:485" s="27" customFormat="1">
      <c r="B82" s="115"/>
      <c r="C82" s="202" t="s">
        <v>4273</v>
      </c>
      <c r="D82" s="2923"/>
      <c r="E82" s="2923"/>
      <c r="F82" s="8"/>
      <c r="G82" s="8"/>
      <c r="H82" s="109" t="s">
        <v>3831</v>
      </c>
      <c r="I82" s="36"/>
      <c r="J82" s="1"/>
      <c r="K82" s="2920" t="str">
        <f t="shared" ref="K82:P82" si="360">IF(OR(K60=0,K67=0),"",K60/K67)</f>
        <v/>
      </c>
      <c r="L82" s="2921" t="str">
        <f t="shared" si="360"/>
        <v/>
      </c>
      <c r="M82" s="2921" t="str">
        <f t="shared" si="360"/>
        <v/>
      </c>
      <c r="N82" s="2921" t="str">
        <f t="shared" si="360"/>
        <v/>
      </c>
      <c r="O82" s="2921" t="str">
        <f t="shared" si="360"/>
        <v/>
      </c>
      <c r="P82" s="2922" t="str">
        <f t="shared" si="360"/>
        <v/>
      </c>
      <c r="X82" s="1831"/>
      <c r="Y82" s="1831"/>
      <c r="Z82" s="1831"/>
      <c r="AA82" s="1831"/>
      <c r="AB82" s="1831"/>
      <c r="AC82" s="1831"/>
      <c r="AD82" s="1831"/>
      <c r="AE82" s="1831"/>
      <c r="AF82" s="1831"/>
      <c r="AG82" s="1831"/>
      <c r="AH82" s="1831"/>
      <c r="AI82" s="1831"/>
      <c r="AJ82" s="1831"/>
      <c r="AK82" s="1831"/>
      <c r="AL82" s="1831"/>
      <c r="AM82" s="1831"/>
      <c r="AN82" s="1831"/>
      <c r="AO82" s="1831"/>
      <c r="AP82" s="1831"/>
      <c r="AQ82" s="1831"/>
      <c r="AR82" s="1831"/>
      <c r="AS82" s="1831"/>
      <c r="AT82" s="1831"/>
      <c r="AU82" s="1831"/>
      <c r="AV82" s="1831"/>
      <c r="AW82" s="1831"/>
      <c r="AX82" s="1831"/>
      <c r="AY82" s="1831"/>
      <c r="AZ82" s="1831"/>
      <c r="BA82" s="1831"/>
      <c r="BB82" s="1831"/>
      <c r="BC82" s="1831"/>
      <c r="BD82" s="1831"/>
      <c r="BE82" s="1831"/>
      <c r="BF82" s="1831"/>
      <c r="BG82" s="1831"/>
      <c r="BH82" s="1831"/>
      <c r="BI82" s="1831"/>
      <c r="BJ82" s="1831"/>
      <c r="BK82" s="1831"/>
      <c r="BL82" s="1831"/>
      <c r="BM82" s="1831"/>
      <c r="BN82" s="1831"/>
      <c r="BO82" s="1831"/>
      <c r="BP82" s="1831"/>
      <c r="BQ82" s="1831"/>
      <c r="BR82" s="1831"/>
      <c r="BS82" s="1831"/>
      <c r="BT82" s="1831"/>
      <c r="BU82" s="1831"/>
      <c r="BV82" s="1831"/>
      <c r="BW82" s="1831"/>
      <c r="BX82" s="1831"/>
      <c r="BY82" s="1831"/>
      <c r="BZ82" s="1831"/>
      <c r="CA82" s="1831"/>
      <c r="CB82" s="1831"/>
      <c r="CC82" s="1831"/>
      <c r="CD82" s="1831"/>
      <c r="CE82" s="1831"/>
      <c r="CF82" s="1831"/>
      <c r="CG82" s="1831"/>
      <c r="CH82" s="1831"/>
      <c r="CI82" s="1831"/>
      <c r="CJ82" s="1831"/>
      <c r="CK82" s="1831"/>
      <c r="CL82" s="1831"/>
      <c r="CM82" s="1831"/>
      <c r="CN82" s="1831"/>
      <c r="CO82" s="1831"/>
      <c r="CP82" s="1831"/>
      <c r="CQ82" s="1831"/>
      <c r="CR82" s="1831"/>
      <c r="CS82" s="1831"/>
      <c r="CT82" s="1831"/>
      <c r="CU82" s="1831"/>
      <c r="CV82" s="1831"/>
      <c r="CW82" s="1831"/>
      <c r="CX82" s="1831"/>
      <c r="CY82" s="1831"/>
      <c r="CZ82" s="1831"/>
      <c r="DA82" s="1831"/>
      <c r="DB82" s="1831"/>
      <c r="DC82" s="1831"/>
      <c r="DD82" s="1831"/>
      <c r="DE82" s="1831"/>
      <c r="DF82" s="1831"/>
      <c r="DG82" s="1831"/>
      <c r="DH82" s="1831"/>
      <c r="DI82" s="1831"/>
      <c r="DJ82" s="1831"/>
      <c r="DK82" s="1831"/>
      <c r="DL82" s="1831"/>
      <c r="DM82" s="1831"/>
      <c r="DN82" s="1831"/>
      <c r="DO82" s="1831"/>
      <c r="DP82" s="1831"/>
      <c r="DQ82" s="1831"/>
      <c r="DR82" s="1831"/>
      <c r="DS82" s="1831"/>
      <c r="DT82" s="1831"/>
      <c r="DU82" s="1831"/>
      <c r="DV82" s="1831"/>
      <c r="DW82" s="1831"/>
      <c r="DX82" s="1831"/>
      <c r="DY82" s="1831"/>
      <c r="DZ82" s="1831"/>
      <c r="EA82" s="1831"/>
      <c r="EB82" s="1831"/>
      <c r="EC82" s="1831"/>
      <c r="ED82" s="1831"/>
      <c r="EE82" s="1831"/>
      <c r="EF82" s="1831"/>
      <c r="EG82" s="1831"/>
      <c r="EH82" s="1831"/>
      <c r="EI82" s="1831"/>
      <c r="EJ82" s="1831"/>
      <c r="EK82" s="1831"/>
      <c r="EL82" s="1831"/>
      <c r="EM82" s="1831"/>
      <c r="EN82" s="1831"/>
      <c r="EO82" s="1831"/>
      <c r="EP82" s="1831"/>
      <c r="EQ82" s="1831"/>
      <c r="ER82" s="1831"/>
      <c r="ES82" s="1831"/>
      <c r="ET82" s="1831"/>
      <c r="EU82" s="1831"/>
      <c r="EV82" s="1831"/>
      <c r="EW82" s="1831"/>
      <c r="EX82" s="1831"/>
      <c r="EY82" s="1831"/>
      <c r="EZ82" s="1831"/>
      <c r="FA82" s="1831"/>
      <c r="FB82" s="1831"/>
      <c r="FC82" s="1831"/>
      <c r="FD82" s="1831"/>
      <c r="FE82" s="1831"/>
      <c r="FF82" s="1831"/>
      <c r="FG82" s="1831"/>
      <c r="FH82" s="1831"/>
      <c r="FI82" s="1831"/>
      <c r="FJ82" s="1831"/>
      <c r="FK82" s="1831"/>
      <c r="FL82" s="1831"/>
      <c r="FM82" s="1831"/>
      <c r="FN82" s="1831"/>
      <c r="FO82" s="1831"/>
      <c r="FP82" s="1831"/>
      <c r="FQ82" s="1831"/>
      <c r="FR82" s="1831"/>
      <c r="FS82" s="1831"/>
      <c r="FT82" s="1831"/>
      <c r="FU82" s="1831"/>
      <c r="FV82" s="1831"/>
      <c r="FW82" s="1831"/>
      <c r="FX82" s="1831"/>
      <c r="FY82" s="1831"/>
      <c r="FZ82" s="1831"/>
      <c r="GA82" s="1831"/>
      <c r="GB82" s="1831"/>
      <c r="GC82" s="1831"/>
      <c r="GD82" s="1831"/>
      <c r="GE82" s="1831"/>
      <c r="GF82" s="1831"/>
      <c r="GG82" s="1831"/>
      <c r="GH82" s="1831"/>
      <c r="GI82" s="1831"/>
      <c r="GJ82" s="1831"/>
      <c r="GK82" s="1831"/>
      <c r="GL82" s="1831"/>
      <c r="GM82" s="1831"/>
      <c r="GN82" s="1831"/>
      <c r="GO82" s="1831"/>
      <c r="GP82" s="1831"/>
      <c r="GQ82" s="1831"/>
      <c r="GR82" s="1831"/>
      <c r="GS82" s="1831"/>
      <c r="GT82" s="1831"/>
      <c r="GU82" s="1831"/>
      <c r="GV82" s="1831"/>
      <c r="GW82" s="1831"/>
      <c r="GX82" s="1831"/>
      <c r="GY82" s="1831"/>
      <c r="GZ82" s="1831"/>
      <c r="HA82" s="1831"/>
      <c r="HB82" s="1831"/>
      <c r="HC82" s="1831"/>
      <c r="HD82" s="1831"/>
      <c r="HE82" s="1831"/>
      <c r="HF82" s="1831"/>
      <c r="HG82" s="1831"/>
      <c r="HH82" s="1831"/>
      <c r="HI82" s="1831"/>
      <c r="HJ82" s="1831"/>
      <c r="HK82" s="1831"/>
      <c r="HL82" s="1831"/>
      <c r="HM82" s="1831"/>
      <c r="HN82" s="1831"/>
      <c r="HO82" s="1831"/>
      <c r="HP82" s="1831"/>
      <c r="HQ82" s="1831"/>
      <c r="HR82" s="1831"/>
      <c r="HS82" s="1831"/>
      <c r="HT82" s="1831"/>
      <c r="HU82" s="1831"/>
      <c r="HV82" s="1831"/>
      <c r="HW82" s="1831"/>
      <c r="HX82" s="1831"/>
      <c r="HY82" s="1831"/>
      <c r="HZ82" s="1831"/>
      <c r="IA82" s="1831"/>
      <c r="IB82" s="1831"/>
      <c r="IC82" s="1831"/>
      <c r="ID82" s="1831"/>
      <c r="IE82" s="1831"/>
      <c r="IF82" s="1831"/>
      <c r="IG82" s="1831"/>
      <c r="IH82" s="1831"/>
      <c r="II82" s="1831"/>
      <c r="IJ82" s="1831"/>
      <c r="IK82" s="1831"/>
      <c r="IL82" s="1831"/>
      <c r="IM82" s="1831"/>
      <c r="IN82" s="1831"/>
      <c r="IO82" s="1831"/>
      <c r="IP82" s="1831"/>
      <c r="IQ82" s="1831"/>
      <c r="IR82" s="1831"/>
      <c r="IS82" s="1831"/>
      <c r="IT82" s="1831"/>
      <c r="IU82" s="1831"/>
      <c r="IV82" s="1831"/>
      <c r="IW82" s="1831"/>
      <c r="IX82" s="1831"/>
      <c r="IY82" s="1831"/>
      <c r="IZ82" s="1831"/>
      <c r="JA82" s="1831"/>
      <c r="JB82" s="1831"/>
      <c r="JC82" s="1831"/>
      <c r="JD82" s="1831"/>
      <c r="JE82" s="1831"/>
      <c r="JF82" s="1831"/>
      <c r="JG82" s="1831"/>
      <c r="JH82" s="1831"/>
      <c r="JI82" s="1831"/>
      <c r="JJ82" s="1831"/>
      <c r="JK82" s="1831"/>
      <c r="JL82" s="1831"/>
      <c r="JM82" s="1831"/>
      <c r="JN82" s="1831"/>
      <c r="JO82" s="1831"/>
      <c r="JP82" s="1831"/>
      <c r="JQ82" s="1831"/>
      <c r="JR82" s="1831"/>
      <c r="JS82" s="1831"/>
      <c r="JT82" s="1831"/>
      <c r="JU82" s="1831"/>
      <c r="JV82" s="1831"/>
      <c r="JW82" s="1831"/>
      <c r="JX82" s="1831"/>
      <c r="JY82" s="1831"/>
      <c r="JZ82" s="1831"/>
      <c r="KA82" s="1831"/>
      <c r="KB82" s="1831"/>
      <c r="KC82" s="1831"/>
      <c r="KD82" s="1831"/>
      <c r="KE82" s="1831"/>
      <c r="KF82" s="1831"/>
      <c r="KG82" s="1831"/>
      <c r="KH82" s="1831"/>
      <c r="KI82" s="1831"/>
      <c r="KJ82" s="1831"/>
      <c r="KK82" s="1831"/>
      <c r="KL82" s="1831"/>
      <c r="KM82" s="1831"/>
      <c r="KN82" s="1831"/>
      <c r="KO82" s="1831"/>
      <c r="KP82" s="1831"/>
      <c r="KQ82" s="1831"/>
      <c r="KR82" s="1831"/>
      <c r="KS82" s="1831"/>
      <c r="KT82" s="1831"/>
      <c r="KU82" s="1831"/>
      <c r="KV82" s="1831"/>
      <c r="KW82" s="1831"/>
      <c r="KX82" s="1831"/>
      <c r="KY82" s="1831"/>
      <c r="KZ82" s="1831"/>
      <c r="LA82" s="1831"/>
      <c r="LB82" s="1831"/>
      <c r="LC82" s="1831"/>
      <c r="LD82" s="1831"/>
      <c r="LE82" s="1831"/>
      <c r="LF82" s="1831"/>
      <c r="LG82" s="1831"/>
      <c r="LH82" s="1831"/>
      <c r="LI82" s="1831"/>
      <c r="LJ82" s="1831"/>
      <c r="LK82" s="1831"/>
      <c r="LL82" s="1831"/>
      <c r="LM82" s="1831"/>
      <c r="LN82" s="1831"/>
      <c r="LO82" s="1831"/>
      <c r="LP82" s="1831"/>
      <c r="LQ82" s="1831"/>
      <c r="LR82" s="1831"/>
      <c r="LS82" s="1831"/>
      <c r="LT82" s="1831"/>
      <c r="LU82" s="1831"/>
      <c r="LV82" s="1831"/>
      <c r="LW82" s="1831"/>
      <c r="LX82" s="1831"/>
      <c r="LY82" s="1831"/>
      <c r="LZ82" s="1831"/>
      <c r="MA82" s="1831"/>
      <c r="MB82" s="1831"/>
      <c r="MC82" s="1831"/>
      <c r="MD82" s="1831"/>
      <c r="ME82" s="1831"/>
      <c r="MF82" s="1831"/>
      <c r="MG82" s="1831"/>
      <c r="MH82" s="1831"/>
      <c r="MI82" s="1831"/>
      <c r="MJ82" s="1831"/>
      <c r="MK82" s="1831"/>
      <c r="ML82" s="1831"/>
      <c r="MM82" s="1831"/>
      <c r="MN82" s="1831"/>
      <c r="MO82" s="1831"/>
      <c r="MP82" s="1831"/>
      <c r="MQ82" s="1831"/>
      <c r="MR82" s="1831"/>
      <c r="MS82" s="1831"/>
      <c r="MT82" s="1831"/>
      <c r="MU82" s="1831"/>
      <c r="MV82" s="157"/>
      <c r="MW82" s="157"/>
      <c r="MX82" s="157"/>
      <c r="MY82" s="157"/>
      <c r="MZ82" s="157"/>
      <c r="NA82" s="157"/>
      <c r="NB82" s="157"/>
      <c r="NC82" s="157"/>
      <c r="ND82" s="157"/>
      <c r="NE82" s="157"/>
      <c r="NF82" s="157"/>
      <c r="NG82" s="157"/>
      <c r="NH82" s="157"/>
      <c r="NI82" s="157"/>
      <c r="NJ82" s="157"/>
      <c r="NK82" s="157"/>
      <c r="NL82" s="157"/>
      <c r="NM82" s="157"/>
      <c r="NN82" s="157"/>
      <c r="NO82" s="157"/>
      <c r="NP82" s="2807"/>
      <c r="NQ82" s="157"/>
      <c r="NR82" s="157"/>
      <c r="NS82" s="157"/>
      <c r="NT82" s="157"/>
      <c r="NU82" s="157"/>
      <c r="NV82" s="157"/>
      <c r="NW82" s="157"/>
      <c r="NX82" s="157"/>
      <c r="NY82" s="157"/>
      <c r="NZ82" s="157"/>
      <c r="OA82" s="157"/>
      <c r="OB82" s="157"/>
      <c r="OC82" s="157"/>
      <c r="OD82" s="157"/>
      <c r="OE82" s="157"/>
      <c r="OF82" s="157"/>
      <c r="OG82" s="157"/>
      <c r="OH82" s="157"/>
      <c r="OI82" s="157"/>
      <c r="OJ82" s="157"/>
      <c r="OK82" s="157"/>
      <c r="OL82" s="157"/>
      <c r="OM82" s="157"/>
      <c r="ON82" s="157"/>
      <c r="OO82" s="157"/>
      <c r="OP82" s="157"/>
      <c r="OQ82" s="157"/>
      <c r="OR82" s="157"/>
      <c r="OS82" s="157"/>
      <c r="OT82" s="157"/>
      <c r="OU82" s="157"/>
      <c r="OV82" s="157"/>
      <c r="OW82" s="157"/>
      <c r="OX82" s="157"/>
      <c r="OY82" s="157"/>
      <c r="OZ82" s="157"/>
      <c r="PA82" s="157"/>
      <c r="PB82" s="157"/>
      <c r="PC82" s="157"/>
      <c r="PD82" s="157"/>
      <c r="PE82" s="157"/>
      <c r="PF82" s="157"/>
      <c r="PG82" s="157"/>
      <c r="PH82" s="157"/>
      <c r="PI82" s="157"/>
      <c r="PJ82" s="157"/>
      <c r="PK82" s="157"/>
      <c r="PL82" s="157"/>
      <c r="PM82" s="157"/>
      <c r="PN82" s="157"/>
      <c r="PO82" s="157"/>
      <c r="PP82" s="157"/>
      <c r="PQ82" s="157"/>
      <c r="PR82" s="157"/>
      <c r="PS82" s="157"/>
      <c r="PT82" s="157"/>
      <c r="PU82" s="157"/>
      <c r="PV82" s="157"/>
      <c r="PW82" s="157"/>
      <c r="PX82" s="157"/>
      <c r="PY82" s="157"/>
      <c r="PZ82" s="157"/>
      <c r="QA82" s="157"/>
      <c r="QB82" s="157"/>
      <c r="QC82" s="157"/>
      <c r="QD82" s="157"/>
      <c r="QE82" s="157"/>
      <c r="QF82" s="157"/>
      <c r="QG82" s="157"/>
      <c r="QH82" s="157"/>
      <c r="QI82" s="157"/>
      <c r="QJ82" s="157"/>
      <c r="QK82" s="157"/>
      <c r="QL82" s="157"/>
      <c r="QM82" s="157"/>
      <c r="QN82" s="157"/>
      <c r="QO82" s="157"/>
      <c r="QP82" s="157"/>
      <c r="QQ82" s="157"/>
      <c r="QR82" s="157"/>
      <c r="QS82" s="157"/>
      <c r="QT82" s="157"/>
      <c r="QU82" s="157"/>
      <c r="QV82" s="157"/>
      <c r="QW82" s="157"/>
      <c r="QX82" s="157"/>
      <c r="QY82" s="157"/>
      <c r="QZ82" s="157"/>
      <c r="RA82" s="157"/>
      <c r="RB82" s="157"/>
      <c r="RC82" s="157"/>
      <c r="RD82" s="157"/>
      <c r="RE82" s="157"/>
      <c r="RF82" s="157"/>
      <c r="RG82" s="157"/>
      <c r="RH82" s="157"/>
      <c r="RI82" s="157"/>
      <c r="RJ82" s="157"/>
      <c r="RK82" s="157"/>
      <c r="RL82" s="157"/>
      <c r="RM82" s="157"/>
      <c r="RN82" s="157"/>
      <c r="RO82" s="157"/>
      <c r="RP82" s="157"/>
      <c r="RQ82" s="157"/>
    </row>
    <row r="83" spans="1:485" s="27" customFormat="1">
      <c r="B83" s="115"/>
      <c r="C83" s="202"/>
      <c r="D83" s="8"/>
      <c r="E83" s="8"/>
      <c r="F83" s="8"/>
      <c r="G83" s="8"/>
      <c r="H83" s="109" t="s">
        <v>6814</v>
      </c>
      <c r="I83" s="36"/>
      <c r="J83" s="1"/>
      <c r="K83" s="2913" t="str">
        <f>IF(OR(K60=0,P82="",K67=0),"",P82*K67)</f>
        <v/>
      </c>
      <c r="L83" s="2913" t="str">
        <f>IF(OR(L60=0,P82="",L67=0),"",P82*L67)</f>
        <v/>
      </c>
      <c r="M83" s="2913" t="str">
        <f>IF(OR(M60=0,P82="",M67=0),"",P82*M67)</f>
        <v/>
      </c>
      <c r="N83" s="2913" t="str">
        <f>IF(OR(N60=0,P82="",N67=0),"",P82*N67)</f>
        <v/>
      </c>
      <c r="O83" s="2913" t="str">
        <f>IF(OR(O60=0,P82="",O67=0),"",P82*O67)</f>
        <v/>
      </c>
      <c r="P83" s="2914" t="str">
        <f>IF(OR(P82="",P67=0),"",P82*P67)</f>
        <v/>
      </c>
      <c r="X83" s="1831"/>
      <c r="Y83" s="1831"/>
      <c r="Z83" s="1831"/>
      <c r="AA83" s="1831"/>
      <c r="AB83" s="1831"/>
      <c r="AC83" s="1831"/>
      <c r="AD83" s="1831"/>
      <c r="AE83" s="1831"/>
      <c r="AF83" s="1831"/>
      <c r="AG83" s="1831"/>
      <c r="AH83" s="1831"/>
      <c r="AI83" s="1831"/>
      <c r="AJ83" s="1831"/>
      <c r="AK83" s="1831"/>
      <c r="AL83" s="1831"/>
      <c r="AM83" s="1831"/>
      <c r="AN83" s="1831"/>
      <c r="AO83" s="1831"/>
      <c r="AP83" s="1831"/>
      <c r="AQ83" s="1831"/>
      <c r="AR83" s="1831"/>
      <c r="AS83" s="1831"/>
      <c r="AT83" s="1831"/>
      <c r="AU83" s="1831"/>
      <c r="AV83" s="1831"/>
      <c r="AW83" s="1831"/>
      <c r="AX83" s="1831"/>
      <c r="AY83" s="1831"/>
      <c r="AZ83" s="1831"/>
      <c r="BA83" s="1831"/>
      <c r="BB83" s="1831"/>
      <c r="BC83" s="1831"/>
      <c r="BD83" s="1831"/>
      <c r="BE83" s="1831"/>
      <c r="BF83" s="1831"/>
      <c r="BG83" s="1831"/>
      <c r="BH83" s="1831"/>
      <c r="BI83" s="1831"/>
      <c r="BJ83" s="1831"/>
      <c r="BK83" s="1831"/>
      <c r="BL83" s="1831"/>
      <c r="BM83" s="1831"/>
      <c r="BN83" s="1831"/>
      <c r="BO83" s="1831"/>
      <c r="BP83" s="1831"/>
      <c r="BQ83" s="1831"/>
      <c r="BR83" s="1831"/>
      <c r="BS83" s="1831"/>
      <c r="BT83" s="1831"/>
      <c r="BU83" s="1831"/>
      <c r="BV83" s="1831"/>
      <c r="BW83" s="1831"/>
      <c r="BX83" s="1831"/>
      <c r="BY83" s="1831"/>
      <c r="BZ83" s="1831"/>
      <c r="CA83" s="1831"/>
      <c r="CB83" s="1831"/>
      <c r="CC83" s="1831"/>
      <c r="CD83" s="1831"/>
      <c r="CE83" s="1831"/>
      <c r="CF83" s="1831"/>
      <c r="CG83" s="1831"/>
      <c r="CH83" s="1831"/>
      <c r="CI83" s="1831"/>
      <c r="CJ83" s="1831"/>
      <c r="CK83" s="1831"/>
      <c r="CL83" s="1831"/>
      <c r="CM83" s="1831"/>
      <c r="CN83" s="1831"/>
      <c r="CO83" s="1831"/>
      <c r="CP83" s="1831"/>
      <c r="CQ83" s="1831"/>
      <c r="CR83" s="1831"/>
      <c r="CS83" s="1831"/>
      <c r="CT83" s="1831"/>
      <c r="CU83" s="1831"/>
      <c r="CV83" s="1831"/>
      <c r="CW83" s="1831"/>
      <c r="CX83" s="1831"/>
      <c r="CY83" s="1831"/>
      <c r="CZ83" s="1831"/>
      <c r="DA83" s="1831"/>
      <c r="DB83" s="1831"/>
      <c r="DC83" s="1831"/>
      <c r="DD83" s="1831"/>
      <c r="DE83" s="1831"/>
      <c r="DF83" s="1831"/>
      <c r="DG83" s="1831"/>
      <c r="DH83" s="1831"/>
      <c r="DI83" s="1831"/>
      <c r="DJ83" s="1831"/>
      <c r="DK83" s="1831"/>
      <c r="DL83" s="1831"/>
      <c r="DM83" s="1831"/>
      <c r="DN83" s="1831"/>
      <c r="DO83" s="1831"/>
      <c r="DP83" s="1831"/>
      <c r="DQ83" s="1831"/>
      <c r="DR83" s="1831"/>
      <c r="DS83" s="1831"/>
      <c r="DT83" s="1831"/>
      <c r="DU83" s="1831"/>
      <c r="DV83" s="1831"/>
      <c r="DW83" s="1831"/>
      <c r="DX83" s="1831"/>
      <c r="DY83" s="1831"/>
      <c r="DZ83" s="1831"/>
      <c r="EA83" s="1831"/>
      <c r="EB83" s="1831"/>
      <c r="EC83" s="1831"/>
      <c r="ED83" s="1831"/>
      <c r="EE83" s="1831"/>
      <c r="EF83" s="1831"/>
      <c r="EG83" s="1831"/>
      <c r="EH83" s="1831"/>
      <c r="EI83" s="1831"/>
      <c r="EJ83" s="1831"/>
      <c r="EK83" s="1831"/>
      <c r="EL83" s="1831"/>
      <c r="EM83" s="1831"/>
      <c r="EN83" s="1831"/>
      <c r="EO83" s="1831"/>
      <c r="EP83" s="1831"/>
      <c r="EQ83" s="1831"/>
      <c r="ER83" s="1831"/>
      <c r="ES83" s="1831"/>
      <c r="ET83" s="1831"/>
      <c r="EU83" s="1831"/>
      <c r="EV83" s="1831"/>
      <c r="EW83" s="1831"/>
      <c r="EX83" s="1831"/>
      <c r="EY83" s="1831"/>
      <c r="EZ83" s="1831"/>
      <c r="FA83" s="1831"/>
      <c r="FB83" s="1831"/>
      <c r="FC83" s="1831"/>
      <c r="FD83" s="1831"/>
      <c r="FE83" s="1831"/>
      <c r="FF83" s="1831"/>
      <c r="FG83" s="1831"/>
      <c r="FH83" s="1831"/>
      <c r="FI83" s="1831"/>
      <c r="FJ83" s="1831"/>
      <c r="FK83" s="1831"/>
      <c r="FL83" s="1831"/>
      <c r="FM83" s="1831"/>
      <c r="FN83" s="1831"/>
      <c r="FO83" s="1831"/>
      <c r="FP83" s="1831"/>
      <c r="FQ83" s="1831"/>
      <c r="FR83" s="1831"/>
      <c r="FS83" s="1831"/>
      <c r="FT83" s="1831"/>
      <c r="FU83" s="1831"/>
      <c r="FV83" s="1831"/>
      <c r="FW83" s="1831"/>
      <c r="FX83" s="1831"/>
      <c r="FY83" s="1831"/>
      <c r="FZ83" s="1831"/>
      <c r="GA83" s="1831"/>
      <c r="GB83" s="1831"/>
      <c r="GC83" s="1831"/>
      <c r="GD83" s="1831"/>
      <c r="GE83" s="1831"/>
      <c r="GF83" s="1831"/>
      <c r="GG83" s="1831"/>
      <c r="GH83" s="1831"/>
      <c r="GI83" s="1831"/>
      <c r="GJ83" s="1831"/>
      <c r="GK83" s="1831"/>
      <c r="GL83" s="1831"/>
      <c r="GM83" s="1831"/>
      <c r="GN83" s="1831"/>
      <c r="GO83" s="1831"/>
      <c r="GP83" s="1831"/>
      <c r="GQ83" s="1831"/>
      <c r="GR83" s="1831"/>
      <c r="GS83" s="1831"/>
      <c r="GT83" s="1831"/>
      <c r="GU83" s="1831"/>
      <c r="GV83" s="1831"/>
      <c r="GW83" s="1831"/>
      <c r="GX83" s="1831"/>
      <c r="GY83" s="1831"/>
      <c r="GZ83" s="1831"/>
      <c r="HA83" s="1831"/>
      <c r="HB83" s="1831"/>
      <c r="HC83" s="1831"/>
      <c r="HD83" s="1831"/>
      <c r="HE83" s="1831"/>
      <c r="HF83" s="1831"/>
      <c r="HG83" s="1831"/>
      <c r="HH83" s="1831"/>
      <c r="HI83" s="1831"/>
      <c r="HJ83" s="1831"/>
      <c r="HK83" s="1831"/>
      <c r="HL83" s="1831"/>
      <c r="HM83" s="1831"/>
      <c r="HN83" s="1831"/>
      <c r="HO83" s="1831"/>
      <c r="HP83" s="1831"/>
      <c r="HQ83" s="1831"/>
      <c r="HR83" s="1831"/>
      <c r="HS83" s="1831"/>
      <c r="HT83" s="1831"/>
      <c r="HU83" s="1831"/>
      <c r="HV83" s="1831"/>
      <c r="HW83" s="1831"/>
      <c r="HX83" s="1831"/>
      <c r="HY83" s="1831"/>
      <c r="HZ83" s="1831"/>
      <c r="IA83" s="1831"/>
      <c r="IB83" s="1831"/>
      <c r="IC83" s="1831"/>
      <c r="ID83" s="1831"/>
      <c r="IE83" s="1831"/>
      <c r="IF83" s="1831"/>
      <c r="IG83" s="1831"/>
      <c r="IH83" s="1831"/>
      <c r="II83" s="1831"/>
      <c r="IJ83" s="1831"/>
      <c r="IK83" s="1831"/>
      <c r="IL83" s="1831"/>
      <c r="IM83" s="1831"/>
      <c r="IN83" s="1831"/>
      <c r="IO83" s="1831"/>
      <c r="IP83" s="1831"/>
      <c r="IQ83" s="1831"/>
      <c r="IR83" s="1831"/>
      <c r="IS83" s="1831"/>
      <c r="IT83" s="1831"/>
      <c r="IU83" s="1831"/>
      <c r="IV83" s="1831"/>
      <c r="IW83" s="1831"/>
      <c r="IX83" s="1831"/>
      <c r="IY83" s="1831"/>
      <c r="IZ83" s="1831"/>
      <c r="JA83" s="1831"/>
      <c r="JB83" s="1831"/>
      <c r="JC83" s="1831"/>
      <c r="JD83" s="1831"/>
      <c r="JE83" s="1831"/>
      <c r="JF83" s="1831"/>
      <c r="JG83" s="1831"/>
      <c r="JH83" s="1831"/>
      <c r="JI83" s="1831"/>
      <c r="JJ83" s="1831"/>
      <c r="JK83" s="1831"/>
      <c r="JL83" s="1831"/>
      <c r="JM83" s="1831"/>
      <c r="JN83" s="1831"/>
      <c r="JO83" s="1831"/>
      <c r="JP83" s="1831"/>
      <c r="JQ83" s="1831"/>
      <c r="JR83" s="1831"/>
      <c r="JS83" s="1831"/>
      <c r="JT83" s="1831"/>
      <c r="JU83" s="1831"/>
      <c r="JV83" s="1831"/>
      <c r="JW83" s="1831"/>
      <c r="JX83" s="1831"/>
      <c r="JY83" s="1831"/>
      <c r="JZ83" s="1831"/>
      <c r="KA83" s="1831"/>
      <c r="KB83" s="1831"/>
      <c r="KC83" s="1831"/>
      <c r="KD83" s="1831"/>
      <c r="KE83" s="1831"/>
      <c r="KF83" s="1831"/>
      <c r="KG83" s="1831"/>
      <c r="KH83" s="1831"/>
      <c r="KI83" s="1831"/>
      <c r="KJ83" s="1831"/>
      <c r="KK83" s="1831"/>
      <c r="KL83" s="1831"/>
      <c r="KM83" s="1831"/>
      <c r="KN83" s="1831"/>
      <c r="KO83" s="1831"/>
      <c r="KP83" s="1831"/>
      <c r="KQ83" s="1831"/>
      <c r="KR83" s="1831"/>
      <c r="KS83" s="1831"/>
      <c r="KT83" s="1831"/>
      <c r="KU83" s="1831"/>
      <c r="KV83" s="1831"/>
      <c r="KW83" s="1831"/>
      <c r="KX83" s="1831"/>
      <c r="KY83" s="1831"/>
      <c r="KZ83" s="1831"/>
      <c r="LA83" s="1831"/>
      <c r="LB83" s="1831"/>
      <c r="LC83" s="1831"/>
      <c r="LD83" s="1831"/>
      <c r="LE83" s="1831"/>
      <c r="LF83" s="1831"/>
      <c r="LG83" s="1831"/>
      <c r="LH83" s="1831"/>
      <c r="LI83" s="1831"/>
      <c r="LJ83" s="1831"/>
      <c r="LK83" s="1831"/>
      <c r="LL83" s="1831"/>
      <c r="LM83" s="1831"/>
      <c r="LN83" s="1831"/>
      <c r="LO83" s="1831"/>
      <c r="LP83" s="1831"/>
      <c r="LQ83" s="1831"/>
      <c r="LR83" s="1831"/>
      <c r="LS83" s="1831"/>
      <c r="LT83" s="1831"/>
      <c r="LU83" s="1831"/>
      <c r="LV83" s="1831"/>
      <c r="LW83" s="1831"/>
      <c r="LX83" s="1831"/>
      <c r="LY83" s="1831"/>
      <c r="LZ83" s="1831"/>
      <c r="MA83" s="1831"/>
      <c r="MB83" s="1831"/>
      <c r="MC83" s="1831"/>
      <c r="MD83" s="1831"/>
      <c r="ME83" s="1831"/>
      <c r="MF83" s="1831"/>
      <c r="MG83" s="1831"/>
      <c r="MH83" s="1831"/>
      <c r="MI83" s="1831"/>
      <c r="MJ83" s="1831"/>
      <c r="MK83" s="1831"/>
      <c r="ML83" s="1831"/>
      <c r="MM83" s="1831"/>
      <c r="MN83" s="1831"/>
      <c r="MO83" s="1831"/>
      <c r="MP83" s="1831"/>
      <c r="MQ83" s="1831"/>
      <c r="MR83" s="1831"/>
      <c r="MS83" s="1831"/>
      <c r="MT83" s="1831"/>
      <c r="MU83" s="1831"/>
      <c r="MV83" s="157"/>
      <c r="MW83" s="157"/>
      <c r="MX83" s="157"/>
      <c r="MY83" s="157"/>
      <c r="MZ83" s="157"/>
      <c r="NA83" s="157"/>
      <c r="NB83" s="157"/>
      <c r="NC83" s="157"/>
      <c r="ND83" s="157"/>
      <c r="NE83" s="157"/>
      <c r="NF83" s="157"/>
      <c r="NG83" s="157"/>
      <c r="NH83" s="157"/>
      <c r="NI83" s="157"/>
      <c r="NJ83" s="157"/>
      <c r="NK83" s="157"/>
      <c r="NL83" s="157"/>
      <c r="NM83" s="157"/>
      <c r="NN83" s="157"/>
      <c r="NO83" s="157"/>
      <c r="NP83" s="2807"/>
      <c r="NQ83" s="157"/>
      <c r="NR83" s="157"/>
      <c r="NS83" s="157"/>
      <c r="NT83" s="157"/>
      <c r="NU83" s="157"/>
      <c r="NV83" s="157"/>
      <c r="NW83" s="157"/>
      <c r="NX83" s="157"/>
      <c r="NY83" s="157"/>
      <c r="NZ83" s="157"/>
      <c r="OA83" s="157"/>
      <c r="OB83" s="157"/>
      <c r="OC83" s="157"/>
      <c r="OD83" s="157"/>
      <c r="OE83" s="157"/>
      <c r="OF83" s="157"/>
      <c r="OG83" s="157"/>
      <c r="OH83" s="157"/>
      <c r="OI83" s="157"/>
      <c r="OJ83" s="157"/>
      <c r="OK83" s="157"/>
      <c r="OL83" s="157"/>
      <c r="OM83" s="157"/>
      <c r="ON83" s="157"/>
      <c r="OO83" s="157"/>
      <c r="OP83" s="157"/>
      <c r="OQ83" s="157"/>
      <c r="OR83" s="157"/>
      <c r="OS83" s="157"/>
      <c r="OT83" s="157"/>
      <c r="OU83" s="157"/>
      <c r="OV83" s="157"/>
      <c r="OW83" s="157"/>
      <c r="OX83" s="157"/>
      <c r="OY83" s="157"/>
      <c r="OZ83" s="157"/>
      <c r="PA83" s="157"/>
      <c r="PB83" s="157"/>
      <c r="PC83" s="157"/>
      <c r="PD83" s="157"/>
      <c r="PE83" s="157"/>
      <c r="PF83" s="157"/>
      <c r="PG83" s="157"/>
      <c r="PH83" s="157"/>
      <c r="PI83" s="157"/>
      <c r="PJ83" s="157"/>
      <c r="PK83" s="157"/>
      <c r="PL83" s="157"/>
      <c r="PM83" s="157"/>
      <c r="PN83" s="157"/>
      <c r="PO83" s="157"/>
      <c r="PP83" s="157"/>
      <c r="PQ83" s="157"/>
      <c r="PR83" s="157"/>
      <c r="PS83" s="157"/>
      <c r="PT83" s="157"/>
      <c r="PU83" s="157"/>
      <c r="PV83" s="157"/>
      <c r="PW83" s="157"/>
      <c r="PX83" s="157"/>
      <c r="PY83" s="157"/>
      <c r="PZ83" s="157"/>
      <c r="QA83" s="157"/>
      <c r="QB83" s="157"/>
      <c r="QC83" s="157"/>
      <c r="QD83" s="157"/>
      <c r="QE83" s="157"/>
      <c r="QF83" s="157"/>
      <c r="QG83" s="157"/>
      <c r="QH83" s="157"/>
      <c r="QI83" s="157"/>
      <c r="QJ83" s="157"/>
      <c r="QK83" s="157"/>
      <c r="QL83" s="157"/>
      <c r="QM83" s="157"/>
      <c r="QN83" s="157"/>
      <c r="QO83" s="157"/>
      <c r="QP83" s="157"/>
      <c r="QQ83" s="157"/>
      <c r="QR83" s="157"/>
      <c r="QS83" s="157"/>
      <c r="QT83" s="157"/>
      <c r="QU83" s="157"/>
      <c r="QV83" s="157"/>
      <c r="QW83" s="157"/>
      <c r="QX83" s="157"/>
      <c r="QY83" s="157"/>
      <c r="QZ83" s="157"/>
      <c r="RA83" s="157"/>
      <c r="RB83" s="157"/>
      <c r="RC83" s="157"/>
      <c r="RD83" s="157"/>
      <c r="RE83" s="157"/>
      <c r="RF83" s="157"/>
      <c r="RG83" s="157"/>
      <c r="RH83" s="157"/>
      <c r="RI83" s="157"/>
      <c r="RJ83" s="157"/>
      <c r="RK83" s="157"/>
      <c r="RL83" s="157"/>
      <c r="RM83" s="157"/>
      <c r="RN83" s="157"/>
      <c r="RO83" s="157"/>
      <c r="RP83" s="157"/>
      <c r="RQ83" s="157"/>
    </row>
    <row r="84" spans="1:485" s="27" customFormat="1">
      <c r="B84" s="115"/>
      <c r="C84" s="202"/>
      <c r="D84" s="8"/>
      <c r="E84" s="8"/>
      <c r="F84" s="8"/>
      <c r="G84" s="1579"/>
      <c r="H84" s="2915" t="s">
        <v>6815</v>
      </c>
      <c r="I84" s="2916"/>
      <c r="J84" s="1"/>
      <c r="K84" s="2917" t="str">
        <f t="shared" ref="K84:P84" si="361">IF(OR(K83="",K60=0),"", K60-K83)</f>
        <v/>
      </c>
      <c r="L84" s="2917" t="str">
        <f t="shared" si="361"/>
        <v/>
      </c>
      <c r="M84" s="2917" t="str">
        <f t="shared" si="361"/>
        <v/>
      </c>
      <c r="N84" s="2917" t="str">
        <f t="shared" si="361"/>
        <v/>
      </c>
      <c r="O84" s="2917" t="str">
        <f t="shared" si="361"/>
        <v/>
      </c>
      <c r="P84" s="2917" t="str">
        <f t="shared" si="361"/>
        <v/>
      </c>
      <c r="X84" s="1831"/>
      <c r="Y84" s="1831"/>
      <c r="Z84" s="1831"/>
      <c r="AA84" s="1831"/>
      <c r="AB84" s="1831"/>
      <c r="AC84" s="1831"/>
      <c r="AD84" s="1831"/>
      <c r="AE84" s="1831"/>
      <c r="AF84" s="1831"/>
      <c r="AG84" s="1831"/>
      <c r="AH84" s="1831"/>
      <c r="AI84" s="1831"/>
      <c r="AJ84" s="1831"/>
      <c r="AK84" s="1831"/>
      <c r="AL84" s="1831"/>
      <c r="AM84" s="1831"/>
      <c r="AN84" s="1831"/>
      <c r="AO84" s="1831"/>
      <c r="AP84" s="1831"/>
      <c r="AQ84" s="1831"/>
      <c r="AR84" s="1831"/>
      <c r="AS84" s="1831"/>
      <c r="AT84" s="1831"/>
      <c r="AU84" s="1831"/>
      <c r="AV84" s="1831"/>
      <c r="AW84" s="1831"/>
      <c r="AX84" s="1831"/>
      <c r="AY84" s="1831"/>
      <c r="AZ84" s="1831"/>
      <c r="BA84" s="1831"/>
      <c r="BB84" s="1831"/>
      <c r="BC84" s="1831"/>
      <c r="BD84" s="1831"/>
      <c r="BE84" s="1831"/>
      <c r="BF84" s="1831"/>
      <c r="BG84" s="1831"/>
      <c r="BH84" s="1831"/>
      <c r="BI84" s="1831"/>
      <c r="BJ84" s="1831"/>
      <c r="BK84" s="1831"/>
      <c r="BL84" s="1831"/>
      <c r="BM84" s="1831"/>
      <c r="BN84" s="1831"/>
      <c r="BO84" s="1831"/>
      <c r="BP84" s="1831"/>
      <c r="BQ84" s="1831"/>
      <c r="BR84" s="1831"/>
      <c r="BS84" s="1831"/>
      <c r="BT84" s="1831"/>
      <c r="BU84" s="1831"/>
      <c r="BV84" s="1831"/>
      <c r="BW84" s="1831"/>
      <c r="BX84" s="1831"/>
      <c r="BY84" s="1831"/>
      <c r="BZ84" s="1831"/>
      <c r="CA84" s="1831"/>
      <c r="CB84" s="1831"/>
      <c r="CC84" s="1831"/>
      <c r="CD84" s="1831"/>
      <c r="CE84" s="1831"/>
      <c r="CF84" s="1831"/>
      <c r="CG84" s="1831"/>
      <c r="CH84" s="1831"/>
      <c r="CI84" s="1831"/>
      <c r="CJ84" s="1831"/>
      <c r="CK84" s="1831"/>
      <c r="CL84" s="1831"/>
      <c r="CM84" s="1831"/>
      <c r="CN84" s="1831"/>
      <c r="CO84" s="1831"/>
      <c r="CP84" s="1831"/>
      <c r="CQ84" s="1831"/>
      <c r="CR84" s="1831"/>
      <c r="CS84" s="1831"/>
      <c r="CT84" s="1831"/>
      <c r="CU84" s="1831"/>
      <c r="CV84" s="1831"/>
      <c r="CW84" s="1831"/>
      <c r="CX84" s="1831"/>
      <c r="CY84" s="1831"/>
      <c r="CZ84" s="1831"/>
      <c r="DA84" s="1831"/>
      <c r="DB84" s="1831"/>
      <c r="DC84" s="1831"/>
      <c r="DD84" s="1831"/>
      <c r="DE84" s="1831"/>
      <c r="DF84" s="1831"/>
      <c r="DG84" s="1831"/>
      <c r="DH84" s="1831"/>
      <c r="DI84" s="1831"/>
      <c r="DJ84" s="1831"/>
      <c r="DK84" s="1831"/>
      <c r="DL84" s="1831"/>
      <c r="DM84" s="1831"/>
      <c r="DN84" s="1831"/>
      <c r="DO84" s="1831"/>
      <c r="DP84" s="1831"/>
      <c r="DQ84" s="1831"/>
      <c r="DR84" s="1831"/>
      <c r="DS84" s="1831"/>
      <c r="DT84" s="1831"/>
      <c r="DU84" s="1831"/>
      <c r="DV84" s="1831"/>
      <c r="DW84" s="1831"/>
      <c r="DX84" s="1831"/>
      <c r="DY84" s="1831"/>
      <c r="DZ84" s="1831"/>
      <c r="EA84" s="1831"/>
      <c r="EB84" s="1831"/>
      <c r="EC84" s="1831"/>
      <c r="ED84" s="1831"/>
      <c r="EE84" s="1831"/>
      <c r="EF84" s="1831"/>
      <c r="EG84" s="1831"/>
      <c r="EH84" s="1831"/>
      <c r="EI84" s="1831"/>
      <c r="EJ84" s="1831"/>
      <c r="EK84" s="1831"/>
      <c r="EL84" s="1831"/>
      <c r="EM84" s="1831"/>
      <c r="EN84" s="1831"/>
      <c r="EO84" s="1831"/>
      <c r="EP84" s="1831"/>
      <c r="EQ84" s="1831"/>
      <c r="ER84" s="1831"/>
      <c r="ES84" s="1831"/>
      <c r="ET84" s="1831"/>
      <c r="EU84" s="1831"/>
      <c r="EV84" s="1831"/>
      <c r="EW84" s="1831"/>
      <c r="EX84" s="1831"/>
      <c r="EY84" s="1831"/>
      <c r="EZ84" s="1831"/>
      <c r="FA84" s="1831"/>
      <c r="FB84" s="1831"/>
      <c r="FC84" s="1831"/>
      <c r="FD84" s="1831"/>
      <c r="FE84" s="1831"/>
      <c r="FF84" s="1831"/>
      <c r="FG84" s="1831"/>
      <c r="FH84" s="1831"/>
      <c r="FI84" s="1831"/>
      <c r="FJ84" s="1831"/>
      <c r="FK84" s="1831"/>
      <c r="FL84" s="1831"/>
      <c r="FM84" s="1831"/>
      <c r="FN84" s="1831"/>
      <c r="FO84" s="1831"/>
      <c r="FP84" s="1831"/>
      <c r="FQ84" s="1831"/>
      <c r="FR84" s="1831"/>
      <c r="FS84" s="1831"/>
      <c r="FT84" s="1831"/>
      <c r="FU84" s="1831"/>
      <c r="FV84" s="1831"/>
      <c r="FW84" s="1831"/>
      <c r="FX84" s="1831"/>
      <c r="FY84" s="1831"/>
      <c r="FZ84" s="1831"/>
      <c r="GA84" s="1831"/>
      <c r="GB84" s="1831"/>
      <c r="GC84" s="1831"/>
      <c r="GD84" s="1831"/>
      <c r="GE84" s="1831"/>
      <c r="GF84" s="1831"/>
      <c r="GG84" s="1831"/>
      <c r="GH84" s="1831"/>
      <c r="GI84" s="1831"/>
      <c r="GJ84" s="1831"/>
      <c r="GK84" s="1831"/>
      <c r="GL84" s="1831"/>
      <c r="GM84" s="1831"/>
      <c r="GN84" s="1831"/>
      <c r="GO84" s="1831"/>
      <c r="GP84" s="1831"/>
      <c r="GQ84" s="1831"/>
      <c r="GR84" s="1831"/>
      <c r="GS84" s="1831"/>
      <c r="GT84" s="1831"/>
      <c r="GU84" s="1831"/>
      <c r="GV84" s="1831"/>
      <c r="GW84" s="1831"/>
      <c r="GX84" s="1831"/>
      <c r="GY84" s="1831"/>
      <c r="GZ84" s="1831"/>
      <c r="HA84" s="1831"/>
      <c r="HB84" s="1831"/>
      <c r="HC84" s="1831"/>
      <c r="HD84" s="1831"/>
      <c r="HE84" s="1831"/>
      <c r="HF84" s="1831"/>
      <c r="HG84" s="1831"/>
      <c r="HH84" s="1831"/>
      <c r="HI84" s="1831"/>
      <c r="HJ84" s="1831"/>
      <c r="HK84" s="1831"/>
      <c r="HL84" s="1831"/>
      <c r="HM84" s="1831"/>
      <c r="HN84" s="1831"/>
      <c r="HO84" s="1831"/>
      <c r="HP84" s="1831"/>
      <c r="HQ84" s="1831"/>
      <c r="HR84" s="1831"/>
      <c r="HS84" s="1831"/>
      <c r="HT84" s="1831"/>
      <c r="HU84" s="1831"/>
      <c r="HV84" s="1831"/>
      <c r="HW84" s="1831"/>
      <c r="HX84" s="1831"/>
      <c r="HY84" s="1831"/>
      <c r="HZ84" s="1831"/>
      <c r="IA84" s="1831"/>
      <c r="IB84" s="1831"/>
      <c r="IC84" s="1831"/>
      <c r="ID84" s="1831"/>
      <c r="IE84" s="1831"/>
      <c r="IF84" s="1831"/>
      <c r="IG84" s="1831"/>
      <c r="IH84" s="1831"/>
      <c r="II84" s="1831"/>
      <c r="IJ84" s="1831"/>
      <c r="IK84" s="1831"/>
      <c r="IL84" s="1831"/>
      <c r="IM84" s="1831"/>
      <c r="IN84" s="1831"/>
      <c r="IO84" s="1831"/>
      <c r="IP84" s="1831"/>
      <c r="IQ84" s="1831"/>
      <c r="IR84" s="1831"/>
      <c r="IS84" s="1831"/>
      <c r="IT84" s="1831"/>
      <c r="IU84" s="1831"/>
      <c r="IV84" s="1831"/>
      <c r="IW84" s="1831"/>
      <c r="IX84" s="1831"/>
      <c r="IY84" s="1831"/>
      <c r="IZ84" s="1831"/>
      <c r="JA84" s="1831"/>
      <c r="JB84" s="1831"/>
      <c r="JC84" s="1831"/>
      <c r="JD84" s="1831"/>
      <c r="JE84" s="1831"/>
      <c r="JF84" s="1831"/>
      <c r="JG84" s="1831"/>
      <c r="JH84" s="1831"/>
      <c r="JI84" s="1831"/>
      <c r="JJ84" s="1831"/>
      <c r="JK84" s="1831"/>
      <c r="JL84" s="1831"/>
      <c r="JM84" s="1831"/>
      <c r="JN84" s="1831"/>
      <c r="JO84" s="1831"/>
      <c r="JP84" s="1831"/>
      <c r="JQ84" s="1831"/>
      <c r="JR84" s="1831"/>
      <c r="JS84" s="1831"/>
      <c r="JT84" s="1831"/>
      <c r="JU84" s="1831"/>
      <c r="JV84" s="1831"/>
      <c r="JW84" s="1831"/>
      <c r="JX84" s="1831"/>
      <c r="JY84" s="1831"/>
      <c r="JZ84" s="1831"/>
      <c r="KA84" s="1831"/>
      <c r="KB84" s="1831"/>
      <c r="KC84" s="1831"/>
      <c r="KD84" s="1831"/>
      <c r="KE84" s="1831"/>
      <c r="KF84" s="1831"/>
      <c r="KG84" s="1831"/>
      <c r="KH84" s="1831"/>
      <c r="KI84" s="1831"/>
      <c r="KJ84" s="1831"/>
      <c r="KK84" s="1831"/>
      <c r="KL84" s="1831"/>
      <c r="KM84" s="1831"/>
      <c r="KN84" s="1831"/>
      <c r="KO84" s="1831"/>
      <c r="KP84" s="1831"/>
      <c r="KQ84" s="1831"/>
      <c r="KR84" s="1831"/>
      <c r="KS84" s="1831"/>
      <c r="KT84" s="1831"/>
      <c r="KU84" s="1831"/>
      <c r="KV84" s="1831"/>
      <c r="KW84" s="1831"/>
      <c r="KX84" s="1831"/>
      <c r="KY84" s="1831"/>
      <c r="KZ84" s="1831"/>
      <c r="LA84" s="1831"/>
      <c r="LB84" s="1831"/>
      <c r="LC84" s="1831"/>
      <c r="LD84" s="1831"/>
      <c r="LE84" s="1831"/>
      <c r="LF84" s="1831"/>
      <c r="LG84" s="1831"/>
      <c r="LH84" s="1831"/>
      <c r="LI84" s="1831"/>
      <c r="LJ84" s="1831"/>
      <c r="LK84" s="1831"/>
      <c r="LL84" s="1831"/>
      <c r="LM84" s="1831"/>
      <c r="LN84" s="1831"/>
      <c r="LO84" s="1831"/>
      <c r="LP84" s="1831"/>
      <c r="LQ84" s="1831"/>
      <c r="LR84" s="1831"/>
      <c r="LS84" s="1831"/>
      <c r="LT84" s="1831"/>
      <c r="LU84" s="1831"/>
      <c r="LV84" s="1831"/>
      <c r="LW84" s="1831"/>
      <c r="LX84" s="1831"/>
      <c r="LY84" s="1831"/>
      <c r="LZ84" s="1831"/>
      <c r="MA84" s="1831"/>
      <c r="MB84" s="1831"/>
      <c r="MC84" s="1831"/>
      <c r="MD84" s="1831"/>
      <c r="ME84" s="1831"/>
      <c r="MF84" s="1831"/>
      <c r="MG84" s="1831"/>
      <c r="MH84" s="1831"/>
      <c r="MI84" s="1831"/>
      <c r="MJ84" s="1831"/>
      <c r="MK84" s="1831"/>
      <c r="ML84" s="1831"/>
      <c r="MM84" s="1831"/>
      <c r="MN84" s="1831"/>
      <c r="MO84" s="1831"/>
      <c r="MP84" s="1831"/>
      <c r="MQ84" s="1831"/>
      <c r="MR84" s="1831"/>
      <c r="MS84" s="1831"/>
      <c r="MT84" s="1831"/>
      <c r="MU84" s="1831"/>
      <c r="MV84" s="157"/>
      <c r="MW84" s="157"/>
      <c r="MX84" s="157"/>
      <c r="MY84" s="157"/>
      <c r="MZ84" s="157"/>
      <c r="NA84" s="157"/>
      <c r="NB84" s="157"/>
      <c r="NC84" s="157"/>
      <c r="ND84" s="157"/>
      <c r="NE84" s="157"/>
      <c r="NF84" s="157"/>
      <c r="NG84" s="157"/>
      <c r="NH84" s="157"/>
      <c r="NI84" s="157"/>
      <c r="NJ84" s="157"/>
      <c r="NK84" s="157"/>
      <c r="NL84" s="157"/>
      <c r="NM84" s="157"/>
      <c r="NN84" s="157"/>
      <c r="NO84" s="157"/>
      <c r="NP84" s="2807"/>
      <c r="NQ84" s="157"/>
      <c r="NR84" s="157"/>
      <c r="NS84" s="157"/>
      <c r="NT84" s="157"/>
      <c r="NU84" s="157"/>
      <c r="NV84" s="157"/>
      <c r="NW84" s="157"/>
      <c r="NX84" s="157"/>
      <c r="NY84" s="157"/>
      <c r="NZ84" s="157"/>
      <c r="OA84" s="157"/>
      <c r="OB84" s="157"/>
      <c r="OC84" s="157"/>
      <c r="OD84" s="157"/>
      <c r="OE84" s="157"/>
      <c r="OF84" s="157"/>
      <c r="OG84" s="157"/>
      <c r="OH84" s="157"/>
      <c r="OI84" s="157"/>
      <c r="OJ84" s="157"/>
      <c r="OK84" s="157"/>
      <c r="OL84" s="157"/>
      <c r="OM84" s="157"/>
      <c r="ON84" s="157"/>
      <c r="OO84" s="157"/>
      <c r="OP84" s="157"/>
      <c r="OQ84" s="157"/>
      <c r="OR84" s="157"/>
      <c r="OS84" s="157"/>
      <c r="OT84" s="157"/>
      <c r="OU84" s="157"/>
      <c r="OV84" s="157"/>
      <c r="OW84" s="157"/>
      <c r="OX84" s="157"/>
      <c r="OY84" s="157"/>
      <c r="OZ84" s="157"/>
      <c r="PA84" s="157"/>
      <c r="PB84" s="157"/>
      <c r="PC84" s="157"/>
      <c r="PD84" s="157"/>
      <c r="PE84" s="157"/>
      <c r="PF84" s="157"/>
      <c r="PG84" s="157"/>
      <c r="PH84" s="157"/>
      <c r="PI84" s="157"/>
      <c r="PJ84" s="157"/>
      <c r="PK84" s="157"/>
      <c r="PL84" s="157"/>
      <c r="PM84" s="157"/>
      <c r="PN84" s="157"/>
      <c r="PO84" s="157"/>
      <c r="PP84" s="157"/>
      <c r="PQ84" s="157"/>
      <c r="PR84" s="157"/>
      <c r="PS84" s="157"/>
      <c r="PT84" s="157"/>
      <c r="PU84" s="157"/>
      <c r="PV84" s="157"/>
      <c r="PW84" s="157"/>
      <c r="PX84" s="157"/>
      <c r="PY84" s="157"/>
      <c r="PZ84" s="157"/>
      <c r="QA84" s="157"/>
      <c r="QB84" s="157"/>
      <c r="QC84" s="157"/>
      <c r="QD84" s="157"/>
      <c r="QE84" s="157"/>
      <c r="QF84" s="157"/>
      <c r="QG84" s="157"/>
      <c r="QH84" s="157"/>
      <c r="QI84" s="157"/>
      <c r="QJ84" s="157"/>
      <c r="QK84" s="157"/>
      <c r="QL84" s="157"/>
      <c r="QM84" s="157"/>
      <c r="QN84" s="157"/>
      <c r="QO84" s="157"/>
      <c r="QP84" s="157"/>
      <c r="QQ84" s="157"/>
      <c r="QR84" s="157"/>
      <c r="QS84" s="157"/>
      <c r="QT84" s="157"/>
      <c r="QU84" s="157"/>
      <c r="QV84" s="157"/>
      <c r="QW84" s="157"/>
      <c r="QX84" s="157"/>
      <c r="QY84" s="157"/>
      <c r="QZ84" s="157"/>
      <c r="RA84" s="157"/>
      <c r="RB84" s="157"/>
      <c r="RC84" s="157"/>
      <c r="RD84" s="157"/>
      <c r="RE84" s="157"/>
      <c r="RF84" s="157"/>
      <c r="RG84" s="157"/>
      <c r="RH84" s="157"/>
      <c r="RI84" s="157"/>
      <c r="RJ84" s="157"/>
      <c r="RK84" s="157"/>
      <c r="RL84" s="157"/>
      <c r="RM84" s="157"/>
      <c r="RN84" s="157"/>
      <c r="RO84" s="157"/>
      <c r="RP84" s="157"/>
      <c r="RQ84" s="157"/>
    </row>
    <row r="85" spans="1:485" s="27" customFormat="1">
      <c r="B85" s="115"/>
      <c r="C85" s="202" t="s">
        <v>4273</v>
      </c>
      <c r="D85" s="8"/>
      <c r="E85" s="8"/>
      <c r="F85" s="8"/>
      <c r="G85" s="8"/>
      <c r="H85" s="109" t="s">
        <v>3832</v>
      </c>
      <c r="I85" s="36"/>
      <c r="J85" s="1"/>
      <c r="K85" s="2920" t="str">
        <f t="shared" ref="K85:P85" si="362">IF(OR(K61=0,K67=0),"",K61/K67)</f>
        <v/>
      </c>
      <c r="L85" s="2921" t="str">
        <f t="shared" si="362"/>
        <v/>
      </c>
      <c r="M85" s="2921" t="str">
        <f t="shared" si="362"/>
        <v/>
      </c>
      <c r="N85" s="2921" t="str">
        <f t="shared" si="362"/>
        <v/>
      </c>
      <c r="O85" s="2921" t="str">
        <f t="shared" si="362"/>
        <v/>
      </c>
      <c r="P85" s="2922" t="str">
        <f t="shared" si="362"/>
        <v/>
      </c>
      <c r="X85" s="1831"/>
      <c r="Y85" s="1831"/>
      <c r="Z85" s="1831"/>
      <c r="AA85" s="1831"/>
      <c r="AB85" s="1831"/>
      <c r="AC85" s="1831"/>
      <c r="AD85" s="1831"/>
      <c r="AE85" s="1831"/>
      <c r="AF85" s="1831"/>
      <c r="AG85" s="1831"/>
      <c r="AH85" s="1831"/>
      <c r="AI85" s="1831"/>
      <c r="AJ85" s="1831"/>
      <c r="AK85" s="1831"/>
      <c r="AL85" s="1831"/>
      <c r="AM85" s="1831"/>
      <c r="AN85" s="1831"/>
      <c r="AO85" s="1831"/>
      <c r="AP85" s="1831"/>
      <c r="AQ85" s="1831"/>
      <c r="AR85" s="1831"/>
      <c r="AS85" s="1831"/>
      <c r="AT85" s="1831"/>
      <c r="AU85" s="1831"/>
      <c r="AV85" s="1831"/>
      <c r="AW85" s="1831"/>
      <c r="AX85" s="1831"/>
      <c r="AY85" s="1831"/>
      <c r="AZ85" s="1831"/>
      <c r="BA85" s="1831"/>
      <c r="BB85" s="1831"/>
      <c r="BC85" s="1831"/>
      <c r="BD85" s="1831"/>
      <c r="BE85" s="1831"/>
      <c r="BF85" s="1831"/>
      <c r="BG85" s="1831"/>
      <c r="BH85" s="1831"/>
      <c r="BI85" s="1831"/>
      <c r="BJ85" s="1831"/>
      <c r="BK85" s="1831"/>
      <c r="BL85" s="1831"/>
      <c r="BM85" s="1831"/>
      <c r="BN85" s="1831"/>
      <c r="BO85" s="1831"/>
      <c r="BP85" s="1831"/>
      <c r="BQ85" s="1831"/>
      <c r="BR85" s="1831"/>
      <c r="BS85" s="1831"/>
      <c r="BT85" s="1831"/>
      <c r="BU85" s="1831"/>
      <c r="BV85" s="1831"/>
      <c r="BW85" s="1831"/>
      <c r="BX85" s="1831"/>
      <c r="BY85" s="1831"/>
      <c r="BZ85" s="1831"/>
      <c r="CA85" s="1831"/>
      <c r="CB85" s="1831"/>
      <c r="CC85" s="1831"/>
      <c r="CD85" s="1831"/>
      <c r="CE85" s="1831"/>
      <c r="CF85" s="1831"/>
      <c r="CG85" s="1831"/>
      <c r="CH85" s="1831"/>
      <c r="CI85" s="1831"/>
      <c r="CJ85" s="1831"/>
      <c r="CK85" s="1831"/>
      <c r="CL85" s="1831"/>
      <c r="CM85" s="1831"/>
      <c r="CN85" s="1831"/>
      <c r="CO85" s="1831"/>
      <c r="CP85" s="1831"/>
      <c r="CQ85" s="1831"/>
      <c r="CR85" s="1831"/>
      <c r="CS85" s="1831"/>
      <c r="CT85" s="1831"/>
      <c r="CU85" s="1831"/>
      <c r="CV85" s="1831"/>
      <c r="CW85" s="1831"/>
      <c r="CX85" s="1831"/>
      <c r="CY85" s="1831"/>
      <c r="CZ85" s="1831"/>
      <c r="DA85" s="1831"/>
      <c r="DB85" s="1831"/>
      <c r="DC85" s="1831"/>
      <c r="DD85" s="1831"/>
      <c r="DE85" s="1831"/>
      <c r="DF85" s="1831"/>
      <c r="DG85" s="1831"/>
      <c r="DH85" s="1831"/>
      <c r="DI85" s="1831"/>
      <c r="DJ85" s="1831"/>
      <c r="DK85" s="1831"/>
      <c r="DL85" s="1831"/>
      <c r="DM85" s="1831"/>
      <c r="DN85" s="1831"/>
      <c r="DO85" s="1831"/>
      <c r="DP85" s="1831"/>
      <c r="DQ85" s="1831"/>
      <c r="DR85" s="1831"/>
      <c r="DS85" s="1831"/>
      <c r="DT85" s="1831"/>
      <c r="DU85" s="1831"/>
      <c r="DV85" s="1831"/>
      <c r="DW85" s="1831"/>
      <c r="DX85" s="1831"/>
      <c r="DY85" s="1831"/>
      <c r="DZ85" s="1831"/>
      <c r="EA85" s="1831"/>
      <c r="EB85" s="1831"/>
      <c r="EC85" s="1831"/>
      <c r="ED85" s="1831"/>
      <c r="EE85" s="1831"/>
      <c r="EF85" s="1831"/>
      <c r="EG85" s="1831"/>
      <c r="EH85" s="1831"/>
      <c r="EI85" s="1831"/>
      <c r="EJ85" s="1831"/>
      <c r="EK85" s="1831"/>
      <c r="EL85" s="1831"/>
      <c r="EM85" s="1831"/>
      <c r="EN85" s="1831"/>
      <c r="EO85" s="1831"/>
      <c r="EP85" s="1831"/>
      <c r="EQ85" s="1831"/>
      <c r="ER85" s="1831"/>
      <c r="ES85" s="1831"/>
      <c r="ET85" s="1831"/>
      <c r="EU85" s="1831"/>
      <c r="EV85" s="1831"/>
      <c r="EW85" s="1831"/>
      <c r="EX85" s="1831"/>
      <c r="EY85" s="1831"/>
      <c r="EZ85" s="1831"/>
      <c r="FA85" s="1831"/>
      <c r="FB85" s="1831"/>
      <c r="FC85" s="1831"/>
      <c r="FD85" s="1831"/>
      <c r="FE85" s="1831"/>
      <c r="FF85" s="1831"/>
      <c r="FG85" s="1831"/>
      <c r="FH85" s="1831"/>
      <c r="FI85" s="1831"/>
      <c r="FJ85" s="1831"/>
      <c r="FK85" s="1831"/>
      <c r="FL85" s="1831"/>
      <c r="FM85" s="1831"/>
      <c r="FN85" s="1831"/>
      <c r="FO85" s="1831"/>
      <c r="FP85" s="1831"/>
      <c r="FQ85" s="1831"/>
      <c r="FR85" s="1831"/>
      <c r="FS85" s="1831"/>
      <c r="FT85" s="1831"/>
      <c r="FU85" s="1831"/>
      <c r="FV85" s="1831"/>
      <c r="FW85" s="1831"/>
      <c r="FX85" s="1831"/>
      <c r="FY85" s="1831"/>
      <c r="FZ85" s="1831"/>
      <c r="GA85" s="1831"/>
      <c r="GB85" s="1831"/>
      <c r="GC85" s="1831"/>
      <c r="GD85" s="1831"/>
      <c r="GE85" s="1831"/>
      <c r="GF85" s="1831"/>
      <c r="GG85" s="1831"/>
      <c r="GH85" s="1831"/>
      <c r="GI85" s="1831"/>
      <c r="GJ85" s="1831"/>
      <c r="GK85" s="1831"/>
      <c r="GL85" s="1831"/>
      <c r="GM85" s="1831"/>
      <c r="GN85" s="1831"/>
      <c r="GO85" s="1831"/>
      <c r="GP85" s="1831"/>
      <c r="GQ85" s="1831"/>
      <c r="GR85" s="1831"/>
      <c r="GS85" s="1831"/>
      <c r="GT85" s="1831"/>
      <c r="GU85" s="1831"/>
      <c r="GV85" s="1831"/>
      <c r="GW85" s="1831"/>
      <c r="GX85" s="1831"/>
      <c r="GY85" s="1831"/>
      <c r="GZ85" s="1831"/>
      <c r="HA85" s="1831"/>
      <c r="HB85" s="1831"/>
      <c r="HC85" s="1831"/>
      <c r="HD85" s="1831"/>
      <c r="HE85" s="1831"/>
      <c r="HF85" s="1831"/>
      <c r="HG85" s="1831"/>
      <c r="HH85" s="1831"/>
      <c r="HI85" s="1831"/>
      <c r="HJ85" s="1831"/>
      <c r="HK85" s="1831"/>
      <c r="HL85" s="1831"/>
      <c r="HM85" s="1831"/>
      <c r="HN85" s="1831"/>
      <c r="HO85" s="1831"/>
      <c r="HP85" s="1831"/>
      <c r="HQ85" s="1831"/>
      <c r="HR85" s="1831"/>
      <c r="HS85" s="1831"/>
      <c r="HT85" s="1831"/>
      <c r="HU85" s="1831"/>
      <c r="HV85" s="1831"/>
      <c r="HW85" s="1831"/>
      <c r="HX85" s="1831"/>
      <c r="HY85" s="1831"/>
      <c r="HZ85" s="1831"/>
      <c r="IA85" s="1831"/>
      <c r="IB85" s="1831"/>
      <c r="IC85" s="1831"/>
      <c r="ID85" s="1831"/>
      <c r="IE85" s="1831"/>
      <c r="IF85" s="1831"/>
      <c r="IG85" s="1831"/>
      <c r="IH85" s="1831"/>
      <c r="II85" s="1831"/>
      <c r="IJ85" s="1831"/>
      <c r="IK85" s="1831"/>
      <c r="IL85" s="1831"/>
      <c r="IM85" s="1831"/>
      <c r="IN85" s="1831"/>
      <c r="IO85" s="1831"/>
      <c r="IP85" s="1831"/>
      <c r="IQ85" s="1831"/>
      <c r="IR85" s="1831"/>
      <c r="IS85" s="1831"/>
      <c r="IT85" s="1831"/>
      <c r="IU85" s="1831"/>
      <c r="IV85" s="1831"/>
      <c r="IW85" s="1831"/>
      <c r="IX85" s="1831"/>
      <c r="IY85" s="1831"/>
      <c r="IZ85" s="1831"/>
      <c r="JA85" s="1831"/>
      <c r="JB85" s="1831"/>
      <c r="JC85" s="1831"/>
      <c r="JD85" s="1831"/>
      <c r="JE85" s="1831"/>
      <c r="JF85" s="1831"/>
      <c r="JG85" s="1831"/>
      <c r="JH85" s="1831"/>
      <c r="JI85" s="1831"/>
      <c r="JJ85" s="1831"/>
      <c r="JK85" s="1831"/>
      <c r="JL85" s="1831"/>
      <c r="JM85" s="1831"/>
      <c r="JN85" s="1831"/>
      <c r="JO85" s="1831"/>
      <c r="JP85" s="1831"/>
      <c r="JQ85" s="1831"/>
      <c r="JR85" s="1831"/>
      <c r="JS85" s="1831"/>
      <c r="JT85" s="1831"/>
      <c r="JU85" s="1831"/>
      <c r="JV85" s="1831"/>
      <c r="JW85" s="1831"/>
      <c r="JX85" s="1831"/>
      <c r="JY85" s="1831"/>
      <c r="JZ85" s="1831"/>
      <c r="KA85" s="1831"/>
      <c r="KB85" s="1831"/>
      <c r="KC85" s="1831"/>
      <c r="KD85" s="1831"/>
      <c r="KE85" s="1831"/>
      <c r="KF85" s="1831"/>
      <c r="KG85" s="1831"/>
      <c r="KH85" s="1831"/>
      <c r="KI85" s="1831"/>
      <c r="KJ85" s="1831"/>
      <c r="KK85" s="1831"/>
      <c r="KL85" s="1831"/>
      <c r="KM85" s="1831"/>
      <c r="KN85" s="1831"/>
      <c r="KO85" s="1831"/>
      <c r="KP85" s="1831"/>
      <c r="KQ85" s="1831"/>
      <c r="KR85" s="1831"/>
      <c r="KS85" s="1831"/>
      <c r="KT85" s="1831"/>
      <c r="KU85" s="1831"/>
      <c r="KV85" s="1831"/>
      <c r="KW85" s="1831"/>
      <c r="KX85" s="1831"/>
      <c r="KY85" s="1831"/>
      <c r="KZ85" s="1831"/>
      <c r="LA85" s="1831"/>
      <c r="LB85" s="1831"/>
      <c r="LC85" s="1831"/>
      <c r="LD85" s="1831"/>
      <c r="LE85" s="1831"/>
      <c r="LF85" s="1831"/>
      <c r="LG85" s="1831"/>
      <c r="LH85" s="1831"/>
      <c r="LI85" s="1831"/>
      <c r="LJ85" s="1831"/>
      <c r="LK85" s="1831"/>
      <c r="LL85" s="1831"/>
      <c r="LM85" s="1831"/>
      <c r="LN85" s="1831"/>
      <c r="LO85" s="1831"/>
      <c r="LP85" s="1831"/>
      <c r="LQ85" s="1831"/>
      <c r="LR85" s="1831"/>
      <c r="LS85" s="1831"/>
      <c r="LT85" s="1831"/>
      <c r="LU85" s="1831"/>
      <c r="LV85" s="1831"/>
      <c r="LW85" s="1831"/>
      <c r="LX85" s="1831"/>
      <c r="LY85" s="1831"/>
      <c r="LZ85" s="1831"/>
      <c r="MA85" s="1831"/>
      <c r="MB85" s="1831"/>
      <c r="MC85" s="1831"/>
      <c r="MD85" s="1831"/>
      <c r="ME85" s="1831"/>
      <c r="MF85" s="1831"/>
      <c r="MG85" s="1831"/>
      <c r="MH85" s="1831"/>
      <c r="MI85" s="1831"/>
      <c r="MJ85" s="1831"/>
      <c r="MK85" s="1831"/>
      <c r="ML85" s="1831"/>
      <c r="MM85" s="1831"/>
      <c r="MN85" s="1831"/>
      <c r="MO85" s="1831"/>
      <c r="MP85" s="1831"/>
      <c r="MQ85" s="1831"/>
      <c r="MR85" s="1831"/>
      <c r="MS85" s="1831"/>
      <c r="MT85" s="1831"/>
      <c r="MU85" s="1831"/>
      <c r="MV85" s="157"/>
      <c r="MW85" s="157"/>
      <c r="MX85" s="157"/>
      <c r="MY85" s="157"/>
      <c r="MZ85" s="157"/>
      <c r="NA85" s="157"/>
      <c r="NB85" s="157"/>
      <c r="NC85" s="157"/>
      <c r="ND85" s="157"/>
      <c r="NE85" s="157"/>
      <c r="NF85" s="157"/>
      <c r="NG85" s="157"/>
      <c r="NH85" s="157"/>
      <c r="NI85" s="157"/>
      <c r="NJ85" s="157"/>
      <c r="NK85" s="157"/>
      <c r="NL85" s="157"/>
      <c r="NM85" s="157"/>
      <c r="NN85" s="157"/>
      <c r="NO85" s="157"/>
      <c r="NP85" s="2807"/>
      <c r="NQ85" s="157"/>
      <c r="NR85" s="157"/>
      <c r="NS85" s="157"/>
      <c r="NT85" s="157"/>
      <c r="NU85" s="157"/>
      <c r="NV85" s="157"/>
      <c r="NW85" s="157"/>
      <c r="NX85" s="157"/>
      <c r="NY85" s="157"/>
      <c r="NZ85" s="157"/>
      <c r="OA85" s="157"/>
      <c r="OB85" s="157"/>
      <c r="OC85" s="157"/>
      <c r="OD85" s="157"/>
      <c r="OE85" s="157"/>
      <c r="OF85" s="157"/>
      <c r="OG85" s="157"/>
      <c r="OH85" s="157"/>
      <c r="OI85" s="157"/>
      <c r="OJ85" s="157"/>
      <c r="OK85" s="157"/>
      <c r="OL85" s="157"/>
      <c r="OM85" s="157"/>
      <c r="ON85" s="157"/>
      <c r="OO85" s="157"/>
      <c r="OP85" s="157"/>
      <c r="OQ85" s="157"/>
      <c r="OR85" s="157"/>
      <c r="OS85" s="157"/>
      <c r="OT85" s="157"/>
      <c r="OU85" s="157"/>
      <c r="OV85" s="157"/>
      <c r="OW85" s="157"/>
      <c r="OX85" s="157"/>
      <c r="OY85" s="157"/>
      <c r="OZ85" s="157"/>
      <c r="PA85" s="157"/>
      <c r="PB85" s="157"/>
      <c r="PC85" s="157"/>
      <c r="PD85" s="157"/>
      <c r="PE85" s="157"/>
      <c r="PF85" s="157"/>
      <c r="PG85" s="157"/>
      <c r="PH85" s="157"/>
      <c r="PI85" s="157"/>
      <c r="PJ85" s="157"/>
      <c r="PK85" s="157"/>
      <c r="PL85" s="157"/>
      <c r="PM85" s="157"/>
      <c r="PN85" s="157"/>
      <c r="PO85" s="157"/>
      <c r="PP85" s="157"/>
      <c r="PQ85" s="157"/>
      <c r="PR85" s="157"/>
      <c r="PS85" s="157"/>
      <c r="PT85" s="157"/>
      <c r="PU85" s="157"/>
      <c r="PV85" s="157"/>
      <c r="PW85" s="157"/>
      <c r="PX85" s="157"/>
      <c r="PY85" s="157"/>
      <c r="PZ85" s="157"/>
      <c r="QA85" s="157"/>
      <c r="QB85" s="157"/>
      <c r="QC85" s="157"/>
      <c r="QD85" s="157"/>
      <c r="QE85" s="157"/>
      <c r="QF85" s="157"/>
      <c r="QG85" s="157"/>
      <c r="QH85" s="157"/>
      <c r="QI85" s="157"/>
      <c r="QJ85" s="157"/>
      <c r="QK85" s="157"/>
      <c r="QL85" s="157"/>
      <c r="QM85" s="157"/>
      <c r="QN85" s="157"/>
      <c r="QO85" s="157"/>
      <c r="QP85" s="157"/>
      <c r="QQ85" s="157"/>
      <c r="QR85" s="157"/>
      <c r="QS85" s="157"/>
      <c r="QT85" s="157"/>
      <c r="QU85" s="157"/>
      <c r="QV85" s="157"/>
      <c r="QW85" s="157"/>
      <c r="QX85" s="157"/>
      <c r="QY85" s="157"/>
      <c r="QZ85" s="157"/>
      <c r="RA85" s="157"/>
      <c r="RB85" s="157"/>
      <c r="RC85" s="157"/>
      <c r="RD85" s="157"/>
      <c r="RE85" s="157"/>
      <c r="RF85" s="157"/>
      <c r="RG85" s="157"/>
      <c r="RH85" s="157"/>
      <c r="RI85" s="157"/>
      <c r="RJ85" s="157"/>
      <c r="RK85" s="157"/>
      <c r="RL85" s="157"/>
      <c r="RM85" s="157"/>
      <c r="RN85" s="157"/>
      <c r="RO85" s="157"/>
      <c r="RP85" s="157"/>
      <c r="RQ85" s="157"/>
    </row>
    <row r="86" spans="1:485" s="27" customFormat="1">
      <c r="B86" s="115"/>
      <c r="C86" s="202"/>
      <c r="D86" s="8"/>
      <c r="E86" s="8"/>
      <c r="F86" s="8"/>
      <c r="G86" s="8"/>
      <c r="H86" s="109" t="s">
        <v>6814</v>
      </c>
      <c r="I86" s="36"/>
      <c r="J86" s="1"/>
      <c r="K86" s="2913" t="str">
        <f>IF(OR(K61=0,P85="",K67=0),"",P85*K67)</f>
        <v/>
      </c>
      <c r="L86" s="2913" t="str">
        <f>IF(OR(L61=0,P85="",L67=0),"",P85*L67)</f>
        <v/>
      </c>
      <c r="M86" s="2913" t="str">
        <f>IF(OR(M61=0,P85="",M67=0),"",P85*M67)</f>
        <v/>
      </c>
      <c r="N86" s="2913" t="str">
        <f>IF(OR(N61=0,P85="",N67=0),"",P85*N67)</f>
        <v/>
      </c>
      <c r="O86" s="2913" t="str">
        <f>IF(OR(O61=0,P85="",O67=0),"",P85*O67)</f>
        <v/>
      </c>
      <c r="P86" s="2914" t="str">
        <f>IF(OR(P85="",P67=0),"",P85*P67)</f>
        <v/>
      </c>
      <c r="X86" s="1831"/>
      <c r="Y86" s="1831"/>
      <c r="Z86" s="1831"/>
      <c r="AA86" s="1831"/>
      <c r="AB86" s="1831"/>
      <c r="AC86" s="1831"/>
      <c r="AD86" s="1831"/>
      <c r="AE86" s="1831"/>
      <c r="AF86" s="1831"/>
      <c r="AG86" s="1831"/>
      <c r="AH86" s="1831"/>
      <c r="AI86" s="1831"/>
      <c r="AJ86" s="1831"/>
      <c r="AK86" s="1831"/>
      <c r="AL86" s="1831"/>
      <c r="AM86" s="1831"/>
      <c r="AN86" s="1831"/>
      <c r="AO86" s="1831"/>
      <c r="AP86" s="1831"/>
      <c r="AQ86" s="1831"/>
      <c r="AR86" s="1831"/>
      <c r="AS86" s="1831"/>
      <c r="AT86" s="1831"/>
      <c r="AU86" s="1831"/>
      <c r="AV86" s="1831"/>
      <c r="AW86" s="1831"/>
      <c r="AX86" s="1831"/>
      <c r="AY86" s="1831"/>
      <c r="AZ86" s="1831"/>
      <c r="BA86" s="1831"/>
      <c r="BB86" s="1831"/>
      <c r="BC86" s="1831"/>
      <c r="BD86" s="1831"/>
      <c r="BE86" s="1831"/>
      <c r="BF86" s="1831"/>
      <c r="BG86" s="1831"/>
      <c r="BH86" s="1831"/>
      <c r="BI86" s="1831"/>
      <c r="BJ86" s="1831"/>
      <c r="BK86" s="1831"/>
      <c r="BL86" s="1831"/>
      <c r="BM86" s="1831"/>
      <c r="BN86" s="1831"/>
      <c r="BO86" s="1831"/>
      <c r="BP86" s="1831"/>
      <c r="BQ86" s="1831"/>
      <c r="BR86" s="1831"/>
      <c r="BS86" s="1831"/>
      <c r="BT86" s="1831"/>
      <c r="BU86" s="1831"/>
      <c r="BV86" s="1831"/>
      <c r="BW86" s="1831"/>
      <c r="BX86" s="1831"/>
      <c r="BY86" s="1831"/>
      <c r="BZ86" s="1831"/>
      <c r="CA86" s="1831"/>
      <c r="CB86" s="1831"/>
      <c r="CC86" s="1831"/>
      <c r="CD86" s="1831"/>
      <c r="CE86" s="1831"/>
      <c r="CF86" s="1831"/>
      <c r="CG86" s="1831"/>
      <c r="CH86" s="1831"/>
      <c r="CI86" s="1831"/>
      <c r="CJ86" s="1831"/>
      <c r="CK86" s="1831"/>
      <c r="CL86" s="1831"/>
      <c r="CM86" s="1831"/>
      <c r="CN86" s="1831"/>
      <c r="CO86" s="1831"/>
      <c r="CP86" s="1831"/>
      <c r="CQ86" s="1831"/>
      <c r="CR86" s="1831"/>
      <c r="CS86" s="1831"/>
      <c r="CT86" s="1831"/>
      <c r="CU86" s="1831"/>
      <c r="CV86" s="1831"/>
      <c r="CW86" s="1831"/>
      <c r="CX86" s="1831"/>
      <c r="CY86" s="1831"/>
      <c r="CZ86" s="1831"/>
      <c r="DA86" s="1831"/>
      <c r="DB86" s="1831"/>
      <c r="DC86" s="1831"/>
      <c r="DD86" s="1831"/>
      <c r="DE86" s="1831"/>
      <c r="DF86" s="1831"/>
      <c r="DG86" s="1831"/>
      <c r="DH86" s="1831"/>
      <c r="DI86" s="1831"/>
      <c r="DJ86" s="1831"/>
      <c r="DK86" s="1831"/>
      <c r="DL86" s="1831"/>
      <c r="DM86" s="1831"/>
      <c r="DN86" s="1831"/>
      <c r="DO86" s="1831"/>
      <c r="DP86" s="1831"/>
      <c r="DQ86" s="1831"/>
      <c r="DR86" s="1831"/>
      <c r="DS86" s="1831"/>
      <c r="DT86" s="1831"/>
      <c r="DU86" s="1831"/>
      <c r="DV86" s="1831"/>
      <c r="DW86" s="1831"/>
      <c r="DX86" s="1831"/>
      <c r="DY86" s="1831"/>
      <c r="DZ86" s="1831"/>
      <c r="EA86" s="1831"/>
      <c r="EB86" s="1831"/>
      <c r="EC86" s="1831"/>
      <c r="ED86" s="1831"/>
      <c r="EE86" s="1831"/>
      <c r="EF86" s="1831"/>
      <c r="EG86" s="1831"/>
      <c r="EH86" s="1831"/>
      <c r="EI86" s="1831"/>
      <c r="EJ86" s="1831"/>
      <c r="EK86" s="1831"/>
      <c r="EL86" s="1831"/>
      <c r="EM86" s="1831"/>
      <c r="EN86" s="1831"/>
      <c r="EO86" s="1831"/>
      <c r="EP86" s="1831"/>
      <c r="EQ86" s="1831"/>
      <c r="ER86" s="1831"/>
      <c r="ES86" s="1831"/>
      <c r="ET86" s="1831"/>
      <c r="EU86" s="1831"/>
      <c r="EV86" s="1831"/>
      <c r="EW86" s="1831"/>
      <c r="EX86" s="1831"/>
      <c r="EY86" s="1831"/>
      <c r="EZ86" s="1831"/>
      <c r="FA86" s="1831"/>
      <c r="FB86" s="1831"/>
      <c r="FC86" s="1831"/>
      <c r="FD86" s="1831"/>
      <c r="FE86" s="1831"/>
      <c r="FF86" s="1831"/>
      <c r="FG86" s="1831"/>
      <c r="FH86" s="1831"/>
      <c r="FI86" s="1831"/>
      <c r="FJ86" s="1831"/>
      <c r="FK86" s="1831"/>
      <c r="FL86" s="1831"/>
      <c r="FM86" s="1831"/>
      <c r="FN86" s="1831"/>
      <c r="FO86" s="1831"/>
      <c r="FP86" s="1831"/>
      <c r="FQ86" s="1831"/>
      <c r="FR86" s="1831"/>
      <c r="FS86" s="1831"/>
      <c r="FT86" s="1831"/>
      <c r="FU86" s="1831"/>
      <c r="FV86" s="1831"/>
      <c r="FW86" s="1831"/>
      <c r="FX86" s="1831"/>
      <c r="FY86" s="1831"/>
      <c r="FZ86" s="1831"/>
      <c r="GA86" s="1831"/>
      <c r="GB86" s="1831"/>
      <c r="GC86" s="1831"/>
      <c r="GD86" s="1831"/>
      <c r="GE86" s="1831"/>
      <c r="GF86" s="1831"/>
      <c r="GG86" s="1831"/>
      <c r="GH86" s="1831"/>
      <c r="GI86" s="1831"/>
      <c r="GJ86" s="1831"/>
      <c r="GK86" s="1831"/>
      <c r="GL86" s="1831"/>
      <c r="GM86" s="1831"/>
      <c r="GN86" s="1831"/>
      <c r="GO86" s="1831"/>
      <c r="GP86" s="1831"/>
      <c r="GQ86" s="1831"/>
      <c r="GR86" s="1831"/>
      <c r="GS86" s="1831"/>
      <c r="GT86" s="1831"/>
      <c r="GU86" s="1831"/>
      <c r="GV86" s="1831"/>
      <c r="GW86" s="1831"/>
      <c r="GX86" s="1831"/>
      <c r="GY86" s="1831"/>
      <c r="GZ86" s="1831"/>
      <c r="HA86" s="1831"/>
      <c r="HB86" s="1831"/>
      <c r="HC86" s="1831"/>
      <c r="HD86" s="1831"/>
      <c r="HE86" s="1831"/>
      <c r="HF86" s="1831"/>
      <c r="HG86" s="1831"/>
      <c r="HH86" s="1831"/>
      <c r="HI86" s="1831"/>
      <c r="HJ86" s="1831"/>
      <c r="HK86" s="1831"/>
      <c r="HL86" s="1831"/>
      <c r="HM86" s="1831"/>
      <c r="HN86" s="1831"/>
      <c r="HO86" s="1831"/>
      <c r="HP86" s="1831"/>
      <c r="HQ86" s="1831"/>
      <c r="HR86" s="1831"/>
      <c r="HS86" s="1831"/>
      <c r="HT86" s="1831"/>
      <c r="HU86" s="1831"/>
      <c r="HV86" s="1831"/>
      <c r="HW86" s="1831"/>
      <c r="HX86" s="1831"/>
      <c r="HY86" s="1831"/>
      <c r="HZ86" s="1831"/>
      <c r="IA86" s="1831"/>
      <c r="IB86" s="1831"/>
      <c r="IC86" s="1831"/>
      <c r="ID86" s="1831"/>
      <c r="IE86" s="1831"/>
      <c r="IF86" s="1831"/>
      <c r="IG86" s="1831"/>
      <c r="IH86" s="1831"/>
      <c r="II86" s="1831"/>
      <c r="IJ86" s="1831"/>
      <c r="IK86" s="1831"/>
      <c r="IL86" s="1831"/>
      <c r="IM86" s="1831"/>
      <c r="IN86" s="1831"/>
      <c r="IO86" s="1831"/>
      <c r="IP86" s="1831"/>
      <c r="IQ86" s="1831"/>
      <c r="IR86" s="1831"/>
      <c r="IS86" s="1831"/>
      <c r="IT86" s="1831"/>
      <c r="IU86" s="1831"/>
      <c r="IV86" s="1831"/>
      <c r="IW86" s="1831"/>
      <c r="IX86" s="1831"/>
      <c r="IY86" s="1831"/>
      <c r="IZ86" s="1831"/>
      <c r="JA86" s="1831"/>
      <c r="JB86" s="1831"/>
      <c r="JC86" s="1831"/>
      <c r="JD86" s="1831"/>
      <c r="JE86" s="1831"/>
      <c r="JF86" s="1831"/>
      <c r="JG86" s="1831"/>
      <c r="JH86" s="1831"/>
      <c r="JI86" s="1831"/>
      <c r="JJ86" s="1831"/>
      <c r="JK86" s="1831"/>
      <c r="JL86" s="1831"/>
      <c r="JM86" s="1831"/>
      <c r="JN86" s="1831"/>
      <c r="JO86" s="1831"/>
      <c r="JP86" s="1831"/>
      <c r="JQ86" s="1831"/>
      <c r="JR86" s="1831"/>
      <c r="JS86" s="1831"/>
      <c r="JT86" s="1831"/>
      <c r="JU86" s="1831"/>
      <c r="JV86" s="1831"/>
      <c r="JW86" s="1831"/>
      <c r="JX86" s="1831"/>
      <c r="JY86" s="1831"/>
      <c r="JZ86" s="1831"/>
      <c r="KA86" s="1831"/>
      <c r="KB86" s="1831"/>
      <c r="KC86" s="1831"/>
      <c r="KD86" s="1831"/>
      <c r="KE86" s="1831"/>
      <c r="KF86" s="1831"/>
      <c r="KG86" s="1831"/>
      <c r="KH86" s="1831"/>
      <c r="KI86" s="1831"/>
      <c r="KJ86" s="1831"/>
      <c r="KK86" s="1831"/>
      <c r="KL86" s="1831"/>
      <c r="KM86" s="1831"/>
      <c r="KN86" s="1831"/>
      <c r="KO86" s="1831"/>
      <c r="KP86" s="1831"/>
      <c r="KQ86" s="1831"/>
      <c r="KR86" s="1831"/>
      <c r="KS86" s="1831"/>
      <c r="KT86" s="1831"/>
      <c r="KU86" s="1831"/>
      <c r="KV86" s="1831"/>
      <c r="KW86" s="1831"/>
      <c r="KX86" s="1831"/>
      <c r="KY86" s="1831"/>
      <c r="KZ86" s="1831"/>
      <c r="LA86" s="1831"/>
      <c r="LB86" s="1831"/>
      <c r="LC86" s="1831"/>
      <c r="LD86" s="1831"/>
      <c r="LE86" s="1831"/>
      <c r="LF86" s="1831"/>
      <c r="LG86" s="1831"/>
      <c r="LH86" s="1831"/>
      <c r="LI86" s="1831"/>
      <c r="LJ86" s="1831"/>
      <c r="LK86" s="1831"/>
      <c r="LL86" s="1831"/>
      <c r="LM86" s="1831"/>
      <c r="LN86" s="1831"/>
      <c r="LO86" s="1831"/>
      <c r="LP86" s="1831"/>
      <c r="LQ86" s="1831"/>
      <c r="LR86" s="1831"/>
      <c r="LS86" s="1831"/>
      <c r="LT86" s="1831"/>
      <c r="LU86" s="1831"/>
      <c r="LV86" s="1831"/>
      <c r="LW86" s="1831"/>
      <c r="LX86" s="1831"/>
      <c r="LY86" s="1831"/>
      <c r="LZ86" s="1831"/>
      <c r="MA86" s="1831"/>
      <c r="MB86" s="1831"/>
      <c r="MC86" s="1831"/>
      <c r="MD86" s="1831"/>
      <c r="ME86" s="1831"/>
      <c r="MF86" s="1831"/>
      <c r="MG86" s="1831"/>
      <c r="MH86" s="1831"/>
      <c r="MI86" s="1831"/>
      <c r="MJ86" s="1831"/>
      <c r="MK86" s="1831"/>
      <c r="ML86" s="1831"/>
      <c r="MM86" s="1831"/>
      <c r="MN86" s="1831"/>
      <c r="MO86" s="1831"/>
      <c r="MP86" s="1831"/>
      <c r="MQ86" s="1831"/>
      <c r="MR86" s="1831"/>
      <c r="MS86" s="1831"/>
      <c r="MT86" s="1831"/>
      <c r="MU86" s="1831"/>
      <c r="MV86" s="157"/>
      <c r="MW86" s="157"/>
      <c r="MX86" s="157"/>
      <c r="MY86" s="157"/>
      <c r="MZ86" s="157"/>
      <c r="NA86" s="157"/>
      <c r="NB86" s="157"/>
      <c r="NC86" s="157"/>
      <c r="ND86" s="157"/>
      <c r="NE86" s="157"/>
      <c r="NF86" s="157"/>
      <c r="NG86" s="157"/>
      <c r="NH86" s="157"/>
      <c r="NI86" s="157"/>
      <c r="NJ86" s="157"/>
      <c r="NK86" s="157"/>
      <c r="NL86" s="157"/>
      <c r="NM86" s="157"/>
      <c r="NN86" s="157"/>
      <c r="NO86" s="157"/>
      <c r="NP86" s="2807"/>
      <c r="NQ86" s="157"/>
      <c r="NR86" s="157"/>
      <c r="NS86" s="157"/>
      <c r="NT86" s="157"/>
      <c r="NU86" s="157"/>
      <c r="NV86" s="157"/>
      <c r="NW86" s="157"/>
      <c r="NX86" s="157"/>
      <c r="NY86" s="157"/>
      <c r="NZ86" s="157"/>
      <c r="OA86" s="157"/>
      <c r="OB86" s="157"/>
      <c r="OC86" s="157"/>
      <c r="OD86" s="157"/>
      <c r="OE86" s="157"/>
      <c r="OF86" s="157"/>
      <c r="OG86" s="157"/>
      <c r="OH86" s="157"/>
      <c r="OI86" s="157"/>
      <c r="OJ86" s="157"/>
      <c r="OK86" s="157"/>
      <c r="OL86" s="157"/>
      <c r="OM86" s="157"/>
      <c r="ON86" s="157"/>
      <c r="OO86" s="157"/>
      <c r="OP86" s="157"/>
      <c r="OQ86" s="157"/>
      <c r="OR86" s="157"/>
      <c r="OS86" s="157"/>
      <c r="OT86" s="157"/>
      <c r="OU86" s="157"/>
      <c r="OV86" s="157"/>
      <c r="OW86" s="157"/>
      <c r="OX86" s="157"/>
      <c r="OY86" s="157"/>
      <c r="OZ86" s="157"/>
      <c r="PA86" s="157"/>
      <c r="PB86" s="157"/>
      <c r="PC86" s="157"/>
      <c r="PD86" s="157"/>
      <c r="PE86" s="157"/>
      <c r="PF86" s="157"/>
      <c r="PG86" s="157"/>
      <c r="PH86" s="157"/>
      <c r="PI86" s="157"/>
      <c r="PJ86" s="157"/>
      <c r="PK86" s="157"/>
      <c r="PL86" s="157"/>
      <c r="PM86" s="157"/>
      <c r="PN86" s="157"/>
      <c r="PO86" s="157"/>
      <c r="PP86" s="157"/>
      <c r="PQ86" s="157"/>
      <c r="PR86" s="157"/>
      <c r="PS86" s="157"/>
      <c r="PT86" s="157"/>
      <c r="PU86" s="157"/>
      <c r="PV86" s="157"/>
      <c r="PW86" s="157"/>
      <c r="PX86" s="157"/>
      <c r="PY86" s="157"/>
      <c r="PZ86" s="157"/>
      <c r="QA86" s="157"/>
      <c r="QB86" s="157"/>
      <c r="QC86" s="157"/>
      <c r="QD86" s="157"/>
      <c r="QE86" s="157"/>
      <c r="QF86" s="157"/>
      <c r="QG86" s="157"/>
      <c r="QH86" s="157"/>
      <c r="QI86" s="157"/>
      <c r="QJ86" s="157"/>
      <c r="QK86" s="157"/>
      <c r="QL86" s="157"/>
      <c r="QM86" s="157"/>
      <c r="QN86" s="157"/>
      <c r="QO86" s="157"/>
      <c r="QP86" s="157"/>
      <c r="QQ86" s="157"/>
      <c r="QR86" s="157"/>
      <c r="QS86" s="157"/>
      <c r="QT86" s="157"/>
      <c r="QU86" s="157"/>
      <c r="QV86" s="157"/>
      <c r="QW86" s="157"/>
      <c r="QX86" s="157"/>
      <c r="QY86" s="157"/>
      <c r="QZ86" s="157"/>
      <c r="RA86" s="157"/>
      <c r="RB86" s="157"/>
      <c r="RC86" s="157"/>
      <c r="RD86" s="157"/>
      <c r="RE86" s="157"/>
      <c r="RF86" s="157"/>
      <c r="RG86" s="157"/>
      <c r="RH86" s="157"/>
      <c r="RI86" s="157"/>
      <c r="RJ86" s="157"/>
      <c r="RK86" s="157"/>
      <c r="RL86" s="157"/>
      <c r="RM86" s="157"/>
      <c r="RN86" s="157"/>
      <c r="RO86" s="157"/>
      <c r="RP86" s="157"/>
      <c r="RQ86" s="157"/>
    </row>
    <row r="87" spans="1:485" s="27" customFormat="1">
      <c r="B87" s="115"/>
      <c r="C87" s="202"/>
      <c r="D87" s="8"/>
      <c r="E87" s="8"/>
      <c r="F87" s="8"/>
      <c r="G87" s="1579"/>
      <c r="H87" s="2915" t="s">
        <v>6815</v>
      </c>
      <c r="I87" s="2916"/>
      <c r="J87" s="1"/>
      <c r="K87" s="2917" t="str">
        <f t="shared" ref="K87:P87" si="363">IF(OR(K86="",K61=0),"", K61-K86)</f>
        <v/>
      </c>
      <c r="L87" s="2917" t="str">
        <f t="shared" si="363"/>
        <v/>
      </c>
      <c r="M87" s="2917" t="str">
        <f t="shared" si="363"/>
        <v/>
      </c>
      <c r="N87" s="2917" t="str">
        <f t="shared" si="363"/>
        <v/>
      </c>
      <c r="O87" s="2917" t="str">
        <f t="shared" si="363"/>
        <v/>
      </c>
      <c r="P87" s="2917" t="str">
        <f t="shared" si="363"/>
        <v/>
      </c>
      <c r="X87" s="1831"/>
      <c r="Y87" s="1831"/>
      <c r="Z87" s="1831"/>
      <c r="AA87" s="1831"/>
      <c r="AB87" s="1831"/>
      <c r="AC87" s="1831"/>
      <c r="AD87" s="1831"/>
      <c r="AE87" s="1831"/>
      <c r="AF87" s="1831"/>
      <c r="AG87" s="1831"/>
      <c r="AH87" s="1831"/>
      <c r="AI87" s="1831"/>
      <c r="AJ87" s="1831"/>
      <c r="AK87" s="1831"/>
      <c r="AL87" s="1831"/>
      <c r="AM87" s="1831"/>
      <c r="AN87" s="1831"/>
      <c r="AO87" s="1831"/>
      <c r="AP87" s="1831"/>
      <c r="AQ87" s="1831"/>
      <c r="AR87" s="1831"/>
      <c r="AS87" s="1831"/>
      <c r="AT87" s="1831"/>
      <c r="AU87" s="1831"/>
      <c r="AV87" s="1831"/>
      <c r="AW87" s="1831"/>
      <c r="AX87" s="1831"/>
      <c r="AY87" s="1831"/>
      <c r="AZ87" s="1831"/>
      <c r="BA87" s="1831"/>
      <c r="BB87" s="1831"/>
      <c r="BC87" s="1831"/>
      <c r="BD87" s="1831"/>
      <c r="BE87" s="1831"/>
      <c r="BF87" s="1831"/>
      <c r="BG87" s="1831"/>
      <c r="BH87" s="1831"/>
      <c r="BI87" s="1831"/>
      <c r="BJ87" s="1831"/>
      <c r="BK87" s="1831"/>
      <c r="BL87" s="1831"/>
      <c r="BM87" s="1831"/>
      <c r="BN87" s="1831"/>
      <c r="BO87" s="1831"/>
      <c r="BP87" s="1831"/>
      <c r="BQ87" s="1831"/>
      <c r="BR87" s="1831"/>
      <c r="BS87" s="1831"/>
      <c r="BT87" s="1831"/>
      <c r="BU87" s="1831"/>
      <c r="BV87" s="1831"/>
      <c r="BW87" s="1831"/>
      <c r="BX87" s="1831"/>
      <c r="BY87" s="1831"/>
      <c r="BZ87" s="1831"/>
      <c r="CA87" s="1831"/>
      <c r="CB87" s="1831"/>
      <c r="CC87" s="1831"/>
      <c r="CD87" s="1831"/>
      <c r="CE87" s="1831"/>
      <c r="CF87" s="1831"/>
      <c r="CG87" s="1831"/>
      <c r="CH87" s="1831"/>
      <c r="CI87" s="1831"/>
      <c r="CJ87" s="1831"/>
      <c r="CK87" s="1831"/>
      <c r="CL87" s="1831"/>
      <c r="CM87" s="1831"/>
      <c r="CN87" s="1831"/>
      <c r="CO87" s="1831"/>
      <c r="CP87" s="1831"/>
      <c r="CQ87" s="1831"/>
      <c r="CR87" s="1831"/>
      <c r="CS87" s="1831"/>
      <c r="CT87" s="1831"/>
      <c r="CU87" s="1831"/>
      <c r="CV87" s="1831"/>
      <c r="CW87" s="1831"/>
      <c r="CX87" s="1831"/>
      <c r="CY87" s="1831"/>
      <c r="CZ87" s="1831"/>
      <c r="DA87" s="1831"/>
      <c r="DB87" s="1831"/>
      <c r="DC87" s="1831"/>
      <c r="DD87" s="1831"/>
      <c r="DE87" s="1831"/>
      <c r="DF87" s="1831"/>
      <c r="DG87" s="1831"/>
      <c r="DH87" s="1831"/>
      <c r="DI87" s="1831"/>
      <c r="DJ87" s="1831"/>
      <c r="DK87" s="1831"/>
      <c r="DL87" s="1831"/>
      <c r="DM87" s="1831"/>
      <c r="DN87" s="1831"/>
      <c r="DO87" s="1831"/>
      <c r="DP87" s="1831"/>
      <c r="DQ87" s="1831"/>
      <c r="DR87" s="1831"/>
      <c r="DS87" s="1831"/>
      <c r="DT87" s="1831"/>
      <c r="DU87" s="1831"/>
      <c r="DV87" s="1831"/>
      <c r="DW87" s="1831"/>
      <c r="DX87" s="1831"/>
      <c r="DY87" s="1831"/>
      <c r="DZ87" s="1831"/>
      <c r="EA87" s="1831"/>
      <c r="EB87" s="1831"/>
      <c r="EC87" s="1831"/>
      <c r="ED87" s="1831"/>
      <c r="EE87" s="1831"/>
      <c r="EF87" s="1831"/>
      <c r="EG87" s="1831"/>
      <c r="EH87" s="1831"/>
      <c r="EI87" s="1831"/>
      <c r="EJ87" s="1831"/>
      <c r="EK87" s="1831"/>
      <c r="EL87" s="1831"/>
      <c r="EM87" s="1831"/>
      <c r="EN87" s="1831"/>
      <c r="EO87" s="1831"/>
      <c r="EP87" s="1831"/>
      <c r="EQ87" s="1831"/>
      <c r="ER87" s="1831"/>
      <c r="ES87" s="1831"/>
      <c r="ET87" s="1831"/>
      <c r="EU87" s="1831"/>
      <c r="EV87" s="1831"/>
      <c r="EW87" s="1831"/>
      <c r="EX87" s="1831"/>
      <c r="EY87" s="1831"/>
      <c r="EZ87" s="1831"/>
      <c r="FA87" s="1831"/>
      <c r="FB87" s="1831"/>
      <c r="FC87" s="1831"/>
      <c r="FD87" s="1831"/>
      <c r="FE87" s="1831"/>
      <c r="FF87" s="1831"/>
      <c r="FG87" s="1831"/>
      <c r="FH87" s="1831"/>
      <c r="FI87" s="1831"/>
      <c r="FJ87" s="1831"/>
      <c r="FK87" s="1831"/>
      <c r="FL87" s="1831"/>
      <c r="FM87" s="1831"/>
      <c r="FN87" s="1831"/>
      <c r="FO87" s="1831"/>
      <c r="FP87" s="1831"/>
      <c r="FQ87" s="1831"/>
      <c r="FR87" s="1831"/>
      <c r="FS87" s="1831"/>
      <c r="FT87" s="1831"/>
      <c r="FU87" s="1831"/>
      <c r="FV87" s="1831"/>
      <c r="FW87" s="1831"/>
      <c r="FX87" s="1831"/>
      <c r="FY87" s="1831"/>
      <c r="FZ87" s="1831"/>
      <c r="GA87" s="1831"/>
      <c r="GB87" s="1831"/>
      <c r="GC87" s="1831"/>
      <c r="GD87" s="1831"/>
      <c r="GE87" s="1831"/>
      <c r="GF87" s="1831"/>
      <c r="GG87" s="1831"/>
      <c r="GH87" s="1831"/>
      <c r="GI87" s="1831"/>
      <c r="GJ87" s="1831"/>
      <c r="GK87" s="1831"/>
      <c r="GL87" s="1831"/>
      <c r="GM87" s="1831"/>
      <c r="GN87" s="1831"/>
      <c r="GO87" s="1831"/>
      <c r="GP87" s="1831"/>
      <c r="GQ87" s="1831"/>
      <c r="GR87" s="1831"/>
      <c r="GS87" s="1831"/>
      <c r="GT87" s="1831"/>
      <c r="GU87" s="1831"/>
      <c r="GV87" s="1831"/>
      <c r="GW87" s="1831"/>
      <c r="GX87" s="1831"/>
      <c r="GY87" s="1831"/>
      <c r="GZ87" s="1831"/>
      <c r="HA87" s="1831"/>
      <c r="HB87" s="1831"/>
      <c r="HC87" s="1831"/>
      <c r="HD87" s="1831"/>
      <c r="HE87" s="1831"/>
      <c r="HF87" s="1831"/>
      <c r="HG87" s="1831"/>
      <c r="HH87" s="1831"/>
      <c r="HI87" s="1831"/>
      <c r="HJ87" s="1831"/>
      <c r="HK87" s="1831"/>
      <c r="HL87" s="1831"/>
      <c r="HM87" s="1831"/>
      <c r="HN87" s="1831"/>
      <c r="HO87" s="1831"/>
      <c r="HP87" s="1831"/>
      <c r="HQ87" s="1831"/>
      <c r="HR87" s="1831"/>
      <c r="HS87" s="1831"/>
      <c r="HT87" s="1831"/>
      <c r="HU87" s="1831"/>
      <c r="HV87" s="1831"/>
      <c r="HW87" s="1831"/>
      <c r="HX87" s="1831"/>
      <c r="HY87" s="1831"/>
      <c r="HZ87" s="1831"/>
      <c r="IA87" s="1831"/>
      <c r="IB87" s="1831"/>
      <c r="IC87" s="1831"/>
      <c r="ID87" s="1831"/>
      <c r="IE87" s="1831"/>
      <c r="IF87" s="1831"/>
      <c r="IG87" s="1831"/>
      <c r="IH87" s="1831"/>
      <c r="II87" s="1831"/>
      <c r="IJ87" s="1831"/>
      <c r="IK87" s="1831"/>
      <c r="IL87" s="1831"/>
      <c r="IM87" s="1831"/>
      <c r="IN87" s="1831"/>
      <c r="IO87" s="1831"/>
      <c r="IP87" s="1831"/>
      <c r="IQ87" s="1831"/>
      <c r="IR87" s="1831"/>
      <c r="IS87" s="1831"/>
      <c r="IT87" s="1831"/>
      <c r="IU87" s="1831"/>
      <c r="IV87" s="1831"/>
      <c r="IW87" s="1831"/>
      <c r="IX87" s="1831"/>
      <c r="IY87" s="1831"/>
      <c r="IZ87" s="1831"/>
      <c r="JA87" s="1831"/>
      <c r="JB87" s="1831"/>
      <c r="JC87" s="1831"/>
      <c r="JD87" s="1831"/>
      <c r="JE87" s="1831"/>
      <c r="JF87" s="1831"/>
      <c r="JG87" s="1831"/>
      <c r="JH87" s="1831"/>
      <c r="JI87" s="1831"/>
      <c r="JJ87" s="1831"/>
      <c r="JK87" s="1831"/>
      <c r="JL87" s="1831"/>
      <c r="JM87" s="1831"/>
      <c r="JN87" s="1831"/>
      <c r="JO87" s="1831"/>
      <c r="JP87" s="1831"/>
      <c r="JQ87" s="1831"/>
      <c r="JR87" s="1831"/>
      <c r="JS87" s="1831"/>
      <c r="JT87" s="1831"/>
      <c r="JU87" s="1831"/>
      <c r="JV87" s="1831"/>
      <c r="JW87" s="1831"/>
      <c r="JX87" s="1831"/>
      <c r="JY87" s="1831"/>
      <c r="JZ87" s="1831"/>
      <c r="KA87" s="1831"/>
      <c r="KB87" s="1831"/>
      <c r="KC87" s="1831"/>
      <c r="KD87" s="1831"/>
      <c r="KE87" s="1831"/>
      <c r="KF87" s="1831"/>
      <c r="KG87" s="1831"/>
      <c r="KH87" s="1831"/>
      <c r="KI87" s="1831"/>
      <c r="KJ87" s="1831"/>
      <c r="KK87" s="1831"/>
      <c r="KL87" s="1831"/>
      <c r="KM87" s="1831"/>
      <c r="KN87" s="1831"/>
      <c r="KO87" s="1831"/>
      <c r="KP87" s="1831"/>
      <c r="KQ87" s="1831"/>
      <c r="KR87" s="1831"/>
      <c r="KS87" s="1831"/>
      <c r="KT87" s="1831"/>
      <c r="KU87" s="1831"/>
      <c r="KV87" s="1831"/>
      <c r="KW87" s="1831"/>
      <c r="KX87" s="1831"/>
      <c r="KY87" s="1831"/>
      <c r="KZ87" s="1831"/>
      <c r="LA87" s="1831"/>
      <c r="LB87" s="1831"/>
      <c r="LC87" s="1831"/>
      <c r="LD87" s="1831"/>
      <c r="LE87" s="1831"/>
      <c r="LF87" s="1831"/>
      <c r="LG87" s="1831"/>
      <c r="LH87" s="1831"/>
      <c r="LI87" s="1831"/>
      <c r="LJ87" s="1831"/>
      <c r="LK87" s="1831"/>
      <c r="LL87" s="1831"/>
      <c r="LM87" s="1831"/>
      <c r="LN87" s="1831"/>
      <c r="LO87" s="1831"/>
      <c r="LP87" s="1831"/>
      <c r="LQ87" s="1831"/>
      <c r="LR87" s="1831"/>
      <c r="LS87" s="1831"/>
      <c r="LT87" s="1831"/>
      <c r="LU87" s="1831"/>
      <c r="LV87" s="1831"/>
      <c r="LW87" s="1831"/>
      <c r="LX87" s="1831"/>
      <c r="LY87" s="1831"/>
      <c r="LZ87" s="1831"/>
      <c r="MA87" s="1831"/>
      <c r="MB87" s="1831"/>
      <c r="MC87" s="1831"/>
      <c r="MD87" s="1831"/>
      <c r="ME87" s="1831"/>
      <c r="MF87" s="1831"/>
      <c r="MG87" s="1831"/>
      <c r="MH87" s="1831"/>
      <c r="MI87" s="1831"/>
      <c r="MJ87" s="1831"/>
      <c r="MK87" s="1831"/>
      <c r="ML87" s="1831"/>
      <c r="MM87" s="1831"/>
      <c r="MN87" s="1831"/>
      <c r="MO87" s="1831"/>
      <c r="MP87" s="1831"/>
      <c r="MQ87" s="1831"/>
      <c r="MR87" s="1831"/>
      <c r="MS87" s="1831"/>
      <c r="MT87" s="1831"/>
      <c r="MU87" s="1831"/>
      <c r="MV87" s="157"/>
      <c r="MW87" s="157"/>
      <c r="MX87" s="157"/>
      <c r="MY87" s="157"/>
      <c r="MZ87" s="157"/>
      <c r="NA87" s="157"/>
      <c r="NB87" s="157"/>
      <c r="NC87" s="157"/>
      <c r="ND87" s="157"/>
      <c r="NE87" s="157"/>
      <c r="NF87" s="157"/>
      <c r="NG87" s="157"/>
      <c r="NH87" s="157"/>
      <c r="NI87" s="157"/>
      <c r="NJ87" s="157"/>
      <c r="NK87" s="157"/>
      <c r="NL87" s="157"/>
      <c r="NM87" s="157"/>
      <c r="NN87" s="157"/>
      <c r="NO87" s="157"/>
      <c r="NP87" s="2807"/>
      <c r="NQ87" s="157"/>
      <c r="NR87" s="157"/>
      <c r="NS87" s="157"/>
      <c r="NT87" s="157"/>
      <c r="NU87" s="157"/>
      <c r="NV87" s="157"/>
      <c r="NW87" s="157"/>
      <c r="NX87" s="157"/>
      <c r="NY87" s="157"/>
      <c r="NZ87" s="157"/>
      <c r="OA87" s="157"/>
      <c r="OB87" s="157"/>
      <c r="OC87" s="157"/>
      <c r="OD87" s="157"/>
      <c r="OE87" s="157"/>
      <c r="OF87" s="157"/>
      <c r="OG87" s="157"/>
      <c r="OH87" s="157"/>
      <c r="OI87" s="157"/>
      <c r="OJ87" s="157"/>
      <c r="OK87" s="157"/>
      <c r="OL87" s="157"/>
      <c r="OM87" s="157"/>
      <c r="ON87" s="157"/>
      <c r="OO87" s="157"/>
      <c r="OP87" s="157"/>
      <c r="OQ87" s="157"/>
      <c r="OR87" s="157"/>
      <c r="OS87" s="157"/>
      <c r="OT87" s="157"/>
      <c r="OU87" s="157"/>
      <c r="OV87" s="157"/>
      <c r="OW87" s="157"/>
      <c r="OX87" s="157"/>
      <c r="OY87" s="157"/>
      <c r="OZ87" s="157"/>
      <c r="PA87" s="157"/>
      <c r="PB87" s="157"/>
      <c r="PC87" s="157"/>
      <c r="PD87" s="157"/>
      <c r="PE87" s="157"/>
      <c r="PF87" s="157"/>
      <c r="PG87" s="157"/>
      <c r="PH87" s="157"/>
      <c r="PI87" s="157"/>
      <c r="PJ87" s="157"/>
      <c r="PK87" s="157"/>
      <c r="PL87" s="157"/>
      <c r="PM87" s="157"/>
      <c r="PN87" s="157"/>
      <c r="PO87" s="157"/>
      <c r="PP87" s="157"/>
      <c r="PQ87" s="157"/>
      <c r="PR87" s="157"/>
      <c r="PS87" s="157"/>
      <c r="PT87" s="157"/>
      <c r="PU87" s="157"/>
      <c r="PV87" s="157"/>
      <c r="PW87" s="157"/>
      <c r="PX87" s="157"/>
      <c r="PY87" s="157"/>
      <c r="PZ87" s="157"/>
      <c r="QA87" s="157"/>
      <c r="QB87" s="157"/>
      <c r="QC87" s="157"/>
      <c r="QD87" s="157"/>
      <c r="QE87" s="157"/>
      <c r="QF87" s="157"/>
      <c r="QG87" s="157"/>
      <c r="QH87" s="157"/>
      <c r="QI87" s="157"/>
      <c r="QJ87" s="157"/>
      <c r="QK87" s="157"/>
      <c r="QL87" s="157"/>
      <c r="QM87" s="157"/>
      <c r="QN87" s="157"/>
      <c r="QO87" s="157"/>
      <c r="QP87" s="157"/>
      <c r="QQ87" s="157"/>
      <c r="QR87" s="157"/>
      <c r="QS87" s="157"/>
      <c r="QT87" s="157"/>
      <c r="QU87" s="157"/>
      <c r="QV87" s="157"/>
      <c r="QW87" s="157"/>
      <c r="QX87" s="157"/>
      <c r="QY87" s="157"/>
      <c r="QZ87" s="157"/>
      <c r="RA87" s="157"/>
      <c r="RB87" s="157"/>
      <c r="RC87" s="157"/>
      <c r="RD87" s="157"/>
      <c r="RE87" s="157"/>
      <c r="RF87" s="157"/>
      <c r="RG87" s="157"/>
      <c r="RH87" s="157"/>
      <c r="RI87" s="157"/>
      <c r="RJ87" s="157"/>
      <c r="RK87" s="157"/>
      <c r="RL87" s="157"/>
      <c r="RM87" s="157"/>
      <c r="RN87" s="157"/>
      <c r="RO87" s="157"/>
      <c r="RP87" s="157"/>
      <c r="RQ87" s="157"/>
    </row>
    <row r="88" spans="1:485" s="27" customFormat="1">
      <c r="B88" s="115"/>
      <c r="C88" s="202" t="s">
        <v>4273</v>
      </c>
      <c r="D88" s="8"/>
      <c r="E88" s="8"/>
      <c r="F88" s="8"/>
      <c r="G88" s="8"/>
      <c r="H88" s="102" t="s">
        <v>3833</v>
      </c>
      <c r="I88" s="52"/>
      <c r="J88" s="1"/>
      <c r="K88" s="2920" t="str">
        <f t="shared" ref="K88:P88" si="364">IF(OR(K62=0,K67=0),"",K62/K67)</f>
        <v/>
      </c>
      <c r="L88" s="2921" t="str">
        <f t="shared" si="364"/>
        <v/>
      </c>
      <c r="M88" s="2921" t="str">
        <f t="shared" si="364"/>
        <v/>
      </c>
      <c r="N88" s="2921" t="str">
        <f t="shared" si="364"/>
        <v/>
      </c>
      <c r="O88" s="2921" t="str">
        <f t="shared" si="364"/>
        <v/>
      </c>
      <c r="P88" s="2922" t="str">
        <f t="shared" si="364"/>
        <v/>
      </c>
      <c r="X88" s="1831"/>
      <c r="Y88" s="1831"/>
      <c r="Z88" s="1831"/>
      <c r="AA88" s="1831"/>
      <c r="AB88" s="1831"/>
      <c r="AC88" s="1831"/>
      <c r="AD88" s="1831"/>
      <c r="AE88" s="1831"/>
      <c r="AF88" s="1831"/>
      <c r="AG88" s="1831"/>
      <c r="AH88" s="1831"/>
      <c r="AI88" s="1831"/>
      <c r="AJ88" s="1831"/>
      <c r="AK88" s="1831"/>
      <c r="AL88" s="1831"/>
      <c r="AM88" s="1831"/>
      <c r="AN88" s="1831"/>
      <c r="AO88" s="1831"/>
      <c r="AP88" s="1831"/>
      <c r="AQ88" s="1831"/>
      <c r="AR88" s="1831"/>
      <c r="AS88" s="1831"/>
      <c r="AT88" s="1831"/>
      <c r="AU88" s="1831"/>
      <c r="AV88" s="1831"/>
      <c r="AW88" s="1831"/>
      <c r="AX88" s="1831"/>
      <c r="AY88" s="1831"/>
      <c r="AZ88" s="1831"/>
      <c r="BA88" s="1831"/>
      <c r="BB88" s="1831"/>
      <c r="BC88" s="1831"/>
      <c r="BD88" s="1831"/>
      <c r="BE88" s="1831"/>
      <c r="BF88" s="1831"/>
      <c r="BG88" s="1831"/>
      <c r="BH88" s="1831"/>
      <c r="BI88" s="1831"/>
      <c r="BJ88" s="1831"/>
      <c r="BK88" s="1831"/>
      <c r="BL88" s="1831"/>
      <c r="BM88" s="1831"/>
      <c r="BN88" s="1831"/>
      <c r="BO88" s="1831"/>
      <c r="BP88" s="1831"/>
      <c r="BQ88" s="1831"/>
      <c r="BR88" s="1831"/>
      <c r="BS88" s="1831"/>
      <c r="BT88" s="1831"/>
      <c r="BU88" s="1831"/>
      <c r="BV88" s="1831"/>
      <c r="BW88" s="1831"/>
      <c r="BX88" s="1831"/>
      <c r="BY88" s="1831"/>
      <c r="BZ88" s="1831"/>
      <c r="CA88" s="1831"/>
      <c r="CB88" s="1831"/>
      <c r="CC88" s="1831"/>
      <c r="CD88" s="1831"/>
      <c r="CE88" s="1831"/>
      <c r="CF88" s="1831"/>
      <c r="CG88" s="1831"/>
      <c r="CH88" s="1831"/>
      <c r="CI88" s="1831"/>
      <c r="CJ88" s="1831"/>
      <c r="CK88" s="1831"/>
      <c r="CL88" s="1831"/>
      <c r="CM88" s="1831"/>
      <c r="CN88" s="1831"/>
      <c r="CO88" s="1831"/>
      <c r="CP88" s="1831"/>
      <c r="CQ88" s="1831"/>
      <c r="CR88" s="1831"/>
      <c r="CS88" s="1831"/>
      <c r="CT88" s="1831"/>
      <c r="CU88" s="1831"/>
      <c r="CV88" s="1831"/>
      <c r="CW88" s="1831"/>
      <c r="CX88" s="1831"/>
      <c r="CY88" s="1831"/>
      <c r="CZ88" s="1831"/>
      <c r="DA88" s="1831"/>
      <c r="DB88" s="1831"/>
      <c r="DC88" s="1831"/>
      <c r="DD88" s="1831"/>
      <c r="DE88" s="1831"/>
      <c r="DF88" s="1831"/>
      <c r="DG88" s="1831"/>
      <c r="DH88" s="1831"/>
      <c r="DI88" s="1831"/>
      <c r="DJ88" s="1831"/>
      <c r="DK88" s="1831"/>
      <c r="DL88" s="1831"/>
      <c r="DM88" s="1831"/>
      <c r="DN88" s="1831"/>
      <c r="DO88" s="1831"/>
      <c r="DP88" s="1831"/>
      <c r="DQ88" s="1831"/>
      <c r="DR88" s="1831"/>
      <c r="DS88" s="1831"/>
      <c r="DT88" s="1831"/>
      <c r="DU88" s="1831"/>
      <c r="DV88" s="1831"/>
      <c r="DW88" s="1831"/>
      <c r="DX88" s="1831"/>
      <c r="DY88" s="1831"/>
      <c r="DZ88" s="1831"/>
      <c r="EA88" s="1831"/>
      <c r="EB88" s="1831"/>
      <c r="EC88" s="1831"/>
      <c r="ED88" s="1831"/>
      <c r="EE88" s="1831"/>
      <c r="EF88" s="1831"/>
      <c r="EG88" s="1831"/>
      <c r="EH88" s="1831"/>
      <c r="EI88" s="1831"/>
      <c r="EJ88" s="1831"/>
      <c r="EK88" s="1831"/>
      <c r="EL88" s="1831"/>
      <c r="EM88" s="1831"/>
      <c r="EN88" s="1831"/>
      <c r="EO88" s="1831"/>
      <c r="EP88" s="1831"/>
      <c r="EQ88" s="1831"/>
      <c r="ER88" s="1831"/>
      <c r="ES88" s="1831"/>
      <c r="ET88" s="1831"/>
      <c r="EU88" s="1831"/>
      <c r="EV88" s="1831"/>
      <c r="EW88" s="1831"/>
      <c r="EX88" s="1831"/>
      <c r="EY88" s="1831"/>
      <c r="EZ88" s="1831"/>
      <c r="FA88" s="1831"/>
      <c r="FB88" s="1831"/>
      <c r="FC88" s="1831"/>
      <c r="FD88" s="1831"/>
      <c r="FE88" s="1831"/>
      <c r="FF88" s="1831"/>
      <c r="FG88" s="1831"/>
      <c r="FH88" s="1831"/>
      <c r="FI88" s="1831"/>
      <c r="FJ88" s="1831"/>
      <c r="FK88" s="1831"/>
      <c r="FL88" s="1831"/>
      <c r="FM88" s="1831"/>
      <c r="FN88" s="1831"/>
      <c r="FO88" s="1831"/>
      <c r="FP88" s="1831"/>
      <c r="FQ88" s="1831"/>
      <c r="FR88" s="1831"/>
      <c r="FS88" s="1831"/>
      <c r="FT88" s="1831"/>
      <c r="FU88" s="1831"/>
      <c r="FV88" s="1831"/>
      <c r="FW88" s="1831"/>
      <c r="FX88" s="1831"/>
      <c r="FY88" s="1831"/>
      <c r="FZ88" s="1831"/>
      <c r="GA88" s="1831"/>
      <c r="GB88" s="1831"/>
      <c r="GC88" s="1831"/>
      <c r="GD88" s="1831"/>
      <c r="GE88" s="1831"/>
      <c r="GF88" s="1831"/>
      <c r="GG88" s="1831"/>
      <c r="GH88" s="1831"/>
      <c r="GI88" s="1831"/>
      <c r="GJ88" s="1831"/>
      <c r="GK88" s="1831"/>
      <c r="GL88" s="1831"/>
      <c r="GM88" s="1831"/>
      <c r="GN88" s="1831"/>
      <c r="GO88" s="1831"/>
      <c r="GP88" s="1831"/>
      <c r="GQ88" s="1831"/>
      <c r="GR88" s="1831"/>
      <c r="GS88" s="1831"/>
      <c r="GT88" s="1831"/>
      <c r="GU88" s="1831"/>
      <c r="GV88" s="1831"/>
      <c r="GW88" s="1831"/>
      <c r="GX88" s="1831"/>
      <c r="GY88" s="1831"/>
      <c r="GZ88" s="1831"/>
      <c r="HA88" s="1831"/>
      <c r="HB88" s="1831"/>
      <c r="HC88" s="1831"/>
      <c r="HD88" s="1831"/>
      <c r="HE88" s="1831"/>
      <c r="HF88" s="1831"/>
      <c r="HG88" s="1831"/>
      <c r="HH88" s="1831"/>
      <c r="HI88" s="1831"/>
      <c r="HJ88" s="1831"/>
      <c r="HK88" s="1831"/>
      <c r="HL88" s="1831"/>
      <c r="HM88" s="1831"/>
      <c r="HN88" s="1831"/>
      <c r="HO88" s="1831"/>
      <c r="HP88" s="1831"/>
      <c r="HQ88" s="1831"/>
      <c r="HR88" s="1831"/>
      <c r="HS88" s="1831"/>
      <c r="HT88" s="1831"/>
      <c r="HU88" s="1831"/>
      <c r="HV88" s="1831"/>
      <c r="HW88" s="1831"/>
      <c r="HX88" s="1831"/>
      <c r="HY88" s="1831"/>
      <c r="HZ88" s="1831"/>
      <c r="IA88" s="1831"/>
      <c r="IB88" s="1831"/>
      <c r="IC88" s="1831"/>
      <c r="ID88" s="1831"/>
      <c r="IE88" s="1831"/>
      <c r="IF88" s="1831"/>
      <c r="IG88" s="1831"/>
      <c r="IH88" s="1831"/>
      <c r="II88" s="1831"/>
      <c r="IJ88" s="1831"/>
      <c r="IK88" s="1831"/>
      <c r="IL88" s="1831"/>
      <c r="IM88" s="1831"/>
      <c r="IN88" s="1831"/>
      <c r="IO88" s="1831"/>
      <c r="IP88" s="1831"/>
      <c r="IQ88" s="1831"/>
      <c r="IR88" s="1831"/>
      <c r="IS88" s="1831"/>
      <c r="IT88" s="1831"/>
      <c r="IU88" s="1831"/>
      <c r="IV88" s="1831"/>
      <c r="IW88" s="1831"/>
      <c r="IX88" s="1831"/>
      <c r="IY88" s="1831"/>
      <c r="IZ88" s="1831"/>
      <c r="JA88" s="1831"/>
      <c r="JB88" s="1831"/>
      <c r="JC88" s="1831"/>
      <c r="JD88" s="1831"/>
      <c r="JE88" s="1831"/>
      <c r="JF88" s="1831"/>
      <c r="JG88" s="1831"/>
      <c r="JH88" s="1831"/>
      <c r="JI88" s="1831"/>
      <c r="JJ88" s="1831"/>
      <c r="JK88" s="1831"/>
      <c r="JL88" s="1831"/>
      <c r="JM88" s="1831"/>
      <c r="JN88" s="1831"/>
      <c r="JO88" s="1831"/>
      <c r="JP88" s="1831"/>
      <c r="JQ88" s="1831"/>
      <c r="JR88" s="1831"/>
      <c r="JS88" s="1831"/>
      <c r="JT88" s="1831"/>
      <c r="JU88" s="1831"/>
      <c r="JV88" s="1831"/>
      <c r="JW88" s="1831"/>
      <c r="JX88" s="1831"/>
      <c r="JY88" s="1831"/>
      <c r="JZ88" s="1831"/>
      <c r="KA88" s="1831"/>
      <c r="KB88" s="1831"/>
      <c r="KC88" s="1831"/>
      <c r="KD88" s="1831"/>
      <c r="KE88" s="1831"/>
      <c r="KF88" s="1831"/>
      <c r="KG88" s="1831"/>
      <c r="KH88" s="1831"/>
      <c r="KI88" s="1831"/>
      <c r="KJ88" s="1831"/>
      <c r="KK88" s="1831"/>
      <c r="KL88" s="1831"/>
      <c r="KM88" s="1831"/>
      <c r="KN88" s="1831"/>
      <c r="KO88" s="1831"/>
      <c r="KP88" s="1831"/>
      <c r="KQ88" s="1831"/>
      <c r="KR88" s="1831"/>
      <c r="KS88" s="1831"/>
      <c r="KT88" s="1831"/>
      <c r="KU88" s="1831"/>
      <c r="KV88" s="1831"/>
      <c r="KW88" s="1831"/>
      <c r="KX88" s="1831"/>
      <c r="KY88" s="1831"/>
      <c r="KZ88" s="1831"/>
      <c r="LA88" s="1831"/>
      <c r="LB88" s="1831"/>
      <c r="LC88" s="1831"/>
      <c r="LD88" s="1831"/>
      <c r="LE88" s="1831"/>
      <c r="LF88" s="1831"/>
      <c r="LG88" s="1831"/>
      <c r="LH88" s="1831"/>
      <c r="LI88" s="1831"/>
      <c r="LJ88" s="1831"/>
      <c r="LK88" s="1831"/>
      <c r="LL88" s="1831"/>
      <c r="LM88" s="1831"/>
      <c r="LN88" s="1831"/>
      <c r="LO88" s="1831"/>
      <c r="LP88" s="1831"/>
      <c r="LQ88" s="1831"/>
      <c r="LR88" s="1831"/>
      <c r="LS88" s="1831"/>
      <c r="LT88" s="1831"/>
      <c r="LU88" s="1831"/>
      <c r="LV88" s="1831"/>
      <c r="LW88" s="1831"/>
      <c r="LX88" s="1831"/>
      <c r="LY88" s="1831"/>
      <c r="LZ88" s="1831"/>
      <c r="MA88" s="1831"/>
      <c r="MB88" s="1831"/>
      <c r="MC88" s="1831"/>
      <c r="MD88" s="1831"/>
      <c r="ME88" s="1831"/>
      <c r="MF88" s="1831"/>
      <c r="MG88" s="1831"/>
      <c r="MH88" s="1831"/>
      <c r="MI88" s="1831"/>
      <c r="MJ88" s="1831"/>
      <c r="MK88" s="1831"/>
      <c r="ML88" s="1831"/>
      <c r="MM88" s="1831"/>
      <c r="MN88" s="1831"/>
      <c r="MO88" s="1831"/>
      <c r="MP88" s="1831"/>
      <c r="MQ88" s="1831"/>
      <c r="MR88" s="1831"/>
      <c r="MS88" s="1831"/>
      <c r="MT88" s="1831"/>
      <c r="MU88" s="1831"/>
      <c r="MV88" s="157"/>
      <c r="MW88" s="157"/>
      <c r="MX88" s="157"/>
      <c r="MY88" s="157"/>
      <c r="MZ88" s="157"/>
      <c r="NA88" s="157"/>
      <c r="NB88" s="157"/>
      <c r="NC88" s="157"/>
      <c r="ND88" s="157"/>
      <c r="NE88" s="157"/>
      <c r="NF88" s="157"/>
      <c r="NG88" s="157"/>
      <c r="NH88" s="157"/>
      <c r="NI88" s="157"/>
      <c r="NJ88" s="157"/>
      <c r="NK88" s="157"/>
      <c r="NL88" s="157"/>
      <c r="NM88" s="157"/>
      <c r="NN88" s="157"/>
      <c r="NO88" s="157"/>
      <c r="NP88" s="2807"/>
      <c r="NQ88" s="157"/>
      <c r="NR88" s="157"/>
      <c r="NS88" s="157"/>
      <c r="NT88" s="157"/>
      <c r="NU88" s="157"/>
      <c r="NV88" s="157"/>
      <c r="NW88" s="157"/>
      <c r="NX88" s="157"/>
      <c r="NY88" s="157"/>
      <c r="NZ88" s="157"/>
      <c r="OA88" s="157"/>
      <c r="OB88" s="157"/>
      <c r="OC88" s="157"/>
      <c r="OD88" s="157"/>
      <c r="OE88" s="157"/>
      <c r="OF88" s="157"/>
      <c r="OG88" s="157"/>
      <c r="OH88" s="157"/>
      <c r="OI88" s="157"/>
      <c r="OJ88" s="157"/>
      <c r="OK88" s="157"/>
      <c r="OL88" s="157"/>
      <c r="OM88" s="157"/>
      <c r="ON88" s="157"/>
      <c r="OO88" s="157"/>
      <c r="OP88" s="157"/>
      <c r="OQ88" s="157"/>
      <c r="OR88" s="157"/>
      <c r="OS88" s="157"/>
      <c r="OT88" s="157"/>
      <c r="OU88" s="157"/>
      <c r="OV88" s="157"/>
      <c r="OW88" s="157"/>
      <c r="OX88" s="157"/>
      <c r="OY88" s="157"/>
      <c r="OZ88" s="157"/>
      <c r="PA88" s="157"/>
      <c r="PB88" s="157"/>
      <c r="PC88" s="157"/>
      <c r="PD88" s="157"/>
      <c r="PE88" s="157"/>
      <c r="PF88" s="157"/>
      <c r="PG88" s="157"/>
      <c r="PH88" s="157"/>
      <c r="PI88" s="157"/>
      <c r="PJ88" s="157"/>
      <c r="PK88" s="157"/>
      <c r="PL88" s="157"/>
      <c r="PM88" s="157"/>
      <c r="PN88" s="157"/>
      <c r="PO88" s="157"/>
      <c r="PP88" s="157"/>
      <c r="PQ88" s="157"/>
      <c r="PR88" s="157"/>
      <c r="PS88" s="157"/>
      <c r="PT88" s="157"/>
      <c r="PU88" s="157"/>
      <c r="PV88" s="157"/>
      <c r="PW88" s="157"/>
      <c r="PX88" s="157"/>
      <c r="PY88" s="157"/>
      <c r="PZ88" s="157"/>
      <c r="QA88" s="157"/>
      <c r="QB88" s="157"/>
      <c r="QC88" s="157"/>
      <c r="QD88" s="157"/>
      <c r="QE88" s="157"/>
      <c r="QF88" s="157"/>
      <c r="QG88" s="157"/>
      <c r="QH88" s="157"/>
      <c r="QI88" s="157"/>
      <c r="QJ88" s="157"/>
      <c r="QK88" s="157"/>
      <c r="QL88" s="157"/>
      <c r="QM88" s="157"/>
      <c r="QN88" s="157"/>
      <c r="QO88" s="157"/>
      <c r="QP88" s="157"/>
      <c r="QQ88" s="157"/>
      <c r="QR88" s="157"/>
      <c r="QS88" s="157"/>
      <c r="QT88" s="157"/>
      <c r="QU88" s="157"/>
      <c r="QV88" s="157"/>
      <c r="QW88" s="157"/>
      <c r="QX88" s="157"/>
      <c r="QY88" s="157"/>
      <c r="QZ88" s="157"/>
      <c r="RA88" s="157"/>
      <c r="RB88" s="157"/>
      <c r="RC88" s="157"/>
      <c r="RD88" s="157"/>
      <c r="RE88" s="157"/>
      <c r="RF88" s="157"/>
      <c r="RG88" s="157"/>
      <c r="RH88" s="157"/>
      <c r="RI88" s="157"/>
      <c r="RJ88" s="157"/>
      <c r="RK88" s="157"/>
      <c r="RL88" s="157"/>
      <c r="RM88" s="157"/>
      <c r="RN88" s="157"/>
      <c r="RO88" s="157"/>
      <c r="RP88" s="157"/>
      <c r="RQ88" s="157"/>
    </row>
    <row r="89" spans="1:485" s="27" customFormat="1">
      <c r="B89" s="115"/>
      <c r="C89" s="202"/>
      <c r="D89" s="2924"/>
      <c r="E89" s="2924"/>
      <c r="F89" s="8"/>
      <c r="G89" s="8"/>
      <c r="H89" s="109" t="s">
        <v>6814</v>
      </c>
      <c r="I89" s="36"/>
      <c r="J89" s="1"/>
      <c r="K89" s="2913" t="str">
        <f>IF(OR(K62=0,P88="",K67=0),"",P88*K67)</f>
        <v/>
      </c>
      <c r="L89" s="2913" t="str">
        <f>IF(OR(L62=0,P88="",L67=0),"",P88*L67)</f>
        <v/>
      </c>
      <c r="M89" s="2913" t="str">
        <f>IF(OR(M62=0,P88="",M67=0),"",P88*M67)</f>
        <v/>
      </c>
      <c r="N89" s="2913" t="str">
        <f>IF(OR(N62=0,P88="",N67=0),"",P88*N67)</f>
        <v/>
      </c>
      <c r="O89" s="2913" t="str">
        <f>IF(OR(O62=0,P88="",O67=0),"",P88*O67)</f>
        <v/>
      </c>
      <c r="P89" s="2914" t="str">
        <f>IF(OR(P88="",P67=0),"",P88*P67)</f>
        <v/>
      </c>
      <c r="X89" s="1831"/>
      <c r="Y89" s="1831"/>
      <c r="Z89" s="1831"/>
      <c r="AA89" s="1831"/>
      <c r="AB89" s="1831"/>
      <c r="AC89" s="1831"/>
      <c r="AD89" s="1831"/>
      <c r="AE89" s="1831"/>
      <c r="AF89" s="1831"/>
      <c r="AG89" s="1831"/>
      <c r="AH89" s="1831"/>
      <c r="AI89" s="1831"/>
      <c r="AJ89" s="1831"/>
      <c r="AK89" s="1831"/>
      <c r="AL89" s="1831"/>
      <c r="AM89" s="1831"/>
      <c r="AN89" s="1831"/>
      <c r="AO89" s="1831"/>
      <c r="AP89" s="1831"/>
      <c r="AQ89" s="1831"/>
      <c r="AR89" s="1831"/>
      <c r="AS89" s="1831"/>
      <c r="AT89" s="1831"/>
      <c r="AU89" s="1831"/>
      <c r="AV89" s="1831"/>
      <c r="AW89" s="1831"/>
      <c r="AX89" s="1831"/>
      <c r="AY89" s="1831"/>
      <c r="AZ89" s="1831"/>
      <c r="BA89" s="1831"/>
      <c r="BB89" s="1831"/>
      <c r="BC89" s="1831"/>
      <c r="BD89" s="1831"/>
      <c r="BE89" s="1831"/>
      <c r="BF89" s="1831"/>
      <c r="BG89" s="1831"/>
      <c r="BH89" s="1831"/>
      <c r="BI89" s="1831"/>
      <c r="BJ89" s="1831"/>
      <c r="BK89" s="1831"/>
      <c r="BL89" s="1831"/>
      <c r="BM89" s="1831"/>
      <c r="BN89" s="1831"/>
      <c r="BO89" s="1831"/>
      <c r="BP89" s="1831"/>
      <c r="BQ89" s="1831"/>
      <c r="BR89" s="1831"/>
      <c r="BS89" s="1831"/>
      <c r="BT89" s="1831"/>
      <c r="BU89" s="1831"/>
      <c r="BV89" s="1831"/>
      <c r="BW89" s="1831"/>
      <c r="BX89" s="1831"/>
      <c r="BY89" s="1831"/>
      <c r="BZ89" s="1831"/>
      <c r="CA89" s="1831"/>
      <c r="CB89" s="1831"/>
      <c r="CC89" s="1831"/>
      <c r="CD89" s="1831"/>
      <c r="CE89" s="1831"/>
      <c r="CF89" s="1831"/>
      <c r="CG89" s="1831"/>
      <c r="CH89" s="1831"/>
      <c r="CI89" s="1831"/>
      <c r="CJ89" s="1831"/>
      <c r="CK89" s="1831"/>
      <c r="CL89" s="1831"/>
      <c r="CM89" s="1831"/>
      <c r="CN89" s="1831"/>
      <c r="CO89" s="1831"/>
      <c r="CP89" s="1831"/>
      <c r="CQ89" s="1831"/>
      <c r="CR89" s="1831"/>
      <c r="CS89" s="1831"/>
      <c r="CT89" s="1831"/>
      <c r="CU89" s="1831"/>
      <c r="CV89" s="1831"/>
      <c r="CW89" s="1831"/>
      <c r="CX89" s="1831"/>
      <c r="CY89" s="1831"/>
      <c r="CZ89" s="1831"/>
      <c r="DA89" s="1831"/>
      <c r="DB89" s="1831"/>
      <c r="DC89" s="1831"/>
      <c r="DD89" s="1831"/>
      <c r="DE89" s="1831"/>
      <c r="DF89" s="1831"/>
      <c r="DG89" s="1831"/>
      <c r="DH89" s="1831"/>
      <c r="DI89" s="1831"/>
      <c r="DJ89" s="1831"/>
      <c r="DK89" s="1831"/>
      <c r="DL89" s="1831"/>
      <c r="DM89" s="1831"/>
      <c r="DN89" s="1831"/>
      <c r="DO89" s="1831"/>
      <c r="DP89" s="1831"/>
      <c r="DQ89" s="1831"/>
      <c r="DR89" s="1831"/>
      <c r="DS89" s="1831"/>
      <c r="DT89" s="1831"/>
      <c r="DU89" s="1831"/>
      <c r="DV89" s="1831"/>
      <c r="DW89" s="1831"/>
      <c r="DX89" s="1831"/>
      <c r="DY89" s="1831"/>
      <c r="DZ89" s="1831"/>
      <c r="EA89" s="1831"/>
      <c r="EB89" s="1831"/>
      <c r="EC89" s="1831"/>
      <c r="ED89" s="1831"/>
      <c r="EE89" s="1831"/>
      <c r="EF89" s="1831"/>
      <c r="EG89" s="1831"/>
      <c r="EH89" s="1831"/>
      <c r="EI89" s="1831"/>
      <c r="EJ89" s="1831"/>
      <c r="EK89" s="1831"/>
      <c r="EL89" s="1831"/>
      <c r="EM89" s="1831"/>
      <c r="EN89" s="1831"/>
      <c r="EO89" s="1831"/>
      <c r="EP89" s="1831"/>
      <c r="EQ89" s="1831"/>
      <c r="ER89" s="1831"/>
      <c r="ES89" s="1831"/>
      <c r="ET89" s="1831"/>
      <c r="EU89" s="1831"/>
      <c r="EV89" s="1831"/>
      <c r="EW89" s="1831"/>
      <c r="EX89" s="1831"/>
      <c r="EY89" s="1831"/>
      <c r="EZ89" s="1831"/>
      <c r="FA89" s="1831"/>
      <c r="FB89" s="1831"/>
      <c r="FC89" s="1831"/>
      <c r="FD89" s="1831"/>
      <c r="FE89" s="1831"/>
      <c r="FF89" s="1831"/>
      <c r="FG89" s="1831"/>
      <c r="FH89" s="1831"/>
      <c r="FI89" s="1831"/>
      <c r="FJ89" s="1831"/>
      <c r="FK89" s="1831"/>
      <c r="FL89" s="1831"/>
      <c r="FM89" s="1831"/>
      <c r="FN89" s="1831"/>
      <c r="FO89" s="1831"/>
      <c r="FP89" s="1831"/>
      <c r="FQ89" s="1831"/>
      <c r="FR89" s="1831"/>
      <c r="FS89" s="1831"/>
      <c r="FT89" s="1831"/>
      <c r="FU89" s="1831"/>
      <c r="FV89" s="1831"/>
      <c r="FW89" s="1831"/>
      <c r="FX89" s="1831"/>
      <c r="FY89" s="1831"/>
      <c r="FZ89" s="1831"/>
      <c r="GA89" s="1831"/>
      <c r="GB89" s="1831"/>
      <c r="GC89" s="1831"/>
      <c r="GD89" s="1831"/>
      <c r="GE89" s="1831"/>
      <c r="GF89" s="1831"/>
      <c r="GG89" s="1831"/>
      <c r="GH89" s="1831"/>
      <c r="GI89" s="1831"/>
      <c r="GJ89" s="1831"/>
      <c r="GK89" s="1831"/>
      <c r="GL89" s="1831"/>
      <c r="GM89" s="1831"/>
      <c r="GN89" s="1831"/>
      <c r="GO89" s="1831"/>
      <c r="GP89" s="1831"/>
      <c r="GQ89" s="1831"/>
      <c r="GR89" s="1831"/>
      <c r="GS89" s="1831"/>
      <c r="GT89" s="1831"/>
      <c r="GU89" s="1831"/>
      <c r="GV89" s="1831"/>
      <c r="GW89" s="1831"/>
      <c r="GX89" s="1831"/>
      <c r="GY89" s="1831"/>
      <c r="GZ89" s="1831"/>
      <c r="HA89" s="1831"/>
      <c r="HB89" s="1831"/>
      <c r="HC89" s="1831"/>
      <c r="HD89" s="1831"/>
      <c r="HE89" s="1831"/>
      <c r="HF89" s="1831"/>
      <c r="HG89" s="1831"/>
      <c r="HH89" s="1831"/>
      <c r="HI89" s="1831"/>
      <c r="HJ89" s="1831"/>
      <c r="HK89" s="1831"/>
      <c r="HL89" s="1831"/>
      <c r="HM89" s="1831"/>
      <c r="HN89" s="1831"/>
      <c r="HO89" s="1831"/>
      <c r="HP89" s="1831"/>
      <c r="HQ89" s="1831"/>
      <c r="HR89" s="1831"/>
      <c r="HS89" s="1831"/>
      <c r="HT89" s="1831"/>
      <c r="HU89" s="1831"/>
      <c r="HV89" s="1831"/>
      <c r="HW89" s="1831"/>
      <c r="HX89" s="1831"/>
      <c r="HY89" s="1831"/>
      <c r="HZ89" s="1831"/>
      <c r="IA89" s="1831"/>
      <c r="IB89" s="1831"/>
      <c r="IC89" s="1831"/>
      <c r="ID89" s="1831"/>
      <c r="IE89" s="1831"/>
      <c r="IF89" s="1831"/>
      <c r="IG89" s="1831"/>
      <c r="IH89" s="1831"/>
      <c r="II89" s="1831"/>
      <c r="IJ89" s="1831"/>
      <c r="IK89" s="1831"/>
      <c r="IL89" s="1831"/>
      <c r="IM89" s="1831"/>
      <c r="IN89" s="1831"/>
      <c r="IO89" s="1831"/>
      <c r="IP89" s="1831"/>
      <c r="IQ89" s="1831"/>
      <c r="IR89" s="1831"/>
      <c r="IS89" s="1831"/>
      <c r="IT89" s="1831"/>
      <c r="IU89" s="1831"/>
      <c r="IV89" s="1831"/>
      <c r="IW89" s="1831"/>
      <c r="IX89" s="1831"/>
      <c r="IY89" s="1831"/>
      <c r="IZ89" s="1831"/>
      <c r="JA89" s="1831"/>
      <c r="JB89" s="1831"/>
      <c r="JC89" s="1831"/>
      <c r="JD89" s="1831"/>
      <c r="JE89" s="1831"/>
      <c r="JF89" s="1831"/>
      <c r="JG89" s="1831"/>
      <c r="JH89" s="1831"/>
      <c r="JI89" s="1831"/>
      <c r="JJ89" s="1831"/>
      <c r="JK89" s="1831"/>
      <c r="JL89" s="1831"/>
      <c r="JM89" s="1831"/>
      <c r="JN89" s="1831"/>
      <c r="JO89" s="1831"/>
      <c r="JP89" s="1831"/>
      <c r="JQ89" s="1831"/>
      <c r="JR89" s="1831"/>
      <c r="JS89" s="1831"/>
      <c r="JT89" s="1831"/>
      <c r="JU89" s="1831"/>
      <c r="JV89" s="1831"/>
      <c r="JW89" s="1831"/>
      <c r="JX89" s="1831"/>
      <c r="JY89" s="1831"/>
      <c r="JZ89" s="1831"/>
      <c r="KA89" s="1831"/>
      <c r="KB89" s="1831"/>
      <c r="KC89" s="1831"/>
      <c r="KD89" s="1831"/>
      <c r="KE89" s="1831"/>
      <c r="KF89" s="1831"/>
      <c r="KG89" s="1831"/>
      <c r="KH89" s="1831"/>
      <c r="KI89" s="1831"/>
      <c r="KJ89" s="1831"/>
      <c r="KK89" s="1831"/>
      <c r="KL89" s="1831"/>
      <c r="KM89" s="1831"/>
      <c r="KN89" s="1831"/>
      <c r="KO89" s="1831"/>
      <c r="KP89" s="1831"/>
      <c r="KQ89" s="1831"/>
      <c r="KR89" s="1831"/>
      <c r="KS89" s="1831"/>
      <c r="KT89" s="1831"/>
      <c r="KU89" s="1831"/>
      <c r="KV89" s="1831"/>
      <c r="KW89" s="1831"/>
      <c r="KX89" s="1831"/>
      <c r="KY89" s="1831"/>
      <c r="KZ89" s="1831"/>
      <c r="LA89" s="1831"/>
      <c r="LB89" s="1831"/>
      <c r="LC89" s="1831"/>
      <c r="LD89" s="1831"/>
      <c r="LE89" s="1831"/>
      <c r="LF89" s="1831"/>
      <c r="LG89" s="1831"/>
      <c r="LH89" s="1831"/>
      <c r="LI89" s="1831"/>
      <c r="LJ89" s="1831"/>
      <c r="LK89" s="1831"/>
      <c r="LL89" s="1831"/>
      <c r="LM89" s="1831"/>
      <c r="LN89" s="1831"/>
      <c r="LO89" s="1831"/>
      <c r="LP89" s="1831"/>
      <c r="LQ89" s="1831"/>
      <c r="LR89" s="1831"/>
      <c r="LS89" s="1831"/>
      <c r="LT89" s="1831"/>
      <c r="LU89" s="1831"/>
      <c r="LV89" s="1831"/>
      <c r="LW89" s="1831"/>
      <c r="LX89" s="1831"/>
      <c r="LY89" s="1831"/>
      <c r="LZ89" s="1831"/>
      <c r="MA89" s="1831"/>
      <c r="MB89" s="1831"/>
      <c r="MC89" s="1831"/>
      <c r="MD89" s="1831"/>
      <c r="ME89" s="1831"/>
      <c r="MF89" s="1831"/>
      <c r="MG89" s="1831"/>
      <c r="MH89" s="1831"/>
      <c r="MI89" s="1831"/>
      <c r="MJ89" s="1831"/>
      <c r="MK89" s="1831"/>
      <c r="ML89" s="1831"/>
      <c r="MM89" s="1831"/>
      <c r="MN89" s="1831"/>
      <c r="MO89" s="1831"/>
      <c r="MP89" s="1831"/>
      <c r="MQ89" s="1831"/>
      <c r="MR89" s="1831"/>
      <c r="MS89" s="1831"/>
      <c r="MT89" s="1831"/>
      <c r="MU89" s="1831"/>
      <c r="MV89" s="157"/>
      <c r="MW89" s="157"/>
      <c r="MX89" s="157"/>
      <c r="MY89" s="157"/>
      <c r="MZ89" s="157"/>
      <c r="NA89" s="157"/>
      <c r="NB89" s="157"/>
      <c r="NC89" s="157"/>
      <c r="ND89" s="157"/>
      <c r="NE89" s="157"/>
      <c r="NF89" s="157"/>
      <c r="NG89" s="157"/>
      <c r="NH89" s="157"/>
      <c r="NI89" s="157"/>
      <c r="NJ89" s="157"/>
      <c r="NK89" s="157"/>
      <c r="NL89" s="157"/>
      <c r="NM89" s="157"/>
      <c r="NN89" s="157"/>
      <c r="NO89" s="157"/>
      <c r="NP89" s="2807"/>
      <c r="NQ89" s="157"/>
      <c r="NR89" s="157"/>
      <c r="NS89" s="157"/>
      <c r="NT89" s="157"/>
      <c r="NU89" s="157"/>
      <c r="NV89" s="157"/>
      <c r="NW89" s="157"/>
      <c r="NX89" s="157"/>
      <c r="NY89" s="157"/>
      <c r="NZ89" s="157"/>
      <c r="OA89" s="157"/>
      <c r="OB89" s="157"/>
      <c r="OC89" s="157"/>
      <c r="OD89" s="157"/>
      <c r="OE89" s="157"/>
      <c r="OF89" s="157"/>
      <c r="OG89" s="157"/>
      <c r="OH89" s="157"/>
      <c r="OI89" s="157"/>
      <c r="OJ89" s="157"/>
      <c r="OK89" s="157"/>
      <c r="OL89" s="157"/>
      <c r="OM89" s="157"/>
      <c r="ON89" s="157"/>
      <c r="OO89" s="157"/>
      <c r="OP89" s="157"/>
      <c r="OQ89" s="157"/>
      <c r="OR89" s="157"/>
      <c r="OS89" s="157"/>
      <c r="OT89" s="157"/>
      <c r="OU89" s="157"/>
      <c r="OV89" s="157"/>
      <c r="OW89" s="157"/>
      <c r="OX89" s="157"/>
      <c r="OY89" s="157"/>
      <c r="OZ89" s="157"/>
      <c r="PA89" s="157"/>
      <c r="PB89" s="157"/>
      <c r="PC89" s="157"/>
      <c r="PD89" s="157"/>
      <c r="PE89" s="157"/>
      <c r="PF89" s="157"/>
      <c r="PG89" s="157"/>
      <c r="PH89" s="157"/>
      <c r="PI89" s="157"/>
      <c r="PJ89" s="157"/>
      <c r="PK89" s="157"/>
      <c r="PL89" s="157"/>
      <c r="PM89" s="157"/>
      <c r="PN89" s="157"/>
      <c r="PO89" s="157"/>
      <c r="PP89" s="157"/>
      <c r="PQ89" s="157"/>
      <c r="PR89" s="157"/>
      <c r="PS89" s="157"/>
      <c r="PT89" s="157"/>
      <c r="PU89" s="157"/>
      <c r="PV89" s="157"/>
      <c r="PW89" s="157"/>
      <c r="PX89" s="157"/>
      <c r="PY89" s="157"/>
      <c r="PZ89" s="157"/>
      <c r="QA89" s="157"/>
      <c r="QB89" s="157"/>
      <c r="QC89" s="157"/>
      <c r="QD89" s="157"/>
      <c r="QE89" s="157"/>
      <c r="QF89" s="157"/>
      <c r="QG89" s="157"/>
      <c r="QH89" s="157"/>
      <c r="QI89" s="157"/>
      <c r="QJ89" s="157"/>
      <c r="QK89" s="157"/>
      <c r="QL89" s="157"/>
      <c r="QM89" s="157"/>
      <c r="QN89" s="157"/>
      <c r="QO89" s="157"/>
      <c r="QP89" s="157"/>
      <c r="QQ89" s="157"/>
      <c r="QR89" s="157"/>
      <c r="QS89" s="157"/>
      <c r="QT89" s="157"/>
      <c r="QU89" s="157"/>
      <c r="QV89" s="157"/>
      <c r="QW89" s="157"/>
      <c r="QX89" s="157"/>
      <c r="QY89" s="157"/>
      <c r="QZ89" s="157"/>
      <c r="RA89" s="157"/>
      <c r="RB89" s="157"/>
      <c r="RC89" s="157"/>
      <c r="RD89" s="157"/>
      <c r="RE89" s="157"/>
      <c r="RF89" s="157"/>
      <c r="RG89" s="157"/>
      <c r="RH89" s="157"/>
      <c r="RI89" s="157"/>
      <c r="RJ89" s="157"/>
      <c r="RK89" s="157"/>
      <c r="RL89" s="157"/>
      <c r="RM89" s="157"/>
      <c r="RN89" s="157"/>
      <c r="RO89" s="157"/>
      <c r="RP89" s="157"/>
      <c r="RQ89" s="157"/>
    </row>
    <row r="90" spans="1:485" s="27" customFormat="1">
      <c r="B90" s="115"/>
      <c r="C90" s="202"/>
      <c r="D90" s="2923"/>
      <c r="E90" s="2923"/>
      <c r="F90" s="8"/>
      <c r="G90" s="1579"/>
      <c r="H90" s="2915" t="s">
        <v>6815</v>
      </c>
      <c r="I90" s="2916"/>
      <c r="J90" s="1"/>
      <c r="K90" s="2925" t="str">
        <f t="shared" ref="K90:P90" si="365">IF(OR(K89="",K62=0),"", K62-K89)</f>
        <v/>
      </c>
      <c r="L90" s="2925" t="str">
        <f t="shared" si="365"/>
        <v/>
      </c>
      <c r="M90" s="2925" t="str">
        <f t="shared" si="365"/>
        <v/>
      </c>
      <c r="N90" s="2925" t="str">
        <f t="shared" si="365"/>
        <v/>
      </c>
      <c r="O90" s="2925" t="str">
        <f t="shared" si="365"/>
        <v/>
      </c>
      <c r="P90" s="2925" t="str">
        <f t="shared" si="365"/>
        <v/>
      </c>
      <c r="X90" s="1831"/>
      <c r="Y90" s="1831"/>
      <c r="Z90" s="1831"/>
      <c r="AA90" s="1831"/>
      <c r="AB90" s="1831"/>
      <c r="AC90" s="1831"/>
      <c r="AD90" s="1831"/>
      <c r="AE90" s="1831"/>
      <c r="AF90" s="1831"/>
      <c r="AG90" s="1831"/>
      <c r="AH90" s="1831"/>
      <c r="AI90" s="1831"/>
      <c r="AJ90" s="1831"/>
      <c r="AK90" s="1831"/>
      <c r="AL90" s="1831"/>
      <c r="AM90" s="1831"/>
      <c r="AN90" s="1831"/>
      <c r="AO90" s="1831"/>
      <c r="AP90" s="1831"/>
      <c r="AQ90" s="1831"/>
      <c r="AR90" s="1831"/>
      <c r="AS90" s="1831"/>
      <c r="AT90" s="1831"/>
      <c r="AU90" s="1831"/>
      <c r="AV90" s="1831"/>
      <c r="AW90" s="1831"/>
      <c r="AX90" s="1831"/>
      <c r="AY90" s="1831"/>
      <c r="AZ90" s="1831"/>
      <c r="BA90" s="1831"/>
      <c r="BB90" s="1831"/>
      <c r="BC90" s="1831"/>
      <c r="BD90" s="1831"/>
      <c r="BE90" s="1831"/>
      <c r="BF90" s="1831"/>
      <c r="BG90" s="1831"/>
      <c r="BH90" s="1831"/>
      <c r="BI90" s="1831"/>
      <c r="BJ90" s="1831"/>
      <c r="BK90" s="1831"/>
      <c r="BL90" s="1831"/>
      <c r="BM90" s="1831"/>
      <c r="BN90" s="1831"/>
      <c r="BO90" s="1831"/>
      <c r="BP90" s="1831"/>
      <c r="BQ90" s="1831"/>
      <c r="BR90" s="1831"/>
      <c r="BS90" s="1831"/>
      <c r="BT90" s="1831"/>
      <c r="BU90" s="1831"/>
      <c r="BV90" s="1831"/>
      <c r="BW90" s="1831"/>
      <c r="BX90" s="1831"/>
      <c r="BY90" s="1831"/>
      <c r="BZ90" s="1831"/>
      <c r="CA90" s="1831"/>
      <c r="CB90" s="1831"/>
      <c r="CC90" s="1831"/>
      <c r="CD90" s="1831"/>
      <c r="CE90" s="1831"/>
      <c r="CF90" s="1831"/>
      <c r="CG90" s="1831"/>
      <c r="CH90" s="1831"/>
      <c r="CI90" s="1831"/>
      <c r="CJ90" s="1831"/>
      <c r="CK90" s="1831"/>
      <c r="CL90" s="1831"/>
      <c r="CM90" s="1831"/>
      <c r="CN90" s="1831"/>
      <c r="CO90" s="1831"/>
      <c r="CP90" s="1831"/>
      <c r="CQ90" s="1831"/>
      <c r="CR90" s="1831"/>
      <c r="CS90" s="1831"/>
      <c r="CT90" s="1831"/>
      <c r="CU90" s="1831"/>
      <c r="CV90" s="1831"/>
      <c r="CW90" s="1831"/>
      <c r="CX90" s="1831"/>
      <c r="CY90" s="1831"/>
      <c r="CZ90" s="1831"/>
      <c r="DA90" s="1831"/>
      <c r="DB90" s="1831"/>
      <c r="DC90" s="1831"/>
      <c r="DD90" s="1831"/>
      <c r="DE90" s="1831"/>
      <c r="DF90" s="1831"/>
      <c r="DG90" s="1831"/>
      <c r="DH90" s="1831"/>
      <c r="DI90" s="1831"/>
      <c r="DJ90" s="1831"/>
      <c r="DK90" s="1831"/>
      <c r="DL90" s="1831"/>
      <c r="DM90" s="1831"/>
      <c r="DN90" s="1831"/>
      <c r="DO90" s="1831"/>
      <c r="DP90" s="1831"/>
      <c r="DQ90" s="1831"/>
      <c r="DR90" s="1831"/>
      <c r="DS90" s="1831"/>
      <c r="DT90" s="1831"/>
      <c r="DU90" s="1831"/>
      <c r="DV90" s="1831"/>
      <c r="DW90" s="1831"/>
      <c r="DX90" s="1831"/>
      <c r="DY90" s="1831"/>
      <c r="DZ90" s="1831"/>
      <c r="EA90" s="1831"/>
      <c r="EB90" s="1831"/>
      <c r="EC90" s="1831"/>
      <c r="ED90" s="1831"/>
      <c r="EE90" s="1831"/>
      <c r="EF90" s="1831"/>
      <c r="EG90" s="1831"/>
      <c r="EH90" s="1831"/>
      <c r="EI90" s="1831"/>
      <c r="EJ90" s="1831"/>
      <c r="EK90" s="1831"/>
      <c r="EL90" s="1831"/>
      <c r="EM90" s="1831"/>
      <c r="EN90" s="1831"/>
      <c r="EO90" s="1831"/>
      <c r="EP90" s="1831"/>
      <c r="EQ90" s="1831"/>
      <c r="ER90" s="1831"/>
      <c r="ES90" s="1831"/>
      <c r="ET90" s="1831"/>
      <c r="EU90" s="1831"/>
      <c r="EV90" s="1831"/>
      <c r="EW90" s="1831"/>
      <c r="EX90" s="1831"/>
      <c r="EY90" s="1831"/>
      <c r="EZ90" s="1831"/>
      <c r="FA90" s="1831"/>
      <c r="FB90" s="1831"/>
      <c r="FC90" s="1831"/>
      <c r="FD90" s="1831"/>
      <c r="FE90" s="1831"/>
      <c r="FF90" s="1831"/>
      <c r="FG90" s="1831"/>
      <c r="FH90" s="1831"/>
      <c r="FI90" s="1831"/>
      <c r="FJ90" s="1831"/>
      <c r="FK90" s="1831"/>
      <c r="FL90" s="1831"/>
      <c r="FM90" s="1831"/>
      <c r="FN90" s="1831"/>
      <c r="FO90" s="1831"/>
      <c r="FP90" s="1831"/>
      <c r="FQ90" s="1831"/>
      <c r="FR90" s="1831"/>
      <c r="FS90" s="1831"/>
      <c r="FT90" s="1831"/>
      <c r="FU90" s="1831"/>
      <c r="FV90" s="1831"/>
      <c r="FW90" s="1831"/>
      <c r="FX90" s="1831"/>
      <c r="FY90" s="1831"/>
      <c r="FZ90" s="1831"/>
      <c r="GA90" s="1831"/>
      <c r="GB90" s="1831"/>
      <c r="GC90" s="1831"/>
      <c r="GD90" s="1831"/>
      <c r="GE90" s="1831"/>
      <c r="GF90" s="1831"/>
      <c r="GG90" s="1831"/>
      <c r="GH90" s="1831"/>
      <c r="GI90" s="1831"/>
      <c r="GJ90" s="1831"/>
      <c r="GK90" s="1831"/>
      <c r="GL90" s="1831"/>
      <c r="GM90" s="1831"/>
      <c r="GN90" s="1831"/>
      <c r="GO90" s="1831"/>
      <c r="GP90" s="1831"/>
      <c r="GQ90" s="1831"/>
      <c r="GR90" s="1831"/>
      <c r="GS90" s="1831"/>
      <c r="GT90" s="1831"/>
      <c r="GU90" s="1831"/>
      <c r="GV90" s="1831"/>
      <c r="GW90" s="1831"/>
      <c r="GX90" s="1831"/>
      <c r="GY90" s="1831"/>
      <c r="GZ90" s="1831"/>
      <c r="HA90" s="1831"/>
      <c r="HB90" s="1831"/>
      <c r="HC90" s="1831"/>
      <c r="HD90" s="1831"/>
      <c r="HE90" s="1831"/>
      <c r="HF90" s="1831"/>
      <c r="HG90" s="1831"/>
      <c r="HH90" s="1831"/>
      <c r="HI90" s="1831"/>
      <c r="HJ90" s="1831"/>
      <c r="HK90" s="1831"/>
      <c r="HL90" s="1831"/>
      <c r="HM90" s="1831"/>
      <c r="HN90" s="1831"/>
      <c r="HO90" s="1831"/>
      <c r="HP90" s="1831"/>
      <c r="HQ90" s="1831"/>
      <c r="HR90" s="1831"/>
      <c r="HS90" s="1831"/>
      <c r="HT90" s="1831"/>
      <c r="HU90" s="1831"/>
      <c r="HV90" s="1831"/>
      <c r="HW90" s="1831"/>
      <c r="HX90" s="1831"/>
      <c r="HY90" s="1831"/>
      <c r="HZ90" s="1831"/>
      <c r="IA90" s="1831"/>
      <c r="IB90" s="1831"/>
      <c r="IC90" s="1831"/>
      <c r="ID90" s="1831"/>
      <c r="IE90" s="1831"/>
      <c r="IF90" s="1831"/>
      <c r="IG90" s="1831"/>
      <c r="IH90" s="1831"/>
      <c r="II90" s="1831"/>
      <c r="IJ90" s="1831"/>
      <c r="IK90" s="1831"/>
      <c r="IL90" s="1831"/>
      <c r="IM90" s="1831"/>
      <c r="IN90" s="1831"/>
      <c r="IO90" s="1831"/>
      <c r="IP90" s="1831"/>
      <c r="IQ90" s="1831"/>
      <c r="IR90" s="1831"/>
      <c r="IS90" s="1831"/>
      <c r="IT90" s="1831"/>
      <c r="IU90" s="1831"/>
      <c r="IV90" s="1831"/>
      <c r="IW90" s="1831"/>
      <c r="IX90" s="1831"/>
      <c r="IY90" s="1831"/>
      <c r="IZ90" s="1831"/>
      <c r="JA90" s="1831"/>
      <c r="JB90" s="1831"/>
      <c r="JC90" s="1831"/>
      <c r="JD90" s="1831"/>
      <c r="JE90" s="1831"/>
      <c r="JF90" s="1831"/>
      <c r="JG90" s="1831"/>
      <c r="JH90" s="1831"/>
      <c r="JI90" s="1831"/>
      <c r="JJ90" s="1831"/>
      <c r="JK90" s="1831"/>
      <c r="JL90" s="1831"/>
      <c r="JM90" s="1831"/>
      <c r="JN90" s="1831"/>
      <c r="JO90" s="1831"/>
      <c r="JP90" s="1831"/>
      <c r="JQ90" s="1831"/>
      <c r="JR90" s="1831"/>
      <c r="JS90" s="1831"/>
      <c r="JT90" s="1831"/>
      <c r="JU90" s="1831"/>
      <c r="JV90" s="1831"/>
      <c r="JW90" s="1831"/>
      <c r="JX90" s="1831"/>
      <c r="JY90" s="1831"/>
      <c r="JZ90" s="1831"/>
      <c r="KA90" s="1831"/>
      <c r="KB90" s="1831"/>
      <c r="KC90" s="1831"/>
      <c r="KD90" s="1831"/>
      <c r="KE90" s="1831"/>
      <c r="KF90" s="1831"/>
      <c r="KG90" s="1831"/>
      <c r="KH90" s="1831"/>
      <c r="KI90" s="1831"/>
      <c r="KJ90" s="1831"/>
      <c r="KK90" s="1831"/>
      <c r="KL90" s="1831"/>
      <c r="KM90" s="1831"/>
      <c r="KN90" s="1831"/>
      <c r="KO90" s="1831"/>
      <c r="KP90" s="1831"/>
      <c r="KQ90" s="1831"/>
      <c r="KR90" s="1831"/>
      <c r="KS90" s="1831"/>
      <c r="KT90" s="1831"/>
      <c r="KU90" s="1831"/>
      <c r="KV90" s="1831"/>
      <c r="KW90" s="1831"/>
      <c r="KX90" s="1831"/>
      <c r="KY90" s="1831"/>
      <c r="KZ90" s="1831"/>
      <c r="LA90" s="1831"/>
      <c r="LB90" s="1831"/>
      <c r="LC90" s="1831"/>
      <c r="LD90" s="1831"/>
      <c r="LE90" s="1831"/>
      <c r="LF90" s="1831"/>
      <c r="LG90" s="1831"/>
      <c r="LH90" s="1831"/>
      <c r="LI90" s="1831"/>
      <c r="LJ90" s="1831"/>
      <c r="LK90" s="1831"/>
      <c r="LL90" s="1831"/>
      <c r="LM90" s="1831"/>
      <c r="LN90" s="1831"/>
      <c r="LO90" s="1831"/>
      <c r="LP90" s="1831"/>
      <c r="LQ90" s="1831"/>
      <c r="LR90" s="1831"/>
      <c r="LS90" s="1831"/>
      <c r="LT90" s="1831"/>
      <c r="LU90" s="1831"/>
      <c r="LV90" s="1831"/>
      <c r="LW90" s="1831"/>
      <c r="LX90" s="1831"/>
      <c r="LY90" s="1831"/>
      <c r="LZ90" s="1831"/>
      <c r="MA90" s="1831"/>
      <c r="MB90" s="1831"/>
      <c r="MC90" s="1831"/>
      <c r="MD90" s="1831"/>
      <c r="ME90" s="1831"/>
      <c r="MF90" s="1831"/>
      <c r="MG90" s="1831"/>
      <c r="MH90" s="1831"/>
      <c r="MI90" s="1831"/>
      <c r="MJ90" s="1831"/>
      <c r="MK90" s="1831"/>
      <c r="ML90" s="1831"/>
      <c r="MM90" s="1831"/>
      <c r="MN90" s="1831"/>
      <c r="MO90" s="1831"/>
      <c r="MP90" s="1831"/>
      <c r="MQ90" s="1831"/>
      <c r="MR90" s="1831"/>
      <c r="MS90" s="1831"/>
      <c r="MT90" s="1831"/>
      <c r="MU90" s="1831"/>
      <c r="MV90" s="157"/>
      <c r="MW90" s="157"/>
      <c r="MX90" s="157"/>
      <c r="MY90" s="157"/>
      <c r="MZ90" s="157"/>
      <c r="NA90" s="157"/>
      <c r="NB90" s="157"/>
      <c r="NC90" s="157"/>
      <c r="ND90" s="157"/>
      <c r="NE90" s="157"/>
      <c r="NF90" s="157"/>
      <c r="NG90" s="157"/>
      <c r="NH90" s="157"/>
      <c r="NI90" s="157"/>
      <c r="NJ90" s="157"/>
      <c r="NK90" s="157"/>
      <c r="NL90" s="157"/>
      <c r="NM90" s="157"/>
      <c r="NN90" s="157"/>
      <c r="NO90" s="157"/>
      <c r="NP90" s="2807"/>
      <c r="NQ90" s="157"/>
      <c r="NR90" s="157"/>
      <c r="NS90" s="157"/>
      <c r="NT90" s="157"/>
      <c r="NU90" s="157"/>
      <c r="NV90" s="157"/>
      <c r="NW90" s="157"/>
      <c r="NX90" s="157"/>
      <c r="NY90" s="157"/>
      <c r="NZ90" s="157"/>
      <c r="OA90" s="157"/>
      <c r="OB90" s="157"/>
      <c r="OC90" s="157"/>
      <c r="OD90" s="157"/>
      <c r="OE90" s="157"/>
      <c r="OF90" s="157"/>
      <c r="OG90" s="157"/>
      <c r="OH90" s="157"/>
      <c r="OI90" s="157"/>
      <c r="OJ90" s="157"/>
      <c r="OK90" s="157"/>
      <c r="OL90" s="157"/>
      <c r="OM90" s="157"/>
      <c r="ON90" s="157"/>
      <c r="OO90" s="157"/>
      <c r="OP90" s="157"/>
      <c r="OQ90" s="157"/>
      <c r="OR90" s="157"/>
      <c r="OS90" s="157"/>
      <c r="OT90" s="157"/>
      <c r="OU90" s="157"/>
      <c r="OV90" s="157"/>
      <c r="OW90" s="157"/>
      <c r="OX90" s="157"/>
      <c r="OY90" s="157"/>
      <c r="OZ90" s="157"/>
      <c r="PA90" s="157"/>
      <c r="PB90" s="157"/>
      <c r="PC90" s="157"/>
      <c r="PD90" s="157"/>
      <c r="PE90" s="157"/>
      <c r="PF90" s="157"/>
      <c r="PG90" s="157"/>
      <c r="PH90" s="157"/>
      <c r="PI90" s="157"/>
      <c r="PJ90" s="157"/>
      <c r="PK90" s="157"/>
      <c r="PL90" s="157"/>
      <c r="PM90" s="157"/>
      <c r="PN90" s="157"/>
      <c r="PO90" s="157"/>
      <c r="PP90" s="157"/>
      <c r="PQ90" s="157"/>
      <c r="PR90" s="157"/>
      <c r="PS90" s="157"/>
      <c r="PT90" s="157"/>
      <c r="PU90" s="157"/>
      <c r="PV90" s="157"/>
      <c r="PW90" s="157"/>
      <c r="PX90" s="157"/>
      <c r="PY90" s="157"/>
      <c r="PZ90" s="157"/>
      <c r="QA90" s="157"/>
      <c r="QB90" s="157"/>
      <c r="QC90" s="157"/>
      <c r="QD90" s="157"/>
      <c r="QE90" s="157"/>
      <c r="QF90" s="157"/>
      <c r="QG90" s="157"/>
      <c r="QH90" s="157"/>
      <c r="QI90" s="157"/>
      <c r="QJ90" s="157"/>
      <c r="QK90" s="157"/>
      <c r="QL90" s="157"/>
      <c r="QM90" s="157"/>
      <c r="QN90" s="157"/>
      <c r="QO90" s="157"/>
      <c r="QP90" s="157"/>
      <c r="QQ90" s="157"/>
      <c r="QR90" s="157"/>
      <c r="QS90" s="157"/>
      <c r="QT90" s="157"/>
      <c r="QU90" s="157"/>
      <c r="QV90" s="157"/>
      <c r="QW90" s="157"/>
      <c r="QX90" s="157"/>
      <c r="QY90" s="157"/>
      <c r="QZ90" s="157"/>
      <c r="RA90" s="157"/>
      <c r="RB90" s="157"/>
      <c r="RC90" s="157"/>
      <c r="RD90" s="157"/>
      <c r="RE90" s="157"/>
      <c r="RF90" s="157"/>
      <c r="RG90" s="157"/>
      <c r="RH90" s="157"/>
      <c r="RI90" s="157"/>
      <c r="RJ90" s="157"/>
      <c r="RK90" s="157"/>
      <c r="RL90" s="157"/>
      <c r="RM90" s="157"/>
      <c r="RN90" s="157"/>
      <c r="RO90" s="157"/>
      <c r="RP90" s="157"/>
      <c r="RQ90" s="157"/>
    </row>
    <row r="91" spans="1:485" ht="12" customHeight="1">
      <c r="A91" s="1199"/>
      <c r="B91" s="1199"/>
      <c r="C91" s="93"/>
      <c r="D91" s="1"/>
      <c r="E91" s="1"/>
      <c r="F91" s="1"/>
      <c r="G91" s="82"/>
      <c r="H91" s="109"/>
      <c r="I91" s="36"/>
      <c r="J91" s="82"/>
      <c r="K91" s="541"/>
      <c r="L91" s="541"/>
      <c r="M91" s="541"/>
      <c r="N91" s="541"/>
      <c r="O91" s="541"/>
      <c r="P91" s="541"/>
      <c r="T91" s="150"/>
      <c r="U91" s="396"/>
      <c r="X91" s="1818"/>
      <c r="AA91" s="1818"/>
      <c r="AB91" s="435"/>
      <c r="AC91" s="1818"/>
      <c r="AF91" s="1818"/>
      <c r="AG91" s="435"/>
      <c r="AH91" s="1818"/>
      <c r="AK91" s="1818"/>
      <c r="AL91" s="435"/>
      <c r="AM91" s="1818"/>
      <c r="AP91" s="1818"/>
      <c r="AQ91" s="435"/>
      <c r="AR91" s="1818"/>
      <c r="AS91" s="1818"/>
      <c r="AT91" s="1818"/>
      <c r="AU91" s="1818"/>
      <c r="AV91" s="1818"/>
      <c r="AW91" s="1818"/>
      <c r="AX91" s="577"/>
      <c r="AY91" s="432"/>
      <c r="BB91" s="1818"/>
      <c r="BC91" s="577"/>
      <c r="BD91" s="432"/>
      <c r="LO91" s="434"/>
      <c r="MD91" s="430"/>
    </row>
    <row r="92" spans="1:485" ht="9" customHeight="1">
      <c r="A92" s="1199"/>
      <c r="B92" s="1199"/>
      <c r="C92" s="93"/>
      <c r="D92" s="1"/>
      <c r="E92" s="1"/>
      <c r="F92" s="1"/>
      <c r="G92" s="82"/>
      <c r="H92" s="109"/>
      <c r="I92" s="36"/>
      <c r="J92" s="82"/>
      <c r="K92" s="541"/>
      <c r="L92" s="541"/>
      <c r="M92" s="541"/>
      <c r="N92" s="541"/>
      <c r="O92" s="541"/>
      <c r="P92" s="541"/>
      <c r="S92" s="265" t="str">
        <f>C93</f>
        <v>PBRA-Assisted</v>
      </c>
      <c r="T92" s="150"/>
      <c r="U92" s="396"/>
      <c r="X92" s="1818"/>
      <c r="AA92" s="1818"/>
      <c r="AB92" s="435"/>
      <c r="AC92" s="1818"/>
      <c r="AF92" s="1818"/>
      <c r="AG92" s="435"/>
      <c r="AH92" s="1818"/>
      <c r="AK92" s="1818"/>
      <c r="AL92" s="435"/>
      <c r="AM92" s="1818"/>
      <c r="AP92" s="1818"/>
      <c r="AQ92" s="435"/>
      <c r="AR92" s="1818"/>
      <c r="AS92" s="1818"/>
      <c r="AT92" s="1818"/>
      <c r="AU92" s="1818"/>
      <c r="AV92" s="1818"/>
      <c r="AW92" s="1818"/>
      <c r="AX92" s="577"/>
      <c r="AY92" s="432"/>
      <c r="BB92" s="1818"/>
      <c r="BC92" s="577"/>
      <c r="BD92" s="432"/>
      <c r="LO92" s="434"/>
      <c r="MD92" s="430"/>
    </row>
    <row r="93" spans="1:485" ht="15" customHeight="1">
      <c r="A93" s="1199"/>
      <c r="B93" s="1199"/>
      <c r="C93" s="93" t="s">
        <v>899</v>
      </c>
      <c r="D93" s="1"/>
      <c r="E93" s="109"/>
      <c r="F93" s="1"/>
      <c r="G93" s="82"/>
      <c r="H93" s="109" t="s">
        <v>3829</v>
      </c>
      <c r="I93" s="36"/>
      <c r="J93" s="82"/>
      <c r="K93" s="1209">
        <f>CP49</f>
        <v>0</v>
      </c>
      <c r="L93" s="1210">
        <f>CQ49</f>
        <v>0</v>
      </c>
      <c r="M93" s="1210">
        <f>CR49</f>
        <v>0</v>
      </c>
      <c r="N93" s="1210">
        <f>CS49</f>
        <v>0</v>
      </c>
      <c r="O93" s="1211">
        <f>CT49</f>
        <v>0</v>
      </c>
      <c r="P93" s="835">
        <f t="shared" ref="P93:P100" si="366">SUM(K93:O93)</f>
        <v>0</v>
      </c>
      <c r="S93" s="3854"/>
      <c r="T93" s="3855"/>
      <c r="U93" s="3855"/>
      <c r="V93" s="3855"/>
      <c r="W93" s="3856"/>
      <c r="X93" s="1818"/>
      <c r="AA93" s="1818"/>
      <c r="AB93" s="435"/>
      <c r="AC93" s="1818"/>
      <c r="AF93" s="1818"/>
      <c r="AG93" s="435"/>
      <c r="AH93" s="1818"/>
      <c r="AK93" s="1818"/>
      <c r="AL93" s="435"/>
      <c r="AM93" s="1818"/>
      <c r="AP93" s="1818"/>
      <c r="AQ93" s="435"/>
      <c r="AR93" s="436"/>
      <c r="AS93" s="436"/>
      <c r="AT93" s="436"/>
      <c r="AU93" s="436"/>
      <c r="AV93" s="436"/>
      <c r="AW93" s="436"/>
      <c r="AX93" s="435"/>
      <c r="AY93" s="432"/>
      <c r="BB93" s="436"/>
      <c r="BC93" s="435"/>
      <c r="BD93" s="432"/>
      <c r="LO93" s="434"/>
      <c r="MD93" s="430"/>
    </row>
    <row r="94" spans="1:485" ht="15" customHeight="1">
      <c r="A94" s="1199"/>
      <c r="B94" s="1199"/>
      <c r="C94" s="36" t="s">
        <v>2393</v>
      </c>
      <c r="D94" s="1"/>
      <c r="E94" s="109"/>
      <c r="F94" s="1"/>
      <c r="G94" s="82"/>
      <c r="H94" s="109" t="s">
        <v>3830</v>
      </c>
      <c r="I94" s="36"/>
      <c r="J94" s="82"/>
      <c r="K94" s="1212">
        <f>CK49</f>
        <v>0</v>
      </c>
      <c r="L94" s="1213">
        <f>CL49</f>
        <v>0</v>
      </c>
      <c r="M94" s="1213">
        <f>CM49</f>
        <v>0</v>
      </c>
      <c r="N94" s="1213">
        <f>CN49</f>
        <v>0</v>
      </c>
      <c r="O94" s="1214">
        <f>CO49</f>
        <v>0</v>
      </c>
      <c r="P94" s="1178">
        <f t="shared" si="366"/>
        <v>0</v>
      </c>
      <c r="S94" s="3833"/>
      <c r="T94" s="3834"/>
      <c r="U94" s="3834"/>
      <c r="V94" s="3834"/>
      <c r="W94" s="3835"/>
      <c r="X94" s="1818"/>
      <c r="AA94" s="1818"/>
      <c r="AB94" s="435"/>
      <c r="AC94" s="1818"/>
      <c r="AF94" s="1818"/>
      <c r="AG94" s="435"/>
      <c r="AH94" s="1818"/>
      <c r="AK94" s="1818"/>
      <c r="AL94" s="435"/>
      <c r="AM94" s="1818"/>
      <c r="AP94" s="1818"/>
      <c r="AQ94" s="435"/>
      <c r="AR94" s="436"/>
      <c r="AS94" s="436"/>
      <c r="AT94" s="436"/>
      <c r="AU94" s="436"/>
      <c r="AV94" s="436"/>
      <c r="AW94" s="436"/>
      <c r="AX94" s="435"/>
      <c r="AY94" s="432"/>
      <c r="BB94" s="436"/>
      <c r="BC94" s="435"/>
      <c r="BD94" s="432"/>
      <c r="LO94" s="434"/>
      <c r="MD94" s="430"/>
    </row>
    <row r="95" spans="1:485" ht="15" customHeight="1">
      <c r="A95" s="1199"/>
      <c r="B95" s="1199"/>
      <c r="C95" s="93"/>
      <c r="D95" s="1"/>
      <c r="E95" s="109"/>
      <c r="F95" s="1"/>
      <c r="G95" s="82"/>
      <c r="H95" s="109" t="s">
        <v>1107</v>
      </c>
      <c r="I95" s="36"/>
      <c r="J95" s="82"/>
      <c r="K95" s="1212">
        <f>CF49</f>
        <v>0</v>
      </c>
      <c r="L95" s="1213">
        <f>CG49</f>
        <v>0</v>
      </c>
      <c r="M95" s="1213">
        <f>CH49</f>
        <v>25</v>
      </c>
      <c r="N95" s="1213">
        <f>CI49</f>
        <v>7</v>
      </c>
      <c r="O95" s="1214">
        <f>CJ49</f>
        <v>0</v>
      </c>
      <c r="P95" s="1178">
        <f t="shared" si="366"/>
        <v>32</v>
      </c>
      <c r="S95" s="3833"/>
      <c r="T95" s="3834"/>
      <c r="U95" s="3834"/>
      <c r="V95" s="3834"/>
      <c r="W95" s="3835"/>
      <c r="X95" s="1818"/>
      <c r="AA95" s="1818"/>
      <c r="AB95" s="435"/>
      <c r="AC95" s="1818"/>
      <c r="AF95" s="1818"/>
      <c r="AG95" s="435"/>
      <c r="AH95" s="1818"/>
      <c r="AK95" s="1818"/>
      <c r="AL95" s="435"/>
      <c r="AM95" s="1818"/>
      <c r="AP95" s="1818"/>
      <c r="AQ95" s="435"/>
      <c r="AR95" s="436"/>
      <c r="AS95" s="436"/>
      <c r="AT95" s="436"/>
      <c r="AU95" s="436"/>
      <c r="AV95" s="436"/>
      <c r="AW95" s="436"/>
      <c r="AX95" s="435"/>
      <c r="AY95" s="432"/>
      <c r="BB95" s="436"/>
      <c r="BC95" s="435"/>
      <c r="BD95" s="432"/>
      <c r="LO95" s="434"/>
      <c r="MD95" s="430"/>
    </row>
    <row r="96" spans="1:485" ht="15" customHeight="1">
      <c r="A96" s="1199"/>
      <c r="B96" s="1199"/>
      <c r="C96" s="93"/>
      <c r="D96" s="1"/>
      <c r="E96" s="109"/>
      <c r="F96" s="1"/>
      <c r="G96" s="82"/>
      <c r="H96" s="102" t="s">
        <v>111</v>
      </c>
      <c r="I96" s="52"/>
      <c r="J96" s="982"/>
      <c r="K96" s="1233">
        <f>CA49</f>
        <v>0</v>
      </c>
      <c r="L96" s="1234">
        <f>CB49</f>
        <v>0</v>
      </c>
      <c r="M96" s="1234">
        <f>CC49</f>
        <v>0</v>
      </c>
      <c r="N96" s="1234">
        <f>CD49</f>
        <v>0</v>
      </c>
      <c r="O96" s="1235">
        <f>CE49</f>
        <v>0</v>
      </c>
      <c r="P96" s="545">
        <f t="shared" si="366"/>
        <v>0</v>
      </c>
      <c r="S96" s="3833"/>
      <c r="T96" s="3834"/>
      <c r="U96" s="3834"/>
      <c r="V96" s="3834"/>
      <c r="W96" s="3835"/>
      <c r="X96" s="1818"/>
      <c r="AA96" s="1818"/>
      <c r="AB96" s="435"/>
      <c r="AC96" s="1818"/>
      <c r="AF96" s="1818"/>
      <c r="AG96" s="435"/>
      <c r="AH96" s="1818"/>
      <c r="AK96" s="1818"/>
      <c r="AL96" s="435"/>
      <c r="AM96" s="1818"/>
      <c r="AP96" s="1818"/>
      <c r="AQ96" s="435"/>
      <c r="AR96" s="436"/>
      <c r="AS96" s="436"/>
      <c r="AT96" s="436"/>
      <c r="AU96" s="436"/>
      <c r="AV96" s="436"/>
      <c r="AW96" s="436"/>
      <c r="AX96" s="435"/>
      <c r="AY96" s="432"/>
      <c r="BB96" s="436"/>
      <c r="BC96" s="435"/>
      <c r="BD96" s="432"/>
      <c r="LO96" s="434"/>
      <c r="MD96" s="430"/>
    </row>
    <row r="97" spans="1:342" ht="15" customHeight="1">
      <c r="A97" s="1199"/>
      <c r="B97" s="1199"/>
      <c r="C97" s="93"/>
      <c r="D97" s="1"/>
      <c r="E97" s="109"/>
      <c r="F97" s="1"/>
      <c r="G97" s="82"/>
      <c r="H97" s="102" t="s">
        <v>3831</v>
      </c>
      <c r="I97" s="52"/>
      <c r="J97" s="982"/>
      <c r="K97" s="1212">
        <f>BV49</f>
        <v>0</v>
      </c>
      <c r="L97" s="1213">
        <f>BW49</f>
        <v>0</v>
      </c>
      <c r="M97" s="1213">
        <f>BX49</f>
        <v>0</v>
      </c>
      <c r="N97" s="1213">
        <f>BY49</f>
        <v>0</v>
      </c>
      <c r="O97" s="1214">
        <f>BZ49</f>
        <v>0</v>
      </c>
      <c r="P97" s="1178">
        <f t="shared" si="366"/>
        <v>0</v>
      </c>
      <c r="S97" s="3833"/>
      <c r="T97" s="3834"/>
      <c r="U97" s="3834"/>
      <c r="V97" s="3834"/>
      <c r="W97" s="3835"/>
      <c r="X97" s="1818"/>
      <c r="AA97" s="1818"/>
      <c r="AB97" s="435"/>
      <c r="AC97" s="1818"/>
      <c r="AF97" s="1818"/>
      <c r="AG97" s="435"/>
      <c r="AH97" s="1818"/>
      <c r="AK97" s="1818"/>
      <c r="AL97" s="435"/>
      <c r="AM97" s="1818"/>
      <c r="AP97" s="1818"/>
      <c r="AQ97" s="435"/>
      <c r="AR97" s="436"/>
      <c r="AS97" s="436"/>
      <c r="AT97" s="436"/>
      <c r="AU97" s="436"/>
      <c r="AV97" s="436"/>
      <c r="AW97" s="436"/>
      <c r="AX97" s="435"/>
      <c r="AY97" s="432"/>
      <c r="BB97" s="436"/>
      <c r="BC97" s="435"/>
      <c r="BD97" s="432"/>
      <c r="LO97" s="434"/>
      <c r="MD97" s="430"/>
    </row>
    <row r="98" spans="1:342" ht="15" customHeight="1">
      <c r="A98" s="1198"/>
      <c r="B98" s="1198"/>
      <c r="C98" s="93"/>
      <c r="D98" s="1"/>
      <c r="E98" s="109"/>
      <c r="F98" s="1"/>
      <c r="G98" s="82"/>
      <c r="H98" s="109" t="s">
        <v>3832</v>
      </c>
      <c r="I98" s="36"/>
      <c r="J98" s="82"/>
      <c r="K98" s="1212">
        <f>BQ49</f>
        <v>0</v>
      </c>
      <c r="L98" s="1213">
        <f>BR49</f>
        <v>0</v>
      </c>
      <c r="M98" s="1213">
        <f>BS49</f>
        <v>0</v>
      </c>
      <c r="N98" s="1213">
        <f>BT49</f>
        <v>0</v>
      </c>
      <c r="O98" s="1214">
        <f>BU49</f>
        <v>0</v>
      </c>
      <c r="P98" s="1178">
        <f t="shared" si="366"/>
        <v>0</v>
      </c>
      <c r="S98" s="3833"/>
      <c r="T98" s="3834"/>
      <c r="U98" s="3834"/>
      <c r="V98" s="3834"/>
      <c r="W98" s="3835"/>
      <c r="X98" s="1818"/>
      <c r="AA98" s="1818"/>
      <c r="AB98" s="435"/>
      <c r="AC98" s="1818"/>
      <c r="AF98" s="1818"/>
      <c r="AG98" s="435"/>
      <c r="AH98" s="1818"/>
      <c r="AK98" s="1818"/>
      <c r="AL98" s="435"/>
      <c r="AM98" s="1818"/>
      <c r="AP98" s="1818"/>
      <c r="AQ98" s="435"/>
      <c r="AR98" s="436"/>
      <c r="AS98" s="436"/>
      <c r="AT98" s="436"/>
      <c r="AU98" s="436"/>
      <c r="AV98" s="436"/>
      <c r="AW98" s="436"/>
      <c r="AX98" s="435"/>
      <c r="AY98" s="432"/>
      <c r="BB98" s="436"/>
      <c r="BC98" s="435"/>
      <c r="BD98" s="432"/>
      <c r="LO98" s="434"/>
      <c r="MD98" s="430"/>
    </row>
    <row r="99" spans="1:342" ht="15" customHeight="1">
      <c r="A99" s="1198"/>
      <c r="B99" s="1198"/>
      <c r="D99" s="1"/>
      <c r="E99" s="109"/>
      <c r="F99" s="1"/>
      <c r="G99" s="82"/>
      <c r="H99" s="109" t="s">
        <v>3833</v>
      </c>
      <c r="I99" s="36"/>
      <c r="J99" s="82"/>
      <c r="K99" s="1215">
        <f>BL49</f>
        <v>0</v>
      </c>
      <c r="L99" s="1216">
        <f>BM49</f>
        <v>0</v>
      </c>
      <c r="M99" s="1216">
        <f>BN49</f>
        <v>0</v>
      </c>
      <c r="N99" s="1216">
        <f>BO49</f>
        <v>0</v>
      </c>
      <c r="O99" s="1217">
        <f>BP49</f>
        <v>0</v>
      </c>
      <c r="P99" s="836">
        <f t="shared" si="366"/>
        <v>0</v>
      </c>
      <c r="S99" s="3833"/>
      <c r="T99" s="3834"/>
      <c r="U99" s="3834"/>
      <c r="V99" s="3834"/>
      <c r="W99" s="3835"/>
      <c r="X99" s="435"/>
      <c r="AA99" s="1818"/>
      <c r="AB99" s="435"/>
      <c r="AC99" s="435"/>
      <c r="AF99" s="1818"/>
      <c r="AG99" s="435"/>
      <c r="AH99" s="435"/>
      <c r="AK99" s="1818"/>
      <c r="AL99" s="435"/>
      <c r="AM99" s="435"/>
      <c r="AP99" s="1818"/>
      <c r="AQ99" s="435"/>
      <c r="AR99" s="436"/>
      <c r="AS99" s="436"/>
      <c r="AT99" s="436"/>
      <c r="AU99" s="436"/>
      <c r="AV99" s="436"/>
      <c r="AW99" s="436"/>
      <c r="AX99" s="435"/>
      <c r="AY99" s="432"/>
      <c r="BB99" s="436"/>
      <c r="BC99" s="435"/>
      <c r="BD99" s="432"/>
      <c r="LO99" s="434"/>
      <c r="MD99" s="430"/>
    </row>
    <row r="100" spans="1:342" ht="15" customHeight="1">
      <c r="A100" s="1198"/>
      <c r="B100" s="1198"/>
      <c r="C100" s="4"/>
      <c r="D100" s="1"/>
      <c r="E100" s="109"/>
      <c r="F100" s="1"/>
      <c r="G100" s="82"/>
      <c r="H100" s="163" t="s">
        <v>513</v>
      </c>
      <c r="I100" s="86"/>
      <c r="J100" s="82"/>
      <c r="K100" s="1179">
        <f>SUM(K93:K99)</f>
        <v>0</v>
      </c>
      <c r="L100" s="1179">
        <f>SUM(L93:L99)</f>
        <v>0</v>
      </c>
      <c r="M100" s="1179">
        <f>SUM(M93:M99)</f>
        <v>25</v>
      </c>
      <c r="N100" s="1179">
        <f>SUM(N93:N99)</f>
        <v>7</v>
      </c>
      <c r="O100" s="1179">
        <f>SUM(O93:O99)</f>
        <v>0</v>
      </c>
      <c r="P100" s="1179">
        <f t="shared" si="366"/>
        <v>32</v>
      </c>
      <c r="S100" s="3839"/>
      <c r="T100" s="3840"/>
      <c r="U100" s="3840"/>
      <c r="V100" s="3840"/>
      <c r="W100" s="3841"/>
      <c r="X100" s="1819"/>
      <c r="AA100" s="1818"/>
      <c r="AB100" s="435"/>
      <c r="AC100" s="1819"/>
      <c r="AF100" s="1818"/>
      <c r="AG100" s="435"/>
      <c r="AH100" s="1819"/>
      <c r="AK100" s="1818"/>
      <c r="AL100" s="435"/>
      <c r="AM100" s="1819"/>
      <c r="AP100" s="1818"/>
      <c r="AQ100" s="435"/>
      <c r="AR100" s="436"/>
      <c r="AS100" s="436"/>
      <c r="AT100" s="436"/>
      <c r="AU100" s="436"/>
      <c r="AV100" s="436"/>
      <c r="AW100" s="436"/>
      <c r="AX100" s="435"/>
      <c r="AY100" s="432"/>
      <c r="BB100" s="436"/>
      <c r="BC100" s="435"/>
      <c r="BD100" s="432"/>
      <c r="LO100" s="434"/>
      <c r="MD100" s="430"/>
    </row>
    <row r="101" spans="1:342" ht="9" customHeight="1" thickBot="1">
      <c r="A101" s="1198"/>
      <c r="B101" s="1198"/>
      <c r="C101" s="1"/>
      <c r="D101" s="1"/>
      <c r="E101" s="1"/>
      <c r="F101" s="1"/>
      <c r="G101" s="82"/>
      <c r="H101" s="109"/>
      <c r="I101" s="36"/>
      <c r="J101" s="82"/>
      <c r="K101" s="541"/>
      <c r="L101" s="541"/>
      <c r="M101" s="541"/>
      <c r="N101" s="541"/>
      <c r="O101" s="541"/>
      <c r="P101" s="541"/>
      <c r="T101" s="150"/>
      <c r="U101" s="396"/>
      <c r="X101" s="1818"/>
      <c r="AA101" s="1818"/>
      <c r="AB101" s="435"/>
      <c r="AC101" s="1818"/>
      <c r="AF101" s="1818"/>
      <c r="AG101" s="435"/>
      <c r="AH101" s="1818"/>
      <c r="AK101" s="1818"/>
      <c r="AL101" s="435"/>
      <c r="AM101" s="1818"/>
      <c r="AP101" s="1818"/>
      <c r="AQ101" s="435"/>
      <c r="AR101" s="1818"/>
      <c r="AS101" s="1818"/>
      <c r="AT101" s="1818"/>
      <c r="AU101" s="1818"/>
      <c r="AV101" s="1818"/>
      <c r="AW101" s="1818"/>
      <c r="AX101" s="577"/>
      <c r="AY101" s="432"/>
      <c r="BB101" s="1818"/>
      <c r="BC101" s="577"/>
      <c r="BD101" s="432"/>
      <c r="LO101" s="434"/>
      <c r="MD101" s="430"/>
    </row>
    <row r="102" spans="1:342" ht="14.45" customHeight="1" thickBot="1">
      <c r="A102" s="13" t="s">
        <v>710</v>
      </c>
      <c r="B102" s="13" t="s">
        <v>4055</v>
      </c>
      <c r="H102" s="89"/>
      <c r="L102" s="3842" t="str">
        <f>$L$53</f>
        <v>40% of Units at 60% of AMI</v>
      </c>
      <c r="M102" s="3843"/>
      <c r="N102" s="3843"/>
      <c r="O102" s="3844"/>
      <c r="P102" s="82"/>
      <c r="S102" s="10" t="str">
        <f>B102</f>
        <v>UNIT SUMMARY (Continued)</v>
      </c>
      <c r="T102" s="10"/>
      <c r="U102" s="10"/>
      <c r="V102" s="10"/>
      <c r="X102" s="577"/>
      <c r="AA102" s="577"/>
      <c r="AB102" s="577"/>
      <c r="AC102" s="577"/>
      <c r="AF102" s="577"/>
      <c r="AG102" s="577"/>
      <c r="AH102" s="577"/>
      <c r="AK102" s="577"/>
      <c r="AL102" s="577"/>
      <c r="AM102" s="577"/>
      <c r="AP102" s="577"/>
      <c r="AQ102" s="577"/>
      <c r="AR102" s="577"/>
      <c r="AS102" s="577"/>
      <c r="AT102" s="577"/>
      <c r="AU102" s="577"/>
      <c r="AV102" s="577"/>
      <c r="AW102" s="577"/>
      <c r="AX102" s="577"/>
      <c r="AY102" s="432"/>
      <c r="BB102" s="577"/>
      <c r="BC102" s="577"/>
      <c r="BD102" s="432"/>
      <c r="LO102" s="434"/>
      <c r="MD102" s="430"/>
    </row>
    <row r="103" spans="1:342" ht="9" customHeight="1">
      <c r="A103" s="13"/>
      <c r="B103" s="13"/>
      <c r="H103" s="89"/>
      <c r="P103" s="82"/>
      <c r="S103" s="265" t="str">
        <f>C104</f>
        <v>PHA Operating Subsidy-Assisted</v>
      </c>
      <c r="T103" s="395"/>
      <c r="U103" s="447"/>
      <c r="X103" s="577"/>
      <c r="AA103" s="577"/>
      <c r="AB103" s="577"/>
      <c r="AC103" s="577"/>
      <c r="AF103" s="577"/>
      <c r="AG103" s="577"/>
      <c r="AH103" s="577"/>
      <c r="AK103" s="577"/>
      <c r="AL103" s="577"/>
      <c r="AM103" s="577"/>
      <c r="AP103" s="577"/>
      <c r="AQ103" s="577"/>
      <c r="AR103" s="577"/>
      <c r="AS103" s="577"/>
      <c r="AT103" s="577"/>
      <c r="AU103" s="577"/>
      <c r="AV103" s="577"/>
      <c r="AW103" s="577"/>
      <c r="AX103" s="577"/>
      <c r="AY103" s="432"/>
      <c r="BB103" s="577"/>
      <c r="BC103" s="577"/>
      <c r="BD103" s="432"/>
      <c r="LO103" s="434"/>
      <c r="MD103" s="430"/>
    </row>
    <row r="104" spans="1:342" ht="15" customHeight="1">
      <c r="A104" s="1198"/>
      <c r="B104" s="1198"/>
      <c r="C104" s="403" t="s">
        <v>856</v>
      </c>
      <c r="D104" s="403"/>
      <c r="E104" s="403"/>
      <c r="F104" s="1"/>
      <c r="G104" s="82"/>
      <c r="H104" s="109" t="s">
        <v>3829</v>
      </c>
      <c r="I104" s="36"/>
      <c r="J104" s="82"/>
      <c r="K104" s="1209">
        <f>DY49</f>
        <v>0</v>
      </c>
      <c r="L104" s="1210">
        <f>DZ49</f>
        <v>0</v>
      </c>
      <c r="M104" s="1210">
        <f>EA49</f>
        <v>0</v>
      </c>
      <c r="N104" s="1210">
        <f>EB49</f>
        <v>0</v>
      </c>
      <c r="O104" s="1211">
        <f>EC49</f>
        <v>0</v>
      </c>
      <c r="P104" s="837">
        <f t="shared" ref="P104:P111" si="367">SUM(K104:O104)</f>
        <v>0</v>
      </c>
      <c r="S104" s="3854"/>
      <c r="T104" s="3855"/>
      <c r="U104" s="3855"/>
      <c r="V104" s="3855"/>
      <c r="W104" s="3856"/>
      <c r="X104" s="432"/>
      <c r="AA104" s="1818"/>
      <c r="AB104" s="435"/>
      <c r="AC104" s="432"/>
      <c r="AF104" s="1818"/>
      <c r="AG104" s="435"/>
      <c r="AH104" s="432"/>
      <c r="AK104" s="1818"/>
      <c r="AL104" s="435"/>
      <c r="AM104" s="432"/>
      <c r="AP104" s="1818"/>
      <c r="AQ104" s="435"/>
      <c r="AR104" s="436"/>
      <c r="AS104" s="436"/>
      <c r="AT104" s="436"/>
      <c r="AU104" s="436"/>
      <c r="AV104" s="436"/>
      <c r="AW104" s="436"/>
      <c r="AX104" s="435"/>
      <c r="AY104" s="432"/>
      <c r="BB104" s="436"/>
      <c r="BC104" s="435"/>
      <c r="BD104" s="432"/>
      <c r="LO104" s="434"/>
      <c r="MD104" s="430"/>
    </row>
    <row r="105" spans="1:342" ht="15" customHeight="1">
      <c r="A105" s="1198"/>
      <c r="B105" s="1198"/>
      <c r="C105" s="36" t="s">
        <v>2393</v>
      </c>
      <c r="D105" s="403"/>
      <c r="E105" s="403"/>
      <c r="F105" s="1"/>
      <c r="G105" s="82"/>
      <c r="H105" s="109" t="s">
        <v>3830</v>
      </c>
      <c r="I105" s="36"/>
      <c r="J105" s="82"/>
      <c r="K105" s="1212">
        <f>DT49</f>
        <v>0</v>
      </c>
      <c r="L105" s="1213">
        <f>DU49</f>
        <v>0</v>
      </c>
      <c r="M105" s="1213">
        <f>DV49</f>
        <v>0</v>
      </c>
      <c r="N105" s="1213">
        <f>DW49</f>
        <v>0</v>
      </c>
      <c r="O105" s="1214">
        <f>DX49</f>
        <v>0</v>
      </c>
      <c r="P105" s="833">
        <f t="shared" si="367"/>
        <v>0</v>
      </c>
      <c r="S105" s="3833"/>
      <c r="T105" s="3834"/>
      <c r="U105" s="3834"/>
      <c r="V105" s="3834"/>
      <c r="W105" s="3835"/>
      <c r="X105" s="432"/>
      <c r="AA105" s="1818"/>
      <c r="AB105" s="435"/>
      <c r="AC105" s="432"/>
      <c r="AF105" s="1818"/>
      <c r="AG105" s="435"/>
      <c r="AH105" s="432"/>
      <c r="AK105" s="1818"/>
      <c r="AL105" s="435"/>
      <c r="AM105" s="432"/>
      <c r="AP105" s="1818"/>
      <c r="AQ105" s="435"/>
      <c r="AR105" s="436"/>
      <c r="AS105" s="436"/>
      <c r="AT105" s="436"/>
      <c r="AU105" s="436"/>
      <c r="AV105" s="436"/>
      <c r="AW105" s="436"/>
      <c r="AX105" s="435"/>
      <c r="AY105" s="432"/>
      <c r="BB105" s="436"/>
      <c r="BC105" s="435"/>
      <c r="BD105" s="432"/>
      <c r="LO105" s="434"/>
      <c r="MD105" s="430"/>
    </row>
    <row r="106" spans="1:342" ht="15" customHeight="1">
      <c r="A106" s="1198"/>
      <c r="B106" s="1198"/>
      <c r="C106" s="403"/>
      <c r="D106" s="403"/>
      <c r="E106" s="403"/>
      <c r="F106" s="1"/>
      <c r="G106" s="82"/>
      <c r="H106" s="109" t="s">
        <v>1107</v>
      </c>
      <c r="I106" s="36"/>
      <c r="J106" s="82"/>
      <c r="K106" s="1212">
        <f>DO49</f>
        <v>0</v>
      </c>
      <c r="L106" s="1213">
        <f>DP49</f>
        <v>0</v>
      </c>
      <c r="M106" s="1213">
        <f>DQ49</f>
        <v>0</v>
      </c>
      <c r="N106" s="1213">
        <f>DR49</f>
        <v>0</v>
      </c>
      <c r="O106" s="1214">
        <f>DS49</f>
        <v>0</v>
      </c>
      <c r="P106" s="833">
        <f t="shared" si="367"/>
        <v>0</v>
      </c>
      <c r="S106" s="3833"/>
      <c r="T106" s="3834"/>
      <c r="U106" s="3834"/>
      <c r="V106" s="3834"/>
      <c r="W106" s="3835"/>
      <c r="X106" s="432"/>
      <c r="AA106" s="1818"/>
      <c r="AB106" s="435"/>
      <c r="AC106" s="432"/>
      <c r="AF106" s="1818"/>
      <c r="AG106" s="435"/>
      <c r="AH106" s="432"/>
      <c r="AK106" s="1818"/>
      <c r="AL106" s="435"/>
      <c r="AM106" s="432"/>
      <c r="AP106" s="1818"/>
      <c r="AQ106" s="435"/>
      <c r="AR106" s="436"/>
      <c r="AS106" s="436"/>
      <c r="AT106" s="436"/>
      <c r="AU106" s="436"/>
      <c r="AV106" s="436"/>
      <c r="AW106" s="436"/>
      <c r="AX106" s="435"/>
      <c r="AY106" s="432"/>
      <c r="BB106" s="436"/>
      <c r="BC106" s="435"/>
      <c r="BD106" s="432"/>
      <c r="LO106" s="434"/>
      <c r="MD106" s="430"/>
    </row>
    <row r="107" spans="1:342" ht="15" customHeight="1">
      <c r="A107" s="1198"/>
      <c r="B107" s="1198"/>
      <c r="C107" s="403"/>
      <c r="D107" s="403"/>
      <c r="E107" s="403"/>
      <c r="F107" s="1"/>
      <c r="G107" s="82"/>
      <c r="H107" s="102" t="s">
        <v>111</v>
      </c>
      <c r="I107" s="52"/>
      <c r="J107" s="982"/>
      <c r="K107" s="1233">
        <f>DJ49</f>
        <v>0</v>
      </c>
      <c r="L107" s="1234">
        <f>DK49</f>
        <v>0</v>
      </c>
      <c r="M107" s="1234">
        <f>DL49</f>
        <v>0</v>
      </c>
      <c r="N107" s="1234">
        <f>DM49</f>
        <v>0</v>
      </c>
      <c r="O107" s="1235">
        <f>DN49</f>
        <v>0</v>
      </c>
      <c r="P107" s="542">
        <f t="shared" si="367"/>
        <v>0</v>
      </c>
      <c r="S107" s="3833"/>
      <c r="T107" s="3834"/>
      <c r="U107" s="3834"/>
      <c r="V107" s="3834"/>
      <c r="W107" s="3835"/>
      <c r="X107" s="432"/>
      <c r="AA107" s="1818"/>
      <c r="AB107" s="435"/>
      <c r="AC107" s="432"/>
      <c r="AF107" s="1818"/>
      <c r="AG107" s="435"/>
      <c r="AH107" s="432"/>
      <c r="AK107" s="1818"/>
      <c r="AL107" s="435"/>
      <c r="AM107" s="432"/>
      <c r="AP107" s="1818"/>
      <c r="AQ107" s="435"/>
      <c r="AR107" s="436"/>
      <c r="AS107" s="436"/>
      <c r="AT107" s="436"/>
      <c r="AU107" s="436"/>
      <c r="AV107" s="436"/>
      <c r="AW107" s="436"/>
      <c r="AX107" s="435"/>
      <c r="AY107" s="432"/>
      <c r="BB107" s="436"/>
      <c r="BC107" s="435"/>
      <c r="BD107" s="432"/>
      <c r="LO107" s="434"/>
      <c r="MD107" s="430"/>
    </row>
    <row r="108" spans="1:342" ht="15" customHeight="1">
      <c r="A108" s="1198"/>
      <c r="B108" s="1198"/>
      <c r="C108" s="403"/>
      <c r="D108" s="403"/>
      <c r="E108" s="403"/>
      <c r="F108" s="1"/>
      <c r="G108" s="82"/>
      <c r="H108" s="102" t="s">
        <v>3831</v>
      </c>
      <c r="I108" s="52"/>
      <c r="J108" s="982"/>
      <c r="K108" s="1212">
        <f>DE49</f>
        <v>0</v>
      </c>
      <c r="L108" s="1213">
        <f>DF49</f>
        <v>0</v>
      </c>
      <c r="M108" s="1213">
        <f>DG49</f>
        <v>0</v>
      </c>
      <c r="N108" s="1213">
        <f>DH49</f>
        <v>0</v>
      </c>
      <c r="O108" s="1214">
        <f>DI49</f>
        <v>0</v>
      </c>
      <c r="P108" s="833">
        <f t="shared" si="367"/>
        <v>0</v>
      </c>
      <c r="S108" s="3833"/>
      <c r="T108" s="3834"/>
      <c r="U108" s="3834"/>
      <c r="V108" s="3834"/>
      <c r="W108" s="3835"/>
      <c r="X108" s="432"/>
      <c r="AA108" s="1818"/>
      <c r="AB108" s="435"/>
      <c r="AC108" s="432"/>
      <c r="AF108" s="1818"/>
      <c r="AG108" s="435"/>
      <c r="AH108" s="432"/>
      <c r="AK108" s="1818"/>
      <c r="AL108" s="435"/>
      <c r="AM108" s="432"/>
      <c r="AP108" s="1818"/>
      <c r="AQ108" s="435"/>
      <c r="AR108" s="436"/>
      <c r="AS108" s="436"/>
      <c r="AT108" s="436"/>
      <c r="AU108" s="436"/>
      <c r="AV108" s="436"/>
      <c r="AW108" s="436"/>
      <c r="AX108" s="435"/>
      <c r="AY108" s="432"/>
      <c r="BB108" s="436"/>
      <c r="BC108" s="435"/>
      <c r="BD108" s="432"/>
      <c r="LO108" s="434"/>
      <c r="MD108" s="430"/>
    </row>
    <row r="109" spans="1:342" ht="15" customHeight="1">
      <c r="A109" s="1198"/>
      <c r="B109" s="1198"/>
      <c r="C109" s="403"/>
      <c r="D109" s="403"/>
      <c r="E109" s="403"/>
      <c r="F109" s="1"/>
      <c r="G109" s="82"/>
      <c r="H109" s="109" t="s">
        <v>3832</v>
      </c>
      <c r="I109" s="36"/>
      <c r="J109" s="82"/>
      <c r="K109" s="1212">
        <f>CZ49</f>
        <v>0</v>
      </c>
      <c r="L109" s="1213">
        <f>DA49</f>
        <v>0</v>
      </c>
      <c r="M109" s="1213">
        <f>DB49</f>
        <v>0</v>
      </c>
      <c r="N109" s="1213">
        <f>DC49</f>
        <v>0</v>
      </c>
      <c r="O109" s="1214">
        <f>DD49</f>
        <v>0</v>
      </c>
      <c r="P109" s="833">
        <f t="shared" si="367"/>
        <v>0</v>
      </c>
      <c r="S109" s="3833"/>
      <c r="T109" s="3834"/>
      <c r="U109" s="3834"/>
      <c r="V109" s="3834"/>
      <c r="W109" s="3835"/>
      <c r="X109" s="432"/>
      <c r="AA109" s="1818"/>
      <c r="AB109" s="435"/>
      <c r="AC109" s="432"/>
      <c r="AF109" s="1818"/>
      <c r="AG109" s="435"/>
      <c r="AH109" s="432"/>
      <c r="AK109" s="1818"/>
      <c r="AL109" s="435"/>
      <c r="AM109" s="432"/>
      <c r="AP109" s="1818"/>
      <c r="AQ109" s="435"/>
      <c r="AR109" s="436"/>
      <c r="AS109" s="436"/>
      <c r="AT109" s="436"/>
      <c r="AU109" s="436"/>
      <c r="AV109" s="436"/>
      <c r="AW109" s="436"/>
      <c r="AX109" s="435"/>
      <c r="AY109" s="432"/>
      <c r="BB109" s="436"/>
      <c r="BC109" s="435"/>
      <c r="BD109" s="432"/>
      <c r="LO109" s="434"/>
      <c r="MD109" s="430"/>
    </row>
    <row r="110" spans="1:342" ht="15" customHeight="1">
      <c r="A110" s="1198"/>
      <c r="B110" s="1198"/>
      <c r="C110" s="403"/>
      <c r="D110" s="403"/>
      <c r="E110" s="403"/>
      <c r="F110" s="1"/>
      <c r="G110" s="82"/>
      <c r="H110" s="109" t="s">
        <v>3833</v>
      </c>
      <c r="I110" s="36"/>
      <c r="J110" s="82"/>
      <c r="K110" s="1215">
        <f>CU49</f>
        <v>0</v>
      </c>
      <c r="L110" s="1216">
        <f>CV49</f>
        <v>0</v>
      </c>
      <c r="M110" s="1216">
        <f>CW49</f>
        <v>0</v>
      </c>
      <c r="N110" s="1216">
        <f>CX49</f>
        <v>0</v>
      </c>
      <c r="O110" s="1217">
        <f>CY49</f>
        <v>0</v>
      </c>
      <c r="P110" s="834">
        <f t="shared" si="367"/>
        <v>0</v>
      </c>
      <c r="S110" s="3833"/>
      <c r="T110" s="3834"/>
      <c r="U110" s="3834"/>
      <c r="V110" s="3834"/>
      <c r="W110" s="3835"/>
      <c r="X110" s="1820"/>
      <c r="AA110" s="1818"/>
      <c r="AB110" s="435"/>
      <c r="AC110" s="1820"/>
      <c r="AF110" s="1818"/>
      <c r="AG110" s="435"/>
      <c r="AH110" s="1820"/>
      <c r="AK110" s="1818"/>
      <c r="AL110" s="435"/>
      <c r="AM110" s="1820"/>
      <c r="AP110" s="1818"/>
      <c r="AQ110" s="435"/>
      <c r="AR110" s="436"/>
      <c r="AS110" s="436"/>
      <c r="AT110" s="436"/>
      <c r="AU110" s="436"/>
      <c r="AV110" s="436"/>
      <c r="AW110" s="436"/>
      <c r="AX110" s="435"/>
      <c r="AY110" s="432"/>
      <c r="BB110" s="436"/>
      <c r="BC110" s="435"/>
      <c r="BD110" s="432"/>
      <c r="LO110" s="434"/>
      <c r="MD110" s="430"/>
    </row>
    <row r="111" spans="1:342" ht="15" customHeight="1">
      <c r="A111" s="1198"/>
      <c r="B111" s="1198"/>
      <c r="C111" s="82"/>
      <c r="D111" s="1"/>
      <c r="E111" s="109"/>
      <c r="F111" s="1"/>
      <c r="G111" s="82"/>
      <c r="H111" s="163" t="s">
        <v>513</v>
      </c>
      <c r="I111" s="86"/>
      <c r="J111" s="82"/>
      <c r="K111" s="1179">
        <f>SUM(K104:K110)</f>
        <v>0</v>
      </c>
      <c r="L111" s="1179">
        <f>SUM(L104:L110)</f>
        <v>0</v>
      </c>
      <c r="M111" s="1179">
        <f>SUM(M104:M110)</f>
        <v>0</v>
      </c>
      <c r="N111" s="1179">
        <f>SUM(N104:N110)</f>
        <v>0</v>
      </c>
      <c r="O111" s="1179">
        <f>SUM(O104:O110)</f>
        <v>0</v>
      </c>
      <c r="P111" s="1179">
        <f t="shared" si="367"/>
        <v>0</v>
      </c>
      <c r="S111" s="3839"/>
      <c r="T111" s="3840"/>
      <c r="U111" s="3840"/>
      <c r="V111" s="3840"/>
      <c r="W111" s="3841"/>
      <c r="X111" s="1819"/>
      <c r="AA111" s="1818"/>
      <c r="AB111" s="435"/>
      <c r="AC111" s="1819"/>
      <c r="AF111" s="1818"/>
      <c r="AG111" s="435"/>
      <c r="AH111" s="1819"/>
      <c r="AK111" s="1818"/>
      <c r="AL111" s="435"/>
      <c r="AM111" s="1819"/>
      <c r="AP111" s="1818"/>
      <c r="AQ111" s="435"/>
      <c r="AR111" s="436"/>
      <c r="AS111" s="436"/>
      <c r="AT111" s="436"/>
      <c r="AU111" s="436"/>
      <c r="AV111" s="436"/>
      <c r="AW111" s="436"/>
      <c r="AX111" s="435"/>
      <c r="AY111" s="432"/>
      <c r="BB111" s="436"/>
      <c r="BC111" s="435"/>
      <c r="BD111" s="432"/>
      <c r="LO111" s="434"/>
      <c r="MD111" s="430"/>
    </row>
    <row r="112" spans="1:342" ht="9" customHeight="1">
      <c r="A112" s="1198"/>
      <c r="B112" s="1198"/>
      <c r="D112" s="547"/>
      <c r="E112" s="109"/>
      <c r="F112" s="1"/>
      <c r="G112" s="82"/>
      <c r="H112" s="109"/>
      <c r="I112" s="36"/>
      <c r="J112" s="82"/>
      <c r="K112" s="541"/>
      <c r="L112" s="541"/>
      <c r="M112" s="541"/>
      <c r="N112" s="541"/>
      <c r="O112" s="541"/>
      <c r="P112" s="541"/>
      <c r="S112" s="265" t="str">
        <f>C113</f>
        <v>Type of Construction Activity</v>
      </c>
      <c r="T112" s="150"/>
      <c r="U112" s="396"/>
      <c r="X112" s="1818"/>
      <c r="AA112" s="1818"/>
      <c r="AB112" s="435"/>
      <c r="AC112" s="1818"/>
      <c r="AF112" s="1818"/>
      <c r="AG112" s="435"/>
      <c r="AH112" s="1818"/>
      <c r="AK112" s="1818"/>
      <c r="AL112" s="435"/>
      <c r="AM112" s="1818"/>
      <c r="AP112" s="1818"/>
      <c r="AQ112" s="435"/>
      <c r="AR112" s="1818"/>
      <c r="AS112" s="1818"/>
      <c r="AT112" s="1818"/>
      <c r="AU112" s="1818"/>
      <c r="AV112" s="1818"/>
      <c r="AW112" s="1818"/>
      <c r="AX112" s="577"/>
      <c r="AY112" s="432"/>
      <c r="BB112" s="1818"/>
      <c r="BC112" s="577"/>
      <c r="BD112" s="432"/>
      <c r="LO112" s="434"/>
      <c r="MD112" s="430"/>
    </row>
    <row r="113" spans="1:342" ht="14.25" customHeight="1">
      <c r="A113" s="1198"/>
      <c r="B113" s="1198"/>
      <c r="C113" s="3838" t="s">
        <v>35</v>
      </c>
      <c r="D113" s="3838"/>
      <c r="E113" s="102" t="s">
        <v>2191</v>
      </c>
      <c r="F113" s="1"/>
      <c r="G113" s="82"/>
      <c r="H113" s="109" t="s">
        <v>1377</v>
      </c>
      <c r="I113" s="36"/>
      <c r="J113" s="82"/>
      <c r="K113" s="1200">
        <f>GG49</f>
        <v>0</v>
      </c>
      <c r="L113" s="1201">
        <f>GH49</f>
        <v>13</v>
      </c>
      <c r="M113" s="1201">
        <f>GI49</f>
        <v>34</v>
      </c>
      <c r="N113" s="1201">
        <f>GJ49</f>
        <v>17</v>
      </c>
      <c r="O113" s="1202">
        <f>GK49</f>
        <v>0</v>
      </c>
      <c r="P113" s="837">
        <f t="shared" ref="P113:P123" si="368">SUM(K113:O113)</f>
        <v>64</v>
      </c>
      <c r="S113" s="3854"/>
      <c r="T113" s="3855"/>
      <c r="U113" s="3855"/>
      <c r="V113" s="3855"/>
      <c r="W113" s="3856"/>
      <c r="X113" s="1818"/>
      <c r="AA113" s="1818"/>
      <c r="AB113" s="435"/>
      <c r="AC113" s="1818"/>
      <c r="AF113" s="1818"/>
      <c r="AG113" s="435"/>
      <c r="AH113" s="1818"/>
      <c r="AK113" s="1818"/>
      <c r="AL113" s="435"/>
      <c r="AM113" s="1818"/>
      <c r="AP113" s="1818"/>
      <c r="AQ113" s="435"/>
      <c r="AR113" s="436"/>
      <c r="AS113" s="436"/>
      <c r="AT113" s="436"/>
      <c r="AU113" s="436"/>
      <c r="AV113" s="436"/>
      <c r="AW113" s="436"/>
      <c r="AX113" s="577"/>
      <c r="BB113" s="436"/>
      <c r="BC113" s="577"/>
      <c r="JW113" s="430"/>
      <c r="KB113" s="430"/>
      <c r="KG113" s="430"/>
      <c r="KL113" s="430"/>
      <c r="KM113" s="430"/>
      <c r="KN113" s="430"/>
      <c r="KO113" s="430"/>
      <c r="KP113" s="430"/>
      <c r="KQ113" s="430"/>
      <c r="KR113" s="430"/>
      <c r="KS113" s="430"/>
      <c r="KT113" s="430"/>
      <c r="KU113" s="430"/>
      <c r="KV113" s="430"/>
      <c r="KW113" s="430"/>
      <c r="KX113" s="430"/>
      <c r="KY113" s="430"/>
      <c r="KZ113" s="430"/>
      <c r="LA113" s="430"/>
      <c r="LB113" s="430"/>
      <c r="LC113" s="430"/>
      <c r="LD113" s="430"/>
      <c r="LE113" s="430"/>
      <c r="LF113" s="430"/>
      <c r="LG113" s="430"/>
      <c r="LO113" s="434"/>
      <c r="MD113" s="430"/>
    </row>
    <row r="114" spans="1:342" ht="14.25" customHeight="1">
      <c r="A114" s="1198"/>
      <c r="B114" s="1198"/>
      <c r="C114" s="3838"/>
      <c r="D114" s="3838"/>
      <c r="E114" s="109"/>
      <c r="F114" s="1"/>
      <c r="G114" s="82"/>
      <c r="H114" s="109" t="s">
        <v>292</v>
      </c>
      <c r="I114" s="36"/>
      <c r="J114" s="82"/>
      <c r="K114" s="1206">
        <f>GL49</f>
        <v>0</v>
      </c>
      <c r="L114" s="1207">
        <f>GM49</f>
        <v>3</v>
      </c>
      <c r="M114" s="1207">
        <f>GN49</f>
        <v>2</v>
      </c>
      <c r="N114" s="1207">
        <f>GO49</f>
        <v>3</v>
      </c>
      <c r="O114" s="1208">
        <f>GP49</f>
        <v>0</v>
      </c>
      <c r="P114" s="834">
        <f t="shared" si="368"/>
        <v>8</v>
      </c>
      <c r="S114" s="3833"/>
      <c r="T114" s="3834"/>
      <c r="U114" s="3834"/>
      <c r="V114" s="3834"/>
      <c r="W114" s="3835"/>
      <c r="X114" s="1818"/>
      <c r="AA114" s="1818"/>
      <c r="AB114" s="435"/>
      <c r="AC114" s="1818"/>
      <c r="AF114" s="1818"/>
      <c r="AG114" s="435"/>
      <c r="AH114" s="1818"/>
      <c r="AK114" s="1818"/>
      <c r="AL114" s="435"/>
      <c r="AM114" s="1818"/>
      <c r="AP114" s="1818"/>
      <c r="AQ114" s="435"/>
      <c r="AR114" s="436"/>
      <c r="AS114" s="436"/>
      <c r="AT114" s="436"/>
      <c r="AU114" s="436"/>
      <c r="AV114" s="436"/>
      <c r="AW114" s="436"/>
      <c r="AX114" s="915"/>
      <c r="AY114" s="432"/>
      <c r="BB114" s="436"/>
      <c r="BC114" s="915"/>
      <c r="BD114" s="432"/>
      <c r="LO114" s="434"/>
      <c r="MD114" s="430"/>
    </row>
    <row r="115" spans="1:342" ht="14.25" customHeight="1">
      <c r="A115" s="1198"/>
      <c r="B115" s="1198"/>
      <c r="C115" s="3838"/>
      <c r="D115" s="3838"/>
      <c r="E115" s="109"/>
      <c r="F115" s="1"/>
      <c r="G115" s="82"/>
      <c r="H115" s="163" t="s">
        <v>29</v>
      </c>
      <c r="I115" s="86"/>
      <c r="J115" s="82"/>
      <c r="K115" s="1181">
        <f>SUM(K113:K114)+GQ49</f>
        <v>0</v>
      </c>
      <c r="L115" s="1181">
        <f>SUM(L113:L114)+GR49</f>
        <v>16</v>
      </c>
      <c r="M115" s="1181">
        <f>SUM(M113:M114)+GS49</f>
        <v>36</v>
      </c>
      <c r="N115" s="1181">
        <f>SUM(N113:N114)+GT49</f>
        <v>20</v>
      </c>
      <c r="O115" s="1181">
        <f>SUM(O113:O114)+GU49</f>
        <v>0</v>
      </c>
      <c r="P115" s="1181">
        <f t="shared" si="368"/>
        <v>72</v>
      </c>
      <c r="S115" s="3833"/>
      <c r="T115" s="3834"/>
      <c r="U115" s="3834"/>
      <c r="V115" s="3834"/>
      <c r="W115" s="3835"/>
      <c r="X115" s="1819"/>
      <c r="AA115" s="1818"/>
      <c r="AB115" s="1820"/>
      <c r="AC115" s="1819"/>
      <c r="AF115" s="1818"/>
      <c r="AG115" s="1820"/>
      <c r="AH115" s="1819"/>
      <c r="AK115" s="1818"/>
      <c r="AL115" s="1820"/>
      <c r="AM115" s="1819"/>
      <c r="AP115" s="1818"/>
      <c r="AQ115" s="1820"/>
      <c r="AR115" s="436"/>
      <c r="AS115" s="436"/>
      <c r="AT115" s="436"/>
      <c r="AU115" s="436"/>
      <c r="AV115" s="436"/>
      <c r="AW115" s="436"/>
      <c r="AX115" s="435"/>
      <c r="AY115" s="432"/>
      <c r="BB115" s="436"/>
      <c r="BC115" s="435"/>
      <c r="BD115" s="432"/>
      <c r="LO115" s="434"/>
      <c r="MD115" s="430"/>
    </row>
    <row r="116" spans="1:342" ht="14.25" customHeight="1">
      <c r="A116" s="1198"/>
      <c r="B116" s="1198"/>
      <c r="C116" s="3838"/>
      <c r="D116" s="3838"/>
      <c r="E116" s="102" t="s">
        <v>2042</v>
      </c>
      <c r="F116" s="1"/>
      <c r="G116" s="82"/>
      <c r="H116" s="109" t="s">
        <v>1377</v>
      </c>
      <c r="I116" s="36"/>
      <c r="J116" s="82"/>
      <c r="K116" s="1200">
        <f>GV49</f>
        <v>0</v>
      </c>
      <c r="L116" s="1201">
        <f>GW49</f>
        <v>0</v>
      </c>
      <c r="M116" s="1201">
        <f>GX49</f>
        <v>0</v>
      </c>
      <c r="N116" s="1201">
        <f>GY49</f>
        <v>0</v>
      </c>
      <c r="O116" s="1202">
        <f>GZ49</f>
        <v>0</v>
      </c>
      <c r="P116" s="837">
        <f t="shared" si="368"/>
        <v>0</v>
      </c>
      <c r="S116" s="3833"/>
      <c r="T116" s="3834"/>
      <c r="U116" s="3834"/>
      <c r="V116" s="3834"/>
      <c r="W116" s="3835"/>
      <c r="X116" s="1818"/>
      <c r="AA116" s="1818"/>
      <c r="AB116" s="435"/>
      <c r="AC116" s="1818"/>
      <c r="AF116" s="1818"/>
      <c r="AG116" s="435"/>
      <c r="AH116" s="1818"/>
      <c r="AK116" s="1818"/>
      <c r="AL116" s="435"/>
      <c r="AM116" s="1818"/>
      <c r="AP116" s="1818"/>
      <c r="AQ116" s="435"/>
      <c r="AR116" s="436"/>
      <c r="AS116" s="436"/>
      <c r="AT116" s="436"/>
      <c r="AU116" s="436"/>
      <c r="AV116" s="436"/>
      <c r="AW116" s="436"/>
      <c r="AX116" s="577"/>
      <c r="BB116" s="436"/>
      <c r="BC116" s="577"/>
      <c r="JW116" s="430"/>
      <c r="KB116" s="430"/>
      <c r="KG116" s="430"/>
      <c r="KL116" s="430"/>
      <c r="KM116" s="430"/>
      <c r="KN116" s="430"/>
      <c r="KO116" s="430"/>
      <c r="KP116" s="430"/>
      <c r="KQ116" s="430"/>
      <c r="KR116" s="430"/>
      <c r="KS116" s="430"/>
      <c r="KT116" s="430"/>
      <c r="KU116" s="430"/>
      <c r="KV116" s="430"/>
      <c r="KW116" s="430"/>
      <c r="KX116" s="430"/>
      <c r="KY116" s="430"/>
      <c r="KZ116" s="430"/>
      <c r="LA116" s="430"/>
      <c r="LB116" s="430"/>
      <c r="LC116" s="430"/>
      <c r="LD116" s="430"/>
      <c r="LE116" s="430"/>
      <c r="LF116" s="430"/>
      <c r="LG116" s="430"/>
      <c r="LO116" s="434"/>
      <c r="MD116" s="430"/>
    </row>
    <row r="117" spans="1:342" ht="14.25" customHeight="1">
      <c r="A117" s="1198"/>
      <c r="B117" s="1198"/>
      <c r="C117" s="3838"/>
      <c r="D117" s="3838"/>
      <c r="E117" s="109"/>
      <c r="F117" s="1"/>
      <c r="G117" s="82"/>
      <c r="H117" s="109" t="s">
        <v>292</v>
      </c>
      <c r="I117" s="36"/>
      <c r="J117" s="82"/>
      <c r="K117" s="1206">
        <f>HA49</f>
        <v>0</v>
      </c>
      <c r="L117" s="1207">
        <f>HB49</f>
        <v>0</v>
      </c>
      <c r="M117" s="1207">
        <f>HC49</f>
        <v>0</v>
      </c>
      <c r="N117" s="1207">
        <f>HD49</f>
        <v>0</v>
      </c>
      <c r="O117" s="1208">
        <f>HE49</f>
        <v>0</v>
      </c>
      <c r="P117" s="834">
        <f t="shared" si="368"/>
        <v>0</v>
      </c>
      <c r="S117" s="3833"/>
      <c r="T117" s="3834"/>
      <c r="U117" s="3834"/>
      <c r="V117" s="3834"/>
      <c r="W117" s="3835"/>
      <c r="X117" s="1818"/>
      <c r="AA117" s="1818"/>
      <c r="AB117" s="435"/>
      <c r="AC117" s="1818"/>
      <c r="AF117" s="1818"/>
      <c r="AG117" s="435"/>
      <c r="AH117" s="1818"/>
      <c r="AK117" s="1818"/>
      <c r="AL117" s="435"/>
      <c r="AM117" s="1818"/>
      <c r="AP117" s="1818"/>
      <c r="AQ117" s="435"/>
      <c r="AR117" s="436"/>
      <c r="AS117" s="436"/>
      <c r="AT117" s="436"/>
      <c r="AU117" s="436"/>
      <c r="AV117" s="436"/>
      <c r="AW117" s="436"/>
      <c r="AX117" s="915"/>
      <c r="AY117" s="432"/>
      <c r="BB117" s="436"/>
      <c r="BC117" s="915"/>
      <c r="BD117" s="432"/>
      <c r="LO117" s="434"/>
      <c r="MD117" s="430"/>
    </row>
    <row r="118" spans="1:342" ht="14.25" customHeight="1">
      <c r="A118" s="1198"/>
      <c r="B118" s="1198"/>
      <c r="C118" s="3838"/>
      <c r="D118" s="3838"/>
      <c r="E118" s="109"/>
      <c r="F118" s="1"/>
      <c r="G118" s="82"/>
      <c r="H118" s="163" t="s">
        <v>29</v>
      </c>
      <c r="I118" s="86"/>
      <c r="J118" s="82"/>
      <c r="K118" s="1181">
        <f>SUM(K116:K117)+HF49</f>
        <v>0</v>
      </c>
      <c r="L118" s="1181">
        <f>SUM(L116:L117)+HG49</f>
        <v>0</v>
      </c>
      <c r="M118" s="1181">
        <f>SUM(M116:M117)+HH49</f>
        <v>0</v>
      </c>
      <c r="N118" s="1181">
        <f>SUM(N116:N117)+HI49</f>
        <v>0</v>
      </c>
      <c r="O118" s="1181">
        <f>SUM(O116:O117)+HJ49</f>
        <v>0</v>
      </c>
      <c r="P118" s="1181">
        <f t="shared" si="368"/>
        <v>0</v>
      </c>
      <c r="S118" s="3833"/>
      <c r="T118" s="3834"/>
      <c r="U118" s="3834"/>
      <c r="V118" s="3834"/>
      <c r="W118" s="3835"/>
      <c r="X118" s="1819"/>
      <c r="AA118" s="1818"/>
      <c r="AB118" s="1820"/>
      <c r="AC118" s="1819"/>
      <c r="AF118" s="1818"/>
      <c r="AG118" s="1820"/>
      <c r="AH118" s="1819"/>
      <c r="AK118" s="1818"/>
      <c r="AL118" s="1820"/>
      <c r="AM118" s="1819"/>
      <c r="AP118" s="1818"/>
      <c r="AQ118" s="1820"/>
      <c r="AR118" s="436"/>
      <c r="AS118" s="436"/>
      <c r="AT118" s="436"/>
      <c r="AU118" s="436"/>
      <c r="AV118" s="436"/>
      <c r="AW118" s="436"/>
      <c r="AX118" s="435"/>
      <c r="AY118" s="432"/>
      <c r="BB118" s="436"/>
      <c r="BC118" s="435"/>
      <c r="BD118" s="432"/>
      <c r="LO118" s="434"/>
      <c r="MD118" s="430"/>
    </row>
    <row r="119" spans="1:342" ht="14.25" customHeight="1">
      <c r="A119" s="1198"/>
      <c r="B119" s="1198"/>
      <c r="C119" s="792"/>
      <c r="D119" s="1"/>
      <c r="E119" s="3900" t="s">
        <v>1368</v>
      </c>
      <c r="F119" s="3900"/>
      <c r="G119" s="82"/>
      <c r="H119" s="109" t="s">
        <v>1377</v>
      </c>
      <c r="I119" s="36"/>
      <c r="J119" s="82"/>
      <c r="K119" s="1200">
        <f>HK49</f>
        <v>0</v>
      </c>
      <c r="L119" s="1201">
        <f>HL49</f>
        <v>0</v>
      </c>
      <c r="M119" s="1201">
        <f>HM49</f>
        <v>0</v>
      </c>
      <c r="N119" s="1201">
        <f>HN49</f>
        <v>0</v>
      </c>
      <c r="O119" s="1202">
        <f>HO49</f>
        <v>0</v>
      </c>
      <c r="P119" s="837">
        <f t="shared" si="368"/>
        <v>0</v>
      </c>
      <c r="S119" s="3833"/>
      <c r="T119" s="3834"/>
      <c r="U119" s="3834"/>
      <c r="V119" s="3834"/>
      <c r="W119" s="3835"/>
      <c r="X119" s="1818"/>
      <c r="AA119" s="1818"/>
      <c r="AB119" s="435"/>
      <c r="AC119" s="1818"/>
      <c r="AF119" s="1818"/>
      <c r="AG119" s="435"/>
      <c r="AH119" s="1818"/>
      <c r="AK119" s="1818"/>
      <c r="AL119" s="435"/>
      <c r="AM119" s="1818"/>
      <c r="AP119" s="1818"/>
      <c r="AQ119" s="435"/>
      <c r="AR119" s="436"/>
      <c r="AS119" s="436"/>
      <c r="AT119" s="436"/>
      <c r="AU119" s="436"/>
      <c r="AV119" s="436"/>
      <c r="AW119" s="436"/>
      <c r="AX119" s="577"/>
      <c r="BB119" s="436"/>
      <c r="BC119" s="577"/>
      <c r="JW119" s="430"/>
      <c r="KB119" s="430"/>
      <c r="KG119" s="430"/>
      <c r="KL119" s="430"/>
      <c r="KM119" s="430"/>
      <c r="KN119" s="430"/>
      <c r="KO119" s="430"/>
      <c r="KP119" s="430"/>
      <c r="KQ119" s="430"/>
      <c r="KR119" s="430"/>
      <c r="KS119" s="430"/>
      <c r="KT119" s="430"/>
      <c r="KU119" s="430"/>
      <c r="KV119" s="430"/>
      <c r="KW119" s="430"/>
      <c r="KX119" s="430"/>
      <c r="KY119" s="430"/>
      <c r="KZ119" s="430"/>
      <c r="LA119" s="430"/>
      <c r="LB119" s="430"/>
      <c r="LC119" s="430"/>
      <c r="LD119" s="430"/>
      <c r="LE119" s="430"/>
      <c r="LF119" s="430"/>
      <c r="LG119" s="430"/>
      <c r="LO119" s="434"/>
      <c r="MD119" s="430"/>
    </row>
    <row r="120" spans="1:342" ht="14.25" customHeight="1">
      <c r="A120" s="1198"/>
      <c r="B120" s="1198"/>
      <c r="C120" s="792"/>
      <c r="D120" s="1"/>
      <c r="E120" s="3900"/>
      <c r="F120" s="3900"/>
      <c r="G120" s="82"/>
      <c r="H120" s="109" t="s">
        <v>292</v>
      </c>
      <c r="I120" s="36"/>
      <c r="J120" s="82"/>
      <c r="K120" s="1206">
        <f>HP49</f>
        <v>0</v>
      </c>
      <c r="L120" s="1207">
        <f>HQ49</f>
        <v>0</v>
      </c>
      <c r="M120" s="1207">
        <f>HR49</f>
        <v>0</v>
      </c>
      <c r="N120" s="1207">
        <f>HS49</f>
        <v>0</v>
      </c>
      <c r="O120" s="1208">
        <f>HT49</f>
        <v>0</v>
      </c>
      <c r="P120" s="834">
        <f t="shared" si="368"/>
        <v>0</v>
      </c>
      <c r="S120" s="3833"/>
      <c r="T120" s="3834"/>
      <c r="U120" s="3834"/>
      <c r="V120" s="3834"/>
      <c r="W120" s="3835"/>
      <c r="X120" s="1818"/>
      <c r="AA120" s="1818"/>
      <c r="AB120" s="435"/>
      <c r="AC120" s="1818"/>
      <c r="AF120" s="1818"/>
      <c r="AG120" s="435"/>
      <c r="AH120" s="1818"/>
      <c r="AK120" s="1818"/>
      <c r="AL120" s="435"/>
      <c r="AM120" s="1818"/>
      <c r="AP120" s="1818"/>
      <c r="AQ120" s="435"/>
      <c r="AR120" s="436"/>
      <c r="AS120" s="436"/>
      <c r="AT120" s="436"/>
      <c r="AU120" s="436"/>
      <c r="AV120" s="436"/>
      <c r="AW120" s="436"/>
      <c r="AX120" s="915"/>
      <c r="AY120" s="432"/>
      <c r="BB120" s="436"/>
      <c r="BC120" s="915"/>
      <c r="BD120" s="432"/>
      <c r="LO120" s="434"/>
      <c r="MD120" s="430"/>
    </row>
    <row r="121" spans="1:342" ht="14.25" customHeight="1">
      <c r="A121" s="1198"/>
      <c r="B121" s="1198"/>
      <c r="C121" s="792"/>
      <c r="D121" s="1"/>
      <c r="E121" s="109"/>
      <c r="F121" s="1"/>
      <c r="G121" s="82"/>
      <c r="H121" s="163" t="s">
        <v>29</v>
      </c>
      <c r="I121" s="86"/>
      <c r="J121" s="82"/>
      <c r="K121" s="1181">
        <f>SUM(K119:K120)+HU49</f>
        <v>0</v>
      </c>
      <c r="L121" s="1181">
        <f>SUM(L119:L120)+HV49</f>
        <v>0</v>
      </c>
      <c r="M121" s="1181">
        <f>SUM(M119:M120)+HW49</f>
        <v>0</v>
      </c>
      <c r="N121" s="1181">
        <f>SUM(N119:N120)+HX49</f>
        <v>0</v>
      </c>
      <c r="O121" s="1181">
        <f>SUM(O119:O120)+HY49</f>
        <v>0</v>
      </c>
      <c r="P121" s="1181">
        <f t="shared" si="368"/>
        <v>0</v>
      </c>
      <c r="S121" s="3833"/>
      <c r="T121" s="3834"/>
      <c r="U121" s="3834"/>
      <c r="V121" s="3834"/>
      <c r="W121" s="3835"/>
      <c r="X121" s="1819"/>
      <c r="AA121" s="1818"/>
      <c r="AB121" s="1820"/>
      <c r="AC121" s="1819"/>
      <c r="AF121" s="1818"/>
      <c r="AG121" s="1820"/>
      <c r="AH121" s="1819"/>
      <c r="AK121" s="1818"/>
      <c r="AL121" s="1820"/>
      <c r="AM121" s="1819"/>
      <c r="AP121" s="1818"/>
      <c r="AQ121" s="1820"/>
      <c r="AR121" s="436"/>
      <c r="AS121" s="436"/>
      <c r="AT121" s="436"/>
      <c r="AU121" s="436"/>
      <c r="AV121" s="436"/>
      <c r="AW121" s="436"/>
      <c r="AX121" s="435"/>
      <c r="AY121" s="432"/>
      <c r="BB121" s="436"/>
      <c r="BC121" s="435"/>
      <c r="BD121" s="432"/>
      <c r="LO121" s="434"/>
      <c r="MD121" s="430"/>
    </row>
    <row r="122" spans="1:342" ht="14.25" customHeight="1">
      <c r="A122" s="1198"/>
      <c r="B122" s="1198"/>
      <c r="C122" s="792"/>
      <c r="D122" s="1"/>
      <c r="E122" s="109" t="s">
        <v>349</v>
      </c>
      <c r="F122" s="1"/>
      <c r="G122" s="170"/>
      <c r="H122" s="110"/>
      <c r="I122" s="82"/>
      <c r="J122" s="82"/>
      <c r="K122" s="2926"/>
      <c r="L122" s="2926"/>
      <c r="M122" s="2926"/>
      <c r="N122" s="2926"/>
      <c r="O122" s="2926"/>
      <c r="P122" s="539">
        <f t="shared" si="368"/>
        <v>0</v>
      </c>
      <c r="S122" s="3833"/>
      <c r="T122" s="3834"/>
      <c r="U122" s="3834"/>
      <c r="V122" s="3834"/>
      <c r="W122" s="3835"/>
      <c r="X122" s="1818"/>
      <c r="AA122" s="1818"/>
      <c r="AB122" s="435"/>
      <c r="AC122" s="1818"/>
      <c r="AF122" s="1818"/>
      <c r="AG122" s="435"/>
      <c r="AH122" s="1818"/>
      <c r="AK122" s="1818"/>
      <c r="AL122" s="435"/>
      <c r="AM122" s="1818"/>
      <c r="AP122" s="1818"/>
      <c r="AQ122" s="435"/>
      <c r="AR122" s="436"/>
      <c r="AS122" s="436"/>
      <c r="AT122" s="436"/>
      <c r="AU122" s="436"/>
      <c r="AV122" s="436"/>
      <c r="AW122" s="436"/>
      <c r="AX122" s="915"/>
      <c r="AY122" s="432"/>
      <c r="BB122" s="436"/>
      <c r="BC122" s="915"/>
      <c r="BD122" s="432"/>
      <c r="LO122" s="434"/>
      <c r="MD122" s="430"/>
    </row>
    <row r="123" spans="1:342" ht="14.25" customHeight="1">
      <c r="A123" s="3837" t="str">
        <f>IF(AND('Part IV-A-Uses of Funds'!$T$185="Yes",'Part IX Scoring Criteria'!$O$330&gt;0,P123&lt;1),"SHOW HISTORIC UNITS HERE &gt;&gt;&gt;&gt;","")</f>
        <v/>
      </c>
      <c r="B123" s="3837"/>
      <c r="C123" s="3837"/>
      <c r="D123" s="3837"/>
      <c r="E123" s="462" t="s">
        <v>3139</v>
      </c>
      <c r="F123" s="1"/>
      <c r="G123" s="170"/>
      <c r="H123" s="110"/>
      <c r="I123" s="82"/>
      <c r="J123" s="82"/>
      <c r="K123" s="2927"/>
      <c r="L123" s="2927"/>
      <c r="M123" s="2927"/>
      <c r="N123" s="2927"/>
      <c r="O123" s="2927"/>
      <c r="P123" s="540">
        <f t="shared" si="368"/>
        <v>0</v>
      </c>
      <c r="S123" s="3833"/>
      <c r="T123" s="3834"/>
      <c r="U123" s="3834"/>
      <c r="V123" s="3834"/>
      <c r="W123" s="3835"/>
      <c r="X123" s="1818"/>
      <c r="AA123" s="1818"/>
      <c r="AB123" s="435"/>
      <c r="AC123" s="1818"/>
      <c r="AF123" s="1818"/>
      <c r="AG123" s="435"/>
      <c r="AH123" s="1818"/>
      <c r="AK123" s="1818"/>
      <c r="AL123" s="435"/>
      <c r="AM123" s="1818"/>
      <c r="AP123" s="1818"/>
      <c r="AQ123" s="435"/>
      <c r="AR123" s="436"/>
      <c r="AS123" s="436"/>
      <c r="AT123" s="436"/>
      <c r="AU123" s="436"/>
      <c r="AV123" s="436"/>
      <c r="AW123" s="436"/>
      <c r="AX123" s="915"/>
      <c r="AY123" s="432"/>
      <c r="BB123" s="436"/>
      <c r="BC123" s="915"/>
      <c r="BD123" s="432"/>
      <c r="LO123" s="434"/>
      <c r="MD123" s="430"/>
    </row>
    <row r="124" spans="1:342" ht="9" customHeight="1">
      <c r="A124" s="917"/>
      <c r="B124" s="917"/>
      <c r="C124" s="917"/>
      <c r="D124" s="917"/>
      <c r="E124" s="462"/>
      <c r="F124" s="1"/>
      <c r="G124" s="170"/>
      <c r="H124" s="110"/>
      <c r="I124" s="82"/>
      <c r="J124" s="82"/>
      <c r="K124" s="36"/>
      <c r="L124" s="36"/>
      <c r="M124" s="36"/>
      <c r="N124" s="36"/>
      <c r="O124" s="36"/>
      <c r="P124" s="36"/>
      <c r="S124" s="3833"/>
      <c r="T124" s="3834"/>
      <c r="U124" s="3834"/>
      <c r="V124" s="3834"/>
      <c r="W124" s="3835"/>
      <c r="X124" s="1818"/>
      <c r="AA124" s="1818"/>
      <c r="AB124" s="435"/>
      <c r="AC124" s="1818"/>
      <c r="AF124" s="1818"/>
      <c r="AG124" s="435"/>
      <c r="AH124" s="1818"/>
      <c r="AK124" s="1818"/>
      <c r="AL124" s="435"/>
      <c r="AM124" s="1818"/>
      <c r="AP124" s="1818"/>
      <c r="AQ124" s="435"/>
      <c r="AR124" s="436"/>
      <c r="AS124" s="436"/>
      <c r="AT124" s="436"/>
      <c r="AU124" s="436"/>
      <c r="AV124" s="436"/>
      <c r="AW124" s="436"/>
      <c r="AX124" s="915"/>
      <c r="AY124" s="432"/>
      <c r="BB124" s="436"/>
      <c r="BC124" s="915"/>
      <c r="BD124" s="432"/>
      <c r="LO124" s="434"/>
      <c r="MD124" s="430"/>
    </row>
    <row r="125" spans="1:342" ht="14.25" customHeight="1">
      <c r="A125" s="917"/>
      <c r="B125" s="917"/>
      <c r="C125" s="917"/>
      <c r="D125" s="917"/>
      <c r="E125" s="109" t="s">
        <v>3116</v>
      </c>
      <c r="F125" s="1"/>
      <c r="G125" s="170"/>
      <c r="H125" s="110"/>
      <c r="I125" s="82"/>
      <c r="J125" s="82"/>
      <c r="K125" s="1218">
        <f>K129+K133+K137+K139+K141+K143</f>
        <v>0</v>
      </c>
      <c r="L125" s="1219">
        <f>L129+L133+L137+L139+L141+L143</f>
        <v>0</v>
      </c>
      <c r="M125" s="1219">
        <f>M129+M133+M137+M139+M141+M143</f>
        <v>0</v>
      </c>
      <c r="N125" s="1219">
        <f>N129+N133+N137+N139+N141+N143</f>
        <v>0</v>
      </c>
      <c r="O125" s="1220">
        <f>O129+O133+O137+O139+O141+O143</f>
        <v>0</v>
      </c>
      <c r="P125" s="548">
        <f>SUM(K125:O125)</f>
        <v>0</v>
      </c>
      <c r="S125" s="3839"/>
      <c r="T125" s="3840"/>
      <c r="U125" s="3840"/>
      <c r="V125" s="3840"/>
      <c r="W125" s="3841"/>
      <c r="X125" s="1818"/>
      <c r="AA125" s="1818"/>
      <c r="AB125" s="435"/>
      <c r="AC125" s="1818"/>
      <c r="AF125" s="1818"/>
      <c r="AG125" s="435"/>
      <c r="AH125" s="1818"/>
      <c r="AK125" s="1818"/>
      <c r="AL125" s="435"/>
      <c r="AM125" s="1818"/>
      <c r="AP125" s="1818"/>
      <c r="AQ125" s="435"/>
      <c r="AR125" s="436"/>
      <c r="AS125" s="436"/>
      <c r="AT125" s="436"/>
      <c r="AU125" s="436"/>
      <c r="AV125" s="436"/>
      <c r="AW125" s="436"/>
      <c r="AX125" s="915"/>
      <c r="AY125" s="432"/>
      <c r="BB125" s="436"/>
      <c r="BC125" s="915"/>
      <c r="BD125" s="432"/>
      <c r="LO125" s="434"/>
      <c r="MD125" s="430"/>
    </row>
    <row r="126" spans="1:342" ht="21" customHeight="1">
      <c r="D126" s="1"/>
      <c r="E126" s="109"/>
      <c r="F126" s="1"/>
      <c r="G126" s="170"/>
      <c r="H126" s="110"/>
      <c r="I126" s="82"/>
      <c r="J126" s="82"/>
      <c r="K126" s="541"/>
      <c r="L126" s="541"/>
      <c r="M126" s="541"/>
      <c r="N126" s="541"/>
      <c r="O126" s="541"/>
      <c r="P126" s="541"/>
      <c r="S126" s="265" t="str">
        <f>C127</f>
        <v xml:space="preserve">Building Type: (for Utility Allowance, Monitoring Fees, etc)
</v>
      </c>
      <c r="T126" s="150"/>
      <c r="U126" s="396"/>
      <c r="X126" s="432"/>
      <c r="AA126" s="432"/>
      <c r="AB126" s="435"/>
      <c r="AC126" s="432"/>
      <c r="AF126" s="432"/>
      <c r="AG126" s="435"/>
      <c r="AH126" s="432"/>
      <c r="AK126" s="432"/>
      <c r="AL126" s="435"/>
      <c r="AM126" s="432"/>
      <c r="AP126" s="432"/>
      <c r="AQ126" s="435"/>
      <c r="AR126" s="1818"/>
      <c r="AS126" s="1818"/>
      <c r="AT126" s="1818"/>
      <c r="AU126" s="1818"/>
      <c r="AV126" s="1818"/>
      <c r="AW126" s="1818"/>
      <c r="AX126" s="577"/>
      <c r="AY126" s="432"/>
      <c r="BB126" s="1818"/>
      <c r="BC126" s="577"/>
      <c r="BD126" s="432"/>
      <c r="LO126" s="434"/>
      <c r="MD126" s="430"/>
    </row>
    <row r="127" spans="1:342" ht="14.25" customHeight="1">
      <c r="C127" s="3903" t="s">
        <v>6819</v>
      </c>
      <c r="D127" s="3903"/>
      <c r="E127" s="978" t="s">
        <v>36</v>
      </c>
      <c r="F127" s="866"/>
      <c r="G127" s="979"/>
      <c r="H127" s="1504"/>
      <c r="I127" s="980"/>
      <c r="J127" s="981"/>
      <c r="K127" s="1221">
        <f t="shared" ref="K127:P127" si="369">SUM(K128:K135)</f>
        <v>0</v>
      </c>
      <c r="L127" s="1222">
        <f t="shared" si="369"/>
        <v>16</v>
      </c>
      <c r="M127" s="1222">
        <f t="shared" si="369"/>
        <v>36</v>
      </c>
      <c r="N127" s="1222">
        <f t="shared" si="369"/>
        <v>20</v>
      </c>
      <c r="O127" s="1223">
        <f t="shared" si="369"/>
        <v>0</v>
      </c>
      <c r="P127" s="1184">
        <f t="shared" si="369"/>
        <v>72</v>
      </c>
      <c r="S127" s="3854"/>
      <c r="T127" s="3855"/>
      <c r="U127" s="3855"/>
      <c r="V127" s="3855"/>
      <c r="W127" s="3856"/>
      <c r="X127" s="432"/>
      <c r="AA127" s="432"/>
      <c r="AB127" s="435"/>
      <c r="AC127" s="432"/>
      <c r="AF127" s="432"/>
      <c r="AG127" s="435"/>
      <c r="AH127" s="432"/>
      <c r="AK127" s="432"/>
      <c r="AL127" s="435"/>
      <c r="AM127" s="432"/>
      <c r="AP127" s="432"/>
      <c r="AQ127" s="435"/>
      <c r="AR127" s="436"/>
      <c r="AS127" s="436"/>
      <c r="AT127" s="436"/>
      <c r="AU127" s="436"/>
      <c r="AV127" s="436"/>
      <c r="AW127" s="436"/>
      <c r="AX127" s="577"/>
      <c r="BB127" s="436"/>
      <c r="BC127" s="577"/>
      <c r="JW127" s="430"/>
      <c r="KB127" s="430"/>
      <c r="KG127" s="430"/>
      <c r="KL127" s="430"/>
      <c r="KM127" s="430"/>
      <c r="KN127" s="430"/>
      <c r="KO127" s="430"/>
      <c r="KP127" s="430"/>
      <c r="KQ127" s="430"/>
      <c r="KR127" s="430"/>
      <c r="KS127" s="430"/>
      <c r="KT127" s="430"/>
      <c r="KU127" s="430"/>
      <c r="KV127" s="430"/>
      <c r="KW127" s="430"/>
      <c r="KX127" s="430"/>
      <c r="KY127" s="430"/>
      <c r="KZ127" s="430"/>
      <c r="LA127" s="430"/>
      <c r="LB127" s="430"/>
      <c r="LC127" s="430"/>
      <c r="LD127" s="430"/>
      <c r="LE127" s="430"/>
      <c r="LF127" s="430"/>
      <c r="LG127" s="430"/>
      <c r="LO127" s="434"/>
      <c r="MD127" s="430"/>
    </row>
    <row r="128" spans="1:342" ht="14.25" customHeight="1">
      <c r="C128" s="3904"/>
      <c r="D128" s="3904"/>
      <c r="E128" s="102"/>
      <c r="F128" s="5"/>
      <c r="G128" s="150"/>
      <c r="H128" s="1501" t="s">
        <v>6596</v>
      </c>
      <c r="I128" s="783"/>
      <c r="J128" s="982"/>
      <c r="K128" s="1203">
        <f>JS49</f>
        <v>0</v>
      </c>
      <c r="L128" s="1204">
        <f>JT49</f>
        <v>16</v>
      </c>
      <c r="M128" s="1204">
        <f>JU49</f>
        <v>36</v>
      </c>
      <c r="N128" s="1204">
        <f>JV49</f>
        <v>20</v>
      </c>
      <c r="O128" s="1205">
        <f>JW49</f>
        <v>0</v>
      </c>
      <c r="P128" s="833">
        <f t="shared" ref="P128:P143" si="370">SUM(K128:O128)</f>
        <v>72</v>
      </c>
      <c r="S128" s="3833"/>
      <c r="T128" s="3834"/>
      <c r="U128" s="3834"/>
      <c r="V128" s="3834"/>
      <c r="W128" s="3835"/>
      <c r="X128" s="432"/>
      <c r="AA128" s="432"/>
      <c r="AB128" s="435"/>
      <c r="AC128" s="432"/>
      <c r="AF128" s="432"/>
      <c r="AG128" s="435"/>
      <c r="AH128" s="432"/>
      <c r="AK128" s="432"/>
      <c r="AL128" s="435"/>
      <c r="AM128" s="432"/>
      <c r="AP128" s="432"/>
      <c r="AQ128" s="435"/>
      <c r="AR128" s="436"/>
      <c r="AS128" s="436"/>
      <c r="AT128" s="436"/>
      <c r="AU128" s="436"/>
      <c r="AV128" s="436"/>
      <c r="AW128" s="436"/>
      <c r="AX128" s="577"/>
      <c r="BB128" s="436"/>
      <c r="BC128" s="577"/>
      <c r="JW128" s="430"/>
      <c r="KB128" s="430"/>
      <c r="KG128" s="430"/>
      <c r="KL128" s="430"/>
      <c r="KM128" s="430"/>
      <c r="KN128" s="430"/>
      <c r="KO128" s="430"/>
      <c r="KP128" s="430"/>
      <c r="KQ128" s="430"/>
      <c r="KR128" s="430"/>
      <c r="KS128" s="430"/>
      <c r="KT128" s="430"/>
      <c r="KU128" s="430"/>
      <c r="KV128" s="430"/>
      <c r="KW128" s="430"/>
      <c r="KX128" s="430"/>
      <c r="KY128" s="430"/>
      <c r="KZ128" s="430"/>
      <c r="LA128" s="430"/>
      <c r="LB128" s="430"/>
      <c r="LC128" s="430"/>
      <c r="LD128" s="430"/>
      <c r="LE128" s="430"/>
      <c r="LF128" s="430"/>
      <c r="LG128" s="430"/>
      <c r="LO128" s="434"/>
      <c r="MD128" s="430"/>
    </row>
    <row r="129" spans="3:493" ht="14.25" customHeight="1">
      <c r="C129" s="3904"/>
      <c r="D129" s="3904"/>
      <c r="E129" s="102"/>
      <c r="F129" s="5"/>
      <c r="G129" s="150"/>
      <c r="H129" s="1505" t="s">
        <v>3116</v>
      </c>
      <c r="I129" s="94"/>
      <c r="J129" s="982"/>
      <c r="K129" s="1760">
        <f>KC49</f>
        <v>0</v>
      </c>
      <c r="L129" s="1761">
        <f>KD49</f>
        <v>0</v>
      </c>
      <c r="M129" s="1761">
        <f>KE49</f>
        <v>0</v>
      </c>
      <c r="N129" s="1761">
        <f>KF49</f>
        <v>0</v>
      </c>
      <c r="O129" s="1762">
        <f>KG49</f>
        <v>0</v>
      </c>
      <c r="P129" s="1772">
        <f t="shared" si="370"/>
        <v>0</v>
      </c>
      <c r="S129" s="3833"/>
      <c r="T129" s="3834"/>
      <c r="U129" s="3834"/>
      <c r="V129" s="3834"/>
      <c r="W129" s="3835"/>
      <c r="X129" s="432"/>
      <c r="AA129" s="432"/>
      <c r="AB129" s="435"/>
      <c r="AC129" s="432"/>
      <c r="AF129" s="432"/>
      <c r="AG129" s="435"/>
      <c r="AH129" s="432"/>
      <c r="AK129" s="432"/>
      <c r="AL129" s="435"/>
      <c r="AM129" s="432"/>
      <c r="AP129" s="432"/>
      <c r="AQ129" s="435"/>
      <c r="AR129" s="436"/>
      <c r="AS129" s="436"/>
      <c r="AT129" s="436"/>
      <c r="AU129" s="436"/>
      <c r="AV129" s="436"/>
      <c r="AW129" s="436"/>
      <c r="AX129" s="577"/>
      <c r="BB129" s="436"/>
      <c r="BC129" s="577"/>
      <c r="JW129" s="430"/>
      <c r="KB129" s="430"/>
      <c r="KG129" s="430"/>
      <c r="KL129" s="430"/>
      <c r="KM129" s="430"/>
      <c r="KN129" s="430"/>
      <c r="KO129" s="430"/>
      <c r="KP129" s="430"/>
      <c r="KQ129" s="430"/>
      <c r="KR129" s="430"/>
      <c r="KS129" s="430"/>
      <c r="KT129" s="430"/>
      <c r="KU129" s="430"/>
      <c r="KV129" s="430"/>
      <c r="KW129" s="430"/>
      <c r="KX129" s="430"/>
      <c r="KY129" s="430"/>
      <c r="KZ129" s="430"/>
      <c r="LA129" s="430"/>
      <c r="LB129" s="430"/>
      <c r="LC129" s="430"/>
      <c r="LD129" s="430"/>
      <c r="LE129" s="430"/>
      <c r="LF129" s="430"/>
      <c r="LG129" s="430"/>
      <c r="LO129" s="434"/>
      <c r="MD129" s="430"/>
    </row>
    <row r="130" spans="3:493" ht="14.25" customHeight="1">
      <c r="C130" s="3904"/>
      <c r="D130" s="3904"/>
      <c r="E130" s="102"/>
      <c r="F130" s="5"/>
      <c r="G130" s="150"/>
      <c r="H130" s="1501" t="s">
        <v>6806</v>
      </c>
      <c r="I130" s="783"/>
      <c r="J130" s="982"/>
      <c r="K130" s="1203">
        <f>JX49</f>
        <v>0</v>
      </c>
      <c r="L130" s="1204">
        <f>JY49</f>
        <v>0</v>
      </c>
      <c r="M130" s="1204">
        <f>JZ49</f>
        <v>0</v>
      </c>
      <c r="N130" s="1204">
        <f>KA49</f>
        <v>0</v>
      </c>
      <c r="O130" s="1205">
        <f>KB49</f>
        <v>0</v>
      </c>
      <c r="P130" s="833">
        <f t="shared" ref="P130:P135" si="371">SUM(K130:O130)</f>
        <v>0</v>
      </c>
      <c r="S130" s="3833"/>
      <c r="T130" s="3834"/>
      <c r="U130" s="3834"/>
      <c r="V130" s="3834"/>
      <c r="W130" s="3835"/>
      <c r="X130" s="432"/>
      <c r="AA130" s="432"/>
      <c r="AB130" s="435"/>
      <c r="AC130" s="432"/>
      <c r="AF130" s="432"/>
      <c r="AG130" s="435"/>
      <c r="AH130" s="432"/>
      <c r="AK130" s="432"/>
      <c r="AL130" s="435"/>
      <c r="AM130" s="432"/>
      <c r="AP130" s="432"/>
      <c r="AQ130" s="435"/>
      <c r="AR130" s="436"/>
      <c r="AS130" s="436"/>
      <c r="AT130" s="436"/>
      <c r="AU130" s="436"/>
      <c r="AV130" s="436"/>
      <c r="AW130" s="436"/>
      <c r="AX130" s="577"/>
      <c r="BB130" s="436"/>
      <c r="BC130" s="577"/>
      <c r="JW130" s="430"/>
      <c r="KB130" s="430"/>
      <c r="KG130" s="430"/>
      <c r="KL130" s="430"/>
      <c r="KM130" s="430"/>
      <c r="KN130" s="430"/>
      <c r="KO130" s="430"/>
      <c r="KP130" s="430"/>
      <c r="KQ130" s="430"/>
      <c r="KR130" s="430"/>
      <c r="KS130" s="430"/>
      <c r="KT130" s="430"/>
      <c r="KU130" s="430"/>
      <c r="KV130" s="430"/>
      <c r="KW130" s="430"/>
      <c r="KX130" s="430"/>
      <c r="KY130" s="430"/>
      <c r="KZ130" s="430"/>
      <c r="LA130" s="430"/>
      <c r="LB130" s="430"/>
      <c r="LC130" s="430"/>
      <c r="LD130" s="430"/>
      <c r="LE130" s="430"/>
      <c r="LF130" s="430"/>
      <c r="LG130" s="430"/>
      <c r="LO130" s="434"/>
      <c r="MD130" s="430"/>
    </row>
    <row r="131" spans="3:493" ht="14.25" customHeight="1">
      <c r="C131" s="3904"/>
      <c r="D131" s="3904"/>
      <c r="E131" s="102"/>
      <c r="F131" s="5"/>
      <c r="G131" s="150"/>
      <c r="H131" s="1505" t="s">
        <v>3116</v>
      </c>
      <c r="I131" s="94"/>
      <c r="J131" s="982"/>
      <c r="K131" s="1760">
        <f>KH49</f>
        <v>0</v>
      </c>
      <c r="L131" s="1761">
        <f>KI49</f>
        <v>0</v>
      </c>
      <c r="M131" s="1761">
        <f>KJ49</f>
        <v>0</v>
      </c>
      <c r="N131" s="1761">
        <f>KK49</f>
        <v>0</v>
      </c>
      <c r="O131" s="1762">
        <f>KL49</f>
        <v>0</v>
      </c>
      <c r="P131" s="1772">
        <f t="shared" si="371"/>
        <v>0</v>
      </c>
      <c r="S131" s="3833"/>
      <c r="T131" s="3834"/>
      <c r="U131" s="3834"/>
      <c r="V131" s="3834"/>
      <c r="W131" s="3835"/>
      <c r="X131" s="432"/>
      <c r="AA131" s="432"/>
      <c r="AB131" s="435"/>
      <c r="AC131" s="432"/>
      <c r="AF131" s="432"/>
      <c r="AG131" s="435"/>
      <c r="AH131" s="432"/>
      <c r="AK131" s="432"/>
      <c r="AL131" s="435"/>
      <c r="AM131" s="432"/>
      <c r="AP131" s="432"/>
      <c r="AQ131" s="435"/>
      <c r="AR131" s="436"/>
      <c r="AS131" s="436"/>
      <c r="AT131" s="436"/>
      <c r="AU131" s="436"/>
      <c r="AV131" s="436"/>
      <c r="AW131" s="436"/>
      <c r="AX131" s="577"/>
      <c r="BB131" s="436"/>
      <c r="BC131" s="577"/>
      <c r="JW131" s="430"/>
      <c r="KB131" s="430"/>
      <c r="KG131" s="430"/>
      <c r="KL131" s="430"/>
      <c r="KM131" s="430"/>
      <c r="KN131" s="430"/>
      <c r="KO131" s="430"/>
      <c r="KP131" s="430"/>
      <c r="KQ131" s="430"/>
      <c r="KR131" s="430"/>
      <c r="KS131" s="430"/>
      <c r="KT131" s="430"/>
      <c r="KU131" s="430"/>
      <c r="KV131" s="430"/>
      <c r="KW131" s="430"/>
      <c r="KX131" s="430"/>
      <c r="KY131" s="430"/>
      <c r="KZ131" s="430"/>
      <c r="LA131" s="430"/>
      <c r="LB131" s="430"/>
      <c r="LC131" s="430"/>
      <c r="LD131" s="430"/>
      <c r="LE131" s="430"/>
      <c r="LF131" s="430"/>
      <c r="LG131" s="430"/>
      <c r="LO131" s="434"/>
      <c r="MD131" s="430"/>
    </row>
    <row r="132" spans="3:493" ht="14.25" customHeight="1">
      <c r="C132" s="3904"/>
      <c r="D132" s="3904"/>
      <c r="E132" s="102"/>
      <c r="F132" s="1"/>
      <c r="G132" s="82"/>
      <c r="H132" s="1496" t="s">
        <v>6598</v>
      </c>
      <c r="I132" s="40"/>
      <c r="J132" s="82"/>
      <c r="K132" s="1227">
        <f>KM49</f>
        <v>0</v>
      </c>
      <c r="L132" s="1228">
        <f>KN49</f>
        <v>0</v>
      </c>
      <c r="M132" s="1228">
        <f>KO49</f>
        <v>0</v>
      </c>
      <c r="N132" s="1228">
        <f>KP49</f>
        <v>0</v>
      </c>
      <c r="O132" s="1229">
        <f>KQ49</f>
        <v>0</v>
      </c>
      <c r="P132" s="543">
        <f t="shared" si="371"/>
        <v>0</v>
      </c>
      <c r="S132" s="3833"/>
      <c r="T132" s="3834"/>
      <c r="U132" s="3834"/>
      <c r="V132" s="3834"/>
      <c r="W132" s="3835"/>
      <c r="X132" s="432"/>
      <c r="AA132" s="432"/>
      <c r="AB132" s="435"/>
      <c r="AC132" s="432"/>
      <c r="AF132" s="432"/>
      <c r="AG132" s="435"/>
      <c r="AH132" s="432"/>
      <c r="AK132" s="432"/>
      <c r="AL132" s="435"/>
      <c r="AM132" s="432"/>
      <c r="AP132" s="432"/>
      <c r="AQ132" s="435"/>
      <c r="AR132" s="436"/>
      <c r="AS132" s="436"/>
      <c r="AT132" s="436"/>
      <c r="AU132" s="436"/>
      <c r="AV132" s="436"/>
      <c r="AW132" s="436"/>
      <c r="AX132" s="577"/>
      <c r="BB132" s="436"/>
      <c r="BC132" s="577"/>
      <c r="JW132" s="430"/>
      <c r="KB132" s="430"/>
      <c r="KG132" s="430"/>
      <c r="KL132" s="430"/>
      <c r="KM132" s="430"/>
      <c r="KN132" s="430"/>
      <c r="KO132" s="430"/>
      <c r="KP132" s="430"/>
      <c r="KQ132" s="430"/>
      <c r="KR132" s="430"/>
      <c r="KS132" s="430"/>
      <c r="KT132" s="430"/>
      <c r="KU132" s="430"/>
      <c r="KV132" s="430"/>
      <c r="KW132" s="430"/>
      <c r="KX132" s="430"/>
      <c r="KY132" s="430"/>
      <c r="KZ132" s="430"/>
      <c r="LA132" s="430"/>
      <c r="LB132" s="430"/>
      <c r="LC132" s="430"/>
      <c r="LD132" s="430"/>
      <c r="LE132" s="430"/>
      <c r="LF132" s="430"/>
      <c r="LG132" s="430"/>
      <c r="LO132" s="434"/>
      <c r="MD132" s="430"/>
      <c r="ME132" s="430"/>
      <c r="NC132" s="82"/>
      <c r="ND132" s="82"/>
      <c r="NE132" s="82"/>
      <c r="NF132" s="82"/>
      <c r="NG132" s="82"/>
      <c r="NH132" s="82"/>
      <c r="NI132" s="82"/>
      <c r="NJ132" s="82"/>
      <c r="NK132" s="82"/>
      <c r="NL132" s="82"/>
      <c r="NM132" s="82"/>
      <c r="NN132" s="82"/>
      <c r="NO132" s="82"/>
      <c r="NQ132" s="82"/>
      <c r="NR132" s="82"/>
      <c r="NS132" s="82"/>
      <c r="NT132" s="82"/>
      <c r="NU132" s="82"/>
      <c r="NV132" s="82"/>
      <c r="NW132" s="82"/>
      <c r="NX132" s="82"/>
      <c r="NY132" s="82"/>
      <c r="NZ132" s="82"/>
      <c r="OA132" s="82"/>
      <c r="OB132" s="82"/>
      <c r="OC132" s="82"/>
      <c r="OD132" s="82"/>
      <c r="OE132" s="82"/>
      <c r="OF132" s="82"/>
      <c r="OG132" s="82"/>
      <c r="OH132" s="82"/>
      <c r="OI132" s="82"/>
      <c r="OJ132" s="82"/>
      <c r="OK132" s="82"/>
      <c r="OL132" s="82"/>
      <c r="OM132" s="82"/>
      <c r="ON132" s="82"/>
      <c r="OO132" s="82"/>
      <c r="OP132" s="82"/>
      <c r="OQ132" s="82"/>
      <c r="OR132" s="82"/>
      <c r="OS132" s="82"/>
      <c r="OT132" s="82"/>
      <c r="OU132" s="82"/>
      <c r="OV132" s="82"/>
      <c r="OW132" s="82"/>
      <c r="OX132" s="82"/>
      <c r="OY132" s="82"/>
      <c r="OZ132" s="82"/>
      <c r="PA132" s="82"/>
      <c r="PB132" s="82"/>
      <c r="PC132" s="82"/>
      <c r="PD132" s="82"/>
      <c r="PE132" s="82"/>
      <c r="PF132" s="82"/>
      <c r="PG132" s="82"/>
      <c r="PH132" s="82"/>
      <c r="PI132" s="82"/>
      <c r="PJ132" s="82"/>
      <c r="PK132" s="82"/>
      <c r="PL132" s="82"/>
      <c r="PM132" s="82"/>
      <c r="PN132" s="82"/>
      <c r="PO132" s="82"/>
      <c r="PP132" s="82"/>
      <c r="PQ132" s="82"/>
      <c r="PR132" s="82"/>
      <c r="PS132" s="82"/>
      <c r="PT132" s="82"/>
      <c r="PU132" s="82"/>
      <c r="PV132" s="82"/>
      <c r="PW132" s="82"/>
      <c r="PX132" s="82"/>
      <c r="PY132" s="82"/>
      <c r="PZ132" s="82"/>
      <c r="QA132" s="82"/>
      <c r="QB132" s="82"/>
      <c r="QC132" s="82"/>
      <c r="QD132" s="82"/>
      <c r="QE132" s="82"/>
      <c r="QF132" s="82"/>
      <c r="QG132" s="82"/>
      <c r="QH132" s="82"/>
      <c r="QI132" s="82"/>
      <c r="QJ132" s="82"/>
      <c r="QK132" s="82"/>
      <c r="QL132" s="82"/>
      <c r="QM132" s="82"/>
      <c r="QN132" s="82"/>
      <c r="QO132" s="82"/>
      <c r="QP132" s="82"/>
      <c r="QQ132" s="82"/>
      <c r="QR132" s="82"/>
      <c r="QS132" s="82"/>
      <c r="QT132" s="82"/>
      <c r="QU132" s="82"/>
      <c r="QV132" s="82"/>
      <c r="QW132" s="82"/>
      <c r="QX132" s="82"/>
      <c r="QY132" s="82"/>
      <c r="QZ132" s="82"/>
      <c r="RA132" s="82"/>
      <c r="RB132" s="82"/>
      <c r="RC132" s="82"/>
      <c r="RD132" s="82"/>
      <c r="RE132" s="82"/>
      <c r="RF132" s="82"/>
      <c r="RG132" s="82"/>
      <c r="RH132" s="82"/>
      <c r="RI132" s="82"/>
      <c r="RJ132" s="82"/>
      <c r="RK132" s="82"/>
      <c r="RL132" s="82"/>
      <c r="RM132" s="82"/>
      <c r="RN132" s="82"/>
      <c r="RO132" s="82"/>
      <c r="RP132" s="82"/>
      <c r="RQ132" s="82"/>
      <c r="RR132" s="82"/>
      <c r="RS132" s="82"/>
      <c r="RT132" s="82"/>
      <c r="RU132" s="82"/>
      <c r="RV132" s="82"/>
      <c r="RW132" s="82"/>
      <c r="RX132" s="82"/>
      <c r="RY132" s="82"/>
    </row>
    <row r="133" spans="3:493" ht="14.25" customHeight="1">
      <c r="C133" s="3904"/>
      <c r="D133" s="3904"/>
      <c r="E133" s="102"/>
      <c r="F133" s="1"/>
      <c r="G133" s="82"/>
      <c r="H133" s="1506" t="s">
        <v>3116</v>
      </c>
      <c r="I133" s="780"/>
      <c r="J133" s="82"/>
      <c r="K133" s="1768">
        <f>KW49</f>
        <v>0</v>
      </c>
      <c r="L133" s="1769">
        <f>KX49</f>
        <v>0</v>
      </c>
      <c r="M133" s="1769">
        <f>KY49</f>
        <v>0</v>
      </c>
      <c r="N133" s="1769">
        <f>KZ49</f>
        <v>0</v>
      </c>
      <c r="O133" s="1770">
        <f>LA49</f>
        <v>0</v>
      </c>
      <c r="P133" s="1771">
        <f t="shared" si="371"/>
        <v>0</v>
      </c>
      <c r="S133" s="3833"/>
      <c r="T133" s="3834"/>
      <c r="U133" s="3834"/>
      <c r="V133" s="3834"/>
      <c r="W133" s="3835"/>
      <c r="X133" s="432"/>
      <c r="AA133" s="432"/>
      <c r="AB133" s="435"/>
      <c r="AC133" s="432"/>
      <c r="AF133" s="432"/>
      <c r="AG133" s="435"/>
      <c r="AH133" s="432"/>
      <c r="AK133" s="432"/>
      <c r="AL133" s="435"/>
      <c r="AM133" s="432"/>
      <c r="AP133" s="432"/>
      <c r="AQ133" s="435"/>
      <c r="AR133" s="436"/>
      <c r="AS133" s="436"/>
      <c r="AT133" s="436"/>
      <c r="AU133" s="436"/>
      <c r="AV133" s="436"/>
      <c r="AW133" s="436"/>
      <c r="AX133" s="577"/>
      <c r="BB133" s="436"/>
      <c r="BC133" s="577"/>
      <c r="JW133" s="430"/>
      <c r="KB133" s="430"/>
      <c r="KG133" s="430"/>
      <c r="KL133" s="430"/>
      <c r="KM133" s="430"/>
      <c r="KN133" s="430"/>
      <c r="KO133" s="430"/>
      <c r="KP133" s="430"/>
      <c r="KQ133" s="430"/>
      <c r="KR133" s="430"/>
      <c r="KS133" s="430"/>
      <c r="KT133" s="430"/>
      <c r="KU133" s="430"/>
      <c r="KV133" s="430"/>
      <c r="KW133" s="430"/>
      <c r="KX133" s="430"/>
      <c r="KY133" s="430"/>
      <c r="KZ133" s="430"/>
      <c r="LA133" s="430"/>
      <c r="LB133" s="430"/>
      <c r="LC133" s="430"/>
      <c r="LD133" s="430"/>
      <c r="LE133" s="430"/>
      <c r="LF133" s="430"/>
      <c r="LG133" s="430"/>
      <c r="LO133" s="434"/>
      <c r="MD133" s="430"/>
      <c r="ME133" s="430"/>
      <c r="NC133" s="82"/>
      <c r="ND133" s="82"/>
      <c r="NE133" s="82"/>
      <c r="NF133" s="82"/>
      <c r="NG133" s="82"/>
      <c r="NH133" s="82"/>
      <c r="NI133" s="82"/>
      <c r="NJ133" s="82"/>
      <c r="NK133" s="82"/>
      <c r="NL133" s="82"/>
      <c r="NM133" s="82"/>
      <c r="NN133" s="82"/>
      <c r="NO133" s="82"/>
      <c r="NQ133" s="82"/>
      <c r="NR133" s="82"/>
      <c r="NS133" s="82"/>
      <c r="NT133" s="82"/>
      <c r="NU133" s="82"/>
      <c r="NV133" s="82"/>
      <c r="NW133" s="82"/>
      <c r="NX133" s="82"/>
      <c r="NY133" s="82"/>
      <c r="NZ133" s="82"/>
      <c r="OA133" s="82"/>
      <c r="OB133" s="82"/>
      <c r="OC133" s="82"/>
      <c r="OD133" s="82"/>
      <c r="OE133" s="82"/>
      <c r="OF133" s="82"/>
      <c r="OG133" s="82"/>
      <c r="OH133" s="82"/>
      <c r="OI133" s="82"/>
      <c r="OJ133" s="82"/>
      <c r="OK133" s="82"/>
      <c r="OL133" s="82"/>
      <c r="OM133" s="82"/>
      <c r="ON133" s="82"/>
      <c r="OO133" s="82"/>
      <c r="OP133" s="82"/>
      <c r="OQ133" s="82"/>
      <c r="OR133" s="82"/>
      <c r="OS133" s="82"/>
      <c r="OT133" s="82"/>
      <c r="OU133" s="82"/>
      <c r="OV133" s="82"/>
      <c r="OW133" s="82"/>
      <c r="OX133" s="82"/>
      <c r="OY133" s="82"/>
      <c r="OZ133" s="82"/>
      <c r="PA133" s="82"/>
      <c r="PB133" s="82"/>
      <c r="PC133" s="82"/>
      <c r="PD133" s="82"/>
      <c r="PE133" s="82"/>
      <c r="PF133" s="82"/>
      <c r="PG133" s="82"/>
      <c r="PH133" s="82"/>
      <c r="PI133" s="82"/>
      <c r="PJ133" s="82"/>
      <c r="PK133" s="82"/>
      <c r="PL133" s="82"/>
      <c r="PM133" s="82"/>
      <c r="PN133" s="82"/>
      <c r="PO133" s="82"/>
      <c r="PP133" s="82"/>
      <c r="PQ133" s="82"/>
      <c r="PR133" s="82"/>
      <c r="PS133" s="82"/>
      <c r="PT133" s="82"/>
      <c r="PU133" s="82"/>
      <c r="PV133" s="82"/>
      <c r="PW133" s="82"/>
      <c r="PX133" s="82"/>
      <c r="PY133" s="82"/>
      <c r="PZ133" s="82"/>
      <c r="QA133" s="82"/>
      <c r="QB133" s="82"/>
      <c r="QC133" s="82"/>
      <c r="QD133" s="82"/>
      <c r="QE133" s="82"/>
      <c r="QF133" s="82"/>
      <c r="QG133" s="82"/>
      <c r="QH133" s="82"/>
      <c r="QI133" s="82"/>
      <c r="QJ133" s="82"/>
      <c r="QK133" s="82"/>
      <c r="QL133" s="82"/>
      <c r="QM133" s="82"/>
      <c r="QN133" s="82"/>
      <c r="QO133" s="82"/>
      <c r="QP133" s="82"/>
      <c r="QQ133" s="82"/>
      <c r="QR133" s="82"/>
      <c r="QS133" s="82"/>
      <c r="QT133" s="82"/>
      <c r="QU133" s="82"/>
      <c r="QV133" s="82"/>
      <c r="QW133" s="82"/>
      <c r="QX133" s="82"/>
      <c r="QY133" s="82"/>
      <c r="QZ133" s="82"/>
      <c r="RA133" s="82"/>
      <c r="RB133" s="82"/>
      <c r="RC133" s="82"/>
      <c r="RD133" s="82"/>
      <c r="RE133" s="82"/>
      <c r="RF133" s="82"/>
      <c r="RG133" s="82"/>
      <c r="RH133" s="82"/>
      <c r="RI133" s="82"/>
      <c r="RJ133" s="82"/>
      <c r="RK133" s="82"/>
      <c r="RL133" s="82"/>
      <c r="RM133" s="82"/>
      <c r="RN133" s="82"/>
      <c r="RO133" s="82"/>
      <c r="RP133" s="82"/>
      <c r="RQ133" s="82"/>
      <c r="RR133" s="82"/>
      <c r="RS133" s="82"/>
      <c r="RT133" s="82"/>
      <c r="RU133" s="82"/>
      <c r="RV133" s="82"/>
      <c r="RW133" s="82"/>
      <c r="RX133" s="82"/>
      <c r="RY133" s="82"/>
    </row>
    <row r="134" spans="3:493" ht="14.25" customHeight="1">
      <c r="C134" s="3904"/>
      <c r="D134" s="3904"/>
      <c r="E134" s="102"/>
      <c r="F134" s="1"/>
      <c r="G134" s="82"/>
      <c r="H134" s="1496" t="s">
        <v>6813</v>
      </c>
      <c r="I134" s="40"/>
      <c r="J134" s="82"/>
      <c r="K134" s="1227">
        <f>KR49</f>
        <v>0</v>
      </c>
      <c r="L134" s="1228">
        <f>KS49</f>
        <v>0</v>
      </c>
      <c r="M134" s="1228">
        <f>KT49</f>
        <v>0</v>
      </c>
      <c r="N134" s="1228">
        <f>KU49</f>
        <v>0</v>
      </c>
      <c r="O134" s="1229">
        <f>KV49</f>
        <v>0</v>
      </c>
      <c r="P134" s="543">
        <f t="shared" si="371"/>
        <v>0</v>
      </c>
      <c r="S134" s="3833"/>
      <c r="T134" s="3834"/>
      <c r="U134" s="3834"/>
      <c r="V134" s="3834"/>
      <c r="W134" s="3835"/>
      <c r="X134" s="432"/>
      <c r="AA134" s="432"/>
      <c r="AB134" s="435"/>
      <c r="AC134" s="432"/>
      <c r="AF134" s="432"/>
      <c r="AG134" s="435"/>
      <c r="AH134" s="432"/>
      <c r="AK134" s="432"/>
      <c r="AL134" s="435"/>
      <c r="AM134" s="432"/>
      <c r="AP134" s="432"/>
      <c r="AQ134" s="435"/>
      <c r="AR134" s="436"/>
      <c r="AS134" s="436"/>
      <c r="AT134" s="436"/>
      <c r="AU134" s="436"/>
      <c r="AV134" s="436"/>
      <c r="AW134" s="436"/>
      <c r="AX134" s="577"/>
      <c r="BB134" s="436"/>
      <c r="BC134" s="577"/>
      <c r="JW134" s="430"/>
      <c r="KB134" s="430"/>
      <c r="KG134" s="430"/>
      <c r="KL134" s="430"/>
      <c r="KM134" s="430"/>
      <c r="KN134" s="430"/>
      <c r="KO134" s="430"/>
      <c r="KP134" s="430"/>
      <c r="KQ134" s="430"/>
      <c r="KR134" s="430"/>
      <c r="KS134" s="430"/>
      <c r="KT134" s="430"/>
      <c r="KU134" s="430"/>
      <c r="KV134" s="430"/>
      <c r="KW134" s="430"/>
      <c r="KX134" s="430"/>
      <c r="KY134" s="430"/>
      <c r="KZ134" s="430"/>
      <c r="LA134" s="430"/>
      <c r="LB134" s="430"/>
      <c r="LC134" s="430"/>
      <c r="LD134" s="430"/>
      <c r="LE134" s="430"/>
      <c r="LF134" s="430"/>
      <c r="LG134" s="430"/>
      <c r="LO134" s="434"/>
      <c r="MD134" s="430"/>
      <c r="ME134" s="430"/>
      <c r="NC134" s="82"/>
      <c r="ND134" s="82"/>
      <c r="NE134" s="82"/>
      <c r="NF134" s="82"/>
      <c r="NG134" s="82"/>
      <c r="NH134" s="82"/>
      <c r="NI134" s="82"/>
      <c r="NJ134" s="82"/>
      <c r="NK134" s="82"/>
      <c r="NL134" s="82"/>
      <c r="NM134" s="82"/>
      <c r="NN134" s="82"/>
      <c r="NO134" s="82"/>
      <c r="NQ134" s="82"/>
      <c r="NR134" s="82"/>
      <c r="NS134" s="82"/>
      <c r="NT134" s="82"/>
      <c r="NU134" s="82"/>
      <c r="NV134" s="82"/>
      <c r="NW134" s="82"/>
      <c r="NX134" s="82"/>
      <c r="NY134" s="82"/>
      <c r="NZ134" s="82"/>
      <c r="OA134" s="82"/>
      <c r="OB134" s="82"/>
      <c r="OC134" s="82"/>
      <c r="OD134" s="82"/>
      <c r="OE134" s="82"/>
      <c r="OF134" s="82"/>
      <c r="OG134" s="82"/>
      <c r="OH134" s="82"/>
      <c r="OI134" s="82"/>
      <c r="OJ134" s="82"/>
      <c r="OK134" s="82"/>
      <c r="OL134" s="82"/>
      <c r="OM134" s="82"/>
      <c r="ON134" s="82"/>
      <c r="OO134" s="82"/>
      <c r="OP134" s="82"/>
      <c r="OQ134" s="82"/>
      <c r="OR134" s="82"/>
      <c r="OS134" s="82"/>
      <c r="OT134" s="82"/>
      <c r="OU134" s="82"/>
      <c r="OV134" s="82"/>
      <c r="OW134" s="82"/>
      <c r="OX134" s="82"/>
      <c r="OY134" s="82"/>
      <c r="OZ134" s="82"/>
      <c r="PA134" s="82"/>
      <c r="PB134" s="82"/>
      <c r="PC134" s="82"/>
      <c r="PD134" s="82"/>
      <c r="PE134" s="82"/>
      <c r="PF134" s="82"/>
      <c r="PG134" s="82"/>
      <c r="PH134" s="82"/>
      <c r="PI134" s="82"/>
      <c r="PJ134" s="82"/>
      <c r="PK134" s="82"/>
      <c r="PL134" s="82"/>
      <c r="PM134" s="82"/>
      <c r="PN134" s="82"/>
      <c r="PO134" s="82"/>
      <c r="PP134" s="82"/>
      <c r="PQ134" s="82"/>
      <c r="PR134" s="82"/>
      <c r="PS134" s="82"/>
      <c r="PT134" s="82"/>
      <c r="PU134" s="82"/>
      <c r="PV134" s="82"/>
      <c r="PW134" s="82"/>
      <c r="PX134" s="82"/>
      <c r="PY134" s="82"/>
      <c r="PZ134" s="82"/>
      <c r="QA134" s="82"/>
      <c r="QB134" s="82"/>
      <c r="QC134" s="82"/>
      <c r="QD134" s="82"/>
      <c r="QE134" s="82"/>
      <c r="QF134" s="82"/>
      <c r="QG134" s="82"/>
      <c r="QH134" s="82"/>
      <c r="QI134" s="82"/>
      <c r="QJ134" s="82"/>
      <c r="QK134" s="82"/>
      <c r="QL134" s="82"/>
      <c r="QM134" s="82"/>
      <c r="QN134" s="82"/>
      <c r="QO134" s="82"/>
      <c r="QP134" s="82"/>
      <c r="QQ134" s="82"/>
      <c r="QR134" s="82"/>
      <c r="QS134" s="82"/>
      <c r="QT134" s="82"/>
      <c r="QU134" s="82"/>
      <c r="QV134" s="82"/>
      <c r="QW134" s="82"/>
      <c r="QX134" s="82"/>
      <c r="QY134" s="82"/>
      <c r="QZ134" s="82"/>
      <c r="RA134" s="82"/>
      <c r="RB134" s="82"/>
      <c r="RC134" s="82"/>
      <c r="RD134" s="82"/>
      <c r="RE134" s="82"/>
      <c r="RF134" s="82"/>
      <c r="RG134" s="82"/>
      <c r="RH134" s="82"/>
      <c r="RI134" s="82"/>
      <c r="RJ134" s="82"/>
      <c r="RK134" s="82"/>
      <c r="RL134" s="82"/>
      <c r="RM134" s="82"/>
      <c r="RN134" s="82"/>
      <c r="RO134" s="82"/>
      <c r="RP134" s="82"/>
      <c r="RQ134" s="82"/>
      <c r="RR134" s="82"/>
      <c r="RS134" s="82"/>
      <c r="RT134" s="82"/>
      <c r="RU134" s="82"/>
      <c r="RV134" s="82"/>
      <c r="RW134" s="82"/>
      <c r="RX134" s="82"/>
      <c r="RY134" s="82"/>
    </row>
    <row r="135" spans="3:493" ht="14.25" customHeight="1">
      <c r="C135" s="3904"/>
      <c r="D135" s="3904"/>
      <c r="E135" s="102"/>
      <c r="F135" s="1"/>
      <c r="G135" s="82"/>
      <c r="H135" s="1506" t="s">
        <v>3116</v>
      </c>
      <c r="I135" s="780"/>
      <c r="J135" s="82"/>
      <c r="K135" s="1768">
        <f>LB49</f>
        <v>0</v>
      </c>
      <c r="L135" s="1769">
        <f>LC49</f>
        <v>0</v>
      </c>
      <c r="M135" s="1769">
        <f>LD49</f>
        <v>0</v>
      </c>
      <c r="N135" s="1769">
        <f>LE49</f>
        <v>0</v>
      </c>
      <c r="O135" s="1770">
        <f>LF49</f>
        <v>0</v>
      </c>
      <c r="P135" s="1771">
        <f t="shared" si="371"/>
        <v>0</v>
      </c>
      <c r="S135" s="3833"/>
      <c r="T135" s="3834"/>
      <c r="U135" s="3834"/>
      <c r="V135" s="3834"/>
      <c r="W135" s="3835"/>
      <c r="X135" s="432"/>
      <c r="AA135" s="432"/>
      <c r="AB135" s="435"/>
      <c r="AC135" s="432"/>
      <c r="AF135" s="432"/>
      <c r="AG135" s="435"/>
      <c r="AH135" s="432"/>
      <c r="AK135" s="432"/>
      <c r="AL135" s="435"/>
      <c r="AM135" s="432"/>
      <c r="AP135" s="432"/>
      <c r="AQ135" s="435"/>
      <c r="AR135" s="436"/>
      <c r="AS135" s="436"/>
      <c r="AT135" s="436"/>
      <c r="AU135" s="436"/>
      <c r="AV135" s="436"/>
      <c r="AW135" s="436"/>
      <c r="AX135" s="577"/>
      <c r="BB135" s="436"/>
      <c r="BC135" s="577"/>
      <c r="JW135" s="430"/>
      <c r="KB135" s="430"/>
      <c r="KG135" s="430"/>
      <c r="KL135" s="430"/>
      <c r="KM135" s="430"/>
      <c r="KN135" s="430"/>
      <c r="KO135" s="430"/>
      <c r="KP135" s="430"/>
      <c r="KQ135" s="430"/>
      <c r="KR135" s="430"/>
      <c r="KS135" s="430"/>
      <c r="KT135" s="430"/>
      <c r="KU135" s="430"/>
      <c r="KV135" s="430"/>
      <c r="KW135" s="430"/>
      <c r="KX135" s="430"/>
      <c r="KY135" s="430"/>
      <c r="KZ135" s="430"/>
      <c r="LA135" s="430"/>
      <c r="LB135" s="430"/>
      <c r="LC135" s="430"/>
      <c r="LD135" s="430"/>
      <c r="LE135" s="430"/>
      <c r="LF135" s="430"/>
      <c r="LG135" s="430"/>
      <c r="LO135" s="434"/>
      <c r="MD135" s="430"/>
      <c r="ME135" s="430"/>
      <c r="NC135" s="82"/>
      <c r="ND135" s="82"/>
      <c r="NE135" s="82"/>
      <c r="NF135" s="82"/>
      <c r="NG135" s="82"/>
      <c r="NH135" s="82"/>
      <c r="NI135" s="82"/>
      <c r="NJ135" s="82"/>
      <c r="NK135" s="82"/>
      <c r="NL135" s="82"/>
      <c r="NM135" s="82"/>
      <c r="NN135" s="82"/>
      <c r="NO135" s="82"/>
      <c r="NQ135" s="82"/>
      <c r="NR135" s="82"/>
      <c r="NS135" s="82"/>
      <c r="NT135" s="82"/>
      <c r="NU135" s="82"/>
      <c r="NV135" s="82"/>
      <c r="NW135" s="82"/>
      <c r="NX135" s="82"/>
      <c r="NY135" s="82"/>
      <c r="NZ135" s="82"/>
      <c r="OA135" s="82"/>
      <c r="OB135" s="82"/>
      <c r="OC135" s="82"/>
      <c r="OD135" s="82"/>
      <c r="OE135" s="82"/>
      <c r="OF135" s="82"/>
      <c r="OG135" s="82"/>
      <c r="OH135" s="82"/>
      <c r="OI135" s="82"/>
      <c r="OJ135" s="82"/>
      <c r="OK135" s="82"/>
      <c r="OL135" s="82"/>
      <c r="OM135" s="82"/>
      <c r="ON135" s="82"/>
      <c r="OO135" s="82"/>
      <c r="OP135" s="82"/>
      <c r="OQ135" s="82"/>
      <c r="OR135" s="82"/>
      <c r="OS135" s="82"/>
      <c r="OT135" s="82"/>
      <c r="OU135" s="82"/>
      <c r="OV135" s="82"/>
      <c r="OW135" s="82"/>
      <c r="OX135" s="82"/>
      <c r="OY135" s="82"/>
      <c r="OZ135" s="82"/>
      <c r="PA135" s="82"/>
      <c r="PB135" s="82"/>
      <c r="PC135" s="82"/>
      <c r="PD135" s="82"/>
      <c r="PE135" s="82"/>
      <c r="PF135" s="82"/>
      <c r="PG135" s="82"/>
      <c r="PH135" s="82"/>
      <c r="PI135" s="82"/>
      <c r="PJ135" s="82"/>
      <c r="PK135" s="82"/>
      <c r="PL135" s="82"/>
      <c r="PM135" s="82"/>
      <c r="PN135" s="82"/>
      <c r="PO135" s="82"/>
      <c r="PP135" s="82"/>
      <c r="PQ135" s="82"/>
      <c r="PR135" s="82"/>
      <c r="PS135" s="82"/>
      <c r="PT135" s="82"/>
      <c r="PU135" s="82"/>
      <c r="PV135" s="82"/>
      <c r="PW135" s="82"/>
      <c r="PX135" s="82"/>
      <c r="PY135" s="82"/>
      <c r="PZ135" s="82"/>
      <c r="QA135" s="82"/>
      <c r="QB135" s="82"/>
      <c r="QC135" s="82"/>
      <c r="QD135" s="82"/>
      <c r="QE135" s="82"/>
      <c r="QF135" s="82"/>
      <c r="QG135" s="82"/>
      <c r="QH135" s="82"/>
      <c r="QI135" s="82"/>
      <c r="QJ135" s="82"/>
      <c r="QK135" s="82"/>
      <c r="QL135" s="82"/>
      <c r="QM135" s="82"/>
      <c r="QN135" s="82"/>
      <c r="QO135" s="82"/>
      <c r="QP135" s="82"/>
      <c r="QQ135" s="82"/>
      <c r="QR135" s="82"/>
      <c r="QS135" s="82"/>
      <c r="QT135" s="82"/>
      <c r="QU135" s="82"/>
      <c r="QV135" s="82"/>
      <c r="QW135" s="82"/>
      <c r="QX135" s="82"/>
      <c r="QY135" s="82"/>
      <c r="QZ135" s="82"/>
      <c r="RA135" s="82"/>
      <c r="RB135" s="82"/>
      <c r="RC135" s="82"/>
      <c r="RD135" s="82"/>
      <c r="RE135" s="82"/>
      <c r="RF135" s="82"/>
      <c r="RG135" s="82"/>
      <c r="RH135" s="82"/>
      <c r="RI135" s="82"/>
      <c r="RJ135" s="82"/>
      <c r="RK135" s="82"/>
      <c r="RL135" s="82"/>
      <c r="RM135" s="82"/>
      <c r="RN135" s="82"/>
      <c r="RO135" s="82"/>
      <c r="RP135" s="82"/>
      <c r="RQ135" s="82"/>
      <c r="RR135" s="82"/>
      <c r="RS135" s="82"/>
      <c r="RT135" s="82"/>
      <c r="RU135" s="82"/>
      <c r="RV135" s="82"/>
      <c r="RW135" s="82"/>
      <c r="RX135" s="82"/>
      <c r="RY135" s="82"/>
    </row>
    <row r="136" spans="3:493" ht="14.25" customHeight="1">
      <c r="C136" s="3904"/>
      <c r="D136" s="3904"/>
      <c r="E136" s="102" t="s">
        <v>6808</v>
      </c>
      <c r="F136" s="1"/>
      <c r="G136" s="82"/>
      <c r="H136" s="1496"/>
      <c r="I136" s="40"/>
      <c r="J136" s="82"/>
      <c r="K136" s="1200">
        <f>IE49</f>
        <v>0</v>
      </c>
      <c r="L136" s="1201">
        <f>IF49</f>
        <v>0</v>
      </c>
      <c r="M136" s="1201">
        <f>IG49</f>
        <v>0</v>
      </c>
      <c r="N136" s="1201">
        <f>IH49</f>
        <v>0</v>
      </c>
      <c r="O136" s="1202">
        <f>II49</f>
        <v>0</v>
      </c>
      <c r="P136" s="1756">
        <f t="shared" si="370"/>
        <v>0</v>
      </c>
      <c r="S136" s="3833"/>
      <c r="T136" s="3834"/>
      <c r="U136" s="3834"/>
      <c r="V136" s="3834"/>
      <c r="W136" s="3835"/>
      <c r="X136" s="432"/>
      <c r="AA136" s="432"/>
      <c r="AB136" s="435"/>
      <c r="AC136" s="432"/>
      <c r="AF136" s="432"/>
      <c r="AG136" s="435"/>
      <c r="AH136" s="432"/>
      <c r="AK136" s="432"/>
      <c r="AL136" s="435"/>
      <c r="AM136" s="432"/>
      <c r="AP136" s="432"/>
      <c r="AQ136" s="435"/>
      <c r="AR136" s="436"/>
      <c r="AS136" s="436"/>
      <c r="AT136" s="436"/>
      <c r="AU136" s="436"/>
      <c r="AV136" s="436"/>
      <c r="AW136" s="436"/>
      <c r="AX136" s="915"/>
      <c r="AY136" s="432"/>
      <c r="BB136" s="436"/>
      <c r="BC136" s="915"/>
      <c r="BD136" s="432"/>
      <c r="LO136" s="434"/>
      <c r="MD136" s="430"/>
      <c r="ME136" s="430"/>
      <c r="NC136" s="82"/>
      <c r="ND136" s="82"/>
      <c r="NE136" s="82"/>
      <c r="NF136" s="82"/>
      <c r="NG136" s="82"/>
      <c r="NH136" s="82"/>
      <c r="NI136" s="82"/>
      <c r="NJ136" s="82"/>
      <c r="NK136" s="82"/>
      <c r="NL136" s="82"/>
      <c r="NM136" s="82"/>
      <c r="NN136" s="82"/>
      <c r="NO136" s="82"/>
      <c r="NQ136" s="82"/>
      <c r="NR136" s="82"/>
      <c r="NS136" s="82"/>
      <c r="NT136" s="82"/>
      <c r="NU136" s="82"/>
      <c r="NV136" s="82"/>
      <c r="NW136" s="82"/>
      <c r="NX136" s="82"/>
      <c r="NY136" s="82"/>
      <c r="NZ136" s="82"/>
      <c r="OA136" s="82"/>
      <c r="OB136" s="82"/>
      <c r="OC136" s="82"/>
      <c r="OD136" s="82"/>
      <c r="OE136" s="82"/>
      <c r="OF136" s="82"/>
      <c r="OG136" s="82"/>
      <c r="OH136" s="82"/>
      <c r="OI136" s="82"/>
      <c r="OJ136" s="82"/>
      <c r="OK136" s="82"/>
      <c r="OL136" s="82"/>
      <c r="OM136" s="82"/>
      <c r="ON136" s="82"/>
      <c r="OO136" s="82"/>
      <c r="OP136" s="82"/>
      <c r="OQ136" s="82"/>
      <c r="OR136" s="82"/>
      <c r="OS136" s="82"/>
      <c r="OT136" s="82"/>
      <c r="OU136" s="82"/>
      <c r="OV136" s="82"/>
      <c r="OW136" s="82"/>
      <c r="OX136" s="82"/>
      <c r="OY136" s="82"/>
      <c r="OZ136" s="82"/>
      <c r="PA136" s="82"/>
      <c r="PB136" s="82"/>
      <c r="PC136" s="82"/>
      <c r="PD136" s="82"/>
      <c r="PE136" s="82"/>
      <c r="PF136" s="82"/>
      <c r="PG136" s="82"/>
      <c r="PH136" s="82"/>
      <c r="PI136" s="82"/>
      <c r="PJ136" s="82"/>
      <c r="PK136" s="82"/>
      <c r="PL136" s="82"/>
      <c r="PM136" s="82"/>
      <c r="PN136" s="82"/>
      <c r="PO136" s="82"/>
      <c r="PP136" s="82"/>
      <c r="PQ136" s="82"/>
      <c r="PR136" s="82"/>
      <c r="PS136" s="82"/>
      <c r="PT136" s="82"/>
      <c r="PU136" s="82"/>
      <c r="PV136" s="82"/>
      <c r="PW136" s="82"/>
      <c r="PX136" s="82"/>
      <c r="PY136" s="82"/>
      <c r="PZ136" s="82"/>
      <c r="QA136" s="82"/>
      <c r="QB136" s="82"/>
      <c r="QC136" s="82"/>
      <c r="QD136" s="82"/>
      <c r="QE136" s="82"/>
      <c r="QF136" s="82"/>
      <c r="QG136" s="82"/>
      <c r="QH136" s="82"/>
      <c r="QI136" s="82"/>
      <c r="QJ136" s="82"/>
      <c r="QK136" s="82"/>
      <c r="QL136" s="82"/>
      <c r="QM136" s="82"/>
      <c r="QN136" s="82"/>
      <c r="QO136" s="82"/>
      <c r="QP136" s="82"/>
      <c r="QQ136" s="82"/>
      <c r="QR136" s="82"/>
      <c r="QS136" s="82"/>
      <c r="QT136" s="82"/>
      <c r="QU136" s="82"/>
      <c r="QV136" s="82"/>
      <c r="QW136" s="82"/>
      <c r="QX136" s="82"/>
      <c r="QY136" s="82"/>
      <c r="QZ136" s="82"/>
      <c r="RA136" s="82"/>
      <c r="RB136" s="82"/>
      <c r="RC136" s="82"/>
      <c r="RD136" s="82"/>
      <c r="RE136" s="82"/>
      <c r="RF136" s="82"/>
      <c r="RG136" s="82"/>
      <c r="RH136" s="82"/>
      <c r="RI136" s="82"/>
      <c r="RJ136" s="82"/>
      <c r="RK136" s="82"/>
      <c r="RL136" s="82"/>
      <c r="RM136" s="82"/>
      <c r="RN136" s="82"/>
      <c r="RO136" s="82"/>
      <c r="RP136" s="82"/>
      <c r="RQ136" s="82"/>
      <c r="RR136" s="82"/>
      <c r="RS136" s="82"/>
      <c r="RT136" s="82"/>
      <c r="RU136" s="82"/>
      <c r="RV136" s="82"/>
      <c r="RW136" s="82"/>
      <c r="RX136" s="82"/>
      <c r="RY136" s="82"/>
    </row>
    <row r="137" spans="3:493" ht="14.25" customHeight="1">
      <c r="C137" s="3904"/>
      <c r="D137" s="3904"/>
      <c r="E137" s="102"/>
      <c r="F137" s="1"/>
      <c r="G137" s="82"/>
      <c r="H137" s="1506" t="s">
        <v>3116</v>
      </c>
      <c r="I137" s="780"/>
      <c r="J137" s="82"/>
      <c r="K137" s="1760">
        <f>IJ49</f>
        <v>0</v>
      </c>
      <c r="L137" s="1761">
        <f>IK49</f>
        <v>0</v>
      </c>
      <c r="M137" s="1761">
        <f>IL49</f>
        <v>0</v>
      </c>
      <c r="N137" s="1761">
        <f>IM49</f>
        <v>0</v>
      </c>
      <c r="O137" s="1762">
        <f>IN49</f>
        <v>0</v>
      </c>
      <c r="P137" s="1763">
        <f t="shared" si="370"/>
        <v>0</v>
      </c>
      <c r="S137" s="3833"/>
      <c r="T137" s="3834"/>
      <c r="U137" s="3834"/>
      <c r="V137" s="3834"/>
      <c r="W137" s="3835"/>
      <c r="X137" s="432"/>
      <c r="AA137" s="432"/>
      <c r="AB137" s="435"/>
      <c r="AC137" s="432"/>
      <c r="AF137" s="432"/>
      <c r="AG137" s="435"/>
      <c r="AH137" s="432"/>
      <c r="AK137" s="432"/>
      <c r="AL137" s="435"/>
      <c r="AM137" s="432"/>
      <c r="AP137" s="432"/>
      <c r="AQ137" s="435"/>
      <c r="AR137" s="436"/>
      <c r="AS137" s="436"/>
      <c r="AT137" s="436"/>
      <c r="AU137" s="436"/>
      <c r="AV137" s="436"/>
      <c r="AW137" s="436"/>
      <c r="AX137" s="915"/>
      <c r="AY137" s="432"/>
      <c r="BB137" s="436"/>
      <c r="BC137" s="915"/>
      <c r="BD137" s="432"/>
      <c r="LO137" s="434"/>
      <c r="MD137" s="430"/>
      <c r="ME137" s="430"/>
      <c r="NC137" s="82"/>
      <c r="ND137" s="82"/>
      <c r="NE137" s="82"/>
      <c r="NF137" s="82"/>
      <c r="NG137" s="82"/>
      <c r="NH137" s="82"/>
      <c r="NI137" s="82"/>
      <c r="NJ137" s="82"/>
      <c r="NK137" s="82"/>
      <c r="NL137" s="82"/>
      <c r="NM137" s="82"/>
      <c r="NN137" s="82"/>
      <c r="NO137" s="82"/>
      <c r="NQ137" s="82"/>
      <c r="NR137" s="82"/>
      <c r="NS137" s="82"/>
      <c r="NT137" s="82"/>
      <c r="NU137" s="82"/>
      <c r="NV137" s="82"/>
      <c r="NW137" s="82"/>
      <c r="NX137" s="82"/>
      <c r="NY137" s="82"/>
      <c r="NZ137" s="82"/>
      <c r="OA137" s="82"/>
      <c r="OB137" s="82"/>
      <c r="OC137" s="82"/>
      <c r="OD137" s="82"/>
      <c r="OE137" s="82"/>
      <c r="OF137" s="82"/>
      <c r="OG137" s="82"/>
      <c r="OH137" s="82"/>
      <c r="OI137" s="82"/>
      <c r="OJ137" s="82"/>
      <c r="OK137" s="82"/>
      <c r="OL137" s="82"/>
      <c r="OM137" s="82"/>
      <c r="ON137" s="82"/>
      <c r="OO137" s="82"/>
      <c r="OP137" s="82"/>
      <c r="OQ137" s="82"/>
      <c r="OR137" s="82"/>
      <c r="OS137" s="82"/>
      <c r="OT137" s="82"/>
      <c r="OU137" s="82"/>
      <c r="OV137" s="82"/>
      <c r="OW137" s="82"/>
      <c r="OX137" s="82"/>
      <c r="OY137" s="82"/>
      <c r="OZ137" s="82"/>
      <c r="PA137" s="82"/>
      <c r="PB137" s="82"/>
      <c r="PC137" s="82"/>
      <c r="PD137" s="82"/>
      <c r="PE137" s="82"/>
      <c r="PF137" s="82"/>
      <c r="PG137" s="82"/>
      <c r="PH137" s="82"/>
      <c r="PI137" s="82"/>
      <c r="PJ137" s="82"/>
      <c r="PK137" s="82"/>
      <c r="PL137" s="82"/>
      <c r="PM137" s="82"/>
      <c r="PN137" s="82"/>
      <c r="PO137" s="82"/>
      <c r="PP137" s="82"/>
      <c r="PQ137" s="82"/>
      <c r="PR137" s="82"/>
      <c r="PS137" s="82"/>
      <c r="PT137" s="82"/>
      <c r="PU137" s="82"/>
      <c r="PV137" s="82"/>
      <c r="PW137" s="82"/>
      <c r="PX137" s="82"/>
      <c r="PY137" s="82"/>
      <c r="PZ137" s="82"/>
      <c r="QA137" s="82"/>
      <c r="QB137" s="82"/>
      <c r="QC137" s="82"/>
      <c r="QD137" s="82"/>
      <c r="QE137" s="82"/>
      <c r="QF137" s="82"/>
      <c r="QG137" s="82"/>
      <c r="QH137" s="82"/>
      <c r="QI137" s="82"/>
      <c r="QJ137" s="82"/>
      <c r="QK137" s="82"/>
      <c r="QL137" s="82"/>
      <c r="QM137" s="82"/>
      <c r="QN137" s="82"/>
      <c r="QO137" s="82"/>
      <c r="QP137" s="82"/>
      <c r="QQ137" s="82"/>
      <c r="QR137" s="82"/>
      <c r="QS137" s="82"/>
      <c r="QT137" s="82"/>
      <c r="QU137" s="82"/>
      <c r="QV137" s="82"/>
      <c r="QW137" s="82"/>
      <c r="QX137" s="82"/>
      <c r="QY137" s="82"/>
      <c r="QZ137" s="82"/>
      <c r="RA137" s="82"/>
      <c r="RB137" s="82"/>
      <c r="RC137" s="82"/>
      <c r="RD137" s="82"/>
      <c r="RE137" s="82"/>
      <c r="RF137" s="82"/>
      <c r="RG137" s="82"/>
      <c r="RH137" s="82"/>
      <c r="RI137" s="82"/>
      <c r="RJ137" s="82"/>
      <c r="RK137" s="82"/>
      <c r="RL137" s="82"/>
      <c r="RM137" s="82"/>
      <c r="RN137" s="82"/>
      <c r="RO137" s="82"/>
      <c r="RP137" s="82"/>
      <c r="RQ137" s="82"/>
      <c r="RR137" s="82"/>
      <c r="RS137" s="82"/>
      <c r="RT137" s="82"/>
      <c r="RU137" s="82"/>
      <c r="RV137" s="82"/>
      <c r="RW137" s="82"/>
      <c r="RX137" s="82"/>
      <c r="RY137" s="82"/>
    </row>
    <row r="138" spans="3:493" ht="14.25" customHeight="1">
      <c r="C138" s="3904"/>
      <c r="D138" s="3904"/>
      <c r="E138" s="102" t="s">
        <v>6809</v>
      </c>
      <c r="F138" s="1"/>
      <c r="G138" s="82"/>
      <c r="H138" s="1496"/>
      <c r="I138" s="40"/>
      <c r="J138" s="82"/>
      <c r="K138" s="1227">
        <f>JI49</f>
        <v>0</v>
      </c>
      <c r="L138" s="1228">
        <f>JJ49</f>
        <v>0</v>
      </c>
      <c r="M138" s="1228">
        <f>JK49</f>
        <v>0</v>
      </c>
      <c r="N138" s="1228">
        <f>JL49</f>
        <v>0</v>
      </c>
      <c r="O138" s="1229">
        <f>JM49</f>
        <v>0</v>
      </c>
      <c r="P138" s="1757">
        <f t="shared" si="370"/>
        <v>0</v>
      </c>
      <c r="S138" s="3833"/>
      <c r="T138" s="3834"/>
      <c r="U138" s="3834"/>
      <c r="V138" s="3834"/>
      <c r="W138" s="3835"/>
      <c r="X138" s="432"/>
      <c r="AA138" s="432"/>
      <c r="AB138" s="435"/>
      <c r="AC138" s="432"/>
      <c r="AF138" s="432"/>
      <c r="AG138" s="435"/>
      <c r="AH138" s="432"/>
      <c r="AK138" s="432"/>
      <c r="AL138" s="435"/>
      <c r="AM138" s="432"/>
      <c r="AP138" s="432"/>
      <c r="AQ138" s="435"/>
      <c r="AR138" s="436"/>
      <c r="AS138" s="436"/>
      <c r="AT138" s="436"/>
      <c r="AU138" s="436"/>
      <c r="AV138" s="436"/>
      <c r="AW138" s="436"/>
      <c r="AX138" s="577"/>
      <c r="BB138" s="436"/>
      <c r="BC138" s="577"/>
      <c r="JW138" s="430"/>
      <c r="KB138" s="430"/>
      <c r="KG138" s="430"/>
      <c r="KL138" s="430"/>
      <c r="KM138" s="430"/>
      <c r="KN138" s="430"/>
      <c r="KO138" s="430"/>
      <c r="KP138" s="430"/>
      <c r="KQ138" s="430"/>
      <c r="KR138" s="430"/>
      <c r="KS138" s="430"/>
      <c r="KT138" s="430"/>
      <c r="KU138" s="430"/>
      <c r="KV138" s="430"/>
      <c r="KW138" s="430"/>
      <c r="KX138" s="430"/>
      <c r="KY138" s="430"/>
      <c r="KZ138" s="430"/>
      <c r="LA138" s="430"/>
      <c r="LB138" s="430"/>
      <c r="LC138" s="430"/>
      <c r="LD138" s="430"/>
      <c r="LE138" s="430"/>
      <c r="LF138" s="430"/>
      <c r="LG138" s="430"/>
      <c r="LO138" s="434"/>
      <c r="MD138" s="430"/>
      <c r="ME138" s="430"/>
      <c r="NC138" s="82"/>
      <c r="ND138" s="82"/>
      <c r="NE138" s="82"/>
      <c r="NF138" s="82"/>
      <c r="NG138" s="82"/>
      <c r="NH138" s="82"/>
      <c r="NI138" s="82"/>
      <c r="NJ138" s="82"/>
      <c r="NK138" s="82"/>
      <c r="NL138" s="82"/>
      <c r="NM138" s="82"/>
      <c r="NN138" s="82"/>
      <c r="NO138" s="82"/>
      <c r="NQ138" s="82"/>
      <c r="NR138" s="82"/>
      <c r="NS138" s="82"/>
      <c r="NT138" s="82"/>
      <c r="NU138" s="82"/>
      <c r="NV138" s="82"/>
      <c r="NW138" s="82"/>
      <c r="NX138" s="82"/>
      <c r="NY138" s="82"/>
      <c r="NZ138" s="82"/>
      <c r="OA138" s="82"/>
      <c r="OB138" s="82"/>
      <c r="OC138" s="82"/>
      <c r="OD138" s="82"/>
      <c r="OE138" s="82"/>
      <c r="OF138" s="82"/>
      <c r="OG138" s="82"/>
      <c r="OH138" s="82"/>
      <c r="OI138" s="82"/>
      <c r="OJ138" s="82"/>
      <c r="OK138" s="82"/>
      <c r="OL138" s="82"/>
      <c r="OM138" s="82"/>
      <c r="ON138" s="82"/>
      <c r="OO138" s="82"/>
      <c r="OP138" s="82"/>
      <c r="OQ138" s="82"/>
      <c r="OR138" s="82"/>
      <c r="OS138" s="82"/>
      <c r="OT138" s="82"/>
      <c r="OU138" s="82"/>
      <c r="OV138" s="82"/>
      <c r="OW138" s="82"/>
      <c r="OX138" s="82"/>
      <c r="OY138" s="82"/>
      <c r="OZ138" s="82"/>
      <c r="PA138" s="82"/>
      <c r="PB138" s="82"/>
      <c r="PC138" s="82"/>
      <c r="PD138" s="82"/>
      <c r="PE138" s="82"/>
      <c r="PF138" s="82"/>
      <c r="PG138" s="82"/>
      <c r="PH138" s="82"/>
      <c r="PI138" s="82"/>
      <c r="PJ138" s="82"/>
      <c r="PK138" s="82"/>
      <c r="PL138" s="82"/>
      <c r="PM138" s="82"/>
      <c r="PN138" s="82"/>
      <c r="PO138" s="82"/>
      <c r="PP138" s="82"/>
      <c r="PQ138" s="82"/>
      <c r="PR138" s="82"/>
      <c r="PS138" s="82"/>
      <c r="PT138" s="82"/>
      <c r="PU138" s="82"/>
      <c r="PV138" s="82"/>
      <c r="PW138" s="82"/>
      <c r="PX138" s="82"/>
      <c r="PY138" s="82"/>
      <c r="PZ138" s="82"/>
      <c r="QA138" s="82"/>
      <c r="QB138" s="82"/>
      <c r="QC138" s="82"/>
      <c r="QD138" s="82"/>
      <c r="QE138" s="82"/>
      <c r="QF138" s="82"/>
      <c r="QG138" s="82"/>
      <c r="QH138" s="82"/>
      <c r="QI138" s="82"/>
      <c r="QJ138" s="82"/>
      <c r="QK138" s="82"/>
      <c r="QL138" s="82"/>
      <c r="QM138" s="82"/>
      <c r="QN138" s="82"/>
      <c r="QO138" s="82"/>
      <c r="QP138" s="82"/>
      <c r="QQ138" s="82"/>
      <c r="QR138" s="82"/>
      <c r="QS138" s="82"/>
      <c r="QT138" s="82"/>
      <c r="QU138" s="82"/>
      <c r="QV138" s="82"/>
      <c r="QW138" s="82"/>
      <c r="QX138" s="82"/>
      <c r="QY138" s="82"/>
      <c r="QZ138" s="82"/>
      <c r="RA138" s="82"/>
      <c r="RB138" s="82"/>
      <c r="RC138" s="82"/>
      <c r="RD138" s="82"/>
      <c r="RE138" s="82"/>
      <c r="RF138" s="82"/>
      <c r="RG138" s="82"/>
      <c r="RH138" s="82"/>
      <c r="RI138" s="82"/>
      <c r="RJ138" s="82"/>
      <c r="RK138" s="82"/>
      <c r="RL138" s="82"/>
      <c r="RM138" s="82"/>
      <c r="RN138" s="82"/>
      <c r="RO138" s="82"/>
      <c r="RP138" s="82"/>
      <c r="RQ138" s="82"/>
      <c r="RR138" s="82"/>
      <c r="RS138" s="82"/>
      <c r="RT138" s="82"/>
      <c r="RU138" s="82"/>
      <c r="RV138" s="82"/>
      <c r="RW138" s="82"/>
      <c r="RX138" s="82"/>
      <c r="RY138" s="82"/>
    </row>
    <row r="139" spans="3:493" ht="14.25" customHeight="1">
      <c r="C139" s="3904"/>
      <c r="D139" s="3904"/>
      <c r="E139" s="102"/>
      <c r="F139" s="1"/>
      <c r="G139" s="82"/>
      <c r="H139" s="1506" t="s">
        <v>3116</v>
      </c>
      <c r="I139" s="780"/>
      <c r="J139" s="82"/>
      <c r="K139" s="1760">
        <f>JN49</f>
        <v>0</v>
      </c>
      <c r="L139" s="1761">
        <f>JO49</f>
        <v>0</v>
      </c>
      <c r="M139" s="1761">
        <f>JP49</f>
        <v>0</v>
      </c>
      <c r="N139" s="1761">
        <f>JQ49</f>
        <v>0</v>
      </c>
      <c r="O139" s="1762">
        <f>JR49</f>
        <v>0</v>
      </c>
      <c r="P139" s="1763">
        <f t="shared" si="370"/>
        <v>0</v>
      </c>
      <c r="S139" s="3833"/>
      <c r="T139" s="3834"/>
      <c r="U139" s="3834"/>
      <c r="V139" s="3834"/>
      <c r="W139" s="3835"/>
      <c r="X139" s="432"/>
      <c r="AA139" s="432"/>
      <c r="AB139" s="435"/>
      <c r="AC139" s="432"/>
      <c r="AF139" s="432"/>
      <c r="AG139" s="435"/>
      <c r="AH139" s="432"/>
      <c r="AK139" s="432"/>
      <c r="AL139" s="435"/>
      <c r="AM139" s="432"/>
      <c r="AP139" s="432"/>
      <c r="AQ139" s="435"/>
      <c r="AR139" s="436"/>
      <c r="AS139" s="436"/>
      <c r="AT139" s="436"/>
      <c r="AU139" s="436"/>
      <c r="AV139" s="436"/>
      <c r="AW139" s="436"/>
      <c r="AX139" s="577"/>
      <c r="BB139" s="436"/>
      <c r="BC139" s="577"/>
      <c r="JW139" s="430"/>
      <c r="KB139" s="430"/>
      <c r="KG139" s="430"/>
      <c r="KL139" s="430"/>
      <c r="KM139" s="430"/>
      <c r="KN139" s="430"/>
      <c r="KO139" s="430"/>
      <c r="KP139" s="430"/>
      <c r="KQ139" s="430"/>
      <c r="KR139" s="430"/>
      <c r="KS139" s="430"/>
      <c r="KT139" s="430"/>
      <c r="KU139" s="430"/>
      <c r="KV139" s="430"/>
      <c r="KW139" s="430"/>
      <c r="KX139" s="430"/>
      <c r="KY139" s="430"/>
      <c r="KZ139" s="430"/>
      <c r="LA139" s="430"/>
      <c r="LB139" s="430"/>
      <c r="LC139" s="430"/>
      <c r="LD139" s="430"/>
      <c r="LE139" s="430"/>
      <c r="LF139" s="430"/>
      <c r="LG139" s="430"/>
      <c r="LO139" s="434"/>
      <c r="MD139" s="430"/>
      <c r="ME139" s="430"/>
      <c r="NC139" s="82"/>
      <c r="ND139" s="82"/>
      <c r="NE139" s="82"/>
      <c r="NF139" s="82"/>
      <c r="NG139" s="82"/>
      <c r="NH139" s="82"/>
      <c r="NI139" s="82"/>
      <c r="NJ139" s="82"/>
      <c r="NK139" s="82"/>
      <c r="NL139" s="82"/>
      <c r="NM139" s="82"/>
      <c r="NN139" s="82"/>
      <c r="NO139" s="82"/>
      <c r="NQ139" s="82"/>
      <c r="NR139" s="82"/>
      <c r="NS139" s="82"/>
      <c r="NT139" s="82"/>
      <c r="NU139" s="82"/>
      <c r="NV139" s="82"/>
      <c r="NW139" s="82"/>
      <c r="NX139" s="82"/>
      <c r="NY139" s="82"/>
      <c r="NZ139" s="82"/>
      <c r="OA139" s="82"/>
      <c r="OB139" s="82"/>
      <c r="OC139" s="82"/>
      <c r="OD139" s="82"/>
      <c r="OE139" s="82"/>
      <c r="OF139" s="82"/>
      <c r="OG139" s="82"/>
      <c r="OH139" s="82"/>
      <c r="OI139" s="82"/>
      <c r="OJ139" s="82"/>
      <c r="OK139" s="82"/>
      <c r="OL139" s="82"/>
      <c r="OM139" s="82"/>
      <c r="ON139" s="82"/>
      <c r="OO139" s="82"/>
      <c r="OP139" s="82"/>
      <c r="OQ139" s="82"/>
      <c r="OR139" s="82"/>
      <c r="OS139" s="82"/>
      <c r="OT139" s="82"/>
      <c r="OU139" s="82"/>
      <c r="OV139" s="82"/>
      <c r="OW139" s="82"/>
      <c r="OX139" s="82"/>
      <c r="OY139" s="82"/>
      <c r="OZ139" s="82"/>
      <c r="PA139" s="82"/>
      <c r="PB139" s="82"/>
      <c r="PC139" s="82"/>
      <c r="PD139" s="82"/>
      <c r="PE139" s="82"/>
      <c r="PF139" s="82"/>
      <c r="PG139" s="82"/>
      <c r="PH139" s="82"/>
      <c r="PI139" s="82"/>
      <c r="PJ139" s="82"/>
      <c r="PK139" s="82"/>
      <c r="PL139" s="82"/>
      <c r="PM139" s="82"/>
      <c r="PN139" s="82"/>
      <c r="PO139" s="82"/>
      <c r="PP139" s="82"/>
      <c r="PQ139" s="82"/>
      <c r="PR139" s="82"/>
      <c r="PS139" s="82"/>
      <c r="PT139" s="82"/>
      <c r="PU139" s="82"/>
      <c r="PV139" s="82"/>
      <c r="PW139" s="82"/>
      <c r="PX139" s="82"/>
      <c r="PY139" s="82"/>
      <c r="PZ139" s="82"/>
      <c r="QA139" s="82"/>
      <c r="QB139" s="82"/>
      <c r="QC139" s="82"/>
      <c r="QD139" s="82"/>
      <c r="QE139" s="82"/>
      <c r="QF139" s="82"/>
      <c r="QG139" s="82"/>
      <c r="QH139" s="82"/>
      <c r="QI139" s="82"/>
      <c r="QJ139" s="82"/>
      <c r="QK139" s="82"/>
      <c r="QL139" s="82"/>
      <c r="QM139" s="82"/>
      <c r="QN139" s="82"/>
      <c r="QO139" s="82"/>
      <c r="QP139" s="82"/>
      <c r="QQ139" s="82"/>
      <c r="QR139" s="82"/>
      <c r="QS139" s="82"/>
      <c r="QT139" s="82"/>
      <c r="QU139" s="82"/>
      <c r="QV139" s="82"/>
      <c r="QW139" s="82"/>
      <c r="QX139" s="82"/>
      <c r="QY139" s="82"/>
      <c r="QZ139" s="82"/>
      <c r="RA139" s="82"/>
      <c r="RB139" s="82"/>
      <c r="RC139" s="82"/>
      <c r="RD139" s="82"/>
      <c r="RE139" s="82"/>
      <c r="RF139" s="82"/>
      <c r="RG139" s="82"/>
      <c r="RH139" s="82"/>
      <c r="RI139" s="82"/>
      <c r="RJ139" s="82"/>
      <c r="RK139" s="82"/>
      <c r="RL139" s="82"/>
      <c r="RM139" s="82"/>
      <c r="RN139" s="82"/>
      <c r="RO139" s="82"/>
      <c r="RP139" s="82"/>
      <c r="RQ139" s="82"/>
      <c r="RR139" s="82"/>
      <c r="RS139" s="82"/>
      <c r="RT139" s="82"/>
      <c r="RU139" s="82"/>
      <c r="RV139" s="82"/>
      <c r="RW139" s="82"/>
      <c r="RX139" s="82"/>
      <c r="RY139" s="82"/>
    </row>
    <row r="140" spans="3:493" ht="14.25" customHeight="1">
      <c r="C140" s="3904"/>
      <c r="D140" s="3904"/>
      <c r="E140" s="109" t="s">
        <v>6592</v>
      </c>
      <c r="F140" s="1"/>
      <c r="G140" s="82"/>
      <c r="H140" s="1496"/>
      <c r="I140" s="40"/>
      <c r="J140" s="82"/>
      <c r="K140" s="1227">
        <f>IY49</f>
        <v>0</v>
      </c>
      <c r="L140" s="1228">
        <f>IZ49</f>
        <v>0</v>
      </c>
      <c r="M140" s="1228">
        <f>JA49</f>
        <v>0</v>
      </c>
      <c r="N140" s="1228">
        <f>JB49</f>
        <v>0</v>
      </c>
      <c r="O140" s="1229">
        <f>JC49</f>
        <v>0</v>
      </c>
      <c r="P140" s="1757">
        <f t="shared" si="370"/>
        <v>0</v>
      </c>
      <c r="S140" s="3833"/>
      <c r="T140" s="3834"/>
      <c r="U140" s="3834"/>
      <c r="V140" s="3834"/>
      <c r="W140" s="3835"/>
      <c r="X140" s="432"/>
      <c r="AA140" s="432"/>
      <c r="AB140" s="435"/>
      <c r="AC140" s="432"/>
      <c r="AF140" s="432"/>
      <c r="AG140" s="435"/>
      <c r="AH140" s="432"/>
      <c r="AK140" s="432"/>
      <c r="AL140" s="435"/>
      <c r="AM140" s="432"/>
      <c r="AP140" s="432"/>
      <c r="AQ140" s="435"/>
      <c r="AR140" s="436"/>
      <c r="AS140" s="436"/>
      <c r="AT140" s="436"/>
      <c r="AU140" s="436"/>
      <c r="AV140" s="436"/>
      <c r="AW140" s="436"/>
      <c r="AX140" s="915"/>
      <c r="AY140" s="432"/>
      <c r="BB140" s="436"/>
      <c r="BC140" s="915"/>
      <c r="BD140" s="432"/>
      <c r="LO140" s="434"/>
      <c r="MD140" s="430"/>
      <c r="ME140" s="430"/>
      <c r="NC140" s="82"/>
      <c r="ND140" s="82"/>
      <c r="NE140" s="82"/>
      <c r="NF140" s="82"/>
      <c r="NG140" s="82"/>
      <c r="NH140" s="82"/>
      <c r="NI140" s="82"/>
      <c r="NJ140" s="82"/>
      <c r="NK140" s="82"/>
      <c r="NL140" s="82"/>
      <c r="NM140" s="82"/>
      <c r="NN140" s="82"/>
      <c r="NO140" s="82"/>
      <c r="NQ140" s="82"/>
      <c r="NR140" s="82"/>
      <c r="NS140" s="82"/>
      <c r="NT140" s="82"/>
      <c r="NU140" s="82"/>
      <c r="NV140" s="82"/>
      <c r="NW140" s="82"/>
      <c r="NX140" s="82"/>
      <c r="NY140" s="82"/>
      <c r="NZ140" s="82"/>
      <c r="OA140" s="82"/>
      <c r="OB140" s="82"/>
      <c r="OC140" s="82"/>
      <c r="OD140" s="82"/>
      <c r="OE140" s="82"/>
      <c r="OF140" s="82"/>
      <c r="OG140" s="82"/>
      <c r="OH140" s="82"/>
      <c r="OI140" s="82"/>
      <c r="OJ140" s="82"/>
      <c r="OK140" s="82"/>
      <c r="OL140" s="82"/>
      <c r="OM140" s="82"/>
      <c r="ON140" s="82"/>
      <c r="OO140" s="82"/>
      <c r="OP140" s="82"/>
      <c r="OQ140" s="82"/>
      <c r="OR140" s="82"/>
      <c r="OS140" s="82"/>
      <c r="OT140" s="82"/>
      <c r="OU140" s="82"/>
      <c r="OV140" s="82"/>
      <c r="OW140" s="82"/>
      <c r="OX140" s="82"/>
      <c r="OY140" s="82"/>
      <c r="OZ140" s="82"/>
      <c r="PA140" s="82"/>
      <c r="PB140" s="82"/>
      <c r="PC140" s="82"/>
      <c r="PD140" s="82"/>
      <c r="PE140" s="82"/>
      <c r="PF140" s="82"/>
      <c r="PG140" s="82"/>
      <c r="PH140" s="82"/>
      <c r="PI140" s="82"/>
      <c r="PJ140" s="82"/>
      <c r="PK140" s="82"/>
      <c r="PL140" s="82"/>
      <c r="PM140" s="82"/>
      <c r="PN140" s="82"/>
      <c r="PO140" s="82"/>
      <c r="PP140" s="82"/>
      <c r="PQ140" s="82"/>
      <c r="PR140" s="82"/>
      <c r="PS140" s="82"/>
      <c r="PT140" s="82"/>
      <c r="PU140" s="82"/>
      <c r="PV140" s="82"/>
      <c r="PW140" s="82"/>
      <c r="PX140" s="82"/>
      <c r="PY140" s="82"/>
      <c r="PZ140" s="82"/>
      <c r="QA140" s="82"/>
      <c r="QB140" s="82"/>
      <c r="QC140" s="82"/>
      <c r="QD140" s="82"/>
      <c r="QE140" s="82"/>
      <c r="QF140" s="82"/>
      <c r="QG140" s="82"/>
      <c r="QH140" s="82"/>
      <c r="QI140" s="82"/>
      <c r="QJ140" s="82"/>
      <c r="QK140" s="82"/>
      <c r="QL140" s="82"/>
      <c r="QM140" s="82"/>
      <c r="QN140" s="82"/>
      <c r="QO140" s="82"/>
      <c r="QP140" s="82"/>
      <c r="QQ140" s="82"/>
      <c r="QR140" s="82"/>
      <c r="QS140" s="82"/>
      <c r="QT140" s="82"/>
      <c r="QU140" s="82"/>
      <c r="QV140" s="82"/>
      <c r="QW140" s="82"/>
      <c r="QX140" s="82"/>
      <c r="QY140" s="82"/>
      <c r="QZ140" s="82"/>
      <c r="RA140" s="82"/>
      <c r="RB140" s="82"/>
      <c r="RC140" s="82"/>
      <c r="RD140" s="82"/>
      <c r="RE140" s="82"/>
      <c r="RF140" s="82"/>
      <c r="RG140" s="82"/>
      <c r="RH140" s="82"/>
      <c r="RI140" s="82"/>
      <c r="RJ140" s="82"/>
      <c r="RK140" s="82"/>
      <c r="RL140" s="82"/>
      <c r="RM140" s="82"/>
      <c r="RN140" s="82"/>
      <c r="RO140" s="82"/>
      <c r="RP140" s="82"/>
      <c r="RQ140" s="82"/>
      <c r="RR140" s="82"/>
      <c r="RS140" s="82"/>
      <c r="RT140" s="82"/>
      <c r="RU140" s="82"/>
      <c r="RV140" s="82"/>
      <c r="RW140" s="82"/>
      <c r="RX140" s="82"/>
      <c r="RY140" s="82"/>
    </row>
    <row r="141" spans="3:493" ht="14.25" customHeight="1">
      <c r="C141" s="3904"/>
      <c r="D141" s="3904"/>
      <c r="E141" s="109"/>
      <c r="F141" s="1"/>
      <c r="G141" s="82"/>
      <c r="H141" s="1506" t="s">
        <v>3116</v>
      </c>
      <c r="I141" s="780"/>
      <c r="J141" s="82"/>
      <c r="K141" s="1768">
        <f>JD49</f>
        <v>0</v>
      </c>
      <c r="L141" s="1769">
        <f>JE49</f>
        <v>0</v>
      </c>
      <c r="M141" s="1769">
        <f>JF49</f>
        <v>0</v>
      </c>
      <c r="N141" s="1769">
        <f>JG49</f>
        <v>0</v>
      </c>
      <c r="O141" s="1770">
        <f>JH49</f>
        <v>0</v>
      </c>
      <c r="P141" s="1763">
        <f t="shared" si="370"/>
        <v>0</v>
      </c>
      <c r="S141" s="3833"/>
      <c r="T141" s="3834"/>
      <c r="U141" s="3834"/>
      <c r="V141" s="3834"/>
      <c r="W141" s="3835"/>
      <c r="X141" s="432"/>
      <c r="AA141" s="432"/>
      <c r="AB141" s="435"/>
      <c r="AC141" s="432"/>
      <c r="AF141" s="432"/>
      <c r="AG141" s="435"/>
      <c r="AH141" s="432"/>
      <c r="AK141" s="432"/>
      <c r="AL141" s="435"/>
      <c r="AM141" s="432"/>
      <c r="AP141" s="432"/>
      <c r="AQ141" s="435"/>
      <c r="AR141" s="436"/>
      <c r="AS141" s="436"/>
      <c r="AT141" s="436"/>
      <c r="AU141" s="436"/>
      <c r="AV141" s="436"/>
      <c r="AW141" s="436"/>
      <c r="AX141" s="915"/>
      <c r="AY141" s="432"/>
      <c r="BB141" s="436"/>
      <c r="BC141" s="915"/>
      <c r="BD141" s="432"/>
      <c r="LO141" s="434"/>
      <c r="MD141" s="430"/>
      <c r="ME141" s="430"/>
      <c r="NC141" s="82"/>
      <c r="ND141" s="82"/>
      <c r="NE141" s="82"/>
      <c r="NF141" s="82"/>
      <c r="NG141" s="82"/>
      <c r="NH141" s="82"/>
      <c r="NI141" s="82"/>
      <c r="NJ141" s="82"/>
      <c r="NK141" s="82"/>
      <c r="NL141" s="82"/>
      <c r="NM141" s="82"/>
      <c r="NN141" s="82"/>
      <c r="NO141" s="82"/>
      <c r="NQ141" s="82"/>
      <c r="NR141" s="82"/>
      <c r="NS141" s="82"/>
      <c r="NT141" s="82"/>
      <c r="NU141" s="82"/>
      <c r="NV141" s="82"/>
      <c r="NW141" s="82"/>
      <c r="NX141" s="82"/>
      <c r="NY141" s="82"/>
      <c r="NZ141" s="82"/>
      <c r="OA141" s="82"/>
      <c r="OB141" s="82"/>
      <c r="OC141" s="82"/>
      <c r="OD141" s="82"/>
      <c r="OE141" s="82"/>
      <c r="OF141" s="82"/>
      <c r="OG141" s="82"/>
      <c r="OH141" s="82"/>
      <c r="OI141" s="82"/>
      <c r="OJ141" s="82"/>
      <c r="OK141" s="82"/>
      <c r="OL141" s="82"/>
      <c r="OM141" s="82"/>
      <c r="ON141" s="82"/>
      <c r="OO141" s="82"/>
      <c r="OP141" s="82"/>
      <c r="OQ141" s="82"/>
      <c r="OR141" s="82"/>
      <c r="OS141" s="82"/>
      <c r="OT141" s="82"/>
      <c r="OU141" s="82"/>
      <c r="OV141" s="82"/>
      <c r="OW141" s="82"/>
      <c r="OX141" s="82"/>
      <c r="OY141" s="82"/>
      <c r="OZ141" s="82"/>
      <c r="PA141" s="82"/>
      <c r="PB141" s="82"/>
      <c r="PC141" s="82"/>
      <c r="PD141" s="82"/>
      <c r="PE141" s="82"/>
      <c r="PF141" s="82"/>
      <c r="PG141" s="82"/>
      <c r="PH141" s="82"/>
      <c r="PI141" s="82"/>
      <c r="PJ141" s="82"/>
      <c r="PK141" s="82"/>
      <c r="PL141" s="82"/>
      <c r="PM141" s="82"/>
      <c r="PN141" s="82"/>
      <c r="PO141" s="82"/>
      <c r="PP141" s="82"/>
      <c r="PQ141" s="82"/>
      <c r="PR141" s="82"/>
      <c r="PS141" s="82"/>
      <c r="PT141" s="82"/>
      <c r="PU141" s="82"/>
      <c r="PV141" s="82"/>
      <c r="PW141" s="82"/>
      <c r="PX141" s="82"/>
      <c r="PY141" s="82"/>
      <c r="PZ141" s="82"/>
      <c r="QA141" s="82"/>
      <c r="QB141" s="82"/>
      <c r="QC141" s="82"/>
      <c r="QD141" s="82"/>
      <c r="QE141" s="82"/>
      <c r="QF141" s="82"/>
      <c r="QG141" s="82"/>
      <c r="QH141" s="82"/>
      <c r="QI141" s="82"/>
      <c r="QJ141" s="82"/>
      <c r="QK141" s="82"/>
      <c r="QL141" s="82"/>
      <c r="QM141" s="82"/>
      <c r="QN141" s="82"/>
      <c r="QO141" s="82"/>
      <c r="QP141" s="82"/>
      <c r="QQ141" s="82"/>
      <c r="QR141" s="82"/>
      <c r="QS141" s="82"/>
      <c r="QT141" s="82"/>
      <c r="QU141" s="82"/>
      <c r="QV141" s="82"/>
      <c r="QW141" s="82"/>
      <c r="QX141" s="82"/>
      <c r="QY141" s="82"/>
      <c r="QZ141" s="82"/>
      <c r="RA141" s="82"/>
      <c r="RB141" s="82"/>
      <c r="RC141" s="82"/>
      <c r="RD141" s="82"/>
      <c r="RE141" s="82"/>
      <c r="RF141" s="82"/>
      <c r="RG141" s="82"/>
      <c r="RH141" s="82"/>
      <c r="RI141" s="82"/>
      <c r="RJ141" s="82"/>
      <c r="RK141" s="82"/>
      <c r="RL141" s="82"/>
      <c r="RM141" s="82"/>
      <c r="RN141" s="82"/>
      <c r="RO141" s="82"/>
      <c r="RP141" s="82"/>
      <c r="RQ141" s="82"/>
      <c r="RR141" s="82"/>
      <c r="RS141" s="82"/>
      <c r="RT141" s="82"/>
      <c r="RU141" s="82"/>
      <c r="RV141" s="82"/>
      <c r="RW141" s="82"/>
      <c r="RX141" s="82"/>
      <c r="RY141" s="82"/>
    </row>
    <row r="142" spans="3:493" ht="14.25" customHeight="1">
      <c r="C142" s="3904"/>
      <c r="D142" s="3904"/>
      <c r="E142" s="89" t="s">
        <v>537</v>
      </c>
      <c r="F142" s="1"/>
      <c r="G142" s="82"/>
      <c r="H142" s="1496"/>
      <c r="I142" s="40"/>
      <c r="J142" s="82"/>
      <c r="K142" s="1227">
        <f>IO49</f>
        <v>0</v>
      </c>
      <c r="L142" s="1228">
        <f>IP49</f>
        <v>0</v>
      </c>
      <c r="M142" s="1228">
        <f>IQ49</f>
        <v>0</v>
      </c>
      <c r="N142" s="1228">
        <f>IR49</f>
        <v>0</v>
      </c>
      <c r="O142" s="1229">
        <f>IS49</f>
        <v>0</v>
      </c>
      <c r="P142" s="1757">
        <f t="shared" si="370"/>
        <v>0</v>
      </c>
      <c r="S142" s="3833"/>
      <c r="T142" s="3834"/>
      <c r="U142" s="3834"/>
      <c r="V142" s="3834"/>
      <c r="W142" s="3835"/>
      <c r="X142" s="432"/>
      <c r="AA142" s="432"/>
      <c r="AB142" s="435"/>
      <c r="AC142" s="432"/>
      <c r="AF142" s="432"/>
      <c r="AG142" s="435"/>
      <c r="AH142" s="432"/>
      <c r="AK142" s="432"/>
      <c r="AL142" s="435"/>
      <c r="AM142" s="432"/>
      <c r="AP142" s="432"/>
      <c r="AQ142" s="435"/>
      <c r="AR142" s="436"/>
      <c r="AS142" s="436"/>
      <c r="AT142" s="436"/>
      <c r="AU142" s="436"/>
      <c r="AV142" s="436"/>
      <c r="AW142" s="436"/>
      <c r="AX142" s="577"/>
      <c r="BB142" s="436"/>
      <c r="BC142" s="577"/>
      <c r="JW142" s="430"/>
      <c r="KB142" s="430"/>
      <c r="KG142" s="430"/>
      <c r="KL142" s="430"/>
      <c r="KM142" s="430"/>
      <c r="KN142" s="430"/>
      <c r="KO142" s="430"/>
      <c r="KP142" s="430"/>
      <c r="KQ142" s="430"/>
      <c r="KR142" s="430"/>
      <c r="KS142" s="430"/>
      <c r="KT142" s="430"/>
      <c r="KU142" s="430"/>
      <c r="KV142" s="430"/>
      <c r="KW142" s="430"/>
      <c r="KX142" s="430"/>
      <c r="KY142" s="430"/>
      <c r="KZ142" s="430"/>
      <c r="LA142" s="430"/>
      <c r="LB142" s="430"/>
      <c r="LC142" s="430"/>
      <c r="LD142" s="430"/>
      <c r="LE142" s="430"/>
      <c r="LF142" s="430"/>
      <c r="LG142" s="430"/>
      <c r="LO142" s="434"/>
      <c r="MD142" s="430"/>
      <c r="ME142" s="430"/>
      <c r="NC142" s="82"/>
      <c r="ND142" s="82"/>
      <c r="NE142" s="82"/>
      <c r="NF142" s="82"/>
      <c r="NG142" s="82"/>
      <c r="NH142" s="82"/>
      <c r="NI142" s="82"/>
      <c r="NJ142" s="82"/>
      <c r="NK142" s="82"/>
      <c r="NL142" s="82"/>
      <c r="NM142" s="82"/>
      <c r="NN142" s="82"/>
      <c r="NO142" s="82"/>
      <c r="NQ142" s="82"/>
      <c r="NR142" s="82"/>
      <c r="NS142" s="82"/>
      <c r="NT142" s="82"/>
      <c r="NU142" s="82"/>
      <c r="NV142" s="82"/>
      <c r="NW142" s="82"/>
      <c r="NX142" s="82"/>
      <c r="NY142" s="82"/>
      <c r="NZ142" s="82"/>
      <c r="OA142" s="82"/>
      <c r="OB142" s="82"/>
      <c r="OC142" s="82"/>
      <c r="OD142" s="82"/>
      <c r="OE142" s="82"/>
      <c r="OF142" s="82"/>
      <c r="OG142" s="82"/>
      <c r="OH142" s="82"/>
      <c r="OI142" s="82"/>
      <c r="OJ142" s="82"/>
      <c r="OK142" s="82"/>
      <c r="OL142" s="82"/>
      <c r="OM142" s="82"/>
      <c r="ON142" s="82"/>
      <c r="OO142" s="82"/>
      <c r="OP142" s="82"/>
      <c r="OQ142" s="82"/>
      <c r="OR142" s="82"/>
      <c r="OS142" s="82"/>
      <c r="OT142" s="82"/>
      <c r="OU142" s="82"/>
      <c r="OV142" s="82"/>
      <c r="OW142" s="82"/>
      <c r="OX142" s="82"/>
      <c r="OY142" s="82"/>
      <c r="OZ142" s="82"/>
      <c r="PA142" s="82"/>
      <c r="PB142" s="82"/>
      <c r="PC142" s="82"/>
      <c r="PD142" s="82"/>
      <c r="PE142" s="82"/>
      <c r="PF142" s="82"/>
      <c r="PG142" s="82"/>
      <c r="PH142" s="82"/>
      <c r="PI142" s="82"/>
      <c r="PJ142" s="82"/>
      <c r="PK142" s="82"/>
      <c r="PL142" s="82"/>
      <c r="PM142" s="82"/>
      <c r="PN142" s="82"/>
      <c r="PO142" s="82"/>
      <c r="PP142" s="82"/>
      <c r="PQ142" s="82"/>
      <c r="PR142" s="82"/>
      <c r="PS142" s="82"/>
      <c r="PT142" s="82"/>
      <c r="PU142" s="82"/>
      <c r="PV142" s="82"/>
      <c r="PW142" s="82"/>
      <c r="PX142" s="82"/>
      <c r="PY142" s="82"/>
      <c r="PZ142" s="82"/>
      <c r="QA142" s="82"/>
      <c r="QB142" s="82"/>
      <c r="QC142" s="82"/>
      <c r="QD142" s="82"/>
      <c r="QE142" s="82"/>
      <c r="QF142" s="82"/>
      <c r="QG142" s="82"/>
      <c r="QH142" s="82"/>
      <c r="QI142" s="82"/>
      <c r="QJ142" s="82"/>
      <c r="QK142" s="82"/>
      <c r="QL142" s="82"/>
      <c r="QM142" s="82"/>
      <c r="QN142" s="82"/>
      <c r="QO142" s="82"/>
      <c r="QP142" s="82"/>
      <c r="QQ142" s="82"/>
      <c r="QR142" s="82"/>
      <c r="QS142" s="82"/>
      <c r="QT142" s="82"/>
      <c r="QU142" s="82"/>
      <c r="QV142" s="82"/>
      <c r="QW142" s="82"/>
      <c r="QX142" s="82"/>
      <c r="QY142" s="82"/>
      <c r="QZ142" s="82"/>
      <c r="RA142" s="82"/>
      <c r="RB142" s="82"/>
      <c r="RC142" s="82"/>
      <c r="RD142" s="82"/>
      <c r="RE142" s="82"/>
      <c r="RF142" s="82"/>
      <c r="RG142" s="82"/>
      <c r="RH142" s="82"/>
      <c r="RI142" s="82"/>
      <c r="RJ142" s="82"/>
      <c r="RK142" s="82"/>
      <c r="RL142" s="82"/>
      <c r="RM142" s="82"/>
      <c r="RN142" s="82"/>
      <c r="RO142" s="82"/>
      <c r="RP142" s="82"/>
      <c r="RQ142" s="82"/>
      <c r="RR142" s="82"/>
      <c r="RS142" s="82"/>
      <c r="RT142" s="82"/>
      <c r="RU142" s="82"/>
      <c r="RV142" s="82"/>
      <c r="RW142" s="82"/>
      <c r="RX142" s="82"/>
      <c r="RY142" s="82"/>
    </row>
    <row r="143" spans="3:493" ht="14.25" customHeight="1">
      <c r="C143" s="1755"/>
      <c r="D143" s="1755"/>
      <c r="E143" s="89"/>
      <c r="F143" s="1"/>
      <c r="G143" s="82"/>
      <c r="H143" s="1506" t="s">
        <v>3116</v>
      </c>
      <c r="I143" s="780"/>
      <c r="J143" s="82"/>
      <c r="K143" s="1764">
        <f>IT49</f>
        <v>0</v>
      </c>
      <c r="L143" s="1765">
        <f>IU49</f>
        <v>0</v>
      </c>
      <c r="M143" s="1765">
        <f>IV49</f>
        <v>0</v>
      </c>
      <c r="N143" s="1765">
        <f>IW49</f>
        <v>0</v>
      </c>
      <c r="O143" s="1766">
        <f>IX49</f>
        <v>0</v>
      </c>
      <c r="P143" s="1767">
        <f t="shared" si="370"/>
        <v>0</v>
      </c>
      <c r="S143" s="3839"/>
      <c r="T143" s="3840"/>
      <c r="U143" s="3840"/>
      <c r="V143" s="3840"/>
      <c r="W143" s="3841"/>
      <c r="X143" s="432"/>
      <c r="AA143" s="432"/>
      <c r="AB143" s="435"/>
      <c r="AC143" s="432"/>
      <c r="AF143" s="432"/>
      <c r="AG143" s="435"/>
      <c r="AH143" s="432"/>
      <c r="AK143" s="432"/>
      <c r="AL143" s="435"/>
      <c r="AM143" s="432"/>
      <c r="AP143" s="432"/>
      <c r="AQ143" s="435"/>
      <c r="AR143" s="436"/>
      <c r="AS143" s="436"/>
      <c r="AT143" s="436"/>
      <c r="AU143" s="436"/>
      <c r="AV143" s="436"/>
      <c r="AW143" s="436"/>
      <c r="AX143" s="577"/>
      <c r="BB143" s="436"/>
      <c r="BC143" s="577"/>
      <c r="JW143" s="430"/>
      <c r="KB143" s="430"/>
      <c r="KG143" s="430"/>
      <c r="KL143" s="430"/>
      <c r="KM143" s="430"/>
      <c r="KN143" s="430"/>
      <c r="KO143" s="430"/>
      <c r="KP143" s="430"/>
      <c r="KQ143" s="430"/>
      <c r="KR143" s="430"/>
      <c r="KS143" s="430"/>
      <c r="KT143" s="430"/>
      <c r="KU143" s="430"/>
      <c r="KV143" s="430"/>
      <c r="KW143" s="430"/>
      <c r="KX143" s="430"/>
      <c r="KY143" s="430"/>
      <c r="KZ143" s="430"/>
      <c r="LA143" s="430"/>
      <c r="LB143" s="430"/>
      <c r="LC143" s="430"/>
      <c r="LD143" s="430"/>
      <c r="LE143" s="430"/>
      <c r="LF143" s="430"/>
      <c r="LG143" s="430"/>
      <c r="LO143" s="434"/>
      <c r="MD143" s="430"/>
      <c r="ME143" s="430"/>
      <c r="NC143" s="82"/>
      <c r="ND143" s="82"/>
      <c r="NE143" s="82"/>
      <c r="NF143" s="82"/>
      <c r="NG143" s="82"/>
      <c r="NH143" s="82"/>
      <c r="NI143" s="82"/>
      <c r="NJ143" s="82"/>
      <c r="NK143" s="82"/>
      <c r="NL143" s="82"/>
      <c r="NM143" s="82"/>
      <c r="NN143" s="82"/>
      <c r="NO143" s="82"/>
      <c r="NQ143" s="82"/>
      <c r="NR143" s="82"/>
      <c r="NS143" s="82"/>
      <c r="NT143" s="82"/>
      <c r="NU143" s="82"/>
      <c r="NV143" s="82"/>
      <c r="NW143" s="82"/>
      <c r="NX143" s="82"/>
      <c r="NY143" s="82"/>
      <c r="NZ143" s="82"/>
      <c r="OA143" s="82"/>
      <c r="OB143" s="82"/>
      <c r="OC143" s="82"/>
      <c r="OD143" s="82"/>
      <c r="OE143" s="82"/>
      <c r="OF143" s="82"/>
      <c r="OG143" s="82"/>
      <c r="OH143" s="82"/>
      <c r="OI143" s="82"/>
      <c r="OJ143" s="82"/>
      <c r="OK143" s="82"/>
      <c r="OL143" s="82"/>
      <c r="OM143" s="82"/>
      <c r="ON143" s="82"/>
      <c r="OO143" s="82"/>
      <c r="OP143" s="82"/>
      <c r="OQ143" s="82"/>
      <c r="OR143" s="82"/>
      <c r="OS143" s="82"/>
      <c r="OT143" s="82"/>
      <c r="OU143" s="82"/>
      <c r="OV143" s="82"/>
      <c r="OW143" s="82"/>
      <c r="OX143" s="82"/>
      <c r="OY143" s="82"/>
      <c r="OZ143" s="82"/>
      <c r="PA143" s="82"/>
      <c r="PB143" s="82"/>
      <c r="PC143" s="82"/>
      <c r="PD143" s="82"/>
      <c r="PE143" s="82"/>
      <c r="PF143" s="82"/>
      <c r="PG143" s="82"/>
      <c r="PH143" s="82"/>
      <c r="PI143" s="82"/>
      <c r="PJ143" s="82"/>
      <c r="PK143" s="82"/>
      <c r="PL143" s="82"/>
      <c r="PM143" s="82"/>
      <c r="PN143" s="82"/>
      <c r="PO143" s="82"/>
      <c r="PP143" s="82"/>
      <c r="PQ143" s="82"/>
      <c r="PR143" s="82"/>
      <c r="PS143" s="82"/>
      <c r="PT143" s="82"/>
      <c r="PU143" s="82"/>
      <c r="PV143" s="82"/>
      <c r="PW143" s="82"/>
      <c r="PX143" s="82"/>
      <c r="PY143" s="82"/>
      <c r="PZ143" s="82"/>
      <c r="QA143" s="82"/>
      <c r="QB143" s="82"/>
      <c r="QC143" s="82"/>
      <c r="QD143" s="82"/>
      <c r="QE143" s="82"/>
      <c r="QF143" s="82"/>
      <c r="QG143" s="82"/>
      <c r="QH143" s="82"/>
      <c r="QI143" s="82"/>
      <c r="QJ143" s="82"/>
      <c r="QK143" s="82"/>
      <c r="QL143" s="82"/>
      <c r="QM143" s="82"/>
      <c r="QN143" s="82"/>
      <c r="QO143" s="82"/>
      <c r="QP143" s="82"/>
      <c r="QQ143" s="82"/>
      <c r="QR143" s="82"/>
      <c r="QS143" s="82"/>
      <c r="QT143" s="82"/>
      <c r="QU143" s="82"/>
      <c r="QV143" s="82"/>
      <c r="QW143" s="82"/>
      <c r="QX143" s="82"/>
      <c r="QY143" s="82"/>
      <c r="QZ143" s="82"/>
      <c r="RA143" s="82"/>
      <c r="RB143" s="82"/>
      <c r="RC143" s="82"/>
      <c r="RD143" s="82"/>
      <c r="RE143" s="82"/>
      <c r="RF143" s="82"/>
      <c r="RG143" s="82"/>
      <c r="RH143" s="82"/>
      <c r="RI143" s="82"/>
      <c r="RJ143" s="82"/>
      <c r="RK143" s="82"/>
      <c r="RL143" s="82"/>
      <c r="RM143" s="82"/>
      <c r="RN143" s="82"/>
      <c r="RO143" s="82"/>
      <c r="RP143" s="82"/>
      <c r="RQ143" s="82"/>
      <c r="RR143" s="82"/>
      <c r="RS143" s="82"/>
      <c r="RT143" s="82"/>
      <c r="RU143" s="82"/>
      <c r="RV143" s="82"/>
      <c r="RW143" s="82"/>
      <c r="RX143" s="82"/>
      <c r="RY143" s="82"/>
    </row>
    <row r="144" spans="3:493" ht="10.5" customHeight="1" thickBot="1">
      <c r="C144" s="93"/>
      <c r="D144" s="146"/>
      <c r="G144" s="82"/>
      <c r="H144" s="459"/>
      <c r="I144" s="793"/>
      <c r="J144" s="82"/>
      <c r="K144" s="544"/>
      <c r="L144" s="544"/>
      <c r="M144" s="544"/>
      <c r="N144" s="544"/>
      <c r="O144" s="544"/>
      <c r="P144" s="544"/>
      <c r="ME144" s="430"/>
      <c r="NC144" s="82"/>
      <c r="ND144" s="82"/>
      <c r="NE144" s="82"/>
      <c r="NF144" s="82"/>
      <c r="NG144" s="82"/>
      <c r="NH144" s="82"/>
      <c r="NI144" s="82"/>
      <c r="NJ144" s="82"/>
      <c r="NK144" s="82"/>
      <c r="NL144" s="82"/>
      <c r="NM144" s="82"/>
      <c r="NN144" s="82"/>
      <c r="NO144" s="82"/>
      <c r="NQ144" s="82"/>
      <c r="NR144" s="82"/>
      <c r="NS144" s="82"/>
      <c r="NT144" s="82"/>
      <c r="NU144" s="82"/>
      <c r="NV144" s="82"/>
      <c r="NW144" s="82"/>
      <c r="NX144" s="82"/>
      <c r="NY144" s="82"/>
      <c r="NZ144" s="82"/>
      <c r="OA144" s="82"/>
      <c r="OB144" s="82"/>
      <c r="OC144" s="82"/>
      <c r="OD144" s="82"/>
      <c r="OE144" s="82"/>
      <c r="OF144" s="82"/>
      <c r="OG144" s="82"/>
      <c r="OH144" s="82"/>
      <c r="OI144" s="82"/>
      <c r="OJ144" s="82"/>
      <c r="OK144" s="82"/>
      <c r="OL144" s="82"/>
      <c r="OM144" s="82"/>
      <c r="ON144" s="82"/>
      <c r="OO144" s="82"/>
      <c r="OP144" s="82"/>
      <c r="OQ144" s="82"/>
      <c r="OR144" s="82"/>
      <c r="OS144" s="82"/>
      <c r="OT144" s="82"/>
      <c r="OU144" s="82"/>
      <c r="OV144" s="82"/>
      <c r="OW144" s="82"/>
      <c r="OX144" s="82"/>
      <c r="OY144" s="82"/>
      <c r="OZ144" s="82"/>
      <c r="PA144" s="82"/>
      <c r="PB144" s="82"/>
      <c r="PC144" s="82"/>
      <c r="PD144" s="82"/>
      <c r="PE144" s="82"/>
      <c r="PF144" s="82"/>
      <c r="PG144" s="82"/>
      <c r="PH144" s="82"/>
      <c r="PI144" s="82"/>
      <c r="PJ144" s="82"/>
      <c r="PK144" s="82"/>
      <c r="PL144" s="82"/>
      <c r="PM144" s="82"/>
      <c r="PN144" s="82"/>
      <c r="PO144" s="82"/>
      <c r="PP144" s="82"/>
      <c r="PQ144" s="82"/>
      <c r="PR144" s="82"/>
      <c r="PS144" s="82"/>
      <c r="PT144" s="82"/>
      <c r="PU144" s="82"/>
      <c r="PV144" s="82"/>
      <c r="PW144" s="82"/>
      <c r="PX144" s="82"/>
      <c r="PY144" s="82"/>
      <c r="PZ144" s="82"/>
      <c r="QA144" s="82"/>
      <c r="QB144" s="82"/>
      <c r="QC144" s="82"/>
      <c r="QD144" s="82"/>
      <c r="QE144" s="82"/>
      <c r="QF144" s="82"/>
      <c r="QG144" s="82"/>
      <c r="QH144" s="82"/>
      <c r="QI144" s="82"/>
      <c r="QJ144" s="82"/>
      <c r="QK144" s="82"/>
      <c r="QL144" s="82"/>
      <c r="QM144" s="82"/>
      <c r="QN144" s="82"/>
      <c r="QO144" s="82"/>
      <c r="QP144" s="82"/>
      <c r="QQ144" s="82"/>
      <c r="QR144" s="82"/>
      <c r="QS144" s="82"/>
      <c r="QT144" s="82"/>
      <c r="QU144" s="82"/>
      <c r="QV144" s="82"/>
      <c r="QW144" s="82"/>
      <c r="QX144" s="82"/>
      <c r="QY144" s="82"/>
      <c r="QZ144" s="82"/>
      <c r="RA144" s="82"/>
      <c r="RB144" s="82"/>
      <c r="RC144" s="82"/>
      <c r="RD144" s="82"/>
      <c r="RE144" s="82"/>
      <c r="RF144" s="82"/>
      <c r="RG144" s="82"/>
      <c r="RH144" s="82"/>
      <c r="RI144" s="82"/>
      <c r="RJ144" s="82"/>
      <c r="RK144" s="82"/>
      <c r="RL144" s="82"/>
      <c r="RM144" s="82"/>
      <c r="RN144" s="82"/>
      <c r="RO144" s="82"/>
      <c r="RP144" s="82"/>
      <c r="RQ144" s="82"/>
      <c r="RR144" s="82"/>
      <c r="RS144" s="82"/>
      <c r="RT144" s="82"/>
      <c r="RU144" s="82"/>
      <c r="RV144" s="82"/>
      <c r="RW144" s="82"/>
      <c r="RX144" s="82"/>
      <c r="RY144" s="82"/>
    </row>
    <row r="145" spans="1:493" ht="14.45" customHeight="1" thickBot="1">
      <c r="A145" s="13" t="s">
        <v>710</v>
      </c>
      <c r="B145" s="13" t="s">
        <v>4055</v>
      </c>
      <c r="H145" s="89"/>
      <c r="L145" s="3842" t="str">
        <f>$L$53</f>
        <v>40% of Units at 60% of AMI</v>
      </c>
      <c r="M145" s="3843"/>
      <c r="N145" s="3843"/>
      <c r="O145" s="3844"/>
      <c r="P145" s="82"/>
      <c r="S145" s="3857" t="str">
        <f>B145</f>
        <v>UNIT SUMMARY (Continued)</v>
      </c>
      <c r="T145" s="3857"/>
      <c r="U145" s="3857"/>
      <c r="V145" s="3857"/>
      <c r="X145" s="577"/>
      <c r="AA145" s="577"/>
      <c r="AB145" s="577"/>
      <c r="AC145" s="577"/>
      <c r="AF145" s="577"/>
      <c r="AG145" s="577"/>
      <c r="AH145" s="577"/>
      <c r="AK145" s="577"/>
      <c r="AL145" s="577"/>
      <c r="AM145" s="577"/>
      <c r="AP145" s="577"/>
      <c r="AQ145" s="577"/>
      <c r="AR145" s="577"/>
      <c r="AS145" s="577"/>
      <c r="AT145" s="577"/>
      <c r="AU145" s="577"/>
      <c r="AV145" s="577"/>
      <c r="AW145" s="577"/>
      <c r="AX145" s="577"/>
      <c r="AY145" s="432"/>
      <c r="BB145" s="577"/>
      <c r="BC145" s="577"/>
      <c r="BD145" s="432"/>
      <c r="LO145" s="434"/>
      <c r="MD145" s="430"/>
      <c r="ME145" s="430"/>
      <c r="NC145" s="82"/>
      <c r="ND145" s="82"/>
      <c r="NE145" s="82"/>
      <c r="NF145" s="82"/>
      <c r="NG145" s="82"/>
      <c r="NH145" s="82"/>
      <c r="NI145" s="82"/>
      <c r="NJ145" s="82"/>
      <c r="NK145" s="82"/>
      <c r="NL145" s="82"/>
      <c r="NM145" s="82"/>
      <c r="NN145" s="82"/>
      <c r="NO145" s="82"/>
      <c r="NQ145" s="82"/>
      <c r="NR145" s="82"/>
      <c r="NS145" s="82"/>
      <c r="NT145" s="82"/>
      <c r="NU145" s="82"/>
      <c r="NV145" s="82"/>
      <c r="NW145" s="82"/>
      <c r="NX145" s="82"/>
      <c r="NY145" s="82"/>
      <c r="NZ145" s="82"/>
      <c r="OA145" s="82"/>
      <c r="OB145" s="82"/>
      <c r="OC145" s="82"/>
      <c r="OD145" s="82"/>
      <c r="OE145" s="82"/>
      <c r="OF145" s="82"/>
      <c r="OG145" s="82"/>
      <c r="OH145" s="82"/>
      <c r="OI145" s="82"/>
      <c r="OJ145" s="82"/>
      <c r="OK145" s="82"/>
      <c r="OL145" s="82"/>
      <c r="OM145" s="82"/>
      <c r="ON145" s="82"/>
      <c r="OO145" s="82"/>
      <c r="OP145" s="82"/>
      <c r="OQ145" s="82"/>
      <c r="OR145" s="82"/>
      <c r="OS145" s="82"/>
      <c r="OT145" s="82"/>
      <c r="OU145" s="82"/>
      <c r="OV145" s="82"/>
      <c r="OW145" s="82"/>
      <c r="OX145" s="82"/>
      <c r="OY145" s="82"/>
      <c r="OZ145" s="82"/>
      <c r="PA145" s="82"/>
      <c r="PB145" s="82"/>
      <c r="PC145" s="82"/>
      <c r="PD145" s="82"/>
      <c r="PE145" s="82"/>
      <c r="PF145" s="82"/>
      <c r="PG145" s="82"/>
      <c r="PH145" s="82"/>
      <c r="PI145" s="82"/>
      <c r="PJ145" s="82"/>
      <c r="PK145" s="82"/>
      <c r="PL145" s="82"/>
      <c r="PM145" s="82"/>
      <c r="PN145" s="82"/>
      <c r="PO145" s="82"/>
      <c r="PP145" s="82"/>
      <c r="PQ145" s="82"/>
      <c r="PR145" s="82"/>
      <c r="PS145" s="82"/>
      <c r="PT145" s="82"/>
      <c r="PU145" s="82"/>
      <c r="PV145" s="82"/>
      <c r="PW145" s="82"/>
      <c r="PX145" s="82"/>
      <c r="PY145" s="82"/>
      <c r="PZ145" s="82"/>
      <c r="QA145" s="82"/>
      <c r="QB145" s="82"/>
      <c r="QC145" s="82"/>
      <c r="QD145" s="82"/>
      <c r="QE145" s="82"/>
      <c r="QF145" s="82"/>
      <c r="QG145" s="82"/>
      <c r="QH145" s="82"/>
      <c r="QI145" s="82"/>
      <c r="QJ145" s="82"/>
      <c r="QK145" s="82"/>
      <c r="QL145" s="82"/>
      <c r="QM145" s="82"/>
      <c r="QN145" s="82"/>
      <c r="QO145" s="82"/>
      <c r="QP145" s="82"/>
      <c r="QQ145" s="82"/>
      <c r="QR145" s="82"/>
      <c r="QS145" s="82"/>
      <c r="QT145" s="82"/>
      <c r="QU145" s="82"/>
      <c r="QV145" s="82"/>
      <c r="QW145" s="82"/>
      <c r="QX145" s="82"/>
      <c r="QY145" s="82"/>
      <c r="QZ145" s="82"/>
      <c r="RA145" s="82"/>
      <c r="RB145" s="82"/>
      <c r="RC145" s="82"/>
      <c r="RD145" s="82"/>
      <c r="RE145" s="82"/>
      <c r="RF145" s="82"/>
      <c r="RG145" s="82"/>
      <c r="RH145" s="82"/>
      <c r="RI145" s="82"/>
      <c r="RJ145" s="82"/>
      <c r="RK145" s="82"/>
      <c r="RL145" s="82"/>
      <c r="RM145" s="82"/>
      <c r="RN145" s="82"/>
      <c r="RO145" s="82"/>
      <c r="RP145" s="82"/>
      <c r="RQ145" s="82"/>
      <c r="RR145" s="82"/>
      <c r="RS145" s="82"/>
      <c r="RT145" s="82"/>
      <c r="RU145" s="82"/>
      <c r="RV145" s="82"/>
      <c r="RW145" s="82"/>
      <c r="RX145" s="82"/>
      <c r="RY145" s="82"/>
    </row>
    <row r="146" spans="1:493" ht="9" customHeight="1">
      <c r="A146" s="13"/>
      <c r="B146" s="13"/>
      <c r="H146" s="89"/>
      <c r="P146" s="82"/>
      <c r="Q146" s="1294"/>
      <c r="S146" s="289" t="str">
        <f>C147</f>
        <v>Building Type:
(for Cost Limit purposes only - see Application Instructions for further detail)</v>
      </c>
      <c r="T146" s="395"/>
      <c r="U146" s="1321"/>
      <c r="X146" s="577"/>
      <c r="AA146" s="577"/>
      <c r="AB146" s="577"/>
      <c r="AC146" s="577"/>
      <c r="AF146" s="577"/>
      <c r="AG146" s="577"/>
      <c r="AH146" s="577"/>
      <c r="AK146" s="577"/>
      <c r="AL146" s="577"/>
      <c r="AM146" s="577"/>
      <c r="AP146" s="577"/>
      <c r="AQ146" s="577"/>
      <c r="AR146" s="577"/>
      <c r="AS146" s="577"/>
      <c r="AT146" s="577"/>
      <c r="AU146" s="577"/>
      <c r="AV146" s="577"/>
      <c r="AW146" s="577"/>
      <c r="AX146" s="577"/>
      <c r="AY146" s="432"/>
      <c r="BB146" s="577"/>
      <c r="BC146" s="577"/>
      <c r="BD146" s="432"/>
      <c r="LO146" s="434"/>
      <c r="MD146" s="430"/>
      <c r="ME146" s="430"/>
      <c r="NC146" s="82"/>
      <c r="ND146" s="82"/>
      <c r="NE146" s="82"/>
      <c r="NF146" s="82"/>
      <c r="NG146" s="82"/>
      <c r="NH146" s="82"/>
      <c r="NI146" s="82"/>
      <c r="NJ146" s="82"/>
      <c r="NK146" s="82"/>
      <c r="NL146" s="82"/>
      <c r="NM146" s="82"/>
      <c r="NN146" s="82"/>
      <c r="NO146" s="82"/>
      <c r="NQ146" s="82"/>
      <c r="NR146" s="82"/>
      <c r="NS146" s="82"/>
      <c r="NT146" s="82"/>
      <c r="NU146" s="82"/>
      <c r="NV146" s="82"/>
      <c r="NW146" s="82"/>
      <c r="NX146" s="82"/>
      <c r="NY146" s="82"/>
      <c r="NZ146" s="82"/>
      <c r="OA146" s="82"/>
      <c r="OB146" s="82"/>
      <c r="OC146" s="82"/>
      <c r="OD146" s="82"/>
      <c r="OE146" s="82"/>
      <c r="OF146" s="82"/>
      <c r="OG146" s="82"/>
      <c r="OH146" s="82"/>
      <c r="OI146" s="82"/>
      <c r="OJ146" s="82"/>
      <c r="OK146" s="82"/>
      <c r="OL146" s="82"/>
      <c r="OM146" s="82"/>
      <c r="ON146" s="82"/>
      <c r="OO146" s="82"/>
      <c r="OP146" s="82"/>
      <c r="OQ146" s="82"/>
      <c r="OR146" s="82"/>
      <c r="OS146" s="82"/>
      <c r="OT146" s="82"/>
      <c r="OU146" s="82"/>
      <c r="OV146" s="82"/>
      <c r="OW146" s="82"/>
      <c r="OX146" s="82"/>
      <c r="OY146" s="82"/>
      <c r="OZ146" s="82"/>
      <c r="PA146" s="82"/>
      <c r="PB146" s="82"/>
      <c r="PC146" s="82"/>
      <c r="PD146" s="82"/>
      <c r="PE146" s="82"/>
      <c r="PF146" s="82"/>
      <c r="PG146" s="82"/>
      <c r="PH146" s="82"/>
      <c r="PI146" s="82"/>
      <c r="PJ146" s="82"/>
      <c r="PK146" s="82"/>
      <c r="PL146" s="82"/>
      <c r="PM146" s="82"/>
      <c r="PN146" s="82"/>
      <c r="PO146" s="82"/>
      <c r="PP146" s="82"/>
      <c r="PQ146" s="82"/>
      <c r="PR146" s="82"/>
      <c r="PS146" s="82"/>
      <c r="PT146" s="82"/>
      <c r="PU146" s="82"/>
      <c r="PV146" s="82"/>
      <c r="PW146" s="82"/>
      <c r="PX146" s="82"/>
      <c r="PY146" s="82"/>
      <c r="PZ146" s="82"/>
      <c r="QA146" s="82"/>
      <c r="QB146" s="82"/>
      <c r="QC146" s="82"/>
      <c r="QD146" s="82"/>
      <c r="QE146" s="82"/>
      <c r="QF146" s="82"/>
      <c r="QG146" s="82"/>
      <c r="QH146" s="82"/>
      <c r="QI146" s="82"/>
      <c r="QJ146" s="82"/>
      <c r="QK146" s="82"/>
      <c r="QL146" s="82"/>
      <c r="QM146" s="82"/>
      <c r="QN146" s="82"/>
      <c r="QO146" s="82"/>
      <c r="QP146" s="82"/>
      <c r="QQ146" s="82"/>
      <c r="QR146" s="82"/>
      <c r="QS146" s="82"/>
      <c r="QT146" s="82"/>
      <c r="QU146" s="82"/>
      <c r="QV146" s="82"/>
      <c r="QW146" s="82"/>
      <c r="QX146" s="82"/>
      <c r="QY146" s="82"/>
      <c r="QZ146" s="82"/>
      <c r="RA146" s="82"/>
      <c r="RB146" s="82"/>
      <c r="RC146" s="82"/>
      <c r="RD146" s="82"/>
      <c r="RE146" s="82"/>
      <c r="RF146" s="82"/>
      <c r="RG146" s="82"/>
      <c r="RH146" s="82"/>
      <c r="RI146" s="82"/>
      <c r="RJ146" s="82"/>
      <c r="RK146" s="82"/>
      <c r="RL146" s="82"/>
      <c r="RM146" s="82"/>
      <c r="RN146" s="82"/>
      <c r="RO146" s="82"/>
      <c r="RP146" s="82"/>
      <c r="RQ146" s="82"/>
      <c r="RR146" s="82"/>
      <c r="RS146" s="82"/>
      <c r="RT146" s="82"/>
      <c r="RU146" s="82"/>
      <c r="RV146" s="82"/>
      <c r="RW146" s="82"/>
      <c r="RX146" s="82"/>
      <c r="RY146" s="82"/>
    </row>
    <row r="147" spans="1:493" ht="14.25" customHeight="1">
      <c r="C147" s="3903" t="s">
        <v>6820</v>
      </c>
      <c r="D147" s="3903"/>
      <c r="E147" s="978" t="s">
        <v>3111</v>
      </c>
      <c r="F147" s="979"/>
      <c r="G147" s="980"/>
      <c r="H147" s="1507"/>
      <c r="I147" s="983"/>
      <c r="J147" s="981"/>
      <c r="K147" s="1230">
        <f t="shared" ref="K147:O148" si="372">K136+K140+K142</f>
        <v>0</v>
      </c>
      <c r="L147" s="1231">
        <f>L136+L140+L142</f>
        <v>0</v>
      </c>
      <c r="M147" s="1231">
        <f t="shared" si="372"/>
        <v>0</v>
      </c>
      <c r="N147" s="1231">
        <f t="shared" si="372"/>
        <v>0</v>
      </c>
      <c r="O147" s="1232">
        <f t="shared" si="372"/>
        <v>0</v>
      </c>
      <c r="P147" s="1756">
        <f t="shared" ref="P147:P154" si="373">SUM(K147:O147)</f>
        <v>0</v>
      </c>
      <c r="S147" s="3854"/>
      <c r="T147" s="3855"/>
      <c r="U147" s="3855"/>
      <c r="V147" s="3855"/>
      <c r="W147" s="3856"/>
      <c r="X147" s="432"/>
      <c r="AA147" s="432"/>
      <c r="AB147" s="435"/>
      <c r="AC147" s="432"/>
      <c r="AF147" s="432"/>
      <c r="AG147" s="435"/>
      <c r="AH147" s="432"/>
      <c r="AK147" s="432"/>
      <c r="AL147" s="435"/>
      <c r="AM147" s="432"/>
      <c r="AP147" s="432"/>
      <c r="AQ147" s="435"/>
      <c r="AR147" s="436"/>
      <c r="AS147" s="436"/>
      <c r="AT147" s="436"/>
      <c r="AU147" s="436"/>
      <c r="AV147" s="436"/>
      <c r="AW147" s="436"/>
      <c r="AX147" s="577"/>
      <c r="BB147" s="436"/>
      <c r="BC147" s="577"/>
      <c r="JW147" s="430"/>
      <c r="KB147" s="430"/>
      <c r="KG147" s="430"/>
      <c r="KL147" s="430"/>
      <c r="KM147" s="430"/>
      <c r="KN147" s="430"/>
      <c r="KO147" s="430"/>
      <c r="KP147" s="430"/>
      <c r="KQ147" s="430"/>
      <c r="KR147" s="430"/>
      <c r="KS147" s="430"/>
      <c r="KT147" s="430"/>
      <c r="KU147" s="430"/>
      <c r="KV147" s="430"/>
      <c r="KW147" s="430"/>
      <c r="KX147" s="430"/>
      <c r="KY147" s="430"/>
      <c r="KZ147" s="430"/>
      <c r="LA147" s="430"/>
      <c r="LB147" s="430"/>
      <c r="LC147" s="430"/>
      <c r="LD147" s="430"/>
      <c r="LE147" s="430"/>
      <c r="LF147" s="430"/>
      <c r="LG147" s="430"/>
      <c r="LO147" s="434"/>
      <c r="MD147" s="430"/>
      <c r="ME147" s="430"/>
      <c r="NC147" s="82"/>
      <c r="ND147" s="82"/>
      <c r="NE147" s="82"/>
      <c r="NF147" s="82"/>
      <c r="NG147" s="82"/>
      <c r="NH147" s="82"/>
      <c r="NI147" s="82"/>
      <c r="NJ147" s="82"/>
      <c r="NK147" s="82"/>
      <c r="NL147" s="82"/>
      <c r="NM147" s="82"/>
      <c r="NN147" s="82"/>
      <c r="NO147" s="82"/>
      <c r="NQ147" s="82"/>
      <c r="NR147" s="82"/>
      <c r="NS147" s="82"/>
      <c r="NT147" s="82"/>
      <c r="NU147" s="82"/>
      <c r="NV147" s="82"/>
      <c r="NW147" s="82"/>
      <c r="NX147" s="82"/>
      <c r="NY147" s="82"/>
      <c r="NZ147" s="82"/>
      <c r="OA147" s="82"/>
      <c r="OB147" s="82"/>
      <c r="OC147" s="82"/>
      <c r="OD147" s="82"/>
      <c r="OE147" s="82"/>
      <c r="OF147" s="82"/>
      <c r="OG147" s="82"/>
      <c r="OH147" s="82"/>
      <c r="OI147" s="82"/>
      <c r="OJ147" s="82"/>
      <c r="OK147" s="82"/>
      <c r="OL147" s="82"/>
      <c r="OM147" s="82"/>
      <c r="ON147" s="82"/>
      <c r="OO147" s="82"/>
      <c r="OP147" s="82"/>
      <c r="OQ147" s="82"/>
      <c r="OR147" s="82"/>
      <c r="OS147" s="82"/>
      <c r="OT147" s="82"/>
      <c r="OU147" s="82"/>
      <c r="OV147" s="82"/>
      <c r="OW147" s="82"/>
      <c r="OX147" s="82"/>
      <c r="OY147" s="82"/>
      <c r="OZ147" s="82"/>
      <c r="PA147" s="82"/>
      <c r="PB147" s="82"/>
      <c r="PC147" s="82"/>
      <c r="PD147" s="82"/>
      <c r="PE147" s="82"/>
      <c r="PF147" s="82"/>
      <c r="PG147" s="82"/>
      <c r="PH147" s="82"/>
      <c r="PI147" s="82"/>
      <c r="PJ147" s="82"/>
      <c r="PK147" s="82"/>
      <c r="PL147" s="82"/>
      <c r="PM147" s="82"/>
      <c r="PN147" s="82"/>
      <c r="PO147" s="82"/>
      <c r="PP147" s="82"/>
      <c r="PQ147" s="82"/>
      <c r="PR147" s="82"/>
      <c r="PS147" s="82"/>
      <c r="PT147" s="82"/>
      <c r="PU147" s="82"/>
      <c r="PV147" s="82"/>
      <c r="PW147" s="82"/>
      <c r="PX147" s="82"/>
      <c r="PY147" s="82"/>
      <c r="PZ147" s="82"/>
      <c r="QA147" s="82"/>
      <c r="QB147" s="82"/>
      <c r="QC147" s="82"/>
      <c r="QD147" s="82"/>
      <c r="QE147" s="82"/>
      <c r="QF147" s="82"/>
      <c r="QG147" s="82"/>
      <c r="QH147" s="82"/>
      <c r="QI147" s="82"/>
      <c r="QJ147" s="82"/>
      <c r="QK147" s="82"/>
      <c r="QL147" s="82"/>
      <c r="QM147" s="82"/>
      <c r="QN147" s="82"/>
      <c r="QO147" s="82"/>
      <c r="QP147" s="82"/>
      <c r="QQ147" s="82"/>
      <c r="QR147" s="82"/>
      <c r="QS147" s="82"/>
      <c r="QT147" s="82"/>
      <c r="QU147" s="82"/>
      <c r="QV147" s="82"/>
      <c r="QW147" s="82"/>
      <c r="QX147" s="82"/>
      <c r="QY147" s="82"/>
      <c r="QZ147" s="82"/>
      <c r="RA147" s="82"/>
      <c r="RB147" s="82"/>
      <c r="RC147" s="82"/>
      <c r="RD147" s="82"/>
      <c r="RE147" s="82"/>
      <c r="RF147" s="82"/>
      <c r="RG147" s="82"/>
      <c r="RH147" s="82"/>
      <c r="RI147" s="82"/>
      <c r="RJ147" s="82"/>
      <c r="RK147" s="82"/>
      <c r="RL147" s="82"/>
      <c r="RM147" s="82"/>
      <c r="RN147" s="82"/>
      <c r="RO147" s="82"/>
      <c r="RP147" s="82"/>
      <c r="RQ147" s="82"/>
      <c r="RR147" s="82"/>
      <c r="RS147" s="82"/>
      <c r="RT147" s="82"/>
      <c r="RU147" s="82"/>
      <c r="RV147" s="82"/>
      <c r="RW147" s="82"/>
      <c r="RX147" s="82"/>
      <c r="RY147" s="82"/>
    </row>
    <row r="148" spans="1:493" ht="14.25" customHeight="1">
      <c r="C148" s="3904"/>
      <c r="D148" s="3904"/>
      <c r="E148" s="102"/>
      <c r="F148" s="465"/>
      <c r="G148" s="150"/>
      <c r="H148" s="1505" t="s">
        <v>3116</v>
      </c>
      <c r="I148" s="94"/>
      <c r="J148" s="982"/>
      <c r="K148" s="1760">
        <f t="shared" si="372"/>
        <v>0</v>
      </c>
      <c r="L148" s="1761">
        <f t="shared" si="372"/>
        <v>0</v>
      </c>
      <c r="M148" s="1761">
        <f t="shared" si="372"/>
        <v>0</v>
      </c>
      <c r="N148" s="1761">
        <f t="shared" si="372"/>
        <v>0</v>
      </c>
      <c r="O148" s="1762">
        <f t="shared" si="372"/>
        <v>0</v>
      </c>
      <c r="P148" s="1763">
        <f t="shared" si="373"/>
        <v>0</v>
      </c>
      <c r="S148" s="3833"/>
      <c r="T148" s="3834"/>
      <c r="U148" s="3834"/>
      <c r="V148" s="3834"/>
      <c r="W148" s="3835"/>
      <c r="X148" s="432"/>
      <c r="AA148" s="432"/>
      <c r="AB148" s="435"/>
      <c r="AC148" s="432"/>
      <c r="AF148" s="432"/>
      <c r="AG148" s="435"/>
      <c r="AH148" s="432"/>
      <c r="AK148" s="432"/>
      <c r="AL148" s="435"/>
      <c r="AM148" s="432"/>
      <c r="AP148" s="432"/>
      <c r="AQ148" s="435"/>
      <c r="AR148" s="436"/>
      <c r="AS148" s="436"/>
      <c r="AT148" s="436"/>
      <c r="AU148" s="436"/>
      <c r="AV148" s="436"/>
      <c r="AW148" s="436"/>
      <c r="AX148" s="577"/>
      <c r="BB148" s="436"/>
      <c r="BC148" s="577"/>
      <c r="JW148" s="430"/>
      <c r="KB148" s="430"/>
      <c r="KG148" s="430"/>
      <c r="KL148" s="430"/>
      <c r="KM148" s="430"/>
      <c r="KN148" s="430"/>
      <c r="KO148" s="430"/>
      <c r="KP148" s="430"/>
      <c r="KQ148" s="430"/>
      <c r="KR148" s="430"/>
      <c r="KS148" s="430"/>
      <c r="KT148" s="430"/>
      <c r="KU148" s="430"/>
      <c r="KV148" s="430"/>
      <c r="KW148" s="430"/>
      <c r="KX148" s="430"/>
      <c r="KY148" s="430"/>
      <c r="KZ148" s="430"/>
      <c r="LA148" s="430"/>
      <c r="LB148" s="430"/>
      <c r="LC148" s="430"/>
      <c r="LD148" s="430"/>
      <c r="LE148" s="430"/>
      <c r="LF148" s="430"/>
      <c r="LG148" s="430"/>
      <c r="LO148" s="434"/>
      <c r="MD148" s="430"/>
      <c r="ME148" s="430"/>
      <c r="NC148" s="82"/>
      <c r="ND148" s="82"/>
      <c r="NE148" s="82"/>
      <c r="NF148" s="82"/>
      <c r="NG148" s="82"/>
      <c r="NH148" s="82"/>
      <c r="NI148" s="82"/>
      <c r="NJ148" s="82"/>
      <c r="NK148" s="82"/>
      <c r="NL148" s="82"/>
      <c r="NM148" s="82"/>
      <c r="NN148" s="82"/>
      <c r="NO148" s="82"/>
      <c r="NQ148" s="82"/>
      <c r="NR148" s="82"/>
      <c r="NS148" s="82"/>
      <c r="NT148" s="82"/>
      <c r="NU148" s="82"/>
      <c r="NV148" s="82"/>
      <c r="NW148" s="82"/>
      <c r="NX148" s="82"/>
      <c r="NY148" s="82"/>
      <c r="NZ148" s="82"/>
      <c r="OA148" s="82"/>
      <c r="OB148" s="82"/>
      <c r="OC148" s="82"/>
      <c r="OD148" s="82"/>
      <c r="OE148" s="82"/>
      <c r="OF148" s="82"/>
      <c r="OG148" s="82"/>
      <c r="OH148" s="82"/>
      <c r="OI148" s="82"/>
      <c r="OJ148" s="82"/>
      <c r="OK148" s="82"/>
      <c r="OL148" s="82"/>
      <c r="OM148" s="82"/>
      <c r="ON148" s="82"/>
      <c r="OO148" s="82"/>
      <c r="OP148" s="82"/>
      <c r="OQ148" s="82"/>
      <c r="OR148" s="82"/>
      <c r="OS148" s="82"/>
      <c r="OT148" s="82"/>
      <c r="OU148" s="82"/>
      <c r="OV148" s="82"/>
      <c r="OW148" s="82"/>
      <c r="OX148" s="82"/>
      <c r="OY148" s="82"/>
      <c r="OZ148" s="82"/>
      <c r="PA148" s="82"/>
      <c r="PB148" s="82"/>
      <c r="PC148" s="82"/>
      <c r="PD148" s="82"/>
      <c r="PE148" s="82"/>
      <c r="PF148" s="82"/>
      <c r="PG148" s="82"/>
      <c r="PH148" s="82"/>
      <c r="PI148" s="82"/>
      <c r="PJ148" s="82"/>
      <c r="PK148" s="82"/>
      <c r="PL148" s="82"/>
      <c r="PM148" s="82"/>
      <c r="PN148" s="82"/>
      <c r="PO148" s="82"/>
      <c r="PP148" s="82"/>
      <c r="PQ148" s="82"/>
      <c r="PR148" s="82"/>
      <c r="PS148" s="82"/>
      <c r="PT148" s="82"/>
      <c r="PU148" s="82"/>
      <c r="PV148" s="82"/>
      <c r="PW148" s="82"/>
      <c r="PX148" s="82"/>
      <c r="PY148" s="82"/>
      <c r="PZ148" s="82"/>
      <c r="QA148" s="82"/>
      <c r="QB148" s="82"/>
      <c r="QC148" s="82"/>
      <c r="QD148" s="82"/>
      <c r="QE148" s="82"/>
      <c r="QF148" s="82"/>
      <c r="QG148" s="82"/>
      <c r="QH148" s="82"/>
      <c r="QI148" s="82"/>
      <c r="QJ148" s="82"/>
      <c r="QK148" s="82"/>
      <c r="QL148" s="82"/>
      <c r="QM148" s="82"/>
      <c r="QN148" s="82"/>
      <c r="QO148" s="82"/>
      <c r="QP148" s="82"/>
      <c r="QQ148" s="82"/>
      <c r="QR148" s="82"/>
      <c r="QS148" s="82"/>
      <c r="QT148" s="82"/>
      <c r="QU148" s="82"/>
      <c r="QV148" s="82"/>
      <c r="QW148" s="82"/>
      <c r="QX148" s="82"/>
      <c r="QY148" s="82"/>
      <c r="QZ148" s="82"/>
      <c r="RA148" s="82"/>
      <c r="RB148" s="82"/>
      <c r="RC148" s="82"/>
      <c r="RD148" s="82"/>
      <c r="RE148" s="82"/>
      <c r="RF148" s="82"/>
      <c r="RG148" s="82"/>
      <c r="RH148" s="82"/>
      <c r="RI148" s="82"/>
      <c r="RJ148" s="82"/>
      <c r="RK148" s="82"/>
      <c r="RL148" s="82"/>
      <c r="RM148" s="82"/>
      <c r="RN148" s="82"/>
      <c r="RO148" s="82"/>
      <c r="RP148" s="82"/>
      <c r="RQ148" s="82"/>
      <c r="RR148" s="82"/>
      <c r="RS148" s="82"/>
      <c r="RT148" s="82"/>
      <c r="RU148" s="82"/>
      <c r="RV148" s="82"/>
      <c r="RW148" s="82"/>
      <c r="RX148" s="82"/>
      <c r="RY148" s="82"/>
    </row>
    <row r="149" spans="1:493" ht="14.25" customHeight="1">
      <c r="C149" s="3904"/>
      <c r="D149" s="3904"/>
      <c r="E149" s="102" t="s">
        <v>3112</v>
      </c>
      <c r="F149" s="465"/>
      <c r="G149" s="150"/>
      <c r="H149" s="926"/>
      <c r="I149" s="465"/>
      <c r="J149" s="982"/>
      <c r="K149" s="1236">
        <f t="shared" ref="K149:O150" si="374">K138</f>
        <v>0</v>
      </c>
      <c r="L149" s="1237">
        <f t="shared" si="374"/>
        <v>0</v>
      </c>
      <c r="M149" s="1237">
        <f t="shared" si="374"/>
        <v>0</v>
      </c>
      <c r="N149" s="1237">
        <f t="shared" si="374"/>
        <v>0</v>
      </c>
      <c r="O149" s="1238">
        <f t="shared" si="374"/>
        <v>0</v>
      </c>
      <c r="P149" s="1757">
        <f t="shared" si="373"/>
        <v>0</v>
      </c>
      <c r="S149" s="3833"/>
      <c r="T149" s="3834"/>
      <c r="U149" s="3834"/>
      <c r="V149" s="3834"/>
      <c r="W149" s="3835"/>
      <c r="X149" s="432"/>
      <c r="AA149" s="432"/>
      <c r="AB149" s="435"/>
      <c r="AC149" s="432"/>
      <c r="AF149" s="432"/>
      <c r="AG149" s="435"/>
      <c r="AH149" s="432"/>
      <c r="AK149" s="432"/>
      <c r="AL149" s="435"/>
      <c r="AM149" s="432"/>
      <c r="AP149" s="432"/>
      <c r="AQ149" s="435"/>
      <c r="AR149" s="436"/>
      <c r="AS149" s="436"/>
      <c r="AT149" s="436"/>
      <c r="AU149" s="436"/>
      <c r="AV149" s="436"/>
      <c r="AW149" s="436"/>
      <c r="AX149" s="577"/>
      <c r="BB149" s="436"/>
      <c r="BC149" s="577"/>
      <c r="JW149" s="430"/>
      <c r="KB149" s="430"/>
      <c r="KG149" s="430"/>
      <c r="KL149" s="430"/>
      <c r="KM149" s="430"/>
      <c r="KN149" s="430"/>
      <c r="KO149" s="430"/>
      <c r="KP149" s="430"/>
      <c r="KQ149" s="430"/>
      <c r="KR149" s="430"/>
      <c r="KS149" s="430"/>
      <c r="KT149" s="430"/>
      <c r="KU149" s="430"/>
      <c r="KV149" s="430"/>
      <c r="KW149" s="430"/>
      <c r="KX149" s="430"/>
      <c r="KY149" s="430"/>
      <c r="KZ149" s="430"/>
      <c r="LA149" s="430"/>
      <c r="LB149" s="430"/>
      <c r="LC149" s="430"/>
      <c r="LD149" s="430"/>
      <c r="LE149" s="430"/>
      <c r="LF149" s="430"/>
      <c r="LG149" s="430"/>
      <c r="LO149" s="434"/>
      <c r="MD149" s="430"/>
      <c r="ME149" s="430"/>
      <c r="NC149" s="82"/>
      <c r="ND149" s="82"/>
      <c r="NE149" s="82"/>
      <c r="NF149" s="82"/>
      <c r="NG149" s="82"/>
      <c r="NH149" s="82"/>
      <c r="NI149" s="82"/>
      <c r="NJ149" s="82"/>
      <c r="NK149" s="82"/>
      <c r="NL149" s="82"/>
      <c r="NM149" s="82"/>
      <c r="NN149" s="82"/>
      <c r="NO149" s="82"/>
      <c r="NQ149" s="82"/>
      <c r="NR149" s="82"/>
      <c r="NS149" s="82"/>
      <c r="NT149" s="82"/>
      <c r="NU149" s="82"/>
      <c r="NV149" s="82"/>
      <c r="NW149" s="82"/>
      <c r="NX149" s="82"/>
      <c r="NY149" s="82"/>
      <c r="NZ149" s="82"/>
      <c r="OA149" s="82"/>
      <c r="OB149" s="82"/>
      <c r="OC149" s="82"/>
      <c r="OD149" s="82"/>
      <c r="OE149" s="82"/>
      <c r="OF149" s="82"/>
      <c r="OG149" s="82"/>
      <c r="OH149" s="82"/>
      <c r="OI149" s="82"/>
      <c r="OJ149" s="82"/>
      <c r="OK149" s="82"/>
      <c r="OL149" s="82"/>
      <c r="OM149" s="82"/>
      <c r="ON149" s="82"/>
      <c r="OO149" s="82"/>
      <c r="OP149" s="82"/>
      <c r="OQ149" s="82"/>
      <c r="OR149" s="82"/>
      <c r="OS149" s="82"/>
      <c r="OT149" s="82"/>
      <c r="OU149" s="82"/>
      <c r="OV149" s="82"/>
      <c r="OW149" s="82"/>
      <c r="OX149" s="82"/>
      <c r="OY149" s="82"/>
      <c r="OZ149" s="82"/>
      <c r="PA149" s="82"/>
      <c r="PB149" s="82"/>
      <c r="PC149" s="82"/>
      <c r="PD149" s="82"/>
      <c r="PE149" s="82"/>
      <c r="PF149" s="82"/>
      <c r="PG149" s="82"/>
      <c r="PH149" s="82"/>
      <c r="PI149" s="82"/>
      <c r="PJ149" s="82"/>
      <c r="PK149" s="82"/>
      <c r="PL149" s="82"/>
      <c r="PM149" s="82"/>
      <c r="PN149" s="82"/>
      <c r="PO149" s="82"/>
      <c r="PP149" s="82"/>
      <c r="PQ149" s="82"/>
      <c r="PR149" s="82"/>
      <c r="PS149" s="82"/>
      <c r="PT149" s="82"/>
      <c r="PU149" s="82"/>
      <c r="PV149" s="82"/>
      <c r="PW149" s="82"/>
      <c r="PX149" s="82"/>
      <c r="PY149" s="82"/>
      <c r="PZ149" s="82"/>
      <c r="QA149" s="82"/>
      <c r="QB149" s="82"/>
      <c r="QC149" s="82"/>
      <c r="QD149" s="82"/>
      <c r="QE149" s="82"/>
      <c r="QF149" s="82"/>
      <c r="QG149" s="82"/>
      <c r="QH149" s="82"/>
      <c r="QI149" s="82"/>
      <c r="QJ149" s="82"/>
      <c r="QK149" s="82"/>
      <c r="QL149" s="82"/>
      <c r="QM149" s="82"/>
      <c r="QN149" s="82"/>
      <c r="QO149" s="82"/>
      <c r="QP149" s="82"/>
      <c r="QQ149" s="82"/>
      <c r="QR149" s="82"/>
      <c r="QS149" s="82"/>
      <c r="QT149" s="82"/>
      <c r="QU149" s="82"/>
      <c r="QV149" s="82"/>
      <c r="QW149" s="82"/>
      <c r="QX149" s="82"/>
      <c r="QY149" s="82"/>
      <c r="QZ149" s="82"/>
      <c r="RA149" s="82"/>
      <c r="RB149" s="82"/>
      <c r="RC149" s="82"/>
      <c r="RD149" s="82"/>
      <c r="RE149" s="82"/>
      <c r="RF149" s="82"/>
      <c r="RG149" s="82"/>
      <c r="RH149" s="82"/>
      <c r="RI149" s="82"/>
      <c r="RJ149" s="82"/>
      <c r="RK149" s="82"/>
      <c r="RL149" s="82"/>
      <c r="RM149" s="82"/>
      <c r="RN149" s="82"/>
      <c r="RO149" s="82"/>
      <c r="RP149" s="82"/>
      <c r="RQ149" s="82"/>
      <c r="RR149" s="82"/>
      <c r="RS149" s="82"/>
      <c r="RT149" s="82"/>
      <c r="RU149" s="82"/>
      <c r="RV149" s="82"/>
      <c r="RW149" s="82"/>
      <c r="RX149" s="82"/>
      <c r="RY149" s="82"/>
    </row>
    <row r="150" spans="1:493" ht="14.25" customHeight="1">
      <c r="C150" s="3904"/>
      <c r="D150" s="3904"/>
      <c r="E150" s="102"/>
      <c r="F150" s="465"/>
      <c r="G150" s="150"/>
      <c r="H150" s="1505" t="s">
        <v>3116</v>
      </c>
      <c r="I150" s="94"/>
      <c r="J150" s="982"/>
      <c r="K150" s="1760">
        <f t="shared" si="374"/>
        <v>0</v>
      </c>
      <c r="L150" s="1761">
        <f t="shared" si="374"/>
        <v>0</v>
      </c>
      <c r="M150" s="1761">
        <f t="shared" si="374"/>
        <v>0</v>
      </c>
      <c r="N150" s="1761">
        <f t="shared" si="374"/>
        <v>0</v>
      </c>
      <c r="O150" s="1762">
        <f t="shared" si="374"/>
        <v>0</v>
      </c>
      <c r="P150" s="1763">
        <f t="shared" si="373"/>
        <v>0</v>
      </c>
      <c r="S150" s="3833"/>
      <c r="T150" s="3834"/>
      <c r="U150" s="3834"/>
      <c r="V150" s="3834"/>
      <c r="W150" s="3835"/>
      <c r="X150" s="432"/>
      <c r="AA150" s="432"/>
      <c r="AB150" s="435"/>
      <c r="AC150" s="432"/>
      <c r="AF150" s="432"/>
      <c r="AG150" s="435"/>
      <c r="AH150" s="432"/>
      <c r="AK150" s="432"/>
      <c r="AL150" s="435"/>
      <c r="AM150" s="432"/>
      <c r="AP150" s="432"/>
      <c r="AQ150" s="435"/>
      <c r="AR150" s="436"/>
      <c r="AS150" s="436"/>
      <c r="AT150" s="436"/>
      <c r="AU150" s="436"/>
      <c r="AV150" s="436"/>
      <c r="AW150" s="436"/>
      <c r="AX150" s="577"/>
      <c r="BB150" s="436"/>
      <c r="BC150" s="577"/>
      <c r="JW150" s="430"/>
      <c r="KB150" s="430"/>
      <c r="KG150" s="430"/>
      <c r="KL150" s="430"/>
      <c r="KM150" s="430"/>
      <c r="KN150" s="430"/>
      <c r="KO150" s="430"/>
      <c r="KP150" s="430"/>
      <c r="KQ150" s="430"/>
      <c r="KR150" s="430"/>
      <c r="KS150" s="430"/>
      <c r="KT150" s="430"/>
      <c r="KU150" s="430"/>
      <c r="KV150" s="430"/>
      <c r="KW150" s="430"/>
      <c r="KX150" s="430"/>
      <c r="KY150" s="430"/>
      <c r="KZ150" s="430"/>
      <c r="LA150" s="430"/>
      <c r="LB150" s="430"/>
      <c r="LC150" s="430"/>
      <c r="LD150" s="430"/>
      <c r="LE150" s="430"/>
      <c r="LF150" s="430"/>
      <c r="LG150" s="430"/>
      <c r="LO150" s="434"/>
      <c r="MD150" s="430"/>
      <c r="ME150" s="430"/>
      <c r="NC150" s="82"/>
      <c r="ND150" s="82"/>
      <c r="NE150" s="82"/>
      <c r="NF150" s="82"/>
      <c r="NG150" s="82"/>
      <c r="NH150" s="82"/>
      <c r="NI150" s="82"/>
      <c r="NJ150" s="82"/>
      <c r="NK150" s="82"/>
      <c r="NL150" s="82"/>
      <c r="NM150" s="82"/>
      <c r="NN150" s="82"/>
      <c r="NO150" s="82"/>
      <c r="NQ150" s="82"/>
      <c r="NR150" s="82"/>
      <c r="NS150" s="82"/>
      <c r="NT150" s="82"/>
      <c r="NU150" s="82"/>
      <c r="NV150" s="82"/>
      <c r="NW150" s="82"/>
      <c r="NX150" s="82"/>
      <c r="NY150" s="82"/>
      <c r="NZ150" s="82"/>
      <c r="OA150" s="82"/>
      <c r="OB150" s="82"/>
      <c r="OC150" s="82"/>
      <c r="OD150" s="82"/>
      <c r="OE150" s="82"/>
      <c r="OF150" s="82"/>
      <c r="OG150" s="82"/>
      <c r="OH150" s="82"/>
      <c r="OI150" s="82"/>
      <c r="OJ150" s="82"/>
      <c r="OK150" s="82"/>
      <c r="OL150" s="82"/>
      <c r="OM150" s="82"/>
      <c r="ON150" s="82"/>
      <c r="OO150" s="82"/>
      <c r="OP150" s="82"/>
      <c r="OQ150" s="82"/>
      <c r="OR150" s="82"/>
      <c r="OS150" s="82"/>
      <c r="OT150" s="82"/>
      <c r="OU150" s="82"/>
      <c r="OV150" s="82"/>
      <c r="OW150" s="82"/>
      <c r="OX150" s="82"/>
      <c r="OY150" s="82"/>
      <c r="OZ150" s="82"/>
      <c r="PA150" s="82"/>
      <c r="PB150" s="82"/>
      <c r="PC150" s="82"/>
      <c r="PD150" s="82"/>
      <c r="PE150" s="82"/>
      <c r="PF150" s="82"/>
      <c r="PG150" s="82"/>
      <c r="PH150" s="82"/>
      <c r="PI150" s="82"/>
      <c r="PJ150" s="82"/>
      <c r="PK150" s="82"/>
      <c r="PL150" s="82"/>
      <c r="PM150" s="82"/>
      <c r="PN150" s="82"/>
      <c r="PO150" s="82"/>
      <c r="PP150" s="82"/>
      <c r="PQ150" s="82"/>
      <c r="PR150" s="82"/>
      <c r="PS150" s="82"/>
      <c r="PT150" s="82"/>
      <c r="PU150" s="82"/>
      <c r="PV150" s="82"/>
      <c r="PW150" s="82"/>
      <c r="PX150" s="82"/>
      <c r="PY150" s="82"/>
      <c r="PZ150" s="82"/>
      <c r="QA150" s="82"/>
      <c r="QB150" s="82"/>
      <c r="QC150" s="82"/>
      <c r="QD150" s="82"/>
      <c r="QE150" s="82"/>
      <c r="QF150" s="82"/>
      <c r="QG150" s="82"/>
      <c r="QH150" s="82"/>
      <c r="QI150" s="82"/>
      <c r="QJ150" s="82"/>
      <c r="QK150" s="82"/>
      <c r="QL150" s="82"/>
      <c r="QM150" s="82"/>
      <c r="QN150" s="82"/>
      <c r="QO150" s="82"/>
      <c r="QP150" s="82"/>
      <c r="QQ150" s="82"/>
      <c r="QR150" s="82"/>
      <c r="QS150" s="82"/>
      <c r="QT150" s="82"/>
      <c r="QU150" s="82"/>
      <c r="QV150" s="82"/>
      <c r="QW150" s="82"/>
      <c r="QX150" s="82"/>
      <c r="QY150" s="82"/>
      <c r="QZ150" s="82"/>
      <c r="RA150" s="82"/>
      <c r="RB150" s="82"/>
      <c r="RC150" s="82"/>
      <c r="RD150" s="82"/>
      <c r="RE150" s="82"/>
      <c r="RF150" s="82"/>
      <c r="RG150" s="82"/>
      <c r="RH150" s="82"/>
      <c r="RI150" s="82"/>
      <c r="RJ150" s="82"/>
      <c r="RK150" s="82"/>
      <c r="RL150" s="82"/>
      <c r="RM150" s="82"/>
      <c r="RN150" s="82"/>
      <c r="RO150" s="82"/>
      <c r="RP150" s="82"/>
      <c r="RQ150" s="82"/>
      <c r="RR150" s="82"/>
      <c r="RS150" s="82"/>
      <c r="RT150" s="82"/>
      <c r="RU150" s="82"/>
      <c r="RV150" s="82"/>
      <c r="RW150" s="82"/>
      <c r="RX150" s="82"/>
      <c r="RY150" s="82"/>
    </row>
    <row r="151" spans="1:493" ht="14.25" customHeight="1">
      <c r="C151" s="3904"/>
      <c r="D151" s="3904"/>
      <c r="E151" s="102" t="s">
        <v>3113</v>
      </c>
      <c r="F151" s="465"/>
      <c r="G151" s="150"/>
      <c r="H151" s="1501"/>
      <c r="I151" s="783"/>
      <c r="J151" s="982"/>
      <c r="K151" s="1236">
        <f>K128+K132</f>
        <v>0</v>
      </c>
      <c r="L151" s="1237">
        <f t="shared" ref="L151:O151" si="375">L128+L132</f>
        <v>16</v>
      </c>
      <c r="M151" s="1237">
        <f t="shared" si="375"/>
        <v>36</v>
      </c>
      <c r="N151" s="1237">
        <f t="shared" si="375"/>
        <v>20</v>
      </c>
      <c r="O151" s="1238">
        <f t="shared" si="375"/>
        <v>0</v>
      </c>
      <c r="P151" s="1757">
        <f t="shared" si="373"/>
        <v>72</v>
      </c>
      <c r="S151" s="3833"/>
      <c r="T151" s="3834"/>
      <c r="U151" s="3834"/>
      <c r="V151" s="3834"/>
      <c r="W151" s="3835"/>
      <c r="X151" s="432"/>
      <c r="AA151" s="432"/>
      <c r="AB151" s="435"/>
      <c r="AC151" s="432"/>
      <c r="AF151" s="432"/>
      <c r="AG151" s="435"/>
      <c r="AH151" s="432"/>
      <c r="AK151" s="432"/>
      <c r="AL151" s="435"/>
      <c r="AM151" s="432"/>
      <c r="AP151" s="432"/>
      <c r="AQ151" s="435"/>
      <c r="AR151" s="436"/>
      <c r="AS151" s="436"/>
      <c r="AT151" s="436"/>
      <c r="AU151" s="436"/>
      <c r="AV151" s="436"/>
      <c r="AW151" s="436"/>
      <c r="AX151" s="577"/>
      <c r="BB151" s="436"/>
      <c r="BC151" s="577"/>
      <c r="JW151" s="430"/>
      <c r="KB151" s="430"/>
      <c r="KG151" s="430"/>
      <c r="KL151" s="430"/>
      <c r="KM151" s="430"/>
      <c r="KN151" s="430"/>
      <c r="KO151" s="430"/>
      <c r="KP151" s="430"/>
      <c r="KQ151" s="430"/>
      <c r="KR151" s="430"/>
      <c r="KS151" s="430"/>
      <c r="KT151" s="430"/>
      <c r="KU151" s="430"/>
      <c r="KV151" s="430"/>
      <c r="KW151" s="430"/>
      <c r="KX151" s="430"/>
      <c r="KY151" s="430"/>
      <c r="KZ151" s="430"/>
      <c r="LA151" s="430"/>
      <c r="LB151" s="430"/>
      <c r="LC151" s="430"/>
      <c r="LD151" s="430"/>
      <c r="LE151" s="430"/>
      <c r="LF151" s="430"/>
      <c r="LG151" s="430"/>
      <c r="LO151" s="434"/>
      <c r="MD151" s="430"/>
      <c r="ME151" s="430"/>
      <c r="NC151" s="82"/>
      <c r="ND151" s="82"/>
      <c r="NE151" s="82"/>
      <c r="NF151" s="82"/>
      <c r="NG151" s="82"/>
      <c r="NH151" s="82"/>
      <c r="NI151" s="82"/>
      <c r="NJ151" s="82"/>
      <c r="NK151" s="82"/>
      <c r="NL151" s="82"/>
      <c r="NM151" s="82"/>
      <c r="NN151" s="82"/>
      <c r="NO151" s="82"/>
      <c r="NQ151" s="82"/>
      <c r="NR151" s="82"/>
      <c r="NS151" s="82"/>
      <c r="NT151" s="82"/>
      <c r="NU151" s="82"/>
      <c r="NV151" s="82"/>
      <c r="NW151" s="82"/>
      <c r="NX151" s="82"/>
      <c r="NY151" s="82"/>
      <c r="NZ151" s="82"/>
      <c r="OA151" s="82"/>
      <c r="OB151" s="82"/>
      <c r="OC151" s="82"/>
      <c r="OD151" s="82"/>
      <c r="OE151" s="82"/>
      <c r="OF151" s="82"/>
      <c r="OG151" s="82"/>
      <c r="OH151" s="82"/>
      <c r="OI151" s="82"/>
      <c r="OJ151" s="82"/>
      <c r="OK151" s="82"/>
      <c r="OL151" s="82"/>
      <c r="OM151" s="82"/>
      <c r="ON151" s="82"/>
      <c r="OO151" s="82"/>
      <c r="OP151" s="82"/>
      <c r="OQ151" s="82"/>
      <c r="OR151" s="82"/>
      <c r="OS151" s="82"/>
      <c r="OT151" s="82"/>
      <c r="OU151" s="82"/>
      <c r="OV151" s="82"/>
      <c r="OW151" s="82"/>
      <c r="OX151" s="82"/>
      <c r="OY151" s="82"/>
      <c r="OZ151" s="82"/>
      <c r="PA151" s="82"/>
      <c r="PB151" s="82"/>
      <c r="PC151" s="82"/>
      <c r="PD151" s="82"/>
      <c r="PE151" s="82"/>
      <c r="PF151" s="82"/>
      <c r="PG151" s="82"/>
      <c r="PH151" s="82"/>
      <c r="PI151" s="82"/>
      <c r="PJ151" s="82"/>
      <c r="PK151" s="82"/>
      <c r="PL151" s="82"/>
      <c r="PM151" s="82"/>
      <c r="PN151" s="82"/>
      <c r="PO151" s="82"/>
      <c r="PP151" s="82"/>
      <c r="PQ151" s="82"/>
      <c r="PR151" s="82"/>
      <c r="PS151" s="82"/>
      <c r="PT151" s="82"/>
      <c r="PU151" s="82"/>
      <c r="PV151" s="82"/>
      <c r="PW151" s="82"/>
      <c r="PX151" s="82"/>
      <c r="PY151" s="82"/>
      <c r="PZ151" s="82"/>
      <c r="QA151" s="82"/>
      <c r="QB151" s="82"/>
      <c r="QC151" s="82"/>
      <c r="QD151" s="82"/>
      <c r="QE151" s="82"/>
      <c r="QF151" s="82"/>
      <c r="QG151" s="82"/>
      <c r="QH151" s="82"/>
      <c r="QI151" s="82"/>
      <c r="QJ151" s="82"/>
      <c r="QK151" s="82"/>
      <c r="QL151" s="82"/>
      <c r="QM151" s="82"/>
      <c r="QN151" s="82"/>
      <c r="QO151" s="82"/>
      <c r="QP151" s="82"/>
      <c r="QQ151" s="82"/>
      <c r="QR151" s="82"/>
      <c r="QS151" s="82"/>
      <c r="QT151" s="82"/>
      <c r="QU151" s="82"/>
      <c r="QV151" s="82"/>
      <c r="QW151" s="82"/>
      <c r="QX151" s="82"/>
      <c r="QY151" s="82"/>
      <c r="QZ151" s="82"/>
      <c r="RA151" s="82"/>
      <c r="RB151" s="82"/>
      <c r="RC151" s="82"/>
      <c r="RD151" s="82"/>
      <c r="RE151" s="82"/>
      <c r="RF151" s="82"/>
      <c r="RG151" s="82"/>
      <c r="RH151" s="82"/>
      <c r="RI151" s="82"/>
      <c r="RJ151" s="82"/>
      <c r="RK151" s="82"/>
      <c r="RL151" s="82"/>
      <c r="RM151" s="82"/>
      <c r="RN151" s="82"/>
      <c r="RO151" s="82"/>
      <c r="RP151" s="82"/>
      <c r="RQ151" s="82"/>
      <c r="RR151" s="82"/>
      <c r="RS151" s="82"/>
      <c r="RT151" s="82"/>
      <c r="RU151" s="82"/>
      <c r="RV151" s="82"/>
      <c r="RW151" s="82"/>
      <c r="RX151" s="82"/>
      <c r="RY151" s="82"/>
    </row>
    <row r="152" spans="1:493" ht="14.25" customHeight="1">
      <c r="C152" s="3904"/>
      <c r="D152" s="3904"/>
      <c r="E152" s="102"/>
      <c r="F152" s="465"/>
      <c r="G152" s="150"/>
      <c r="H152" s="1505" t="s">
        <v>3116</v>
      </c>
      <c r="I152" s="94"/>
      <c r="J152" s="982"/>
      <c r="K152" s="1760">
        <f>K129+K133</f>
        <v>0</v>
      </c>
      <c r="L152" s="1761">
        <f t="shared" ref="L152:O152" si="376">L129+L133</f>
        <v>0</v>
      </c>
      <c r="M152" s="1761">
        <f t="shared" si="376"/>
        <v>0</v>
      </c>
      <c r="N152" s="1761">
        <f t="shared" si="376"/>
        <v>0</v>
      </c>
      <c r="O152" s="1762">
        <f t="shared" si="376"/>
        <v>0</v>
      </c>
      <c r="P152" s="1763">
        <f t="shared" si="373"/>
        <v>0</v>
      </c>
      <c r="S152" s="3833"/>
      <c r="T152" s="3834"/>
      <c r="U152" s="3834"/>
      <c r="V152" s="3834"/>
      <c r="W152" s="3835"/>
      <c r="X152" s="432"/>
      <c r="AA152" s="432"/>
      <c r="AB152" s="435"/>
      <c r="AC152" s="432"/>
      <c r="AF152" s="432"/>
      <c r="AG152" s="435"/>
      <c r="AH152" s="432"/>
      <c r="AK152" s="432"/>
      <c r="AL152" s="435"/>
      <c r="AM152" s="432"/>
      <c r="AP152" s="432"/>
      <c r="AQ152" s="435"/>
      <c r="AR152" s="436"/>
      <c r="AS152" s="436"/>
      <c r="AT152" s="436"/>
      <c r="AU152" s="436"/>
      <c r="AV152" s="436"/>
      <c r="AW152" s="436"/>
      <c r="AX152" s="577"/>
      <c r="BB152" s="436"/>
      <c r="BC152" s="577"/>
      <c r="JW152" s="430"/>
      <c r="KB152" s="430"/>
      <c r="KG152" s="430"/>
      <c r="KL152" s="430"/>
      <c r="KM152" s="430"/>
      <c r="KN152" s="430"/>
      <c r="KO152" s="430"/>
      <c r="KP152" s="430"/>
      <c r="KQ152" s="430"/>
      <c r="KR152" s="430"/>
      <c r="KS152" s="430"/>
      <c r="KT152" s="430"/>
      <c r="KU152" s="430"/>
      <c r="KV152" s="430"/>
      <c r="KW152" s="430"/>
      <c r="KX152" s="430"/>
      <c r="KY152" s="430"/>
      <c r="KZ152" s="430"/>
      <c r="LA152" s="430"/>
      <c r="LB152" s="430"/>
      <c r="LC152" s="430"/>
      <c r="LD152" s="430"/>
      <c r="LE152" s="430"/>
      <c r="LF152" s="430"/>
      <c r="LG152" s="430"/>
      <c r="LO152" s="434"/>
      <c r="MD152" s="430"/>
      <c r="ME152" s="430"/>
      <c r="NC152" s="82"/>
      <c r="ND152" s="82"/>
      <c r="NE152" s="82"/>
      <c r="NF152" s="82"/>
      <c r="NG152" s="82"/>
      <c r="NH152" s="82"/>
      <c r="NI152" s="82"/>
      <c r="NJ152" s="82"/>
      <c r="NK152" s="82"/>
      <c r="NL152" s="82"/>
      <c r="NM152" s="82"/>
      <c r="NN152" s="82"/>
      <c r="NO152" s="82"/>
      <c r="NQ152" s="82"/>
      <c r="NR152" s="82"/>
      <c r="NS152" s="82"/>
      <c r="NT152" s="82"/>
      <c r="NU152" s="82"/>
      <c r="NV152" s="82"/>
      <c r="NW152" s="82"/>
      <c r="NX152" s="82"/>
      <c r="NY152" s="82"/>
      <c r="NZ152" s="82"/>
      <c r="OA152" s="82"/>
      <c r="OB152" s="82"/>
      <c r="OC152" s="82"/>
      <c r="OD152" s="82"/>
      <c r="OE152" s="82"/>
      <c r="OF152" s="82"/>
      <c r="OG152" s="82"/>
      <c r="OH152" s="82"/>
      <c r="OI152" s="82"/>
      <c r="OJ152" s="82"/>
      <c r="OK152" s="82"/>
      <c r="OL152" s="82"/>
      <c r="OM152" s="82"/>
      <c r="ON152" s="82"/>
      <c r="OO152" s="82"/>
      <c r="OP152" s="82"/>
      <c r="OQ152" s="82"/>
      <c r="OR152" s="82"/>
      <c r="OS152" s="82"/>
      <c r="OT152" s="82"/>
      <c r="OU152" s="82"/>
      <c r="OV152" s="82"/>
      <c r="OW152" s="82"/>
      <c r="OX152" s="82"/>
      <c r="OY152" s="82"/>
      <c r="OZ152" s="82"/>
      <c r="PA152" s="82"/>
      <c r="PB152" s="82"/>
      <c r="PC152" s="82"/>
      <c r="PD152" s="82"/>
      <c r="PE152" s="82"/>
      <c r="PF152" s="82"/>
      <c r="PG152" s="82"/>
      <c r="PH152" s="82"/>
      <c r="PI152" s="82"/>
      <c r="PJ152" s="82"/>
      <c r="PK152" s="82"/>
      <c r="PL152" s="82"/>
      <c r="PM152" s="82"/>
      <c r="PN152" s="82"/>
      <c r="PO152" s="82"/>
      <c r="PP152" s="82"/>
      <c r="PQ152" s="82"/>
      <c r="PR152" s="82"/>
      <c r="PS152" s="82"/>
      <c r="PT152" s="82"/>
      <c r="PU152" s="82"/>
      <c r="PV152" s="82"/>
      <c r="PW152" s="82"/>
      <c r="PX152" s="82"/>
      <c r="PY152" s="82"/>
      <c r="PZ152" s="82"/>
      <c r="QA152" s="82"/>
      <c r="QB152" s="82"/>
      <c r="QC152" s="82"/>
      <c r="QD152" s="82"/>
      <c r="QE152" s="82"/>
      <c r="QF152" s="82"/>
      <c r="QG152" s="82"/>
      <c r="QH152" s="82"/>
      <c r="QI152" s="82"/>
      <c r="QJ152" s="82"/>
      <c r="QK152" s="82"/>
      <c r="QL152" s="82"/>
      <c r="QM152" s="82"/>
      <c r="QN152" s="82"/>
      <c r="QO152" s="82"/>
      <c r="QP152" s="82"/>
      <c r="QQ152" s="82"/>
      <c r="QR152" s="82"/>
      <c r="QS152" s="82"/>
      <c r="QT152" s="82"/>
      <c r="QU152" s="82"/>
      <c r="QV152" s="82"/>
      <c r="QW152" s="82"/>
      <c r="QX152" s="82"/>
      <c r="QY152" s="82"/>
      <c r="QZ152" s="82"/>
      <c r="RA152" s="82"/>
      <c r="RB152" s="82"/>
      <c r="RC152" s="82"/>
      <c r="RD152" s="82"/>
      <c r="RE152" s="82"/>
      <c r="RF152" s="82"/>
      <c r="RG152" s="82"/>
      <c r="RH152" s="82"/>
      <c r="RI152" s="82"/>
      <c r="RJ152" s="82"/>
      <c r="RK152" s="82"/>
      <c r="RL152" s="82"/>
      <c r="RM152" s="82"/>
      <c r="RN152" s="82"/>
      <c r="RO152" s="82"/>
      <c r="RP152" s="82"/>
      <c r="RQ152" s="82"/>
      <c r="RR152" s="82"/>
      <c r="RS152" s="82"/>
      <c r="RT152" s="82"/>
      <c r="RU152" s="82"/>
      <c r="RV152" s="82"/>
      <c r="RW152" s="82"/>
      <c r="RX152" s="82"/>
      <c r="RY152" s="82"/>
    </row>
    <row r="153" spans="1:493" ht="14.25" customHeight="1">
      <c r="C153" s="3904"/>
      <c r="D153" s="3904"/>
      <c r="E153" s="102" t="s">
        <v>3114</v>
      </c>
      <c r="F153" s="465"/>
      <c r="G153" s="150"/>
      <c r="H153" s="1501"/>
      <c r="I153" s="783"/>
      <c r="J153" s="982"/>
      <c r="K153" s="1236">
        <f>K130+K134</f>
        <v>0</v>
      </c>
      <c r="L153" s="1237">
        <f t="shared" ref="L153:O153" si="377">L130+L134</f>
        <v>0</v>
      </c>
      <c r="M153" s="1237">
        <f t="shared" si="377"/>
        <v>0</v>
      </c>
      <c r="N153" s="1237">
        <f t="shared" si="377"/>
        <v>0</v>
      </c>
      <c r="O153" s="1238">
        <f t="shared" si="377"/>
        <v>0</v>
      </c>
      <c r="P153" s="1757">
        <f t="shared" si="373"/>
        <v>0</v>
      </c>
      <c r="S153" s="3833"/>
      <c r="T153" s="3834"/>
      <c r="U153" s="3834"/>
      <c r="V153" s="3834"/>
      <c r="W153" s="3835"/>
      <c r="X153" s="432"/>
      <c r="AA153" s="432"/>
      <c r="AB153" s="435"/>
      <c r="AC153" s="432"/>
      <c r="AF153" s="432"/>
      <c r="AG153" s="435"/>
      <c r="AH153" s="432"/>
      <c r="AK153" s="432"/>
      <c r="AL153" s="435"/>
      <c r="AM153" s="432"/>
      <c r="AP153" s="432"/>
      <c r="AQ153" s="435"/>
      <c r="AR153" s="436"/>
      <c r="AS153" s="436"/>
      <c r="AT153" s="436"/>
      <c r="AU153" s="436"/>
      <c r="AV153" s="436"/>
      <c r="AW153" s="436"/>
      <c r="AX153" s="577"/>
      <c r="BB153" s="436"/>
      <c r="BC153" s="577"/>
      <c r="JW153" s="430"/>
      <c r="KB153" s="430"/>
      <c r="KG153" s="430"/>
      <c r="KL153" s="430"/>
      <c r="KM153" s="430"/>
      <c r="KN153" s="430"/>
      <c r="KO153" s="430"/>
      <c r="KP153" s="430"/>
      <c r="KQ153" s="430"/>
      <c r="KR153" s="430"/>
      <c r="KS153" s="430"/>
      <c r="KT153" s="430"/>
      <c r="KU153" s="430"/>
      <c r="KV153" s="430"/>
      <c r="KW153" s="430"/>
      <c r="KX153" s="430"/>
      <c r="KY153" s="430"/>
      <c r="KZ153" s="430"/>
      <c r="LA153" s="430"/>
      <c r="LB153" s="430"/>
      <c r="LC153" s="430"/>
      <c r="LD153" s="430"/>
      <c r="LE153" s="430"/>
      <c r="LF153" s="430"/>
      <c r="LG153" s="430"/>
      <c r="LO153" s="434"/>
      <c r="MD153" s="430"/>
      <c r="ME153" s="430"/>
      <c r="NC153" s="82"/>
      <c r="ND153" s="82"/>
      <c r="NE153" s="82"/>
      <c r="NF153" s="82"/>
      <c r="NG153" s="82"/>
      <c r="NH153" s="82"/>
      <c r="NI153" s="82"/>
      <c r="NJ153" s="82"/>
      <c r="NK153" s="82"/>
      <c r="NL153" s="82"/>
      <c r="NM153" s="82"/>
      <c r="NN153" s="82"/>
      <c r="NO153" s="82"/>
      <c r="NQ153" s="82"/>
      <c r="NR153" s="82"/>
      <c r="NS153" s="82"/>
      <c r="NT153" s="82"/>
      <c r="NU153" s="82"/>
      <c r="NV153" s="82"/>
      <c r="NW153" s="82"/>
      <c r="NX153" s="82"/>
      <c r="NY153" s="82"/>
      <c r="NZ153" s="82"/>
      <c r="OA153" s="82"/>
      <c r="OB153" s="82"/>
      <c r="OC153" s="82"/>
      <c r="OD153" s="82"/>
      <c r="OE153" s="82"/>
      <c r="OF153" s="82"/>
      <c r="OG153" s="82"/>
      <c r="OH153" s="82"/>
      <c r="OI153" s="82"/>
      <c r="OJ153" s="82"/>
      <c r="OK153" s="82"/>
      <c r="OL153" s="82"/>
      <c r="OM153" s="82"/>
      <c r="ON153" s="82"/>
      <c r="OO153" s="82"/>
      <c r="OP153" s="82"/>
      <c r="OQ153" s="82"/>
      <c r="OR153" s="82"/>
      <c r="OS153" s="82"/>
      <c r="OT153" s="82"/>
      <c r="OU153" s="82"/>
      <c r="OV153" s="82"/>
      <c r="OW153" s="82"/>
      <c r="OX153" s="82"/>
      <c r="OY153" s="82"/>
      <c r="OZ153" s="82"/>
      <c r="PA153" s="82"/>
      <c r="PB153" s="82"/>
      <c r="PC153" s="82"/>
      <c r="PD153" s="82"/>
      <c r="PE153" s="82"/>
      <c r="PF153" s="82"/>
      <c r="PG153" s="82"/>
      <c r="PH153" s="82"/>
      <c r="PI153" s="82"/>
      <c r="PJ153" s="82"/>
      <c r="PK153" s="82"/>
      <c r="PL153" s="82"/>
      <c r="PM153" s="82"/>
      <c r="PN153" s="82"/>
      <c r="PO153" s="82"/>
      <c r="PP153" s="82"/>
      <c r="PQ153" s="82"/>
      <c r="PR153" s="82"/>
      <c r="PS153" s="82"/>
      <c r="PT153" s="82"/>
      <c r="PU153" s="82"/>
      <c r="PV153" s="82"/>
      <c r="PW153" s="82"/>
      <c r="PX153" s="82"/>
      <c r="PY153" s="82"/>
      <c r="PZ153" s="82"/>
      <c r="QA153" s="82"/>
      <c r="QB153" s="82"/>
      <c r="QC153" s="82"/>
      <c r="QD153" s="82"/>
      <c r="QE153" s="82"/>
      <c r="QF153" s="82"/>
      <c r="QG153" s="82"/>
      <c r="QH153" s="82"/>
      <c r="QI153" s="82"/>
      <c r="QJ153" s="82"/>
      <c r="QK153" s="82"/>
      <c r="QL153" s="82"/>
      <c r="QM153" s="82"/>
      <c r="QN153" s="82"/>
      <c r="QO153" s="82"/>
      <c r="QP153" s="82"/>
      <c r="QQ153" s="82"/>
      <c r="QR153" s="82"/>
      <c r="QS153" s="82"/>
      <c r="QT153" s="82"/>
      <c r="QU153" s="82"/>
      <c r="QV153" s="82"/>
      <c r="QW153" s="82"/>
      <c r="QX153" s="82"/>
      <c r="QY153" s="82"/>
      <c r="QZ153" s="82"/>
      <c r="RA153" s="82"/>
      <c r="RB153" s="82"/>
      <c r="RC153" s="82"/>
      <c r="RD153" s="82"/>
      <c r="RE153" s="82"/>
      <c r="RF153" s="82"/>
      <c r="RG153" s="82"/>
      <c r="RH153" s="82"/>
      <c r="RI153" s="82"/>
      <c r="RJ153" s="82"/>
      <c r="RK153" s="82"/>
      <c r="RL153" s="82"/>
      <c r="RM153" s="82"/>
      <c r="RN153" s="82"/>
      <c r="RO153" s="82"/>
      <c r="RP153" s="82"/>
      <c r="RQ153" s="82"/>
      <c r="RR153" s="82"/>
      <c r="RS153" s="82"/>
      <c r="RT153" s="82"/>
      <c r="RU153" s="82"/>
      <c r="RV153" s="82"/>
      <c r="RW153" s="82"/>
      <c r="RX153" s="82"/>
      <c r="RY153" s="82"/>
    </row>
    <row r="154" spans="1:493" ht="14.25" customHeight="1">
      <c r="C154" s="1"/>
      <c r="D154" s="1"/>
      <c r="E154" s="380"/>
      <c r="F154" s="170"/>
      <c r="G154" s="82"/>
      <c r="H154" s="1506" t="s">
        <v>3116</v>
      </c>
      <c r="I154" s="780"/>
      <c r="J154" s="82"/>
      <c r="K154" s="1764">
        <f>K131+K135</f>
        <v>0</v>
      </c>
      <c r="L154" s="1765">
        <f t="shared" ref="L154:O154" si="378">L131+L135</f>
        <v>0</v>
      </c>
      <c r="M154" s="1765">
        <f t="shared" si="378"/>
        <v>0</v>
      </c>
      <c r="N154" s="1765">
        <f t="shared" si="378"/>
        <v>0</v>
      </c>
      <c r="O154" s="1766">
        <f t="shared" si="378"/>
        <v>0</v>
      </c>
      <c r="P154" s="1767">
        <f t="shared" si="373"/>
        <v>0</v>
      </c>
      <c r="Q154" s="3928" t="s">
        <v>4074</v>
      </c>
      <c r="S154" s="3839"/>
      <c r="T154" s="3840"/>
      <c r="U154" s="3840"/>
      <c r="V154" s="3840"/>
      <c r="W154" s="3841"/>
      <c r="X154" s="432"/>
      <c r="AA154" s="432"/>
      <c r="AB154" s="435"/>
      <c r="AC154" s="432"/>
      <c r="AF154" s="432"/>
      <c r="AG154" s="435"/>
      <c r="AH154" s="432"/>
      <c r="AK154" s="432"/>
      <c r="AL154" s="435"/>
      <c r="AM154" s="432"/>
      <c r="AP154" s="432"/>
      <c r="AQ154" s="435"/>
      <c r="AR154" s="436"/>
      <c r="AS154" s="436"/>
      <c r="AT154" s="436"/>
      <c r="AU154" s="436"/>
      <c r="AV154" s="436"/>
      <c r="AW154" s="436"/>
      <c r="AX154" s="577"/>
      <c r="BB154" s="436"/>
      <c r="BC154" s="577"/>
      <c r="JW154" s="430"/>
      <c r="KB154" s="430"/>
      <c r="KG154" s="430"/>
      <c r="KL154" s="430"/>
      <c r="KM154" s="430"/>
      <c r="KN154" s="430"/>
      <c r="KO154" s="430"/>
      <c r="KP154" s="430"/>
      <c r="KQ154" s="430"/>
      <c r="KR154" s="430"/>
      <c r="KS154" s="430"/>
      <c r="KT154" s="430"/>
      <c r="KU154" s="430"/>
      <c r="KV154" s="430"/>
      <c r="KW154" s="430"/>
      <c r="KX154" s="430"/>
      <c r="KY154" s="430"/>
      <c r="KZ154" s="430"/>
      <c r="LA154" s="430"/>
      <c r="LB154" s="430"/>
      <c r="LC154" s="430"/>
      <c r="LD154" s="430"/>
      <c r="LE154" s="430"/>
      <c r="LF154" s="430"/>
      <c r="LG154" s="430"/>
      <c r="LO154" s="434"/>
      <c r="MD154" s="430"/>
      <c r="ME154" s="430"/>
      <c r="NC154" s="82"/>
      <c r="ND154" s="82"/>
      <c r="NE154" s="82"/>
      <c r="NF154" s="82"/>
      <c r="NG154" s="82"/>
      <c r="NH154" s="82"/>
      <c r="NI154" s="82"/>
      <c r="NJ154" s="82"/>
      <c r="NK154" s="82"/>
      <c r="NL154" s="82"/>
      <c r="NM154" s="82"/>
      <c r="NN154" s="82"/>
      <c r="NO154" s="82"/>
      <c r="NQ154" s="82"/>
      <c r="NR154" s="82"/>
      <c r="NS154" s="82"/>
      <c r="NT154" s="82"/>
      <c r="NU154" s="82"/>
      <c r="NV154" s="82"/>
      <c r="NW154" s="82"/>
      <c r="NX154" s="82"/>
      <c r="NY154" s="82"/>
      <c r="NZ154" s="82"/>
      <c r="OA154" s="82"/>
      <c r="OB154" s="82"/>
      <c r="OC154" s="82"/>
      <c r="OD154" s="82"/>
      <c r="OE154" s="82"/>
      <c r="OF154" s="82"/>
      <c r="OG154" s="82"/>
      <c r="OH154" s="82"/>
      <c r="OI154" s="82"/>
      <c r="OJ154" s="82"/>
      <c r="OK154" s="82"/>
      <c r="OL154" s="82"/>
      <c r="OM154" s="82"/>
      <c r="ON154" s="82"/>
      <c r="OO154" s="82"/>
      <c r="OP154" s="82"/>
      <c r="OQ154" s="82"/>
      <c r="OR154" s="82"/>
      <c r="OS154" s="82"/>
      <c r="OT154" s="82"/>
      <c r="OU154" s="82"/>
      <c r="OV154" s="82"/>
      <c r="OW154" s="82"/>
      <c r="OX154" s="82"/>
      <c r="OY154" s="82"/>
      <c r="OZ154" s="82"/>
      <c r="PA154" s="82"/>
      <c r="PB154" s="82"/>
      <c r="PC154" s="82"/>
      <c r="PD154" s="82"/>
      <c r="PE154" s="82"/>
      <c r="PF154" s="82"/>
      <c r="PG154" s="82"/>
      <c r="PH154" s="82"/>
      <c r="PI154" s="82"/>
      <c r="PJ154" s="82"/>
      <c r="PK154" s="82"/>
      <c r="PL154" s="82"/>
      <c r="PM154" s="82"/>
      <c r="PN154" s="82"/>
      <c r="PO154" s="82"/>
      <c r="PP154" s="82"/>
      <c r="PQ154" s="82"/>
      <c r="PR154" s="82"/>
      <c r="PS154" s="82"/>
      <c r="PT154" s="82"/>
      <c r="PU154" s="82"/>
      <c r="PV154" s="82"/>
      <c r="PW154" s="82"/>
      <c r="PX154" s="82"/>
      <c r="PY154" s="82"/>
      <c r="PZ154" s="82"/>
      <c r="QA154" s="82"/>
      <c r="QB154" s="82"/>
      <c r="QC154" s="82"/>
      <c r="QD154" s="82"/>
      <c r="QE154" s="82"/>
      <c r="QF154" s="82"/>
      <c r="QG154" s="82"/>
      <c r="QH154" s="82"/>
      <c r="QI154" s="82"/>
      <c r="QJ154" s="82"/>
      <c r="QK154" s="82"/>
      <c r="QL154" s="82"/>
      <c r="QM154" s="82"/>
      <c r="QN154" s="82"/>
      <c r="QO154" s="82"/>
      <c r="QP154" s="82"/>
      <c r="QQ154" s="82"/>
      <c r="QR154" s="82"/>
      <c r="QS154" s="82"/>
      <c r="QT154" s="82"/>
      <c r="QU154" s="82"/>
      <c r="QV154" s="82"/>
      <c r="QW154" s="82"/>
      <c r="QX154" s="82"/>
      <c r="QY154" s="82"/>
      <c r="QZ154" s="82"/>
      <c r="RA154" s="82"/>
      <c r="RB154" s="82"/>
      <c r="RC154" s="82"/>
      <c r="RD154" s="82"/>
      <c r="RE154" s="82"/>
      <c r="RF154" s="82"/>
      <c r="RG154" s="82"/>
      <c r="RH154" s="82"/>
      <c r="RI154" s="82"/>
      <c r="RJ154" s="82"/>
      <c r="RK154" s="82"/>
      <c r="RL154" s="82"/>
      <c r="RM154" s="82"/>
      <c r="RN154" s="82"/>
      <c r="RO154" s="82"/>
      <c r="RP154" s="82"/>
      <c r="RQ154" s="82"/>
      <c r="RR154" s="82"/>
      <c r="RS154" s="82"/>
      <c r="RT154" s="82"/>
      <c r="RU154" s="82"/>
      <c r="RV154" s="82"/>
      <c r="RW154" s="82"/>
      <c r="RX154" s="82"/>
      <c r="RY154" s="82"/>
    </row>
    <row r="155" spans="1:493" ht="27.75" customHeight="1">
      <c r="A155" s="1198"/>
      <c r="B155" s="1198"/>
      <c r="D155" s="547"/>
      <c r="E155" s="109"/>
      <c r="F155" s="1"/>
      <c r="G155" s="82"/>
      <c r="H155" s="36"/>
      <c r="I155" s="36"/>
      <c r="J155" s="82"/>
      <c r="K155" s="541"/>
      <c r="L155" s="541"/>
      <c r="M155" s="541"/>
      <c r="N155" s="541"/>
      <c r="O155" s="541"/>
      <c r="P155" s="541"/>
      <c r="Q155" s="3928"/>
      <c r="S155" s="307"/>
      <c r="T155" s="150"/>
      <c r="U155" s="396"/>
      <c r="X155" s="1818"/>
      <c r="AA155" s="1818"/>
      <c r="AB155" s="435"/>
      <c r="AC155" s="1818"/>
      <c r="AF155" s="1818"/>
      <c r="AG155" s="435"/>
      <c r="AH155" s="1818"/>
      <c r="AK155" s="1818"/>
      <c r="AL155" s="435"/>
      <c r="AM155" s="1818"/>
      <c r="AP155" s="1818"/>
      <c r="AQ155" s="435"/>
      <c r="AR155" s="1818"/>
      <c r="AS155" s="1818"/>
      <c r="AT155" s="1818"/>
      <c r="AU155" s="1818"/>
      <c r="AV155" s="1818"/>
      <c r="AW155" s="1818"/>
      <c r="AX155" s="577"/>
      <c r="AY155" s="432"/>
      <c r="BB155" s="1818"/>
      <c r="BC155" s="577"/>
      <c r="BD155" s="432"/>
      <c r="LO155" s="434"/>
      <c r="MD155" s="430"/>
      <c r="ME155" s="430"/>
      <c r="NC155" s="82"/>
      <c r="ND155" s="82"/>
      <c r="NE155" s="82"/>
      <c r="NF155" s="82"/>
      <c r="NG155" s="82"/>
      <c r="NH155" s="82"/>
      <c r="NI155" s="82"/>
      <c r="NJ155" s="82"/>
      <c r="NK155" s="82"/>
      <c r="NL155" s="82"/>
      <c r="NM155" s="82"/>
      <c r="NN155" s="82"/>
      <c r="NO155" s="82"/>
      <c r="NQ155" s="82"/>
      <c r="NR155" s="82"/>
      <c r="NS155" s="82"/>
      <c r="NT155" s="82"/>
      <c r="NU155" s="82"/>
      <c r="NV155" s="82"/>
      <c r="NW155" s="82"/>
      <c r="NX155" s="82"/>
      <c r="NY155" s="82"/>
      <c r="NZ155" s="82"/>
      <c r="OA155" s="82"/>
      <c r="OB155" s="82"/>
      <c r="OC155" s="82"/>
      <c r="OD155" s="82"/>
      <c r="OE155" s="82"/>
      <c r="OF155" s="82"/>
      <c r="OG155" s="82"/>
      <c r="OH155" s="82"/>
      <c r="OI155" s="82"/>
      <c r="OJ155" s="82"/>
      <c r="OK155" s="82"/>
      <c r="OL155" s="82"/>
      <c r="OM155" s="82"/>
      <c r="ON155" s="82"/>
      <c r="OO155" s="82"/>
      <c r="OP155" s="82"/>
      <c r="OQ155" s="82"/>
      <c r="OR155" s="82"/>
      <c r="OS155" s="82"/>
      <c r="OT155" s="82"/>
      <c r="OU155" s="82"/>
      <c r="OV155" s="82"/>
      <c r="OW155" s="82"/>
      <c r="OX155" s="82"/>
      <c r="OY155" s="82"/>
      <c r="OZ155" s="82"/>
      <c r="PA155" s="82"/>
      <c r="PB155" s="82"/>
      <c r="PC155" s="82"/>
      <c r="PD155" s="82"/>
      <c r="PE155" s="82"/>
      <c r="PF155" s="82"/>
      <c r="PG155" s="82"/>
      <c r="PH155" s="82"/>
      <c r="PI155" s="82"/>
      <c r="PJ155" s="82"/>
      <c r="PK155" s="82"/>
      <c r="PL155" s="82"/>
      <c r="PM155" s="82"/>
      <c r="PN155" s="82"/>
      <c r="PO155" s="82"/>
      <c r="PP155" s="82"/>
      <c r="PQ155" s="82"/>
      <c r="PR155" s="82"/>
      <c r="PS155" s="82"/>
      <c r="PT155" s="82"/>
      <c r="PU155" s="82"/>
      <c r="PV155" s="82"/>
      <c r="PW155" s="82"/>
      <c r="PX155" s="82"/>
      <c r="PY155" s="82"/>
      <c r="PZ155" s="82"/>
      <c r="QA155" s="82"/>
      <c r="QB155" s="82"/>
      <c r="QC155" s="82"/>
      <c r="QD155" s="82"/>
      <c r="QE155" s="82"/>
      <c r="QF155" s="82"/>
      <c r="QG155" s="82"/>
      <c r="QH155" s="82"/>
      <c r="QI155" s="82"/>
      <c r="QJ155" s="82"/>
      <c r="QK155" s="82"/>
      <c r="QL155" s="82"/>
      <c r="QM155" s="82"/>
      <c r="QN155" s="82"/>
      <c r="QO155" s="82"/>
      <c r="QP155" s="82"/>
      <c r="QQ155" s="82"/>
      <c r="QR155" s="82"/>
      <c r="QS155" s="82"/>
      <c r="QT155" s="82"/>
      <c r="QU155" s="82"/>
      <c r="QV155" s="82"/>
      <c r="QW155" s="82"/>
      <c r="QX155" s="82"/>
      <c r="QY155" s="82"/>
      <c r="QZ155" s="82"/>
      <c r="RA155" s="82"/>
      <c r="RB155" s="82"/>
      <c r="RC155" s="82"/>
      <c r="RD155" s="82"/>
      <c r="RE155" s="82"/>
      <c r="RF155" s="82"/>
      <c r="RG155" s="82"/>
      <c r="RH155" s="82"/>
      <c r="RI155" s="82"/>
      <c r="RJ155" s="82"/>
      <c r="RK155" s="82"/>
      <c r="RL155" s="82"/>
      <c r="RM155" s="82"/>
      <c r="RN155" s="82"/>
      <c r="RO155" s="82"/>
      <c r="RP155" s="82"/>
      <c r="RQ155" s="82"/>
      <c r="RR155" s="82"/>
      <c r="RS155" s="82"/>
      <c r="RT155" s="82"/>
      <c r="RU155" s="82"/>
      <c r="RV155" s="82"/>
      <c r="RW155" s="82"/>
      <c r="RX155" s="82"/>
      <c r="RY155" s="82"/>
    </row>
    <row r="156" spans="1:493" ht="12" customHeight="1">
      <c r="A156" s="13"/>
      <c r="B156" s="13" t="s">
        <v>6822</v>
      </c>
      <c r="C156" s="1"/>
      <c r="D156" s="1"/>
      <c r="E156" s="1"/>
      <c r="F156" s="1"/>
      <c r="G156" s="82"/>
      <c r="H156" s="40"/>
      <c r="I156" s="40"/>
      <c r="J156" s="82"/>
      <c r="K156" s="546"/>
      <c r="L156" s="546"/>
      <c r="M156" s="546"/>
      <c r="N156" s="546"/>
      <c r="O156" s="546"/>
      <c r="P156" s="546"/>
      <c r="Q156" s="3928"/>
      <c r="S156" s="3587" t="str">
        <f>B156</f>
        <v>UNIT SQUARE FOOTAGE</v>
      </c>
      <c r="T156" s="3587"/>
      <c r="U156" s="3587"/>
      <c r="X156" s="1818"/>
      <c r="AA156" s="1818"/>
      <c r="AB156" s="435"/>
      <c r="AC156" s="1818"/>
      <c r="AF156" s="1818"/>
      <c r="AG156" s="435"/>
      <c r="AH156" s="1818"/>
      <c r="AK156" s="1818"/>
      <c r="AL156" s="435"/>
      <c r="AM156" s="1818"/>
      <c r="AP156" s="1818"/>
      <c r="AQ156" s="435"/>
      <c r="AR156" s="1818"/>
      <c r="AS156" s="1818"/>
      <c r="AT156" s="1818"/>
      <c r="AU156" s="1818"/>
      <c r="AV156" s="1818"/>
      <c r="AW156" s="1818"/>
      <c r="AX156" s="577"/>
      <c r="AY156" s="432"/>
      <c r="BB156" s="1818"/>
      <c r="BC156" s="577"/>
      <c r="BD156" s="432"/>
      <c r="LO156" s="434"/>
      <c r="MD156" s="430"/>
      <c r="ME156" s="430"/>
      <c r="NC156" s="82"/>
      <c r="ND156" s="82"/>
      <c r="NE156" s="82"/>
      <c r="NF156" s="82"/>
      <c r="NG156" s="82"/>
      <c r="NH156" s="82"/>
      <c r="NI156" s="82"/>
      <c r="NJ156" s="82"/>
      <c r="NK156" s="82"/>
      <c r="NL156" s="82"/>
      <c r="NM156" s="82"/>
      <c r="NN156" s="82"/>
      <c r="NO156" s="82"/>
      <c r="NQ156" s="82"/>
      <c r="NR156" s="82"/>
      <c r="NS156" s="82"/>
      <c r="NT156" s="82"/>
      <c r="NU156" s="82"/>
      <c r="NV156" s="82"/>
      <c r="NW156" s="82"/>
      <c r="NX156" s="82"/>
      <c r="NY156" s="82"/>
      <c r="NZ156" s="82"/>
      <c r="OA156" s="82"/>
      <c r="OB156" s="82"/>
      <c r="OC156" s="82"/>
      <c r="OD156" s="82"/>
      <c r="OE156" s="82"/>
      <c r="OF156" s="82"/>
      <c r="OG156" s="82"/>
      <c r="OH156" s="82"/>
      <c r="OI156" s="82"/>
      <c r="OJ156" s="82"/>
      <c r="OK156" s="82"/>
      <c r="OL156" s="82"/>
      <c r="OM156" s="82"/>
      <c r="ON156" s="82"/>
      <c r="OO156" s="82"/>
      <c r="OP156" s="82"/>
      <c r="OQ156" s="82"/>
      <c r="OR156" s="82"/>
      <c r="OS156" s="82"/>
      <c r="OT156" s="82"/>
      <c r="OU156" s="82"/>
      <c r="OV156" s="82"/>
      <c r="OW156" s="82"/>
      <c r="OX156" s="82"/>
      <c r="OY156" s="82"/>
      <c r="OZ156" s="82"/>
      <c r="PA156" s="82"/>
      <c r="PB156" s="82"/>
      <c r="PC156" s="82"/>
      <c r="PD156" s="82"/>
      <c r="PE156" s="82"/>
      <c r="PF156" s="82"/>
      <c r="PG156" s="82"/>
      <c r="PH156" s="82"/>
      <c r="PI156" s="82"/>
      <c r="PJ156" s="82"/>
      <c r="PK156" s="82"/>
      <c r="PL156" s="82"/>
      <c r="PM156" s="82"/>
      <c r="PN156" s="82"/>
      <c r="PO156" s="82"/>
      <c r="PP156" s="82"/>
      <c r="PQ156" s="82"/>
      <c r="PR156" s="82"/>
      <c r="PS156" s="82"/>
      <c r="PT156" s="82"/>
      <c r="PU156" s="82"/>
      <c r="PV156" s="82"/>
      <c r="PW156" s="82"/>
      <c r="PX156" s="82"/>
      <c r="PY156" s="82"/>
      <c r="PZ156" s="82"/>
      <c r="QA156" s="82"/>
      <c r="QB156" s="82"/>
      <c r="QC156" s="82"/>
      <c r="QD156" s="82"/>
      <c r="QE156" s="82"/>
      <c r="QF156" s="82"/>
      <c r="QG156" s="82"/>
      <c r="QH156" s="82"/>
      <c r="QI156" s="82"/>
      <c r="QJ156" s="82"/>
      <c r="QK156" s="82"/>
      <c r="QL156" s="82"/>
      <c r="QM156" s="82"/>
      <c r="QN156" s="82"/>
      <c r="QO156" s="82"/>
      <c r="QP156" s="82"/>
      <c r="QQ156" s="82"/>
      <c r="QR156" s="82"/>
      <c r="QS156" s="82"/>
      <c r="QT156" s="82"/>
      <c r="QU156" s="82"/>
      <c r="QV156" s="82"/>
      <c r="QW156" s="82"/>
      <c r="QX156" s="82"/>
      <c r="QY156" s="82"/>
      <c r="QZ156" s="82"/>
      <c r="RA156" s="82"/>
      <c r="RB156" s="82"/>
      <c r="RC156" s="82"/>
      <c r="RD156" s="82"/>
      <c r="RE156" s="82"/>
      <c r="RF156" s="82"/>
      <c r="RG156" s="82"/>
      <c r="RH156" s="82"/>
      <c r="RI156" s="82"/>
      <c r="RJ156" s="82"/>
      <c r="RK156" s="82"/>
      <c r="RL156" s="82"/>
      <c r="RM156" s="82"/>
      <c r="RN156" s="82"/>
      <c r="RO156" s="82"/>
      <c r="RP156" s="82"/>
      <c r="RQ156" s="82"/>
      <c r="RR156" s="82"/>
      <c r="RS156" s="82"/>
      <c r="RT156" s="82"/>
      <c r="RU156" s="82"/>
      <c r="RV156" s="82"/>
      <c r="RW156" s="82"/>
      <c r="RX156" s="82"/>
      <c r="RY156" s="82"/>
    </row>
    <row r="157" spans="1:493" ht="14.25" customHeight="1">
      <c r="C157" s="5" t="s">
        <v>2041</v>
      </c>
      <c r="D157" s="1"/>
      <c r="E157" s="1"/>
      <c r="F157" s="1"/>
      <c r="G157" s="82"/>
      <c r="H157" s="89" t="s">
        <v>3829</v>
      </c>
      <c r="I157" s="55"/>
      <c r="J157" s="82"/>
      <c r="K157" s="1209">
        <f>EI49</f>
        <v>0</v>
      </c>
      <c r="L157" s="1210">
        <f>EJ49</f>
        <v>0</v>
      </c>
      <c r="M157" s="1210">
        <f>EK49</f>
        <v>0</v>
      </c>
      <c r="N157" s="1210">
        <f>EL49</f>
        <v>0</v>
      </c>
      <c r="O157" s="1211">
        <f>EM49</f>
        <v>0</v>
      </c>
      <c r="P157" s="1175">
        <f t="shared" ref="P157:P163" si="379">SUM(K157:O157)</f>
        <v>0</v>
      </c>
      <c r="Q157" s="1361" t="str">
        <f t="shared" ref="Q157:Q163" si="380">IF(OR(P56=0,P56=""),"",P157/P56)</f>
        <v/>
      </c>
      <c r="S157" s="3854"/>
      <c r="T157" s="3855"/>
      <c r="U157" s="3855"/>
      <c r="V157" s="3855"/>
      <c r="W157" s="3856"/>
      <c r="X157" s="1818"/>
      <c r="AA157" s="1818"/>
      <c r="AB157" s="435"/>
      <c r="AC157" s="1818"/>
      <c r="AF157" s="1818"/>
      <c r="AG157" s="435"/>
      <c r="AH157" s="1818"/>
      <c r="AK157" s="1818"/>
      <c r="AL157" s="435"/>
      <c r="AM157" s="1818"/>
      <c r="AP157" s="1818"/>
      <c r="AQ157" s="435"/>
      <c r="AR157" s="436"/>
      <c r="AS157" s="436"/>
      <c r="AT157" s="436"/>
      <c r="AU157" s="436"/>
      <c r="AV157" s="436"/>
      <c r="AW157" s="436"/>
      <c r="AX157" s="577"/>
      <c r="AY157" s="432"/>
      <c r="BB157" s="436"/>
      <c r="BC157" s="577"/>
      <c r="BD157" s="432"/>
      <c r="LO157" s="434"/>
      <c r="MD157" s="430"/>
      <c r="ME157" s="430"/>
      <c r="NC157" s="82"/>
      <c r="ND157" s="82"/>
      <c r="NE157" s="82"/>
      <c r="NF157" s="82"/>
      <c r="NG157" s="82"/>
      <c r="NH157" s="82"/>
      <c r="NI157" s="82"/>
      <c r="NJ157" s="82"/>
      <c r="NK157" s="82"/>
      <c r="NL157" s="82"/>
      <c r="NM157" s="82"/>
      <c r="NN157" s="82"/>
      <c r="NO157" s="82"/>
      <c r="NQ157" s="82"/>
      <c r="NR157" s="82"/>
      <c r="NS157" s="82"/>
      <c r="NT157" s="82"/>
      <c r="NU157" s="82"/>
      <c r="NV157" s="82"/>
      <c r="NW157" s="82"/>
      <c r="NX157" s="82"/>
      <c r="NY157" s="82"/>
      <c r="NZ157" s="82"/>
      <c r="OA157" s="82"/>
      <c r="OB157" s="82"/>
      <c r="OC157" s="82"/>
      <c r="OD157" s="82"/>
      <c r="OE157" s="82"/>
      <c r="OF157" s="82"/>
      <c r="OG157" s="82"/>
      <c r="OH157" s="82"/>
      <c r="OI157" s="82"/>
      <c r="OJ157" s="82"/>
      <c r="OK157" s="82"/>
      <c r="OL157" s="82"/>
      <c r="OM157" s="82"/>
      <c r="ON157" s="82"/>
      <c r="OO157" s="82"/>
      <c r="OP157" s="82"/>
      <c r="OQ157" s="82"/>
      <c r="OR157" s="82"/>
      <c r="OS157" s="82"/>
      <c r="OT157" s="82"/>
      <c r="OU157" s="82"/>
      <c r="OV157" s="82"/>
      <c r="OW157" s="82"/>
      <c r="OX157" s="82"/>
      <c r="OY157" s="82"/>
      <c r="OZ157" s="82"/>
      <c r="PA157" s="82"/>
      <c r="PB157" s="82"/>
      <c r="PC157" s="82"/>
      <c r="PD157" s="82"/>
      <c r="PE157" s="82"/>
      <c r="PF157" s="82"/>
      <c r="PG157" s="82"/>
      <c r="PH157" s="82"/>
      <c r="PI157" s="82"/>
      <c r="PJ157" s="82"/>
      <c r="PK157" s="82"/>
      <c r="PL157" s="82"/>
      <c r="PM157" s="82"/>
      <c r="PN157" s="82"/>
      <c r="PO157" s="82"/>
      <c r="PP157" s="82"/>
      <c r="PQ157" s="82"/>
      <c r="PR157" s="82"/>
      <c r="PS157" s="82"/>
      <c r="PT157" s="82"/>
      <c r="PU157" s="82"/>
      <c r="PV157" s="82"/>
      <c r="PW157" s="82"/>
      <c r="PX157" s="82"/>
      <c r="PY157" s="82"/>
      <c r="PZ157" s="82"/>
      <c r="QA157" s="82"/>
      <c r="QB157" s="82"/>
      <c r="QC157" s="82"/>
      <c r="QD157" s="82"/>
      <c r="QE157" s="82"/>
      <c r="QF157" s="82"/>
      <c r="QG157" s="82"/>
      <c r="QH157" s="82"/>
      <c r="QI157" s="82"/>
      <c r="QJ157" s="82"/>
      <c r="QK157" s="82"/>
      <c r="QL157" s="82"/>
      <c r="QM157" s="82"/>
      <c r="QN157" s="82"/>
      <c r="QO157" s="82"/>
      <c r="QP157" s="82"/>
      <c r="QQ157" s="82"/>
      <c r="QR157" s="82"/>
      <c r="QS157" s="82"/>
      <c r="QT157" s="82"/>
      <c r="QU157" s="82"/>
      <c r="QV157" s="82"/>
      <c r="QW157" s="82"/>
      <c r="QX157" s="82"/>
      <c r="QY157" s="82"/>
      <c r="QZ157" s="82"/>
      <c r="RA157" s="82"/>
      <c r="RB157" s="82"/>
      <c r="RC157" s="82"/>
      <c r="RD157" s="82"/>
      <c r="RE157" s="82"/>
      <c r="RF157" s="82"/>
      <c r="RG157" s="82"/>
      <c r="RH157" s="82"/>
      <c r="RI157" s="82"/>
      <c r="RJ157" s="82"/>
      <c r="RK157" s="82"/>
      <c r="RL157" s="82"/>
      <c r="RM157" s="82"/>
      <c r="RN157" s="82"/>
      <c r="RO157" s="82"/>
      <c r="RP157" s="82"/>
      <c r="RQ157" s="82"/>
      <c r="RR157" s="82"/>
      <c r="RS157" s="82"/>
      <c r="RT157" s="82"/>
      <c r="RU157" s="82"/>
      <c r="RV157" s="82"/>
      <c r="RW157" s="82"/>
      <c r="RX157" s="82"/>
      <c r="RY157" s="82"/>
    </row>
    <row r="158" spans="1:493" ht="14.25" customHeight="1">
      <c r="C158" s="5"/>
      <c r="D158" s="1"/>
      <c r="E158" s="1"/>
      <c r="F158" s="1"/>
      <c r="G158" s="82"/>
      <c r="H158" s="1496" t="s">
        <v>3830</v>
      </c>
      <c r="I158" s="40"/>
      <c r="J158" s="82"/>
      <c r="K158" s="1239">
        <f>EN49</f>
        <v>0</v>
      </c>
      <c r="L158" s="1240">
        <f>EO49</f>
        <v>0</v>
      </c>
      <c r="M158" s="1240">
        <f>EP49</f>
        <v>0</v>
      </c>
      <c r="N158" s="1240">
        <f>EQ49</f>
        <v>0</v>
      </c>
      <c r="O158" s="1241">
        <f>ER49</f>
        <v>0</v>
      </c>
      <c r="P158" s="1176">
        <f t="shared" si="379"/>
        <v>0</v>
      </c>
      <c r="Q158" s="1361" t="str">
        <f t="shared" si="380"/>
        <v/>
      </c>
      <c r="S158" s="3833"/>
      <c r="T158" s="3834"/>
      <c r="U158" s="3834"/>
      <c r="V158" s="3834"/>
      <c r="W158" s="3835"/>
      <c r="X158" s="1818"/>
      <c r="AA158" s="1818"/>
      <c r="AB158" s="435"/>
      <c r="AC158" s="1818"/>
      <c r="AF158" s="1818"/>
      <c r="AG158" s="435"/>
      <c r="AH158" s="1818"/>
      <c r="AK158" s="1818"/>
      <c r="AL158" s="435"/>
      <c r="AM158" s="1818"/>
      <c r="AP158" s="1818"/>
      <c r="AQ158" s="435"/>
      <c r="AR158" s="436"/>
      <c r="AS158" s="436"/>
      <c r="AT158" s="436"/>
      <c r="AU158" s="436"/>
      <c r="AV158" s="436"/>
      <c r="AW158" s="436"/>
      <c r="AX158" s="577"/>
      <c r="AY158" s="432"/>
      <c r="BB158" s="436"/>
      <c r="BC158" s="577"/>
      <c r="BD158" s="432"/>
      <c r="LO158" s="434"/>
      <c r="MD158" s="430"/>
      <c r="ME158" s="430"/>
      <c r="NC158" s="82"/>
      <c r="ND158" s="82"/>
      <c r="NE158" s="82"/>
      <c r="NF158" s="82"/>
      <c r="NG158" s="82"/>
      <c r="NH158" s="82"/>
      <c r="NI158" s="82"/>
      <c r="NJ158" s="82"/>
      <c r="NK158" s="82"/>
      <c r="NL158" s="82"/>
      <c r="NM158" s="82"/>
      <c r="NN158" s="82"/>
      <c r="NO158" s="82"/>
      <c r="NQ158" s="82"/>
      <c r="NR158" s="82"/>
      <c r="NS158" s="82"/>
      <c r="NT158" s="82"/>
      <c r="NU158" s="82"/>
      <c r="NV158" s="82"/>
      <c r="NW158" s="82"/>
      <c r="NX158" s="82"/>
      <c r="NY158" s="82"/>
      <c r="NZ158" s="82"/>
      <c r="OA158" s="82"/>
      <c r="OB158" s="82"/>
      <c r="OC158" s="82"/>
      <c r="OD158" s="82"/>
      <c r="OE158" s="82"/>
      <c r="OF158" s="82"/>
      <c r="OG158" s="82"/>
      <c r="OH158" s="82"/>
      <c r="OI158" s="82"/>
      <c r="OJ158" s="82"/>
      <c r="OK158" s="82"/>
      <c r="OL158" s="82"/>
      <c r="OM158" s="82"/>
      <c r="ON158" s="82"/>
      <c r="OO158" s="82"/>
      <c r="OP158" s="82"/>
      <c r="OQ158" s="82"/>
      <c r="OR158" s="82"/>
      <c r="OS158" s="82"/>
      <c r="OT158" s="82"/>
      <c r="OU158" s="82"/>
      <c r="OV158" s="82"/>
      <c r="OW158" s="82"/>
      <c r="OX158" s="82"/>
      <c r="OY158" s="82"/>
      <c r="OZ158" s="82"/>
      <c r="PA158" s="82"/>
      <c r="PB158" s="82"/>
      <c r="PC158" s="82"/>
      <c r="PD158" s="82"/>
      <c r="PE158" s="82"/>
      <c r="PF158" s="82"/>
      <c r="PG158" s="82"/>
      <c r="PH158" s="82"/>
      <c r="PI158" s="82"/>
      <c r="PJ158" s="82"/>
      <c r="PK158" s="82"/>
      <c r="PL158" s="82"/>
      <c r="PM158" s="82"/>
      <c r="PN158" s="82"/>
      <c r="PO158" s="82"/>
      <c r="PP158" s="82"/>
      <c r="PQ158" s="82"/>
      <c r="PR158" s="82"/>
      <c r="PS158" s="82"/>
      <c r="PT158" s="82"/>
      <c r="PU158" s="82"/>
      <c r="PV158" s="82"/>
      <c r="PW158" s="82"/>
      <c r="PX158" s="82"/>
      <c r="PY158" s="82"/>
      <c r="PZ158" s="82"/>
      <c r="QA158" s="82"/>
      <c r="QB158" s="82"/>
      <c r="QC158" s="82"/>
      <c r="QD158" s="82"/>
      <c r="QE158" s="82"/>
      <c r="QF158" s="82"/>
      <c r="QG158" s="82"/>
      <c r="QH158" s="82"/>
      <c r="QI158" s="82"/>
      <c r="QJ158" s="82"/>
      <c r="QK158" s="82"/>
      <c r="QL158" s="82"/>
      <c r="QM158" s="82"/>
      <c r="QN158" s="82"/>
      <c r="QO158" s="82"/>
      <c r="QP158" s="82"/>
      <c r="QQ158" s="82"/>
      <c r="QR158" s="82"/>
      <c r="QS158" s="82"/>
      <c r="QT158" s="82"/>
      <c r="QU158" s="82"/>
      <c r="QV158" s="82"/>
      <c r="QW158" s="82"/>
      <c r="QX158" s="82"/>
      <c r="QY158" s="82"/>
      <c r="QZ158" s="82"/>
      <c r="RA158" s="82"/>
      <c r="RB158" s="82"/>
      <c r="RC158" s="82"/>
      <c r="RD158" s="82"/>
      <c r="RE158" s="82"/>
      <c r="RF158" s="82"/>
      <c r="RG158" s="82"/>
      <c r="RH158" s="82"/>
      <c r="RI158" s="82"/>
      <c r="RJ158" s="82"/>
      <c r="RK158" s="82"/>
      <c r="RL158" s="82"/>
      <c r="RM158" s="82"/>
      <c r="RN158" s="82"/>
      <c r="RO158" s="82"/>
      <c r="RP158" s="82"/>
      <c r="RQ158" s="82"/>
      <c r="RR158" s="82"/>
      <c r="RS158" s="82"/>
      <c r="RT158" s="82"/>
      <c r="RU158" s="82"/>
      <c r="RV158" s="82"/>
      <c r="RW158" s="82"/>
      <c r="RX158" s="82"/>
      <c r="RY158" s="82"/>
    </row>
    <row r="159" spans="1:493" ht="14.25" customHeight="1">
      <c r="C159" s="5"/>
      <c r="D159" s="1"/>
      <c r="E159" s="1"/>
      <c r="F159" s="1"/>
      <c r="G159" s="82"/>
      <c r="H159" s="1496" t="s">
        <v>1107</v>
      </c>
      <c r="I159" s="40"/>
      <c r="J159" s="82"/>
      <c r="K159" s="1239">
        <f>ES49</f>
        <v>0</v>
      </c>
      <c r="L159" s="1240">
        <f>ET49</f>
        <v>8840</v>
      </c>
      <c r="M159" s="1240">
        <f>EU49</f>
        <v>29920</v>
      </c>
      <c r="N159" s="1240">
        <f>EV49</f>
        <v>20060</v>
      </c>
      <c r="O159" s="1241">
        <f>EW49</f>
        <v>0</v>
      </c>
      <c r="P159" s="1176">
        <f t="shared" si="379"/>
        <v>58820</v>
      </c>
      <c r="Q159" s="1361">
        <f t="shared" si="380"/>
        <v>919.0625</v>
      </c>
      <c r="S159" s="3833"/>
      <c r="T159" s="3834"/>
      <c r="U159" s="3834"/>
      <c r="V159" s="3834"/>
      <c r="W159" s="3835"/>
      <c r="X159" s="1818"/>
      <c r="AA159" s="1818"/>
      <c r="AB159" s="435"/>
      <c r="AC159" s="1818"/>
      <c r="AF159" s="1818"/>
      <c r="AG159" s="435"/>
      <c r="AH159" s="1818"/>
      <c r="AK159" s="1818"/>
      <c r="AL159" s="435"/>
      <c r="AM159" s="1818"/>
      <c r="AP159" s="1818"/>
      <c r="AQ159" s="435"/>
      <c r="AR159" s="436"/>
      <c r="AS159" s="436"/>
      <c r="AT159" s="436"/>
      <c r="AU159" s="436"/>
      <c r="AV159" s="436"/>
      <c r="AW159" s="436"/>
      <c r="AX159" s="577"/>
      <c r="AY159" s="432"/>
      <c r="BB159" s="436"/>
      <c r="BC159" s="577"/>
      <c r="BD159" s="432"/>
      <c r="LO159" s="434"/>
      <c r="MD159" s="430"/>
      <c r="ME159" s="430"/>
      <c r="NC159" s="82"/>
      <c r="ND159" s="82"/>
      <c r="NE159" s="82"/>
      <c r="NF159" s="82"/>
      <c r="NG159" s="82"/>
      <c r="NH159" s="82"/>
      <c r="NI159" s="82"/>
      <c r="NJ159" s="82"/>
      <c r="NK159" s="82"/>
      <c r="NL159" s="82"/>
      <c r="NM159" s="82"/>
      <c r="NN159" s="82"/>
      <c r="NO159" s="82"/>
      <c r="NQ159" s="82"/>
      <c r="NR159" s="82"/>
      <c r="NS159" s="82"/>
      <c r="NT159" s="82"/>
      <c r="NU159" s="82"/>
      <c r="NV159" s="82"/>
      <c r="NW159" s="82"/>
      <c r="NX159" s="82"/>
      <c r="NY159" s="82"/>
      <c r="NZ159" s="82"/>
      <c r="OA159" s="82"/>
      <c r="OB159" s="82"/>
      <c r="OC159" s="82"/>
      <c r="OD159" s="82"/>
      <c r="OE159" s="82"/>
      <c r="OF159" s="82"/>
      <c r="OG159" s="82"/>
      <c r="OH159" s="82"/>
      <c r="OI159" s="82"/>
      <c r="OJ159" s="82"/>
      <c r="OK159" s="82"/>
      <c r="OL159" s="82"/>
      <c r="OM159" s="82"/>
      <c r="ON159" s="82"/>
      <c r="OO159" s="82"/>
      <c r="OP159" s="82"/>
      <c r="OQ159" s="82"/>
      <c r="OR159" s="82"/>
      <c r="OS159" s="82"/>
      <c r="OT159" s="82"/>
      <c r="OU159" s="82"/>
      <c r="OV159" s="82"/>
      <c r="OW159" s="82"/>
      <c r="OX159" s="82"/>
      <c r="OY159" s="82"/>
      <c r="OZ159" s="82"/>
      <c r="PA159" s="82"/>
      <c r="PB159" s="82"/>
      <c r="PC159" s="82"/>
      <c r="PD159" s="82"/>
      <c r="PE159" s="82"/>
      <c r="PF159" s="82"/>
      <c r="PG159" s="82"/>
      <c r="PH159" s="82"/>
      <c r="PI159" s="82"/>
      <c r="PJ159" s="82"/>
      <c r="PK159" s="82"/>
      <c r="PL159" s="82"/>
      <c r="PM159" s="82"/>
      <c r="PN159" s="82"/>
      <c r="PO159" s="82"/>
      <c r="PP159" s="82"/>
      <c r="PQ159" s="82"/>
      <c r="PR159" s="82"/>
      <c r="PS159" s="82"/>
      <c r="PT159" s="82"/>
      <c r="PU159" s="82"/>
      <c r="PV159" s="82"/>
      <c r="PW159" s="82"/>
      <c r="PX159" s="82"/>
      <c r="PY159" s="82"/>
      <c r="PZ159" s="82"/>
      <c r="QA159" s="82"/>
      <c r="QB159" s="82"/>
      <c r="QC159" s="82"/>
      <c r="QD159" s="82"/>
      <c r="QE159" s="82"/>
      <c r="QF159" s="82"/>
      <c r="QG159" s="82"/>
      <c r="QH159" s="82"/>
      <c r="QI159" s="82"/>
      <c r="QJ159" s="82"/>
      <c r="QK159" s="82"/>
      <c r="QL159" s="82"/>
      <c r="QM159" s="82"/>
      <c r="QN159" s="82"/>
      <c r="QO159" s="82"/>
      <c r="QP159" s="82"/>
      <c r="QQ159" s="82"/>
      <c r="QR159" s="82"/>
      <c r="QS159" s="82"/>
      <c r="QT159" s="82"/>
      <c r="QU159" s="82"/>
      <c r="QV159" s="82"/>
      <c r="QW159" s="82"/>
      <c r="QX159" s="82"/>
      <c r="QY159" s="82"/>
      <c r="QZ159" s="82"/>
      <c r="RA159" s="82"/>
      <c r="RB159" s="82"/>
      <c r="RC159" s="82"/>
      <c r="RD159" s="82"/>
      <c r="RE159" s="82"/>
      <c r="RF159" s="82"/>
      <c r="RG159" s="82"/>
      <c r="RH159" s="82"/>
      <c r="RI159" s="82"/>
      <c r="RJ159" s="82"/>
      <c r="RK159" s="82"/>
      <c r="RL159" s="82"/>
      <c r="RM159" s="82"/>
      <c r="RN159" s="82"/>
      <c r="RO159" s="82"/>
      <c r="RP159" s="82"/>
      <c r="RQ159" s="82"/>
      <c r="RR159" s="82"/>
      <c r="RS159" s="82"/>
      <c r="RT159" s="82"/>
      <c r="RU159" s="82"/>
      <c r="RV159" s="82"/>
      <c r="RW159" s="82"/>
      <c r="RX159" s="82"/>
      <c r="RY159" s="82"/>
    </row>
    <row r="160" spans="1:493" ht="14.25" customHeight="1">
      <c r="C160" s="5"/>
      <c r="D160" s="1"/>
      <c r="E160" s="1"/>
      <c r="F160" s="1"/>
      <c r="G160" s="82"/>
      <c r="H160" s="1501" t="s">
        <v>111</v>
      </c>
      <c r="I160" s="783"/>
      <c r="J160" s="982"/>
      <c r="K160" s="1307">
        <f>EX49</f>
        <v>0</v>
      </c>
      <c r="L160" s="1308">
        <f>EY49</f>
        <v>0</v>
      </c>
      <c r="M160" s="1308">
        <f>EZ49</f>
        <v>0</v>
      </c>
      <c r="N160" s="1308">
        <f>FA49</f>
        <v>0</v>
      </c>
      <c r="O160" s="1309">
        <f>FB49</f>
        <v>0</v>
      </c>
      <c r="P160" s="1310">
        <f t="shared" si="379"/>
        <v>0</v>
      </c>
      <c r="Q160" s="1361" t="str">
        <f t="shared" si="380"/>
        <v/>
      </c>
      <c r="S160" s="3833"/>
      <c r="T160" s="3834"/>
      <c r="U160" s="3834"/>
      <c r="V160" s="3834"/>
      <c r="W160" s="3835"/>
      <c r="X160" s="1818"/>
      <c r="AA160" s="1818"/>
      <c r="AB160" s="435"/>
      <c r="AC160" s="1818"/>
      <c r="AF160" s="1818"/>
      <c r="AG160" s="435"/>
      <c r="AH160" s="1818"/>
      <c r="AK160" s="1818"/>
      <c r="AL160" s="435"/>
      <c r="AM160" s="1818"/>
      <c r="AP160" s="1818"/>
      <c r="AQ160" s="435"/>
      <c r="AR160" s="436"/>
      <c r="AS160" s="436"/>
      <c r="AT160" s="436"/>
      <c r="AU160" s="436"/>
      <c r="AV160" s="436"/>
      <c r="AW160" s="436"/>
      <c r="AX160" s="577"/>
      <c r="AY160" s="432"/>
      <c r="BB160" s="436"/>
      <c r="BC160" s="577"/>
      <c r="BD160" s="432"/>
      <c r="LO160" s="434"/>
      <c r="MD160" s="430"/>
      <c r="ME160" s="430"/>
      <c r="NC160" s="82"/>
      <c r="ND160" s="82"/>
      <c r="NE160" s="82"/>
      <c r="NF160" s="82"/>
      <c r="NG160" s="82"/>
      <c r="NH160" s="82"/>
      <c r="NI160" s="82"/>
      <c r="NJ160" s="82"/>
      <c r="NK160" s="82"/>
      <c r="NL160" s="82"/>
      <c r="NM160" s="82"/>
      <c r="NN160" s="82"/>
      <c r="NO160" s="82"/>
      <c r="NQ160" s="82"/>
      <c r="NR160" s="82"/>
      <c r="NS160" s="82"/>
      <c r="NT160" s="82"/>
      <c r="NU160" s="82"/>
      <c r="NV160" s="82"/>
      <c r="NW160" s="82"/>
      <c r="NX160" s="82"/>
      <c r="NY160" s="82"/>
      <c r="NZ160" s="82"/>
      <c r="OA160" s="82"/>
      <c r="OB160" s="82"/>
      <c r="OC160" s="82"/>
      <c r="OD160" s="82"/>
      <c r="OE160" s="82"/>
      <c r="OF160" s="82"/>
      <c r="OG160" s="82"/>
      <c r="OH160" s="82"/>
      <c r="OI160" s="82"/>
      <c r="OJ160" s="82"/>
      <c r="OK160" s="82"/>
      <c r="OL160" s="82"/>
      <c r="OM160" s="82"/>
      <c r="ON160" s="82"/>
      <c r="OO160" s="82"/>
      <c r="OP160" s="82"/>
      <c r="OQ160" s="82"/>
      <c r="OR160" s="82"/>
      <c r="OS160" s="82"/>
      <c r="OT160" s="82"/>
      <c r="OU160" s="82"/>
      <c r="OV160" s="82"/>
      <c r="OW160" s="82"/>
      <c r="OX160" s="82"/>
      <c r="OY160" s="82"/>
      <c r="OZ160" s="82"/>
      <c r="PA160" s="82"/>
      <c r="PB160" s="82"/>
      <c r="PC160" s="82"/>
      <c r="PD160" s="82"/>
      <c r="PE160" s="82"/>
      <c r="PF160" s="82"/>
      <c r="PG160" s="82"/>
      <c r="PH160" s="82"/>
      <c r="PI160" s="82"/>
      <c r="PJ160" s="82"/>
      <c r="PK160" s="82"/>
      <c r="PL160" s="82"/>
      <c r="PM160" s="82"/>
      <c r="PN160" s="82"/>
      <c r="PO160" s="82"/>
      <c r="PP160" s="82"/>
      <c r="PQ160" s="82"/>
      <c r="PR160" s="82"/>
      <c r="PS160" s="82"/>
      <c r="PT160" s="82"/>
      <c r="PU160" s="82"/>
      <c r="PV160" s="82"/>
      <c r="PW160" s="82"/>
      <c r="PX160" s="82"/>
      <c r="PY160" s="82"/>
      <c r="PZ160" s="82"/>
      <c r="QA160" s="82"/>
      <c r="QB160" s="82"/>
      <c r="QC160" s="82"/>
      <c r="QD160" s="82"/>
      <c r="QE160" s="82"/>
      <c r="QF160" s="82"/>
      <c r="QG160" s="82"/>
      <c r="QH160" s="82"/>
      <c r="QI160" s="82"/>
      <c r="QJ160" s="82"/>
      <c r="QK160" s="82"/>
      <c r="QL160" s="82"/>
      <c r="QM160" s="82"/>
      <c r="QN160" s="82"/>
      <c r="QO160" s="82"/>
      <c r="QP160" s="82"/>
      <c r="QQ160" s="82"/>
      <c r="QR160" s="82"/>
      <c r="QS160" s="82"/>
      <c r="QT160" s="82"/>
      <c r="QU160" s="82"/>
      <c r="QV160" s="82"/>
      <c r="QW160" s="82"/>
      <c r="QX160" s="82"/>
      <c r="QY160" s="82"/>
      <c r="QZ160" s="82"/>
      <c r="RA160" s="82"/>
      <c r="RB160" s="82"/>
      <c r="RC160" s="82"/>
      <c r="RD160" s="82"/>
      <c r="RE160" s="82"/>
      <c r="RF160" s="82"/>
      <c r="RG160" s="82"/>
      <c r="RH160" s="82"/>
      <c r="RI160" s="82"/>
      <c r="RJ160" s="82"/>
      <c r="RK160" s="82"/>
      <c r="RL160" s="82"/>
      <c r="RM160" s="82"/>
      <c r="RN160" s="82"/>
      <c r="RO160" s="82"/>
      <c r="RP160" s="82"/>
      <c r="RQ160" s="82"/>
      <c r="RR160" s="82"/>
      <c r="RS160" s="82"/>
      <c r="RT160" s="82"/>
      <c r="RU160" s="82"/>
      <c r="RV160" s="82"/>
      <c r="RW160" s="82"/>
      <c r="RX160" s="82"/>
      <c r="RY160" s="82"/>
    </row>
    <row r="161" spans="1:493" ht="14.25" customHeight="1">
      <c r="C161" s="5"/>
      <c r="D161" s="1"/>
      <c r="E161" s="1"/>
      <c r="F161" s="1"/>
      <c r="G161" s="82"/>
      <c r="H161" s="1501" t="s">
        <v>3831</v>
      </c>
      <c r="I161" s="783"/>
      <c r="J161" s="982"/>
      <c r="K161" s="1239">
        <f>FC49</f>
        <v>0</v>
      </c>
      <c r="L161" s="1240">
        <f>FD49</f>
        <v>0</v>
      </c>
      <c r="M161" s="1240">
        <f>FE49</f>
        <v>0</v>
      </c>
      <c r="N161" s="1240">
        <f>FF49</f>
        <v>0</v>
      </c>
      <c r="O161" s="1241">
        <f>FG49</f>
        <v>0</v>
      </c>
      <c r="P161" s="1176">
        <f t="shared" si="379"/>
        <v>0</v>
      </c>
      <c r="Q161" s="1361" t="str">
        <f t="shared" si="380"/>
        <v/>
      </c>
      <c r="S161" s="3833"/>
      <c r="T161" s="3834"/>
      <c r="U161" s="3834"/>
      <c r="V161" s="3834"/>
      <c r="W161" s="3835"/>
      <c r="X161" s="1818"/>
      <c r="AA161" s="1818"/>
      <c r="AB161" s="435"/>
      <c r="AC161" s="1818"/>
      <c r="AF161" s="1818"/>
      <c r="AG161" s="435"/>
      <c r="AH161" s="1818"/>
      <c r="AK161" s="1818"/>
      <c r="AL161" s="435"/>
      <c r="AM161" s="1818"/>
      <c r="AP161" s="1818"/>
      <c r="AQ161" s="435"/>
      <c r="AR161" s="436"/>
      <c r="AS161" s="436"/>
      <c r="AT161" s="436"/>
      <c r="AU161" s="436"/>
      <c r="AV161" s="436"/>
      <c r="AW161" s="436"/>
      <c r="AX161" s="577"/>
      <c r="AY161" s="432"/>
      <c r="BB161" s="436"/>
      <c r="BC161" s="577"/>
      <c r="BD161" s="432"/>
      <c r="LO161" s="434"/>
      <c r="MD161" s="430"/>
      <c r="ME161" s="430"/>
      <c r="NC161" s="82"/>
      <c r="ND161" s="82"/>
      <c r="NE161" s="82"/>
      <c r="NF161" s="82"/>
      <c r="NG161" s="82"/>
      <c r="NH161" s="82"/>
      <c r="NI161" s="82"/>
      <c r="NJ161" s="82"/>
      <c r="NK161" s="82"/>
      <c r="NL161" s="82"/>
      <c r="NM161" s="82"/>
      <c r="NN161" s="82"/>
      <c r="NO161" s="82"/>
      <c r="NQ161" s="82"/>
      <c r="NR161" s="82"/>
      <c r="NS161" s="82"/>
      <c r="NT161" s="82"/>
      <c r="NU161" s="82"/>
      <c r="NV161" s="82"/>
      <c r="NW161" s="82"/>
      <c r="NX161" s="82"/>
      <c r="NY161" s="82"/>
      <c r="NZ161" s="82"/>
      <c r="OA161" s="82"/>
      <c r="OB161" s="82"/>
      <c r="OC161" s="82"/>
      <c r="OD161" s="82"/>
      <c r="OE161" s="82"/>
      <c r="OF161" s="82"/>
      <c r="OG161" s="82"/>
      <c r="OH161" s="82"/>
      <c r="OI161" s="82"/>
      <c r="OJ161" s="82"/>
      <c r="OK161" s="82"/>
      <c r="OL161" s="82"/>
      <c r="OM161" s="82"/>
      <c r="ON161" s="82"/>
      <c r="OO161" s="82"/>
      <c r="OP161" s="82"/>
      <c r="OQ161" s="82"/>
      <c r="OR161" s="82"/>
      <c r="OS161" s="82"/>
      <c r="OT161" s="82"/>
      <c r="OU161" s="82"/>
      <c r="OV161" s="82"/>
      <c r="OW161" s="82"/>
      <c r="OX161" s="82"/>
      <c r="OY161" s="82"/>
      <c r="OZ161" s="82"/>
      <c r="PA161" s="82"/>
      <c r="PB161" s="82"/>
      <c r="PC161" s="82"/>
      <c r="PD161" s="82"/>
      <c r="PE161" s="82"/>
      <c r="PF161" s="82"/>
      <c r="PG161" s="82"/>
      <c r="PH161" s="82"/>
      <c r="PI161" s="82"/>
      <c r="PJ161" s="82"/>
      <c r="PK161" s="82"/>
      <c r="PL161" s="82"/>
      <c r="PM161" s="82"/>
      <c r="PN161" s="82"/>
      <c r="PO161" s="82"/>
      <c r="PP161" s="82"/>
      <c r="PQ161" s="82"/>
      <c r="PR161" s="82"/>
      <c r="PS161" s="82"/>
      <c r="PT161" s="82"/>
      <c r="PU161" s="82"/>
      <c r="PV161" s="82"/>
      <c r="PW161" s="82"/>
      <c r="PX161" s="82"/>
      <c r="PY161" s="82"/>
      <c r="PZ161" s="82"/>
      <c r="QA161" s="82"/>
      <c r="QB161" s="82"/>
      <c r="QC161" s="82"/>
      <c r="QD161" s="82"/>
      <c r="QE161" s="82"/>
      <c r="QF161" s="82"/>
      <c r="QG161" s="82"/>
      <c r="QH161" s="82"/>
      <c r="QI161" s="82"/>
      <c r="QJ161" s="82"/>
      <c r="QK161" s="82"/>
      <c r="QL161" s="82"/>
      <c r="QM161" s="82"/>
      <c r="QN161" s="82"/>
      <c r="QO161" s="82"/>
      <c r="QP161" s="82"/>
      <c r="QQ161" s="82"/>
      <c r="QR161" s="82"/>
      <c r="QS161" s="82"/>
      <c r="QT161" s="82"/>
      <c r="QU161" s="82"/>
      <c r="QV161" s="82"/>
      <c r="QW161" s="82"/>
      <c r="QX161" s="82"/>
      <c r="QY161" s="82"/>
      <c r="QZ161" s="82"/>
      <c r="RA161" s="82"/>
      <c r="RB161" s="82"/>
      <c r="RC161" s="82"/>
      <c r="RD161" s="82"/>
      <c r="RE161" s="82"/>
      <c r="RF161" s="82"/>
      <c r="RG161" s="82"/>
      <c r="RH161" s="82"/>
      <c r="RI161" s="82"/>
      <c r="RJ161" s="82"/>
      <c r="RK161" s="82"/>
      <c r="RL161" s="82"/>
      <c r="RM161" s="82"/>
      <c r="RN161" s="82"/>
      <c r="RO161" s="82"/>
      <c r="RP161" s="82"/>
      <c r="RQ161" s="82"/>
      <c r="RR161" s="82"/>
      <c r="RS161" s="82"/>
      <c r="RT161" s="82"/>
      <c r="RU161" s="82"/>
      <c r="RV161" s="82"/>
      <c r="RW161" s="82"/>
      <c r="RX161" s="82"/>
      <c r="RY161" s="82"/>
    </row>
    <row r="162" spans="1:493" ht="14.25" customHeight="1">
      <c r="C162" s="5"/>
      <c r="D162" s="1"/>
      <c r="E162" s="1"/>
      <c r="F162" s="1"/>
      <c r="G162" s="82"/>
      <c r="H162" s="1496" t="s">
        <v>3832</v>
      </c>
      <c r="I162" s="40"/>
      <c r="J162" s="82"/>
      <c r="K162" s="1239">
        <f>FH49</f>
        <v>0</v>
      </c>
      <c r="L162" s="1240">
        <f>FI49</f>
        <v>0</v>
      </c>
      <c r="M162" s="1240">
        <f>FJ49</f>
        <v>0</v>
      </c>
      <c r="N162" s="1240">
        <f>FK49</f>
        <v>0</v>
      </c>
      <c r="O162" s="1241">
        <f>FL49</f>
        <v>0</v>
      </c>
      <c r="P162" s="1176">
        <f t="shared" si="379"/>
        <v>0</v>
      </c>
      <c r="Q162" s="1361" t="str">
        <f t="shared" si="380"/>
        <v/>
      </c>
      <c r="S162" s="3833"/>
      <c r="T162" s="3834"/>
      <c r="U162" s="3834"/>
      <c r="V162" s="3834"/>
      <c r="W162" s="3835"/>
      <c r="X162" s="1818"/>
      <c r="AA162" s="1818"/>
      <c r="AB162" s="435"/>
      <c r="AC162" s="1818"/>
      <c r="AF162" s="1818"/>
      <c r="AG162" s="435"/>
      <c r="AH162" s="1818"/>
      <c r="AK162" s="1818"/>
      <c r="AL162" s="435"/>
      <c r="AM162" s="1818"/>
      <c r="AP162" s="1818"/>
      <c r="AQ162" s="435"/>
      <c r="AR162" s="436"/>
      <c r="AS162" s="436"/>
      <c r="AT162" s="436"/>
      <c r="AU162" s="436"/>
      <c r="AV162" s="436"/>
      <c r="AW162" s="436"/>
      <c r="AX162" s="577"/>
      <c r="AY162" s="432"/>
      <c r="BB162" s="436"/>
      <c r="BC162" s="577"/>
      <c r="BD162" s="432"/>
      <c r="LO162" s="434"/>
      <c r="MD162" s="430"/>
      <c r="ME162" s="430"/>
      <c r="NC162" s="82"/>
      <c r="ND162" s="82"/>
      <c r="NE162" s="82"/>
      <c r="NF162" s="82"/>
      <c r="NG162" s="82"/>
      <c r="NH162" s="82"/>
      <c r="NI162" s="82"/>
      <c r="NJ162" s="82"/>
      <c r="NK162" s="82"/>
      <c r="NL162" s="82"/>
      <c r="NM162" s="82"/>
      <c r="NN162" s="82"/>
      <c r="NO162" s="82"/>
      <c r="NQ162" s="82"/>
      <c r="NR162" s="82"/>
      <c r="NS162" s="82"/>
      <c r="NT162" s="82"/>
      <c r="NU162" s="82"/>
      <c r="NV162" s="82"/>
      <c r="NW162" s="82"/>
      <c r="NX162" s="82"/>
      <c r="NY162" s="82"/>
      <c r="NZ162" s="82"/>
      <c r="OA162" s="82"/>
      <c r="OB162" s="82"/>
      <c r="OC162" s="82"/>
      <c r="OD162" s="82"/>
      <c r="OE162" s="82"/>
      <c r="OF162" s="82"/>
      <c r="OG162" s="82"/>
      <c r="OH162" s="82"/>
      <c r="OI162" s="82"/>
      <c r="OJ162" s="82"/>
      <c r="OK162" s="82"/>
      <c r="OL162" s="82"/>
      <c r="OM162" s="82"/>
      <c r="ON162" s="82"/>
      <c r="OO162" s="82"/>
      <c r="OP162" s="82"/>
      <c r="OQ162" s="82"/>
      <c r="OR162" s="82"/>
      <c r="OS162" s="82"/>
      <c r="OT162" s="82"/>
      <c r="OU162" s="82"/>
      <c r="OV162" s="82"/>
      <c r="OW162" s="82"/>
      <c r="OX162" s="82"/>
      <c r="OY162" s="82"/>
      <c r="OZ162" s="82"/>
      <c r="PA162" s="82"/>
      <c r="PB162" s="82"/>
      <c r="PC162" s="82"/>
      <c r="PD162" s="82"/>
      <c r="PE162" s="82"/>
      <c r="PF162" s="82"/>
      <c r="PG162" s="82"/>
      <c r="PH162" s="82"/>
      <c r="PI162" s="82"/>
      <c r="PJ162" s="82"/>
      <c r="PK162" s="82"/>
      <c r="PL162" s="82"/>
      <c r="PM162" s="82"/>
      <c r="PN162" s="82"/>
      <c r="PO162" s="82"/>
      <c r="PP162" s="82"/>
      <c r="PQ162" s="82"/>
      <c r="PR162" s="82"/>
      <c r="PS162" s="82"/>
      <c r="PT162" s="82"/>
      <c r="PU162" s="82"/>
      <c r="PV162" s="82"/>
      <c r="PW162" s="82"/>
      <c r="PX162" s="82"/>
      <c r="PY162" s="82"/>
      <c r="PZ162" s="82"/>
      <c r="QA162" s="82"/>
      <c r="QB162" s="82"/>
      <c r="QC162" s="82"/>
      <c r="QD162" s="82"/>
      <c r="QE162" s="82"/>
      <c r="QF162" s="82"/>
      <c r="QG162" s="82"/>
      <c r="QH162" s="82"/>
      <c r="QI162" s="82"/>
      <c r="QJ162" s="82"/>
      <c r="QK162" s="82"/>
      <c r="QL162" s="82"/>
      <c r="QM162" s="82"/>
      <c r="QN162" s="82"/>
      <c r="QO162" s="82"/>
      <c r="QP162" s="82"/>
      <c r="QQ162" s="82"/>
      <c r="QR162" s="82"/>
      <c r="QS162" s="82"/>
      <c r="QT162" s="82"/>
      <c r="QU162" s="82"/>
      <c r="QV162" s="82"/>
      <c r="QW162" s="82"/>
      <c r="QX162" s="82"/>
      <c r="QY162" s="82"/>
      <c r="QZ162" s="82"/>
      <c r="RA162" s="82"/>
      <c r="RB162" s="82"/>
      <c r="RC162" s="82"/>
      <c r="RD162" s="82"/>
      <c r="RE162" s="82"/>
      <c r="RF162" s="82"/>
      <c r="RG162" s="82"/>
      <c r="RH162" s="82"/>
      <c r="RI162" s="82"/>
      <c r="RJ162" s="82"/>
      <c r="RK162" s="82"/>
      <c r="RL162" s="82"/>
      <c r="RM162" s="82"/>
      <c r="RN162" s="82"/>
      <c r="RO162" s="82"/>
      <c r="RP162" s="82"/>
      <c r="RQ162" s="82"/>
      <c r="RR162" s="82"/>
      <c r="RS162" s="82"/>
      <c r="RT162" s="82"/>
      <c r="RU162" s="82"/>
      <c r="RV162" s="82"/>
      <c r="RW162" s="82"/>
      <c r="RX162" s="82"/>
      <c r="RY162" s="82"/>
    </row>
    <row r="163" spans="1:493" ht="14.25" customHeight="1">
      <c r="C163" s="4"/>
      <c r="D163" s="1"/>
      <c r="E163" s="1"/>
      <c r="F163" s="1"/>
      <c r="G163" s="82"/>
      <c r="H163" s="89" t="s">
        <v>3833</v>
      </c>
      <c r="I163" s="55"/>
      <c r="J163" s="82"/>
      <c r="K163" s="1215">
        <f>FM49</f>
        <v>0</v>
      </c>
      <c r="L163" s="1216">
        <f>FN49</f>
        <v>0</v>
      </c>
      <c r="M163" s="1216">
        <f>FO49</f>
        <v>0</v>
      </c>
      <c r="N163" s="1216">
        <f>FP49</f>
        <v>0</v>
      </c>
      <c r="O163" s="1217">
        <f>FQ49</f>
        <v>0</v>
      </c>
      <c r="P163" s="1177">
        <f t="shared" si="379"/>
        <v>0</v>
      </c>
      <c r="Q163" s="1361" t="str">
        <f t="shared" si="380"/>
        <v/>
      </c>
      <c r="S163" s="3833"/>
      <c r="T163" s="3834"/>
      <c r="U163" s="3834"/>
      <c r="V163" s="3834"/>
      <c r="W163" s="3835"/>
      <c r="X163" s="1819"/>
      <c r="AA163" s="1818"/>
      <c r="AB163" s="435"/>
      <c r="AC163" s="1819"/>
      <c r="AF163" s="1818"/>
      <c r="AG163" s="435"/>
      <c r="AH163" s="1819"/>
      <c r="AK163" s="1818"/>
      <c r="AL163" s="435"/>
      <c r="AM163" s="1819"/>
      <c r="AP163" s="1818"/>
      <c r="AQ163" s="435"/>
      <c r="AR163" s="436"/>
      <c r="AS163" s="436"/>
      <c r="AT163" s="436"/>
      <c r="AU163" s="436"/>
      <c r="AV163" s="436"/>
      <c r="AW163" s="436"/>
      <c r="AX163" s="1818"/>
      <c r="AY163" s="432"/>
      <c r="BB163" s="436"/>
      <c r="BC163" s="1818"/>
      <c r="BD163" s="432"/>
      <c r="LO163" s="434"/>
      <c r="MD163" s="430"/>
      <c r="ME163" s="430"/>
      <c r="NC163" s="82"/>
      <c r="ND163" s="82"/>
      <c r="NE163" s="82"/>
      <c r="NF163" s="82"/>
      <c r="NG163" s="82"/>
      <c r="NH163" s="82"/>
      <c r="NI163" s="82"/>
      <c r="NJ163" s="82"/>
      <c r="NK163" s="82"/>
      <c r="NL163" s="82"/>
      <c r="NM163" s="82"/>
      <c r="NN163" s="82"/>
      <c r="NO163" s="82"/>
      <c r="NQ163" s="82"/>
      <c r="NR163" s="82"/>
      <c r="NS163" s="82"/>
      <c r="NT163" s="82"/>
      <c r="NU163" s="82"/>
      <c r="NV163" s="82"/>
      <c r="NW163" s="82"/>
      <c r="NX163" s="82"/>
      <c r="NY163" s="82"/>
      <c r="NZ163" s="82"/>
      <c r="OA163" s="82"/>
      <c r="OB163" s="82"/>
      <c r="OC163" s="82"/>
      <c r="OD163" s="82"/>
      <c r="OE163" s="82"/>
      <c r="OF163" s="82"/>
      <c r="OG163" s="82"/>
      <c r="OH163" s="82"/>
      <c r="OI163" s="82"/>
      <c r="OJ163" s="82"/>
      <c r="OK163" s="82"/>
      <c r="OL163" s="82"/>
      <c r="OM163" s="82"/>
      <c r="ON163" s="82"/>
      <c r="OO163" s="82"/>
      <c r="OP163" s="82"/>
      <c r="OQ163" s="82"/>
      <c r="OR163" s="82"/>
      <c r="OS163" s="82"/>
      <c r="OT163" s="82"/>
      <c r="OU163" s="82"/>
      <c r="OV163" s="82"/>
      <c r="OW163" s="82"/>
      <c r="OX163" s="82"/>
      <c r="OY163" s="82"/>
      <c r="OZ163" s="82"/>
      <c r="PA163" s="82"/>
      <c r="PB163" s="82"/>
      <c r="PC163" s="82"/>
      <c r="PD163" s="82"/>
      <c r="PE163" s="82"/>
      <c r="PF163" s="82"/>
      <c r="PG163" s="82"/>
      <c r="PH163" s="82"/>
      <c r="PI163" s="82"/>
      <c r="PJ163" s="82"/>
      <c r="PK163" s="82"/>
      <c r="PL163" s="82"/>
      <c r="PM163" s="82"/>
      <c r="PN163" s="82"/>
      <c r="PO163" s="82"/>
      <c r="PP163" s="82"/>
      <c r="PQ163" s="82"/>
      <c r="PR163" s="82"/>
      <c r="PS163" s="82"/>
      <c r="PT163" s="82"/>
      <c r="PU163" s="82"/>
      <c r="PV163" s="82"/>
      <c r="PW163" s="82"/>
      <c r="PX163" s="82"/>
      <c r="PY163" s="82"/>
      <c r="PZ163" s="82"/>
      <c r="QA163" s="82"/>
      <c r="QB163" s="82"/>
      <c r="QC163" s="82"/>
      <c r="QD163" s="82"/>
      <c r="QE163" s="82"/>
      <c r="QF163" s="82"/>
      <c r="QG163" s="82"/>
      <c r="QH163" s="82"/>
      <c r="QI163" s="82"/>
      <c r="QJ163" s="82"/>
      <c r="QK163" s="82"/>
      <c r="QL163" s="82"/>
      <c r="QM163" s="82"/>
      <c r="QN163" s="82"/>
      <c r="QO163" s="82"/>
      <c r="QP163" s="82"/>
      <c r="QQ163" s="82"/>
      <c r="QR163" s="82"/>
      <c r="QS163" s="82"/>
      <c r="QT163" s="82"/>
      <c r="QU163" s="82"/>
      <c r="QV163" s="82"/>
      <c r="QW163" s="82"/>
      <c r="QX163" s="82"/>
      <c r="QY163" s="82"/>
      <c r="QZ163" s="82"/>
      <c r="RA163" s="82"/>
      <c r="RB163" s="82"/>
      <c r="RC163" s="82"/>
      <c r="RD163" s="82"/>
      <c r="RE163" s="82"/>
      <c r="RF163" s="82"/>
      <c r="RG163" s="82"/>
      <c r="RH163" s="82"/>
      <c r="RI163" s="82"/>
      <c r="RJ163" s="82"/>
      <c r="RK163" s="82"/>
      <c r="RL163" s="82"/>
      <c r="RM163" s="82"/>
      <c r="RN163" s="82"/>
      <c r="RO163" s="82"/>
      <c r="RP163" s="82"/>
      <c r="RQ163" s="82"/>
      <c r="RR163" s="82"/>
      <c r="RS163" s="82"/>
      <c r="RT163" s="82"/>
      <c r="RU163" s="82"/>
      <c r="RV163" s="82"/>
      <c r="RW163" s="82"/>
      <c r="RX163" s="82"/>
      <c r="RY163" s="82"/>
    </row>
    <row r="164" spans="1:493" ht="14.25" customHeight="1">
      <c r="C164" s="4"/>
      <c r="D164" s="1"/>
      <c r="E164" s="1"/>
      <c r="F164" s="1"/>
      <c r="G164" s="82"/>
      <c r="H164" s="1506" t="s">
        <v>3914</v>
      </c>
      <c r="I164" s="780"/>
      <c r="J164" s="1186"/>
      <c r="K164" s="1759">
        <f>SUM(K157:K163)</f>
        <v>0</v>
      </c>
      <c r="L164" s="1759">
        <f>SUM(L157:L163)</f>
        <v>8840</v>
      </c>
      <c r="M164" s="1759">
        <f>SUM(M157:M163)</f>
        <v>29920</v>
      </c>
      <c r="N164" s="1759">
        <f>SUM(N157:N163)</f>
        <v>20060</v>
      </c>
      <c r="O164" s="1759">
        <f>SUM(O157:O163)</f>
        <v>0</v>
      </c>
      <c r="P164" s="1759">
        <f>SUM(K164:O164)</f>
        <v>58820</v>
      </c>
      <c r="S164" s="3833"/>
      <c r="T164" s="3834"/>
      <c r="U164" s="3834"/>
      <c r="V164" s="3834"/>
      <c r="W164" s="3835"/>
      <c r="X164" s="1819"/>
      <c r="AA164" s="1818"/>
      <c r="AB164" s="435"/>
      <c r="AC164" s="1819"/>
      <c r="AF164" s="1818"/>
      <c r="AG164" s="435"/>
      <c r="AH164" s="1819"/>
      <c r="AK164" s="1818"/>
      <c r="AL164" s="435"/>
      <c r="AM164" s="1819"/>
      <c r="AP164" s="1818"/>
      <c r="AQ164" s="435"/>
      <c r="AR164" s="436"/>
      <c r="AS164" s="436"/>
      <c r="AT164" s="436"/>
      <c r="AU164" s="436"/>
      <c r="AV164" s="436"/>
      <c r="AW164" s="436"/>
      <c r="AX164" s="1818"/>
      <c r="AY164" s="432"/>
      <c r="BB164" s="436"/>
      <c r="BC164" s="1818"/>
      <c r="BD164" s="432"/>
      <c r="LO164" s="434"/>
      <c r="MD164" s="430"/>
      <c r="ME164" s="430"/>
      <c r="NC164" s="82"/>
      <c r="ND164" s="82"/>
      <c r="NE164" s="82"/>
      <c r="NF164" s="82"/>
      <c r="NG164" s="82"/>
      <c r="NH164" s="82"/>
      <c r="NI164" s="82"/>
      <c r="NJ164" s="82"/>
      <c r="NK164" s="82"/>
      <c r="NL164" s="82"/>
      <c r="NM164" s="82"/>
      <c r="NN164" s="82"/>
      <c r="NO164" s="82"/>
      <c r="NQ164" s="82"/>
      <c r="NR164" s="82"/>
      <c r="NS164" s="82"/>
      <c r="NT164" s="82"/>
      <c r="NU164" s="82"/>
      <c r="NV164" s="82"/>
      <c r="NW164" s="82"/>
      <c r="NX164" s="82"/>
      <c r="NY164" s="82"/>
      <c r="NZ164" s="82"/>
      <c r="OA164" s="82"/>
      <c r="OB164" s="82"/>
      <c r="OC164" s="82"/>
      <c r="OD164" s="82"/>
      <c r="OE164" s="82"/>
      <c r="OF164" s="82"/>
      <c r="OG164" s="82"/>
      <c r="OH164" s="82"/>
      <c r="OI164" s="82"/>
      <c r="OJ164" s="82"/>
      <c r="OK164" s="82"/>
      <c r="OL164" s="82"/>
      <c r="OM164" s="82"/>
      <c r="ON164" s="82"/>
      <c r="OO164" s="82"/>
      <c r="OP164" s="82"/>
      <c r="OQ164" s="82"/>
      <c r="OR164" s="82"/>
      <c r="OS164" s="82"/>
      <c r="OT164" s="82"/>
      <c r="OU164" s="82"/>
      <c r="OV164" s="82"/>
      <c r="OW164" s="82"/>
      <c r="OX164" s="82"/>
      <c r="OY164" s="82"/>
      <c r="OZ164" s="82"/>
      <c r="PA164" s="82"/>
      <c r="PB164" s="82"/>
      <c r="PC164" s="82"/>
      <c r="PD164" s="82"/>
      <c r="PE164" s="82"/>
      <c r="PF164" s="82"/>
      <c r="PG164" s="82"/>
      <c r="PH164" s="82"/>
      <c r="PI164" s="82"/>
      <c r="PJ164" s="82"/>
      <c r="PK164" s="82"/>
      <c r="PL164" s="82"/>
      <c r="PM164" s="82"/>
      <c r="PN164" s="82"/>
      <c r="PO164" s="82"/>
      <c r="PP164" s="82"/>
      <c r="PQ164" s="82"/>
      <c r="PR164" s="82"/>
      <c r="PS164" s="82"/>
      <c r="PT164" s="82"/>
      <c r="PU164" s="82"/>
      <c r="PV164" s="82"/>
      <c r="PW164" s="82"/>
      <c r="PX164" s="82"/>
      <c r="PY164" s="82"/>
      <c r="PZ164" s="82"/>
      <c r="QA164" s="82"/>
      <c r="QB164" s="82"/>
      <c r="QC164" s="82"/>
      <c r="QD164" s="82"/>
      <c r="QE164" s="82"/>
      <c r="QF164" s="82"/>
      <c r="QG164" s="82"/>
      <c r="QH164" s="82"/>
      <c r="QI164" s="82"/>
      <c r="QJ164" s="82"/>
      <c r="QK164" s="82"/>
      <c r="QL164" s="82"/>
      <c r="QM164" s="82"/>
      <c r="QN164" s="82"/>
      <c r="QO164" s="82"/>
      <c r="QP164" s="82"/>
      <c r="QQ164" s="82"/>
      <c r="QR164" s="82"/>
      <c r="QS164" s="82"/>
      <c r="QT164" s="82"/>
      <c r="QU164" s="82"/>
      <c r="QV164" s="82"/>
      <c r="QW164" s="82"/>
      <c r="QX164" s="82"/>
      <c r="QY164" s="82"/>
      <c r="QZ164" s="82"/>
      <c r="RA164" s="82"/>
      <c r="RB164" s="82"/>
      <c r="RC164" s="82"/>
      <c r="RD164" s="82"/>
      <c r="RE164" s="82"/>
      <c r="RF164" s="82"/>
      <c r="RG164" s="82"/>
      <c r="RH164" s="82"/>
      <c r="RI164" s="82"/>
      <c r="RJ164" s="82"/>
      <c r="RK164" s="82"/>
      <c r="RL164" s="82"/>
      <c r="RM164" s="82"/>
      <c r="RN164" s="82"/>
      <c r="RO164" s="82"/>
      <c r="RP164" s="82"/>
      <c r="RQ164" s="82"/>
      <c r="RR164" s="82"/>
      <c r="RS164" s="82"/>
      <c r="RT164" s="82"/>
      <c r="RU164" s="82"/>
      <c r="RV164" s="82"/>
      <c r="RW164" s="82"/>
      <c r="RX164" s="82"/>
      <c r="RY164" s="82"/>
    </row>
    <row r="165" spans="1:493" ht="14.25" customHeight="1">
      <c r="C165" s="1" t="s">
        <v>292</v>
      </c>
      <c r="D165" s="1"/>
      <c r="E165" s="1"/>
      <c r="F165" s="1"/>
      <c r="G165" s="1"/>
      <c r="H165" s="82"/>
      <c r="I165" s="82"/>
      <c r="J165" s="82"/>
      <c r="K165" s="1242">
        <f>FR49</f>
        <v>0</v>
      </c>
      <c r="L165" s="1243">
        <f>FS49</f>
        <v>2040</v>
      </c>
      <c r="M165" s="1243">
        <f>FT49</f>
        <v>1760</v>
      </c>
      <c r="N165" s="1243">
        <f>FU49</f>
        <v>3540</v>
      </c>
      <c r="O165" s="1244">
        <f>FV49</f>
        <v>0</v>
      </c>
      <c r="P165" s="1183">
        <f>SUM(K165:O165)</f>
        <v>7340</v>
      </c>
      <c r="Q165" s="1314">
        <f>IF(OR(P64=0,P64=""),"",P165/P64)</f>
        <v>917.5</v>
      </c>
      <c r="S165" s="3833"/>
      <c r="T165" s="3834"/>
      <c r="U165" s="3834"/>
      <c r="V165" s="3834"/>
      <c r="W165" s="3835"/>
      <c r="X165" s="432"/>
      <c r="AA165" s="1818"/>
      <c r="AB165" s="1818"/>
      <c r="AC165" s="432"/>
      <c r="AF165" s="1818"/>
      <c r="AG165" s="1818"/>
      <c r="AH165" s="432"/>
      <c r="AK165" s="1818"/>
      <c r="AL165" s="1818"/>
      <c r="AM165" s="432"/>
      <c r="AP165" s="1818"/>
      <c r="AQ165" s="1818"/>
      <c r="AR165" s="436"/>
      <c r="AS165" s="436"/>
      <c r="AT165" s="436"/>
      <c r="AU165" s="436"/>
      <c r="AV165" s="436"/>
      <c r="AW165" s="436"/>
      <c r="AX165" s="577"/>
      <c r="AY165" s="432"/>
      <c r="BB165" s="436"/>
      <c r="BC165" s="577"/>
      <c r="BD165" s="432"/>
      <c r="LO165" s="434"/>
      <c r="MD165" s="430"/>
      <c r="ME165" s="430"/>
      <c r="NC165" s="82"/>
      <c r="ND165" s="82"/>
      <c r="NE165" s="82"/>
      <c r="NF165" s="82"/>
      <c r="NG165" s="82"/>
      <c r="NH165" s="82"/>
      <c r="NI165" s="82"/>
      <c r="NJ165" s="82"/>
      <c r="NK165" s="82"/>
      <c r="NL165" s="82"/>
      <c r="NM165" s="82"/>
      <c r="NN165" s="82"/>
      <c r="NO165" s="82"/>
      <c r="NQ165" s="82"/>
      <c r="NR165" s="82"/>
      <c r="NS165" s="82"/>
      <c r="NT165" s="82"/>
      <c r="NU165" s="82"/>
      <c r="NV165" s="82"/>
      <c r="NW165" s="82"/>
      <c r="NX165" s="82"/>
      <c r="NY165" s="82"/>
      <c r="NZ165" s="82"/>
      <c r="OA165" s="82"/>
      <c r="OB165" s="82"/>
      <c r="OC165" s="82"/>
      <c r="OD165" s="82"/>
      <c r="OE165" s="82"/>
      <c r="OF165" s="82"/>
      <c r="OG165" s="82"/>
      <c r="OH165" s="82"/>
      <c r="OI165" s="82"/>
      <c r="OJ165" s="82"/>
      <c r="OK165" s="82"/>
      <c r="OL165" s="82"/>
      <c r="OM165" s="82"/>
      <c r="ON165" s="82"/>
      <c r="OO165" s="82"/>
      <c r="OP165" s="82"/>
      <c r="OQ165" s="82"/>
      <c r="OR165" s="82"/>
      <c r="OS165" s="82"/>
      <c r="OT165" s="82"/>
      <c r="OU165" s="82"/>
      <c r="OV165" s="82"/>
      <c r="OW165" s="82"/>
      <c r="OX165" s="82"/>
      <c r="OY165" s="82"/>
      <c r="OZ165" s="82"/>
      <c r="PA165" s="82"/>
      <c r="PB165" s="82"/>
      <c r="PC165" s="82"/>
      <c r="PD165" s="82"/>
      <c r="PE165" s="82"/>
      <c r="PF165" s="82"/>
      <c r="PG165" s="82"/>
      <c r="PH165" s="82"/>
      <c r="PI165" s="82"/>
      <c r="PJ165" s="82"/>
      <c r="PK165" s="82"/>
      <c r="PL165" s="82"/>
      <c r="PM165" s="82"/>
      <c r="PN165" s="82"/>
      <c r="PO165" s="82"/>
      <c r="PP165" s="82"/>
      <c r="PQ165" s="82"/>
      <c r="PR165" s="82"/>
      <c r="PS165" s="82"/>
      <c r="PT165" s="82"/>
      <c r="PU165" s="82"/>
      <c r="PV165" s="82"/>
      <c r="PW165" s="82"/>
      <c r="PX165" s="82"/>
      <c r="PY165" s="82"/>
      <c r="PZ165" s="82"/>
      <c r="QA165" s="82"/>
      <c r="QB165" s="82"/>
      <c r="QC165" s="82"/>
      <c r="QD165" s="82"/>
      <c r="QE165" s="82"/>
      <c r="QF165" s="82"/>
      <c r="QG165" s="82"/>
      <c r="QH165" s="82"/>
      <c r="QI165" s="82"/>
      <c r="QJ165" s="82"/>
      <c r="QK165" s="82"/>
      <c r="QL165" s="82"/>
      <c r="QM165" s="82"/>
      <c r="QN165" s="82"/>
      <c r="QO165" s="82"/>
      <c r="QP165" s="82"/>
      <c r="QQ165" s="82"/>
      <c r="QR165" s="82"/>
      <c r="QS165" s="82"/>
      <c r="QT165" s="82"/>
      <c r="QU165" s="82"/>
      <c r="QV165" s="82"/>
      <c r="QW165" s="82"/>
      <c r="QX165" s="82"/>
      <c r="QY165" s="82"/>
      <c r="QZ165" s="82"/>
      <c r="RA165" s="82"/>
      <c r="RB165" s="82"/>
      <c r="RC165" s="82"/>
      <c r="RD165" s="82"/>
      <c r="RE165" s="82"/>
      <c r="RF165" s="82"/>
      <c r="RG165" s="82"/>
      <c r="RH165" s="82"/>
      <c r="RI165" s="82"/>
      <c r="RJ165" s="82"/>
      <c r="RK165" s="82"/>
      <c r="RL165" s="82"/>
      <c r="RM165" s="82"/>
      <c r="RN165" s="82"/>
      <c r="RO165" s="82"/>
      <c r="RP165" s="82"/>
      <c r="RQ165" s="82"/>
      <c r="RR165" s="82"/>
      <c r="RS165" s="82"/>
      <c r="RT165" s="82"/>
      <c r="RU165" s="82"/>
      <c r="RV165" s="82"/>
      <c r="RW165" s="82"/>
      <c r="RX165" s="82"/>
      <c r="RY165" s="82"/>
    </row>
    <row r="166" spans="1:493" ht="14.25" customHeight="1">
      <c r="C166" s="105" t="s">
        <v>1096</v>
      </c>
      <c r="D166" s="1185"/>
      <c r="E166" s="1185"/>
      <c r="F166" s="1185"/>
      <c r="G166" s="1185"/>
      <c r="H166" s="1186"/>
      <c r="I166" s="1186"/>
      <c r="J166" s="1186"/>
      <c r="K166" s="1758">
        <f>SUM(K164:K165)</f>
        <v>0</v>
      </c>
      <c r="L166" s="1758">
        <f>SUM(L164:L165)</f>
        <v>10880</v>
      </c>
      <c r="M166" s="1758">
        <f>SUM(M164:M165)</f>
        <v>31680</v>
      </c>
      <c r="N166" s="1758">
        <f>SUM(N164:N165)</f>
        <v>23600</v>
      </c>
      <c r="O166" s="1758">
        <f>SUM(O164:O165)</f>
        <v>0</v>
      </c>
      <c r="P166" s="1758">
        <f>SUM(K166:O166)</f>
        <v>66160</v>
      </c>
      <c r="S166" s="3833"/>
      <c r="T166" s="3834"/>
      <c r="U166" s="3834"/>
      <c r="V166" s="3834"/>
      <c r="W166" s="3835"/>
      <c r="X166" s="1818"/>
      <c r="AA166" s="1818"/>
      <c r="AB166" s="1818"/>
      <c r="AC166" s="1818"/>
      <c r="AF166" s="1818"/>
      <c r="AG166" s="1818"/>
      <c r="AH166" s="1818"/>
      <c r="AK166" s="1818"/>
      <c r="AL166" s="1818"/>
      <c r="AM166" s="1818"/>
      <c r="AP166" s="1818"/>
      <c r="AQ166" s="1818"/>
      <c r="AR166" s="436"/>
      <c r="AS166" s="436"/>
      <c r="AT166" s="436"/>
      <c r="AU166" s="436"/>
      <c r="AV166" s="436"/>
      <c r="AW166" s="436"/>
      <c r="AX166" s="577"/>
      <c r="AY166" s="432"/>
      <c r="BB166" s="436"/>
      <c r="BC166" s="577"/>
      <c r="BD166" s="432"/>
      <c r="LO166" s="434"/>
      <c r="MD166" s="430"/>
    </row>
    <row r="167" spans="1:493" ht="14.25" customHeight="1">
      <c r="C167" s="5" t="s">
        <v>2392</v>
      </c>
      <c r="D167" s="1"/>
      <c r="E167" s="1"/>
      <c r="F167" s="1"/>
      <c r="G167" s="1"/>
      <c r="H167" s="82"/>
      <c r="I167" s="82"/>
      <c r="J167" s="82"/>
      <c r="K167" s="1242">
        <f>GB49</f>
        <v>0</v>
      </c>
      <c r="L167" s="1243">
        <f>GC49</f>
        <v>0</v>
      </c>
      <c r="M167" s="1243">
        <f>GD49</f>
        <v>0</v>
      </c>
      <c r="N167" s="1243">
        <f>GE49</f>
        <v>0</v>
      </c>
      <c r="O167" s="1244">
        <f>GF49</f>
        <v>0</v>
      </c>
      <c r="P167" s="1183">
        <f>SUM(K167:O167)</f>
        <v>0</v>
      </c>
      <c r="Q167" s="1314" t="str">
        <f>IF(OR(P66=0,P66=""),"",P167/P66)</f>
        <v/>
      </c>
      <c r="S167" s="3833"/>
      <c r="T167" s="3834"/>
      <c r="U167" s="3834"/>
      <c r="V167" s="3834"/>
      <c r="W167" s="3835"/>
      <c r="X167" s="1818"/>
      <c r="AA167" s="1818"/>
      <c r="AB167" s="1818"/>
      <c r="AC167" s="1818"/>
      <c r="AF167" s="1818"/>
      <c r="AG167" s="1818"/>
      <c r="AH167" s="1818"/>
      <c r="AK167" s="1818"/>
      <c r="AL167" s="1818"/>
      <c r="AM167" s="1818"/>
      <c r="AP167" s="1818"/>
      <c r="AQ167" s="1818"/>
      <c r="AR167" s="436"/>
      <c r="AS167" s="436"/>
      <c r="AT167" s="436"/>
      <c r="AU167" s="436"/>
      <c r="AV167" s="436"/>
      <c r="AW167" s="436"/>
      <c r="AX167" s="577"/>
      <c r="AY167" s="432"/>
      <c r="BB167" s="436"/>
      <c r="BC167" s="577"/>
      <c r="BD167" s="432"/>
      <c r="LO167" s="434"/>
      <c r="MD167" s="430"/>
    </row>
    <row r="168" spans="1:493" ht="14.25" customHeight="1">
      <c r="C168" s="10" t="s">
        <v>513</v>
      </c>
      <c r="D168" s="1"/>
      <c r="E168" s="1"/>
      <c r="F168" s="1"/>
      <c r="G168" s="1"/>
      <c r="H168" s="82"/>
      <c r="I168" s="82"/>
      <c r="J168" s="82"/>
      <c r="K168" s="1182">
        <f>SUM(K166:K167)</f>
        <v>0</v>
      </c>
      <c r="L168" s="1182">
        <f>SUM(L166:L167)</f>
        <v>10880</v>
      </c>
      <c r="M168" s="1182">
        <f>SUM(M166:M167)</f>
        <v>31680</v>
      </c>
      <c r="N168" s="1182">
        <f>SUM(N166:N167)</f>
        <v>23600</v>
      </c>
      <c r="O168" s="1182">
        <f>SUM(O166:O167)</f>
        <v>0</v>
      </c>
      <c r="P168" s="1182">
        <f>SUM(K168:O168)</f>
        <v>66160</v>
      </c>
      <c r="S168" s="3839"/>
      <c r="T168" s="3840"/>
      <c r="U168" s="3840"/>
      <c r="V168" s="3840"/>
      <c r="W168" s="3841"/>
      <c r="X168" s="1818"/>
      <c r="AA168" s="1818"/>
      <c r="AB168" s="1818"/>
      <c r="AC168" s="1818"/>
      <c r="AF168" s="1818"/>
      <c r="AG168" s="1818"/>
      <c r="AH168" s="1818"/>
      <c r="AK168" s="1818"/>
      <c r="AL168" s="1818"/>
      <c r="AM168" s="1818"/>
      <c r="AP168" s="1818"/>
      <c r="AQ168" s="1818"/>
      <c r="AR168" s="436"/>
      <c r="AS168" s="436"/>
      <c r="AT168" s="436"/>
      <c r="AU168" s="436"/>
      <c r="AV168" s="436"/>
      <c r="AW168" s="436"/>
      <c r="AX168" s="577"/>
      <c r="AY168" s="432"/>
      <c r="BB168" s="436"/>
      <c r="BC168" s="577"/>
      <c r="BD168" s="432"/>
      <c r="LO168" s="434"/>
      <c r="MD168" s="430"/>
    </row>
    <row r="169" spans="1:493" ht="14.1" customHeight="1"/>
    <row r="170" spans="1:493" s="90" customFormat="1" ht="14.1" customHeight="1">
      <c r="A170" s="1"/>
      <c r="B170" s="1"/>
      <c r="C170" s="1"/>
      <c r="D170" s="1"/>
      <c r="E170" s="1"/>
      <c r="F170" s="1"/>
      <c r="G170" s="1"/>
      <c r="J170" s="1"/>
      <c r="K170" s="1"/>
      <c r="L170" s="1"/>
      <c r="M170" s="1"/>
      <c r="N170" s="1"/>
      <c r="O170" s="1"/>
      <c r="P170" s="1"/>
      <c r="X170" s="432"/>
      <c r="Y170" s="432"/>
      <c r="Z170" s="432"/>
      <c r="AA170" s="432"/>
      <c r="AB170" s="432"/>
      <c r="AC170" s="432"/>
      <c r="AD170" s="432"/>
      <c r="AE170" s="432"/>
      <c r="AF170" s="432"/>
      <c r="AG170" s="432"/>
      <c r="AH170" s="432"/>
      <c r="AI170" s="432"/>
      <c r="AJ170" s="432"/>
      <c r="AK170" s="432"/>
      <c r="AL170" s="432"/>
      <c r="AM170" s="432"/>
      <c r="AN170" s="432"/>
      <c r="AO170" s="432"/>
      <c r="AP170" s="432"/>
      <c r="AQ170" s="432"/>
      <c r="AR170" s="432"/>
      <c r="AS170" s="432"/>
      <c r="AT170" s="432"/>
      <c r="AU170" s="432"/>
      <c r="AV170" s="432"/>
      <c r="AW170" s="432"/>
      <c r="AX170" s="432"/>
      <c r="AY170" s="432"/>
      <c r="AZ170" s="432"/>
      <c r="BA170" s="432"/>
      <c r="BB170" s="432"/>
      <c r="BC170" s="432"/>
      <c r="BD170" s="432"/>
      <c r="BE170" s="432"/>
      <c r="BF170" s="432"/>
      <c r="BG170" s="432"/>
      <c r="BH170" s="432"/>
      <c r="BI170" s="432"/>
      <c r="BJ170" s="432"/>
      <c r="BK170" s="432"/>
      <c r="BL170" s="432"/>
      <c r="BM170" s="432"/>
      <c r="BN170" s="432"/>
      <c r="BO170" s="432"/>
      <c r="BP170" s="432"/>
      <c r="BQ170" s="432"/>
      <c r="BR170" s="432"/>
      <c r="BS170" s="432"/>
      <c r="BT170" s="432"/>
      <c r="BU170" s="432"/>
      <c r="BV170" s="432"/>
      <c r="BW170" s="432"/>
      <c r="BX170" s="432"/>
      <c r="BY170" s="432"/>
      <c r="BZ170" s="432"/>
      <c r="CA170" s="432"/>
      <c r="CB170" s="432"/>
      <c r="CC170" s="432"/>
      <c r="CD170" s="432"/>
      <c r="CE170" s="432"/>
      <c r="CF170" s="432"/>
      <c r="CG170" s="432"/>
      <c r="CH170" s="432"/>
      <c r="CI170" s="432"/>
      <c r="CJ170" s="432"/>
      <c r="CK170" s="432"/>
      <c r="CL170" s="432"/>
      <c r="CM170" s="432"/>
      <c r="CN170" s="432"/>
      <c r="CO170" s="432"/>
      <c r="CP170" s="432"/>
      <c r="CQ170" s="432"/>
      <c r="CR170" s="432"/>
      <c r="CS170" s="432"/>
      <c r="CT170" s="432"/>
      <c r="CU170" s="432"/>
      <c r="CV170" s="432"/>
      <c r="CW170" s="432"/>
      <c r="CX170" s="432"/>
      <c r="CY170" s="432"/>
      <c r="CZ170" s="432"/>
      <c r="DA170" s="432"/>
      <c r="DB170" s="432"/>
      <c r="DC170" s="432"/>
      <c r="DD170" s="432"/>
      <c r="DE170" s="432"/>
      <c r="DF170" s="432"/>
      <c r="DG170" s="432"/>
      <c r="DH170" s="432"/>
      <c r="DI170" s="432"/>
      <c r="DJ170" s="432"/>
      <c r="DK170" s="432"/>
      <c r="DL170" s="432"/>
      <c r="DM170" s="432"/>
      <c r="DN170" s="432"/>
      <c r="DO170" s="432"/>
      <c r="DP170" s="432"/>
      <c r="DQ170" s="432"/>
      <c r="DR170" s="432"/>
      <c r="DS170" s="432"/>
      <c r="DT170" s="432"/>
      <c r="DU170" s="432"/>
      <c r="DV170" s="432"/>
      <c r="DW170" s="432"/>
      <c r="DX170" s="432"/>
      <c r="DY170" s="432"/>
      <c r="DZ170" s="432"/>
      <c r="EA170" s="432"/>
      <c r="EB170" s="432"/>
      <c r="EC170" s="432"/>
      <c r="ED170" s="432"/>
      <c r="EE170" s="432"/>
      <c r="EF170" s="432"/>
      <c r="EG170" s="432"/>
      <c r="EH170" s="432"/>
      <c r="EI170" s="432"/>
      <c r="EJ170" s="432"/>
      <c r="EK170" s="432"/>
      <c r="EL170" s="432"/>
      <c r="EM170" s="432"/>
      <c r="EN170" s="432"/>
      <c r="EO170" s="432"/>
      <c r="EP170" s="432"/>
      <c r="EQ170" s="432"/>
      <c r="ER170" s="432"/>
      <c r="ES170" s="432"/>
      <c r="ET170" s="432"/>
      <c r="EU170" s="432"/>
      <c r="EV170" s="432"/>
      <c r="EW170" s="432"/>
      <c r="EX170" s="432"/>
      <c r="EY170" s="432"/>
      <c r="EZ170" s="432"/>
      <c r="FA170" s="432"/>
      <c r="FB170" s="432"/>
      <c r="FC170" s="432"/>
      <c r="FD170" s="432"/>
      <c r="FE170" s="432"/>
      <c r="FF170" s="432"/>
      <c r="FG170" s="432"/>
      <c r="FH170" s="432"/>
      <c r="FI170" s="432"/>
      <c r="FJ170" s="432"/>
      <c r="FK170" s="432"/>
      <c r="FL170" s="432"/>
      <c r="FM170" s="432"/>
      <c r="FN170" s="432"/>
      <c r="FO170" s="432"/>
      <c r="FP170" s="432"/>
      <c r="FQ170" s="432"/>
      <c r="FR170" s="432"/>
      <c r="FS170" s="432"/>
      <c r="FT170" s="432"/>
      <c r="FU170" s="432"/>
      <c r="FV170" s="432"/>
      <c r="FW170" s="432"/>
      <c r="FX170" s="432"/>
      <c r="FY170" s="432"/>
      <c r="FZ170" s="432"/>
      <c r="GA170" s="432"/>
      <c r="GB170" s="432"/>
      <c r="GC170" s="432"/>
      <c r="GD170" s="432"/>
      <c r="GE170" s="432"/>
      <c r="GF170" s="432"/>
      <c r="GG170" s="432"/>
      <c r="GH170" s="432"/>
      <c r="GI170" s="432"/>
      <c r="GJ170" s="432"/>
      <c r="GK170" s="432"/>
      <c r="GL170" s="432"/>
      <c r="GM170" s="432"/>
      <c r="GN170" s="432"/>
      <c r="GO170" s="432"/>
      <c r="GP170" s="432"/>
      <c r="GQ170" s="432"/>
      <c r="GR170" s="432"/>
      <c r="GS170" s="432"/>
      <c r="GT170" s="432"/>
      <c r="GU170" s="432"/>
      <c r="GV170" s="432"/>
      <c r="GW170" s="432"/>
      <c r="GX170" s="432"/>
      <c r="GY170" s="432"/>
      <c r="GZ170" s="432"/>
      <c r="HA170" s="432"/>
      <c r="HB170" s="432"/>
      <c r="HC170" s="432"/>
      <c r="HD170" s="432"/>
      <c r="HE170" s="432"/>
      <c r="HF170" s="432"/>
      <c r="HG170" s="432"/>
      <c r="HH170" s="432"/>
      <c r="HI170" s="432"/>
      <c r="HJ170" s="432"/>
      <c r="HK170" s="432"/>
      <c r="HL170" s="432"/>
      <c r="HM170" s="432"/>
      <c r="HN170" s="432"/>
      <c r="HO170" s="432"/>
      <c r="HP170" s="432"/>
      <c r="HQ170" s="432"/>
      <c r="HR170" s="432"/>
      <c r="HS170" s="432"/>
      <c r="HT170" s="432"/>
      <c r="HU170" s="432"/>
      <c r="HV170" s="432"/>
      <c r="HW170" s="432"/>
      <c r="HX170" s="432"/>
      <c r="HY170" s="432"/>
      <c r="HZ170" s="432"/>
      <c r="IA170" s="432"/>
      <c r="IB170" s="432"/>
      <c r="IC170" s="432"/>
      <c r="ID170" s="432"/>
      <c r="IE170" s="432"/>
      <c r="IF170" s="432"/>
      <c r="IG170" s="432"/>
      <c r="IH170" s="432"/>
      <c r="II170" s="432"/>
      <c r="IJ170" s="432"/>
      <c r="IK170" s="432"/>
      <c r="IL170" s="432"/>
      <c r="IM170" s="432"/>
      <c r="IN170" s="432"/>
      <c r="IO170" s="432"/>
      <c r="IP170" s="432"/>
      <c r="IQ170" s="432"/>
      <c r="IR170" s="432"/>
      <c r="IS170" s="432"/>
      <c r="IT170" s="432"/>
      <c r="IU170" s="432"/>
      <c r="IV170" s="432"/>
      <c r="IW170" s="432"/>
      <c r="IX170" s="432"/>
      <c r="IY170" s="432"/>
      <c r="IZ170" s="432"/>
      <c r="JA170" s="432"/>
      <c r="JB170" s="432"/>
      <c r="JC170" s="432"/>
      <c r="JD170" s="432"/>
      <c r="JE170" s="432"/>
      <c r="JF170" s="432"/>
      <c r="JG170" s="432"/>
      <c r="JH170" s="432"/>
      <c r="JI170" s="432"/>
      <c r="JJ170" s="432"/>
      <c r="JK170" s="432"/>
      <c r="JL170" s="432"/>
      <c r="JM170" s="432"/>
      <c r="JN170" s="432"/>
      <c r="JO170" s="432"/>
      <c r="JP170" s="432"/>
      <c r="JQ170" s="432"/>
      <c r="JR170" s="432"/>
      <c r="JS170" s="432"/>
      <c r="JT170" s="432"/>
      <c r="JU170" s="432"/>
      <c r="JV170" s="432"/>
      <c r="JW170" s="1810"/>
      <c r="JX170" s="432"/>
      <c r="JY170" s="432"/>
      <c r="JZ170" s="432"/>
      <c r="KA170" s="432"/>
      <c r="KB170" s="1810"/>
      <c r="KC170" s="432"/>
      <c r="KD170" s="432"/>
      <c r="KE170" s="432"/>
      <c r="KF170" s="432"/>
      <c r="KG170" s="1810"/>
      <c r="KH170" s="432"/>
      <c r="KI170" s="432"/>
      <c r="KJ170" s="432"/>
      <c r="KK170" s="432"/>
      <c r="KL170" s="1810"/>
      <c r="KM170" s="1810"/>
      <c r="KN170" s="1810"/>
      <c r="KO170" s="1810"/>
      <c r="KP170" s="1810"/>
      <c r="KQ170" s="1810"/>
      <c r="KR170" s="1810"/>
      <c r="KS170" s="1810"/>
      <c r="KT170" s="1810"/>
      <c r="KU170" s="1810"/>
      <c r="KV170" s="1810"/>
      <c r="KW170" s="1810"/>
      <c r="KX170" s="1810"/>
      <c r="KY170" s="1810"/>
      <c r="KZ170" s="1810"/>
      <c r="LA170" s="1810"/>
      <c r="LB170" s="1810"/>
      <c r="LC170" s="1810"/>
      <c r="LD170" s="1810"/>
      <c r="LE170" s="1810"/>
      <c r="LF170" s="1810"/>
      <c r="LG170" s="1810"/>
      <c r="LH170" s="432"/>
      <c r="LI170" s="432"/>
      <c r="LJ170" s="432"/>
      <c r="LK170" s="432"/>
      <c r="LL170" s="432"/>
      <c r="LM170" s="432"/>
      <c r="LN170" s="1811"/>
      <c r="LO170" s="432"/>
      <c r="LP170" s="432"/>
      <c r="LQ170" s="432"/>
      <c r="LR170" s="432"/>
      <c r="LS170" s="432"/>
      <c r="LT170" s="432"/>
      <c r="LU170" s="432"/>
      <c r="LV170" s="432"/>
      <c r="LW170" s="432"/>
      <c r="LX170" s="432"/>
      <c r="LY170" s="432"/>
      <c r="LZ170" s="432"/>
      <c r="MA170" s="432"/>
      <c r="MB170" s="432"/>
      <c r="MC170" s="432"/>
      <c r="MD170" s="1811"/>
      <c r="ME170" s="1811"/>
      <c r="MF170" s="432"/>
      <c r="MG170" s="432"/>
      <c r="MH170" s="432"/>
      <c r="MI170" s="432"/>
      <c r="MJ170" s="432"/>
      <c r="MK170" s="432"/>
      <c r="ML170" s="432"/>
      <c r="MM170" s="432"/>
      <c r="MN170" s="432"/>
      <c r="MO170" s="432"/>
      <c r="MP170" s="432"/>
      <c r="MQ170" s="432"/>
      <c r="MR170" s="432"/>
      <c r="MS170" s="432"/>
      <c r="MT170" s="432"/>
      <c r="MU170" s="432"/>
      <c r="MV170" s="93"/>
      <c r="MW170" s="93"/>
      <c r="MX170" s="93"/>
      <c r="MY170" s="93"/>
      <c r="MZ170" s="93"/>
      <c r="NA170" s="93"/>
      <c r="NB170" s="93"/>
      <c r="NC170" s="93"/>
      <c r="ND170" s="93"/>
      <c r="NE170" s="93"/>
      <c r="NF170" s="93"/>
      <c r="NG170" s="93"/>
      <c r="NH170" s="93"/>
      <c r="NI170" s="93"/>
      <c r="NJ170" s="93"/>
      <c r="NK170" s="93"/>
      <c r="NL170" s="93"/>
      <c r="NM170" s="93"/>
      <c r="NN170" s="93"/>
      <c r="NO170" s="93"/>
      <c r="NP170" s="2807"/>
      <c r="NQ170" s="93"/>
      <c r="NR170" s="93"/>
      <c r="NS170" s="93"/>
      <c r="NT170" s="93"/>
      <c r="NU170" s="93"/>
      <c r="NV170" s="93"/>
      <c r="NW170" s="93"/>
      <c r="NX170" s="93"/>
      <c r="NY170" s="93"/>
      <c r="NZ170" s="93"/>
      <c r="OA170" s="93"/>
      <c r="OB170" s="93"/>
      <c r="OC170" s="93"/>
      <c r="OD170" s="93"/>
      <c r="OE170" s="93"/>
      <c r="OF170" s="93"/>
      <c r="OG170" s="93"/>
      <c r="OH170" s="93"/>
      <c r="OI170" s="93"/>
      <c r="OJ170" s="93"/>
      <c r="OK170" s="93"/>
      <c r="OL170" s="93"/>
      <c r="OM170" s="93"/>
      <c r="ON170" s="93"/>
      <c r="OO170" s="93"/>
      <c r="OP170" s="93"/>
      <c r="OQ170" s="93"/>
      <c r="OR170" s="93"/>
      <c r="OS170" s="93"/>
      <c r="OT170" s="93"/>
      <c r="OU170" s="93"/>
      <c r="OV170" s="93"/>
      <c r="OW170" s="93"/>
      <c r="OX170" s="93"/>
      <c r="OY170" s="93"/>
      <c r="OZ170" s="93"/>
      <c r="PA170" s="93"/>
      <c r="PB170" s="93"/>
      <c r="PC170" s="93"/>
      <c r="PD170" s="93"/>
      <c r="PE170" s="93"/>
      <c r="PF170" s="93"/>
      <c r="PG170" s="93"/>
      <c r="PH170" s="93"/>
      <c r="PI170" s="93"/>
      <c r="PJ170" s="93"/>
      <c r="PK170" s="93"/>
      <c r="PL170" s="93"/>
      <c r="PM170" s="93"/>
      <c r="PN170" s="93"/>
      <c r="PO170" s="93"/>
      <c r="PP170" s="93"/>
      <c r="PQ170" s="93"/>
      <c r="PR170" s="93"/>
      <c r="PS170" s="93"/>
      <c r="PT170" s="93"/>
      <c r="PU170" s="93"/>
      <c r="PV170" s="93"/>
      <c r="PW170" s="93"/>
      <c r="PX170" s="93"/>
      <c r="PY170" s="93"/>
      <c r="PZ170" s="93"/>
      <c r="QA170" s="93"/>
      <c r="QB170" s="93"/>
      <c r="QC170" s="93"/>
      <c r="QD170" s="93"/>
      <c r="QE170" s="93"/>
      <c r="QF170" s="93"/>
      <c r="QG170" s="93"/>
      <c r="QH170" s="93"/>
      <c r="QI170" s="93"/>
      <c r="QJ170" s="93"/>
      <c r="QK170" s="93"/>
      <c r="QL170" s="93"/>
      <c r="QM170" s="93"/>
      <c r="QN170" s="93"/>
      <c r="QO170" s="93"/>
      <c r="QP170" s="93"/>
      <c r="QQ170" s="93"/>
      <c r="QR170" s="93"/>
      <c r="QS170" s="93"/>
      <c r="QT170" s="93"/>
      <c r="QU170" s="93"/>
      <c r="QV170" s="93"/>
      <c r="QW170" s="93"/>
      <c r="QX170" s="93"/>
      <c r="QY170" s="93"/>
      <c r="QZ170" s="93"/>
      <c r="RA170" s="93"/>
      <c r="RB170" s="93"/>
      <c r="RC170" s="93"/>
      <c r="RD170" s="93"/>
      <c r="RE170" s="93"/>
      <c r="RF170" s="93"/>
      <c r="RG170" s="93"/>
      <c r="RH170" s="93"/>
      <c r="RI170" s="93"/>
      <c r="RJ170" s="93"/>
      <c r="RK170" s="93"/>
      <c r="RL170" s="93"/>
      <c r="RM170" s="93"/>
      <c r="RN170" s="93"/>
      <c r="RO170" s="93"/>
      <c r="RP170" s="93"/>
      <c r="RQ170" s="93"/>
      <c r="RR170" s="93"/>
      <c r="RS170" s="93"/>
      <c r="RT170" s="93"/>
      <c r="RU170" s="93"/>
      <c r="RV170" s="93"/>
      <c r="RW170" s="93"/>
      <c r="RX170" s="93"/>
      <c r="RY170" s="93"/>
    </row>
    <row r="171" spans="1:493" s="90" customFormat="1" ht="14.25" customHeight="1">
      <c r="A171" s="1"/>
      <c r="B171" s="1"/>
      <c r="C171" s="93" t="s">
        <v>4071</v>
      </c>
      <c r="D171" s="1"/>
      <c r="E171" s="1"/>
      <c r="F171" s="1"/>
      <c r="G171" s="1"/>
      <c r="H171" s="1"/>
      <c r="I171" s="1"/>
      <c r="J171" s="1"/>
      <c r="K171" s="1360" t="str">
        <f>IF(OR(K67="",K67=0),"",K168/K67)</f>
        <v/>
      </c>
      <c r="L171" s="1360">
        <f>IF(OR(L67="",L67=0),"",L168/L67)</f>
        <v>680</v>
      </c>
      <c r="M171" s="1360">
        <f>IF(OR(M67="",M67=0),"",M168/M67)</f>
        <v>880</v>
      </c>
      <c r="N171" s="1360">
        <f>IF(OR(N67="",N67=0),"",N168/N67)</f>
        <v>1180</v>
      </c>
      <c r="O171" s="1360" t="str">
        <f>IF(OR(O67="",O67=0),"",O168/O67)</f>
        <v/>
      </c>
      <c r="P171" s="1313"/>
      <c r="X171" s="432"/>
      <c r="Y171" s="432"/>
      <c r="Z171" s="432"/>
      <c r="AA171" s="432"/>
      <c r="AB171" s="432"/>
      <c r="AC171" s="432"/>
      <c r="AD171" s="432"/>
      <c r="AE171" s="432"/>
      <c r="AF171" s="432"/>
      <c r="AG171" s="432"/>
      <c r="AH171" s="432"/>
      <c r="AI171" s="432"/>
      <c r="AJ171" s="432"/>
      <c r="AK171" s="432"/>
      <c r="AL171" s="432"/>
      <c r="AM171" s="432"/>
      <c r="AN171" s="432"/>
      <c r="AO171" s="432"/>
      <c r="AP171" s="432"/>
      <c r="AQ171" s="432"/>
      <c r="AR171" s="432"/>
      <c r="AS171" s="432"/>
      <c r="AT171" s="432"/>
      <c r="AU171" s="432"/>
      <c r="AV171" s="432"/>
      <c r="AW171" s="432"/>
      <c r="AX171" s="432"/>
      <c r="AY171" s="432"/>
      <c r="AZ171" s="432"/>
      <c r="BA171" s="432"/>
      <c r="BB171" s="432"/>
      <c r="BC171" s="432"/>
      <c r="BD171" s="432"/>
      <c r="BE171" s="432"/>
      <c r="BF171" s="432"/>
      <c r="BG171" s="432"/>
      <c r="BH171" s="432"/>
      <c r="BI171" s="432"/>
      <c r="BJ171" s="432"/>
      <c r="BK171" s="432"/>
      <c r="BL171" s="432"/>
      <c r="BM171" s="432"/>
      <c r="BN171" s="432"/>
      <c r="BO171" s="432"/>
      <c r="BP171" s="432"/>
      <c r="BQ171" s="432"/>
      <c r="BR171" s="432"/>
      <c r="BS171" s="432"/>
      <c r="BT171" s="432"/>
      <c r="BU171" s="432"/>
      <c r="BV171" s="432"/>
      <c r="BW171" s="432"/>
      <c r="BX171" s="432"/>
      <c r="BY171" s="432"/>
      <c r="BZ171" s="432"/>
      <c r="CA171" s="432"/>
      <c r="CB171" s="432"/>
      <c r="CC171" s="432"/>
      <c r="CD171" s="432"/>
      <c r="CE171" s="432"/>
      <c r="CF171" s="432"/>
      <c r="CG171" s="432"/>
      <c r="CH171" s="432"/>
      <c r="CI171" s="432"/>
      <c r="CJ171" s="432"/>
      <c r="CK171" s="432"/>
      <c r="CL171" s="432"/>
      <c r="CM171" s="432"/>
      <c r="CN171" s="432"/>
      <c r="CO171" s="432"/>
      <c r="CP171" s="432"/>
      <c r="CQ171" s="432"/>
      <c r="CR171" s="432"/>
      <c r="CS171" s="432"/>
      <c r="CT171" s="432"/>
      <c r="CU171" s="432"/>
      <c r="CV171" s="432"/>
      <c r="CW171" s="432"/>
      <c r="CX171" s="432"/>
      <c r="CY171" s="432"/>
      <c r="CZ171" s="432"/>
      <c r="DA171" s="432"/>
      <c r="DB171" s="432"/>
      <c r="DC171" s="432"/>
      <c r="DD171" s="432"/>
      <c r="DE171" s="432"/>
      <c r="DF171" s="432"/>
      <c r="DG171" s="432"/>
      <c r="DH171" s="432"/>
      <c r="DI171" s="432"/>
      <c r="DJ171" s="432"/>
      <c r="DK171" s="432"/>
      <c r="DL171" s="432"/>
      <c r="DM171" s="432"/>
      <c r="DN171" s="432"/>
      <c r="DO171" s="432"/>
      <c r="DP171" s="432"/>
      <c r="DQ171" s="432"/>
      <c r="DR171" s="432"/>
      <c r="DS171" s="432"/>
      <c r="DT171" s="432"/>
      <c r="DU171" s="432"/>
      <c r="DV171" s="432"/>
      <c r="DW171" s="432"/>
      <c r="DX171" s="432"/>
      <c r="DY171" s="432"/>
      <c r="DZ171" s="432"/>
      <c r="EA171" s="432"/>
      <c r="EB171" s="432"/>
      <c r="EC171" s="432"/>
      <c r="ED171" s="432"/>
      <c r="EE171" s="432"/>
      <c r="EF171" s="432"/>
      <c r="EG171" s="432"/>
      <c r="EH171" s="432"/>
      <c r="EI171" s="432"/>
      <c r="EJ171" s="432"/>
      <c r="EK171" s="432"/>
      <c r="EL171" s="432"/>
      <c r="EM171" s="432"/>
      <c r="EN171" s="432"/>
      <c r="EO171" s="432"/>
      <c r="EP171" s="432"/>
      <c r="EQ171" s="432"/>
      <c r="ER171" s="432"/>
      <c r="ES171" s="432"/>
      <c r="ET171" s="432"/>
      <c r="EU171" s="432"/>
      <c r="EV171" s="432"/>
      <c r="EW171" s="432"/>
      <c r="EX171" s="432"/>
      <c r="EY171" s="432"/>
      <c r="EZ171" s="432"/>
      <c r="FA171" s="432"/>
      <c r="FB171" s="432"/>
      <c r="FC171" s="432"/>
      <c r="FD171" s="432"/>
      <c r="FE171" s="432"/>
      <c r="FF171" s="432"/>
      <c r="FG171" s="432"/>
      <c r="FH171" s="432"/>
      <c r="FI171" s="432"/>
      <c r="FJ171" s="432"/>
      <c r="FK171" s="432"/>
      <c r="FL171" s="432"/>
      <c r="FM171" s="432"/>
      <c r="FN171" s="432"/>
      <c r="FO171" s="432"/>
      <c r="FP171" s="432"/>
      <c r="FQ171" s="432"/>
      <c r="FR171" s="432"/>
      <c r="FS171" s="432"/>
      <c r="FT171" s="432"/>
      <c r="FU171" s="432"/>
      <c r="FV171" s="432"/>
      <c r="FW171" s="432"/>
      <c r="FX171" s="432"/>
      <c r="FY171" s="432"/>
      <c r="FZ171" s="432"/>
      <c r="GA171" s="432"/>
      <c r="GB171" s="432"/>
      <c r="GC171" s="432"/>
      <c r="GD171" s="432"/>
      <c r="GE171" s="432"/>
      <c r="GF171" s="432"/>
      <c r="GG171" s="432"/>
      <c r="GH171" s="432"/>
      <c r="GI171" s="432"/>
      <c r="GJ171" s="432"/>
      <c r="GK171" s="432"/>
      <c r="GL171" s="432"/>
      <c r="GM171" s="432"/>
      <c r="GN171" s="432"/>
      <c r="GO171" s="432"/>
      <c r="GP171" s="432"/>
      <c r="GQ171" s="432"/>
      <c r="GR171" s="432"/>
      <c r="GS171" s="432"/>
      <c r="GT171" s="432"/>
      <c r="GU171" s="432"/>
      <c r="GV171" s="432"/>
      <c r="GW171" s="432"/>
      <c r="GX171" s="432"/>
      <c r="GY171" s="432"/>
      <c r="GZ171" s="432"/>
      <c r="HA171" s="432"/>
      <c r="HB171" s="432"/>
      <c r="HC171" s="432"/>
      <c r="HD171" s="432"/>
      <c r="HE171" s="432"/>
      <c r="HF171" s="432"/>
      <c r="HG171" s="432"/>
      <c r="HH171" s="432"/>
      <c r="HI171" s="432"/>
      <c r="HJ171" s="432"/>
      <c r="HK171" s="432"/>
      <c r="HL171" s="432"/>
      <c r="HM171" s="432"/>
      <c r="HN171" s="432"/>
      <c r="HO171" s="432"/>
      <c r="HP171" s="432"/>
      <c r="HQ171" s="432"/>
      <c r="HR171" s="432"/>
      <c r="HS171" s="432"/>
      <c r="HT171" s="432"/>
      <c r="HU171" s="432"/>
      <c r="HV171" s="432"/>
      <c r="HW171" s="432"/>
      <c r="HX171" s="432"/>
      <c r="HY171" s="432"/>
      <c r="HZ171" s="432"/>
      <c r="IA171" s="432"/>
      <c r="IB171" s="432"/>
      <c r="IC171" s="432"/>
      <c r="ID171" s="432"/>
      <c r="IE171" s="432"/>
      <c r="IF171" s="432"/>
      <c r="IG171" s="432"/>
      <c r="IH171" s="432"/>
      <c r="II171" s="432"/>
      <c r="IJ171" s="432"/>
      <c r="IK171" s="432"/>
      <c r="IL171" s="432"/>
      <c r="IM171" s="432"/>
      <c r="IN171" s="432"/>
      <c r="IO171" s="432"/>
      <c r="IP171" s="432"/>
      <c r="IQ171" s="432"/>
      <c r="IR171" s="432"/>
      <c r="IS171" s="432"/>
      <c r="IT171" s="432"/>
      <c r="IU171" s="432"/>
      <c r="IV171" s="432"/>
      <c r="IW171" s="432"/>
      <c r="IX171" s="432"/>
      <c r="IY171" s="432"/>
      <c r="IZ171" s="432"/>
      <c r="JA171" s="432"/>
      <c r="JB171" s="432"/>
      <c r="JC171" s="432"/>
      <c r="JD171" s="432"/>
      <c r="JE171" s="432"/>
      <c r="JF171" s="432"/>
      <c r="JG171" s="432"/>
      <c r="JH171" s="432"/>
      <c r="JI171" s="432"/>
      <c r="JJ171" s="432"/>
      <c r="JK171" s="432"/>
      <c r="JL171" s="432"/>
      <c r="JM171" s="432"/>
      <c r="JN171" s="432"/>
      <c r="JO171" s="432"/>
      <c r="JP171" s="432"/>
      <c r="JQ171" s="432"/>
      <c r="JR171" s="432"/>
      <c r="JS171" s="432"/>
      <c r="JT171" s="432"/>
      <c r="JU171" s="432"/>
      <c r="JV171" s="432"/>
      <c r="JW171" s="1810"/>
      <c r="JX171" s="432"/>
      <c r="JY171" s="432"/>
      <c r="JZ171" s="432"/>
      <c r="KA171" s="432"/>
      <c r="KB171" s="1810"/>
      <c r="KC171" s="432"/>
      <c r="KD171" s="432"/>
      <c r="KE171" s="432"/>
      <c r="KF171" s="432"/>
      <c r="KG171" s="1810"/>
      <c r="KH171" s="432"/>
      <c r="KI171" s="432"/>
      <c r="KJ171" s="432"/>
      <c r="KK171" s="432"/>
      <c r="KL171" s="1810"/>
      <c r="KM171" s="1810"/>
      <c r="KN171" s="1810"/>
      <c r="KO171" s="1810"/>
      <c r="KP171" s="1810"/>
      <c r="KQ171" s="1810"/>
      <c r="KR171" s="1810"/>
      <c r="KS171" s="1810"/>
      <c r="KT171" s="1810"/>
      <c r="KU171" s="1810"/>
      <c r="KV171" s="1810"/>
      <c r="KW171" s="1810"/>
      <c r="KX171" s="1810"/>
      <c r="KY171" s="1810"/>
      <c r="KZ171" s="1810"/>
      <c r="LA171" s="1810"/>
      <c r="LB171" s="1810"/>
      <c r="LC171" s="1810"/>
      <c r="LD171" s="1810"/>
      <c r="LE171" s="1810"/>
      <c r="LF171" s="1810"/>
      <c r="LG171" s="1810"/>
      <c r="LH171" s="432"/>
      <c r="LI171" s="432"/>
      <c r="LJ171" s="432"/>
      <c r="LK171" s="432"/>
      <c r="LL171" s="432"/>
      <c r="LM171" s="432"/>
      <c r="LN171" s="1811"/>
      <c r="LO171" s="432"/>
      <c r="LP171" s="432"/>
      <c r="LQ171" s="432"/>
      <c r="LR171" s="432"/>
      <c r="LS171" s="432"/>
      <c r="LT171" s="432"/>
      <c r="LU171" s="432"/>
      <c r="LV171" s="432"/>
      <c r="LW171" s="432"/>
      <c r="LX171" s="432"/>
      <c r="LY171" s="432"/>
      <c r="LZ171" s="432"/>
      <c r="MA171" s="432"/>
      <c r="MB171" s="432"/>
      <c r="MC171" s="432"/>
      <c r="MD171" s="1811"/>
      <c r="ME171" s="1811"/>
      <c r="MF171" s="432"/>
      <c r="MG171" s="432"/>
      <c r="MH171" s="432"/>
      <c r="MI171" s="432"/>
      <c r="MJ171" s="432"/>
      <c r="MK171" s="432"/>
      <c r="ML171" s="432"/>
      <c r="MM171" s="432"/>
      <c r="MN171" s="432"/>
      <c r="MO171" s="432"/>
      <c r="MP171" s="432"/>
      <c r="MQ171" s="432"/>
      <c r="MR171" s="432"/>
      <c r="MS171" s="432"/>
      <c r="MT171" s="432"/>
      <c r="MU171" s="432"/>
      <c r="MV171" s="93"/>
      <c r="MW171" s="93"/>
      <c r="MX171" s="93"/>
      <c r="MY171" s="93"/>
      <c r="MZ171" s="93"/>
      <c r="NA171" s="93"/>
      <c r="NB171" s="93"/>
      <c r="NC171" s="93"/>
      <c r="ND171" s="93"/>
      <c r="NE171" s="93"/>
      <c r="NF171" s="93"/>
      <c r="NG171" s="93"/>
      <c r="NH171" s="93"/>
      <c r="NI171" s="93"/>
      <c r="NJ171" s="93"/>
      <c r="NK171" s="93"/>
      <c r="NL171" s="93"/>
      <c r="NM171" s="93"/>
      <c r="NN171" s="93"/>
      <c r="NO171" s="93"/>
      <c r="NP171" s="2807"/>
      <c r="NQ171" s="93"/>
      <c r="NR171" s="93"/>
      <c r="NS171" s="93"/>
      <c r="NT171" s="93"/>
      <c r="NU171" s="93"/>
      <c r="NV171" s="93"/>
      <c r="NW171" s="93"/>
      <c r="NX171" s="93"/>
      <c r="NY171" s="93"/>
      <c r="NZ171" s="93"/>
      <c r="OA171" s="93"/>
      <c r="OB171" s="93"/>
      <c r="OC171" s="93"/>
      <c r="OD171" s="93"/>
      <c r="OE171" s="93"/>
      <c r="OF171" s="93"/>
      <c r="OG171" s="93"/>
      <c r="OH171" s="93"/>
      <c r="OI171" s="93"/>
      <c r="OJ171" s="93"/>
      <c r="OK171" s="93"/>
      <c r="OL171" s="93"/>
      <c r="OM171" s="93"/>
      <c r="ON171" s="93"/>
      <c r="OO171" s="93"/>
      <c r="OP171" s="93"/>
      <c r="OQ171" s="93"/>
      <c r="OR171" s="93"/>
      <c r="OS171" s="93"/>
      <c r="OT171" s="93"/>
      <c r="OU171" s="93"/>
      <c r="OV171" s="93"/>
      <c r="OW171" s="93"/>
      <c r="OX171" s="93"/>
      <c r="OY171" s="93"/>
      <c r="OZ171" s="93"/>
      <c r="PA171" s="93"/>
      <c r="PB171" s="93"/>
      <c r="PC171" s="93"/>
      <c r="PD171" s="93"/>
      <c r="PE171" s="93"/>
      <c r="PF171" s="93"/>
      <c r="PG171" s="93"/>
      <c r="PH171" s="93"/>
      <c r="PI171" s="93"/>
      <c r="PJ171" s="93"/>
      <c r="PK171" s="93"/>
      <c r="PL171" s="93"/>
      <c r="PM171" s="93"/>
      <c r="PN171" s="93"/>
      <c r="PO171" s="93"/>
      <c r="PP171" s="93"/>
      <c r="PQ171" s="93"/>
      <c r="PR171" s="93"/>
      <c r="PS171" s="93"/>
      <c r="PT171" s="93"/>
      <c r="PU171" s="93"/>
      <c r="PV171" s="93"/>
      <c r="PW171" s="93"/>
      <c r="PX171" s="93"/>
      <c r="PY171" s="93"/>
      <c r="PZ171" s="93"/>
      <c r="QA171" s="93"/>
      <c r="QB171" s="93"/>
      <c r="QC171" s="93"/>
      <c r="QD171" s="93"/>
      <c r="QE171" s="93"/>
      <c r="QF171" s="93"/>
      <c r="QG171" s="93"/>
      <c r="QH171" s="93"/>
      <c r="QI171" s="93"/>
      <c r="QJ171" s="93"/>
      <c r="QK171" s="93"/>
      <c r="QL171" s="93"/>
      <c r="QM171" s="93"/>
      <c r="QN171" s="93"/>
      <c r="QO171" s="93"/>
      <c r="QP171" s="93"/>
      <c r="QQ171" s="93"/>
      <c r="QR171" s="93"/>
      <c r="QS171" s="93"/>
      <c r="QT171" s="93"/>
      <c r="QU171" s="93"/>
      <c r="QV171" s="93"/>
      <c r="QW171" s="93"/>
      <c r="QX171" s="93"/>
      <c r="QY171" s="93"/>
      <c r="QZ171" s="93"/>
      <c r="RA171" s="93"/>
      <c r="RB171" s="93"/>
      <c r="RC171" s="93"/>
      <c r="RD171" s="93"/>
      <c r="RE171" s="93"/>
      <c r="RF171" s="93"/>
      <c r="RG171" s="93"/>
      <c r="RH171" s="93"/>
      <c r="RI171" s="93"/>
      <c r="RJ171" s="93"/>
      <c r="RK171" s="93"/>
      <c r="RL171" s="93"/>
      <c r="RM171" s="93"/>
      <c r="RN171" s="93"/>
      <c r="RO171" s="93"/>
      <c r="RP171" s="93"/>
      <c r="RQ171" s="93"/>
      <c r="RR171" s="93"/>
      <c r="RS171" s="93"/>
      <c r="RT171" s="93"/>
      <c r="RU171" s="93"/>
      <c r="RV171" s="93"/>
      <c r="RW171" s="93"/>
      <c r="RX171" s="93"/>
      <c r="RY171" s="93"/>
    </row>
    <row r="172" spans="1:493" s="90" customFormat="1" ht="14.1" customHeight="1">
      <c r="A172" s="1"/>
      <c r="B172" s="1"/>
      <c r="C172" s="1"/>
      <c r="D172" s="1"/>
      <c r="E172" s="1"/>
      <c r="F172" s="1"/>
      <c r="G172" s="1"/>
      <c r="H172" s="1"/>
      <c r="I172" s="1"/>
      <c r="J172" s="1"/>
      <c r="K172" s="1"/>
      <c r="L172" s="1"/>
      <c r="M172" s="1"/>
      <c r="N172" s="1"/>
      <c r="O172" s="1"/>
      <c r="P172" s="1"/>
      <c r="X172" s="432"/>
      <c r="Y172" s="432"/>
      <c r="Z172" s="432"/>
      <c r="AA172" s="432"/>
      <c r="AB172" s="432"/>
      <c r="AC172" s="432"/>
      <c r="AD172" s="432"/>
      <c r="AE172" s="432"/>
      <c r="AF172" s="432"/>
      <c r="AG172" s="432"/>
      <c r="AH172" s="432"/>
      <c r="AI172" s="432"/>
      <c r="AJ172" s="432"/>
      <c r="AK172" s="432"/>
      <c r="AL172" s="432"/>
      <c r="AM172" s="432"/>
      <c r="AN172" s="432"/>
      <c r="AO172" s="432"/>
      <c r="AP172" s="432"/>
      <c r="AQ172" s="432"/>
      <c r="AR172" s="432"/>
      <c r="AS172" s="432"/>
      <c r="AT172" s="432"/>
      <c r="AU172" s="432"/>
      <c r="AV172" s="432"/>
      <c r="AW172" s="432"/>
      <c r="AX172" s="432"/>
      <c r="AY172" s="432"/>
      <c r="AZ172" s="432"/>
      <c r="BA172" s="432"/>
      <c r="BB172" s="432"/>
      <c r="BC172" s="432"/>
      <c r="BD172" s="432"/>
      <c r="BE172" s="432"/>
      <c r="BF172" s="432"/>
      <c r="BG172" s="432"/>
      <c r="BH172" s="432"/>
      <c r="BI172" s="432"/>
      <c r="BJ172" s="432"/>
      <c r="BK172" s="432"/>
      <c r="BL172" s="432"/>
      <c r="BM172" s="432"/>
      <c r="BN172" s="432"/>
      <c r="BO172" s="432"/>
      <c r="BP172" s="432"/>
      <c r="BQ172" s="432"/>
      <c r="BR172" s="432"/>
      <c r="BS172" s="432"/>
      <c r="BT172" s="432"/>
      <c r="BU172" s="432"/>
      <c r="BV172" s="432"/>
      <c r="BW172" s="432"/>
      <c r="BX172" s="432"/>
      <c r="BY172" s="432"/>
      <c r="BZ172" s="432"/>
      <c r="CA172" s="432"/>
      <c r="CB172" s="432"/>
      <c r="CC172" s="432"/>
      <c r="CD172" s="432"/>
      <c r="CE172" s="432"/>
      <c r="CF172" s="432"/>
      <c r="CG172" s="432"/>
      <c r="CH172" s="432"/>
      <c r="CI172" s="432"/>
      <c r="CJ172" s="432"/>
      <c r="CK172" s="432"/>
      <c r="CL172" s="432"/>
      <c r="CM172" s="432"/>
      <c r="CN172" s="432"/>
      <c r="CO172" s="432"/>
      <c r="CP172" s="432"/>
      <c r="CQ172" s="432"/>
      <c r="CR172" s="432"/>
      <c r="CS172" s="432"/>
      <c r="CT172" s="432"/>
      <c r="CU172" s="432"/>
      <c r="CV172" s="432"/>
      <c r="CW172" s="432"/>
      <c r="CX172" s="432"/>
      <c r="CY172" s="432"/>
      <c r="CZ172" s="432"/>
      <c r="DA172" s="432"/>
      <c r="DB172" s="432"/>
      <c r="DC172" s="432"/>
      <c r="DD172" s="432"/>
      <c r="DE172" s="432"/>
      <c r="DF172" s="432"/>
      <c r="DG172" s="432"/>
      <c r="DH172" s="432"/>
      <c r="DI172" s="432"/>
      <c r="DJ172" s="432"/>
      <c r="DK172" s="432"/>
      <c r="DL172" s="432"/>
      <c r="DM172" s="432"/>
      <c r="DN172" s="432"/>
      <c r="DO172" s="432"/>
      <c r="DP172" s="432"/>
      <c r="DQ172" s="432"/>
      <c r="DR172" s="432"/>
      <c r="DS172" s="432"/>
      <c r="DT172" s="432"/>
      <c r="DU172" s="432"/>
      <c r="DV172" s="432"/>
      <c r="DW172" s="432"/>
      <c r="DX172" s="432"/>
      <c r="DY172" s="432"/>
      <c r="DZ172" s="432"/>
      <c r="EA172" s="432"/>
      <c r="EB172" s="432"/>
      <c r="EC172" s="432"/>
      <c r="ED172" s="432"/>
      <c r="EE172" s="432"/>
      <c r="EF172" s="432"/>
      <c r="EG172" s="432"/>
      <c r="EH172" s="432"/>
      <c r="EI172" s="432"/>
      <c r="EJ172" s="432"/>
      <c r="EK172" s="432"/>
      <c r="EL172" s="432"/>
      <c r="EM172" s="432"/>
      <c r="EN172" s="432"/>
      <c r="EO172" s="432"/>
      <c r="EP172" s="432"/>
      <c r="EQ172" s="432"/>
      <c r="ER172" s="432"/>
      <c r="ES172" s="432"/>
      <c r="ET172" s="432"/>
      <c r="EU172" s="432"/>
      <c r="EV172" s="432"/>
      <c r="EW172" s="432"/>
      <c r="EX172" s="432"/>
      <c r="EY172" s="432"/>
      <c r="EZ172" s="432"/>
      <c r="FA172" s="432"/>
      <c r="FB172" s="432"/>
      <c r="FC172" s="432"/>
      <c r="FD172" s="432"/>
      <c r="FE172" s="432"/>
      <c r="FF172" s="432"/>
      <c r="FG172" s="432"/>
      <c r="FH172" s="432"/>
      <c r="FI172" s="432"/>
      <c r="FJ172" s="432"/>
      <c r="FK172" s="432"/>
      <c r="FL172" s="432"/>
      <c r="FM172" s="432"/>
      <c r="FN172" s="432"/>
      <c r="FO172" s="432"/>
      <c r="FP172" s="432"/>
      <c r="FQ172" s="432"/>
      <c r="FR172" s="432"/>
      <c r="FS172" s="432"/>
      <c r="FT172" s="432"/>
      <c r="FU172" s="432"/>
      <c r="FV172" s="432"/>
      <c r="FW172" s="432"/>
      <c r="FX172" s="432"/>
      <c r="FY172" s="432"/>
      <c r="FZ172" s="432"/>
      <c r="GA172" s="432"/>
      <c r="GB172" s="432"/>
      <c r="GC172" s="432"/>
      <c r="GD172" s="432"/>
      <c r="GE172" s="432"/>
      <c r="GF172" s="432"/>
      <c r="GG172" s="432"/>
      <c r="GH172" s="432"/>
      <c r="GI172" s="432"/>
      <c r="GJ172" s="432"/>
      <c r="GK172" s="432"/>
      <c r="GL172" s="432"/>
      <c r="GM172" s="432"/>
      <c r="GN172" s="432"/>
      <c r="GO172" s="432"/>
      <c r="GP172" s="432"/>
      <c r="GQ172" s="432"/>
      <c r="GR172" s="432"/>
      <c r="GS172" s="432"/>
      <c r="GT172" s="432"/>
      <c r="GU172" s="432"/>
      <c r="GV172" s="432"/>
      <c r="GW172" s="432"/>
      <c r="GX172" s="432"/>
      <c r="GY172" s="432"/>
      <c r="GZ172" s="432"/>
      <c r="HA172" s="432"/>
      <c r="HB172" s="432"/>
      <c r="HC172" s="432"/>
      <c r="HD172" s="432"/>
      <c r="HE172" s="432"/>
      <c r="HF172" s="432"/>
      <c r="HG172" s="432"/>
      <c r="HH172" s="432"/>
      <c r="HI172" s="432"/>
      <c r="HJ172" s="432"/>
      <c r="HK172" s="432"/>
      <c r="HL172" s="432"/>
      <c r="HM172" s="432"/>
      <c r="HN172" s="432"/>
      <c r="HO172" s="432"/>
      <c r="HP172" s="432"/>
      <c r="HQ172" s="432"/>
      <c r="HR172" s="432"/>
      <c r="HS172" s="432"/>
      <c r="HT172" s="432"/>
      <c r="HU172" s="432"/>
      <c r="HV172" s="432"/>
      <c r="HW172" s="432"/>
      <c r="HX172" s="432"/>
      <c r="HY172" s="432"/>
      <c r="HZ172" s="432"/>
      <c r="IA172" s="432"/>
      <c r="IB172" s="432"/>
      <c r="IC172" s="432"/>
      <c r="ID172" s="432"/>
      <c r="IE172" s="432"/>
      <c r="IF172" s="432"/>
      <c r="IG172" s="432"/>
      <c r="IH172" s="432"/>
      <c r="II172" s="432"/>
      <c r="IJ172" s="432"/>
      <c r="IK172" s="432"/>
      <c r="IL172" s="432"/>
      <c r="IM172" s="432"/>
      <c r="IN172" s="432"/>
      <c r="IO172" s="432"/>
      <c r="IP172" s="432"/>
      <c r="IQ172" s="432"/>
      <c r="IR172" s="432"/>
      <c r="IS172" s="432"/>
      <c r="IT172" s="432"/>
      <c r="IU172" s="432"/>
      <c r="IV172" s="432"/>
      <c r="IW172" s="432"/>
      <c r="IX172" s="432"/>
      <c r="IY172" s="432"/>
      <c r="IZ172" s="432"/>
      <c r="JA172" s="432"/>
      <c r="JB172" s="432"/>
      <c r="JC172" s="432"/>
      <c r="JD172" s="432"/>
      <c r="JE172" s="432"/>
      <c r="JF172" s="432"/>
      <c r="JG172" s="432"/>
      <c r="JH172" s="432"/>
      <c r="JI172" s="432"/>
      <c r="JJ172" s="432"/>
      <c r="JK172" s="432"/>
      <c r="JL172" s="432"/>
      <c r="JM172" s="432"/>
      <c r="JN172" s="432"/>
      <c r="JO172" s="432"/>
      <c r="JP172" s="432"/>
      <c r="JQ172" s="432"/>
      <c r="JR172" s="432"/>
      <c r="JS172" s="432"/>
      <c r="JT172" s="432"/>
      <c r="JU172" s="432"/>
      <c r="JV172" s="432"/>
      <c r="JW172" s="1810"/>
      <c r="JX172" s="432"/>
      <c r="JY172" s="432"/>
      <c r="JZ172" s="432"/>
      <c r="KA172" s="432"/>
      <c r="KB172" s="1810"/>
      <c r="KC172" s="432"/>
      <c r="KD172" s="432"/>
      <c r="KE172" s="432"/>
      <c r="KF172" s="432"/>
      <c r="KG172" s="1810"/>
      <c r="KH172" s="432"/>
      <c r="KI172" s="432"/>
      <c r="KJ172" s="432"/>
      <c r="KK172" s="432"/>
      <c r="KL172" s="1810"/>
      <c r="KM172" s="1810"/>
      <c r="KN172" s="1810"/>
      <c r="KO172" s="1810"/>
      <c r="KP172" s="1810"/>
      <c r="KQ172" s="1810"/>
      <c r="KR172" s="1810"/>
      <c r="KS172" s="1810"/>
      <c r="KT172" s="1810"/>
      <c r="KU172" s="1810"/>
      <c r="KV172" s="1810"/>
      <c r="KW172" s="1810"/>
      <c r="KX172" s="1810"/>
      <c r="KY172" s="1810"/>
      <c r="KZ172" s="1810"/>
      <c r="LA172" s="1810"/>
      <c r="LB172" s="1810"/>
      <c r="LC172" s="1810"/>
      <c r="LD172" s="1810"/>
      <c r="LE172" s="1810"/>
      <c r="LF172" s="1810"/>
      <c r="LG172" s="1810"/>
      <c r="LH172" s="432"/>
      <c r="LI172" s="432"/>
      <c r="LJ172" s="432"/>
      <c r="LK172" s="432"/>
      <c r="LL172" s="432"/>
      <c r="LM172" s="432"/>
      <c r="LN172" s="1811"/>
      <c r="LO172" s="432"/>
      <c r="LP172" s="432"/>
      <c r="LQ172" s="432"/>
      <c r="LR172" s="432"/>
      <c r="LS172" s="432"/>
      <c r="LT172" s="432"/>
      <c r="LU172" s="432"/>
      <c r="LV172" s="432"/>
      <c r="LW172" s="432"/>
      <c r="LX172" s="432"/>
      <c r="LY172" s="432"/>
      <c r="LZ172" s="432"/>
      <c r="MA172" s="432"/>
      <c r="MB172" s="432"/>
      <c r="MC172" s="432"/>
      <c r="MD172" s="1811"/>
      <c r="ME172" s="1811"/>
      <c r="MF172" s="432"/>
      <c r="MG172" s="432"/>
      <c r="MH172" s="432"/>
      <c r="MI172" s="432"/>
      <c r="MJ172" s="432"/>
      <c r="MK172" s="432"/>
      <c r="ML172" s="432"/>
      <c r="MM172" s="432"/>
      <c r="MN172" s="432"/>
      <c r="MO172" s="432"/>
      <c r="MP172" s="432"/>
      <c r="MQ172" s="432"/>
      <c r="MR172" s="432"/>
      <c r="MS172" s="432"/>
      <c r="MT172" s="432"/>
      <c r="MU172" s="432"/>
      <c r="MV172" s="93"/>
      <c r="MW172" s="93"/>
      <c r="MX172" s="93"/>
      <c r="MY172" s="93"/>
      <c r="MZ172" s="93"/>
      <c r="NA172" s="93"/>
      <c r="NB172" s="93"/>
      <c r="NC172" s="93"/>
      <c r="ND172" s="93"/>
      <c r="NE172" s="93"/>
      <c r="NF172" s="93"/>
      <c r="NG172" s="93"/>
      <c r="NH172" s="93"/>
      <c r="NI172" s="93"/>
      <c r="NJ172" s="93"/>
      <c r="NK172" s="93"/>
      <c r="NL172" s="93"/>
      <c r="NM172" s="93"/>
      <c r="NN172" s="93"/>
      <c r="NO172" s="93"/>
      <c r="NP172" s="2807"/>
      <c r="NQ172" s="93"/>
      <c r="NR172" s="93"/>
      <c r="NS172" s="93"/>
      <c r="NT172" s="93"/>
      <c r="NU172" s="93"/>
      <c r="NV172" s="93"/>
      <c r="NW172" s="93"/>
      <c r="NX172" s="93"/>
      <c r="NY172" s="93"/>
      <c r="NZ172" s="93"/>
      <c r="OA172" s="93"/>
      <c r="OB172" s="93"/>
      <c r="OC172" s="93"/>
      <c r="OD172" s="93"/>
      <c r="OE172" s="93"/>
      <c r="OF172" s="93"/>
      <c r="OG172" s="93"/>
      <c r="OH172" s="93"/>
      <c r="OI172" s="93"/>
      <c r="OJ172" s="93"/>
      <c r="OK172" s="93"/>
      <c r="OL172" s="93"/>
      <c r="OM172" s="93"/>
      <c r="ON172" s="93"/>
      <c r="OO172" s="93"/>
      <c r="OP172" s="93"/>
      <c r="OQ172" s="93"/>
      <c r="OR172" s="93"/>
      <c r="OS172" s="93"/>
      <c r="OT172" s="93"/>
      <c r="OU172" s="93"/>
      <c r="OV172" s="93"/>
      <c r="OW172" s="93"/>
      <c r="OX172" s="93"/>
      <c r="OY172" s="93"/>
      <c r="OZ172" s="93"/>
      <c r="PA172" s="93"/>
      <c r="PB172" s="93"/>
      <c r="PC172" s="93"/>
      <c r="PD172" s="93"/>
      <c r="PE172" s="93"/>
      <c r="PF172" s="93"/>
      <c r="PG172" s="93"/>
      <c r="PH172" s="93"/>
      <c r="PI172" s="93"/>
      <c r="PJ172" s="93"/>
      <c r="PK172" s="93"/>
      <c r="PL172" s="93"/>
      <c r="PM172" s="93"/>
      <c r="PN172" s="93"/>
      <c r="PO172" s="93"/>
      <c r="PP172" s="93"/>
      <c r="PQ172" s="93"/>
      <c r="PR172" s="93"/>
      <c r="PS172" s="93"/>
      <c r="PT172" s="93"/>
      <c r="PU172" s="93"/>
      <c r="PV172" s="93"/>
      <c r="PW172" s="93"/>
      <c r="PX172" s="93"/>
      <c r="PY172" s="93"/>
      <c r="PZ172" s="93"/>
      <c r="QA172" s="93"/>
      <c r="QB172" s="93"/>
      <c r="QC172" s="93"/>
      <c r="QD172" s="93"/>
      <c r="QE172" s="93"/>
      <c r="QF172" s="93"/>
      <c r="QG172" s="93"/>
      <c r="QH172" s="93"/>
      <c r="QI172" s="93"/>
      <c r="QJ172" s="93"/>
      <c r="QK172" s="93"/>
      <c r="QL172" s="93"/>
      <c r="QM172" s="93"/>
      <c r="QN172" s="93"/>
      <c r="QO172" s="93"/>
      <c r="QP172" s="93"/>
      <c r="QQ172" s="93"/>
      <c r="QR172" s="93"/>
      <c r="QS172" s="93"/>
      <c r="QT172" s="93"/>
      <c r="QU172" s="93"/>
      <c r="QV172" s="93"/>
      <c r="QW172" s="93"/>
      <c r="QX172" s="93"/>
      <c r="QY172" s="93"/>
      <c r="QZ172" s="93"/>
      <c r="RA172" s="93"/>
      <c r="RB172" s="93"/>
      <c r="RC172" s="93"/>
      <c r="RD172" s="93"/>
      <c r="RE172" s="93"/>
      <c r="RF172" s="93"/>
      <c r="RG172" s="93"/>
      <c r="RH172" s="93"/>
      <c r="RI172" s="93"/>
      <c r="RJ172" s="93"/>
      <c r="RK172" s="93"/>
      <c r="RL172" s="93"/>
      <c r="RM172" s="93"/>
      <c r="RN172" s="93"/>
      <c r="RO172" s="93"/>
      <c r="RP172" s="93"/>
      <c r="RQ172" s="93"/>
      <c r="RR172" s="93"/>
      <c r="RS172" s="93"/>
      <c r="RT172" s="93"/>
      <c r="RU172" s="93"/>
      <c r="RV172" s="93"/>
      <c r="RW172" s="93"/>
      <c r="RX172" s="93"/>
      <c r="RY172" s="93"/>
    </row>
    <row r="173" spans="1:493" s="90" customFormat="1" ht="14.1" customHeight="1">
      <c r="A173" s="32"/>
      <c r="B173" s="1"/>
      <c r="C173" s="1"/>
      <c r="D173" s="1"/>
      <c r="E173" s="1"/>
      <c r="F173" s="1"/>
      <c r="G173" s="1"/>
      <c r="H173" s="1"/>
      <c r="I173" s="1"/>
      <c r="J173" s="1"/>
      <c r="K173" s="1"/>
      <c r="L173" s="1"/>
      <c r="M173" s="1"/>
      <c r="N173" s="1"/>
      <c r="O173" s="1"/>
      <c r="P173" s="1"/>
      <c r="X173" s="432"/>
      <c r="Y173" s="432"/>
      <c r="Z173" s="432"/>
      <c r="AA173" s="432"/>
      <c r="AB173" s="432"/>
      <c r="AC173" s="432"/>
      <c r="AD173" s="432"/>
      <c r="AE173" s="432"/>
      <c r="AF173" s="432"/>
      <c r="AG173" s="432"/>
      <c r="AH173" s="432"/>
      <c r="AI173" s="432"/>
      <c r="AJ173" s="432"/>
      <c r="AK173" s="432"/>
      <c r="AL173" s="432"/>
      <c r="AM173" s="432"/>
      <c r="AN173" s="432"/>
      <c r="AO173" s="432"/>
      <c r="AP173" s="432"/>
      <c r="AQ173" s="432"/>
      <c r="AR173" s="432"/>
      <c r="AS173" s="432"/>
      <c r="AT173" s="432"/>
      <c r="AU173" s="432"/>
      <c r="AV173" s="432"/>
      <c r="AW173" s="432"/>
      <c r="AX173" s="432"/>
      <c r="AY173" s="432"/>
      <c r="AZ173" s="432"/>
      <c r="BA173" s="432"/>
      <c r="BB173" s="432"/>
      <c r="BC173" s="432"/>
      <c r="BD173" s="432"/>
      <c r="BE173" s="432"/>
      <c r="BF173" s="432"/>
      <c r="BG173" s="432"/>
      <c r="BH173" s="432"/>
      <c r="BI173" s="432"/>
      <c r="BJ173" s="432"/>
      <c r="BK173" s="432"/>
      <c r="BL173" s="432"/>
      <c r="BM173" s="432"/>
      <c r="BN173" s="432"/>
      <c r="BO173" s="432"/>
      <c r="BP173" s="432"/>
      <c r="BQ173" s="432"/>
      <c r="BR173" s="432"/>
      <c r="BS173" s="432"/>
      <c r="BT173" s="432"/>
      <c r="BU173" s="432"/>
      <c r="BV173" s="432"/>
      <c r="BW173" s="432"/>
      <c r="BX173" s="432"/>
      <c r="BY173" s="432"/>
      <c r="BZ173" s="432"/>
      <c r="CA173" s="432"/>
      <c r="CB173" s="432"/>
      <c r="CC173" s="432"/>
      <c r="CD173" s="432"/>
      <c r="CE173" s="432"/>
      <c r="CF173" s="432"/>
      <c r="CG173" s="432"/>
      <c r="CH173" s="432"/>
      <c r="CI173" s="432"/>
      <c r="CJ173" s="432"/>
      <c r="CK173" s="432"/>
      <c r="CL173" s="432"/>
      <c r="CM173" s="432"/>
      <c r="CN173" s="432"/>
      <c r="CO173" s="432"/>
      <c r="CP173" s="432"/>
      <c r="CQ173" s="432"/>
      <c r="CR173" s="432"/>
      <c r="CS173" s="432"/>
      <c r="CT173" s="432"/>
      <c r="CU173" s="432"/>
      <c r="CV173" s="432"/>
      <c r="CW173" s="432"/>
      <c r="CX173" s="432"/>
      <c r="CY173" s="432"/>
      <c r="CZ173" s="432"/>
      <c r="DA173" s="432"/>
      <c r="DB173" s="432"/>
      <c r="DC173" s="432"/>
      <c r="DD173" s="432"/>
      <c r="DE173" s="432"/>
      <c r="DF173" s="432"/>
      <c r="DG173" s="432"/>
      <c r="DH173" s="432"/>
      <c r="DI173" s="432"/>
      <c r="DJ173" s="432"/>
      <c r="DK173" s="432"/>
      <c r="DL173" s="432"/>
      <c r="DM173" s="432"/>
      <c r="DN173" s="432"/>
      <c r="DO173" s="432"/>
      <c r="DP173" s="432"/>
      <c r="DQ173" s="432"/>
      <c r="DR173" s="432"/>
      <c r="DS173" s="432"/>
      <c r="DT173" s="432"/>
      <c r="DU173" s="432"/>
      <c r="DV173" s="432"/>
      <c r="DW173" s="432"/>
      <c r="DX173" s="432"/>
      <c r="DY173" s="432"/>
      <c r="DZ173" s="432"/>
      <c r="EA173" s="432"/>
      <c r="EB173" s="432"/>
      <c r="EC173" s="432"/>
      <c r="ED173" s="432"/>
      <c r="EE173" s="432"/>
      <c r="EF173" s="432"/>
      <c r="EG173" s="432"/>
      <c r="EH173" s="432"/>
      <c r="EI173" s="432"/>
      <c r="EJ173" s="432"/>
      <c r="EK173" s="432"/>
      <c r="EL173" s="432"/>
      <c r="EM173" s="432"/>
      <c r="EN173" s="432"/>
      <c r="EO173" s="432"/>
      <c r="EP173" s="432"/>
      <c r="EQ173" s="432"/>
      <c r="ER173" s="432"/>
      <c r="ES173" s="432"/>
      <c r="ET173" s="432"/>
      <c r="EU173" s="432"/>
      <c r="EV173" s="432"/>
      <c r="EW173" s="432"/>
      <c r="EX173" s="432"/>
      <c r="EY173" s="432"/>
      <c r="EZ173" s="432"/>
      <c r="FA173" s="432"/>
      <c r="FB173" s="432"/>
      <c r="FC173" s="432"/>
      <c r="FD173" s="432"/>
      <c r="FE173" s="432"/>
      <c r="FF173" s="432"/>
      <c r="FG173" s="432"/>
      <c r="FH173" s="432"/>
      <c r="FI173" s="432"/>
      <c r="FJ173" s="432"/>
      <c r="FK173" s="432"/>
      <c r="FL173" s="432"/>
      <c r="FM173" s="432"/>
      <c r="FN173" s="432"/>
      <c r="FO173" s="432"/>
      <c r="FP173" s="432"/>
      <c r="FQ173" s="432"/>
      <c r="FR173" s="432"/>
      <c r="FS173" s="432"/>
      <c r="FT173" s="432"/>
      <c r="FU173" s="432"/>
      <c r="FV173" s="432"/>
      <c r="FW173" s="432"/>
      <c r="FX173" s="432"/>
      <c r="FY173" s="432"/>
      <c r="FZ173" s="432"/>
      <c r="GA173" s="432"/>
      <c r="GB173" s="432"/>
      <c r="GC173" s="432"/>
      <c r="GD173" s="432"/>
      <c r="GE173" s="432"/>
      <c r="GF173" s="432"/>
      <c r="GG173" s="432"/>
      <c r="GH173" s="432"/>
      <c r="GI173" s="432"/>
      <c r="GJ173" s="432"/>
      <c r="GK173" s="432"/>
      <c r="GL173" s="432"/>
      <c r="GM173" s="432"/>
      <c r="GN173" s="432"/>
      <c r="GO173" s="432"/>
      <c r="GP173" s="432"/>
      <c r="GQ173" s="432"/>
      <c r="GR173" s="432"/>
      <c r="GS173" s="432"/>
      <c r="GT173" s="432"/>
      <c r="GU173" s="432"/>
      <c r="GV173" s="432"/>
      <c r="GW173" s="432"/>
      <c r="GX173" s="432"/>
      <c r="GY173" s="432"/>
      <c r="GZ173" s="432"/>
      <c r="HA173" s="432"/>
      <c r="HB173" s="432"/>
      <c r="HC173" s="432"/>
      <c r="HD173" s="432"/>
      <c r="HE173" s="432"/>
      <c r="HF173" s="432"/>
      <c r="HG173" s="432"/>
      <c r="HH173" s="432"/>
      <c r="HI173" s="432"/>
      <c r="HJ173" s="432"/>
      <c r="HK173" s="432"/>
      <c r="HL173" s="432"/>
      <c r="HM173" s="432"/>
      <c r="HN173" s="432"/>
      <c r="HO173" s="432"/>
      <c r="HP173" s="432"/>
      <c r="HQ173" s="432"/>
      <c r="HR173" s="432"/>
      <c r="HS173" s="432"/>
      <c r="HT173" s="432"/>
      <c r="HU173" s="432"/>
      <c r="HV173" s="432"/>
      <c r="HW173" s="432"/>
      <c r="HX173" s="432"/>
      <c r="HY173" s="432"/>
      <c r="HZ173" s="432"/>
      <c r="IA173" s="432"/>
      <c r="IB173" s="432"/>
      <c r="IC173" s="432"/>
      <c r="ID173" s="432"/>
      <c r="IE173" s="432"/>
      <c r="IF173" s="432"/>
      <c r="IG173" s="432"/>
      <c r="IH173" s="432"/>
      <c r="II173" s="432"/>
      <c r="IJ173" s="432"/>
      <c r="IK173" s="432"/>
      <c r="IL173" s="432"/>
      <c r="IM173" s="432"/>
      <c r="IN173" s="432"/>
      <c r="IO173" s="432"/>
      <c r="IP173" s="432"/>
      <c r="IQ173" s="432"/>
      <c r="IR173" s="432"/>
      <c r="IS173" s="432"/>
      <c r="IT173" s="432"/>
      <c r="IU173" s="432"/>
      <c r="IV173" s="432"/>
      <c r="IW173" s="432"/>
      <c r="IX173" s="432"/>
      <c r="IY173" s="432"/>
      <c r="IZ173" s="432"/>
      <c r="JA173" s="432"/>
      <c r="JB173" s="432"/>
      <c r="JC173" s="432"/>
      <c r="JD173" s="432"/>
      <c r="JE173" s="432"/>
      <c r="JF173" s="432"/>
      <c r="JG173" s="432"/>
      <c r="JH173" s="432"/>
      <c r="JI173" s="432"/>
      <c r="JJ173" s="432"/>
      <c r="JK173" s="432"/>
      <c r="JL173" s="432"/>
      <c r="JM173" s="432"/>
      <c r="JN173" s="432"/>
      <c r="JO173" s="432"/>
      <c r="JP173" s="432"/>
      <c r="JQ173" s="432"/>
      <c r="JR173" s="432"/>
      <c r="JS173" s="432"/>
      <c r="JT173" s="432"/>
      <c r="JU173" s="432"/>
      <c r="JV173" s="432"/>
      <c r="JW173" s="1810"/>
      <c r="JX173" s="432"/>
      <c r="JY173" s="432"/>
      <c r="JZ173" s="432"/>
      <c r="KA173" s="432"/>
      <c r="KB173" s="1810"/>
      <c r="KC173" s="432"/>
      <c r="KD173" s="432"/>
      <c r="KE173" s="432"/>
      <c r="KF173" s="432"/>
      <c r="KG173" s="1810"/>
      <c r="KH173" s="432"/>
      <c r="KI173" s="432"/>
      <c r="KJ173" s="432"/>
      <c r="KK173" s="432"/>
      <c r="KL173" s="1810"/>
      <c r="KM173" s="1810"/>
      <c r="KN173" s="1810"/>
      <c r="KO173" s="1810"/>
      <c r="KP173" s="1810"/>
      <c r="KQ173" s="1810"/>
      <c r="KR173" s="1810"/>
      <c r="KS173" s="1810"/>
      <c r="KT173" s="1810"/>
      <c r="KU173" s="1810"/>
      <c r="KV173" s="1810"/>
      <c r="KW173" s="1810"/>
      <c r="KX173" s="1810"/>
      <c r="KY173" s="1810"/>
      <c r="KZ173" s="1810"/>
      <c r="LA173" s="1810"/>
      <c r="LB173" s="1810"/>
      <c r="LC173" s="1810"/>
      <c r="LD173" s="1810"/>
      <c r="LE173" s="1810"/>
      <c r="LF173" s="1810"/>
      <c r="LG173" s="1810"/>
      <c r="LH173" s="432"/>
      <c r="LI173" s="432"/>
      <c r="LJ173" s="432"/>
      <c r="LK173" s="432"/>
      <c r="LL173" s="432"/>
      <c r="LM173" s="432"/>
      <c r="LN173" s="1811"/>
      <c r="LO173" s="432"/>
      <c r="LP173" s="432"/>
      <c r="LQ173" s="432"/>
      <c r="LR173" s="432"/>
      <c r="LS173" s="432"/>
      <c r="LT173" s="432"/>
      <c r="LU173" s="432"/>
      <c r="LV173" s="432"/>
      <c r="LW173" s="432"/>
      <c r="LX173" s="432"/>
      <c r="LY173" s="432"/>
      <c r="LZ173" s="432"/>
      <c r="MA173" s="432"/>
      <c r="MB173" s="432"/>
      <c r="MC173" s="432"/>
      <c r="MD173" s="1811"/>
      <c r="ME173" s="1811"/>
      <c r="MF173" s="432"/>
      <c r="MG173" s="432"/>
      <c r="MH173" s="432"/>
      <c r="MI173" s="432"/>
      <c r="MJ173" s="432"/>
      <c r="MK173" s="432"/>
      <c r="ML173" s="432"/>
      <c r="MM173" s="432"/>
      <c r="MN173" s="432"/>
      <c r="MO173" s="432"/>
      <c r="MP173" s="432"/>
      <c r="MQ173" s="432"/>
      <c r="MR173" s="432"/>
      <c r="MS173" s="432"/>
      <c r="MT173" s="432"/>
      <c r="MU173" s="432"/>
      <c r="MV173" s="93"/>
      <c r="MW173" s="93"/>
      <c r="MX173" s="93"/>
      <c r="MY173" s="93"/>
      <c r="MZ173" s="93"/>
      <c r="NA173" s="93"/>
      <c r="NB173" s="93"/>
      <c r="NC173" s="93"/>
      <c r="ND173" s="93"/>
      <c r="NE173" s="93"/>
      <c r="NF173" s="93"/>
      <c r="NG173" s="93"/>
      <c r="NH173" s="93"/>
      <c r="NI173" s="93"/>
      <c r="NJ173" s="93"/>
      <c r="NK173" s="93"/>
      <c r="NL173" s="93"/>
      <c r="NM173" s="93"/>
      <c r="NN173" s="93"/>
      <c r="NO173" s="93"/>
      <c r="NP173" s="2807"/>
      <c r="NQ173" s="93"/>
      <c r="NR173" s="93"/>
      <c r="NS173" s="93"/>
      <c r="NT173" s="93"/>
      <c r="NU173" s="93"/>
      <c r="NV173" s="93"/>
      <c r="NW173" s="93"/>
      <c r="NX173" s="93"/>
      <c r="NY173" s="93"/>
      <c r="NZ173" s="93"/>
      <c r="OA173" s="93"/>
      <c r="OB173" s="93"/>
      <c r="OC173" s="93"/>
      <c r="OD173" s="93"/>
      <c r="OE173" s="93"/>
      <c r="OF173" s="93"/>
      <c r="OG173" s="93"/>
      <c r="OH173" s="93"/>
      <c r="OI173" s="93"/>
      <c r="OJ173" s="93"/>
      <c r="OK173" s="93"/>
      <c r="OL173" s="93"/>
      <c r="OM173" s="93"/>
      <c r="ON173" s="93"/>
      <c r="OO173" s="93"/>
      <c r="OP173" s="93"/>
      <c r="OQ173" s="93"/>
      <c r="OR173" s="93"/>
      <c r="OS173" s="93"/>
      <c r="OT173" s="93"/>
      <c r="OU173" s="93"/>
      <c r="OV173" s="93"/>
      <c r="OW173" s="93"/>
      <c r="OX173" s="93"/>
      <c r="OY173" s="93"/>
      <c r="OZ173" s="93"/>
      <c r="PA173" s="93"/>
      <c r="PB173" s="93"/>
      <c r="PC173" s="93"/>
      <c r="PD173" s="93"/>
      <c r="PE173" s="93"/>
      <c r="PF173" s="93"/>
      <c r="PG173" s="93"/>
      <c r="PH173" s="93"/>
      <c r="PI173" s="93"/>
      <c r="PJ173" s="93"/>
      <c r="PK173" s="93"/>
      <c r="PL173" s="93"/>
      <c r="PM173" s="93"/>
      <c r="PN173" s="93"/>
      <c r="PO173" s="93"/>
      <c r="PP173" s="93"/>
      <c r="PQ173" s="93"/>
      <c r="PR173" s="93"/>
      <c r="PS173" s="93"/>
      <c r="PT173" s="93"/>
      <c r="PU173" s="93"/>
      <c r="PV173" s="93"/>
      <c r="PW173" s="93"/>
      <c r="PX173" s="93"/>
      <c r="PY173" s="93"/>
      <c r="PZ173" s="93"/>
      <c r="QA173" s="93"/>
      <c r="QB173" s="93"/>
      <c r="QC173" s="93"/>
      <c r="QD173" s="93"/>
      <c r="QE173" s="93"/>
      <c r="QF173" s="93"/>
      <c r="QG173" s="93"/>
      <c r="QH173" s="93"/>
      <c r="QI173" s="93"/>
      <c r="QJ173" s="93"/>
      <c r="QK173" s="93"/>
      <c r="QL173" s="93"/>
      <c r="QM173" s="93"/>
      <c r="QN173" s="93"/>
      <c r="QO173" s="93"/>
      <c r="QP173" s="93"/>
      <c r="QQ173" s="93"/>
      <c r="QR173" s="93"/>
      <c r="QS173" s="93"/>
      <c r="QT173" s="93"/>
      <c r="QU173" s="93"/>
      <c r="QV173" s="93"/>
      <c r="QW173" s="93"/>
      <c r="QX173" s="93"/>
      <c r="QY173" s="93"/>
      <c r="QZ173" s="93"/>
      <c r="RA173" s="93"/>
      <c r="RB173" s="93"/>
      <c r="RC173" s="93"/>
      <c r="RD173" s="93"/>
      <c r="RE173" s="93"/>
      <c r="RF173" s="93"/>
      <c r="RG173" s="93"/>
      <c r="RH173" s="93"/>
      <c r="RI173" s="93"/>
      <c r="RJ173" s="93"/>
      <c r="RK173" s="93"/>
      <c r="RL173" s="93"/>
      <c r="RM173" s="93"/>
      <c r="RN173" s="93"/>
      <c r="RO173" s="93"/>
      <c r="RP173" s="93"/>
      <c r="RQ173" s="93"/>
      <c r="RR173" s="93"/>
      <c r="RS173" s="93"/>
      <c r="RT173" s="93"/>
      <c r="RU173" s="93"/>
      <c r="RV173" s="93"/>
      <c r="RW173" s="93"/>
      <c r="RX173" s="93"/>
      <c r="RY173" s="93"/>
    </row>
    <row r="174" spans="1:493" ht="14.1" customHeight="1">
      <c r="A174" s="13" t="s">
        <v>712</v>
      </c>
      <c r="B174" s="13" t="s">
        <v>216</v>
      </c>
      <c r="Q174" s="8"/>
      <c r="R174" s="8"/>
      <c r="S174" s="13" t="s">
        <v>1759</v>
      </c>
      <c r="U174" s="397"/>
      <c r="JW174" s="430"/>
      <c r="KB174" s="430"/>
      <c r="KG174" s="430"/>
      <c r="KL174" s="430"/>
      <c r="LH174" s="1815"/>
      <c r="LN174" s="430"/>
      <c r="LO174" s="434"/>
      <c r="MD174" s="430"/>
      <c r="MF174" s="434"/>
    </row>
    <row r="175" spans="1:493" ht="2.25" customHeight="1">
      <c r="Q175" s="397"/>
      <c r="R175" s="397"/>
    </row>
    <row r="176" spans="1:493" s="90" customFormat="1" ht="15.6" customHeight="1">
      <c r="A176" s="1"/>
      <c r="B176" s="163" t="s">
        <v>977</v>
      </c>
      <c r="C176" s="109"/>
      <c r="D176" s="109"/>
      <c r="E176" s="109"/>
      <c r="F176" s="109"/>
      <c r="G176" s="109"/>
      <c r="H176" s="3905">
        <f>'Part VII-Pro Forma'!B10*M50</f>
        <v>12302.16</v>
      </c>
      <c r="I176" s="3906"/>
      <c r="J176" s="3907"/>
      <c r="K176" s="109"/>
      <c r="L176" s="1496" t="s">
        <v>2576</v>
      </c>
      <c r="M176" s="109"/>
      <c r="N176" s="109"/>
      <c r="O176" s="109"/>
      <c r="P176" s="1510">
        <f>IF(M50=0,0,H176/M50)</f>
        <v>0.02</v>
      </c>
      <c r="Q176" s="368"/>
      <c r="R176" s="368"/>
      <c r="S176" s="4" t="str">
        <f>B176</f>
        <v>Ancillary Income</v>
      </c>
      <c r="X176" s="432"/>
      <c r="Y176" s="432"/>
      <c r="Z176" s="432"/>
      <c r="AA176" s="432"/>
      <c r="AB176" s="432"/>
      <c r="AC176" s="432"/>
      <c r="AD176" s="432"/>
      <c r="AE176" s="432"/>
      <c r="AF176" s="432"/>
      <c r="AG176" s="432"/>
      <c r="AH176" s="432"/>
      <c r="AI176" s="432"/>
      <c r="AJ176" s="432"/>
      <c r="AK176" s="432"/>
      <c r="AL176" s="432"/>
      <c r="AM176" s="432"/>
      <c r="AN176" s="432"/>
      <c r="AO176" s="432"/>
      <c r="AP176" s="432"/>
      <c r="AQ176" s="432"/>
      <c r="AR176" s="432"/>
      <c r="AS176" s="432"/>
      <c r="AT176" s="432"/>
      <c r="AU176" s="432"/>
      <c r="AV176" s="432"/>
      <c r="AW176" s="432"/>
      <c r="AX176" s="432"/>
      <c r="AY176" s="432"/>
      <c r="AZ176" s="432"/>
      <c r="BA176" s="432"/>
      <c r="BB176" s="432"/>
      <c r="BC176" s="432"/>
      <c r="BD176" s="432"/>
      <c r="BE176" s="432"/>
      <c r="BF176" s="432"/>
      <c r="BG176" s="432"/>
      <c r="BH176" s="432"/>
      <c r="BI176" s="432"/>
      <c r="BJ176" s="432"/>
      <c r="BK176" s="432"/>
      <c r="BL176" s="432"/>
      <c r="BM176" s="432"/>
      <c r="BN176" s="432"/>
      <c r="BO176" s="432"/>
      <c r="BP176" s="432"/>
      <c r="BQ176" s="432"/>
      <c r="BR176" s="432"/>
      <c r="BS176" s="432"/>
      <c r="BT176" s="432"/>
      <c r="BU176" s="432"/>
      <c r="BV176" s="432"/>
      <c r="BW176" s="432"/>
      <c r="BX176" s="432"/>
      <c r="BY176" s="432"/>
      <c r="BZ176" s="432"/>
      <c r="CA176" s="432"/>
      <c r="CB176" s="432"/>
      <c r="CC176" s="432"/>
      <c r="CD176" s="432"/>
      <c r="CE176" s="432"/>
      <c r="CF176" s="432"/>
      <c r="CG176" s="432"/>
      <c r="CH176" s="432"/>
      <c r="CI176" s="432"/>
      <c r="CJ176" s="432"/>
      <c r="CK176" s="432"/>
      <c r="CL176" s="432"/>
      <c r="CM176" s="432"/>
      <c r="CN176" s="432"/>
      <c r="CO176" s="432"/>
      <c r="CP176" s="432"/>
      <c r="CQ176" s="432"/>
      <c r="CR176" s="432"/>
      <c r="CS176" s="432"/>
      <c r="CT176" s="432"/>
      <c r="CU176" s="432"/>
      <c r="CV176" s="432"/>
      <c r="CW176" s="432"/>
      <c r="CX176" s="432"/>
      <c r="CY176" s="432"/>
      <c r="CZ176" s="432"/>
      <c r="DA176" s="432"/>
      <c r="DB176" s="432"/>
      <c r="DC176" s="432"/>
      <c r="DD176" s="432"/>
      <c r="DE176" s="432"/>
      <c r="DF176" s="432"/>
      <c r="DG176" s="432"/>
      <c r="DH176" s="432"/>
      <c r="DI176" s="432"/>
      <c r="DJ176" s="432"/>
      <c r="DK176" s="432"/>
      <c r="DL176" s="432"/>
      <c r="DM176" s="432"/>
      <c r="DN176" s="432"/>
      <c r="DO176" s="432"/>
      <c r="DP176" s="432"/>
      <c r="DQ176" s="432"/>
      <c r="DR176" s="432"/>
      <c r="DS176" s="432"/>
      <c r="DT176" s="432"/>
      <c r="DU176" s="432"/>
      <c r="DV176" s="432"/>
      <c r="DW176" s="432"/>
      <c r="DX176" s="432"/>
      <c r="DY176" s="432"/>
      <c r="DZ176" s="432"/>
      <c r="EA176" s="432"/>
      <c r="EB176" s="432"/>
      <c r="EC176" s="432"/>
      <c r="ED176" s="432"/>
      <c r="EE176" s="432"/>
      <c r="EF176" s="432"/>
      <c r="EG176" s="432"/>
      <c r="EH176" s="432"/>
      <c r="EI176" s="432"/>
      <c r="EJ176" s="432"/>
      <c r="EK176" s="432"/>
      <c r="EL176" s="432"/>
      <c r="EM176" s="432"/>
      <c r="EN176" s="432"/>
      <c r="EO176" s="432"/>
      <c r="EP176" s="432"/>
      <c r="EQ176" s="432"/>
      <c r="ER176" s="432"/>
      <c r="ES176" s="432"/>
      <c r="ET176" s="432"/>
      <c r="EU176" s="432"/>
      <c r="EV176" s="432"/>
      <c r="EW176" s="432"/>
      <c r="EX176" s="432"/>
      <c r="EY176" s="432"/>
      <c r="EZ176" s="432"/>
      <c r="FA176" s="432"/>
      <c r="FB176" s="432"/>
      <c r="FC176" s="432"/>
      <c r="FD176" s="432"/>
      <c r="FE176" s="432"/>
      <c r="FF176" s="432"/>
      <c r="FG176" s="432"/>
      <c r="FH176" s="432"/>
      <c r="FI176" s="432"/>
      <c r="FJ176" s="432"/>
      <c r="FK176" s="432"/>
      <c r="FL176" s="432"/>
      <c r="FM176" s="432"/>
      <c r="FN176" s="432"/>
      <c r="FO176" s="432"/>
      <c r="FP176" s="432"/>
      <c r="FQ176" s="432"/>
      <c r="FR176" s="432"/>
      <c r="FS176" s="432"/>
      <c r="FT176" s="432"/>
      <c r="FU176" s="432"/>
      <c r="FV176" s="432"/>
      <c r="FW176" s="432"/>
      <c r="FX176" s="432"/>
      <c r="FY176" s="432"/>
      <c r="FZ176" s="432"/>
      <c r="GA176" s="432"/>
      <c r="GB176" s="432"/>
      <c r="GC176" s="432"/>
      <c r="GD176" s="432"/>
      <c r="GE176" s="432"/>
      <c r="GF176" s="432"/>
      <c r="GG176" s="432"/>
      <c r="GH176" s="432"/>
      <c r="GI176" s="432"/>
      <c r="GJ176" s="432"/>
      <c r="GK176" s="432"/>
      <c r="GL176" s="432"/>
      <c r="GM176" s="432"/>
      <c r="GN176" s="432"/>
      <c r="GO176" s="432"/>
      <c r="GP176" s="432"/>
      <c r="GQ176" s="432"/>
      <c r="GR176" s="432"/>
      <c r="GS176" s="432"/>
      <c r="GT176" s="432"/>
      <c r="GU176" s="432"/>
      <c r="GV176" s="432"/>
      <c r="GW176" s="432"/>
      <c r="GX176" s="432"/>
      <c r="GY176" s="432"/>
      <c r="GZ176" s="432"/>
      <c r="HA176" s="432"/>
      <c r="HB176" s="432"/>
      <c r="HC176" s="432"/>
      <c r="HD176" s="432"/>
      <c r="HE176" s="432"/>
      <c r="HF176" s="432"/>
      <c r="HG176" s="432"/>
      <c r="HH176" s="432"/>
      <c r="HI176" s="432"/>
      <c r="HJ176" s="432"/>
      <c r="HK176" s="432"/>
      <c r="HL176" s="432"/>
      <c r="HM176" s="432"/>
      <c r="HN176" s="432"/>
      <c r="HO176" s="432"/>
      <c r="HP176" s="432"/>
      <c r="HQ176" s="432"/>
      <c r="HR176" s="432"/>
      <c r="HS176" s="432"/>
      <c r="HT176" s="432"/>
      <c r="HU176" s="432"/>
      <c r="HV176" s="432"/>
      <c r="HW176" s="432"/>
      <c r="HX176" s="432"/>
      <c r="HY176" s="432"/>
      <c r="HZ176" s="432"/>
      <c r="IA176" s="432"/>
      <c r="IB176" s="432"/>
      <c r="IC176" s="432"/>
      <c r="ID176" s="432"/>
      <c r="IE176" s="432"/>
      <c r="IF176" s="432"/>
      <c r="IG176" s="432"/>
      <c r="IH176" s="432"/>
      <c r="II176" s="432"/>
      <c r="IJ176" s="432"/>
      <c r="IK176" s="432"/>
      <c r="IL176" s="432"/>
      <c r="IM176" s="432"/>
      <c r="IN176" s="432"/>
      <c r="IO176" s="432"/>
      <c r="IP176" s="432"/>
      <c r="IQ176" s="432"/>
      <c r="IR176" s="432"/>
      <c r="IS176" s="432"/>
      <c r="IT176" s="432"/>
      <c r="IU176" s="432"/>
      <c r="IV176" s="432"/>
      <c r="IW176" s="432"/>
      <c r="IX176" s="432"/>
      <c r="IY176" s="432"/>
      <c r="IZ176" s="432"/>
      <c r="JA176" s="432"/>
      <c r="JB176" s="432"/>
      <c r="JC176" s="432"/>
      <c r="JD176" s="432"/>
      <c r="JE176" s="432"/>
      <c r="JF176" s="432"/>
      <c r="JG176" s="432"/>
      <c r="JH176" s="432"/>
      <c r="JI176" s="432"/>
      <c r="JJ176" s="432"/>
      <c r="JK176" s="432"/>
      <c r="JL176" s="432"/>
      <c r="JM176" s="432"/>
      <c r="JN176" s="432"/>
      <c r="JO176" s="432"/>
      <c r="JP176" s="432"/>
      <c r="JQ176" s="432"/>
      <c r="JR176" s="432"/>
      <c r="JS176" s="432"/>
      <c r="JT176" s="432"/>
      <c r="JU176" s="432"/>
      <c r="JV176" s="432"/>
      <c r="JW176" s="1810"/>
      <c r="JX176" s="432"/>
      <c r="JY176" s="432"/>
      <c r="JZ176" s="432"/>
      <c r="KA176" s="432"/>
      <c r="KB176" s="1810"/>
      <c r="KC176" s="432"/>
      <c r="KD176" s="432"/>
      <c r="KE176" s="432"/>
      <c r="KF176" s="432"/>
      <c r="KG176" s="1810"/>
      <c r="KH176" s="432"/>
      <c r="KI176" s="432"/>
      <c r="KJ176" s="432"/>
      <c r="KK176" s="432"/>
      <c r="KL176" s="1810"/>
      <c r="KM176" s="1810"/>
      <c r="KN176" s="1810"/>
      <c r="KO176" s="1810"/>
      <c r="KP176" s="1810"/>
      <c r="KQ176" s="1810"/>
      <c r="KR176" s="1810"/>
      <c r="KS176" s="1810"/>
      <c r="KT176" s="1810"/>
      <c r="KU176" s="1810"/>
      <c r="KV176" s="1810"/>
      <c r="KW176" s="1810"/>
      <c r="KX176" s="1810"/>
      <c r="KY176" s="1810"/>
      <c r="KZ176" s="1810"/>
      <c r="LA176" s="1810"/>
      <c r="LB176" s="1810"/>
      <c r="LC176" s="1810"/>
      <c r="LD176" s="1810"/>
      <c r="LE176" s="1810"/>
      <c r="LF176" s="1810"/>
      <c r="LG176" s="1810"/>
      <c r="LH176" s="432"/>
      <c r="LI176" s="432"/>
      <c r="LJ176" s="432"/>
      <c r="LK176" s="432"/>
      <c r="LL176" s="432"/>
      <c r="LM176" s="432"/>
      <c r="LN176" s="1811"/>
      <c r="LO176" s="432"/>
      <c r="LP176" s="432"/>
      <c r="LQ176" s="432"/>
      <c r="LR176" s="432"/>
      <c r="LS176" s="432"/>
      <c r="LT176" s="432"/>
      <c r="LU176" s="432"/>
      <c r="LV176" s="432"/>
      <c r="LW176" s="432"/>
      <c r="LX176" s="432"/>
      <c r="LY176" s="432"/>
      <c r="LZ176" s="432"/>
      <c r="MA176" s="432"/>
      <c r="MB176" s="432"/>
      <c r="MC176" s="432"/>
      <c r="MD176" s="1811"/>
      <c r="ME176" s="1811"/>
      <c r="MF176" s="432"/>
      <c r="MG176" s="432"/>
      <c r="MH176" s="432"/>
      <c r="MI176" s="432"/>
      <c r="MJ176" s="432"/>
      <c r="MK176" s="432"/>
      <c r="ML176" s="432"/>
      <c r="MM176" s="432"/>
      <c r="MN176" s="432"/>
      <c r="MO176" s="432"/>
      <c r="MP176" s="432"/>
      <c r="MQ176" s="432"/>
      <c r="MR176" s="432"/>
      <c r="MS176" s="432"/>
      <c r="MT176" s="432"/>
      <c r="MU176" s="432"/>
      <c r="MV176" s="93"/>
      <c r="MW176" s="93"/>
      <c r="MX176" s="93"/>
      <c r="MY176" s="93"/>
      <c r="MZ176" s="93"/>
      <c r="NA176" s="93"/>
      <c r="NB176" s="93"/>
      <c r="NC176" s="93"/>
      <c r="ND176" s="93"/>
      <c r="NE176" s="93"/>
      <c r="NF176" s="93"/>
      <c r="NG176" s="93"/>
      <c r="NH176" s="93"/>
      <c r="NI176" s="93"/>
      <c r="NJ176" s="93"/>
      <c r="NK176" s="93"/>
      <c r="NL176" s="93"/>
      <c r="NM176" s="93"/>
      <c r="NN176" s="93"/>
      <c r="NO176" s="93"/>
      <c r="NP176" s="2850"/>
      <c r="NQ176" s="93"/>
      <c r="NR176" s="93"/>
      <c r="NS176" s="93"/>
      <c r="NT176" s="93"/>
      <c r="NU176" s="93"/>
      <c r="NV176" s="93"/>
      <c r="NW176" s="93"/>
      <c r="NX176" s="93"/>
      <c r="NY176" s="93"/>
      <c r="NZ176" s="93"/>
      <c r="OA176" s="93"/>
      <c r="OB176" s="93"/>
      <c r="OC176" s="93"/>
      <c r="OD176" s="93"/>
      <c r="OE176" s="93"/>
      <c r="OF176" s="93"/>
      <c r="OG176" s="93"/>
      <c r="OH176" s="93"/>
      <c r="OI176" s="93"/>
      <c r="OJ176" s="93"/>
      <c r="OK176" s="93"/>
      <c r="OL176" s="93"/>
      <c r="OM176" s="93"/>
      <c r="ON176" s="93"/>
      <c r="OO176" s="93"/>
      <c r="OP176" s="93"/>
      <c r="OQ176" s="93"/>
      <c r="OR176" s="93"/>
      <c r="OS176" s="93"/>
      <c r="OT176" s="93"/>
      <c r="OU176" s="93"/>
      <c r="OV176" s="93"/>
      <c r="OW176" s="93"/>
      <c r="OX176" s="93"/>
      <c r="OY176" s="93"/>
      <c r="OZ176" s="93"/>
      <c r="PA176" s="93"/>
      <c r="PB176" s="93"/>
      <c r="PC176" s="93"/>
      <c r="PD176" s="93"/>
      <c r="PE176" s="93"/>
      <c r="PF176" s="93"/>
      <c r="PG176" s="93"/>
      <c r="PH176" s="93"/>
      <c r="PI176" s="93"/>
      <c r="PJ176" s="93"/>
      <c r="PK176" s="93"/>
      <c r="PL176" s="93"/>
      <c r="PM176" s="93"/>
      <c r="PN176" s="93"/>
      <c r="PO176" s="93"/>
      <c r="PP176" s="93"/>
      <c r="PQ176" s="93"/>
      <c r="PR176" s="93"/>
      <c r="PS176" s="93"/>
      <c r="PT176" s="93"/>
      <c r="PU176" s="93"/>
      <c r="PV176" s="93"/>
      <c r="PW176" s="93"/>
      <c r="PX176" s="93"/>
      <c r="PY176" s="93"/>
      <c r="PZ176" s="93"/>
      <c r="QA176" s="93"/>
      <c r="QB176" s="93"/>
      <c r="QC176" s="93"/>
      <c r="QD176" s="93"/>
      <c r="QE176" s="93"/>
      <c r="QF176" s="93"/>
      <c r="QG176" s="93"/>
      <c r="QH176" s="93"/>
      <c r="QI176" s="93"/>
      <c r="QJ176" s="93"/>
      <c r="QK176" s="93"/>
      <c r="QL176" s="93"/>
      <c r="QM176" s="93"/>
      <c r="QN176" s="93"/>
      <c r="QO176" s="93"/>
      <c r="QP176" s="93"/>
      <c r="QQ176" s="93"/>
      <c r="QR176" s="93"/>
      <c r="QS176" s="93"/>
      <c r="QT176" s="93"/>
      <c r="QU176" s="93"/>
      <c r="QV176" s="93"/>
      <c r="QW176" s="93"/>
      <c r="QX176" s="93"/>
      <c r="QY176" s="93"/>
      <c r="QZ176" s="93"/>
      <c r="RA176" s="93"/>
      <c r="RB176" s="93"/>
      <c r="RC176" s="93"/>
      <c r="RD176" s="93"/>
      <c r="RE176" s="93"/>
      <c r="RF176" s="93"/>
      <c r="RG176" s="93"/>
      <c r="RH176" s="93"/>
      <c r="RI176" s="93"/>
      <c r="RJ176" s="93"/>
      <c r="RK176" s="93"/>
      <c r="RL176" s="93"/>
      <c r="RM176" s="93"/>
      <c r="RN176" s="93"/>
      <c r="RO176" s="93"/>
      <c r="RP176" s="93"/>
      <c r="RQ176" s="93"/>
      <c r="RR176" s="93"/>
      <c r="RS176" s="93"/>
      <c r="RT176" s="93"/>
      <c r="RU176" s="93"/>
      <c r="RV176" s="93"/>
      <c r="RW176" s="93"/>
      <c r="RX176" s="93"/>
      <c r="RY176" s="93"/>
    </row>
    <row r="177" spans="1:493" ht="15.6" customHeight="1">
      <c r="B177" s="795"/>
      <c r="C177" s="89"/>
      <c r="D177" s="109"/>
      <c r="E177" s="796"/>
      <c r="F177" s="89"/>
      <c r="G177" s="89"/>
      <c r="H177" s="89"/>
      <c r="I177" s="89"/>
      <c r="J177" s="107"/>
      <c r="K177" s="89"/>
      <c r="L177" s="89"/>
      <c r="M177" s="89"/>
      <c r="N177" s="89"/>
      <c r="O177" s="89"/>
      <c r="P177" s="89"/>
      <c r="Q177" s="368"/>
      <c r="R177" s="368"/>
      <c r="NP177" s="2850"/>
    </row>
    <row r="178" spans="1:493" ht="15.6" customHeight="1">
      <c r="B178" s="795" t="s">
        <v>1390</v>
      </c>
      <c r="C178" s="89"/>
      <c r="D178" s="89"/>
      <c r="E178" s="89"/>
      <c r="F178" s="89"/>
      <c r="G178" s="89"/>
      <c r="H178" s="89"/>
      <c r="I178" s="89"/>
      <c r="J178" s="795"/>
      <c r="K178" s="89"/>
      <c r="L178" s="797"/>
      <c r="M178" s="89"/>
      <c r="N178" s="89"/>
      <c r="O178" s="89"/>
      <c r="P178" s="89"/>
      <c r="Q178" s="110"/>
      <c r="S178" s="2648" t="str">
        <f>B178</f>
        <v>Other Income (OI) by Year:</v>
      </c>
      <c r="NP178" s="2850"/>
    </row>
    <row r="179" spans="1:493" ht="15.6" customHeight="1">
      <c r="B179" s="798" t="s">
        <v>2182</v>
      </c>
      <c r="C179" s="89"/>
      <c r="D179" s="89"/>
      <c r="E179" s="89"/>
      <c r="F179" s="89"/>
      <c r="H179" s="799">
        <v>1</v>
      </c>
      <c r="I179" s="799">
        <v>2</v>
      </c>
      <c r="J179" s="799">
        <v>3</v>
      </c>
      <c r="K179" s="799">
        <v>4</v>
      </c>
      <c r="L179" s="800">
        <v>5</v>
      </c>
      <c r="M179" s="799">
        <v>6</v>
      </c>
      <c r="N179" s="799">
        <v>7</v>
      </c>
      <c r="O179" s="799">
        <v>8</v>
      </c>
      <c r="P179" s="799">
        <v>9</v>
      </c>
      <c r="Q179" s="799">
        <v>10</v>
      </c>
      <c r="R179" s="565"/>
      <c r="S179" s="93" t="str">
        <f>B179</f>
        <v>Included in Mgt Fee:</v>
      </c>
      <c r="NP179" s="2850"/>
    </row>
    <row r="180" spans="1:493" ht="15.6" customHeight="1">
      <c r="B180" s="109" t="s">
        <v>978</v>
      </c>
      <c r="C180" s="109"/>
      <c r="D180" s="109"/>
      <c r="E180" s="109"/>
      <c r="F180" s="109"/>
      <c r="H180" s="2928"/>
      <c r="I180" s="2928"/>
      <c r="J180" s="2928"/>
      <c r="K180" s="2928"/>
      <c r="L180" s="2928"/>
      <c r="M180" s="2928"/>
      <c r="N180" s="2928"/>
      <c r="O180" s="2928"/>
      <c r="P180" s="2928"/>
      <c r="Q180" s="2928"/>
      <c r="R180" s="768"/>
      <c r="S180" s="3854"/>
      <c r="T180" s="3855"/>
      <c r="U180" s="3855"/>
      <c r="V180" s="3855"/>
      <c r="W180" s="3856"/>
    </row>
    <row r="181" spans="1:493" ht="15.6" customHeight="1">
      <c r="B181" s="109" t="s">
        <v>711</v>
      </c>
      <c r="C181" s="3884"/>
      <c r="D181" s="3885"/>
      <c r="E181" s="3885"/>
      <c r="F181" s="3886"/>
      <c r="H181" s="2929"/>
      <c r="I181" s="2929"/>
      <c r="J181" s="2929"/>
      <c r="K181" s="2929"/>
      <c r="L181" s="2930"/>
      <c r="M181" s="2929"/>
      <c r="N181" s="2929"/>
      <c r="O181" s="2929"/>
      <c r="P181" s="2929"/>
      <c r="Q181" s="2929"/>
      <c r="R181" s="768"/>
      <c r="S181" s="3833"/>
      <c r="T181" s="3834"/>
      <c r="U181" s="3834"/>
      <c r="V181" s="3834"/>
      <c r="W181" s="3835"/>
    </row>
    <row r="182" spans="1:493" ht="15.6" customHeight="1">
      <c r="B182" s="109"/>
      <c r="C182" s="109" t="s">
        <v>894</v>
      </c>
      <c r="D182" s="109"/>
      <c r="E182" s="109"/>
      <c r="F182" s="109"/>
      <c r="H182" s="801">
        <f>SUM(H180:H181)</f>
        <v>0</v>
      </c>
      <c r="I182" s="801">
        <f>SUM(I180:I181)</f>
        <v>0</v>
      </c>
      <c r="J182" s="801">
        <f t="shared" ref="J182:Q182" si="381">SUM(J180:J181)</f>
        <v>0</v>
      </c>
      <c r="K182" s="801">
        <f t="shared" si="381"/>
        <v>0</v>
      </c>
      <c r="L182" s="801">
        <f t="shared" si="381"/>
        <v>0</v>
      </c>
      <c r="M182" s="801">
        <f t="shared" si="381"/>
        <v>0</v>
      </c>
      <c r="N182" s="801">
        <f t="shared" si="381"/>
        <v>0</v>
      </c>
      <c r="O182" s="801">
        <f t="shared" si="381"/>
        <v>0</v>
      </c>
      <c r="P182" s="801">
        <f t="shared" si="381"/>
        <v>0</v>
      </c>
      <c r="Q182" s="801">
        <f t="shared" si="381"/>
        <v>0</v>
      </c>
      <c r="R182" s="117"/>
      <c r="S182" s="3839"/>
      <c r="T182" s="3840"/>
      <c r="U182" s="3840"/>
      <c r="V182" s="3840"/>
      <c r="W182" s="3841"/>
      <c r="NP182" s="2850"/>
    </row>
    <row r="183" spans="1:493" ht="15.6" customHeight="1">
      <c r="B183" s="802" t="s">
        <v>3310</v>
      </c>
      <c r="C183" s="89"/>
      <c r="D183" s="89"/>
      <c r="E183" s="89"/>
      <c r="F183" s="89"/>
      <c r="H183" s="803"/>
      <c r="I183" s="89"/>
      <c r="J183" s="89"/>
      <c r="K183" s="89"/>
      <c r="L183" s="89"/>
      <c r="M183" s="89"/>
      <c r="N183" s="89"/>
      <c r="O183" s="89"/>
      <c r="P183" s="89"/>
      <c r="Q183" s="89"/>
      <c r="R183" s="8"/>
      <c r="S183" s="93" t="str">
        <f>B183</f>
        <v>NOT Included in Mgt Fee:</v>
      </c>
    </row>
    <row r="184" spans="1:493" ht="15.6" customHeight="1">
      <c r="B184" s="109" t="s">
        <v>507</v>
      </c>
      <c r="C184" s="109"/>
      <c r="D184" s="109"/>
      <c r="E184" s="109"/>
      <c r="F184" s="109"/>
      <c r="H184" s="2928"/>
      <c r="I184" s="2928"/>
      <c r="J184" s="2928"/>
      <c r="K184" s="2928"/>
      <c r="L184" s="2928"/>
      <c r="M184" s="2928"/>
      <c r="N184" s="2928"/>
      <c r="O184" s="2928"/>
      <c r="P184" s="2928"/>
      <c r="Q184" s="2928"/>
      <c r="R184" s="768"/>
      <c r="S184" s="3854"/>
      <c r="T184" s="3855"/>
      <c r="U184" s="3855"/>
      <c r="V184" s="3855"/>
      <c r="W184" s="3856"/>
    </row>
    <row r="185" spans="1:493" ht="15.6" customHeight="1">
      <c r="B185" s="109" t="s">
        <v>711</v>
      </c>
      <c r="C185" s="3884"/>
      <c r="D185" s="3885"/>
      <c r="E185" s="3885"/>
      <c r="F185" s="3886"/>
      <c r="H185" s="2929"/>
      <c r="I185" s="2929"/>
      <c r="J185" s="2929"/>
      <c r="K185" s="2929"/>
      <c r="L185" s="2930"/>
      <c r="M185" s="2929"/>
      <c r="N185" s="2929"/>
      <c r="O185" s="2929"/>
      <c r="P185" s="2929"/>
      <c r="Q185" s="2929"/>
      <c r="R185" s="768"/>
      <c r="S185" s="3833"/>
      <c r="T185" s="3834"/>
      <c r="U185" s="3834"/>
      <c r="V185" s="3834"/>
      <c r="W185" s="3835"/>
    </row>
    <row r="186" spans="1:493" ht="15.6" customHeight="1">
      <c r="B186" s="109"/>
      <c r="C186" s="109" t="s">
        <v>184</v>
      </c>
      <c r="D186" s="109"/>
      <c r="E186" s="109"/>
      <c r="F186" s="109"/>
      <c r="H186" s="801">
        <f>SUM(H184:H185)</f>
        <v>0</v>
      </c>
      <c r="I186" s="801">
        <f>SUM(I184:I185)</f>
        <v>0</v>
      </c>
      <c r="J186" s="801">
        <f t="shared" ref="J186:Q186" si="382">SUM(J184:J185)</f>
        <v>0</v>
      </c>
      <c r="K186" s="801">
        <f t="shared" si="382"/>
        <v>0</v>
      </c>
      <c r="L186" s="801">
        <f t="shared" si="382"/>
        <v>0</v>
      </c>
      <c r="M186" s="801">
        <f t="shared" si="382"/>
        <v>0</v>
      </c>
      <c r="N186" s="801">
        <f t="shared" si="382"/>
        <v>0</v>
      </c>
      <c r="O186" s="801">
        <f t="shared" si="382"/>
        <v>0</v>
      </c>
      <c r="P186" s="801">
        <f t="shared" si="382"/>
        <v>0</v>
      </c>
      <c r="Q186" s="801">
        <f t="shared" si="382"/>
        <v>0</v>
      </c>
      <c r="R186" s="117"/>
      <c r="S186" s="3839"/>
      <c r="T186" s="3840"/>
      <c r="U186" s="3840"/>
      <c r="V186" s="3840"/>
      <c r="W186" s="3841"/>
    </row>
    <row r="187" spans="1:493" ht="15.6" customHeight="1">
      <c r="B187" s="795"/>
      <c r="C187" s="89"/>
      <c r="D187" s="89"/>
      <c r="E187" s="89"/>
      <c r="F187" s="89"/>
      <c r="H187" s="803"/>
      <c r="I187" s="89"/>
      <c r="J187" s="89"/>
      <c r="K187" s="89"/>
      <c r="L187" s="89"/>
      <c r="M187" s="89"/>
      <c r="N187" s="89"/>
      <c r="O187" s="89"/>
      <c r="P187" s="89"/>
      <c r="Q187" s="89"/>
      <c r="R187" s="8"/>
    </row>
    <row r="188" spans="1:493" ht="15.6" customHeight="1">
      <c r="B188" s="798" t="s">
        <v>2182</v>
      </c>
      <c r="C188" s="89"/>
      <c r="D188" s="89"/>
      <c r="E188" s="89"/>
      <c r="F188" s="89"/>
      <c r="H188" s="799">
        <v>11</v>
      </c>
      <c r="I188" s="799">
        <v>12</v>
      </c>
      <c r="J188" s="799">
        <v>13</v>
      </c>
      <c r="K188" s="799">
        <v>14</v>
      </c>
      <c r="L188" s="799">
        <v>15</v>
      </c>
      <c r="M188" s="799">
        <v>16</v>
      </c>
      <c r="N188" s="799">
        <v>17</v>
      </c>
      <c r="O188" s="799">
        <v>18</v>
      </c>
      <c r="P188" s="799">
        <v>19</v>
      </c>
      <c r="Q188" s="799">
        <v>20</v>
      </c>
      <c r="S188" s="137" t="s">
        <v>2496</v>
      </c>
      <c r="T188" s="93" t="str">
        <f>B188</f>
        <v>Included in Mgt Fee:</v>
      </c>
    </row>
    <row r="189" spans="1:493" ht="15.6" customHeight="1">
      <c r="A189" s="82"/>
      <c r="B189" s="109" t="s">
        <v>978</v>
      </c>
      <c r="C189" s="109"/>
      <c r="D189" s="109"/>
      <c r="E189" s="109"/>
      <c r="F189" s="109"/>
      <c r="H189" s="2928"/>
      <c r="I189" s="2928"/>
      <c r="J189" s="2928"/>
      <c r="K189" s="2928"/>
      <c r="L189" s="2931"/>
      <c r="M189" s="2928"/>
      <c r="N189" s="2928"/>
      <c r="O189" s="2928"/>
      <c r="P189" s="2928"/>
      <c r="Q189" s="2928"/>
      <c r="R189" s="768"/>
      <c r="S189" s="3854"/>
      <c r="T189" s="3855"/>
      <c r="U189" s="3855"/>
      <c r="V189" s="3855"/>
      <c r="W189" s="3856"/>
      <c r="JW189" s="430"/>
      <c r="KB189" s="430"/>
      <c r="KG189" s="430"/>
      <c r="KL189" s="430"/>
      <c r="KM189" s="430"/>
      <c r="KN189" s="430"/>
      <c r="KO189" s="430"/>
      <c r="KP189" s="430"/>
      <c r="KQ189" s="430"/>
      <c r="KR189" s="430"/>
      <c r="KS189" s="430"/>
      <c r="KT189" s="430"/>
      <c r="KU189" s="430"/>
      <c r="KV189" s="430"/>
      <c r="KW189" s="430"/>
      <c r="KX189" s="430"/>
      <c r="KY189" s="430"/>
      <c r="KZ189" s="430"/>
      <c r="LA189" s="430"/>
      <c r="LB189" s="430"/>
      <c r="LC189" s="430"/>
      <c r="LD189" s="430"/>
      <c r="LE189" s="430"/>
      <c r="LF189" s="430"/>
      <c r="LG189" s="430"/>
      <c r="LN189" s="430"/>
      <c r="MD189" s="430"/>
      <c r="ME189" s="430"/>
      <c r="NC189" s="82"/>
      <c r="ND189" s="82"/>
      <c r="NE189" s="82"/>
      <c r="NF189" s="82"/>
      <c r="NG189" s="82"/>
      <c r="NH189" s="82"/>
      <c r="NI189" s="82"/>
      <c r="NJ189" s="82"/>
      <c r="NK189" s="82"/>
      <c r="NL189" s="82"/>
      <c r="NM189" s="82"/>
      <c r="NN189" s="82"/>
      <c r="NO189" s="82"/>
      <c r="NQ189" s="82"/>
      <c r="NR189" s="82"/>
      <c r="NS189" s="82"/>
      <c r="NT189" s="82"/>
      <c r="NU189" s="82"/>
      <c r="NV189" s="82"/>
      <c r="NW189" s="82"/>
      <c r="NX189" s="82"/>
      <c r="NY189" s="82"/>
      <c r="NZ189" s="82"/>
      <c r="OA189" s="82"/>
      <c r="OB189" s="82"/>
      <c r="OC189" s="82"/>
      <c r="OD189" s="82"/>
      <c r="OE189" s="82"/>
      <c r="OF189" s="82"/>
      <c r="OG189" s="82"/>
      <c r="OH189" s="82"/>
      <c r="OI189" s="82"/>
      <c r="OJ189" s="82"/>
      <c r="OK189" s="82"/>
      <c r="OL189" s="82"/>
      <c r="OM189" s="82"/>
      <c r="ON189" s="82"/>
      <c r="OO189" s="82"/>
      <c r="OP189" s="82"/>
      <c r="OQ189" s="82"/>
      <c r="OR189" s="82"/>
      <c r="OS189" s="82"/>
      <c r="OT189" s="82"/>
      <c r="OU189" s="82"/>
      <c r="OV189" s="82"/>
      <c r="OW189" s="82"/>
      <c r="OX189" s="82"/>
      <c r="OY189" s="82"/>
      <c r="OZ189" s="82"/>
      <c r="PA189" s="82"/>
      <c r="PB189" s="82"/>
      <c r="PC189" s="82"/>
      <c r="PD189" s="82"/>
      <c r="PE189" s="82"/>
      <c r="PF189" s="82"/>
      <c r="PG189" s="82"/>
      <c r="PH189" s="82"/>
      <c r="PI189" s="82"/>
      <c r="PJ189" s="82"/>
      <c r="PK189" s="82"/>
      <c r="PL189" s="82"/>
      <c r="PM189" s="82"/>
      <c r="PN189" s="82"/>
      <c r="PO189" s="82"/>
      <c r="PP189" s="82"/>
      <c r="PQ189" s="82"/>
      <c r="PR189" s="82"/>
      <c r="PS189" s="82"/>
      <c r="PT189" s="82"/>
      <c r="PU189" s="82"/>
      <c r="PV189" s="82"/>
      <c r="PW189" s="82"/>
      <c r="PX189" s="82"/>
      <c r="PY189" s="82"/>
      <c r="PZ189" s="82"/>
      <c r="QA189" s="82"/>
      <c r="QB189" s="82"/>
      <c r="QC189" s="82"/>
      <c r="QD189" s="82"/>
      <c r="QE189" s="82"/>
      <c r="QF189" s="82"/>
      <c r="QG189" s="82"/>
      <c r="QH189" s="82"/>
      <c r="QI189" s="82"/>
      <c r="QJ189" s="82"/>
      <c r="QK189" s="82"/>
      <c r="QL189" s="82"/>
      <c r="QM189" s="82"/>
      <c r="QN189" s="82"/>
      <c r="QO189" s="82"/>
      <c r="QP189" s="82"/>
      <c r="QQ189" s="82"/>
      <c r="QR189" s="82"/>
      <c r="QS189" s="82"/>
      <c r="QT189" s="82"/>
      <c r="QU189" s="82"/>
      <c r="QV189" s="82"/>
      <c r="QW189" s="82"/>
      <c r="QX189" s="82"/>
      <c r="QY189" s="82"/>
      <c r="QZ189" s="82"/>
      <c r="RA189" s="82"/>
      <c r="RB189" s="82"/>
      <c r="RC189" s="82"/>
      <c r="RD189" s="82"/>
      <c r="RE189" s="82"/>
      <c r="RF189" s="82"/>
      <c r="RG189" s="82"/>
      <c r="RH189" s="82"/>
      <c r="RI189" s="82"/>
      <c r="RJ189" s="82"/>
      <c r="RK189" s="82"/>
      <c r="RL189" s="82"/>
      <c r="RM189" s="82"/>
      <c r="RN189" s="82"/>
      <c r="RO189" s="82"/>
      <c r="RP189" s="82"/>
      <c r="RQ189" s="82"/>
      <c r="RR189" s="82"/>
      <c r="RS189" s="82"/>
      <c r="RT189" s="82"/>
      <c r="RU189" s="82"/>
      <c r="RV189" s="82"/>
      <c r="RW189" s="82"/>
      <c r="RX189" s="82"/>
      <c r="RY189" s="82"/>
    </row>
    <row r="190" spans="1:493" ht="15.6" customHeight="1">
      <c r="A190" s="82"/>
      <c r="B190" s="109" t="s">
        <v>711</v>
      </c>
      <c r="C190" s="3884"/>
      <c r="D190" s="3885"/>
      <c r="E190" s="3885"/>
      <c r="F190" s="3886"/>
      <c r="H190" s="2929"/>
      <c r="I190" s="2929"/>
      <c r="J190" s="2929"/>
      <c r="K190" s="2929"/>
      <c r="L190" s="2930"/>
      <c r="M190" s="2929"/>
      <c r="N190" s="2929"/>
      <c r="O190" s="2929"/>
      <c r="P190" s="2929"/>
      <c r="Q190" s="2929"/>
      <c r="R190" s="768"/>
      <c r="S190" s="3833"/>
      <c r="T190" s="3834"/>
      <c r="U190" s="3834"/>
      <c r="V190" s="3834"/>
      <c r="W190" s="3835"/>
      <c r="JW190" s="430"/>
      <c r="KB190" s="430"/>
      <c r="KG190" s="430"/>
      <c r="KL190" s="430"/>
      <c r="KM190" s="430"/>
      <c r="KN190" s="430"/>
      <c r="KO190" s="430"/>
      <c r="KP190" s="430"/>
      <c r="KQ190" s="430"/>
      <c r="KR190" s="430"/>
      <c r="KS190" s="430"/>
      <c r="KT190" s="430"/>
      <c r="KU190" s="430"/>
      <c r="KV190" s="430"/>
      <c r="KW190" s="430"/>
      <c r="KX190" s="430"/>
      <c r="KY190" s="430"/>
      <c r="KZ190" s="430"/>
      <c r="LA190" s="430"/>
      <c r="LB190" s="430"/>
      <c r="LC190" s="430"/>
      <c r="LD190" s="430"/>
      <c r="LE190" s="430"/>
      <c r="LF190" s="430"/>
      <c r="LG190" s="430"/>
      <c r="LN190" s="430"/>
      <c r="MD190" s="430"/>
      <c r="ME190" s="430"/>
      <c r="NC190" s="82"/>
      <c r="ND190" s="82"/>
      <c r="NE190" s="82"/>
      <c r="NF190" s="82"/>
      <c r="NG190" s="82"/>
      <c r="NH190" s="82"/>
      <c r="NI190" s="82"/>
      <c r="NJ190" s="82"/>
      <c r="NK190" s="82"/>
      <c r="NL190" s="82"/>
      <c r="NM190" s="82"/>
      <c r="NN190" s="82"/>
      <c r="NO190" s="82"/>
      <c r="NQ190" s="82"/>
      <c r="NR190" s="82"/>
      <c r="NS190" s="82"/>
      <c r="NT190" s="82"/>
      <c r="NU190" s="82"/>
      <c r="NV190" s="82"/>
      <c r="NW190" s="82"/>
      <c r="NX190" s="82"/>
      <c r="NY190" s="82"/>
      <c r="NZ190" s="82"/>
      <c r="OA190" s="82"/>
      <c r="OB190" s="82"/>
      <c r="OC190" s="82"/>
      <c r="OD190" s="82"/>
      <c r="OE190" s="82"/>
      <c r="OF190" s="82"/>
      <c r="OG190" s="82"/>
      <c r="OH190" s="82"/>
      <c r="OI190" s="82"/>
      <c r="OJ190" s="82"/>
      <c r="OK190" s="82"/>
      <c r="OL190" s="82"/>
      <c r="OM190" s="82"/>
      <c r="ON190" s="82"/>
      <c r="OO190" s="82"/>
      <c r="OP190" s="82"/>
      <c r="OQ190" s="82"/>
      <c r="OR190" s="82"/>
      <c r="OS190" s="82"/>
      <c r="OT190" s="82"/>
      <c r="OU190" s="82"/>
      <c r="OV190" s="82"/>
      <c r="OW190" s="82"/>
      <c r="OX190" s="82"/>
      <c r="OY190" s="82"/>
      <c r="OZ190" s="82"/>
      <c r="PA190" s="82"/>
      <c r="PB190" s="82"/>
      <c r="PC190" s="82"/>
      <c r="PD190" s="82"/>
      <c r="PE190" s="82"/>
      <c r="PF190" s="82"/>
      <c r="PG190" s="82"/>
      <c r="PH190" s="82"/>
      <c r="PI190" s="82"/>
      <c r="PJ190" s="82"/>
      <c r="PK190" s="82"/>
      <c r="PL190" s="82"/>
      <c r="PM190" s="82"/>
      <c r="PN190" s="82"/>
      <c r="PO190" s="82"/>
      <c r="PP190" s="82"/>
      <c r="PQ190" s="82"/>
      <c r="PR190" s="82"/>
      <c r="PS190" s="82"/>
      <c r="PT190" s="82"/>
      <c r="PU190" s="82"/>
      <c r="PV190" s="82"/>
      <c r="PW190" s="82"/>
      <c r="PX190" s="82"/>
      <c r="PY190" s="82"/>
      <c r="PZ190" s="82"/>
      <c r="QA190" s="82"/>
      <c r="QB190" s="82"/>
      <c r="QC190" s="82"/>
      <c r="QD190" s="82"/>
      <c r="QE190" s="82"/>
      <c r="QF190" s="82"/>
      <c r="QG190" s="82"/>
      <c r="QH190" s="82"/>
      <c r="QI190" s="82"/>
      <c r="QJ190" s="82"/>
      <c r="QK190" s="82"/>
      <c r="QL190" s="82"/>
      <c r="QM190" s="82"/>
      <c r="QN190" s="82"/>
      <c r="QO190" s="82"/>
      <c r="QP190" s="82"/>
      <c r="QQ190" s="82"/>
      <c r="QR190" s="82"/>
      <c r="QS190" s="82"/>
      <c r="QT190" s="82"/>
      <c r="QU190" s="82"/>
      <c r="QV190" s="82"/>
      <c r="QW190" s="82"/>
      <c r="QX190" s="82"/>
      <c r="QY190" s="82"/>
      <c r="QZ190" s="82"/>
      <c r="RA190" s="82"/>
      <c r="RB190" s="82"/>
      <c r="RC190" s="82"/>
      <c r="RD190" s="82"/>
      <c r="RE190" s="82"/>
      <c r="RF190" s="82"/>
      <c r="RG190" s="82"/>
      <c r="RH190" s="82"/>
      <c r="RI190" s="82"/>
      <c r="RJ190" s="82"/>
      <c r="RK190" s="82"/>
      <c r="RL190" s="82"/>
      <c r="RM190" s="82"/>
      <c r="RN190" s="82"/>
      <c r="RO190" s="82"/>
      <c r="RP190" s="82"/>
      <c r="RQ190" s="82"/>
      <c r="RR190" s="82"/>
      <c r="RS190" s="82"/>
      <c r="RT190" s="82"/>
      <c r="RU190" s="82"/>
      <c r="RV190" s="82"/>
      <c r="RW190" s="82"/>
      <c r="RX190" s="82"/>
      <c r="RY190" s="82"/>
    </row>
    <row r="191" spans="1:493" ht="15.6" customHeight="1">
      <c r="A191" s="82"/>
      <c r="B191" s="109"/>
      <c r="C191" s="109" t="s">
        <v>894</v>
      </c>
      <c r="D191" s="109"/>
      <c r="E191" s="109"/>
      <c r="F191" s="109"/>
      <c r="H191" s="801">
        <f>SUM(H189:H190)</f>
        <v>0</v>
      </c>
      <c r="I191" s="801">
        <f>SUM(I189:I190)</f>
        <v>0</v>
      </c>
      <c r="J191" s="801">
        <f t="shared" ref="J191:Q191" si="383">SUM(J189:J190)</f>
        <v>0</v>
      </c>
      <c r="K191" s="801">
        <f t="shared" si="383"/>
        <v>0</v>
      </c>
      <c r="L191" s="801">
        <f t="shared" si="383"/>
        <v>0</v>
      </c>
      <c r="M191" s="801">
        <f t="shared" si="383"/>
        <v>0</v>
      </c>
      <c r="N191" s="801">
        <f t="shared" si="383"/>
        <v>0</v>
      </c>
      <c r="O191" s="801">
        <f t="shared" si="383"/>
        <v>0</v>
      </c>
      <c r="P191" s="801">
        <f t="shared" si="383"/>
        <v>0</v>
      </c>
      <c r="Q191" s="801">
        <f t="shared" si="383"/>
        <v>0</v>
      </c>
      <c r="R191" s="117"/>
      <c r="S191" s="3839"/>
      <c r="T191" s="3840"/>
      <c r="U191" s="3840"/>
      <c r="V191" s="3840"/>
      <c r="W191" s="3841"/>
      <c r="JW191" s="430"/>
      <c r="KB191" s="430"/>
      <c r="KG191" s="430"/>
      <c r="KL191" s="430"/>
      <c r="KM191" s="430"/>
      <c r="KN191" s="430"/>
      <c r="KO191" s="430"/>
      <c r="KP191" s="430"/>
      <c r="KQ191" s="430"/>
      <c r="KR191" s="430"/>
      <c r="KS191" s="430"/>
      <c r="KT191" s="430"/>
      <c r="KU191" s="430"/>
      <c r="KV191" s="430"/>
      <c r="KW191" s="430"/>
      <c r="KX191" s="430"/>
      <c r="KY191" s="430"/>
      <c r="KZ191" s="430"/>
      <c r="LA191" s="430"/>
      <c r="LB191" s="430"/>
      <c r="LC191" s="430"/>
      <c r="LD191" s="430"/>
      <c r="LE191" s="430"/>
      <c r="LF191" s="430"/>
      <c r="LG191" s="430"/>
      <c r="LN191" s="430"/>
      <c r="MD191" s="430"/>
      <c r="ME191" s="430"/>
      <c r="NC191" s="82"/>
      <c r="ND191" s="82"/>
      <c r="NE191" s="82"/>
      <c r="NF191" s="82"/>
      <c r="NG191" s="82"/>
      <c r="NH191" s="82"/>
      <c r="NI191" s="82"/>
      <c r="NJ191" s="82"/>
      <c r="NK191" s="82"/>
      <c r="NL191" s="82"/>
      <c r="NM191" s="82"/>
      <c r="NN191" s="82"/>
      <c r="NO191" s="82"/>
      <c r="NQ191" s="82"/>
      <c r="NR191" s="82"/>
      <c r="NS191" s="82"/>
      <c r="NT191" s="82"/>
      <c r="NU191" s="82"/>
      <c r="NV191" s="82"/>
      <c r="NW191" s="82"/>
      <c r="NX191" s="82"/>
      <c r="NY191" s="82"/>
      <c r="NZ191" s="82"/>
      <c r="OA191" s="82"/>
      <c r="OB191" s="82"/>
      <c r="OC191" s="82"/>
      <c r="OD191" s="82"/>
      <c r="OE191" s="82"/>
      <c r="OF191" s="82"/>
      <c r="OG191" s="82"/>
      <c r="OH191" s="82"/>
      <c r="OI191" s="82"/>
      <c r="OJ191" s="82"/>
      <c r="OK191" s="82"/>
      <c r="OL191" s="82"/>
      <c r="OM191" s="82"/>
      <c r="ON191" s="82"/>
      <c r="OO191" s="82"/>
      <c r="OP191" s="82"/>
      <c r="OQ191" s="82"/>
      <c r="OR191" s="82"/>
      <c r="OS191" s="82"/>
      <c r="OT191" s="82"/>
      <c r="OU191" s="82"/>
      <c r="OV191" s="82"/>
      <c r="OW191" s="82"/>
      <c r="OX191" s="82"/>
      <c r="OY191" s="82"/>
      <c r="OZ191" s="82"/>
      <c r="PA191" s="82"/>
      <c r="PB191" s="82"/>
      <c r="PC191" s="82"/>
      <c r="PD191" s="82"/>
      <c r="PE191" s="82"/>
      <c r="PF191" s="82"/>
      <c r="PG191" s="82"/>
      <c r="PH191" s="82"/>
      <c r="PI191" s="82"/>
      <c r="PJ191" s="82"/>
      <c r="PK191" s="82"/>
      <c r="PL191" s="82"/>
      <c r="PM191" s="82"/>
      <c r="PN191" s="82"/>
      <c r="PO191" s="82"/>
      <c r="PP191" s="82"/>
      <c r="PQ191" s="82"/>
      <c r="PR191" s="82"/>
      <c r="PS191" s="82"/>
      <c r="PT191" s="82"/>
      <c r="PU191" s="82"/>
      <c r="PV191" s="82"/>
      <c r="PW191" s="82"/>
      <c r="PX191" s="82"/>
      <c r="PY191" s="82"/>
      <c r="PZ191" s="82"/>
      <c r="QA191" s="82"/>
      <c r="QB191" s="82"/>
      <c r="QC191" s="82"/>
      <c r="QD191" s="82"/>
      <c r="QE191" s="82"/>
      <c r="QF191" s="82"/>
      <c r="QG191" s="82"/>
      <c r="QH191" s="82"/>
      <c r="QI191" s="82"/>
      <c r="QJ191" s="82"/>
      <c r="QK191" s="82"/>
      <c r="QL191" s="82"/>
      <c r="QM191" s="82"/>
      <c r="QN191" s="82"/>
      <c r="QO191" s="82"/>
      <c r="QP191" s="82"/>
      <c r="QQ191" s="82"/>
      <c r="QR191" s="82"/>
      <c r="QS191" s="82"/>
      <c r="QT191" s="82"/>
      <c r="QU191" s="82"/>
      <c r="QV191" s="82"/>
      <c r="QW191" s="82"/>
      <c r="QX191" s="82"/>
      <c r="QY191" s="82"/>
      <c r="QZ191" s="82"/>
      <c r="RA191" s="82"/>
      <c r="RB191" s="82"/>
      <c r="RC191" s="82"/>
      <c r="RD191" s="82"/>
      <c r="RE191" s="82"/>
      <c r="RF191" s="82"/>
      <c r="RG191" s="82"/>
      <c r="RH191" s="82"/>
      <c r="RI191" s="82"/>
      <c r="RJ191" s="82"/>
      <c r="RK191" s="82"/>
      <c r="RL191" s="82"/>
      <c r="RM191" s="82"/>
      <c r="RN191" s="82"/>
      <c r="RO191" s="82"/>
      <c r="RP191" s="82"/>
      <c r="RQ191" s="82"/>
      <c r="RR191" s="82"/>
      <c r="RS191" s="82"/>
      <c r="RT191" s="82"/>
      <c r="RU191" s="82"/>
      <c r="RV191" s="82"/>
      <c r="RW191" s="82"/>
      <c r="RX191" s="82"/>
      <c r="RY191" s="82"/>
    </row>
    <row r="192" spans="1:493" ht="15.6" customHeight="1">
      <c r="A192" s="82"/>
      <c r="B192" s="802" t="s">
        <v>3310</v>
      </c>
      <c r="C192" s="89"/>
      <c r="D192" s="89"/>
      <c r="E192" s="89"/>
      <c r="F192" s="89"/>
      <c r="H192" s="803"/>
      <c r="I192" s="89"/>
      <c r="J192" s="89"/>
      <c r="K192" s="89"/>
      <c r="L192" s="89"/>
      <c r="M192" s="89"/>
      <c r="N192" s="89"/>
      <c r="O192" s="89"/>
      <c r="P192" s="89"/>
      <c r="Q192" s="89"/>
      <c r="R192" s="8"/>
      <c r="S192" s="93" t="str">
        <f>B192</f>
        <v>NOT Included in Mgt Fee:</v>
      </c>
      <c r="JW192" s="430"/>
      <c r="KB192" s="430"/>
      <c r="KG192" s="430"/>
      <c r="KL192" s="430"/>
      <c r="KM192" s="430"/>
      <c r="KN192" s="430"/>
      <c r="KO192" s="430"/>
      <c r="KP192" s="430"/>
      <c r="KQ192" s="430"/>
      <c r="KR192" s="430"/>
      <c r="KS192" s="430"/>
      <c r="KT192" s="430"/>
      <c r="KU192" s="430"/>
      <c r="KV192" s="430"/>
      <c r="KW192" s="430"/>
      <c r="KX192" s="430"/>
      <c r="KY192" s="430"/>
      <c r="KZ192" s="430"/>
      <c r="LA192" s="430"/>
      <c r="LB192" s="430"/>
      <c r="LC192" s="430"/>
      <c r="LD192" s="430"/>
      <c r="LE192" s="430"/>
      <c r="LF192" s="430"/>
      <c r="LG192" s="430"/>
      <c r="LN192" s="430"/>
      <c r="MD192" s="430"/>
      <c r="ME192" s="430"/>
      <c r="NC192" s="82"/>
      <c r="ND192" s="82"/>
      <c r="NE192" s="82"/>
      <c r="NF192" s="82"/>
      <c r="NG192" s="82"/>
      <c r="NH192" s="82"/>
      <c r="NI192" s="82"/>
      <c r="NJ192" s="82"/>
      <c r="NK192" s="82"/>
      <c r="NL192" s="82"/>
      <c r="NM192" s="82"/>
      <c r="NN192" s="82"/>
      <c r="NO192" s="82"/>
      <c r="NQ192" s="82"/>
      <c r="NR192" s="82"/>
      <c r="NS192" s="82"/>
      <c r="NT192" s="82"/>
      <c r="NU192" s="82"/>
      <c r="NV192" s="82"/>
      <c r="NW192" s="82"/>
      <c r="NX192" s="82"/>
      <c r="NY192" s="82"/>
      <c r="NZ192" s="82"/>
      <c r="OA192" s="82"/>
      <c r="OB192" s="82"/>
      <c r="OC192" s="82"/>
      <c r="OD192" s="82"/>
      <c r="OE192" s="82"/>
      <c r="OF192" s="82"/>
      <c r="OG192" s="82"/>
      <c r="OH192" s="82"/>
      <c r="OI192" s="82"/>
      <c r="OJ192" s="82"/>
      <c r="OK192" s="82"/>
      <c r="OL192" s="82"/>
      <c r="OM192" s="82"/>
      <c r="ON192" s="82"/>
      <c r="OO192" s="82"/>
      <c r="OP192" s="82"/>
      <c r="OQ192" s="82"/>
      <c r="OR192" s="82"/>
      <c r="OS192" s="82"/>
      <c r="OT192" s="82"/>
      <c r="OU192" s="82"/>
      <c r="OV192" s="82"/>
      <c r="OW192" s="82"/>
      <c r="OX192" s="82"/>
      <c r="OY192" s="82"/>
      <c r="OZ192" s="82"/>
      <c r="PA192" s="82"/>
      <c r="PB192" s="82"/>
      <c r="PC192" s="82"/>
      <c r="PD192" s="82"/>
      <c r="PE192" s="82"/>
      <c r="PF192" s="82"/>
      <c r="PG192" s="82"/>
      <c r="PH192" s="82"/>
      <c r="PI192" s="82"/>
      <c r="PJ192" s="82"/>
      <c r="PK192" s="82"/>
      <c r="PL192" s="82"/>
      <c r="PM192" s="82"/>
      <c r="PN192" s="82"/>
      <c r="PO192" s="82"/>
      <c r="PP192" s="82"/>
      <c r="PQ192" s="82"/>
      <c r="PR192" s="82"/>
      <c r="PS192" s="82"/>
      <c r="PT192" s="82"/>
      <c r="PU192" s="82"/>
      <c r="PV192" s="82"/>
      <c r="PW192" s="82"/>
      <c r="PX192" s="82"/>
      <c r="PY192" s="82"/>
      <c r="PZ192" s="82"/>
      <c r="QA192" s="82"/>
      <c r="QB192" s="82"/>
      <c r="QC192" s="82"/>
      <c r="QD192" s="82"/>
      <c r="QE192" s="82"/>
      <c r="QF192" s="82"/>
      <c r="QG192" s="82"/>
      <c r="QH192" s="82"/>
      <c r="QI192" s="82"/>
      <c r="QJ192" s="82"/>
      <c r="QK192" s="82"/>
      <c r="QL192" s="82"/>
      <c r="QM192" s="82"/>
      <c r="QN192" s="82"/>
      <c r="QO192" s="82"/>
      <c r="QP192" s="82"/>
      <c r="QQ192" s="82"/>
      <c r="QR192" s="82"/>
      <c r="QS192" s="82"/>
      <c r="QT192" s="82"/>
      <c r="QU192" s="82"/>
      <c r="QV192" s="82"/>
      <c r="QW192" s="82"/>
      <c r="QX192" s="82"/>
      <c r="QY192" s="82"/>
      <c r="QZ192" s="82"/>
      <c r="RA192" s="82"/>
      <c r="RB192" s="82"/>
      <c r="RC192" s="82"/>
      <c r="RD192" s="82"/>
      <c r="RE192" s="82"/>
      <c r="RF192" s="82"/>
      <c r="RG192" s="82"/>
      <c r="RH192" s="82"/>
      <c r="RI192" s="82"/>
      <c r="RJ192" s="82"/>
      <c r="RK192" s="82"/>
      <c r="RL192" s="82"/>
      <c r="RM192" s="82"/>
      <c r="RN192" s="82"/>
      <c r="RO192" s="82"/>
      <c r="RP192" s="82"/>
      <c r="RQ192" s="82"/>
      <c r="RR192" s="82"/>
      <c r="RS192" s="82"/>
      <c r="RT192" s="82"/>
      <c r="RU192" s="82"/>
      <c r="RV192" s="82"/>
      <c r="RW192" s="82"/>
      <c r="RX192" s="82"/>
      <c r="RY192" s="82"/>
    </row>
    <row r="193" spans="1:493" ht="15.6" customHeight="1">
      <c r="A193" s="82"/>
      <c r="B193" s="109" t="s">
        <v>507</v>
      </c>
      <c r="C193" s="109"/>
      <c r="D193" s="109"/>
      <c r="E193" s="109"/>
      <c r="F193" s="109"/>
      <c r="H193" s="2928"/>
      <c r="I193" s="2928"/>
      <c r="J193" s="2928"/>
      <c r="K193" s="2928"/>
      <c r="L193" s="2931"/>
      <c r="M193" s="2928"/>
      <c r="N193" s="2928"/>
      <c r="O193" s="2928"/>
      <c r="P193" s="2928"/>
      <c r="Q193" s="2928"/>
      <c r="R193" s="768"/>
      <c r="S193" s="3854"/>
      <c r="T193" s="3855"/>
      <c r="U193" s="3855"/>
      <c r="V193" s="3855"/>
      <c r="W193" s="3856"/>
      <c r="JW193" s="430"/>
      <c r="KB193" s="430"/>
      <c r="KG193" s="430"/>
      <c r="KL193" s="430"/>
      <c r="KM193" s="430"/>
      <c r="KN193" s="430"/>
      <c r="KO193" s="430"/>
      <c r="KP193" s="430"/>
      <c r="KQ193" s="430"/>
      <c r="KR193" s="430"/>
      <c r="KS193" s="430"/>
      <c r="KT193" s="430"/>
      <c r="KU193" s="430"/>
      <c r="KV193" s="430"/>
      <c r="KW193" s="430"/>
      <c r="KX193" s="430"/>
      <c r="KY193" s="430"/>
      <c r="KZ193" s="430"/>
      <c r="LA193" s="430"/>
      <c r="LB193" s="430"/>
      <c r="LC193" s="430"/>
      <c r="LD193" s="430"/>
      <c r="LE193" s="430"/>
      <c r="LF193" s="430"/>
      <c r="LG193" s="430"/>
      <c r="LN193" s="430"/>
      <c r="MD193" s="430"/>
      <c r="ME193" s="430"/>
      <c r="NC193" s="82"/>
      <c r="ND193" s="82"/>
      <c r="NE193" s="82"/>
      <c r="NF193" s="82"/>
      <c r="NG193" s="82"/>
      <c r="NH193" s="82"/>
      <c r="NI193" s="82"/>
      <c r="NJ193" s="82"/>
      <c r="NK193" s="82"/>
      <c r="NL193" s="82"/>
      <c r="NM193" s="82"/>
      <c r="NN193" s="82"/>
      <c r="NO193" s="82"/>
      <c r="NQ193" s="82"/>
      <c r="NR193" s="82"/>
      <c r="NS193" s="82"/>
      <c r="NT193" s="82"/>
      <c r="NU193" s="82"/>
      <c r="NV193" s="82"/>
      <c r="NW193" s="82"/>
      <c r="NX193" s="82"/>
      <c r="NY193" s="82"/>
      <c r="NZ193" s="82"/>
      <c r="OA193" s="82"/>
      <c r="OB193" s="82"/>
      <c r="OC193" s="82"/>
      <c r="OD193" s="82"/>
      <c r="OE193" s="82"/>
      <c r="OF193" s="82"/>
      <c r="OG193" s="82"/>
      <c r="OH193" s="82"/>
      <c r="OI193" s="82"/>
      <c r="OJ193" s="82"/>
      <c r="OK193" s="82"/>
      <c r="OL193" s="82"/>
      <c r="OM193" s="82"/>
      <c r="ON193" s="82"/>
      <c r="OO193" s="82"/>
      <c r="OP193" s="82"/>
      <c r="OQ193" s="82"/>
      <c r="OR193" s="82"/>
      <c r="OS193" s="82"/>
      <c r="OT193" s="82"/>
      <c r="OU193" s="82"/>
      <c r="OV193" s="82"/>
      <c r="OW193" s="82"/>
      <c r="OX193" s="82"/>
      <c r="OY193" s="82"/>
      <c r="OZ193" s="82"/>
      <c r="PA193" s="82"/>
      <c r="PB193" s="82"/>
      <c r="PC193" s="82"/>
      <c r="PD193" s="82"/>
      <c r="PE193" s="82"/>
      <c r="PF193" s="82"/>
      <c r="PG193" s="82"/>
      <c r="PH193" s="82"/>
      <c r="PI193" s="82"/>
      <c r="PJ193" s="82"/>
      <c r="PK193" s="82"/>
      <c r="PL193" s="82"/>
      <c r="PM193" s="82"/>
      <c r="PN193" s="82"/>
      <c r="PO193" s="82"/>
      <c r="PP193" s="82"/>
      <c r="PQ193" s="82"/>
      <c r="PR193" s="82"/>
      <c r="PS193" s="82"/>
      <c r="PT193" s="82"/>
      <c r="PU193" s="82"/>
      <c r="PV193" s="82"/>
      <c r="PW193" s="82"/>
      <c r="PX193" s="82"/>
      <c r="PY193" s="82"/>
      <c r="PZ193" s="82"/>
      <c r="QA193" s="82"/>
      <c r="QB193" s="82"/>
      <c r="QC193" s="82"/>
      <c r="QD193" s="82"/>
      <c r="QE193" s="82"/>
      <c r="QF193" s="82"/>
      <c r="QG193" s="82"/>
      <c r="QH193" s="82"/>
      <c r="QI193" s="82"/>
      <c r="QJ193" s="82"/>
      <c r="QK193" s="82"/>
      <c r="QL193" s="82"/>
      <c r="QM193" s="82"/>
      <c r="QN193" s="82"/>
      <c r="QO193" s="82"/>
      <c r="QP193" s="82"/>
      <c r="QQ193" s="82"/>
      <c r="QR193" s="82"/>
      <c r="QS193" s="82"/>
      <c r="QT193" s="82"/>
      <c r="QU193" s="82"/>
      <c r="QV193" s="82"/>
      <c r="QW193" s="82"/>
      <c r="QX193" s="82"/>
      <c r="QY193" s="82"/>
      <c r="QZ193" s="82"/>
      <c r="RA193" s="82"/>
      <c r="RB193" s="82"/>
      <c r="RC193" s="82"/>
      <c r="RD193" s="82"/>
      <c r="RE193" s="82"/>
      <c r="RF193" s="82"/>
      <c r="RG193" s="82"/>
      <c r="RH193" s="82"/>
      <c r="RI193" s="82"/>
      <c r="RJ193" s="82"/>
      <c r="RK193" s="82"/>
      <c r="RL193" s="82"/>
      <c r="RM193" s="82"/>
      <c r="RN193" s="82"/>
      <c r="RO193" s="82"/>
      <c r="RP193" s="82"/>
      <c r="RQ193" s="82"/>
      <c r="RR193" s="82"/>
      <c r="RS193" s="82"/>
      <c r="RT193" s="82"/>
      <c r="RU193" s="82"/>
      <c r="RV193" s="82"/>
      <c r="RW193" s="82"/>
      <c r="RX193" s="82"/>
      <c r="RY193" s="82"/>
    </row>
    <row r="194" spans="1:493" ht="15.6" customHeight="1">
      <c r="A194" s="82"/>
      <c r="B194" s="109" t="s">
        <v>711</v>
      </c>
      <c r="C194" s="3884"/>
      <c r="D194" s="3885"/>
      <c r="E194" s="3885"/>
      <c r="F194" s="3886"/>
      <c r="H194" s="2929"/>
      <c r="I194" s="2929"/>
      <c r="J194" s="2929"/>
      <c r="K194" s="2929"/>
      <c r="L194" s="2930"/>
      <c r="M194" s="2929"/>
      <c r="N194" s="2929"/>
      <c r="O194" s="2929"/>
      <c r="P194" s="2929"/>
      <c r="Q194" s="2929"/>
      <c r="R194" s="768"/>
      <c r="S194" s="3833"/>
      <c r="T194" s="3834"/>
      <c r="U194" s="3834"/>
      <c r="V194" s="3834"/>
      <c r="W194" s="3835"/>
      <c r="JW194" s="430"/>
      <c r="KB194" s="430"/>
      <c r="KG194" s="430"/>
      <c r="KL194" s="430"/>
      <c r="KM194" s="430"/>
      <c r="KN194" s="430"/>
      <c r="KO194" s="430"/>
      <c r="KP194" s="430"/>
      <c r="KQ194" s="430"/>
      <c r="KR194" s="430"/>
      <c r="KS194" s="430"/>
      <c r="KT194" s="430"/>
      <c r="KU194" s="430"/>
      <c r="KV194" s="430"/>
      <c r="KW194" s="430"/>
      <c r="KX194" s="430"/>
      <c r="KY194" s="430"/>
      <c r="KZ194" s="430"/>
      <c r="LA194" s="430"/>
      <c r="LB194" s="430"/>
      <c r="LC194" s="430"/>
      <c r="LD194" s="430"/>
      <c r="LE194" s="430"/>
      <c r="LF194" s="430"/>
      <c r="LG194" s="430"/>
      <c r="LN194" s="430"/>
      <c r="MD194" s="430"/>
      <c r="ME194" s="430"/>
      <c r="NC194" s="82"/>
      <c r="ND194" s="82"/>
      <c r="NE194" s="82"/>
      <c r="NF194" s="82"/>
      <c r="NG194" s="82"/>
      <c r="NH194" s="82"/>
      <c r="NI194" s="82"/>
      <c r="NJ194" s="82"/>
      <c r="NK194" s="82"/>
      <c r="NL194" s="82"/>
      <c r="NM194" s="82"/>
      <c r="NN194" s="82"/>
      <c r="NO194" s="82"/>
      <c r="NQ194" s="82"/>
      <c r="NR194" s="82"/>
      <c r="NS194" s="82"/>
      <c r="NT194" s="82"/>
      <c r="NU194" s="82"/>
      <c r="NV194" s="82"/>
      <c r="NW194" s="82"/>
      <c r="NX194" s="82"/>
      <c r="NY194" s="82"/>
      <c r="NZ194" s="82"/>
      <c r="OA194" s="82"/>
      <c r="OB194" s="82"/>
      <c r="OC194" s="82"/>
      <c r="OD194" s="82"/>
      <c r="OE194" s="82"/>
      <c r="OF194" s="82"/>
      <c r="OG194" s="82"/>
      <c r="OH194" s="82"/>
      <c r="OI194" s="82"/>
      <c r="OJ194" s="82"/>
      <c r="OK194" s="82"/>
      <c r="OL194" s="82"/>
      <c r="OM194" s="82"/>
      <c r="ON194" s="82"/>
      <c r="OO194" s="82"/>
      <c r="OP194" s="82"/>
      <c r="OQ194" s="82"/>
      <c r="OR194" s="82"/>
      <c r="OS194" s="82"/>
      <c r="OT194" s="82"/>
      <c r="OU194" s="82"/>
      <c r="OV194" s="82"/>
      <c r="OW194" s="82"/>
      <c r="OX194" s="82"/>
      <c r="OY194" s="82"/>
      <c r="OZ194" s="82"/>
      <c r="PA194" s="82"/>
      <c r="PB194" s="82"/>
      <c r="PC194" s="82"/>
      <c r="PD194" s="82"/>
      <c r="PE194" s="82"/>
      <c r="PF194" s="82"/>
      <c r="PG194" s="82"/>
      <c r="PH194" s="82"/>
      <c r="PI194" s="82"/>
      <c r="PJ194" s="82"/>
      <c r="PK194" s="82"/>
      <c r="PL194" s="82"/>
      <c r="PM194" s="82"/>
      <c r="PN194" s="82"/>
      <c r="PO194" s="82"/>
      <c r="PP194" s="82"/>
      <c r="PQ194" s="82"/>
      <c r="PR194" s="82"/>
      <c r="PS194" s="82"/>
      <c r="PT194" s="82"/>
      <c r="PU194" s="82"/>
      <c r="PV194" s="82"/>
      <c r="PW194" s="82"/>
      <c r="PX194" s="82"/>
      <c r="PY194" s="82"/>
      <c r="PZ194" s="82"/>
      <c r="QA194" s="82"/>
      <c r="QB194" s="82"/>
      <c r="QC194" s="82"/>
      <c r="QD194" s="82"/>
      <c r="QE194" s="82"/>
      <c r="QF194" s="82"/>
      <c r="QG194" s="82"/>
      <c r="QH194" s="82"/>
      <c r="QI194" s="82"/>
      <c r="QJ194" s="82"/>
      <c r="QK194" s="82"/>
      <c r="QL194" s="82"/>
      <c r="QM194" s="82"/>
      <c r="QN194" s="82"/>
      <c r="QO194" s="82"/>
      <c r="QP194" s="82"/>
      <c r="QQ194" s="82"/>
      <c r="QR194" s="82"/>
      <c r="QS194" s="82"/>
      <c r="QT194" s="82"/>
      <c r="QU194" s="82"/>
      <c r="QV194" s="82"/>
      <c r="QW194" s="82"/>
      <c r="QX194" s="82"/>
      <c r="QY194" s="82"/>
      <c r="QZ194" s="82"/>
      <c r="RA194" s="82"/>
      <c r="RB194" s="82"/>
      <c r="RC194" s="82"/>
      <c r="RD194" s="82"/>
      <c r="RE194" s="82"/>
      <c r="RF194" s="82"/>
      <c r="RG194" s="82"/>
      <c r="RH194" s="82"/>
      <c r="RI194" s="82"/>
      <c r="RJ194" s="82"/>
      <c r="RK194" s="82"/>
      <c r="RL194" s="82"/>
      <c r="RM194" s="82"/>
      <c r="RN194" s="82"/>
      <c r="RO194" s="82"/>
      <c r="RP194" s="82"/>
      <c r="RQ194" s="82"/>
      <c r="RR194" s="82"/>
      <c r="RS194" s="82"/>
      <c r="RT194" s="82"/>
      <c r="RU194" s="82"/>
      <c r="RV194" s="82"/>
      <c r="RW194" s="82"/>
      <c r="RX194" s="82"/>
      <c r="RY194" s="82"/>
    </row>
    <row r="195" spans="1:493" ht="15.6" customHeight="1">
      <c r="A195" s="82"/>
      <c r="B195" s="109"/>
      <c r="C195" s="109" t="s">
        <v>184</v>
      </c>
      <c r="D195" s="109"/>
      <c r="E195" s="109"/>
      <c r="F195" s="109"/>
      <c r="H195" s="801">
        <f>SUM(H193:H194)</f>
        <v>0</v>
      </c>
      <c r="I195" s="801">
        <f>SUM(I193:I194)</f>
        <v>0</v>
      </c>
      <c r="J195" s="801">
        <f t="shared" ref="J195:Q195" si="384">SUM(J193:J194)</f>
        <v>0</v>
      </c>
      <c r="K195" s="801">
        <f t="shared" si="384"/>
        <v>0</v>
      </c>
      <c r="L195" s="801">
        <f t="shared" si="384"/>
        <v>0</v>
      </c>
      <c r="M195" s="801">
        <f t="shared" si="384"/>
        <v>0</v>
      </c>
      <c r="N195" s="801">
        <f t="shared" si="384"/>
        <v>0</v>
      </c>
      <c r="O195" s="801">
        <f t="shared" si="384"/>
        <v>0</v>
      </c>
      <c r="P195" s="801">
        <f t="shared" si="384"/>
        <v>0</v>
      </c>
      <c r="Q195" s="801">
        <f t="shared" si="384"/>
        <v>0</v>
      </c>
      <c r="R195" s="117"/>
      <c r="S195" s="3839"/>
      <c r="T195" s="3840"/>
      <c r="U195" s="3840"/>
      <c r="V195" s="3840"/>
      <c r="W195" s="3841"/>
      <c r="JW195" s="430"/>
      <c r="KB195" s="430"/>
      <c r="KG195" s="430"/>
      <c r="KL195" s="430"/>
      <c r="KM195" s="430"/>
      <c r="KN195" s="430"/>
      <c r="KO195" s="430"/>
      <c r="KP195" s="430"/>
      <c r="KQ195" s="430"/>
      <c r="KR195" s="430"/>
      <c r="KS195" s="430"/>
      <c r="KT195" s="430"/>
      <c r="KU195" s="430"/>
      <c r="KV195" s="430"/>
      <c r="KW195" s="430"/>
      <c r="KX195" s="430"/>
      <c r="KY195" s="430"/>
      <c r="KZ195" s="430"/>
      <c r="LA195" s="430"/>
      <c r="LB195" s="430"/>
      <c r="LC195" s="430"/>
      <c r="LD195" s="430"/>
      <c r="LE195" s="430"/>
      <c r="LF195" s="430"/>
      <c r="LG195" s="430"/>
      <c r="LN195" s="430"/>
      <c r="MD195" s="430"/>
      <c r="ME195" s="430"/>
      <c r="NC195" s="82"/>
      <c r="ND195" s="82"/>
      <c r="NE195" s="82"/>
      <c r="NF195" s="82"/>
      <c r="NG195" s="82"/>
      <c r="NH195" s="82"/>
      <c r="NI195" s="82"/>
      <c r="NJ195" s="82"/>
      <c r="NK195" s="82"/>
      <c r="NL195" s="82"/>
      <c r="NM195" s="82"/>
      <c r="NN195" s="82"/>
      <c r="NO195" s="82"/>
      <c r="NQ195" s="82"/>
      <c r="NR195" s="82"/>
      <c r="NS195" s="82"/>
      <c r="NT195" s="82"/>
      <c r="NU195" s="82"/>
      <c r="NV195" s="82"/>
      <c r="NW195" s="82"/>
      <c r="NX195" s="82"/>
      <c r="NY195" s="82"/>
      <c r="NZ195" s="82"/>
      <c r="OA195" s="82"/>
      <c r="OB195" s="82"/>
      <c r="OC195" s="82"/>
      <c r="OD195" s="82"/>
      <c r="OE195" s="82"/>
      <c r="OF195" s="82"/>
      <c r="OG195" s="82"/>
      <c r="OH195" s="82"/>
      <c r="OI195" s="82"/>
      <c r="OJ195" s="82"/>
      <c r="OK195" s="82"/>
      <c r="OL195" s="82"/>
      <c r="OM195" s="82"/>
      <c r="ON195" s="82"/>
      <c r="OO195" s="82"/>
      <c r="OP195" s="82"/>
      <c r="OQ195" s="82"/>
      <c r="OR195" s="82"/>
      <c r="OS195" s="82"/>
      <c r="OT195" s="82"/>
      <c r="OU195" s="82"/>
      <c r="OV195" s="82"/>
      <c r="OW195" s="82"/>
      <c r="OX195" s="82"/>
      <c r="OY195" s="82"/>
      <c r="OZ195" s="82"/>
      <c r="PA195" s="82"/>
      <c r="PB195" s="82"/>
      <c r="PC195" s="82"/>
      <c r="PD195" s="82"/>
      <c r="PE195" s="82"/>
      <c r="PF195" s="82"/>
      <c r="PG195" s="82"/>
      <c r="PH195" s="82"/>
      <c r="PI195" s="82"/>
      <c r="PJ195" s="82"/>
      <c r="PK195" s="82"/>
      <c r="PL195" s="82"/>
      <c r="PM195" s="82"/>
      <c r="PN195" s="82"/>
      <c r="PO195" s="82"/>
      <c r="PP195" s="82"/>
      <c r="PQ195" s="82"/>
      <c r="PR195" s="82"/>
      <c r="PS195" s="82"/>
      <c r="PT195" s="82"/>
      <c r="PU195" s="82"/>
      <c r="PV195" s="82"/>
      <c r="PW195" s="82"/>
      <c r="PX195" s="82"/>
      <c r="PY195" s="82"/>
      <c r="PZ195" s="82"/>
      <c r="QA195" s="82"/>
      <c r="QB195" s="82"/>
      <c r="QC195" s="82"/>
      <c r="QD195" s="82"/>
      <c r="QE195" s="82"/>
      <c r="QF195" s="82"/>
      <c r="QG195" s="82"/>
      <c r="QH195" s="82"/>
      <c r="QI195" s="82"/>
      <c r="QJ195" s="82"/>
      <c r="QK195" s="82"/>
      <c r="QL195" s="82"/>
      <c r="QM195" s="82"/>
      <c r="QN195" s="82"/>
      <c r="QO195" s="82"/>
      <c r="QP195" s="82"/>
      <c r="QQ195" s="82"/>
      <c r="QR195" s="82"/>
      <c r="QS195" s="82"/>
      <c r="QT195" s="82"/>
      <c r="QU195" s="82"/>
      <c r="QV195" s="82"/>
      <c r="QW195" s="82"/>
      <c r="QX195" s="82"/>
      <c r="QY195" s="82"/>
      <c r="QZ195" s="82"/>
      <c r="RA195" s="82"/>
      <c r="RB195" s="82"/>
      <c r="RC195" s="82"/>
      <c r="RD195" s="82"/>
      <c r="RE195" s="82"/>
      <c r="RF195" s="82"/>
      <c r="RG195" s="82"/>
      <c r="RH195" s="82"/>
      <c r="RI195" s="82"/>
      <c r="RJ195" s="82"/>
      <c r="RK195" s="82"/>
      <c r="RL195" s="82"/>
      <c r="RM195" s="82"/>
      <c r="RN195" s="82"/>
      <c r="RO195" s="82"/>
      <c r="RP195" s="82"/>
      <c r="RQ195" s="82"/>
      <c r="RR195" s="82"/>
      <c r="RS195" s="82"/>
      <c r="RT195" s="82"/>
      <c r="RU195" s="82"/>
      <c r="RV195" s="82"/>
      <c r="RW195" s="82"/>
      <c r="RX195" s="82"/>
      <c r="RY195" s="82"/>
    </row>
    <row r="196" spans="1:493" ht="15.6" customHeight="1">
      <c r="A196" s="82"/>
      <c r="B196" s="795"/>
      <c r="C196" s="89"/>
      <c r="D196" s="89"/>
      <c r="E196" s="89"/>
      <c r="F196" s="89"/>
      <c r="H196" s="803"/>
      <c r="I196" s="89"/>
      <c r="J196" s="89"/>
      <c r="K196" s="89"/>
      <c r="L196" s="89"/>
      <c r="M196" s="89"/>
      <c r="N196" s="89"/>
      <c r="O196" s="89"/>
      <c r="P196" s="89"/>
      <c r="Q196" s="89"/>
      <c r="R196" s="8"/>
      <c r="JW196" s="430"/>
      <c r="KB196" s="430"/>
      <c r="KG196" s="430"/>
      <c r="KL196" s="430"/>
      <c r="KM196" s="430"/>
      <c r="KN196" s="430"/>
      <c r="KO196" s="430"/>
      <c r="KP196" s="430"/>
      <c r="KQ196" s="430"/>
      <c r="KR196" s="430"/>
      <c r="KS196" s="430"/>
      <c r="KT196" s="430"/>
      <c r="KU196" s="430"/>
      <c r="KV196" s="430"/>
      <c r="KW196" s="430"/>
      <c r="KX196" s="430"/>
      <c r="KY196" s="430"/>
      <c r="KZ196" s="430"/>
      <c r="LA196" s="430"/>
      <c r="LB196" s="430"/>
      <c r="LC196" s="430"/>
      <c r="LD196" s="430"/>
      <c r="LE196" s="430"/>
      <c r="LF196" s="430"/>
      <c r="LG196" s="430"/>
      <c r="LN196" s="430"/>
      <c r="MD196" s="430"/>
      <c r="ME196" s="430"/>
      <c r="NC196" s="82"/>
      <c r="ND196" s="82"/>
      <c r="NE196" s="82"/>
      <c r="NF196" s="82"/>
      <c r="NG196" s="82"/>
      <c r="NH196" s="82"/>
      <c r="NI196" s="82"/>
      <c r="NJ196" s="82"/>
      <c r="NK196" s="82"/>
      <c r="NL196" s="82"/>
      <c r="NM196" s="82"/>
      <c r="NN196" s="82"/>
      <c r="NO196" s="82"/>
      <c r="NQ196" s="82"/>
      <c r="NR196" s="82"/>
      <c r="NS196" s="82"/>
      <c r="NT196" s="82"/>
      <c r="NU196" s="82"/>
      <c r="NV196" s="82"/>
      <c r="NW196" s="82"/>
      <c r="NX196" s="82"/>
      <c r="NY196" s="82"/>
      <c r="NZ196" s="82"/>
      <c r="OA196" s="82"/>
      <c r="OB196" s="82"/>
      <c r="OC196" s="82"/>
      <c r="OD196" s="82"/>
      <c r="OE196" s="82"/>
      <c r="OF196" s="82"/>
      <c r="OG196" s="82"/>
      <c r="OH196" s="82"/>
      <c r="OI196" s="82"/>
      <c r="OJ196" s="82"/>
      <c r="OK196" s="82"/>
      <c r="OL196" s="82"/>
      <c r="OM196" s="82"/>
      <c r="ON196" s="82"/>
      <c r="OO196" s="82"/>
      <c r="OP196" s="82"/>
      <c r="OQ196" s="82"/>
      <c r="OR196" s="82"/>
      <c r="OS196" s="82"/>
      <c r="OT196" s="82"/>
      <c r="OU196" s="82"/>
      <c r="OV196" s="82"/>
      <c r="OW196" s="82"/>
      <c r="OX196" s="82"/>
      <c r="OY196" s="82"/>
      <c r="OZ196" s="82"/>
      <c r="PA196" s="82"/>
      <c r="PB196" s="82"/>
      <c r="PC196" s="82"/>
      <c r="PD196" s="82"/>
      <c r="PE196" s="82"/>
      <c r="PF196" s="82"/>
      <c r="PG196" s="82"/>
      <c r="PH196" s="82"/>
      <c r="PI196" s="82"/>
      <c r="PJ196" s="82"/>
      <c r="PK196" s="82"/>
      <c r="PL196" s="82"/>
      <c r="PM196" s="82"/>
      <c r="PN196" s="82"/>
      <c r="PO196" s="82"/>
      <c r="PP196" s="82"/>
      <c r="PQ196" s="82"/>
      <c r="PR196" s="82"/>
      <c r="PS196" s="82"/>
      <c r="PT196" s="82"/>
      <c r="PU196" s="82"/>
      <c r="PV196" s="82"/>
      <c r="PW196" s="82"/>
      <c r="PX196" s="82"/>
      <c r="PY196" s="82"/>
      <c r="PZ196" s="82"/>
      <c r="QA196" s="82"/>
      <c r="QB196" s="82"/>
      <c r="QC196" s="82"/>
      <c r="QD196" s="82"/>
      <c r="QE196" s="82"/>
      <c r="QF196" s="82"/>
      <c r="QG196" s="82"/>
      <c r="QH196" s="82"/>
      <c r="QI196" s="82"/>
      <c r="QJ196" s="82"/>
      <c r="QK196" s="82"/>
      <c r="QL196" s="82"/>
      <c r="QM196" s="82"/>
      <c r="QN196" s="82"/>
      <c r="QO196" s="82"/>
      <c r="QP196" s="82"/>
      <c r="QQ196" s="82"/>
      <c r="QR196" s="82"/>
      <c r="QS196" s="82"/>
      <c r="QT196" s="82"/>
      <c r="QU196" s="82"/>
      <c r="QV196" s="82"/>
      <c r="QW196" s="82"/>
      <c r="QX196" s="82"/>
      <c r="QY196" s="82"/>
      <c r="QZ196" s="82"/>
      <c r="RA196" s="82"/>
      <c r="RB196" s="82"/>
      <c r="RC196" s="82"/>
      <c r="RD196" s="82"/>
      <c r="RE196" s="82"/>
      <c r="RF196" s="82"/>
      <c r="RG196" s="82"/>
      <c r="RH196" s="82"/>
      <c r="RI196" s="82"/>
      <c r="RJ196" s="82"/>
      <c r="RK196" s="82"/>
      <c r="RL196" s="82"/>
      <c r="RM196" s="82"/>
      <c r="RN196" s="82"/>
      <c r="RO196" s="82"/>
      <c r="RP196" s="82"/>
      <c r="RQ196" s="82"/>
      <c r="RR196" s="82"/>
      <c r="RS196" s="82"/>
      <c r="RT196" s="82"/>
      <c r="RU196" s="82"/>
      <c r="RV196" s="82"/>
      <c r="RW196" s="82"/>
      <c r="RX196" s="82"/>
      <c r="RY196" s="82"/>
    </row>
    <row r="197" spans="1:493" ht="15.6" customHeight="1">
      <c r="A197" s="82"/>
      <c r="B197" s="798" t="s">
        <v>2182</v>
      </c>
      <c r="C197" s="89"/>
      <c r="D197" s="89"/>
      <c r="E197" s="89"/>
      <c r="F197" s="89"/>
      <c r="H197" s="799">
        <v>21</v>
      </c>
      <c r="I197" s="799">
        <v>22</v>
      </c>
      <c r="J197" s="799">
        <v>23</v>
      </c>
      <c r="K197" s="799">
        <v>24</v>
      </c>
      <c r="L197" s="799">
        <v>25</v>
      </c>
      <c r="M197" s="799">
        <v>26</v>
      </c>
      <c r="N197" s="799">
        <v>27</v>
      </c>
      <c r="O197" s="799">
        <v>28</v>
      </c>
      <c r="P197" s="799">
        <v>29</v>
      </c>
      <c r="Q197" s="799">
        <v>30</v>
      </c>
      <c r="R197" s="565"/>
      <c r="S197" s="137" t="s">
        <v>2497</v>
      </c>
      <c r="T197" s="93" t="str">
        <f>B197</f>
        <v>Included in Mgt Fee:</v>
      </c>
      <c r="JW197" s="430"/>
      <c r="KB197" s="430"/>
      <c r="KG197" s="430"/>
      <c r="KL197" s="430"/>
      <c r="KM197" s="430"/>
      <c r="KN197" s="430"/>
      <c r="KO197" s="430"/>
      <c r="KP197" s="430"/>
      <c r="KQ197" s="430"/>
      <c r="KR197" s="430"/>
      <c r="KS197" s="430"/>
      <c r="KT197" s="430"/>
      <c r="KU197" s="430"/>
      <c r="KV197" s="430"/>
      <c r="KW197" s="430"/>
      <c r="KX197" s="430"/>
      <c r="KY197" s="430"/>
      <c r="KZ197" s="430"/>
      <c r="LA197" s="430"/>
      <c r="LB197" s="430"/>
      <c r="LC197" s="430"/>
      <c r="LD197" s="430"/>
      <c r="LE197" s="430"/>
      <c r="LF197" s="430"/>
      <c r="LG197" s="430"/>
      <c r="LN197" s="430"/>
      <c r="MD197" s="430"/>
      <c r="ME197" s="430"/>
      <c r="NC197" s="82"/>
      <c r="ND197" s="82"/>
      <c r="NE197" s="82"/>
      <c r="NF197" s="82"/>
      <c r="NG197" s="82"/>
      <c r="NH197" s="82"/>
      <c r="NI197" s="82"/>
      <c r="NJ197" s="82"/>
      <c r="NK197" s="82"/>
      <c r="NL197" s="82"/>
      <c r="NM197" s="82"/>
      <c r="NN197" s="82"/>
      <c r="NO197" s="82"/>
      <c r="NQ197" s="82"/>
      <c r="NR197" s="82"/>
      <c r="NS197" s="82"/>
      <c r="NT197" s="82"/>
      <c r="NU197" s="82"/>
      <c r="NV197" s="82"/>
      <c r="NW197" s="82"/>
      <c r="NX197" s="82"/>
      <c r="NY197" s="82"/>
      <c r="NZ197" s="82"/>
      <c r="OA197" s="82"/>
      <c r="OB197" s="82"/>
      <c r="OC197" s="82"/>
      <c r="OD197" s="82"/>
      <c r="OE197" s="82"/>
      <c r="OF197" s="82"/>
      <c r="OG197" s="82"/>
      <c r="OH197" s="82"/>
      <c r="OI197" s="82"/>
      <c r="OJ197" s="82"/>
      <c r="OK197" s="82"/>
      <c r="OL197" s="82"/>
      <c r="OM197" s="82"/>
      <c r="ON197" s="82"/>
      <c r="OO197" s="82"/>
      <c r="OP197" s="82"/>
      <c r="OQ197" s="82"/>
      <c r="OR197" s="82"/>
      <c r="OS197" s="82"/>
      <c r="OT197" s="82"/>
      <c r="OU197" s="82"/>
      <c r="OV197" s="82"/>
      <c r="OW197" s="82"/>
      <c r="OX197" s="82"/>
      <c r="OY197" s="82"/>
      <c r="OZ197" s="82"/>
      <c r="PA197" s="82"/>
      <c r="PB197" s="82"/>
      <c r="PC197" s="82"/>
      <c r="PD197" s="82"/>
      <c r="PE197" s="82"/>
      <c r="PF197" s="82"/>
      <c r="PG197" s="82"/>
      <c r="PH197" s="82"/>
      <c r="PI197" s="82"/>
      <c r="PJ197" s="82"/>
      <c r="PK197" s="82"/>
      <c r="PL197" s="82"/>
      <c r="PM197" s="82"/>
      <c r="PN197" s="82"/>
      <c r="PO197" s="82"/>
      <c r="PP197" s="82"/>
      <c r="PQ197" s="82"/>
      <c r="PR197" s="82"/>
      <c r="PS197" s="82"/>
      <c r="PT197" s="82"/>
      <c r="PU197" s="82"/>
      <c r="PV197" s="82"/>
      <c r="PW197" s="82"/>
      <c r="PX197" s="82"/>
      <c r="PY197" s="82"/>
      <c r="PZ197" s="82"/>
      <c r="QA197" s="82"/>
      <c r="QB197" s="82"/>
      <c r="QC197" s="82"/>
      <c r="QD197" s="82"/>
      <c r="QE197" s="82"/>
      <c r="QF197" s="82"/>
      <c r="QG197" s="82"/>
      <c r="QH197" s="82"/>
      <c r="QI197" s="82"/>
      <c r="QJ197" s="82"/>
      <c r="QK197" s="82"/>
      <c r="QL197" s="82"/>
      <c r="QM197" s="82"/>
      <c r="QN197" s="82"/>
      <c r="QO197" s="82"/>
      <c r="QP197" s="82"/>
      <c r="QQ197" s="82"/>
      <c r="QR197" s="82"/>
      <c r="QS197" s="82"/>
      <c r="QT197" s="82"/>
      <c r="QU197" s="82"/>
      <c r="QV197" s="82"/>
      <c r="QW197" s="82"/>
      <c r="QX197" s="82"/>
      <c r="QY197" s="82"/>
      <c r="QZ197" s="82"/>
      <c r="RA197" s="82"/>
      <c r="RB197" s="82"/>
      <c r="RC197" s="82"/>
      <c r="RD197" s="82"/>
      <c r="RE197" s="82"/>
      <c r="RF197" s="82"/>
      <c r="RG197" s="82"/>
      <c r="RH197" s="82"/>
      <c r="RI197" s="82"/>
      <c r="RJ197" s="82"/>
      <c r="RK197" s="82"/>
      <c r="RL197" s="82"/>
      <c r="RM197" s="82"/>
      <c r="RN197" s="82"/>
      <c r="RO197" s="82"/>
      <c r="RP197" s="82"/>
      <c r="RQ197" s="82"/>
      <c r="RR197" s="82"/>
      <c r="RS197" s="82"/>
      <c r="RT197" s="82"/>
      <c r="RU197" s="82"/>
      <c r="RV197" s="82"/>
      <c r="RW197" s="82"/>
      <c r="RX197" s="82"/>
      <c r="RY197" s="82"/>
    </row>
    <row r="198" spans="1:493" ht="15.6" customHeight="1">
      <c r="A198" s="82"/>
      <c r="B198" s="109" t="s">
        <v>978</v>
      </c>
      <c r="C198" s="109"/>
      <c r="D198" s="109"/>
      <c r="E198" s="109"/>
      <c r="F198" s="109"/>
      <c r="H198" s="2928"/>
      <c r="I198" s="2928"/>
      <c r="J198" s="2928"/>
      <c r="K198" s="2928"/>
      <c r="L198" s="2931"/>
      <c r="M198" s="2928"/>
      <c r="N198" s="2928"/>
      <c r="O198" s="2928"/>
      <c r="P198" s="2928"/>
      <c r="Q198" s="2928"/>
      <c r="R198" s="768"/>
      <c r="S198" s="3854"/>
      <c r="T198" s="3855"/>
      <c r="U198" s="3855"/>
      <c r="V198" s="3855"/>
      <c r="W198" s="3856"/>
      <c r="JW198" s="430"/>
      <c r="KB198" s="430"/>
      <c r="KG198" s="430"/>
      <c r="KL198" s="430"/>
      <c r="KM198" s="430"/>
      <c r="KN198" s="430"/>
      <c r="KO198" s="430"/>
      <c r="KP198" s="430"/>
      <c r="KQ198" s="430"/>
      <c r="KR198" s="430"/>
      <c r="KS198" s="430"/>
      <c r="KT198" s="430"/>
      <c r="KU198" s="430"/>
      <c r="KV198" s="430"/>
      <c r="KW198" s="430"/>
      <c r="KX198" s="430"/>
      <c r="KY198" s="430"/>
      <c r="KZ198" s="430"/>
      <c r="LA198" s="430"/>
      <c r="LB198" s="430"/>
      <c r="LC198" s="430"/>
      <c r="LD198" s="430"/>
      <c r="LE198" s="430"/>
      <c r="LF198" s="430"/>
      <c r="LG198" s="430"/>
      <c r="LN198" s="430"/>
      <c r="MD198" s="430"/>
      <c r="ME198" s="430"/>
      <c r="NC198" s="82"/>
      <c r="ND198" s="82"/>
      <c r="NE198" s="82"/>
      <c r="NF198" s="82"/>
      <c r="NG198" s="82"/>
      <c r="NH198" s="82"/>
      <c r="NI198" s="82"/>
      <c r="NJ198" s="82"/>
      <c r="NK198" s="82"/>
      <c r="NL198" s="82"/>
      <c r="NM198" s="82"/>
      <c r="NN198" s="82"/>
      <c r="NO198" s="82"/>
      <c r="NQ198" s="82"/>
      <c r="NR198" s="82"/>
      <c r="NS198" s="82"/>
      <c r="NT198" s="82"/>
      <c r="NU198" s="82"/>
      <c r="NV198" s="82"/>
      <c r="NW198" s="82"/>
      <c r="NX198" s="82"/>
      <c r="NY198" s="82"/>
      <c r="NZ198" s="82"/>
      <c r="OA198" s="82"/>
      <c r="OB198" s="82"/>
      <c r="OC198" s="82"/>
      <c r="OD198" s="82"/>
      <c r="OE198" s="82"/>
      <c r="OF198" s="82"/>
      <c r="OG198" s="82"/>
      <c r="OH198" s="82"/>
      <c r="OI198" s="82"/>
      <c r="OJ198" s="82"/>
      <c r="OK198" s="82"/>
      <c r="OL198" s="82"/>
      <c r="OM198" s="82"/>
      <c r="ON198" s="82"/>
      <c r="OO198" s="82"/>
      <c r="OP198" s="82"/>
      <c r="OQ198" s="82"/>
      <c r="OR198" s="82"/>
      <c r="OS198" s="82"/>
      <c r="OT198" s="82"/>
      <c r="OU198" s="82"/>
      <c r="OV198" s="82"/>
      <c r="OW198" s="82"/>
      <c r="OX198" s="82"/>
      <c r="OY198" s="82"/>
      <c r="OZ198" s="82"/>
      <c r="PA198" s="82"/>
      <c r="PB198" s="82"/>
      <c r="PC198" s="82"/>
      <c r="PD198" s="82"/>
      <c r="PE198" s="82"/>
      <c r="PF198" s="82"/>
      <c r="PG198" s="82"/>
      <c r="PH198" s="82"/>
      <c r="PI198" s="82"/>
      <c r="PJ198" s="82"/>
      <c r="PK198" s="82"/>
      <c r="PL198" s="82"/>
      <c r="PM198" s="82"/>
      <c r="PN198" s="82"/>
      <c r="PO198" s="82"/>
      <c r="PP198" s="82"/>
      <c r="PQ198" s="82"/>
      <c r="PR198" s="82"/>
      <c r="PS198" s="82"/>
      <c r="PT198" s="82"/>
      <c r="PU198" s="82"/>
      <c r="PV198" s="82"/>
      <c r="PW198" s="82"/>
      <c r="PX198" s="82"/>
      <c r="PY198" s="82"/>
      <c r="PZ198" s="82"/>
      <c r="QA198" s="82"/>
      <c r="QB198" s="82"/>
      <c r="QC198" s="82"/>
      <c r="QD198" s="82"/>
      <c r="QE198" s="82"/>
      <c r="QF198" s="82"/>
      <c r="QG198" s="82"/>
      <c r="QH198" s="82"/>
      <c r="QI198" s="82"/>
      <c r="QJ198" s="82"/>
      <c r="QK198" s="82"/>
      <c r="QL198" s="82"/>
      <c r="QM198" s="82"/>
      <c r="QN198" s="82"/>
      <c r="QO198" s="82"/>
      <c r="QP198" s="82"/>
      <c r="QQ198" s="82"/>
      <c r="QR198" s="82"/>
      <c r="QS198" s="82"/>
      <c r="QT198" s="82"/>
      <c r="QU198" s="82"/>
      <c r="QV198" s="82"/>
      <c r="QW198" s="82"/>
      <c r="QX198" s="82"/>
      <c r="QY198" s="82"/>
      <c r="QZ198" s="82"/>
      <c r="RA198" s="82"/>
      <c r="RB198" s="82"/>
      <c r="RC198" s="82"/>
      <c r="RD198" s="82"/>
      <c r="RE198" s="82"/>
      <c r="RF198" s="82"/>
      <c r="RG198" s="82"/>
      <c r="RH198" s="82"/>
      <c r="RI198" s="82"/>
      <c r="RJ198" s="82"/>
      <c r="RK198" s="82"/>
      <c r="RL198" s="82"/>
      <c r="RM198" s="82"/>
      <c r="RN198" s="82"/>
      <c r="RO198" s="82"/>
      <c r="RP198" s="82"/>
      <c r="RQ198" s="82"/>
      <c r="RR198" s="82"/>
      <c r="RS198" s="82"/>
      <c r="RT198" s="82"/>
      <c r="RU198" s="82"/>
      <c r="RV198" s="82"/>
      <c r="RW198" s="82"/>
      <c r="RX198" s="82"/>
      <c r="RY198" s="82"/>
    </row>
    <row r="199" spans="1:493" ht="15.6" customHeight="1">
      <c r="A199" s="82"/>
      <c r="B199" s="109" t="s">
        <v>711</v>
      </c>
      <c r="C199" s="3884"/>
      <c r="D199" s="3885"/>
      <c r="E199" s="3885"/>
      <c r="F199" s="3886"/>
      <c r="H199" s="2929"/>
      <c r="I199" s="2929"/>
      <c r="J199" s="2929"/>
      <c r="K199" s="2929"/>
      <c r="L199" s="2930"/>
      <c r="M199" s="2929"/>
      <c r="N199" s="2929"/>
      <c r="O199" s="2929"/>
      <c r="P199" s="2929"/>
      <c r="Q199" s="2929"/>
      <c r="R199" s="768"/>
      <c r="S199" s="3833"/>
      <c r="T199" s="3834"/>
      <c r="U199" s="3834"/>
      <c r="V199" s="3834"/>
      <c r="W199" s="3835"/>
      <c r="JW199" s="430"/>
      <c r="KB199" s="430"/>
      <c r="KG199" s="430"/>
      <c r="KL199" s="430"/>
      <c r="KM199" s="430"/>
      <c r="KN199" s="430"/>
      <c r="KO199" s="430"/>
      <c r="KP199" s="430"/>
      <c r="KQ199" s="430"/>
      <c r="KR199" s="430"/>
      <c r="KS199" s="430"/>
      <c r="KT199" s="430"/>
      <c r="KU199" s="430"/>
      <c r="KV199" s="430"/>
      <c r="KW199" s="430"/>
      <c r="KX199" s="430"/>
      <c r="KY199" s="430"/>
      <c r="KZ199" s="430"/>
      <c r="LA199" s="430"/>
      <c r="LB199" s="430"/>
      <c r="LC199" s="430"/>
      <c r="LD199" s="430"/>
      <c r="LE199" s="430"/>
      <c r="LF199" s="430"/>
      <c r="LG199" s="430"/>
      <c r="LN199" s="430"/>
      <c r="MD199" s="430"/>
      <c r="ME199" s="430"/>
      <c r="NC199" s="82"/>
      <c r="ND199" s="82"/>
      <c r="NE199" s="82"/>
      <c r="NF199" s="82"/>
      <c r="NG199" s="82"/>
      <c r="NH199" s="82"/>
      <c r="NI199" s="82"/>
      <c r="NJ199" s="82"/>
      <c r="NK199" s="82"/>
      <c r="NL199" s="82"/>
      <c r="NM199" s="82"/>
      <c r="NN199" s="82"/>
      <c r="NO199" s="82"/>
      <c r="NQ199" s="82"/>
      <c r="NR199" s="82"/>
      <c r="NS199" s="82"/>
      <c r="NT199" s="82"/>
      <c r="NU199" s="82"/>
      <c r="NV199" s="82"/>
      <c r="NW199" s="82"/>
      <c r="NX199" s="82"/>
      <c r="NY199" s="82"/>
      <c r="NZ199" s="82"/>
      <c r="OA199" s="82"/>
      <c r="OB199" s="82"/>
      <c r="OC199" s="82"/>
      <c r="OD199" s="82"/>
      <c r="OE199" s="82"/>
      <c r="OF199" s="82"/>
      <c r="OG199" s="82"/>
      <c r="OH199" s="82"/>
      <c r="OI199" s="82"/>
      <c r="OJ199" s="82"/>
      <c r="OK199" s="82"/>
      <c r="OL199" s="82"/>
      <c r="OM199" s="82"/>
      <c r="ON199" s="82"/>
      <c r="OO199" s="82"/>
      <c r="OP199" s="82"/>
      <c r="OQ199" s="82"/>
      <c r="OR199" s="82"/>
      <c r="OS199" s="82"/>
      <c r="OT199" s="82"/>
      <c r="OU199" s="82"/>
      <c r="OV199" s="82"/>
      <c r="OW199" s="82"/>
      <c r="OX199" s="82"/>
      <c r="OY199" s="82"/>
      <c r="OZ199" s="82"/>
      <c r="PA199" s="82"/>
      <c r="PB199" s="82"/>
      <c r="PC199" s="82"/>
      <c r="PD199" s="82"/>
      <c r="PE199" s="82"/>
      <c r="PF199" s="82"/>
      <c r="PG199" s="82"/>
      <c r="PH199" s="82"/>
      <c r="PI199" s="82"/>
      <c r="PJ199" s="82"/>
      <c r="PK199" s="82"/>
      <c r="PL199" s="82"/>
      <c r="PM199" s="82"/>
      <c r="PN199" s="82"/>
      <c r="PO199" s="82"/>
      <c r="PP199" s="82"/>
      <c r="PQ199" s="82"/>
      <c r="PR199" s="82"/>
      <c r="PS199" s="82"/>
      <c r="PT199" s="82"/>
      <c r="PU199" s="82"/>
      <c r="PV199" s="82"/>
      <c r="PW199" s="82"/>
      <c r="PX199" s="82"/>
      <c r="PY199" s="82"/>
      <c r="PZ199" s="82"/>
      <c r="QA199" s="82"/>
      <c r="QB199" s="82"/>
      <c r="QC199" s="82"/>
      <c r="QD199" s="82"/>
      <c r="QE199" s="82"/>
      <c r="QF199" s="82"/>
      <c r="QG199" s="82"/>
      <c r="QH199" s="82"/>
      <c r="QI199" s="82"/>
      <c r="QJ199" s="82"/>
      <c r="QK199" s="82"/>
      <c r="QL199" s="82"/>
      <c r="QM199" s="82"/>
      <c r="QN199" s="82"/>
      <c r="QO199" s="82"/>
      <c r="QP199" s="82"/>
      <c r="QQ199" s="82"/>
      <c r="QR199" s="82"/>
      <c r="QS199" s="82"/>
      <c r="QT199" s="82"/>
      <c r="QU199" s="82"/>
      <c r="QV199" s="82"/>
      <c r="QW199" s="82"/>
      <c r="QX199" s="82"/>
      <c r="QY199" s="82"/>
      <c r="QZ199" s="82"/>
      <c r="RA199" s="82"/>
      <c r="RB199" s="82"/>
      <c r="RC199" s="82"/>
      <c r="RD199" s="82"/>
      <c r="RE199" s="82"/>
      <c r="RF199" s="82"/>
      <c r="RG199" s="82"/>
      <c r="RH199" s="82"/>
      <c r="RI199" s="82"/>
      <c r="RJ199" s="82"/>
      <c r="RK199" s="82"/>
      <c r="RL199" s="82"/>
      <c r="RM199" s="82"/>
      <c r="RN199" s="82"/>
      <c r="RO199" s="82"/>
      <c r="RP199" s="82"/>
      <c r="RQ199" s="82"/>
      <c r="RR199" s="82"/>
      <c r="RS199" s="82"/>
      <c r="RT199" s="82"/>
      <c r="RU199" s="82"/>
      <c r="RV199" s="82"/>
      <c r="RW199" s="82"/>
      <c r="RX199" s="82"/>
      <c r="RY199" s="82"/>
    </row>
    <row r="200" spans="1:493" ht="15.6" customHeight="1">
      <c r="A200" s="82"/>
      <c r="B200" s="109"/>
      <c r="C200" s="109" t="s">
        <v>894</v>
      </c>
      <c r="D200" s="109"/>
      <c r="E200" s="109"/>
      <c r="F200" s="109"/>
      <c r="H200" s="801">
        <f>SUM(H198:H199)</f>
        <v>0</v>
      </c>
      <c r="I200" s="801">
        <f>SUM(I198:I199)</f>
        <v>0</v>
      </c>
      <c r="J200" s="801">
        <f t="shared" ref="J200:Q200" si="385">SUM(J198:J199)</f>
        <v>0</v>
      </c>
      <c r="K200" s="801">
        <f t="shared" si="385"/>
        <v>0</v>
      </c>
      <c r="L200" s="801">
        <f t="shared" si="385"/>
        <v>0</v>
      </c>
      <c r="M200" s="801">
        <f t="shared" si="385"/>
        <v>0</v>
      </c>
      <c r="N200" s="801">
        <f t="shared" si="385"/>
        <v>0</v>
      </c>
      <c r="O200" s="801">
        <f t="shared" si="385"/>
        <v>0</v>
      </c>
      <c r="P200" s="801">
        <f t="shared" si="385"/>
        <v>0</v>
      </c>
      <c r="Q200" s="801">
        <f t="shared" si="385"/>
        <v>0</v>
      </c>
      <c r="R200" s="117"/>
      <c r="S200" s="3839"/>
      <c r="T200" s="3840"/>
      <c r="U200" s="3840"/>
      <c r="V200" s="3840"/>
      <c r="W200" s="3841"/>
      <c r="JW200" s="430"/>
      <c r="KB200" s="430"/>
      <c r="KG200" s="430"/>
      <c r="KL200" s="430"/>
      <c r="KM200" s="430"/>
      <c r="KN200" s="430"/>
      <c r="KO200" s="430"/>
      <c r="KP200" s="430"/>
      <c r="KQ200" s="430"/>
      <c r="KR200" s="430"/>
      <c r="KS200" s="430"/>
      <c r="KT200" s="430"/>
      <c r="KU200" s="430"/>
      <c r="KV200" s="430"/>
      <c r="KW200" s="430"/>
      <c r="KX200" s="430"/>
      <c r="KY200" s="430"/>
      <c r="KZ200" s="430"/>
      <c r="LA200" s="430"/>
      <c r="LB200" s="430"/>
      <c r="LC200" s="430"/>
      <c r="LD200" s="430"/>
      <c r="LE200" s="430"/>
      <c r="LF200" s="430"/>
      <c r="LG200" s="430"/>
      <c r="LN200" s="430"/>
      <c r="MD200" s="430"/>
      <c r="ME200" s="430"/>
      <c r="NC200" s="82"/>
      <c r="ND200" s="82"/>
      <c r="NE200" s="82"/>
      <c r="NF200" s="82"/>
      <c r="NG200" s="82"/>
      <c r="NH200" s="82"/>
      <c r="NI200" s="82"/>
      <c r="NJ200" s="82"/>
      <c r="NK200" s="82"/>
      <c r="NL200" s="82"/>
      <c r="NM200" s="82"/>
      <c r="NN200" s="82"/>
      <c r="NO200" s="82"/>
      <c r="NQ200" s="82"/>
      <c r="NR200" s="82"/>
      <c r="NS200" s="82"/>
      <c r="NT200" s="82"/>
      <c r="NU200" s="82"/>
      <c r="NV200" s="82"/>
      <c r="NW200" s="82"/>
      <c r="NX200" s="82"/>
      <c r="NY200" s="82"/>
      <c r="NZ200" s="82"/>
      <c r="OA200" s="82"/>
      <c r="OB200" s="82"/>
      <c r="OC200" s="82"/>
      <c r="OD200" s="82"/>
      <c r="OE200" s="82"/>
      <c r="OF200" s="82"/>
      <c r="OG200" s="82"/>
      <c r="OH200" s="82"/>
      <c r="OI200" s="82"/>
      <c r="OJ200" s="82"/>
      <c r="OK200" s="82"/>
      <c r="OL200" s="82"/>
      <c r="OM200" s="82"/>
      <c r="ON200" s="82"/>
      <c r="OO200" s="82"/>
      <c r="OP200" s="82"/>
      <c r="OQ200" s="82"/>
      <c r="OR200" s="82"/>
      <c r="OS200" s="82"/>
      <c r="OT200" s="82"/>
      <c r="OU200" s="82"/>
      <c r="OV200" s="82"/>
      <c r="OW200" s="82"/>
      <c r="OX200" s="82"/>
      <c r="OY200" s="82"/>
      <c r="OZ200" s="82"/>
      <c r="PA200" s="82"/>
      <c r="PB200" s="82"/>
      <c r="PC200" s="82"/>
      <c r="PD200" s="82"/>
      <c r="PE200" s="82"/>
      <c r="PF200" s="82"/>
      <c r="PG200" s="82"/>
      <c r="PH200" s="82"/>
      <c r="PI200" s="82"/>
      <c r="PJ200" s="82"/>
      <c r="PK200" s="82"/>
      <c r="PL200" s="82"/>
      <c r="PM200" s="82"/>
      <c r="PN200" s="82"/>
      <c r="PO200" s="82"/>
      <c r="PP200" s="82"/>
      <c r="PQ200" s="82"/>
      <c r="PR200" s="82"/>
      <c r="PS200" s="82"/>
      <c r="PT200" s="82"/>
      <c r="PU200" s="82"/>
      <c r="PV200" s="82"/>
      <c r="PW200" s="82"/>
      <c r="PX200" s="82"/>
      <c r="PY200" s="82"/>
      <c r="PZ200" s="82"/>
      <c r="QA200" s="82"/>
      <c r="QB200" s="82"/>
      <c r="QC200" s="82"/>
      <c r="QD200" s="82"/>
      <c r="QE200" s="82"/>
      <c r="QF200" s="82"/>
      <c r="QG200" s="82"/>
      <c r="QH200" s="82"/>
      <c r="QI200" s="82"/>
      <c r="QJ200" s="82"/>
      <c r="QK200" s="82"/>
      <c r="QL200" s="82"/>
      <c r="QM200" s="82"/>
      <c r="QN200" s="82"/>
      <c r="QO200" s="82"/>
      <c r="QP200" s="82"/>
      <c r="QQ200" s="82"/>
      <c r="QR200" s="82"/>
      <c r="QS200" s="82"/>
      <c r="QT200" s="82"/>
      <c r="QU200" s="82"/>
      <c r="QV200" s="82"/>
      <c r="QW200" s="82"/>
      <c r="QX200" s="82"/>
      <c r="QY200" s="82"/>
      <c r="QZ200" s="82"/>
      <c r="RA200" s="82"/>
      <c r="RB200" s="82"/>
      <c r="RC200" s="82"/>
      <c r="RD200" s="82"/>
      <c r="RE200" s="82"/>
      <c r="RF200" s="82"/>
      <c r="RG200" s="82"/>
      <c r="RH200" s="82"/>
      <c r="RI200" s="82"/>
      <c r="RJ200" s="82"/>
      <c r="RK200" s="82"/>
      <c r="RL200" s="82"/>
      <c r="RM200" s="82"/>
      <c r="RN200" s="82"/>
      <c r="RO200" s="82"/>
      <c r="RP200" s="82"/>
      <c r="RQ200" s="82"/>
      <c r="RR200" s="82"/>
      <c r="RS200" s="82"/>
      <c r="RT200" s="82"/>
      <c r="RU200" s="82"/>
      <c r="RV200" s="82"/>
      <c r="RW200" s="82"/>
      <c r="RX200" s="82"/>
      <c r="RY200" s="82"/>
    </row>
    <row r="201" spans="1:493" ht="15.6" customHeight="1">
      <c r="A201" s="82"/>
      <c r="B201" s="802" t="s">
        <v>3310</v>
      </c>
      <c r="C201" s="89"/>
      <c r="D201" s="89"/>
      <c r="E201" s="89"/>
      <c r="F201" s="89"/>
      <c r="H201" s="803"/>
      <c r="I201" s="89"/>
      <c r="J201" s="89"/>
      <c r="K201" s="89"/>
      <c r="L201" s="89"/>
      <c r="M201" s="89"/>
      <c r="N201" s="89"/>
      <c r="O201" s="89"/>
      <c r="P201" s="89"/>
      <c r="Q201" s="89"/>
      <c r="R201" s="8"/>
      <c r="S201" s="93" t="str">
        <f>B201</f>
        <v>NOT Included in Mgt Fee:</v>
      </c>
      <c r="JW201" s="430"/>
      <c r="KB201" s="430"/>
      <c r="KG201" s="430"/>
      <c r="KL201" s="430"/>
      <c r="KM201" s="430"/>
      <c r="KN201" s="430"/>
      <c r="KO201" s="430"/>
      <c r="KP201" s="430"/>
      <c r="KQ201" s="430"/>
      <c r="KR201" s="430"/>
      <c r="KS201" s="430"/>
      <c r="KT201" s="430"/>
      <c r="KU201" s="430"/>
      <c r="KV201" s="430"/>
      <c r="KW201" s="430"/>
      <c r="KX201" s="430"/>
      <c r="KY201" s="430"/>
      <c r="KZ201" s="430"/>
      <c r="LA201" s="430"/>
      <c r="LB201" s="430"/>
      <c r="LC201" s="430"/>
      <c r="LD201" s="430"/>
      <c r="LE201" s="430"/>
      <c r="LF201" s="430"/>
      <c r="LG201" s="430"/>
      <c r="LN201" s="430"/>
      <c r="MD201" s="430"/>
      <c r="ME201" s="430"/>
      <c r="NC201" s="82"/>
      <c r="ND201" s="82"/>
      <c r="NE201" s="82"/>
      <c r="NF201" s="82"/>
      <c r="NG201" s="82"/>
      <c r="NH201" s="82"/>
      <c r="NI201" s="82"/>
      <c r="NJ201" s="82"/>
      <c r="NK201" s="82"/>
      <c r="NL201" s="82"/>
      <c r="NM201" s="82"/>
      <c r="NN201" s="82"/>
      <c r="NO201" s="82"/>
      <c r="NQ201" s="82"/>
      <c r="NR201" s="82"/>
      <c r="NS201" s="82"/>
      <c r="NT201" s="82"/>
      <c r="NU201" s="82"/>
      <c r="NV201" s="82"/>
      <c r="NW201" s="82"/>
      <c r="NX201" s="82"/>
      <c r="NY201" s="82"/>
      <c r="NZ201" s="82"/>
      <c r="OA201" s="82"/>
      <c r="OB201" s="82"/>
      <c r="OC201" s="82"/>
      <c r="OD201" s="82"/>
      <c r="OE201" s="82"/>
      <c r="OF201" s="82"/>
      <c r="OG201" s="82"/>
      <c r="OH201" s="82"/>
      <c r="OI201" s="82"/>
      <c r="OJ201" s="82"/>
      <c r="OK201" s="82"/>
      <c r="OL201" s="82"/>
      <c r="OM201" s="82"/>
      <c r="ON201" s="82"/>
      <c r="OO201" s="82"/>
      <c r="OP201" s="82"/>
      <c r="OQ201" s="82"/>
      <c r="OR201" s="82"/>
      <c r="OS201" s="82"/>
      <c r="OT201" s="82"/>
      <c r="OU201" s="82"/>
      <c r="OV201" s="82"/>
      <c r="OW201" s="82"/>
      <c r="OX201" s="82"/>
      <c r="OY201" s="82"/>
      <c r="OZ201" s="82"/>
      <c r="PA201" s="82"/>
      <c r="PB201" s="82"/>
      <c r="PC201" s="82"/>
      <c r="PD201" s="82"/>
      <c r="PE201" s="82"/>
      <c r="PF201" s="82"/>
      <c r="PG201" s="82"/>
      <c r="PH201" s="82"/>
      <c r="PI201" s="82"/>
      <c r="PJ201" s="82"/>
      <c r="PK201" s="82"/>
      <c r="PL201" s="82"/>
      <c r="PM201" s="82"/>
      <c r="PN201" s="82"/>
      <c r="PO201" s="82"/>
      <c r="PP201" s="82"/>
      <c r="PQ201" s="82"/>
      <c r="PR201" s="82"/>
      <c r="PS201" s="82"/>
      <c r="PT201" s="82"/>
      <c r="PU201" s="82"/>
      <c r="PV201" s="82"/>
      <c r="PW201" s="82"/>
      <c r="PX201" s="82"/>
      <c r="PY201" s="82"/>
      <c r="PZ201" s="82"/>
      <c r="QA201" s="82"/>
      <c r="QB201" s="82"/>
      <c r="QC201" s="82"/>
      <c r="QD201" s="82"/>
      <c r="QE201" s="82"/>
      <c r="QF201" s="82"/>
      <c r="QG201" s="82"/>
      <c r="QH201" s="82"/>
      <c r="QI201" s="82"/>
      <c r="QJ201" s="82"/>
      <c r="QK201" s="82"/>
      <c r="QL201" s="82"/>
      <c r="QM201" s="82"/>
      <c r="QN201" s="82"/>
      <c r="QO201" s="82"/>
      <c r="QP201" s="82"/>
      <c r="QQ201" s="82"/>
      <c r="QR201" s="82"/>
      <c r="QS201" s="82"/>
      <c r="QT201" s="82"/>
      <c r="QU201" s="82"/>
      <c r="QV201" s="82"/>
      <c r="QW201" s="82"/>
      <c r="QX201" s="82"/>
      <c r="QY201" s="82"/>
      <c r="QZ201" s="82"/>
      <c r="RA201" s="82"/>
      <c r="RB201" s="82"/>
      <c r="RC201" s="82"/>
      <c r="RD201" s="82"/>
      <c r="RE201" s="82"/>
      <c r="RF201" s="82"/>
      <c r="RG201" s="82"/>
      <c r="RH201" s="82"/>
      <c r="RI201" s="82"/>
      <c r="RJ201" s="82"/>
      <c r="RK201" s="82"/>
      <c r="RL201" s="82"/>
      <c r="RM201" s="82"/>
      <c r="RN201" s="82"/>
      <c r="RO201" s="82"/>
      <c r="RP201" s="82"/>
      <c r="RQ201" s="82"/>
      <c r="RR201" s="82"/>
      <c r="RS201" s="82"/>
      <c r="RT201" s="82"/>
      <c r="RU201" s="82"/>
      <c r="RV201" s="82"/>
      <c r="RW201" s="82"/>
      <c r="RX201" s="82"/>
      <c r="RY201" s="82"/>
    </row>
    <row r="202" spans="1:493" ht="15.6" customHeight="1">
      <c r="A202" s="82"/>
      <c r="B202" s="109" t="s">
        <v>507</v>
      </c>
      <c r="C202" s="109"/>
      <c r="D202" s="109"/>
      <c r="E202" s="109"/>
      <c r="F202" s="109"/>
      <c r="H202" s="2928"/>
      <c r="I202" s="2928"/>
      <c r="J202" s="2928"/>
      <c r="K202" s="2928"/>
      <c r="L202" s="2931"/>
      <c r="M202" s="2928"/>
      <c r="N202" s="2928"/>
      <c r="O202" s="2928"/>
      <c r="P202" s="2928"/>
      <c r="Q202" s="2928"/>
      <c r="R202" s="768"/>
      <c r="S202" s="3854"/>
      <c r="T202" s="3855"/>
      <c r="U202" s="3855"/>
      <c r="V202" s="3855"/>
      <c r="W202" s="3856"/>
      <c r="JW202" s="430"/>
      <c r="KB202" s="430"/>
      <c r="KG202" s="430"/>
      <c r="KL202" s="430"/>
      <c r="KM202" s="430"/>
      <c r="KN202" s="430"/>
      <c r="KO202" s="430"/>
      <c r="KP202" s="430"/>
      <c r="KQ202" s="430"/>
      <c r="KR202" s="430"/>
      <c r="KS202" s="430"/>
      <c r="KT202" s="430"/>
      <c r="KU202" s="430"/>
      <c r="KV202" s="430"/>
      <c r="KW202" s="430"/>
      <c r="KX202" s="430"/>
      <c r="KY202" s="430"/>
      <c r="KZ202" s="430"/>
      <c r="LA202" s="430"/>
      <c r="LB202" s="430"/>
      <c r="LC202" s="430"/>
      <c r="LD202" s="430"/>
      <c r="LE202" s="430"/>
      <c r="LF202" s="430"/>
      <c r="LG202" s="430"/>
      <c r="LN202" s="430"/>
      <c r="MD202" s="430"/>
      <c r="ME202" s="430"/>
      <c r="NC202" s="82"/>
      <c r="ND202" s="82"/>
      <c r="NE202" s="82"/>
      <c r="NF202" s="82"/>
      <c r="NG202" s="82"/>
      <c r="NH202" s="82"/>
      <c r="NI202" s="82"/>
      <c r="NJ202" s="82"/>
      <c r="NK202" s="82"/>
      <c r="NL202" s="82"/>
      <c r="NM202" s="82"/>
      <c r="NN202" s="82"/>
      <c r="NO202" s="82"/>
      <c r="NQ202" s="82"/>
      <c r="NR202" s="82"/>
      <c r="NS202" s="82"/>
      <c r="NT202" s="82"/>
      <c r="NU202" s="82"/>
      <c r="NV202" s="82"/>
      <c r="NW202" s="82"/>
      <c r="NX202" s="82"/>
      <c r="NY202" s="82"/>
      <c r="NZ202" s="82"/>
      <c r="OA202" s="82"/>
      <c r="OB202" s="82"/>
      <c r="OC202" s="82"/>
      <c r="OD202" s="82"/>
      <c r="OE202" s="82"/>
      <c r="OF202" s="82"/>
      <c r="OG202" s="82"/>
      <c r="OH202" s="82"/>
      <c r="OI202" s="82"/>
      <c r="OJ202" s="82"/>
      <c r="OK202" s="82"/>
      <c r="OL202" s="82"/>
      <c r="OM202" s="82"/>
      <c r="ON202" s="82"/>
      <c r="OO202" s="82"/>
      <c r="OP202" s="82"/>
      <c r="OQ202" s="82"/>
      <c r="OR202" s="82"/>
      <c r="OS202" s="82"/>
      <c r="OT202" s="82"/>
      <c r="OU202" s="82"/>
      <c r="OV202" s="82"/>
      <c r="OW202" s="82"/>
      <c r="OX202" s="82"/>
      <c r="OY202" s="82"/>
      <c r="OZ202" s="82"/>
      <c r="PA202" s="82"/>
      <c r="PB202" s="82"/>
      <c r="PC202" s="82"/>
      <c r="PD202" s="82"/>
      <c r="PE202" s="82"/>
      <c r="PF202" s="82"/>
      <c r="PG202" s="82"/>
      <c r="PH202" s="82"/>
      <c r="PI202" s="82"/>
      <c r="PJ202" s="82"/>
      <c r="PK202" s="82"/>
      <c r="PL202" s="82"/>
      <c r="PM202" s="82"/>
      <c r="PN202" s="82"/>
      <c r="PO202" s="82"/>
      <c r="PP202" s="82"/>
      <c r="PQ202" s="82"/>
      <c r="PR202" s="82"/>
      <c r="PS202" s="82"/>
      <c r="PT202" s="82"/>
      <c r="PU202" s="82"/>
      <c r="PV202" s="82"/>
      <c r="PW202" s="82"/>
      <c r="PX202" s="82"/>
      <c r="PY202" s="82"/>
      <c r="PZ202" s="82"/>
      <c r="QA202" s="82"/>
      <c r="QB202" s="82"/>
      <c r="QC202" s="82"/>
      <c r="QD202" s="82"/>
      <c r="QE202" s="82"/>
      <c r="QF202" s="82"/>
      <c r="QG202" s="82"/>
      <c r="QH202" s="82"/>
      <c r="QI202" s="82"/>
      <c r="QJ202" s="82"/>
      <c r="QK202" s="82"/>
      <c r="QL202" s="82"/>
      <c r="QM202" s="82"/>
      <c r="QN202" s="82"/>
      <c r="QO202" s="82"/>
      <c r="QP202" s="82"/>
      <c r="QQ202" s="82"/>
      <c r="QR202" s="82"/>
      <c r="QS202" s="82"/>
      <c r="QT202" s="82"/>
      <c r="QU202" s="82"/>
      <c r="QV202" s="82"/>
      <c r="QW202" s="82"/>
      <c r="QX202" s="82"/>
      <c r="QY202" s="82"/>
      <c r="QZ202" s="82"/>
      <c r="RA202" s="82"/>
      <c r="RB202" s="82"/>
      <c r="RC202" s="82"/>
      <c r="RD202" s="82"/>
      <c r="RE202" s="82"/>
      <c r="RF202" s="82"/>
      <c r="RG202" s="82"/>
      <c r="RH202" s="82"/>
      <c r="RI202" s="82"/>
      <c r="RJ202" s="82"/>
      <c r="RK202" s="82"/>
      <c r="RL202" s="82"/>
      <c r="RM202" s="82"/>
      <c r="RN202" s="82"/>
      <c r="RO202" s="82"/>
      <c r="RP202" s="82"/>
      <c r="RQ202" s="82"/>
      <c r="RR202" s="82"/>
      <c r="RS202" s="82"/>
      <c r="RT202" s="82"/>
      <c r="RU202" s="82"/>
      <c r="RV202" s="82"/>
      <c r="RW202" s="82"/>
      <c r="RX202" s="82"/>
      <c r="RY202" s="82"/>
    </row>
    <row r="203" spans="1:493" ht="15.6" customHeight="1">
      <c r="A203" s="82"/>
      <c r="B203" s="109" t="s">
        <v>711</v>
      </c>
      <c r="C203" s="3884"/>
      <c r="D203" s="3885"/>
      <c r="E203" s="3885"/>
      <c r="F203" s="3886"/>
      <c r="H203" s="2929"/>
      <c r="I203" s="2929"/>
      <c r="J203" s="2929"/>
      <c r="K203" s="2929"/>
      <c r="L203" s="2930"/>
      <c r="M203" s="2929"/>
      <c r="N203" s="2929"/>
      <c r="O203" s="2929"/>
      <c r="P203" s="2929"/>
      <c r="Q203" s="2929"/>
      <c r="R203" s="768"/>
      <c r="S203" s="3833"/>
      <c r="T203" s="3834"/>
      <c r="U203" s="3834"/>
      <c r="V203" s="3834"/>
      <c r="W203" s="3835"/>
      <c r="JW203" s="430"/>
      <c r="KB203" s="430"/>
      <c r="KG203" s="430"/>
      <c r="KL203" s="430"/>
      <c r="KM203" s="430"/>
      <c r="KN203" s="430"/>
      <c r="KO203" s="430"/>
      <c r="KP203" s="430"/>
      <c r="KQ203" s="430"/>
      <c r="KR203" s="430"/>
      <c r="KS203" s="430"/>
      <c r="KT203" s="430"/>
      <c r="KU203" s="430"/>
      <c r="KV203" s="430"/>
      <c r="KW203" s="430"/>
      <c r="KX203" s="430"/>
      <c r="KY203" s="430"/>
      <c r="KZ203" s="430"/>
      <c r="LA203" s="430"/>
      <c r="LB203" s="430"/>
      <c r="LC203" s="430"/>
      <c r="LD203" s="430"/>
      <c r="LE203" s="430"/>
      <c r="LF203" s="430"/>
      <c r="LG203" s="430"/>
      <c r="LN203" s="430"/>
      <c r="MD203" s="430"/>
      <c r="ME203" s="430"/>
      <c r="NC203" s="82"/>
      <c r="ND203" s="82"/>
      <c r="NE203" s="82"/>
      <c r="NF203" s="82"/>
      <c r="NG203" s="82"/>
      <c r="NH203" s="82"/>
      <c r="NI203" s="82"/>
      <c r="NJ203" s="82"/>
      <c r="NK203" s="82"/>
      <c r="NL203" s="82"/>
      <c r="NM203" s="82"/>
      <c r="NN203" s="82"/>
      <c r="NO203" s="82"/>
      <c r="NQ203" s="82"/>
      <c r="NR203" s="82"/>
      <c r="NS203" s="82"/>
      <c r="NT203" s="82"/>
      <c r="NU203" s="82"/>
      <c r="NV203" s="82"/>
      <c r="NW203" s="82"/>
      <c r="NX203" s="82"/>
      <c r="NY203" s="82"/>
      <c r="NZ203" s="82"/>
      <c r="OA203" s="82"/>
      <c r="OB203" s="82"/>
      <c r="OC203" s="82"/>
      <c r="OD203" s="82"/>
      <c r="OE203" s="82"/>
      <c r="OF203" s="82"/>
      <c r="OG203" s="82"/>
      <c r="OH203" s="82"/>
      <c r="OI203" s="82"/>
      <c r="OJ203" s="82"/>
      <c r="OK203" s="82"/>
      <c r="OL203" s="82"/>
      <c r="OM203" s="82"/>
      <c r="ON203" s="82"/>
      <c r="OO203" s="82"/>
      <c r="OP203" s="82"/>
      <c r="OQ203" s="82"/>
      <c r="OR203" s="82"/>
      <c r="OS203" s="82"/>
      <c r="OT203" s="82"/>
      <c r="OU203" s="82"/>
      <c r="OV203" s="82"/>
      <c r="OW203" s="82"/>
      <c r="OX203" s="82"/>
      <c r="OY203" s="82"/>
      <c r="OZ203" s="82"/>
      <c r="PA203" s="82"/>
      <c r="PB203" s="82"/>
      <c r="PC203" s="82"/>
      <c r="PD203" s="82"/>
      <c r="PE203" s="82"/>
      <c r="PF203" s="82"/>
      <c r="PG203" s="82"/>
      <c r="PH203" s="82"/>
      <c r="PI203" s="82"/>
      <c r="PJ203" s="82"/>
      <c r="PK203" s="82"/>
      <c r="PL203" s="82"/>
      <c r="PM203" s="82"/>
      <c r="PN203" s="82"/>
      <c r="PO203" s="82"/>
      <c r="PP203" s="82"/>
      <c r="PQ203" s="82"/>
      <c r="PR203" s="82"/>
      <c r="PS203" s="82"/>
      <c r="PT203" s="82"/>
      <c r="PU203" s="82"/>
      <c r="PV203" s="82"/>
      <c r="PW203" s="82"/>
      <c r="PX203" s="82"/>
      <c r="PY203" s="82"/>
      <c r="PZ203" s="82"/>
      <c r="QA203" s="82"/>
      <c r="QB203" s="82"/>
      <c r="QC203" s="82"/>
      <c r="QD203" s="82"/>
      <c r="QE203" s="82"/>
      <c r="QF203" s="82"/>
      <c r="QG203" s="82"/>
      <c r="QH203" s="82"/>
      <c r="QI203" s="82"/>
      <c r="QJ203" s="82"/>
      <c r="QK203" s="82"/>
      <c r="QL203" s="82"/>
      <c r="QM203" s="82"/>
      <c r="QN203" s="82"/>
      <c r="QO203" s="82"/>
      <c r="QP203" s="82"/>
      <c r="QQ203" s="82"/>
      <c r="QR203" s="82"/>
      <c r="QS203" s="82"/>
      <c r="QT203" s="82"/>
      <c r="QU203" s="82"/>
      <c r="QV203" s="82"/>
      <c r="QW203" s="82"/>
      <c r="QX203" s="82"/>
      <c r="QY203" s="82"/>
      <c r="QZ203" s="82"/>
      <c r="RA203" s="82"/>
      <c r="RB203" s="82"/>
      <c r="RC203" s="82"/>
      <c r="RD203" s="82"/>
      <c r="RE203" s="82"/>
      <c r="RF203" s="82"/>
      <c r="RG203" s="82"/>
      <c r="RH203" s="82"/>
      <c r="RI203" s="82"/>
      <c r="RJ203" s="82"/>
      <c r="RK203" s="82"/>
      <c r="RL203" s="82"/>
      <c r="RM203" s="82"/>
      <c r="RN203" s="82"/>
      <c r="RO203" s="82"/>
      <c r="RP203" s="82"/>
      <c r="RQ203" s="82"/>
      <c r="RR203" s="82"/>
      <c r="RS203" s="82"/>
      <c r="RT203" s="82"/>
      <c r="RU203" s="82"/>
      <c r="RV203" s="82"/>
      <c r="RW203" s="82"/>
      <c r="RX203" s="82"/>
      <c r="RY203" s="82"/>
    </row>
    <row r="204" spans="1:493" ht="15.6" customHeight="1">
      <c r="A204" s="82"/>
      <c r="B204" s="109"/>
      <c r="C204" s="109" t="s">
        <v>184</v>
      </c>
      <c r="D204" s="109"/>
      <c r="E204" s="109"/>
      <c r="F204" s="109"/>
      <c r="H204" s="801">
        <f>SUM(H202:H203)</f>
        <v>0</v>
      </c>
      <c r="I204" s="801">
        <f>SUM(I202:I203)</f>
        <v>0</v>
      </c>
      <c r="J204" s="801">
        <f t="shared" ref="J204:Q204" si="386">SUM(J202:J203)</f>
        <v>0</v>
      </c>
      <c r="K204" s="801">
        <f t="shared" si="386"/>
        <v>0</v>
      </c>
      <c r="L204" s="801">
        <f t="shared" si="386"/>
        <v>0</v>
      </c>
      <c r="M204" s="801">
        <f t="shared" si="386"/>
        <v>0</v>
      </c>
      <c r="N204" s="801">
        <f t="shared" si="386"/>
        <v>0</v>
      </c>
      <c r="O204" s="801">
        <f t="shared" si="386"/>
        <v>0</v>
      </c>
      <c r="P204" s="801">
        <f t="shared" si="386"/>
        <v>0</v>
      </c>
      <c r="Q204" s="801">
        <f t="shared" si="386"/>
        <v>0</v>
      </c>
      <c r="R204" s="117"/>
      <c r="S204" s="3839"/>
      <c r="T204" s="3840"/>
      <c r="U204" s="3840"/>
      <c r="V204" s="3840"/>
      <c r="W204" s="3841"/>
      <c r="JW204" s="430"/>
      <c r="KB204" s="430"/>
      <c r="KG204" s="430"/>
      <c r="KL204" s="430"/>
      <c r="KM204" s="430"/>
      <c r="KN204" s="430"/>
      <c r="KO204" s="430"/>
      <c r="KP204" s="430"/>
      <c r="KQ204" s="430"/>
      <c r="KR204" s="430"/>
      <c r="KS204" s="430"/>
      <c r="KT204" s="430"/>
      <c r="KU204" s="430"/>
      <c r="KV204" s="430"/>
      <c r="KW204" s="430"/>
      <c r="KX204" s="430"/>
      <c r="KY204" s="430"/>
      <c r="KZ204" s="430"/>
      <c r="LA204" s="430"/>
      <c r="LB204" s="430"/>
      <c r="LC204" s="430"/>
      <c r="LD204" s="430"/>
      <c r="LE204" s="430"/>
      <c r="LF204" s="430"/>
      <c r="LG204" s="430"/>
      <c r="LN204" s="430"/>
      <c r="MD204" s="430"/>
      <c r="ME204" s="430"/>
      <c r="NC204" s="82"/>
      <c r="ND204" s="82"/>
      <c r="NE204" s="82"/>
      <c r="NF204" s="82"/>
      <c r="NG204" s="82"/>
      <c r="NH204" s="82"/>
      <c r="NI204" s="82"/>
      <c r="NJ204" s="82"/>
      <c r="NK204" s="82"/>
      <c r="NL204" s="82"/>
      <c r="NM204" s="82"/>
      <c r="NN204" s="82"/>
      <c r="NO204" s="82"/>
      <c r="NQ204" s="82"/>
      <c r="NR204" s="82"/>
      <c r="NS204" s="82"/>
      <c r="NT204" s="82"/>
      <c r="NU204" s="82"/>
      <c r="NV204" s="82"/>
      <c r="NW204" s="82"/>
      <c r="NX204" s="82"/>
      <c r="NY204" s="82"/>
      <c r="NZ204" s="82"/>
      <c r="OA204" s="82"/>
      <c r="OB204" s="82"/>
      <c r="OC204" s="82"/>
      <c r="OD204" s="82"/>
      <c r="OE204" s="82"/>
      <c r="OF204" s="82"/>
      <c r="OG204" s="82"/>
      <c r="OH204" s="82"/>
      <c r="OI204" s="82"/>
      <c r="OJ204" s="82"/>
      <c r="OK204" s="82"/>
      <c r="OL204" s="82"/>
      <c r="OM204" s="82"/>
      <c r="ON204" s="82"/>
      <c r="OO204" s="82"/>
      <c r="OP204" s="82"/>
      <c r="OQ204" s="82"/>
      <c r="OR204" s="82"/>
      <c r="OS204" s="82"/>
      <c r="OT204" s="82"/>
      <c r="OU204" s="82"/>
      <c r="OV204" s="82"/>
      <c r="OW204" s="82"/>
      <c r="OX204" s="82"/>
      <c r="OY204" s="82"/>
      <c r="OZ204" s="82"/>
      <c r="PA204" s="82"/>
      <c r="PB204" s="82"/>
      <c r="PC204" s="82"/>
      <c r="PD204" s="82"/>
      <c r="PE204" s="82"/>
      <c r="PF204" s="82"/>
      <c r="PG204" s="82"/>
      <c r="PH204" s="82"/>
      <c r="PI204" s="82"/>
      <c r="PJ204" s="82"/>
      <c r="PK204" s="82"/>
      <c r="PL204" s="82"/>
      <c r="PM204" s="82"/>
      <c r="PN204" s="82"/>
      <c r="PO204" s="82"/>
      <c r="PP204" s="82"/>
      <c r="PQ204" s="82"/>
      <c r="PR204" s="82"/>
      <c r="PS204" s="82"/>
      <c r="PT204" s="82"/>
      <c r="PU204" s="82"/>
      <c r="PV204" s="82"/>
      <c r="PW204" s="82"/>
      <c r="PX204" s="82"/>
      <c r="PY204" s="82"/>
      <c r="PZ204" s="82"/>
      <c r="QA204" s="82"/>
      <c r="QB204" s="82"/>
      <c r="QC204" s="82"/>
      <c r="QD204" s="82"/>
      <c r="QE204" s="82"/>
      <c r="QF204" s="82"/>
      <c r="QG204" s="82"/>
      <c r="QH204" s="82"/>
      <c r="QI204" s="82"/>
      <c r="QJ204" s="82"/>
      <c r="QK204" s="82"/>
      <c r="QL204" s="82"/>
      <c r="QM204" s="82"/>
      <c r="QN204" s="82"/>
      <c r="QO204" s="82"/>
      <c r="QP204" s="82"/>
      <c r="QQ204" s="82"/>
      <c r="QR204" s="82"/>
      <c r="QS204" s="82"/>
      <c r="QT204" s="82"/>
      <c r="QU204" s="82"/>
      <c r="QV204" s="82"/>
      <c r="QW204" s="82"/>
      <c r="QX204" s="82"/>
      <c r="QY204" s="82"/>
      <c r="QZ204" s="82"/>
      <c r="RA204" s="82"/>
      <c r="RB204" s="82"/>
      <c r="RC204" s="82"/>
      <c r="RD204" s="82"/>
      <c r="RE204" s="82"/>
      <c r="RF204" s="82"/>
      <c r="RG204" s="82"/>
      <c r="RH204" s="82"/>
      <c r="RI204" s="82"/>
      <c r="RJ204" s="82"/>
      <c r="RK204" s="82"/>
      <c r="RL204" s="82"/>
      <c r="RM204" s="82"/>
      <c r="RN204" s="82"/>
      <c r="RO204" s="82"/>
      <c r="RP204" s="82"/>
      <c r="RQ204" s="82"/>
      <c r="RR204" s="82"/>
      <c r="RS204" s="82"/>
      <c r="RT204" s="82"/>
      <c r="RU204" s="82"/>
      <c r="RV204" s="82"/>
      <c r="RW204" s="82"/>
      <c r="RX204" s="82"/>
      <c r="RY204" s="82"/>
    </row>
    <row r="205" spans="1:493" ht="15.6" customHeight="1">
      <c r="B205" s="795"/>
      <c r="C205" s="89"/>
      <c r="D205" s="89"/>
      <c r="E205" s="89"/>
      <c r="F205" s="89"/>
      <c r="H205" s="803"/>
      <c r="I205" s="89"/>
      <c r="J205" s="89"/>
      <c r="K205" s="89"/>
      <c r="L205" s="89"/>
      <c r="M205" s="89"/>
      <c r="N205" s="89"/>
      <c r="O205" s="89"/>
      <c r="P205" s="89"/>
      <c r="Q205" s="89"/>
      <c r="R205" s="8"/>
    </row>
    <row r="206" spans="1:493" ht="15.6" customHeight="1">
      <c r="B206" s="798" t="s">
        <v>2182</v>
      </c>
      <c r="C206" s="89"/>
      <c r="D206" s="89"/>
      <c r="E206" s="89"/>
      <c r="F206" s="89"/>
      <c r="H206" s="799">
        <v>31</v>
      </c>
      <c r="I206" s="799">
        <v>32</v>
      </c>
      <c r="J206" s="799">
        <v>33</v>
      </c>
      <c r="K206" s="799">
        <v>34</v>
      </c>
      <c r="L206" s="799">
        <v>35</v>
      </c>
      <c r="M206" s="89"/>
      <c r="N206" s="89"/>
      <c r="O206" s="89"/>
      <c r="P206" s="89"/>
      <c r="Q206" s="89"/>
      <c r="S206" s="137" t="s">
        <v>2497</v>
      </c>
      <c r="T206" s="93" t="str">
        <f>B206</f>
        <v>Included in Mgt Fee:</v>
      </c>
    </row>
    <row r="207" spans="1:493" ht="15.6" customHeight="1">
      <c r="B207" s="109" t="s">
        <v>978</v>
      </c>
      <c r="C207" s="109"/>
      <c r="D207" s="109"/>
      <c r="E207" s="109"/>
      <c r="F207" s="109"/>
      <c r="H207" s="2928"/>
      <c r="I207" s="2928"/>
      <c r="J207" s="2928"/>
      <c r="K207" s="2928"/>
      <c r="L207" s="2931"/>
      <c r="M207" s="89"/>
      <c r="N207" s="89"/>
      <c r="O207" s="89"/>
      <c r="P207" s="89"/>
      <c r="Q207" s="89"/>
      <c r="R207" s="8"/>
      <c r="S207" s="3854"/>
      <c r="T207" s="3855"/>
      <c r="U207" s="3855"/>
      <c r="V207" s="3855"/>
      <c r="W207" s="3856"/>
    </row>
    <row r="208" spans="1:493" ht="15.6" customHeight="1">
      <c r="B208" s="109" t="s">
        <v>711</v>
      </c>
      <c r="C208" s="3884"/>
      <c r="D208" s="3885"/>
      <c r="E208" s="3885"/>
      <c r="F208" s="3886"/>
      <c r="H208" s="2929"/>
      <c r="I208" s="2929"/>
      <c r="J208" s="2929"/>
      <c r="K208" s="2929"/>
      <c r="L208" s="2930"/>
      <c r="M208" s="89"/>
      <c r="N208" s="89"/>
      <c r="O208" s="89"/>
      <c r="P208" s="89"/>
      <c r="Q208" s="89"/>
      <c r="R208" s="8"/>
      <c r="S208" s="3833"/>
      <c r="T208" s="3834"/>
      <c r="U208" s="3834"/>
      <c r="V208" s="3834"/>
      <c r="W208" s="3835"/>
    </row>
    <row r="209" spans="1:493" ht="15.6" customHeight="1">
      <c r="B209" s="109"/>
      <c r="C209" s="109" t="s">
        <v>894</v>
      </c>
      <c r="D209" s="109"/>
      <c r="E209" s="109"/>
      <c r="F209" s="109"/>
      <c r="H209" s="801">
        <f>SUM(H207:H208)</f>
        <v>0</v>
      </c>
      <c r="I209" s="801">
        <f>SUM(I207:I208)</f>
        <v>0</v>
      </c>
      <c r="J209" s="801">
        <f>SUM(J207:J208)</f>
        <v>0</v>
      </c>
      <c r="K209" s="801">
        <f>SUM(K207:K208)</f>
        <v>0</v>
      </c>
      <c r="L209" s="801">
        <f>SUM(L207:L208)</f>
        <v>0</v>
      </c>
      <c r="M209" s="89"/>
      <c r="N209" s="89"/>
      <c r="O209" s="89"/>
      <c r="P209" s="89"/>
      <c r="Q209" s="89"/>
      <c r="R209" s="8"/>
      <c r="S209" s="3839"/>
      <c r="T209" s="3840"/>
      <c r="U209" s="3840"/>
      <c r="V209" s="3840"/>
      <c r="W209" s="3841"/>
    </row>
    <row r="210" spans="1:493" ht="15.6" customHeight="1">
      <c r="B210" s="802" t="s">
        <v>3310</v>
      </c>
      <c r="C210" s="89"/>
      <c r="D210" s="89"/>
      <c r="E210" s="89"/>
      <c r="F210" s="89"/>
      <c r="H210" s="803"/>
      <c r="I210" s="89"/>
      <c r="J210" s="89"/>
      <c r="K210" s="89"/>
      <c r="L210" s="89"/>
      <c r="M210" s="89"/>
      <c r="N210" s="89"/>
      <c r="O210" s="89"/>
      <c r="P210" s="89"/>
      <c r="Q210" s="89"/>
      <c r="R210" s="8"/>
      <c r="S210" s="93" t="str">
        <f>B210</f>
        <v>NOT Included in Mgt Fee:</v>
      </c>
    </row>
    <row r="211" spans="1:493" ht="15.6" customHeight="1">
      <c r="B211" s="109" t="s">
        <v>507</v>
      </c>
      <c r="C211" s="109"/>
      <c r="D211" s="109"/>
      <c r="E211" s="109"/>
      <c r="F211" s="109"/>
      <c r="H211" s="2928"/>
      <c r="I211" s="2928"/>
      <c r="J211" s="2928"/>
      <c r="K211" s="2928"/>
      <c r="L211" s="2931"/>
      <c r="M211" s="89"/>
      <c r="N211" s="89"/>
      <c r="O211" s="89"/>
      <c r="P211" s="89"/>
      <c r="Q211" s="89"/>
      <c r="R211" s="8"/>
      <c r="S211" s="3854"/>
      <c r="T211" s="3855"/>
      <c r="U211" s="3855"/>
      <c r="V211" s="3855"/>
      <c r="W211" s="3856"/>
    </row>
    <row r="212" spans="1:493" ht="15.6" customHeight="1">
      <c r="B212" s="109" t="s">
        <v>711</v>
      </c>
      <c r="C212" s="3884"/>
      <c r="D212" s="3885"/>
      <c r="E212" s="3885"/>
      <c r="F212" s="3886"/>
      <c r="H212" s="2929"/>
      <c r="I212" s="2929"/>
      <c r="J212" s="2929"/>
      <c r="K212" s="2929"/>
      <c r="L212" s="2930"/>
      <c r="M212" s="89"/>
      <c r="N212" s="89"/>
      <c r="O212" s="89"/>
      <c r="P212" s="89"/>
      <c r="Q212" s="89"/>
      <c r="R212" s="8"/>
      <c r="S212" s="3833"/>
      <c r="T212" s="3834"/>
      <c r="U212" s="3834"/>
      <c r="V212" s="3834"/>
      <c r="W212" s="3835"/>
    </row>
    <row r="213" spans="1:493" ht="15.6" customHeight="1">
      <c r="B213" s="109"/>
      <c r="C213" s="109" t="s">
        <v>184</v>
      </c>
      <c r="D213" s="109"/>
      <c r="E213" s="109"/>
      <c r="F213" s="109"/>
      <c r="H213" s="801">
        <f>SUM(H211:H212)</f>
        <v>0</v>
      </c>
      <c r="I213" s="801">
        <f>SUM(I211:I212)</f>
        <v>0</v>
      </c>
      <c r="J213" s="801">
        <f>SUM(J211:J212)</f>
        <v>0</v>
      </c>
      <c r="K213" s="801">
        <f>SUM(K211:K212)</f>
        <v>0</v>
      </c>
      <c r="L213" s="801">
        <f>SUM(L211:L212)</f>
        <v>0</v>
      </c>
      <c r="M213" s="89"/>
      <c r="N213" s="89"/>
      <c r="O213" s="89"/>
      <c r="P213" s="89"/>
      <c r="Q213" s="89"/>
      <c r="R213" s="8"/>
      <c r="S213" s="3839"/>
      <c r="T213" s="3840"/>
      <c r="U213" s="3840"/>
      <c r="V213" s="3840"/>
      <c r="W213" s="3841"/>
    </row>
    <row r="214" spans="1:493" ht="2.25" customHeight="1">
      <c r="B214" s="13"/>
      <c r="F214" s="34"/>
      <c r="G214" s="34"/>
      <c r="K214" s="16"/>
      <c r="Q214" s="8"/>
      <c r="R214" s="8"/>
    </row>
    <row r="215" spans="1:493" s="90" customFormat="1" ht="11.25" customHeight="1">
      <c r="A215" s="4" t="s">
        <v>1711</v>
      </c>
      <c r="B215" s="2" t="s">
        <v>980</v>
      </c>
      <c r="C215" s="2"/>
      <c r="D215" s="2"/>
      <c r="E215" s="2"/>
      <c r="F215" s="2"/>
      <c r="G215" s="2"/>
      <c r="H215" s="2"/>
      <c r="I215" s="2"/>
      <c r="J215" s="2"/>
      <c r="K215" s="2"/>
      <c r="L215" s="2"/>
      <c r="M215" s="1"/>
      <c r="N215" s="14"/>
      <c r="O215" s="6"/>
      <c r="P215" s="6"/>
      <c r="Q215" s="1"/>
      <c r="R215" s="1"/>
      <c r="S215" s="4" t="str">
        <f>B215</f>
        <v>ANNUAL OPERATING EXPENSE BUDGET</v>
      </c>
      <c r="T215" s="82"/>
      <c r="X215" s="430"/>
      <c r="Y215" s="432"/>
      <c r="Z215" s="432"/>
      <c r="AA215" s="432"/>
      <c r="AB215" s="432"/>
      <c r="AC215" s="430"/>
      <c r="AD215" s="432"/>
      <c r="AE215" s="432"/>
      <c r="AF215" s="432"/>
      <c r="AG215" s="432"/>
      <c r="AH215" s="430"/>
      <c r="AI215" s="432"/>
      <c r="AJ215" s="432"/>
      <c r="AK215" s="432"/>
      <c r="AL215" s="432"/>
      <c r="AM215" s="430"/>
      <c r="AN215" s="432"/>
      <c r="AO215" s="432"/>
      <c r="AP215" s="432"/>
      <c r="AQ215" s="432"/>
      <c r="AR215" s="432"/>
      <c r="AS215" s="432"/>
      <c r="AT215" s="432"/>
      <c r="AU215" s="432"/>
      <c r="AV215" s="432"/>
      <c r="AW215" s="432"/>
      <c r="AX215" s="432"/>
      <c r="AY215" s="432"/>
      <c r="AZ215" s="432"/>
      <c r="BA215" s="432"/>
      <c r="BB215" s="432"/>
      <c r="BC215" s="432"/>
      <c r="BD215" s="432"/>
      <c r="BE215" s="432"/>
      <c r="BF215" s="432"/>
      <c r="BG215" s="432"/>
      <c r="BH215" s="432"/>
      <c r="BI215" s="432"/>
      <c r="BJ215" s="432"/>
      <c r="BK215" s="432"/>
      <c r="BL215" s="432"/>
      <c r="BM215" s="432"/>
      <c r="BN215" s="432"/>
      <c r="BO215" s="432"/>
      <c r="BP215" s="432"/>
      <c r="BQ215" s="432"/>
      <c r="BR215" s="432"/>
      <c r="BS215" s="432"/>
      <c r="BT215" s="432"/>
      <c r="BU215" s="432"/>
      <c r="BV215" s="432"/>
      <c r="BW215" s="432"/>
      <c r="BX215" s="432"/>
      <c r="BY215" s="432"/>
      <c r="BZ215" s="432"/>
      <c r="CA215" s="432"/>
      <c r="CB215" s="432"/>
      <c r="CC215" s="432"/>
      <c r="CD215" s="432"/>
      <c r="CE215" s="432"/>
      <c r="CF215" s="432"/>
      <c r="CG215" s="432"/>
      <c r="CH215" s="432"/>
      <c r="CI215" s="432"/>
      <c r="CJ215" s="432"/>
      <c r="CK215" s="432"/>
      <c r="CL215" s="432"/>
      <c r="CM215" s="432"/>
      <c r="CN215" s="432"/>
      <c r="CO215" s="432"/>
      <c r="CP215" s="432"/>
      <c r="CQ215" s="432"/>
      <c r="CR215" s="432"/>
      <c r="CS215" s="432"/>
      <c r="CT215" s="432"/>
      <c r="CU215" s="432"/>
      <c r="CV215" s="432"/>
      <c r="CW215" s="432"/>
      <c r="CX215" s="432"/>
      <c r="CY215" s="432"/>
      <c r="CZ215" s="432"/>
      <c r="DA215" s="432"/>
      <c r="DB215" s="432"/>
      <c r="DC215" s="432"/>
      <c r="DD215" s="432"/>
      <c r="DE215" s="432"/>
      <c r="DF215" s="432"/>
      <c r="DG215" s="432"/>
      <c r="DH215" s="432"/>
      <c r="DI215" s="432"/>
      <c r="DJ215" s="432"/>
      <c r="DK215" s="432"/>
      <c r="DL215" s="432"/>
      <c r="DM215" s="432"/>
      <c r="DN215" s="432"/>
      <c r="DO215" s="432"/>
      <c r="DP215" s="432"/>
      <c r="DQ215" s="432"/>
      <c r="DR215" s="432"/>
      <c r="DS215" s="432"/>
      <c r="DT215" s="432"/>
      <c r="DU215" s="432"/>
      <c r="DV215" s="432"/>
      <c r="DW215" s="432"/>
      <c r="DX215" s="432"/>
      <c r="DY215" s="432"/>
      <c r="DZ215" s="432"/>
      <c r="EA215" s="432"/>
      <c r="EB215" s="432"/>
      <c r="EC215" s="432"/>
      <c r="ED215" s="432"/>
      <c r="EE215" s="432"/>
      <c r="EF215" s="432"/>
      <c r="EG215" s="432"/>
      <c r="EH215" s="432"/>
      <c r="EI215" s="432"/>
      <c r="EJ215" s="432"/>
      <c r="EK215" s="432"/>
      <c r="EL215" s="432"/>
      <c r="EM215" s="432"/>
      <c r="EN215" s="432"/>
      <c r="EO215" s="432"/>
      <c r="EP215" s="432"/>
      <c r="EQ215" s="432"/>
      <c r="ER215" s="432"/>
      <c r="ES215" s="432"/>
      <c r="ET215" s="432"/>
      <c r="EU215" s="432"/>
      <c r="EV215" s="432"/>
      <c r="EW215" s="432"/>
      <c r="EX215" s="432"/>
      <c r="EY215" s="432"/>
      <c r="EZ215" s="432"/>
      <c r="FA215" s="432"/>
      <c r="FB215" s="432"/>
      <c r="FC215" s="432"/>
      <c r="FD215" s="432"/>
      <c r="FE215" s="432"/>
      <c r="FF215" s="432"/>
      <c r="FG215" s="432"/>
      <c r="FH215" s="432"/>
      <c r="FI215" s="432"/>
      <c r="FJ215" s="432"/>
      <c r="FK215" s="432"/>
      <c r="FL215" s="432"/>
      <c r="FM215" s="432"/>
      <c r="FN215" s="432"/>
      <c r="FO215" s="432"/>
      <c r="FP215" s="432"/>
      <c r="FQ215" s="432"/>
      <c r="FR215" s="432"/>
      <c r="FS215" s="432"/>
      <c r="FT215" s="432"/>
      <c r="FU215" s="432"/>
      <c r="FV215" s="432"/>
      <c r="FW215" s="432"/>
      <c r="FX215" s="432"/>
      <c r="FY215" s="432"/>
      <c r="FZ215" s="432"/>
      <c r="GA215" s="432"/>
      <c r="GB215" s="432"/>
      <c r="GC215" s="432"/>
      <c r="GD215" s="432"/>
      <c r="GE215" s="432"/>
      <c r="GF215" s="432"/>
      <c r="GG215" s="432"/>
      <c r="GH215" s="432"/>
      <c r="GI215" s="432"/>
      <c r="GJ215" s="432"/>
      <c r="GK215" s="432"/>
      <c r="GL215" s="432"/>
      <c r="GM215" s="432"/>
      <c r="GN215" s="432"/>
      <c r="GO215" s="432"/>
      <c r="GP215" s="432"/>
      <c r="GQ215" s="432"/>
      <c r="GR215" s="432"/>
      <c r="GS215" s="432"/>
      <c r="GT215" s="432"/>
      <c r="GU215" s="432"/>
      <c r="GV215" s="432"/>
      <c r="GW215" s="432"/>
      <c r="GX215" s="432"/>
      <c r="GY215" s="432"/>
      <c r="GZ215" s="432"/>
      <c r="HA215" s="432"/>
      <c r="HB215" s="432"/>
      <c r="HC215" s="432"/>
      <c r="HD215" s="432"/>
      <c r="HE215" s="432"/>
      <c r="HF215" s="432"/>
      <c r="HG215" s="432"/>
      <c r="HH215" s="432"/>
      <c r="HI215" s="432"/>
      <c r="HJ215" s="432"/>
      <c r="HK215" s="432"/>
      <c r="HL215" s="432"/>
      <c r="HM215" s="432"/>
      <c r="HN215" s="432"/>
      <c r="HO215" s="432"/>
      <c r="HP215" s="432"/>
      <c r="HQ215" s="432"/>
      <c r="HR215" s="432"/>
      <c r="HS215" s="432"/>
      <c r="HT215" s="432"/>
      <c r="HU215" s="432"/>
      <c r="HV215" s="432"/>
      <c r="HW215" s="432"/>
      <c r="HX215" s="432"/>
      <c r="HY215" s="432"/>
      <c r="HZ215" s="432"/>
      <c r="IA215" s="432"/>
      <c r="IB215" s="432"/>
      <c r="IC215" s="432"/>
      <c r="ID215" s="432"/>
      <c r="IE215" s="432"/>
      <c r="IF215" s="432"/>
      <c r="IG215" s="432"/>
      <c r="IH215" s="432"/>
      <c r="II215" s="432"/>
      <c r="IJ215" s="432"/>
      <c r="IK215" s="432"/>
      <c r="IL215" s="432"/>
      <c r="IM215" s="432"/>
      <c r="IN215" s="432"/>
      <c r="IO215" s="432"/>
      <c r="IP215" s="432"/>
      <c r="IQ215" s="432"/>
      <c r="IR215" s="432"/>
      <c r="IS215" s="432"/>
      <c r="IT215" s="432"/>
      <c r="IU215" s="432"/>
      <c r="IV215" s="432"/>
      <c r="IW215" s="432"/>
      <c r="IX215" s="432"/>
      <c r="IY215" s="432"/>
      <c r="IZ215" s="432"/>
      <c r="JA215" s="432"/>
      <c r="JB215" s="432"/>
      <c r="JC215" s="432"/>
      <c r="JD215" s="432"/>
      <c r="JE215" s="432"/>
      <c r="JF215" s="432"/>
      <c r="JG215" s="432"/>
      <c r="JH215" s="432"/>
      <c r="JI215" s="432"/>
      <c r="JJ215" s="432"/>
      <c r="JK215" s="432"/>
      <c r="JL215" s="432"/>
      <c r="JM215" s="432"/>
      <c r="JN215" s="432"/>
      <c r="JO215" s="432"/>
      <c r="JP215" s="432"/>
      <c r="JQ215" s="432"/>
      <c r="JR215" s="432"/>
      <c r="JS215" s="432"/>
      <c r="JT215" s="432"/>
      <c r="JU215" s="432"/>
      <c r="JV215" s="432"/>
      <c r="JW215" s="1810"/>
      <c r="JX215" s="432"/>
      <c r="JY215" s="432"/>
      <c r="JZ215" s="432"/>
      <c r="KA215" s="432"/>
      <c r="KB215" s="1810"/>
      <c r="KC215" s="432"/>
      <c r="KD215" s="432"/>
      <c r="KE215" s="432"/>
      <c r="KF215" s="432"/>
      <c r="KG215" s="1810"/>
      <c r="KH215" s="432"/>
      <c r="KI215" s="432"/>
      <c r="KJ215" s="432"/>
      <c r="KK215" s="432"/>
      <c r="KL215" s="1810"/>
      <c r="KM215" s="1810"/>
      <c r="KN215" s="1810"/>
      <c r="KO215" s="1810"/>
      <c r="KP215" s="1810"/>
      <c r="KQ215" s="1810"/>
      <c r="KR215" s="1810"/>
      <c r="KS215" s="1810"/>
      <c r="KT215" s="1810"/>
      <c r="KU215" s="1810"/>
      <c r="KV215" s="1810"/>
      <c r="KW215" s="1810"/>
      <c r="KX215" s="1810"/>
      <c r="KY215" s="1810"/>
      <c r="KZ215" s="1810"/>
      <c r="LA215" s="1810"/>
      <c r="LB215" s="1810"/>
      <c r="LC215" s="1810"/>
      <c r="LD215" s="1810"/>
      <c r="LE215" s="1810"/>
      <c r="LF215" s="1810"/>
      <c r="LG215" s="1810"/>
      <c r="LH215" s="432"/>
      <c r="LI215" s="432"/>
      <c r="LJ215" s="432"/>
      <c r="LK215" s="432"/>
      <c r="LL215" s="432"/>
      <c r="LM215" s="432"/>
      <c r="LN215" s="1811"/>
      <c r="LO215" s="432"/>
      <c r="LP215" s="432"/>
      <c r="LQ215" s="432"/>
      <c r="LR215" s="432"/>
      <c r="LS215" s="432"/>
      <c r="LT215" s="432"/>
      <c r="LU215" s="432"/>
      <c r="LV215" s="432"/>
      <c r="LW215" s="432"/>
      <c r="LX215" s="432"/>
      <c r="LY215" s="432"/>
      <c r="LZ215" s="432"/>
      <c r="MA215" s="432"/>
      <c r="MB215" s="432"/>
      <c r="MC215" s="432"/>
      <c r="MD215" s="1811"/>
      <c r="ME215" s="1811"/>
      <c r="MF215" s="432"/>
      <c r="MG215" s="432"/>
      <c r="MH215" s="432"/>
      <c r="MI215" s="432"/>
      <c r="MJ215" s="432"/>
      <c r="MK215" s="432"/>
      <c r="ML215" s="432"/>
      <c r="MM215" s="432"/>
      <c r="MN215" s="432"/>
      <c r="MO215" s="432"/>
      <c r="MP215" s="432"/>
      <c r="MQ215" s="432"/>
      <c r="MR215" s="432"/>
      <c r="MS215" s="432"/>
      <c r="MT215" s="432"/>
      <c r="MU215" s="432"/>
      <c r="MV215" s="93"/>
      <c r="MW215" s="93"/>
      <c r="MX215" s="93"/>
      <c r="MY215" s="93"/>
      <c r="MZ215" s="93"/>
      <c r="NA215" s="93"/>
      <c r="NB215" s="93"/>
      <c r="NC215" s="93"/>
      <c r="ND215" s="93"/>
      <c r="NE215" s="93"/>
      <c r="NF215" s="93"/>
      <c r="NG215" s="93"/>
      <c r="NH215" s="93"/>
      <c r="NI215" s="93"/>
      <c r="NJ215" s="93"/>
      <c r="NK215" s="93"/>
      <c r="NL215" s="93"/>
      <c r="NM215" s="93"/>
      <c r="NN215" s="93"/>
      <c r="NO215" s="93"/>
      <c r="NP215" s="2807"/>
      <c r="NQ215" s="93"/>
      <c r="NR215" s="93"/>
      <c r="NS215" s="93"/>
      <c r="NT215" s="93"/>
      <c r="NU215" s="93"/>
      <c r="NV215" s="93"/>
      <c r="NW215" s="93"/>
      <c r="NX215" s="93"/>
      <c r="NY215" s="93"/>
      <c r="NZ215" s="93"/>
      <c r="OA215" s="93"/>
      <c r="OB215" s="93"/>
      <c r="OC215" s="93"/>
      <c r="OD215" s="93"/>
      <c r="OE215" s="93"/>
      <c r="OF215" s="93"/>
      <c r="OG215" s="93"/>
      <c r="OH215" s="93"/>
      <c r="OI215" s="93"/>
      <c r="OJ215" s="93"/>
      <c r="OK215" s="93"/>
      <c r="OL215" s="93"/>
      <c r="OM215" s="93"/>
      <c r="ON215" s="93"/>
      <c r="OO215" s="93"/>
      <c r="OP215" s="93"/>
      <c r="OQ215" s="93"/>
      <c r="OR215" s="93"/>
      <c r="OS215" s="93"/>
      <c r="OT215" s="93"/>
      <c r="OU215" s="93"/>
      <c r="OV215" s="93"/>
      <c r="OW215" s="93"/>
      <c r="OX215" s="93"/>
      <c r="OY215" s="93"/>
      <c r="OZ215" s="93"/>
      <c r="PA215" s="93"/>
      <c r="PB215" s="93"/>
      <c r="PC215" s="93"/>
      <c r="PD215" s="93"/>
      <c r="PE215" s="93"/>
      <c r="PF215" s="93"/>
      <c r="PG215" s="93"/>
      <c r="PH215" s="93"/>
      <c r="PI215" s="93"/>
      <c r="PJ215" s="93"/>
      <c r="PK215" s="93"/>
      <c r="PL215" s="93"/>
      <c r="PM215" s="93"/>
      <c r="PN215" s="93"/>
      <c r="PO215" s="93"/>
      <c r="PP215" s="93"/>
      <c r="PQ215" s="93"/>
      <c r="PR215" s="93"/>
      <c r="PS215" s="93"/>
      <c r="PT215" s="93"/>
      <c r="PU215" s="93"/>
      <c r="PV215" s="93"/>
      <c r="PW215" s="93"/>
      <c r="PX215" s="93"/>
      <c r="PY215" s="93"/>
      <c r="PZ215" s="93"/>
      <c r="QA215" s="93"/>
      <c r="QB215" s="93"/>
      <c r="QC215" s="93"/>
      <c r="QD215" s="93"/>
      <c r="QE215" s="93"/>
      <c r="QF215" s="93"/>
      <c r="QG215" s="93"/>
      <c r="QH215" s="93"/>
      <c r="QI215" s="93"/>
      <c r="QJ215" s="93"/>
      <c r="QK215" s="93"/>
      <c r="QL215" s="93"/>
      <c r="QM215" s="93"/>
      <c r="QN215" s="93"/>
      <c r="QO215" s="93"/>
      <c r="QP215" s="93"/>
      <c r="QQ215" s="93"/>
      <c r="QR215" s="93"/>
      <c r="QS215" s="93"/>
      <c r="QT215" s="93"/>
      <c r="QU215" s="93"/>
      <c r="QV215" s="93"/>
      <c r="QW215" s="93"/>
      <c r="QX215" s="93"/>
      <c r="QY215" s="93"/>
      <c r="QZ215" s="93"/>
      <c r="RA215" s="93"/>
      <c r="RB215" s="93"/>
      <c r="RC215" s="93"/>
      <c r="RD215" s="93"/>
      <c r="RE215" s="93"/>
      <c r="RF215" s="93"/>
      <c r="RG215" s="93"/>
      <c r="RH215" s="93"/>
      <c r="RI215" s="93"/>
      <c r="RJ215" s="93"/>
      <c r="RK215" s="93"/>
      <c r="RL215" s="93"/>
      <c r="RM215" s="93"/>
      <c r="RN215" s="93"/>
      <c r="RO215" s="93"/>
      <c r="RP215" s="93"/>
      <c r="RQ215" s="93"/>
      <c r="RR215" s="93"/>
      <c r="RS215" s="93"/>
      <c r="RT215" s="93"/>
      <c r="RU215" s="93"/>
      <c r="RV215" s="93"/>
      <c r="RW215" s="93"/>
      <c r="RX215" s="93"/>
      <c r="RY215" s="93"/>
    </row>
    <row r="216" spans="1:493" s="90" customFormat="1" ht="11.25" customHeight="1" thickBot="1">
      <c r="A216" s="1"/>
      <c r="B216" s="2"/>
      <c r="C216" s="2"/>
      <c r="D216" s="2"/>
      <c r="E216" s="2"/>
      <c r="F216" s="2"/>
      <c r="G216" s="2"/>
      <c r="H216" s="2"/>
      <c r="I216" s="2"/>
      <c r="J216" s="2"/>
      <c r="K216" s="2"/>
      <c r="L216" s="1"/>
      <c r="M216" s="1"/>
      <c r="N216" s="1"/>
      <c r="O216" s="1"/>
      <c r="P216" s="1"/>
      <c r="Q216" s="1"/>
      <c r="R216" s="1"/>
      <c r="S216" s="88" t="s">
        <v>1759</v>
      </c>
      <c r="T216" s="88"/>
      <c r="X216" s="432"/>
      <c r="Y216" s="432"/>
      <c r="Z216" s="432"/>
      <c r="AA216" s="432"/>
      <c r="AB216" s="432"/>
      <c r="AC216" s="432"/>
      <c r="AD216" s="432"/>
      <c r="AE216" s="432"/>
      <c r="AF216" s="432"/>
      <c r="AG216" s="432"/>
      <c r="AH216" s="432"/>
      <c r="AI216" s="432"/>
      <c r="AJ216" s="432"/>
      <c r="AK216" s="432"/>
      <c r="AL216" s="432"/>
      <c r="AM216" s="432"/>
      <c r="AN216" s="432"/>
      <c r="AO216" s="432"/>
      <c r="AP216" s="432"/>
      <c r="AQ216" s="432"/>
      <c r="AR216" s="432"/>
      <c r="AS216" s="432"/>
      <c r="AT216" s="432"/>
      <c r="AU216" s="432"/>
      <c r="AV216" s="432"/>
      <c r="AW216" s="432"/>
      <c r="AX216" s="432"/>
      <c r="AY216" s="432"/>
      <c r="AZ216" s="432"/>
      <c r="BA216" s="432"/>
      <c r="BB216" s="432"/>
      <c r="BC216" s="432"/>
      <c r="BD216" s="432"/>
      <c r="BE216" s="432"/>
      <c r="BF216" s="432"/>
      <c r="BG216" s="432"/>
      <c r="BH216" s="432"/>
      <c r="BI216" s="432"/>
      <c r="BJ216" s="432"/>
      <c r="BK216" s="432"/>
      <c r="BL216" s="432"/>
      <c r="BM216" s="432"/>
      <c r="BN216" s="432"/>
      <c r="BO216" s="432"/>
      <c r="BP216" s="432"/>
      <c r="BQ216" s="432"/>
      <c r="BR216" s="432"/>
      <c r="BS216" s="432"/>
      <c r="BT216" s="432"/>
      <c r="BU216" s="432"/>
      <c r="BV216" s="432"/>
      <c r="BW216" s="432"/>
      <c r="BX216" s="432"/>
      <c r="BY216" s="432"/>
      <c r="BZ216" s="432"/>
      <c r="CA216" s="432"/>
      <c r="CB216" s="432"/>
      <c r="CC216" s="432"/>
      <c r="CD216" s="432"/>
      <c r="CE216" s="432"/>
      <c r="CF216" s="432"/>
      <c r="CG216" s="432"/>
      <c r="CH216" s="432"/>
      <c r="CI216" s="432"/>
      <c r="CJ216" s="432"/>
      <c r="CK216" s="432"/>
      <c r="CL216" s="432"/>
      <c r="CM216" s="432"/>
      <c r="CN216" s="432"/>
      <c r="CO216" s="432"/>
      <c r="CP216" s="432"/>
      <c r="CQ216" s="432"/>
      <c r="CR216" s="432"/>
      <c r="CS216" s="432"/>
      <c r="CT216" s="432"/>
      <c r="CU216" s="432"/>
      <c r="CV216" s="432"/>
      <c r="CW216" s="432"/>
      <c r="CX216" s="432"/>
      <c r="CY216" s="432"/>
      <c r="CZ216" s="432"/>
      <c r="DA216" s="432"/>
      <c r="DB216" s="432"/>
      <c r="DC216" s="432"/>
      <c r="DD216" s="432"/>
      <c r="DE216" s="432"/>
      <c r="DF216" s="432"/>
      <c r="DG216" s="432"/>
      <c r="DH216" s="432"/>
      <c r="DI216" s="432"/>
      <c r="DJ216" s="432"/>
      <c r="DK216" s="432"/>
      <c r="DL216" s="432"/>
      <c r="DM216" s="432"/>
      <c r="DN216" s="432"/>
      <c r="DO216" s="432"/>
      <c r="DP216" s="432"/>
      <c r="DQ216" s="432"/>
      <c r="DR216" s="432"/>
      <c r="DS216" s="432"/>
      <c r="DT216" s="432"/>
      <c r="DU216" s="432"/>
      <c r="DV216" s="432"/>
      <c r="DW216" s="432"/>
      <c r="DX216" s="432"/>
      <c r="DY216" s="432"/>
      <c r="DZ216" s="432"/>
      <c r="EA216" s="432"/>
      <c r="EB216" s="432"/>
      <c r="EC216" s="432"/>
      <c r="ED216" s="432"/>
      <c r="EE216" s="432"/>
      <c r="EF216" s="432"/>
      <c r="EG216" s="432"/>
      <c r="EH216" s="432"/>
      <c r="EI216" s="432"/>
      <c r="EJ216" s="432"/>
      <c r="EK216" s="432"/>
      <c r="EL216" s="432"/>
      <c r="EM216" s="432"/>
      <c r="EN216" s="432"/>
      <c r="EO216" s="432"/>
      <c r="EP216" s="432"/>
      <c r="EQ216" s="432"/>
      <c r="ER216" s="432"/>
      <c r="ES216" s="432"/>
      <c r="ET216" s="432"/>
      <c r="EU216" s="432"/>
      <c r="EV216" s="432"/>
      <c r="EW216" s="432"/>
      <c r="EX216" s="432"/>
      <c r="EY216" s="432"/>
      <c r="EZ216" s="432"/>
      <c r="FA216" s="432"/>
      <c r="FB216" s="432"/>
      <c r="FC216" s="432"/>
      <c r="FD216" s="432"/>
      <c r="FE216" s="432"/>
      <c r="FF216" s="432"/>
      <c r="FG216" s="432"/>
      <c r="FH216" s="432"/>
      <c r="FI216" s="432"/>
      <c r="FJ216" s="432"/>
      <c r="FK216" s="432"/>
      <c r="FL216" s="432"/>
      <c r="FM216" s="432"/>
      <c r="FN216" s="432"/>
      <c r="FO216" s="432"/>
      <c r="FP216" s="432"/>
      <c r="FQ216" s="432"/>
      <c r="FR216" s="432"/>
      <c r="FS216" s="432"/>
      <c r="FT216" s="432"/>
      <c r="FU216" s="432"/>
      <c r="FV216" s="432"/>
      <c r="FW216" s="432"/>
      <c r="FX216" s="432"/>
      <c r="FY216" s="432"/>
      <c r="FZ216" s="432"/>
      <c r="GA216" s="432"/>
      <c r="GB216" s="432"/>
      <c r="GC216" s="432"/>
      <c r="GD216" s="432"/>
      <c r="GE216" s="432"/>
      <c r="GF216" s="432"/>
      <c r="GG216" s="432"/>
      <c r="GH216" s="432"/>
      <c r="GI216" s="432"/>
      <c r="GJ216" s="432"/>
      <c r="GK216" s="432"/>
      <c r="GL216" s="432"/>
      <c r="GM216" s="432"/>
      <c r="GN216" s="432"/>
      <c r="GO216" s="432"/>
      <c r="GP216" s="432"/>
      <c r="GQ216" s="432"/>
      <c r="GR216" s="432"/>
      <c r="GS216" s="432"/>
      <c r="GT216" s="432"/>
      <c r="GU216" s="432"/>
      <c r="GV216" s="432"/>
      <c r="GW216" s="432"/>
      <c r="GX216" s="432"/>
      <c r="GY216" s="432"/>
      <c r="GZ216" s="432"/>
      <c r="HA216" s="432"/>
      <c r="HB216" s="432"/>
      <c r="HC216" s="432"/>
      <c r="HD216" s="432"/>
      <c r="HE216" s="432"/>
      <c r="HF216" s="432"/>
      <c r="HG216" s="432"/>
      <c r="HH216" s="432"/>
      <c r="HI216" s="432"/>
      <c r="HJ216" s="432"/>
      <c r="HK216" s="432"/>
      <c r="HL216" s="432"/>
      <c r="HM216" s="432"/>
      <c r="HN216" s="432"/>
      <c r="HO216" s="432"/>
      <c r="HP216" s="432"/>
      <c r="HQ216" s="432"/>
      <c r="HR216" s="432"/>
      <c r="HS216" s="432"/>
      <c r="HT216" s="432"/>
      <c r="HU216" s="432"/>
      <c r="HV216" s="432"/>
      <c r="HW216" s="432"/>
      <c r="HX216" s="432"/>
      <c r="HY216" s="432"/>
      <c r="HZ216" s="432"/>
      <c r="IA216" s="432"/>
      <c r="IB216" s="432"/>
      <c r="IC216" s="432"/>
      <c r="ID216" s="432"/>
      <c r="IE216" s="432"/>
      <c r="IF216" s="432"/>
      <c r="IG216" s="432"/>
      <c r="IH216" s="432"/>
      <c r="II216" s="432"/>
      <c r="IJ216" s="432"/>
      <c r="IK216" s="432"/>
      <c r="IL216" s="432"/>
      <c r="IM216" s="432"/>
      <c r="IN216" s="432"/>
      <c r="IO216" s="432"/>
      <c r="IP216" s="432"/>
      <c r="IQ216" s="432"/>
      <c r="IR216" s="432"/>
      <c r="IS216" s="432"/>
      <c r="IT216" s="432"/>
      <c r="IU216" s="432"/>
      <c r="IV216" s="432"/>
      <c r="IW216" s="432"/>
      <c r="IX216" s="432"/>
      <c r="IY216" s="432"/>
      <c r="IZ216" s="432"/>
      <c r="JA216" s="432"/>
      <c r="JB216" s="432"/>
      <c r="JC216" s="432"/>
      <c r="JD216" s="432"/>
      <c r="JE216" s="432"/>
      <c r="JF216" s="432"/>
      <c r="JG216" s="432"/>
      <c r="JH216" s="432"/>
      <c r="JI216" s="432"/>
      <c r="JJ216" s="432"/>
      <c r="JK216" s="432"/>
      <c r="JL216" s="432"/>
      <c r="JM216" s="432"/>
      <c r="JN216" s="432"/>
      <c r="JO216" s="432"/>
      <c r="JP216" s="432"/>
      <c r="JQ216" s="432"/>
      <c r="JR216" s="432"/>
      <c r="JS216" s="432"/>
      <c r="JT216" s="432"/>
      <c r="JU216" s="432"/>
      <c r="JV216" s="432"/>
      <c r="JW216" s="1810"/>
      <c r="JX216" s="432"/>
      <c r="JY216" s="432"/>
      <c r="JZ216" s="432"/>
      <c r="KA216" s="432"/>
      <c r="KB216" s="1810"/>
      <c r="KC216" s="432"/>
      <c r="KD216" s="432"/>
      <c r="KE216" s="432"/>
      <c r="KF216" s="432"/>
      <c r="KG216" s="1810"/>
      <c r="KH216" s="432"/>
      <c r="KI216" s="432"/>
      <c r="KJ216" s="432"/>
      <c r="KK216" s="432"/>
      <c r="KL216" s="1810"/>
      <c r="KM216" s="1810"/>
      <c r="KN216" s="1810"/>
      <c r="KO216" s="1810"/>
      <c r="KP216" s="1810"/>
      <c r="KQ216" s="1810"/>
      <c r="KR216" s="1810"/>
      <c r="KS216" s="1810"/>
      <c r="KT216" s="1810"/>
      <c r="KU216" s="1810"/>
      <c r="KV216" s="1810"/>
      <c r="KW216" s="1810"/>
      <c r="KX216" s="1810"/>
      <c r="KY216" s="1810"/>
      <c r="KZ216" s="1810"/>
      <c r="LA216" s="1810"/>
      <c r="LB216" s="1810"/>
      <c r="LC216" s="1810"/>
      <c r="LD216" s="1810"/>
      <c r="LE216" s="1810"/>
      <c r="LF216" s="1810"/>
      <c r="LG216" s="1810"/>
      <c r="LH216" s="432"/>
      <c r="LI216" s="432"/>
      <c r="LJ216" s="432"/>
      <c r="LK216" s="432"/>
      <c r="LL216" s="432"/>
      <c r="LM216" s="432"/>
      <c r="LN216" s="1811"/>
      <c r="LO216" s="432"/>
      <c r="LP216" s="432"/>
      <c r="LQ216" s="432"/>
      <c r="LR216" s="432"/>
      <c r="LS216" s="432"/>
      <c r="LT216" s="432"/>
      <c r="LU216" s="432"/>
      <c r="LV216" s="432"/>
      <c r="LW216" s="432"/>
      <c r="LX216" s="432"/>
      <c r="LY216" s="432"/>
      <c r="LZ216" s="432"/>
      <c r="MA216" s="432"/>
      <c r="MB216" s="432"/>
      <c r="MC216" s="432"/>
      <c r="MD216" s="1811"/>
      <c r="ME216" s="1811"/>
      <c r="MF216" s="432"/>
      <c r="MG216" s="432"/>
      <c r="MH216" s="432"/>
      <c r="MI216" s="432"/>
      <c r="MJ216" s="432"/>
      <c r="MK216" s="432"/>
      <c r="ML216" s="432"/>
      <c r="MM216" s="432"/>
      <c r="MN216" s="432"/>
      <c r="MO216" s="432"/>
      <c r="MP216" s="432"/>
      <c r="MQ216" s="432"/>
      <c r="MR216" s="432"/>
      <c r="MS216" s="432"/>
      <c r="MT216" s="432"/>
      <c r="MU216" s="432"/>
      <c r="MV216" s="93"/>
      <c r="MW216" s="93"/>
      <c r="MX216" s="93"/>
      <c r="MY216" s="93"/>
      <c r="MZ216" s="93"/>
      <c r="NA216" s="93"/>
      <c r="NB216" s="93"/>
      <c r="NC216" s="93"/>
      <c r="ND216" s="93"/>
      <c r="NE216" s="93"/>
      <c r="NF216" s="93"/>
      <c r="NG216" s="93"/>
      <c r="NH216" s="93"/>
      <c r="NI216" s="93"/>
      <c r="NJ216" s="93"/>
      <c r="NK216" s="93"/>
      <c r="NL216" s="93"/>
      <c r="NM216" s="93"/>
      <c r="NN216" s="93"/>
      <c r="NO216" s="93"/>
      <c r="NP216" s="2807"/>
      <c r="NQ216" s="93"/>
      <c r="NR216" s="93"/>
      <c r="NS216" s="93"/>
      <c r="NT216" s="93"/>
      <c r="NU216" s="93"/>
      <c r="NV216" s="93"/>
      <c r="NW216" s="93"/>
      <c r="NX216" s="93"/>
      <c r="NY216" s="93"/>
      <c r="NZ216" s="93"/>
      <c r="OA216" s="93"/>
      <c r="OB216" s="93"/>
      <c r="OC216" s="93"/>
      <c r="OD216" s="93"/>
      <c r="OE216" s="93"/>
      <c r="OF216" s="93"/>
      <c r="OG216" s="93"/>
      <c r="OH216" s="93"/>
      <c r="OI216" s="93"/>
      <c r="OJ216" s="93"/>
      <c r="OK216" s="93"/>
      <c r="OL216" s="93"/>
      <c r="OM216" s="93"/>
      <c r="ON216" s="93"/>
      <c r="OO216" s="93"/>
      <c r="OP216" s="93"/>
      <c r="OQ216" s="93"/>
      <c r="OR216" s="93"/>
      <c r="OS216" s="93"/>
      <c r="OT216" s="93"/>
      <c r="OU216" s="93"/>
      <c r="OV216" s="93"/>
      <c r="OW216" s="93"/>
      <c r="OX216" s="93"/>
      <c r="OY216" s="93"/>
      <c r="OZ216" s="93"/>
      <c r="PA216" s="93"/>
      <c r="PB216" s="93"/>
      <c r="PC216" s="93"/>
      <c r="PD216" s="93"/>
      <c r="PE216" s="93"/>
      <c r="PF216" s="93"/>
      <c r="PG216" s="93"/>
      <c r="PH216" s="93"/>
      <c r="PI216" s="93"/>
      <c r="PJ216" s="93"/>
      <c r="PK216" s="93"/>
      <c r="PL216" s="93"/>
      <c r="PM216" s="93"/>
      <c r="PN216" s="93"/>
      <c r="PO216" s="93"/>
      <c r="PP216" s="93"/>
      <c r="PQ216" s="93"/>
      <c r="PR216" s="93"/>
      <c r="PS216" s="93"/>
      <c r="PT216" s="93"/>
      <c r="PU216" s="93"/>
      <c r="PV216" s="93"/>
      <c r="PW216" s="93"/>
      <c r="PX216" s="93"/>
      <c r="PY216" s="93"/>
      <c r="PZ216" s="93"/>
      <c r="QA216" s="93"/>
      <c r="QB216" s="93"/>
      <c r="QC216" s="93"/>
      <c r="QD216" s="93"/>
      <c r="QE216" s="93"/>
      <c r="QF216" s="93"/>
      <c r="QG216" s="93"/>
      <c r="QH216" s="93"/>
      <c r="QI216" s="93"/>
      <c r="QJ216" s="93"/>
      <c r="QK216" s="93"/>
      <c r="QL216" s="93"/>
      <c r="QM216" s="93"/>
      <c r="QN216" s="93"/>
      <c r="QO216" s="93"/>
      <c r="QP216" s="93"/>
      <c r="QQ216" s="93"/>
      <c r="QR216" s="93"/>
      <c r="QS216" s="93"/>
      <c r="QT216" s="93"/>
      <c r="QU216" s="93"/>
      <c r="QV216" s="93"/>
      <c r="QW216" s="93"/>
      <c r="QX216" s="93"/>
      <c r="QY216" s="93"/>
      <c r="QZ216" s="93"/>
      <c r="RA216" s="93"/>
      <c r="RB216" s="93"/>
      <c r="RC216" s="93"/>
      <c r="RD216" s="93"/>
      <c r="RE216" s="93"/>
      <c r="RF216" s="93"/>
      <c r="RG216" s="93"/>
      <c r="RH216" s="93"/>
      <c r="RI216" s="93"/>
      <c r="RJ216" s="93"/>
      <c r="RK216" s="93"/>
      <c r="RL216" s="93"/>
      <c r="RM216" s="93"/>
      <c r="RN216" s="93"/>
      <c r="RO216" s="93"/>
      <c r="RP216" s="93"/>
      <c r="RQ216" s="93"/>
      <c r="RR216" s="93"/>
      <c r="RS216" s="93"/>
      <c r="RT216" s="93"/>
      <c r="RU216" s="93"/>
      <c r="RV216" s="93"/>
      <c r="RW216" s="93"/>
      <c r="RX216" s="93"/>
      <c r="RY216" s="93"/>
    </row>
    <row r="217" spans="1:493" s="90" customFormat="1" ht="13.35" customHeight="1" thickBot="1">
      <c r="A217" s="1"/>
      <c r="B217" s="10" t="s">
        <v>1242</v>
      </c>
      <c r="C217" s="1"/>
      <c r="D217" s="1"/>
      <c r="E217" s="1"/>
      <c r="F217" s="27"/>
      <c r="G217" s="27"/>
      <c r="H217" s="1"/>
      <c r="I217" s="10" t="s">
        <v>1328</v>
      </c>
      <c r="K217" s="1"/>
      <c r="L217" s="1"/>
      <c r="M217" s="1"/>
      <c r="N217" s="1"/>
      <c r="O217" s="10" t="s">
        <v>1331</v>
      </c>
      <c r="P217" s="1"/>
      <c r="Q217" s="394">
        <f>IF(OR('Part VII-Pro Forma'!$B$22 = "Choose Mgt Fee",'Part VII-Pro Forma'!$B$22 = "Choose One!"), 0,- 'Part VII-Pro Forma'!$B$22)</f>
        <v>35009</v>
      </c>
      <c r="R217" s="1"/>
      <c r="S217" s="3854"/>
      <c r="T217" s="3855"/>
      <c r="U217" s="3855"/>
      <c r="V217" s="3855"/>
      <c r="W217" s="3856"/>
      <c r="X217" s="430"/>
      <c r="Y217" s="432"/>
      <c r="Z217" s="432"/>
      <c r="AA217" s="432"/>
      <c r="AB217" s="432"/>
      <c r="AC217" s="430"/>
      <c r="AD217" s="432"/>
      <c r="AE217" s="432"/>
      <c r="AF217" s="432"/>
      <c r="AG217" s="432"/>
      <c r="AH217" s="430"/>
      <c r="AI217" s="432"/>
      <c r="AJ217" s="432"/>
      <c r="AK217" s="432"/>
      <c r="AL217" s="432"/>
      <c r="AM217" s="430"/>
      <c r="AN217" s="432"/>
      <c r="AO217" s="432"/>
      <c r="AP217" s="432"/>
      <c r="AQ217" s="432"/>
      <c r="AR217" s="432"/>
      <c r="AS217" s="432"/>
      <c r="AT217" s="432"/>
      <c r="AU217" s="432"/>
      <c r="AV217" s="432"/>
      <c r="AW217" s="432"/>
      <c r="AX217" s="432"/>
      <c r="AY217" s="432"/>
      <c r="AZ217" s="432"/>
      <c r="BA217" s="432"/>
      <c r="BB217" s="432"/>
      <c r="BC217" s="432"/>
      <c r="BD217" s="432"/>
      <c r="BE217" s="432"/>
      <c r="BF217" s="432"/>
      <c r="BG217" s="432"/>
      <c r="BH217" s="432"/>
      <c r="BI217" s="432"/>
      <c r="BJ217" s="432"/>
      <c r="BK217" s="432"/>
      <c r="BL217" s="432"/>
      <c r="BM217" s="432"/>
      <c r="BN217" s="432"/>
      <c r="BO217" s="432"/>
      <c r="BP217" s="432"/>
      <c r="BQ217" s="432"/>
      <c r="BR217" s="432"/>
      <c r="BS217" s="432"/>
      <c r="BT217" s="432"/>
      <c r="BU217" s="432"/>
      <c r="BV217" s="432"/>
      <c r="BW217" s="432"/>
      <c r="BX217" s="432"/>
      <c r="BY217" s="432"/>
      <c r="BZ217" s="432"/>
      <c r="CA217" s="432"/>
      <c r="CB217" s="432"/>
      <c r="CC217" s="432"/>
      <c r="CD217" s="432"/>
      <c r="CE217" s="432"/>
      <c r="CF217" s="432"/>
      <c r="CG217" s="432"/>
      <c r="CH217" s="432"/>
      <c r="CI217" s="432"/>
      <c r="CJ217" s="432"/>
      <c r="CK217" s="432"/>
      <c r="CL217" s="432"/>
      <c r="CM217" s="432"/>
      <c r="CN217" s="432"/>
      <c r="CO217" s="432"/>
      <c r="CP217" s="432"/>
      <c r="CQ217" s="432"/>
      <c r="CR217" s="432"/>
      <c r="CS217" s="432"/>
      <c r="CT217" s="432"/>
      <c r="CU217" s="432"/>
      <c r="CV217" s="432"/>
      <c r="CW217" s="432"/>
      <c r="CX217" s="432"/>
      <c r="CY217" s="432"/>
      <c r="CZ217" s="432"/>
      <c r="DA217" s="432"/>
      <c r="DB217" s="432"/>
      <c r="DC217" s="432"/>
      <c r="DD217" s="432"/>
      <c r="DE217" s="432"/>
      <c r="DF217" s="432"/>
      <c r="DG217" s="432"/>
      <c r="DH217" s="432"/>
      <c r="DI217" s="432"/>
      <c r="DJ217" s="432"/>
      <c r="DK217" s="432"/>
      <c r="DL217" s="432"/>
      <c r="DM217" s="432"/>
      <c r="DN217" s="432"/>
      <c r="DO217" s="432"/>
      <c r="DP217" s="432"/>
      <c r="DQ217" s="432"/>
      <c r="DR217" s="432"/>
      <c r="DS217" s="432"/>
      <c r="DT217" s="432"/>
      <c r="DU217" s="432"/>
      <c r="DV217" s="432"/>
      <c r="DW217" s="432"/>
      <c r="DX217" s="432"/>
      <c r="DY217" s="432"/>
      <c r="DZ217" s="432"/>
      <c r="EA217" s="432"/>
      <c r="EB217" s="432"/>
      <c r="EC217" s="432"/>
      <c r="ED217" s="432"/>
      <c r="EE217" s="432"/>
      <c r="EF217" s="432"/>
      <c r="EG217" s="432"/>
      <c r="EH217" s="432"/>
      <c r="EI217" s="432"/>
      <c r="EJ217" s="432"/>
      <c r="EK217" s="432"/>
      <c r="EL217" s="432"/>
      <c r="EM217" s="432"/>
      <c r="EN217" s="432"/>
      <c r="EO217" s="432"/>
      <c r="EP217" s="432"/>
      <c r="EQ217" s="432"/>
      <c r="ER217" s="432"/>
      <c r="ES217" s="432"/>
      <c r="ET217" s="432"/>
      <c r="EU217" s="432"/>
      <c r="EV217" s="432"/>
      <c r="EW217" s="432"/>
      <c r="EX217" s="432"/>
      <c r="EY217" s="432"/>
      <c r="EZ217" s="432"/>
      <c r="FA217" s="432"/>
      <c r="FB217" s="432"/>
      <c r="FC217" s="432"/>
      <c r="FD217" s="432"/>
      <c r="FE217" s="432"/>
      <c r="FF217" s="432"/>
      <c r="FG217" s="432"/>
      <c r="FH217" s="432"/>
      <c r="FI217" s="432"/>
      <c r="FJ217" s="432"/>
      <c r="FK217" s="432"/>
      <c r="FL217" s="432"/>
      <c r="FM217" s="432"/>
      <c r="FN217" s="432"/>
      <c r="FO217" s="432"/>
      <c r="FP217" s="432"/>
      <c r="FQ217" s="432"/>
      <c r="FR217" s="432"/>
      <c r="FS217" s="432"/>
      <c r="FT217" s="432"/>
      <c r="FU217" s="432"/>
      <c r="FV217" s="432"/>
      <c r="FW217" s="432"/>
      <c r="FX217" s="432"/>
      <c r="FY217" s="432"/>
      <c r="FZ217" s="432"/>
      <c r="GA217" s="432"/>
      <c r="GB217" s="432"/>
      <c r="GC217" s="432"/>
      <c r="GD217" s="432"/>
      <c r="GE217" s="432"/>
      <c r="GF217" s="432"/>
      <c r="GG217" s="432"/>
      <c r="GH217" s="432"/>
      <c r="GI217" s="432"/>
      <c r="GJ217" s="432"/>
      <c r="GK217" s="432"/>
      <c r="GL217" s="432"/>
      <c r="GM217" s="432"/>
      <c r="GN217" s="432"/>
      <c r="GO217" s="432"/>
      <c r="GP217" s="432"/>
      <c r="GQ217" s="432"/>
      <c r="GR217" s="432"/>
      <c r="GS217" s="432"/>
      <c r="GT217" s="432"/>
      <c r="GU217" s="432"/>
      <c r="GV217" s="432"/>
      <c r="GW217" s="432"/>
      <c r="GX217" s="432"/>
      <c r="GY217" s="432"/>
      <c r="GZ217" s="432"/>
      <c r="HA217" s="432"/>
      <c r="HB217" s="432"/>
      <c r="HC217" s="432"/>
      <c r="HD217" s="432"/>
      <c r="HE217" s="432"/>
      <c r="HF217" s="432"/>
      <c r="HG217" s="432"/>
      <c r="HH217" s="432"/>
      <c r="HI217" s="432"/>
      <c r="HJ217" s="432"/>
      <c r="HK217" s="432"/>
      <c r="HL217" s="432"/>
      <c r="HM217" s="432"/>
      <c r="HN217" s="432"/>
      <c r="HO217" s="432"/>
      <c r="HP217" s="432"/>
      <c r="HQ217" s="432"/>
      <c r="HR217" s="432"/>
      <c r="HS217" s="432"/>
      <c r="HT217" s="432"/>
      <c r="HU217" s="432"/>
      <c r="HV217" s="432"/>
      <c r="HW217" s="432"/>
      <c r="HX217" s="432"/>
      <c r="HY217" s="432"/>
      <c r="HZ217" s="432"/>
      <c r="IA217" s="432"/>
      <c r="IB217" s="432"/>
      <c r="IC217" s="432"/>
      <c r="ID217" s="432"/>
      <c r="IE217" s="432"/>
      <c r="IF217" s="432"/>
      <c r="IG217" s="432"/>
      <c r="IH217" s="432"/>
      <c r="II217" s="432"/>
      <c r="IJ217" s="432"/>
      <c r="IK217" s="432"/>
      <c r="IL217" s="432"/>
      <c r="IM217" s="432"/>
      <c r="IN217" s="432"/>
      <c r="IO217" s="432"/>
      <c r="IP217" s="432"/>
      <c r="IQ217" s="432"/>
      <c r="IR217" s="432"/>
      <c r="IS217" s="432"/>
      <c r="IT217" s="432"/>
      <c r="IU217" s="432"/>
      <c r="IV217" s="432"/>
      <c r="IW217" s="432"/>
      <c r="IX217" s="432"/>
      <c r="IY217" s="432"/>
      <c r="IZ217" s="432"/>
      <c r="JA217" s="432"/>
      <c r="JB217" s="432"/>
      <c r="JC217" s="432"/>
      <c r="JD217" s="432"/>
      <c r="JE217" s="432"/>
      <c r="JF217" s="432"/>
      <c r="JG217" s="432"/>
      <c r="JH217" s="432"/>
      <c r="JI217" s="432"/>
      <c r="JJ217" s="432"/>
      <c r="JK217" s="432"/>
      <c r="JL217" s="432"/>
      <c r="JM217" s="432"/>
      <c r="JN217" s="432"/>
      <c r="JO217" s="432"/>
      <c r="JP217" s="432"/>
      <c r="JQ217" s="432"/>
      <c r="JR217" s="432"/>
      <c r="JS217" s="432"/>
      <c r="JT217" s="432"/>
      <c r="JU217" s="432"/>
      <c r="JV217" s="432"/>
      <c r="JW217" s="1810"/>
      <c r="JX217" s="432"/>
      <c r="JY217" s="432"/>
      <c r="JZ217" s="432"/>
      <c r="KA217" s="432"/>
      <c r="KB217" s="1810"/>
      <c r="KC217" s="432"/>
      <c r="KD217" s="432"/>
      <c r="KE217" s="432"/>
      <c r="KF217" s="432"/>
      <c r="KG217" s="1810"/>
      <c r="KH217" s="432"/>
      <c r="KI217" s="432"/>
      <c r="KJ217" s="432"/>
      <c r="KK217" s="432"/>
      <c r="KL217" s="1810"/>
      <c r="KM217" s="1810"/>
      <c r="KN217" s="1810"/>
      <c r="KO217" s="1810"/>
      <c r="KP217" s="1810"/>
      <c r="KQ217" s="1810"/>
      <c r="KR217" s="1810"/>
      <c r="KS217" s="1810"/>
      <c r="KT217" s="1810"/>
      <c r="KU217" s="1810"/>
      <c r="KV217" s="1810"/>
      <c r="KW217" s="1810"/>
      <c r="KX217" s="1810"/>
      <c r="KY217" s="1810"/>
      <c r="KZ217" s="1810"/>
      <c r="LA217" s="1810"/>
      <c r="LB217" s="1810"/>
      <c r="LC217" s="1810"/>
      <c r="LD217" s="1810"/>
      <c r="LE217" s="1810"/>
      <c r="LF217" s="1810"/>
      <c r="LG217" s="1810"/>
      <c r="LH217" s="432"/>
      <c r="LI217" s="432"/>
      <c r="LJ217" s="432"/>
      <c r="LK217" s="432"/>
      <c r="LL217" s="432"/>
      <c r="LM217" s="432"/>
      <c r="LN217" s="1811"/>
      <c r="LO217" s="432"/>
      <c r="LP217" s="432"/>
      <c r="LQ217" s="432"/>
      <c r="LR217" s="432"/>
      <c r="LS217" s="432"/>
      <c r="LT217" s="432"/>
      <c r="LU217" s="432"/>
      <c r="LV217" s="432"/>
      <c r="LW217" s="432"/>
      <c r="LX217" s="432"/>
      <c r="LY217" s="432"/>
      <c r="LZ217" s="432"/>
      <c r="MA217" s="432"/>
      <c r="MB217" s="432"/>
      <c r="MC217" s="432"/>
      <c r="MD217" s="1811"/>
      <c r="ME217" s="1811"/>
      <c r="MF217" s="432"/>
      <c r="MG217" s="432"/>
      <c r="MH217" s="432"/>
      <c r="MI217" s="432"/>
      <c r="MJ217" s="432"/>
      <c r="MK217" s="432"/>
      <c r="ML217" s="432"/>
      <c r="MM217" s="432"/>
      <c r="MN217" s="432"/>
      <c r="MO217" s="432"/>
      <c r="MP217" s="432"/>
      <c r="MQ217" s="432"/>
      <c r="MR217" s="432"/>
      <c r="MS217" s="432"/>
      <c r="MT217" s="432"/>
      <c r="MU217" s="432"/>
      <c r="MV217" s="93"/>
      <c r="MW217" s="93"/>
      <c r="MX217" s="93"/>
      <c r="MY217" s="93"/>
      <c r="MZ217" s="93"/>
      <c r="NA217" s="93"/>
      <c r="NB217" s="93"/>
      <c r="NC217" s="93"/>
      <c r="ND217" s="93"/>
      <c r="NE217" s="93"/>
      <c r="NF217" s="93"/>
      <c r="NG217" s="93"/>
      <c r="NH217" s="93"/>
      <c r="NI217" s="93"/>
      <c r="NJ217" s="93"/>
      <c r="NK217" s="93"/>
      <c r="NL217" s="93"/>
      <c r="NM217" s="93"/>
      <c r="NN217" s="93"/>
      <c r="NO217" s="93"/>
      <c r="NP217" s="2807"/>
      <c r="NQ217" s="93"/>
      <c r="NR217" s="93"/>
      <c r="NS217" s="93"/>
      <c r="NT217" s="93"/>
      <c r="NU217" s="93"/>
      <c r="NV217" s="93"/>
      <c r="NW217" s="93"/>
      <c r="NX217" s="93"/>
      <c r="NY217" s="93"/>
      <c r="NZ217" s="93"/>
      <c r="OA217" s="93"/>
      <c r="OB217" s="93"/>
      <c r="OC217" s="93"/>
      <c r="OD217" s="93"/>
      <c r="OE217" s="93"/>
      <c r="OF217" s="93"/>
      <c r="OG217" s="93"/>
      <c r="OH217" s="93"/>
      <c r="OI217" s="93"/>
      <c r="OJ217" s="93"/>
      <c r="OK217" s="93"/>
      <c r="OL217" s="93"/>
      <c r="OM217" s="93"/>
      <c r="ON217" s="93"/>
      <c r="OO217" s="93"/>
      <c r="OP217" s="93"/>
      <c r="OQ217" s="93"/>
      <c r="OR217" s="93"/>
      <c r="OS217" s="93"/>
      <c r="OT217" s="93"/>
      <c r="OU217" s="93"/>
      <c r="OV217" s="93"/>
      <c r="OW217" s="93"/>
      <c r="OX217" s="93"/>
      <c r="OY217" s="93"/>
      <c r="OZ217" s="93"/>
      <c r="PA217" s="93"/>
      <c r="PB217" s="93"/>
      <c r="PC217" s="93"/>
      <c r="PD217" s="93"/>
      <c r="PE217" s="93"/>
      <c r="PF217" s="93"/>
      <c r="PG217" s="93"/>
      <c r="PH217" s="93"/>
      <c r="PI217" s="93"/>
      <c r="PJ217" s="93"/>
      <c r="PK217" s="93"/>
      <c r="PL217" s="93"/>
      <c r="PM217" s="93"/>
      <c r="PN217" s="93"/>
      <c r="PO217" s="93"/>
      <c r="PP217" s="93"/>
      <c r="PQ217" s="93"/>
      <c r="PR217" s="93"/>
      <c r="PS217" s="93"/>
      <c r="PT217" s="93"/>
      <c r="PU217" s="93"/>
      <c r="PV217" s="93"/>
      <c r="PW217" s="93"/>
      <c r="PX217" s="93"/>
      <c r="PY217" s="93"/>
      <c r="PZ217" s="93"/>
      <c r="QA217" s="93"/>
      <c r="QB217" s="93"/>
      <c r="QC217" s="93"/>
      <c r="QD217" s="93"/>
      <c r="QE217" s="93"/>
      <c r="QF217" s="93"/>
      <c r="QG217" s="93"/>
      <c r="QH217" s="93"/>
      <c r="QI217" s="93"/>
      <c r="QJ217" s="93"/>
      <c r="QK217" s="93"/>
      <c r="QL217" s="93"/>
      <c r="QM217" s="93"/>
      <c r="QN217" s="93"/>
      <c r="QO217" s="93"/>
      <c r="QP217" s="93"/>
      <c r="QQ217" s="93"/>
      <c r="QR217" s="93"/>
      <c r="QS217" s="93"/>
      <c r="QT217" s="93"/>
      <c r="QU217" s="93"/>
      <c r="QV217" s="93"/>
      <c r="QW217" s="93"/>
      <c r="QX217" s="93"/>
      <c r="QY217" s="93"/>
      <c r="QZ217" s="93"/>
      <c r="RA217" s="93"/>
      <c r="RB217" s="93"/>
      <c r="RC217" s="93"/>
      <c r="RD217" s="93"/>
      <c r="RE217" s="93"/>
      <c r="RF217" s="93"/>
      <c r="RG217" s="93"/>
      <c r="RH217" s="93"/>
      <c r="RI217" s="93"/>
      <c r="RJ217" s="93"/>
      <c r="RK217" s="93"/>
      <c r="RL217" s="93"/>
      <c r="RM217" s="93"/>
      <c r="RN217" s="93"/>
      <c r="RO217" s="93"/>
      <c r="RP217" s="93"/>
      <c r="RQ217" s="93"/>
      <c r="RR217" s="93"/>
      <c r="RS217" s="93"/>
      <c r="RT217" s="93"/>
      <c r="RU217" s="93"/>
      <c r="RV217" s="93"/>
      <c r="RW217" s="93"/>
      <c r="RX217" s="93"/>
      <c r="RY217" s="93"/>
    </row>
    <row r="218" spans="1:493" s="90" customFormat="1" ht="15.6" customHeight="1">
      <c r="A218" s="1"/>
      <c r="B218" s="1" t="s">
        <v>2100</v>
      </c>
      <c r="C218" s="1"/>
      <c r="D218" s="1"/>
      <c r="E218" s="1"/>
      <c r="F218" s="3887">
        <f>45000+11040</f>
        <v>56040</v>
      </c>
      <c r="G218" s="3888"/>
      <c r="H218" s="1"/>
      <c r="I218" s="1" t="s">
        <v>1329</v>
      </c>
      <c r="K218" s="1"/>
      <c r="L218" s="3887">
        <v>2000</v>
      </c>
      <c r="M218" s="3888"/>
      <c r="N218" s="1"/>
      <c r="O218" s="384">
        <f>+Q217/(P67*0.93)</f>
        <v>522.83452807646347</v>
      </c>
      <c r="P218" s="66" t="s">
        <v>2585</v>
      </c>
      <c r="Q218" s="1"/>
      <c r="R218" s="768"/>
      <c r="S218" s="3833"/>
      <c r="T218" s="3834"/>
      <c r="U218" s="3834"/>
      <c r="V218" s="3834"/>
      <c r="W218" s="3835"/>
      <c r="X218" s="430"/>
      <c r="Y218" s="432"/>
      <c r="Z218" s="432"/>
      <c r="AA218" s="432"/>
      <c r="AB218" s="432"/>
      <c r="AC218" s="430"/>
      <c r="AD218" s="432"/>
      <c r="AE218" s="432"/>
      <c r="AF218" s="432"/>
      <c r="AG218" s="432"/>
      <c r="AH218" s="430"/>
      <c r="AI218" s="432"/>
      <c r="AJ218" s="432"/>
      <c r="AK218" s="432"/>
      <c r="AL218" s="432"/>
      <c r="AM218" s="430"/>
      <c r="AN218" s="432"/>
      <c r="AO218" s="432"/>
      <c r="AP218" s="432"/>
      <c r="AQ218" s="432"/>
      <c r="AR218" s="432"/>
      <c r="AS218" s="432"/>
      <c r="AT218" s="432"/>
      <c r="AU218" s="432"/>
      <c r="AV218" s="432"/>
      <c r="AW218" s="432"/>
      <c r="AX218" s="432"/>
      <c r="AY218" s="432"/>
      <c r="AZ218" s="432"/>
      <c r="BA218" s="432"/>
      <c r="BB218" s="432"/>
      <c r="BC218" s="432"/>
      <c r="BD218" s="432"/>
      <c r="BE218" s="432"/>
      <c r="BF218" s="432"/>
      <c r="BG218" s="432"/>
      <c r="BH218" s="432"/>
      <c r="BI218" s="432"/>
      <c r="BJ218" s="432"/>
      <c r="BK218" s="432"/>
      <c r="BL218" s="432"/>
      <c r="BM218" s="432"/>
      <c r="BN218" s="432"/>
      <c r="BO218" s="432"/>
      <c r="BP218" s="432"/>
      <c r="BQ218" s="432"/>
      <c r="BR218" s="432"/>
      <c r="BS218" s="432"/>
      <c r="BT218" s="432"/>
      <c r="BU218" s="432"/>
      <c r="BV218" s="432"/>
      <c r="BW218" s="432"/>
      <c r="BX218" s="432"/>
      <c r="BY218" s="432"/>
      <c r="BZ218" s="432"/>
      <c r="CA218" s="432"/>
      <c r="CB218" s="432"/>
      <c r="CC218" s="432"/>
      <c r="CD218" s="432"/>
      <c r="CE218" s="432"/>
      <c r="CF218" s="432"/>
      <c r="CG218" s="432"/>
      <c r="CH218" s="432"/>
      <c r="CI218" s="432"/>
      <c r="CJ218" s="432"/>
      <c r="CK218" s="432"/>
      <c r="CL218" s="432"/>
      <c r="CM218" s="432"/>
      <c r="CN218" s="432"/>
      <c r="CO218" s="432"/>
      <c r="CP218" s="432"/>
      <c r="CQ218" s="432"/>
      <c r="CR218" s="432"/>
      <c r="CS218" s="432"/>
      <c r="CT218" s="432"/>
      <c r="CU218" s="432"/>
      <c r="CV218" s="432"/>
      <c r="CW218" s="432"/>
      <c r="CX218" s="432"/>
      <c r="CY218" s="432"/>
      <c r="CZ218" s="432"/>
      <c r="DA218" s="432"/>
      <c r="DB218" s="432"/>
      <c r="DC218" s="432"/>
      <c r="DD218" s="432"/>
      <c r="DE218" s="432"/>
      <c r="DF218" s="432"/>
      <c r="DG218" s="432"/>
      <c r="DH218" s="432"/>
      <c r="DI218" s="432"/>
      <c r="DJ218" s="432"/>
      <c r="DK218" s="432"/>
      <c r="DL218" s="432"/>
      <c r="DM218" s="432"/>
      <c r="DN218" s="432"/>
      <c r="DO218" s="432"/>
      <c r="DP218" s="432"/>
      <c r="DQ218" s="432"/>
      <c r="DR218" s="432"/>
      <c r="DS218" s="432"/>
      <c r="DT218" s="432"/>
      <c r="DU218" s="432"/>
      <c r="DV218" s="432"/>
      <c r="DW218" s="432"/>
      <c r="DX218" s="432"/>
      <c r="DY218" s="432"/>
      <c r="DZ218" s="432"/>
      <c r="EA218" s="432"/>
      <c r="EB218" s="432"/>
      <c r="EC218" s="432"/>
      <c r="ED218" s="432"/>
      <c r="EE218" s="432"/>
      <c r="EF218" s="432"/>
      <c r="EG218" s="432"/>
      <c r="EH218" s="432"/>
      <c r="EI218" s="432"/>
      <c r="EJ218" s="432"/>
      <c r="EK218" s="432"/>
      <c r="EL218" s="432"/>
      <c r="EM218" s="432"/>
      <c r="EN218" s="432"/>
      <c r="EO218" s="432"/>
      <c r="EP218" s="432"/>
      <c r="EQ218" s="432"/>
      <c r="ER218" s="432"/>
      <c r="ES218" s="432"/>
      <c r="ET218" s="432"/>
      <c r="EU218" s="432"/>
      <c r="EV218" s="432"/>
      <c r="EW218" s="432"/>
      <c r="EX218" s="432"/>
      <c r="EY218" s="432"/>
      <c r="EZ218" s="432"/>
      <c r="FA218" s="432"/>
      <c r="FB218" s="432"/>
      <c r="FC218" s="432"/>
      <c r="FD218" s="432"/>
      <c r="FE218" s="432"/>
      <c r="FF218" s="432"/>
      <c r="FG218" s="432"/>
      <c r="FH218" s="432"/>
      <c r="FI218" s="432"/>
      <c r="FJ218" s="432"/>
      <c r="FK218" s="432"/>
      <c r="FL218" s="432"/>
      <c r="FM218" s="432"/>
      <c r="FN218" s="432"/>
      <c r="FO218" s="432"/>
      <c r="FP218" s="432"/>
      <c r="FQ218" s="432"/>
      <c r="FR218" s="432"/>
      <c r="FS218" s="432"/>
      <c r="FT218" s="432"/>
      <c r="FU218" s="432"/>
      <c r="FV218" s="432"/>
      <c r="FW218" s="432"/>
      <c r="FX218" s="432"/>
      <c r="FY218" s="432"/>
      <c r="FZ218" s="432"/>
      <c r="GA218" s="432"/>
      <c r="GB218" s="432"/>
      <c r="GC218" s="432"/>
      <c r="GD218" s="432"/>
      <c r="GE218" s="432"/>
      <c r="GF218" s="432"/>
      <c r="GG218" s="432"/>
      <c r="GH218" s="432"/>
      <c r="GI218" s="432"/>
      <c r="GJ218" s="432"/>
      <c r="GK218" s="432"/>
      <c r="GL218" s="432"/>
      <c r="GM218" s="432"/>
      <c r="GN218" s="432"/>
      <c r="GO218" s="432"/>
      <c r="GP218" s="432"/>
      <c r="GQ218" s="432"/>
      <c r="GR218" s="432"/>
      <c r="GS218" s="432"/>
      <c r="GT218" s="432"/>
      <c r="GU218" s="432"/>
      <c r="GV218" s="432"/>
      <c r="GW218" s="432"/>
      <c r="GX218" s="432"/>
      <c r="GY218" s="432"/>
      <c r="GZ218" s="432"/>
      <c r="HA218" s="432"/>
      <c r="HB218" s="432"/>
      <c r="HC218" s="432"/>
      <c r="HD218" s="432"/>
      <c r="HE218" s="432"/>
      <c r="HF218" s="432"/>
      <c r="HG218" s="432"/>
      <c r="HH218" s="432"/>
      <c r="HI218" s="432"/>
      <c r="HJ218" s="432"/>
      <c r="HK218" s="432"/>
      <c r="HL218" s="432"/>
      <c r="HM218" s="432"/>
      <c r="HN218" s="432"/>
      <c r="HO218" s="432"/>
      <c r="HP218" s="432"/>
      <c r="HQ218" s="432"/>
      <c r="HR218" s="432"/>
      <c r="HS218" s="432"/>
      <c r="HT218" s="432"/>
      <c r="HU218" s="432"/>
      <c r="HV218" s="432"/>
      <c r="HW218" s="432"/>
      <c r="HX218" s="432"/>
      <c r="HY218" s="432"/>
      <c r="HZ218" s="432"/>
      <c r="IA218" s="432"/>
      <c r="IB218" s="432"/>
      <c r="IC218" s="432"/>
      <c r="ID218" s="432"/>
      <c r="IE218" s="432"/>
      <c r="IF218" s="432"/>
      <c r="IG218" s="432"/>
      <c r="IH218" s="432"/>
      <c r="II218" s="432"/>
      <c r="IJ218" s="432"/>
      <c r="IK218" s="432"/>
      <c r="IL218" s="432"/>
      <c r="IM218" s="432"/>
      <c r="IN218" s="432"/>
      <c r="IO218" s="432"/>
      <c r="IP218" s="432"/>
      <c r="IQ218" s="432"/>
      <c r="IR218" s="432"/>
      <c r="IS218" s="432"/>
      <c r="IT218" s="432"/>
      <c r="IU218" s="432"/>
      <c r="IV218" s="432"/>
      <c r="IW218" s="432"/>
      <c r="IX218" s="432"/>
      <c r="IY218" s="432"/>
      <c r="IZ218" s="432"/>
      <c r="JA218" s="432"/>
      <c r="JB218" s="432"/>
      <c r="JC218" s="432"/>
      <c r="JD218" s="432"/>
      <c r="JE218" s="432"/>
      <c r="JF218" s="432"/>
      <c r="JG218" s="432"/>
      <c r="JH218" s="432"/>
      <c r="JI218" s="432"/>
      <c r="JJ218" s="432"/>
      <c r="JK218" s="432"/>
      <c r="JL218" s="432"/>
      <c r="JM218" s="432"/>
      <c r="JN218" s="432"/>
      <c r="JO218" s="432"/>
      <c r="JP218" s="432"/>
      <c r="JQ218" s="432"/>
      <c r="JR218" s="432"/>
      <c r="JS218" s="432"/>
      <c r="JT218" s="432"/>
      <c r="JU218" s="432"/>
      <c r="JV218" s="432"/>
      <c r="JW218" s="1810"/>
      <c r="JX218" s="432"/>
      <c r="JY218" s="432"/>
      <c r="JZ218" s="432"/>
      <c r="KA218" s="432"/>
      <c r="KB218" s="1810"/>
      <c r="KC218" s="432"/>
      <c r="KD218" s="432"/>
      <c r="KE218" s="432"/>
      <c r="KF218" s="432"/>
      <c r="KG218" s="1810"/>
      <c r="KH218" s="432"/>
      <c r="KI218" s="432"/>
      <c r="KJ218" s="432"/>
      <c r="KK218" s="432"/>
      <c r="KL218" s="1810"/>
      <c r="KM218" s="1810"/>
      <c r="KN218" s="1810"/>
      <c r="KO218" s="1810"/>
      <c r="KP218" s="1810"/>
      <c r="KQ218" s="1810"/>
      <c r="KR218" s="1810"/>
      <c r="KS218" s="1810"/>
      <c r="KT218" s="1810"/>
      <c r="KU218" s="1810"/>
      <c r="KV218" s="1810"/>
      <c r="KW218" s="1810"/>
      <c r="KX218" s="1810"/>
      <c r="KY218" s="1810"/>
      <c r="KZ218" s="1810"/>
      <c r="LA218" s="1810"/>
      <c r="LB218" s="1810"/>
      <c r="LC218" s="1810"/>
      <c r="LD218" s="1810"/>
      <c r="LE218" s="1810"/>
      <c r="LF218" s="1810"/>
      <c r="LG218" s="1810"/>
      <c r="LH218" s="432"/>
      <c r="LI218" s="432"/>
      <c r="LJ218" s="432"/>
      <c r="LK218" s="432"/>
      <c r="LL218" s="432"/>
      <c r="LM218" s="432"/>
      <c r="LN218" s="1811"/>
      <c r="LO218" s="432"/>
      <c r="LP218" s="432"/>
      <c r="LQ218" s="432"/>
      <c r="LR218" s="432"/>
      <c r="LS218" s="432"/>
      <c r="LT218" s="432"/>
      <c r="LU218" s="432"/>
      <c r="LV218" s="432"/>
      <c r="LW218" s="432"/>
      <c r="LX218" s="432"/>
      <c r="LY218" s="432"/>
      <c r="LZ218" s="432"/>
      <c r="MA218" s="432"/>
      <c r="MB218" s="432"/>
      <c r="MC218" s="432"/>
      <c r="MD218" s="1811"/>
      <c r="ME218" s="1811"/>
      <c r="MF218" s="432"/>
      <c r="MG218" s="432"/>
      <c r="MH218" s="432"/>
      <c r="MI218" s="432"/>
      <c r="MJ218" s="432"/>
      <c r="MK218" s="432"/>
      <c r="ML218" s="432"/>
      <c r="MM218" s="432"/>
      <c r="MN218" s="432"/>
      <c r="MO218" s="432"/>
      <c r="MP218" s="432"/>
      <c r="MQ218" s="432"/>
      <c r="MR218" s="432"/>
      <c r="MS218" s="432"/>
      <c r="MT218" s="432"/>
      <c r="MU218" s="432"/>
      <c r="MV218" s="93"/>
      <c r="MW218" s="93"/>
      <c r="MX218" s="93"/>
      <c r="MY218" s="93"/>
      <c r="MZ218" s="93"/>
      <c r="NA218" s="93"/>
      <c r="NB218" s="93"/>
      <c r="NC218" s="93"/>
      <c r="ND218" s="93"/>
      <c r="NE218" s="93"/>
      <c r="NF218" s="93"/>
      <c r="NG218" s="93"/>
      <c r="NH218" s="93"/>
      <c r="NI218" s="93"/>
      <c r="NJ218" s="93"/>
      <c r="NK218" s="93"/>
      <c r="NL218" s="93"/>
      <c r="NM218" s="93"/>
      <c r="NN218" s="93"/>
      <c r="NO218" s="93"/>
      <c r="NP218" s="2807"/>
      <c r="NQ218" s="93"/>
      <c r="NR218" s="93"/>
      <c r="NS218" s="93"/>
      <c r="NT218" s="93"/>
      <c r="NU218" s="93"/>
      <c r="NV218" s="93"/>
      <c r="NW218" s="93"/>
      <c r="NX218" s="93"/>
      <c r="NY218" s="93"/>
      <c r="NZ218" s="93"/>
      <c r="OA218" s="93"/>
      <c r="OB218" s="93"/>
      <c r="OC218" s="93"/>
      <c r="OD218" s="93"/>
      <c r="OE218" s="93"/>
      <c r="OF218" s="93"/>
      <c r="OG218" s="93"/>
      <c r="OH218" s="93"/>
      <c r="OI218" s="93"/>
      <c r="OJ218" s="93"/>
      <c r="OK218" s="93"/>
      <c r="OL218" s="93"/>
      <c r="OM218" s="93"/>
      <c r="ON218" s="93"/>
      <c r="OO218" s="93"/>
      <c r="OP218" s="93"/>
      <c r="OQ218" s="93"/>
      <c r="OR218" s="93"/>
      <c r="OS218" s="93"/>
      <c r="OT218" s="93"/>
      <c r="OU218" s="93"/>
      <c r="OV218" s="93"/>
      <c r="OW218" s="93"/>
      <c r="OX218" s="93"/>
      <c r="OY218" s="93"/>
      <c r="OZ218" s="93"/>
      <c r="PA218" s="93"/>
      <c r="PB218" s="93"/>
      <c r="PC218" s="93"/>
      <c r="PD218" s="93"/>
      <c r="PE218" s="93"/>
      <c r="PF218" s="93"/>
      <c r="PG218" s="93"/>
      <c r="PH218" s="93"/>
      <c r="PI218" s="93"/>
      <c r="PJ218" s="93"/>
      <c r="PK218" s="93"/>
      <c r="PL218" s="93"/>
      <c r="PM218" s="93"/>
      <c r="PN218" s="93"/>
      <c r="PO218" s="93"/>
      <c r="PP218" s="93"/>
      <c r="PQ218" s="93"/>
      <c r="PR218" s="93"/>
      <c r="PS218" s="93"/>
      <c r="PT218" s="93"/>
      <c r="PU218" s="93"/>
      <c r="PV218" s="93"/>
      <c r="PW218" s="93"/>
      <c r="PX218" s="93"/>
      <c r="PY218" s="93"/>
      <c r="PZ218" s="93"/>
      <c r="QA218" s="93"/>
      <c r="QB218" s="93"/>
      <c r="QC218" s="93"/>
      <c r="QD218" s="93"/>
      <c r="QE218" s="93"/>
      <c r="QF218" s="93"/>
      <c r="QG218" s="93"/>
      <c r="QH218" s="93"/>
      <c r="QI218" s="93"/>
      <c r="QJ218" s="93"/>
      <c r="QK218" s="93"/>
      <c r="QL218" s="93"/>
      <c r="QM218" s="93"/>
      <c r="QN218" s="93"/>
      <c r="QO218" s="93"/>
      <c r="QP218" s="93"/>
      <c r="QQ218" s="93"/>
      <c r="QR218" s="93"/>
      <c r="QS218" s="93"/>
      <c r="QT218" s="93"/>
      <c r="QU218" s="93"/>
      <c r="QV218" s="93"/>
      <c r="QW218" s="93"/>
      <c r="QX218" s="93"/>
      <c r="QY218" s="93"/>
      <c r="QZ218" s="93"/>
      <c r="RA218" s="93"/>
      <c r="RB218" s="93"/>
      <c r="RC218" s="93"/>
      <c r="RD218" s="93"/>
      <c r="RE218" s="93"/>
      <c r="RF218" s="93"/>
      <c r="RG218" s="93"/>
      <c r="RH218" s="93"/>
      <c r="RI218" s="93"/>
      <c r="RJ218" s="93"/>
      <c r="RK218" s="93"/>
      <c r="RL218" s="93"/>
      <c r="RM218" s="93"/>
      <c r="RN218" s="93"/>
      <c r="RO218" s="93"/>
      <c r="RP218" s="93"/>
      <c r="RQ218" s="93"/>
      <c r="RR218" s="93"/>
      <c r="RS218" s="93"/>
      <c r="RT218" s="93"/>
      <c r="RU218" s="93"/>
      <c r="RV218" s="93"/>
      <c r="RW218" s="93"/>
      <c r="RX218" s="93"/>
      <c r="RY218" s="93"/>
    </row>
    <row r="219" spans="1:493" s="90" customFormat="1" ht="15.6" customHeight="1" thickBot="1">
      <c r="A219" s="1"/>
      <c r="B219" s="1" t="s">
        <v>1318</v>
      </c>
      <c r="C219" s="1"/>
      <c r="D219" s="1"/>
      <c r="E219" s="1"/>
      <c r="F219" s="3880">
        <f>42000+11040</f>
        <v>53040</v>
      </c>
      <c r="G219" s="3881"/>
      <c r="H219" s="1"/>
      <c r="I219" s="1" t="s">
        <v>1330</v>
      </c>
      <c r="K219" s="1"/>
      <c r="L219" s="3868">
        <v>3000</v>
      </c>
      <c r="M219" s="3869"/>
      <c r="N219" s="1"/>
      <c r="O219" s="384">
        <f>+Q217/(P67*0.93)/12</f>
        <v>43.569544006371956</v>
      </c>
      <c r="P219" s="66" t="s">
        <v>2586</v>
      </c>
      <c r="Q219" s="1"/>
      <c r="R219" s="768"/>
      <c r="S219" s="3833"/>
      <c r="T219" s="3834"/>
      <c r="U219" s="3834"/>
      <c r="V219" s="3834"/>
      <c r="W219" s="3835"/>
      <c r="X219" s="430"/>
      <c r="Y219" s="432"/>
      <c r="Z219" s="432"/>
      <c r="AA219" s="432"/>
      <c r="AB219" s="432"/>
      <c r="AC219" s="430"/>
      <c r="AD219" s="432"/>
      <c r="AE219" s="432"/>
      <c r="AF219" s="432"/>
      <c r="AG219" s="432"/>
      <c r="AH219" s="430"/>
      <c r="AI219" s="432"/>
      <c r="AJ219" s="432"/>
      <c r="AK219" s="432"/>
      <c r="AL219" s="432"/>
      <c r="AM219" s="430"/>
      <c r="AN219" s="432"/>
      <c r="AO219" s="432"/>
      <c r="AP219" s="432"/>
      <c r="AQ219" s="432"/>
      <c r="AR219" s="432"/>
      <c r="AS219" s="432"/>
      <c r="AT219" s="432"/>
      <c r="AU219" s="432"/>
      <c r="AV219" s="432"/>
      <c r="AW219" s="432"/>
      <c r="AX219" s="432"/>
      <c r="AY219" s="432"/>
      <c r="AZ219" s="432"/>
      <c r="BA219" s="432"/>
      <c r="BB219" s="432"/>
      <c r="BC219" s="432"/>
      <c r="BD219" s="432"/>
      <c r="BE219" s="432"/>
      <c r="BF219" s="432"/>
      <c r="BG219" s="432"/>
      <c r="BH219" s="432"/>
      <c r="BI219" s="432"/>
      <c r="BJ219" s="432"/>
      <c r="BK219" s="432"/>
      <c r="BL219" s="432"/>
      <c r="BM219" s="432"/>
      <c r="BN219" s="432"/>
      <c r="BO219" s="432"/>
      <c r="BP219" s="432"/>
      <c r="BQ219" s="432"/>
      <c r="BR219" s="432"/>
      <c r="BS219" s="432"/>
      <c r="BT219" s="432"/>
      <c r="BU219" s="432"/>
      <c r="BV219" s="432"/>
      <c r="BW219" s="432"/>
      <c r="BX219" s="432"/>
      <c r="BY219" s="432"/>
      <c r="BZ219" s="432"/>
      <c r="CA219" s="432"/>
      <c r="CB219" s="432"/>
      <c r="CC219" s="432"/>
      <c r="CD219" s="432"/>
      <c r="CE219" s="432"/>
      <c r="CF219" s="432"/>
      <c r="CG219" s="432"/>
      <c r="CH219" s="432"/>
      <c r="CI219" s="432"/>
      <c r="CJ219" s="432"/>
      <c r="CK219" s="432"/>
      <c r="CL219" s="432"/>
      <c r="CM219" s="432"/>
      <c r="CN219" s="432"/>
      <c r="CO219" s="432"/>
      <c r="CP219" s="432"/>
      <c r="CQ219" s="432"/>
      <c r="CR219" s="432"/>
      <c r="CS219" s="432"/>
      <c r="CT219" s="432"/>
      <c r="CU219" s="432"/>
      <c r="CV219" s="432"/>
      <c r="CW219" s="432"/>
      <c r="CX219" s="432"/>
      <c r="CY219" s="432"/>
      <c r="CZ219" s="432"/>
      <c r="DA219" s="432"/>
      <c r="DB219" s="432"/>
      <c r="DC219" s="432"/>
      <c r="DD219" s="432"/>
      <c r="DE219" s="432"/>
      <c r="DF219" s="432"/>
      <c r="DG219" s="432"/>
      <c r="DH219" s="432"/>
      <c r="DI219" s="432"/>
      <c r="DJ219" s="432"/>
      <c r="DK219" s="432"/>
      <c r="DL219" s="432"/>
      <c r="DM219" s="432"/>
      <c r="DN219" s="432"/>
      <c r="DO219" s="432"/>
      <c r="DP219" s="432"/>
      <c r="DQ219" s="432"/>
      <c r="DR219" s="432"/>
      <c r="DS219" s="432"/>
      <c r="DT219" s="432"/>
      <c r="DU219" s="432"/>
      <c r="DV219" s="432"/>
      <c r="DW219" s="432"/>
      <c r="DX219" s="432"/>
      <c r="DY219" s="432"/>
      <c r="DZ219" s="432"/>
      <c r="EA219" s="432"/>
      <c r="EB219" s="432"/>
      <c r="EC219" s="432"/>
      <c r="ED219" s="432"/>
      <c r="EE219" s="432"/>
      <c r="EF219" s="432"/>
      <c r="EG219" s="432"/>
      <c r="EH219" s="432"/>
      <c r="EI219" s="432"/>
      <c r="EJ219" s="432"/>
      <c r="EK219" s="432"/>
      <c r="EL219" s="432"/>
      <c r="EM219" s="432"/>
      <c r="EN219" s="432"/>
      <c r="EO219" s="432"/>
      <c r="EP219" s="432"/>
      <c r="EQ219" s="432"/>
      <c r="ER219" s="432"/>
      <c r="ES219" s="432"/>
      <c r="ET219" s="432"/>
      <c r="EU219" s="432"/>
      <c r="EV219" s="432"/>
      <c r="EW219" s="432"/>
      <c r="EX219" s="432"/>
      <c r="EY219" s="432"/>
      <c r="EZ219" s="432"/>
      <c r="FA219" s="432"/>
      <c r="FB219" s="432"/>
      <c r="FC219" s="432"/>
      <c r="FD219" s="432"/>
      <c r="FE219" s="432"/>
      <c r="FF219" s="432"/>
      <c r="FG219" s="432"/>
      <c r="FH219" s="432"/>
      <c r="FI219" s="432"/>
      <c r="FJ219" s="432"/>
      <c r="FK219" s="432"/>
      <c r="FL219" s="432"/>
      <c r="FM219" s="432"/>
      <c r="FN219" s="432"/>
      <c r="FO219" s="432"/>
      <c r="FP219" s="432"/>
      <c r="FQ219" s="432"/>
      <c r="FR219" s="432"/>
      <c r="FS219" s="432"/>
      <c r="FT219" s="432"/>
      <c r="FU219" s="432"/>
      <c r="FV219" s="432"/>
      <c r="FW219" s="432"/>
      <c r="FX219" s="432"/>
      <c r="FY219" s="432"/>
      <c r="FZ219" s="432"/>
      <c r="GA219" s="432"/>
      <c r="GB219" s="432"/>
      <c r="GC219" s="432"/>
      <c r="GD219" s="432"/>
      <c r="GE219" s="432"/>
      <c r="GF219" s="432"/>
      <c r="GG219" s="432"/>
      <c r="GH219" s="432"/>
      <c r="GI219" s="432"/>
      <c r="GJ219" s="432"/>
      <c r="GK219" s="432"/>
      <c r="GL219" s="432"/>
      <c r="GM219" s="432"/>
      <c r="GN219" s="432"/>
      <c r="GO219" s="432"/>
      <c r="GP219" s="432"/>
      <c r="GQ219" s="432"/>
      <c r="GR219" s="432"/>
      <c r="GS219" s="432"/>
      <c r="GT219" s="432"/>
      <c r="GU219" s="432"/>
      <c r="GV219" s="432"/>
      <c r="GW219" s="432"/>
      <c r="GX219" s="432"/>
      <c r="GY219" s="432"/>
      <c r="GZ219" s="432"/>
      <c r="HA219" s="432"/>
      <c r="HB219" s="432"/>
      <c r="HC219" s="432"/>
      <c r="HD219" s="432"/>
      <c r="HE219" s="432"/>
      <c r="HF219" s="432"/>
      <c r="HG219" s="432"/>
      <c r="HH219" s="432"/>
      <c r="HI219" s="432"/>
      <c r="HJ219" s="432"/>
      <c r="HK219" s="432"/>
      <c r="HL219" s="432"/>
      <c r="HM219" s="432"/>
      <c r="HN219" s="432"/>
      <c r="HO219" s="432"/>
      <c r="HP219" s="432"/>
      <c r="HQ219" s="432"/>
      <c r="HR219" s="432"/>
      <c r="HS219" s="432"/>
      <c r="HT219" s="432"/>
      <c r="HU219" s="432"/>
      <c r="HV219" s="432"/>
      <c r="HW219" s="432"/>
      <c r="HX219" s="432"/>
      <c r="HY219" s="432"/>
      <c r="HZ219" s="432"/>
      <c r="IA219" s="432"/>
      <c r="IB219" s="432"/>
      <c r="IC219" s="432"/>
      <c r="ID219" s="432"/>
      <c r="IE219" s="432"/>
      <c r="IF219" s="432"/>
      <c r="IG219" s="432"/>
      <c r="IH219" s="432"/>
      <c r="II219" s="432"/>
      <c r="IJ219" s="432"/>
      <c r="IK219" s="432"/>
      <c r="IL219" s="432"/>
      <c r="IM219" s="432"/>
      <c r="IN219" s="432"/>
      <c r="IO219" s="432"/>
      <c r="IP219" s="432"/>
      <c r="IQ219" s="432"/>
      <c r="IR219" s="432"/>
      <c r="IS219" s="432"/>
      <c r="IT219" s="432"/>
      <c r="IU219" s="432"/>
      <c r="IV219" s="432"/>
      <c r="IW219" s="432"/>
      <c r="IX219" s="432"/>
      <c r="IY219" s="432"/>
      <c r="IZ219" s="432"/>
      <c r="JA219" s="432"/>
      <c r="JB219" s="432"/>
      <c r="JC219" s="432"/>
      <c r="JD219" s="432"/>
      <c r="JE219" s="432"/>
      <c r="JF219" s="432"/>
      <c r="JG219" s="432"/>
      <c r="JH219" s="432"/>
      <c r="JI219" s="432"/>
      <c r="JJ219" s="432"/>
      <c r="JK219" s="432"/>
      <c r="JL219" s="432"/>
      <c r="JM219" s="432"/>
      <c r="JN219" s="432"/>
      <c r="JO219" s="432"/>
      <c r="JP219" s="432"/>
      <c r="JQ219" s="432"/>
      <c r="JR219" s="432"/>
      <c r="JS219" s="432"/>
      <c r="JT219" s="432"/>
      <c r="JU219" s="432"/>
      <c r="JV219" s="432"/>
      <c r="JW219" s="1810"/>
      <c r="JX219" s="432"/>
      <c r="JY219" s="432"/>
      <c r="JZ219" s="432"/>
      <c r="KA219" s="432"/>
      <c r="KB219" s="1810"/>
      <c r="KC219" s="432"/>
      <c r="KD219" s="432"/>
      <c r="KE219" s="432"/>
      <c r="KF219" s="432"/>
      <c r="KG219" s="1810"/>
      <c r="KH219" s="432"/>
      <c r="KI219" s="432"/>
      <c r="KJ219" s="432"/>
      <c r="KK219" s="432"/>
      <c r="KL219" s="1810"/>
      <c r="KM219" s="1810"/>
      <c r="KN219" s="1810"/>
      <c r="KO219" s="1810"/>
      <c r="KP219" s="1810"/>
      <c r="KQ219" s="1810"/>
      <c r="KR219" s="1810"/>
      <c r="KS219" s="1810"/>
      <c r="KT219" s="1810"/>
      <c r="KU219" s="1810"/>
      <c r="KV219" s="1810"/>
      <c r="KW219" s="1810"/>
      <c r="KX219" s="1810"/>
      <c r="KY219" s="1810"/>
      <c r="KZ219" s="1810"/>
      <c r="LA219" s="1810"/>
      <c r="LB219" s="1810"/>
      <c r="LC219" s="1810"/>
      <c r="LD219" s="1810"/>
      <c r="LE219" s="1810"/>
      <c r="LF219" s="1810"/>
      <c r="LG219" s="1810"/>
      <c r="LH219" s="432"/>
      <c r="LI219" s="432"/>
      <c r="LJ219" s="432"/>
      <c r="LK219" s="432"/>
      <c r="LL219" s="432"/>
      <c r="LM219" s="432"/>
      <c r="LN219" s="1811"/>
      <c r="LO219" s="432"/>
      <c r="LP219" s="432"/>
      <c r="LQ219" s="432"/>
      <c r="LR219" s="432"/>
      <c r="LS219" s="432"/>
      <c r="LT219" s="432"/>
      <c r="LU219" s="432"/>
      <c r="LV219" s="432"/>
      <c r="LW219" s="432"/>
      <c r="LX219" s="432"/>
      <c r="LY219" s="432"/>
      <c r="LZ219" s="432"/>
      <c r="MA219" s="432"/>
      <c r="MB219" s="432"/>
      <c r="MC219" s="432"/>
      <c r="MD219" s="1811"/>
      <c r="ME219" s="1811"/>
      <c r="MF219" s="432"/>
      <c r="MG219" s="432"/>
      <c r="MH219" s="432"/>
      <c r="MI219" s="432"/>
      <c r="MJ219" s="432"/>
      <c r="MK219" s="432"/>
      <c r="ML219" s="432"/>
      <c r="MM219" s="432"/>
      <c r="MN219" s="432"/>
      <c r="MO219" s="432"/>
      <c r="MP219" s="432"/>
      <c r="MQ219" s="432"/>
      <c r="MR219" s="432"/>
      <c r="MS219" s="432"/>
      <c r="MT219" s="432"/>
      <c r="MU219" s="432"/>
      <c r="MV219" s="93"/>
      <c r="MW219" s="93"/>
      <c r="MX219" s="93"/>
      <c r="MY219" s="93"/>
      <c r="MZ219" s="93"/>
      <c r="NA219" s="93"/>
      <c r="NB219" s="93"/>
      <c r="NC219" s="93"/>
      <c r="ND219" s="93"/>
      <c r="NE219" s="93"/>
      <c r="NF219" s="93"/>
      <c r="NG219" s="93"/>
      <c r="NH219" s="93"/>
      <c r="NI219" s="93"/>
      <c r="NJ219" s="93"/>
      <c r="NK219" s="93"/>
      <c r="NL219" s="93"/>
      <c r="NM219" s="93"/>
      <c r="NN219" s="93"/>
      <c r="NO219" s="93"/>
      <c r="NP219" s="2807"/>
      <c r="NQ219" s="93"/>
      <c r="NR219" s="93"/>
      <c r="NS219" s="93"/>
      <c r="NT219" s="93"/>
      <c r="NU219" s="93"/>
      <c r="NV219" s="93"/>
      <c r="NW219" s="93"/>
      <c r="NX219" s="93"/>
      <c r="NY219" s="93"/>
      <c r="NZ219" s="93"/>
      <c r="OA219" s="93"/>
      <c r="OB219" s="93"/>
      <c r="OC219" s="93"/>
      <c r="OD219" s="93"/>
      <c r="OE219" s="93"/>
      <c r="OF219" s="93"/>
      <c r="OG219" s="93"/>
      <c r="OH219" s="93"/>
      <c r="OI219" s="93"/>
      <c r="OJ219" s="93"/>
      <c r="OK219" s="93"/>
      <c r="OL219" s="93"/>
      <c r="OM219" s="93"/>
      <c r="ON219" s="93"/>
      <c r="OO219" s="93"/>
      <c r="OP219" s="93"/>
      <c r="OQ219" s="93"/>
      <c r="OR219" s="93"/>
      <c r="OS219" s="93"/>
      <c r="OT219" s="93"/>
      <c r="OU219" s="93"/>
      <c r="OV219" s="93"/>
      <c r="OW219" s="93"/>
      <c r="OX219" s="93"/>
      <c r="OY219" s="93"/>
      <c r="OZ219" s="93"/>
      <c r="PA219" s="93"/>
      <c r="PB219" s="93"/>
      <c r="PC219" s="93"/>
      <c r="PD219" s="93"/>
      <c r="PE219" s="93"/>
      <c r="PF219" s="93"/>
      <c r="PG219" s="93"/>
      <c r="PH219" s="93"/>
      <c r="PI219" s="93"/>
      <c r="PJ219" s="93"/>
      <c r="PK219" s="93"/>
      <c r="PL219" s="93"/>
      <c r="PM219" s="93"/>
      <c r="PN219" s="93"/>
      <c r="PO219" s="93"/>
      <c r="PP219" s="93"/>
      <c r="PQ219" s="93"/>
      <c r="PR219" s="93"/>
      <c r="PS219" s="93"/>
      <c r="PT219" s="93"/>
      <c r="PU219" s="93"/>
      <c r="PV219" s="93"/>
      <c r="PW219" s="93"/>
      <c r="PX219" s="93"/>
      <c r="PY219" s="93"/>
      <c r="PZ219" s="93"/>
      <c r="QA219" s="93"/>
      <c r="QB219" s="93"/>
      <c r="QC219" s="93"/>
      <c r="QD219" s="93"/>
      <c r="QE219" s="93"/>
      <c r="QF219" s="93"/>
      <c r="QG219" s="93"/>
      <c r="QH219" s="93"/>
      <c r="QI219" s="93"/>
      <c r="QJ219" s="93"/>
      <c r="QK219" s="93"/>
      <c r="QL219" s="93"/>
      <c r="QM219" s="93"/>
      <c r="QN219" s="93"/>
      <c r="QO219" s="93"/>
      <c r="QP219" s="93"/>
      <c r="QQ219" s="93"/>
      <c r="QR219" s="93"/>
      <c r="QS219" s="93"/>
      <c r="QT219" s="93"/>
      <c r="QU219" s="93"/>
      <c r="QV219" s="93"/>
      <c r="QW219" s="93"/>
      <c r="QX219" s="93"/>
      <c r="QY219" s="93"/>
      <c r="QZ219" s="93"/>
      <c r="RA219" s="93"/>
      <c r="RB219" s="93"/>
      <c r="RC219" s="93"/>
      <c r="RD219" s="93"/>
      <c r="RE219" s="93"/>
      <c r="RF219" s="93"/>
      <c r="RG219" s="93"/>
      <c r="RH219" s="93"/>
      <c r="RI219" s="93"/>
      <c r="RJ219" s="93"/>
      <c r="RK219" s="93"/>
      <c r="RL219" s="93"/>
      <c r="RM219" s="93"/>
      <c r="RN219" s="93"/>
      <c r="RO219" s="93"/>
      <c r="RP219" s="93"/>
      <c r="RQ219" s="93"/>
      <c r="RR219" s="93"/>
      <c r="RS219" s="93"/>
      <c r="RT219" s="93"/>
      <c r="RU219" s="93"/>
      <c r="RV219" s="93"/>
      <c r="RW219" s="93"/>
      <c r="RX219" s="93"/>
      <c r="RY219" s="93"/>
    </row>
    <row r="220" spans="1:493" s="90" customFormat="1" ht="15.6" customHeight="1" thickTop="1">
      <c r="A220" s="1"/>
      <c r="B220" s="1" t="s">
        <v>1193</v>
      </c>
      <c r="C220" s="1"/>
      <c r="D220" s="1"/>
      <c r="E220" s="1"/>
      <c r="F220" s="3880"/>
      <c r="G220" s="3881"/>
      <c r="H220" s="1"/>
      <c r="I220" s="1"/>
      <c r="K220" s="121" t="s">
        <v>183</v>
      </c>
      <c r="L220" s="3870">
        <f>SUM(L218:M219)</f>
        <v>5000</v>
      </c>
      <c r="M220" s="3871"/>
      <c r="N220" s="1"/>
      <c r="O220" s="36" t="s">
        <v>3354</v>
      </c>
      <c r="P220" s="848"/>
      <c r="Q220" s="848"/>
      <c r="R220" s="768"/>
      <c r="S220" s="3833"/>
      <c r="T220" s="3834"/>
      <c r="U220" s="3834"/>
      <c r="V220" s="3834"/>
      <c r="W220" s="3835"/>
      <c r="X220" s="430"/>
      <c r="Y220" s="432"/>
      <c r="Z220" s="432"/>
      <c r="AA220" s="432"/>
      <c r="AB220" s="432"/>
      <c r="AC220" s="430"/>
      <c r="AD220" s="432"/>
      <c r="AE220" s="432"/>
      <c r="AF220" s="432"/>
      <c r="AG220" s="432"/>
      <c r="AH220" s="430"/>
      <c r="AI220" s="432"/>
      <c r="AJ220" s="432"/>
      <c r="AK220" s="432"/>
      <c r="AL220" s="432"/>
      <c r="AM220" s="430"/>
      <c r="AN220" s="432"/>
      <c r="AO220" s="432"/>
      <c r="AP220" s="432"/>
      <c r="AQ220" s="432"/>
      <c r="AR220" s="432"/>
      <c r="AS220" s="432"/>
      <c r="AT220" s="432"/>
      <c r="AU220" s="432"/>
      <c r="AV220" s="432"/>
      <c r="AW220" s="432"/>
      <c r="AX220" s="432"/>
      <c r="AY220" s="432"/>
      <c r="AZ220" s="432"/>
      <c r="BA220" s="432"/>
      <c r="BB220" s="432"/>
      <c r="BC220" s="432"/>
      <c r="BD220" s="432"/>
      <c r="BE220" s="432"/>
      <c r="BF220" s="432"/>
      <c r="BG220" s="432"/>
      <c r="BH220" s="432"/>
      <c r="BI220" s="432"/>
      <c r="BJ220" s="432"/>
      <c r="BK220" s="432"/>
      <c r="BL220" s="432"/>
      <c r="BM220" s="432"/>
      <c r="BN220" s="432"/>
      <c r="BO220" s="432"/>
      <c r="BP220" s="432"/>
      <c r="BQ220" s="432"/>
      <c r="BR220" s="432"/>
      <c r="BS220" s="432"/>
      <c r="BT220" s="432"/>
      <c r="BU220" s="432"/>
      <c r="BV220" s="432"/>
      <c r="BW220" s="432"/>
      <c r="BX220" s="432"/>
      <c r="BY220" s="432"/>
      <c r="BZ220" s="432"/>
      <c r="CA220" s="432"/>
      <c r="CB220" s="432"/>
      <c r="CC220" s="432"/>
      <c r="CD220" s="432"/>
      <c r="CE220" s="432"/>
      <c r="CF220" s="432"/>
      <c r="CG220" s="432"/>
      <c r="CH220" s="432"/>
      <c r="CI220" s="432"/>
      <c r="CJ220" s="432"/>
      <c r="CK220" s="432"/>
      <c r="CL220" s="432"/>
      <c r="CM220" s="432"/>
      <c r="CN220" s="432"/>
      <c r="CO220" s="432"/>
      <c r="CP220" s="432"/>
      <c r="CQ220" s="432"/>
      <c r="CR220" s="432"/>
      <c r="CS220" s="432"/>
      <c r="CT220" s="432"/>
      <c r="CU220" s="432"/>
      <c r="CV220" s="432"/>
      <c r="CW220" s="432"/>
      <c r="CX220" s="432"/>
      <c r="CY220" s="432"/>
      <c r="CZ220" s="432"/>
      <c r="DA220" s="432"/>
      <c r="DB220" s="432"/>
      <c r="DC220" s="432"/>
      <c r="DD220" s="432"/>
      <c r="DE220" s="432"/>
      <c r="DF220" s="432"/>
      <c r="DG220" s="432"/>
      <c r="DH220" s="432"/>
      <c r="DI220" s="432"/>
      <c r="DJ220" s="432"/>
      <c r="DK220" s="432"/>
      <c r="DL220" s="432"/>
      <c r="DM220" s="432"/>
      <c r="DN220" s="432"/>
      <c r="DO220" s="432"/>
      <c r="DP220" s="432"/>
      <c r="DQ220" s="432"/>
      <c r="DR220" s="432"/>
      <c r="DS220" s="432"/>
      <c r="DT220" s="432"/>
      <c r="DU220" s="432"/>
      <c r="DV220" s="432"/>
      <c r="DW220" s="432"/>
      <c r="DX220" s="432"/>
      <c r="DY220" s="432"/>
      <c r="DZ220" s="432"/>
      <c r="EA220" s="432"/>
      <c r="EB220" s="432"/>
      <c r="EC220" s="432"/>
      <c r="ED220" s="432"/>
      <c r="EE220" s="432"/>
      <c r="EF220" s="432"/>
      <c r="EG220" s="432"/>
      <c r="EH220" s="432"/>
      <c r="EI220" s="432"/>
      <c r="EJ220" s="432"/>
      <c r="EK220" s="432"/>
      <c r="EL220" s="432"/>
      <c r="EM220" s="432"/>
      <c r="EN220" s="432"/>
      <c r="EO220" s="432"/>
      <c r="EP220" s="432"/>
      <c r="EQ220" s="432"/>
      <c r="ER220" s="432"/>
      <c r="ES220" s="432"/>
      <c r="ET220" s="432"/>
      <c r="EU220" s="432"/>
      <c r="EV220" s="432"/>
      <c r="EW220" s="432"/>
      <c r="EX220" s="432"/>
      <c r="EY220" s="432"/>
      <c r="EZ220" s="432"/>
      <c r="FA220" s="432"/>
      <c r="FB220" s="432"/>
      <c r="FC220" s="432"/>
      <c r="FD220" s="432"/>
      <c r="FE220" s="432"/>
      <c r="FF220" s="432"/>
      <c r="FG220" s="432"/>
      <c r="FH220" s="432"/>
      <c r="FI220" s="432"/>
      <c r="FJ220" s="432"/>
      <c r="FK220" s="432"/>
      <c r="FL220" s="432"/>
      <c r="FM220" s="432"/>
      <c r="FN220" s="432"/>
      <c r="FO220" s="432"/>
      <c r="FP220" s="432"/>
      <c r="FQ220" s="432"/>
      <c r="FR220" s="432"/>
      <c r="FS220" s="432"/>
      <c r="FT220" s="432"/>
      <c r="FU220" s="432"/>
      <c r="FV220" s="432"/>
      <c r="FW220" s="432"/>
      <c r="FX220" s="432"/>
      <c r="FY220" s="432"/>
      <c r="FZ220" s="432"/>
      <c r="GA220" s="432"/>
      <c r="GB220" s="432"/>
      <c r="GC220" s="432"/>
      <c r="GD220" s="432"/>
      <c r="GE220" s="432"/>
      <c r="GF220" s="432"/>
      <c r="GG220" s="432"/>
      <c r="GH220" s="432"/>
      <c r="GI220" s="432"/>
      <c r="GJ220" s="432"/>
      <c r="GK220" s="432"/>
      <c r="GL220" s="432"/>
      <c r="GM220" s="432"/>
      <c r="GN220" s="432"/>
      <c r="GO220" s="432"/>
      <c r="GP220" s="432"/>
      <c r="GQ220" s="432"/>
      <c r="GR220" s="432"/>
      <c r="GS220" s="432"/>
      <c r="GT220" s="432"/>
      <c r="GU220" s="432"/>
      <c r="GV220" s="432"/>
      <c r="GW220" s="432"/>
      <c r="GX220" s="432"/>
      <c r="GY220" s="432"/>
      <c r="GZ220" s="432"/>
      <c r="HA220" s="432"/>
      <c r="HB220" s="432"/>
      <c r="HC220" s="432"/>
      <c r="HD220" s="432"/>
      <c r="HE220" s="432"/>
      <c r="HF220" s="432"/>
      <c r="HG220" s="432"/>
      <c r="HH220" s="432"/>
      <c r="HI220" s="432"/>
      <c r="HJ220" s="432"/>
      <c r="HK220" s="432"/>
      <c r="HL220" s="432"/>
      <c r="HM220" s="432"/>
      <c r="HN220" s="432"/>
      <c r="HO220" s="432"/>
      <c r="HP220" s="432"/>
      <c r="HQ220" s="432"/>
      <c r="HR220" s="432"/>
      <c r="HS220" s="432"/>
      <c r="HT220" s="432"/>
      <c r="HU220" s="432"/>
      <c r="HV220" s="432"/>
      <c r="HW220" s="432"/>
      <c r="HX220" s="432"/>
      <c r="HY220" s="432"/>
      <c r="HZ220" s="432"/>
      <c r="IA220" s="432"/>
      <c r="IB220" s="432"/>
      <c r="IC220" s="432"/>
      <c r="ID220" s="432"/>
      <c r="IE220" s="432"/>
      <c r="IF220" s="432"/>
      <c r="IG220" s="432"/>
      <c r="IH220" s="432"/>
      <c r="II220" s="432"/>
      <c r="IJ220" s="432"/>
      <c r="IK220" s="432"/>
      <c r="IL220" s="432"/>
      <c r="IM220" s="432"/>
      <c r="IN220" s="432"/>
      <c r="IO220" s="432"/>
      <c r="IP220" s="432"/>
      <c r="IQ220" s="432"/>
      <c r="IR220" s="432"/>
      <c r="IS220" s="432"/>
      <c r="IT220" s="432"/>
      <c r="IU220" s="432"/>
      <c r="IV220" s="432"/>
      <c r="IW220" s="432"/>
      <c r="IX220" s="432"/>
      <c r="IY220" s="432"/>
      <c r="IZ220" s="432"/>
      <c r="JA220" s="432"/>
      <c r="JB220" s="432"/>
      <c r="JC220" s="432"/>
      <c r="JD220" s="432"/>
      <c r="JE220" s="432"/>
      <c r="JF220" s="432"/>
      <c r="JG220" s="432"/>
      <c r="JH220" s="432"/>
      <c r="JI220" s="432"/>
      <c r="JJ220" s="432"/>
      <c r="JK220" s="432"/>
      <c r="JL220" s="432"/>
      <c r="JM220" s="432"/>
      <c r="JN220" s="432"/>
      <c r="JO220" s="432"/>
      <c r="JP220" s="432"/>
      <c r="JQ220" s="432"/>
      <c r="JR220" s="432"/>
      <c r="JS220" s="432"/>
      <c r="JT220" s="432"/>
      <c r="JU220" s="432"/>
      <c r="JV220" s="432"/>
      <c r="JW220" s="1810"/>
      <c r="JX220" s="432"/>
      <c r="JY220" s="432"/>
      <c r="JZ220" s="432"/>
      <c r="KA220" s="432"/>
      <c r="KB220" s="1810"/>
      <c r="KC220" s="432"/>
      <c r="KD220" s="432"/>
      <c r="KE220" s="432"/>
      <c r="KF220" s="432"/>
      <c r="KG220" s="1810"/>
      <c r="KH220" s="432"/>
      <c r="KI220" s="432"/>
      <c r="KJ220" s="432"/>
      <c r="KK220" s="432"/>
      <c r="KL220" s="1810"/>
      <c r="KM220" s="1810"/>
      <c r="KN220" s="1810"/>
      <c r="KO220" s="1810"/>
      <c r="KP220" s="1810"/>
      <c r="KQ220" s="1810"/>
      <c r="KR220" s="1810"/>
      <c r="KS220" s="1810"/>
      <c r="KT220" s="1810"/>
      <c r="KU220" s="1810"/>
      <c r="KV220" s="1810"/>
      <c r="KW220" s="1810"/>
      <c r="KX220" s="1810"/>
      <c r="KY220" s="1810"/>
      <c r="KZ220" s="1810"/>
      <c r="LA220" s="1810"/>
      <c r="LB220" s="1810"/>
      <c r="LC220" s="1810"/>
      <c r="LD220" s="1810"/>
      <c r="LE220" s="1810"/>
      <c r="LF220" s="1810"/>
      <c r="LG220" s="1810"/>
      <c r="LH220" s="432"/>
      <c r="LI220" s="432"/>
      <c r="LJ220" s="432"/>
      <c r="LK220" s="432"/>
      <c r="LL220" s="432"/>
      <c r="LM220" s="432"/>
      <c r="LN220" s="1811"/>
      <c r="LO220" s="432"/>
      <c r="LP220" s="432"/>
      <c r="LQ220" s="432"/>
      <c r="LR220" s="432"/>
      <c r="LS220" s="432"/>
      <c r="LT220" s="432"/>
      <c r="LU220" s="432"/>
      <c r="LV220" s="432"/>
      <c r="LW220" s="432"/>
      <c r="LX220" s="432"/>
      <c r="LY220" s="432"/>
      <c r="LZ220" s="432"/>
      <c r="MA220" s="432"/>
      <c r="MB220" s="432"/>
      <c r="MC220" s="432"/>
      <c r="MD220" s="1811"/>
      <c r="ME220" s="1811"/>
      <c r="MF220" s="432"/>
      <c r="MG220" s="432"/>
      <c r="MH220" s="432"/>
      <c r="MI220" s="432"/>
      <c r="MJ220" s="432"/>
      <c r="MK220" s="432"/>
      <c r="ML220" s="432"/>
      <c r="MM220" s="432"/>
      <c r="MN220" s="432"/>
      <c r="MO220" s="432"/>
      <c r="MP220" s="432"/>
      <c r="MQ220" s="432"/>
      <c r="MR220" s="432"/>
      <c r="MS220" s="432"/>
      <c r="MT220" s="432"/>
      <c r="MU220" s="432"/>
      <c r="MV220" s="93"/>
      <c r="MW220" s="93"/>
      <c r="MX220" s="93"/>
      <c r="MY220" s="93"/>
      <c r="MZ220" s="93"/>
      <c r="NA220" s="93"/>
      <c r="NB220" s="93"/>
      <c r="NC220" s="93"/>
      <c r="ND220" s="93"/>
      <c r="NE220" s="93"/>
      <c r="NF220" s="93"/>
      <c r="NG220" s="93"/>
      <c r="NH220" s="93"/>
      <c r="NI220" s="93"/>
      <c r="NJ220" s="93"/>
      <c r="NK220" s="93"/>
      <c r="NL220" s="93"/>
      <c r="NM220" s="93"/>
      <c r="NN220" s="93"/>
      <c r="NO220" s="93"/>
      <c r="NP220" s="2807"/>
      <c r="NQ220" s="93"/>
      <c r="NR220" s="93"/>
      <c r="NS220" s="93"/>
      <c r="NT220" s="93"/>
      <c r="NU220" s="93"/>
      <c r="NV220" s="93"/>
      <c r="NW220" s="93"/>
      <c r="NX220" s="93"/>
      <c r="NY220" s="93"/>
      <c r="NZ220" s="93"/>
      <c r="OA220" s="93"/>
      <c r="OB220" s="93"/>
      <c r="OC220" s="93"/>
      <c r="OD220" s="93"/>
      <c r="OE220" s="93"/>
      <c r="OF220" s="93"/>
      <c r="OG220" s="93"/>
      <c r="OH220" s="93"/>
      <c r="OI220" s="93"/>
      <c r="OJ220" s="93"/>
      <c r="OK220" s="93"/>
      <c r="OL220" s="93"/>
      <c r="OM220" s="93"/>
      <c r="ON220" s="93"/>
      <c r="OO220" s="93"/>
      <c r="OP220" s="93"/>
      <c r="OQ220" s="93"/>
      <c r="OR220" s="93"/>
      <c r="OS220" s="93"/>
      <c r="OT220" s="93"/>
      <c r="OU220" s="93"/>
      <c r="OV220" s="93"/>
      <c r="OW220" s="93"/>
      <c r="OX220" s="93"/>
      <c r="OY220" s="93"/>
      <c r="OZ220" s="93"/>
      <c r="PA220" s="93"/>
      <c r="PB220" s="93"/>
      <c r="PC220" s="93"/>
      <c r="PD220" s="93"/>
      <c r="PE220" s="93"/>
      <c r="PF220" s="93"/>
      <c r="PG220" s="93"/>
      <c r="PH220" s="93"/>
      <c r="PI220" s="93"/>
      <c r="PJ220" s="93"/>
      <c r="PK220" s="93"/>
      <c r="PL220" s="93"/>
      <c r="PM220" s="93"/>
      <c r="PN220" s="93"/>
      <c r="PO220" s="93"/>
      <c r="PP220" s="93"/>
      <c r="PQ220" s="93"/>
      <c r="PR220" s="93"/>
      <c r="PS220" s="93"/>
      <c r="PT220" s="93"/>
      <c r="PU220" s="93"/>
      <c r="PV220" s="93"/>
      <c r="PW220" s="93"/>
      <c r="PX220" s="93"/>
      <c r="PY220" s="93"/>
      <c r="PZ220" s="93"/>
      <c r="QA220" s="93"/>
      <c r="QB220" s="93"/>
      <c r="QC220" s="93"/>
      <c r="QD220" s="93"/>
      <c r="QE220" s="93"/>
      <c r="QF220" s="93"/>
      <c r="QG220" s="93"/>
      <c r="QH220" s="93"/>
      <c r="QI220" s="93"/>
      <c r="QJ220" s="93"/>
      <c r="QK220" s="93"/>
      <c r="QL220" s="93"/>
      <c r="QM220" s="93"/>
      <c r="QN220" s="93"/>
      <c r="QO220" s="93"/>
      <c r="QP220" s="93"/>
      <c r="QQ220" s="93"/>
      <c r="QR220" s="93"/>
      <c r="QS220" s="93"/>
      <c r="QT220" s="93"/>
      <c r="QU220" s="93"/>
      <c r="QV220" s="93"/>
      <c r="QW220" s="93"/>
      <c r="QX220" s="93"/>
      <c r="QY220" s="93"/>
      <c r="QZ220" s="93"/>
      <c r="RA220" s="93"/>
      <c r="RB220" s="93"/>
      <c r="RC220" s="93"/>
      <c r="RD220" s="93"/>
      <c r="RE220" s="93"/>
      <c r="RF220" s="93"/>
      <c r="RG220" s="93"/>
      <c r="RH220" s="93"/>
      <c r="RI220" s="93"/>
      <c r="RJ220" s="93"/>
      <c r="RK220" s="93"/>
      <c r="RL220" s="93"/>
      <c r="RM220" s="93"/>
      <c r="RN220" s="93"/>
      <c r="RO220" s="93"/>
      <c r="RP220" s="93"/>
      <c r="RQ220" s="93"/>
      <c r="RR220" s="93"/>
      <c r="RS220" s="93"/>
      <c r="RT220" s="93"/>
      <c r="RU220" s="93"/>
      <c r="RV220" s="93"/>
      <c r="RW220" s="93"/>
      <c r="RX220" s="93"/>
      <c r="RY220" s="93"/>
    </row>
    <row r="221" spans="1:493" s="90" customFormat="1" ht="15.6" customHeight="1">
      <c r="A221" s="1"/>
      <c r="B221" s="1359" t="s">
        <v>4221</v>
      </c>
      <c r="F221" s="3880"/>
      <c r="G221" s="3881"/>
      <c r="H221" s="1"/>
      <c r="I221" s="1"/>
      <c r="K221" s="1"/>
      <c r="L221" s="1"/>
      <c r="M221" s="1"/>
      <c r="N221" s="1"/>
      <c r="R221" s="768"/>
      <c r="S221" s="3833"/>
      <c r="T221" s="3834"/>
      <c r="U221" s="3834"/>
      <c r="V221" s="3834"/>
      <c r="W221" s="3835"/>
      <c r="X221" s="430"/>
      <c r="Y221" s="432"/>
      <c r="Z221" s="432"/>
      <c r="AA221" s="432"/>
      <c r="AB221" s="432"/>
      <c r="AC221" s="430"/>
      <c r="AD221" s="432"/>
      <c r="AE221" s="432"/>
      <c r="AF221" s="432"/>
      <c r="AG221" s="432"/>
      <c r="AH221" s="430"/>
      <c r="AI221" s="432"/>
      <c r="AJ221" s="432"/>
      <c r="AK221" s="432"/>
      <c r="AL221" s="432"/>
      <c r="AM221" s="430"/>
      <c r="AN221" s="432"/>
      <c r="AO221" s="432"/>
      <c r="AP221" s="432"/>
      <c r="AQ221" s="432"/>
      <c r="AR221" s="432"/>
      <c r="AS221" s="432"/>
      <c r="AT221" s="432"/>
      <c r="AU221" s="432"/>
      <c r="AV221" s="432"/>
      <c r="AW221" s="432"/>
      <c r="AX221" s="432"/>
      <c r="AY221" s="432"/>
      <c r="AZ221" s="432"/>
      <c r="BA221" s="432"/>
      <c r="BB221" s="432"/>
      <c r="BC221" s="432"/>
      <c r="BD221" s="432"/>
      <c r="BE221" s="432"/>
      <c r="BF221" s="432"/>
      <c r="BG221" s="432"/>
      <c r="BH221" s="432"/>
      <c r="BI221" s="432"/>
      <c r="BJ221" s="432"/>
      <c r="BK221" s="432"/>
      <c r="BL221" s="432"/>
      <c r="BM221" s="432"/>
      <c r="BN221" s="432"/>
      <c r="BO221" s="432"/>
      <c r="BP221" s="432"/>
      <c r="BQ221" s="432"/>
      <c r="BR221" s="432"/>
      <c r="BS221" s="432"/>
      <c r="BT221" s="432"/>
      <c r="BU221" s="432"/>
      <c r="BV221" s="432"/>
      <c r="BW221" s="432"/>
      <c r="BX221" s="432"/>
      <c r="BY221" s="432"/>
      <c r="BZ221" s="432"/>
      <c r="CA221" s="432"/>
      <c r="CB221" s="432"/>
      <c r="CC221" s="432"/>
      <c r="CD221" s="432"/>
      <c r="CE221" s="432"/>
      <c r="CF221" s="432"/>
      <c r="CG221" s="432"/>
      <c r="CH221" s="432"/>
      <c r="CI221" s="432"/>
      <c r="CJ221" s="432"/>
      <c r="CK221" s="432"/>
      <c r="CL221" s="432"/>
      <c r="CM221" s="432"/>
      <c r="CN221" s="432"/>
      <c r="CO221" s="432"/>
      <c r="CP221" s="432"/>
      <c r="CQ221" s="432"/>
      <c r="CR221" s="432"/>
      <c r="CS221" s="432"/>
      <c r="CT221" s="432"/>
      <c r="CU221" s="432"/>
      <c r="CV221" s="432"/>
      <c r="CW221" s="432"/>
      <c r="CX221" s="432"/>
      <c r="CY221" s="432"/>
      <c r="CZ221" s="432"/>
      <c r="DA221" s="432"/>
      <c r="DB221" s="432"/>
      <c r="DC221" s="432"/>
      <c r="DD221" s="432"/>
      <c r="DE221" s="432"/>
      <c r="DF221" s="432"/>
      <c r="DG221" s="432"/>
      <c r="DH221" s="432"/>
      <c r="DI221" s="432"/>
      <c r="DJ221" s="432"/>
      <c r="DK221" s="432"/>
      <c r="DL221" s="432"/>
      <c r="DM221" s="432"/>
      <c r="DN221" s="432"/>
      <c r="DO221" s="432"/>
      <c r="DP221" s="432"/>
      <c r="DQ221" s="432"/>
      <c r="DR221" s="432"/>
      <c r="DS221" s="432"/>
      <c r="DT221" s="432"/>
      <c r="DU221" s="432"/>
      <c r="DV221" s="432"/>
      <c r="DW221" s="432"/>
      <c r="DX221" s="432"/>
      <c r="DY221" s="432"/>
      <c r="DZ221" s="432"/>
      <c r="EA221" s="432"/>
      <c r="EB221" s="432"/>
      <c r="EC221" s="432"/>
      <c r="ED221" s="432"/>
      <c r="EE221" s="432"/>
      <c r="EF221" s="432"/>
      <c r="EG221" s="432"/>
      <c r="EH221" s="432"/>
      <c r="EI221" s="432"/>
      <c r="EJ221" s="432"/>
      <c r="EK221" s="432"/>
      <c r="EL221" s="432"/>
      <c r="EM221" s="432"/>
      <c r="EN221" s="432"/>
      <c r="EO221" s="432"/>
      <c r="EP221" s="432"/>
      <c r="EQ221" s="432"/>
      <c r="ER221" s="432"/>
      <c r="ES221" s="432"/>
      <c r="ET221" s="432"/>
      <c r="EU221" s="432"/>
      <c r="EV221" s="432"/>
      <c r="EW221" s="432"/>
      <c r="EX221" s="432"/>
      <c r="EY221" s="432"/>
      <c r="EZ221" s="432"/>
      <c r="FA221" s="432"/>
      <c r="FB221" s="432"/>
      <c r="FC221" s="432"/>
      <c r="FD221" s="432"/>
      <c r="FE221" s="432"/>
      <c r="FF221" s="432"/>
      <c r="FG221" s="432"/>
      <c r="FH221" s="432"/>
      <c r="FI221" s="432"/>
      <c r="FJ221" s="432"/>
      <c r="FK221" s="432"/>
      <c r="FL221" s="432"/>
      <c r="FM221" s="432"/>
      <c r="FN221" s="432"/>
      <c r="FO221" s="432"/>
      <c r="FP221" s="432"/>
      <c r="FQ221" s="432"/>
      <c r="FR221" s="432"/>
      <c r="FS221" s="432"/>
      <c r="FT221" s="432"/>
      <c r="FU221" s="432"/>
      <c r="FV221" s="432"/>
      <c r="FW221" s="432"/>
      <c r="FX221" s="432"/>
      <c r="FY221" s="432"/>
      <c r="FZ221" s="432"/>
      <c r="GA221" s="432"/>
      <c r="GB221" s="432"/>
      <c r="GC221" s="432"/>
      <c r="GD221" s="432"/>
      <c r="GE221" s="432"/>
      <c r="GF221" s="432"/>
      <c r="GG221" s="432"/>
      <c r="GH221" s="432"/>
      <c r="GI221" s="432"/>
      <c r="GJ221" s="432"/>
      <c r="GK221" s="432"/>
      <c r="GL221" s="432"/>
      <c r="GM221" s="432"/>
      <c r="GN221" s="432"/>
      <c r="GO221" s="432"/>
      <c r="GP221" s="432"/>
      <c r="GQ221" s="432"/>
      <c r="GR221" s="432"/>
      <c r="GS221" s="432"/>
      <c r="GT221" s="432"/>
      <c r="GU221" s="432"/>
      <c r="GV221" s="432"/>
      <c r="GW221" s="432"/>
      <c r="GX221" s="432"/>
      <c r="GY221" s="432"/>
      <c r="GZ221" s="432"/>
      <c r="HA221" s="432"/>
      <c r="HB221" s="432"/>
      <c r="HC221" s="432"/>
      <c r="HD221" s="432"/>
      <c r="HE221" s="432"/>
      <c r="HF221" s="432"/>
      <c r="HG221" s="432"/>
      <c r="HH221" s="432"/>
      <c r="HI221" s="432"/>
      <c r="HJ221" s="432"/>
      <c r="HK221" s="432"/>
      <c r="HL221" s="432"/>
      <c r="HM221" s="432"/>
      <c r="HN221" s="432"/>
      <c r="HO221" s="432"/>
      <c r="HP221" s="432"/>
      <c r="HQ221" s="432"/>
      <c r="HR221" s="432"/>
      <c r="HS221" s="432"/>
      <c r="HT221" s="432"/>
      <c r="HU221" s="432"/>
      <c r="HV221" s="432"/>
      <c r="HW221" s="432"/>
      <c r="HX221" s="432"/>
      <c r="HY221" s="432"/>
      <c r="HZ221" s="432"/>
      <c r="IA221" s="432"/>
      <c r="IB221" s="432"/>
      <c r="IC221" s="432"/>
      <c r="ID221" s="432"/>
      <c r="IE221" s="432"/>
      <c r="IF221" s="432"/>
      <c r="IG221" s="432"/>
      <c r="IH221" s="432"/>
      <c r="II221" s="432"/>
      <c r="IJ221" s="432"/>
      <c r="IK221" s="432"/>
      <c r="IL221" s="432"/>
      <c r="IM221" s="432"/>
      <c r="IN221" s="432"/>
      <c r="IO221" s="432"/>
      <c r="IP221" s="432"/>
      <c r="IQ221" s="432"/>
      <c r="IR221" s="432"/>
      <c r="IS221" s="432"/>
      <c r="IT221" s="432"/>
      <c r="IU221" s="432"/>
      <c r="IV221" s="432"/>
      <c r="IW221" s="432"/>
      <c r="IX221" s="432"/>
      <c r="IY221" s="432"/>
      <c r="IZ221" s="432"/>
      <c r="JA221" s="432"/>
      <c r="JB221" s="432"/>
      <c r="JC221" s="432"/>
      <c r="JD221" s="432"/>
      <c r="JE221" s="432"/>
      <c r="JF221" s="432"/>
      <c r="JG221" s="432"/>
      <c r="JH221" s="432"/>
      <c r="JI221" s="432"/>
      <c r="JJ221" s="432"/>
      <c r="JK221" s="432"/>
      <c r="JL221" s="432"/>
      <c r="JM221" s="432"/>
      <c r="JN221" s="432"/>
      <c r="JO221" s="432"/>
      <c r="JP221" s="432"/>
      <c r="JQ221" s="432"/>
      <c r="JR221" s="432"/>
      <c r="JS221" s="432"/>
      <c r="JT221" s="432"/>
      <c r="JU221" s="432"/>
      <c r="JV221" s="432"/>
      <c r="JW221" s="1810"/>
      <c r="JX221" s="432"/>
      <c r="JY221" s="432"/>
      <c r="JZ221" s="432"/>
      <c r="KA221" s="432"/>
      <c r="KB221" s="1810"/>
      <c r="KC221" s="432"/>
      <c r="KD221" s="432"/>
      <c r="KE221" s="432"/>
      <c r="KF221" s="432"/>
      <c r="KG221" s="1810"/>
      <c r="KH221" s="432"/>
      <c r="KI221" s="432"/>
      <c r="KJ221" s="432"/>
      <c r="KK221" s="432"/>
      <c r="KL221" s="1810"/>
      <c r="KM221" s="1810"/>
      <c r="KN221" s="1810"/>
      <c r="KO221" s="1810"/>
      <c r="KP221" s="1810"/>
      <c r="KQ221" s="1810"/>
      <c r="KR221" s="1810"/>
      <c r="KS221" s="1810"/>
      <c r="KT221" s="1810"/>
      <c r="KU221" s="1810"/>
      <c r="KV221" s="1810"/>
      <c r="KW221" s="1810"/>
      <c r="KX221" s="1810"/>
      <c r="KY221" s="1810"/>
      <c r="KZ221" s="1810"/>
      <c r="LA221" s="1810"/>
      <c r="LB221" s="1810"/>
      <c r="LC221" s="1810"/>
      <c r="LD221" s="1810"/>
      <c r="LE221" s="1810"/>
      <c r="LF221" s="1810"/>
      <c r="LG221" s="1810"/>
      <c r="LH221" s="432"/>
      <c r="LI221" s="432"/>
      <c r="LJ221" s="432"/>
      <c r="LK221" s="432"/>
      <c r="LL221" s="432"/>
      <c r="LM221" s="432"/>
      <c r="LN221" s="1811"/>
      <c r="LO221" s="432"/>
      <c r="LP221" s="432"/>
      <c r="LQ221" s="432"/>
      <c r="LR221" s="432"/>
      <c r="LS221" s="432"/>
      <c r="LT221" s="432"/>
      <c r="LU221" s="432"/>
      <c r="LV221" s="432"/>
      <c r="LW221" s="432"/>
      <c r="LX221" s="432"/>
      <c r="LY221" s="432"/>
      <c r="LZ221" s="432"/>
      <c r="MA221" s="432"/>
      <c r="MB221" s="432"/>
      <c r="MC221" s="432"/>
      <c r="MD221" s="1811"/>
      <c r="ME221" s="1811"/>
      <c r="MF221" s="432"/>
      <c r="MG221" s="432"/>
      <c r="MH221" s="432"/>
      <c r="MI221" s="432"/>
      <c r="MJ221" s="432"/>
      <c r="MK221" s="432"/>
      <c r="ML221" s="432"/>
      <c r="MM221" s="432"/>
      <c r="MN221" s="432"/>
      <c r="MO221" s="432"/>
      <c r="MP221" s="432"/>
      <c r="MQ221" s="432"/>
      <c r="MR221" s="432"/>
      <c r="MS221" s="432"/>
      <c r="MT221" s="432"/>
      <c r="MU221" s="432"/>
      <c r="MV221" s="93"/>
      <c r="MW221" s="93"/>
      <c r="MX221" s="93"/>
      <c r="MY221" s="93"/>
      <c r="MZ221" s="93"/>
      <c r="NA221" s="93"/>
      <c r="NB221" s="93"/>
      <c r="NC221" s="93"/>
      <c r="ND221" s="93"/>
      <c r="NE221" s="93"/>
      <c r="NF221" s="93"/>
      <c r="NG221" s="93"/>
      <c r="NH221" s="93"/>
      <c r="NI221" s="93"/>
      <c r="NJ221" s="93"/>
      <c r="NK221" s="93"/>
      <c r="NL221" s="93"/>
      <c r="NM221" s="93"/>
      <c r="NN221" s="93"/>
      <c r="NO221" s="93"/>
      <c r="NP221" s="2850"/>
      <c r="NQ221" s="93"/>
      <c r="NR221" s="93"/>
      <c r="NS221" s="93"/>
      <c r="NT221" s="93"/>
      <c r="NU221" s="93"/>
      <c r="NV221" s="93"/>
      <c r="NW221" s="93"/>
      <c r="NX221" s="93"/>
      <c r="NY221" s="93"/>
      <c r="NZ221" s="93"/>
      <c r="OA221" s="93"/>
      <c r="OB221" s="93"/>
      <c r="OC221" s="93"/>
      <c r="OD221" s="93"/>
      <c r="OE221" s="93"/>
      <c r="OF221" s="93"/>
      <c r="OG221" s="93"/>
      <c r="OH221" s="93"/>
      <c r="OI221" s="93"/>
      <c r="OJ221" s="93"/>
      <c r="OK221" s="93"/>
      <c r="OL221" s="93"/>
      <c r="OM221" s="93"/>
      <c r="ON221" s="93"/>
      <c r="OO221" s="93"/>
      <c r="OP221" s="93"/>
      <c r="OQ221" s="93"/>
      <c r="OR221" s="93"/>
      <c r="OS221" s="93"/>
      <c r="OT221" s="93"/>
      <c r="OU221" s="93"/>
      <c r="OV221" s="93"/>
      <c r="OW221" s="93"/>
      <c r="OX221" s="93"/>
      <c r="OY221" s="93"/>
      <c r="OZ221" s="93"/>
      <c r="PA221" s="93"/>
      <c r="PB221" s="93"/>
      <c r="PC221" s="93"/>
      <c r="PD221" s="93"/>
      <c r="PE221" s="93"/>
      <c r="PF221" s="93"/>
      <c r="PG221" s="93"/>
      <c r="PH221" s="93"/>
      <c r="PI221" s="93"/>
      <c r="PJ221" s="93"/>
      <c r="PK221" s="93"/>
      <c r="PL221" s="93"/>
      <c r="PM221" s="93"/>
      <c r="PN221" s="93"/>
      <c r="PO221" s="93"/>
      <c r="PP221" s="93"/>
      <c r="PQ221" s="93"/>
      <c r="PR221" s="93"/>
      <c r="PS221" s="93"/>
      <c r="PT221" s="93"/>
      <c r="PU221" s="93"/>
      <c r="PV221" s="93"/>
      <c r="PW221" s="93"/>
      <c r="PX221" s="93"/>
      <c r="PY221" s="93"/>
      <c r="PZ221" s="93"/>
      <c r="QA221" s="93"/>
      <c r="QB221" s="93"/>
      <c r="QC221" s="93"/>
      <c r="QD221" s="93"/>
      <c r="QE221" s="93"/>
      <c r="QF221" s="93"/>
      <c r="QG221" s="93"/>
      <c r="QH221" s="93"/>
      <c r="QI221" s="93"/>
      <c r="QJ221" s="93"/>
      <c r="QK221" s="93"/>
      <c r="QL221" s="93"/>
      <c r="QM221" s="93"/>
      <c r="QN221" s="93"/>
      <c r="QO221" s="93"/>
      <c r="QP221" s="93"/>
      <c r="QQ221" s="93"/>
      <c r="QR221" s="93"/>
      <c r="QS221" s="93"/>
      <c r="QT221" s="93"/>
      <c r="QU221" s="93"/>
      <c r="QV221" s="93"/>
      <c r="QW221" s="93"/>
      <c r="QX221" s="93"/>
      <c r="QY221" s="93"/>
      <c r="QZ221" s="93"/>
      <c r="RA221" s="93"/>
      <c r="RB221" s="93"/>
      <c r="RC221" s="93"/>
      <c r="RD221" s="93"/>
      <c r="RE221" s="93"/>
      <c r="RF221" s="93"/>
      <c r="RG221" s="93"/>
      <c r="RH221" s="93"/>
      <c r="RI221" s="93"/>
      <c r="RJ221" s="93"/>
      <c r="RK221" s="93"/>
      <c r="RL221" s="93"/>
      <c r="RM221" s="93"/>
      <c r="RN221" s="93"/>
      <c r="RO221" s="93"/>
      <c r="RP221" s="93"/>
      <c r="RQ221" s="93"/>
      <c r="RR221" s="93"/>
      <c r="RS221" s="93"/>
      <c r="RT221" s="93"/>
      <c r="RU221" s="93"/>
      <c r="RV221" s="93"/>
      <c r="RW221" s="93"/>
      <c r="RX221" s="93"/>
      <c r="RY221" s="93"/>
    </row>
    <row r="222" spans="1:493" s="90" customFormat="1" ht="15.6" customHeight="1">
      <c r="A222" s="1"/>
      <c r="B222" s="1359" t="s">
        <v>4222</v>
      </c>
      <c r="F222" s="3880"/>
      <c r="G222" s="3881"/>
      <c r="H222" s="1"/>
      <c r="I222" s="1"/>
      <c r="K222" s="1"/>
      <c r="L222" s="1"/>
      <c r="M222" s="1"/>
      <c r="N222" s="1"/>
      <c r="R222" s="768"/>
      <c r="S222" s="3833"/>
      <c r="T222" s="3834"/>
      <c r="U222" s="3834"/>
      <c r="V222" s="3834"/>
      <c r="W222" s="3835"/>
      <c r="X222" s="430"/>
      <c r="Y222" s="432"/>
      <c r="Z222" s="432"/>
      <c r="AA222" s="432"/>
      <c r="AB222" s="432"/>
      <c r="AC222" s="430"/>
      <c r="AD222" s="432"/>
      <c r="AE222" s="432"/>
      <c r="AF222" s="432"/>
      <c r="AG222" s="432"/>
      <c r="AH222" s="430"/>
      <c r="AI222" s="432"/>
      <c r="AJ222" s="432"/>
      <c r="AK222" s="432"/>
      <c r="AL222" s="432"/>
      <c r="AM222" s="430"/>
      <c r="AN222" s="432"/>
      <c r="AO222" s="432"/>
      <c r="AP222" s="432"/>
      <c r="AQ222" s="432"/>
      <c r="AR222" s="432"/>
      <c r="AS222" s="432"/>
      <c r="AT222" s="432"/>
      <c r="AU222" s="432"/>
      <c r="AV222" s="432"/>
      <c r="AW222" s="432"/>
      <c r="AX222" s="432"/>
      <c r="AY222" s="432"/>
      <c r="AZ222" s="432"/>
      <c r="BA222" s="432"/>
      <c r="BB222" s="432"/>
      <c r="BC222" s="432"/>
      <c r="BD222" s="432"/>
      <c r="BE222" s="432"/>
      <c r="BF222" s="432"/>
      <c r="BG222" s="432"/>
      <c r="BH222" s="432"/>
      <c r="BI222" s="432"/>
      <c r="BJ222" s="432"/>
      <c r="BK222" s="432"/>
      <c r="BL222" s="432"/>
      <c r="BM222" s="432"/>
      <c r="BN222" s="432"/>
      <c r="BO222" s="432"/>
      <c r="BP222" s="432"/>
      <c r="BQ222" s="432"/>
      <c r="BR222" s="432"/>
      <c r="BS222" s="432"/>
      <c r="BT222" s="432"/>
      <c r="BU222" s="432"/>
      <c r="BV222" s="432"/>
      <c r="BW222" s="432"/>
      <c r="BX222" s="432"/>
      <c r="BY222" s="432"/>
      <c r="BZ222" s="432"/>
      <c r="CA222" s="432"/>
      <c r="CB222" s="432"/>
      <c r="CC222" s="432"/>
      <c r="CD222" s="432"/>
      <c r="CE222" s="432"/>
      <c r="CF222" s="432"/>
      <c r="CG222" s="432"/>
      <c r="CH222" s="432"/>
      <c r="CI222" s="432"/>
      <c r="CJ222" s="432"/>
      <c r="CK222" s="432"/>
      <c r="CL222" s="432"/>
      <c r="CM222" s="432"/>
      <c r="CN222" s="432"/>
      <c r="CO222" s="432"/>
      <c r="CP222" s="432"/>
      <c r="CQ222" s="432"/>
      <c r="CR222" s="432"/>
      <c r="CS222" s="432"/>
      <c r="CT222" s="432"/>
      <c r="CU222" s="432"/>
      <c r="CV222" s="432"/>
      <c r="CW222" s="432"/>
      <c r="CX222" s="432"/>
      <c r="CY222" s="432"/>
      <c r="CZ222" s="432"/>
      <c r="DA222" s="432"/>
      <c r="DB222" s="432"/>
      <c r="DC222" s="432"/>
      <c r="DD222" s="432"/>
      <c r="DE222" s="432"/>
      <c r="DF222" s="432"/>
      <c r="DG222" s="432"/>
      <c r="DH222" s="432"/>
      <c r="DI222" s="432"/>
      <c r="DJ222" s="432"/>
      <c r="DK222" s="432"/>
      <c r="DL222" s="432"/>
      <c r="DM222" s="432"/>
      <c r="DN222" s="432"/>
      <c r="DO222" s="432"/>
      <c r="DP222" s="432"/>
      <c r="DQ222" s="432"/>
      <c r="DR222" s="432"/>
      <c r="DS222" s="432"/>
      <c r="DT222" s="432"/>
      <c r="DU222" s="432"/>
      <c r="DV222" s="432"/>
      <c r="DW222" s="432"/>
      <c r="DX222" s="432"/>
      <c r="DY222" s="432"/>
      <c r="DZ222" s="432"/>
      <c r="EA222" s="432"/>
      <c r="EB222" s="432"/>
      <c r="EC222" s="432"/>
      <c r="ED222" s="432"/>
      <c r="EE222" s="432"/>
      <c r="EF222" s="432"/>
      <c r="EG222" s="432"/>
      <c r="EH222" s="432"/>
      <c r="EI222" s="432"/>
      <c r="EJ222" s="432"/>
      <c r="EK222" s="432"/>
      <c r="EL222" s="432"/>
      <c r="EM222" s="432"/>
      <c r="EN222" s="432"/>
      <c r="EO222" s="432"/>
      <c r="EP222" s="432"/>
      <c r="EQ222" s="432"/>
      <c r="ER222" s="432"/>
      <c r="ES222" s="432"/>
      <c r="ET222" s="432"/>
      <c r="EU222" s="432"/>
      <c r="EV222" s="432"/>
      <c r="EW222" s="432"/>
      <c r="EX222" s="432"/>
      <c r="EY222" s="432"/>
      <c r="EZ222" s="432"/>
      <c r="FA222" s="432"/>
      <c r="FB222" s="432"/>
      <c r="FC222" s="432"/>
      <c r="FD222" s="432"/>
      <c r="FE222" s="432"/>
      <c r="FF222" s="432"/>
      <c r="FG222" s="432"/>
      <c r="FH222" s="432"/>
      <c r="FI222" s="432"/>
      <c r="FJ222" s="432"/>
      <c r="FK222" s="432"/>
      <c r="FL222" s="432"/>
      <c r="FM222" s="432"/>
      <c r="FN222" s="432"/>
      <c r="FO222" s="432"/>
      <c r="FP222" s="432"/>
      <c r="FQ222" s="432"/>
      <c r="FR222" s="432"/>
      <c r="FS222" s="432"/>
      <c r="FT222" s="432"/>
      <c r="FU222" s="432"/>
      <c r="FV222" s="432"/>
      <c r="FW222" s="432"/>
      <c r="FX222" s="432"/>
      <c r="FY222" s="432"/>
      <c r="FZ222" s="432"/>
      <c r="GA222" s="432"/>
      <c r="GB222" s="432"/>
      <c r="GC222" s="432"/>
      <c r="GD222" s="432"/>
      <c r="GE222" s="432"/>
      <c r="GF222" s="432"/>
      <c r="GG222" s="432"/>
      <c r="GH222" s="432"/>
      <c r="GI222" s="432"/>
      <c r="GJ222" s="432"/>
      <c r="GK222" s="432"/>
      <c r="GL222" s="432"/>
      <c r="GM222" s="432"/>
      <c r="GN222" s="432"/>
      <c r="GO222" s="432"/>
      <c r="GP222" s="432"/>
      <c r="GQ222" s="432"/>
      <c r="GR222" s="432"/>
      <c r="GS222" s="432"/>
      <c r="GT222" s="432"/>
      <c r="GU222" s="432"/>
      <c r="GV222" s="432"/>
      <c r="GW222" s="432"/>
      <c r="GX222" s="432"/>
      <c r="GY222" s="432"/>
      <c r="GZ222" s="432"/>
      <c r="HA222" s="432"/>
      <c r="HB222" s="432"/>
      <c r="HC222" s="432"/>
      <c r="HD222" s="432"/>
      <c r="HE222" s="432"/>
      <c r="HF222" s="432"/>
      <c r="HG222" s="432"/>
      <c r="HH222" s="432"/>
      <c r="HI222" s="432"/>
      <c r="HJ222" s="432"/>
      <c r="HK222" s="432"/>
      <c r="HL222" s="432"/>
      <c r="HM222" s="432"/>
      <c r="HN222" s="432"/>
      <c r="HO222" s="432"/>
      <c r="HP222" s="432"/>
      <c r="HQ222" s="432"/>
      <c r="HR222" s="432"/>
      <c r="HS222" s="432"/>
      <c r="HT222" s="432"/>
      <c r="HU222" s="432"/>
      <c r="HV222" s="432"/>
      <c r="HW222" s="432"/>
      <c r="HX222" s="432"/>
      <c r="HY222" s="432"/>
      <c r="HZ222" s="432"/>
      <c r="IA222" s="432"/>
      <c r="IB222" s="432"/>
      <c r="IC222" s="432"/>
      <c r="ID222" s="432"/>
      <c r="IE222" s="432"/>
      <c r="IF222" s="432"/>
      <c r="IG222" s="432"/>
      <c r="IH222" s="432"/>
      <c r="II222" s="432"/>
      <c r="IJ222" s="432"/>
      <c r="IK222" s="432"/>
      <c r="IL222" s="432"/>
      <c r="IM222" s="432"/>
      <c r="IN222" s="432"/>
      <c r="IO222" s="432"/>
      <c r="IP222" s="432"/>
      <c r="IQ222" s="432"/>
      <c r="IR222" s="432"/>
      <c r="IS222" s="432"/>
      <c r="IT222" s="432"/>
      <c r="IU222" s="432"/>
      <c r="IV222" s="432"/>
      <c r="IW222" s="432"/>
      <c r="IX222" s="432"/>
      <c r="IY222" s="432"/>
      <c r="IZ222" s="432"/>
      <c r="JA222" s="432"/>
      <c r="JB222" s="432"/>
      <c r="JC222" s="432"/>
      <c r="JD222" s="432"/>
      <c r="JE222" s="432"/>
      <c r="JF222" s="432"/>
      <c r="JG222" s="432"/>
      <c r="JH222" s="432"/>
      <c r="JI222" s="432"/>
      <c r="JJ222" s="432"/>
      <c r="JK222" s="432"/>
      <c r="JL222" s="432"/>
      <c r="JM222" s="432"/>
      <c r="JN222" s="432"/>
      <c r="JO222" s="432"/>
      <c r="JP222" s="432"/>
      <c r="JQ222" s="432"/>
      <c r="JR222" s="432"/>
      <c r="JS222" s="432"/>
      <c r="JT222" s="432"/>
      <c r="JU222" s="432"/>
      <c r="JV222" s="432"/>
      <c r="JW222" s="1810"/>
      <c r="JX222" s="432"/>
      <c r="JY222" s="432"/>
      <c r="JZ222" s="432"/>
      <c r="KA222" s="432"/>
      <c r="KB222" s="1810"/>
      <c r="KC222" s="432"/>
      <c r="KD222" s="432"/>
      <c r="KE222" s="432"/>
      <c r="KF222" s="432"/>
      <c r="KG222" s="1810"/>
      <c r="KH222" s="432"/>
      <c r="KI222" s="432"/>
      <c r="KJ222" s="432"/>
      <c r="KK222" s="432"/>
      <c r="KL222" s="1810"/>
      <c r="KM222" s="1810"/>
      <c r="KN222" s="1810"/>
      <c r="KO222" s="1810"/>
      <c r="KP222" s="1810"/>
      <c r="KQ222" s="1810"/>
      <c r="KR222" s="1810"/>
      <c r="KS222" s="1810"/>
      <c r="KT222" s="1810"/>
      <c r="KU222" s="1810"/>
      <c r="KV222" s="1810"/>
      <c r="KW222" s="1810"/>
      <c r="KX222" s="1810"/>
      <c r="KY222" s="1810"/>
      <c r="KZ222" s="1810"/>
      <c r="LA222" s="1810"/>
      <c r="LB222" s="1810"/>
      <c r="LC222" s="1810"/>
      <c r="LD222" s="1810"/>
      <c r="LE222" s="1810"/>
      <c r="LF222" s="1810"/>
      <c r="LG222" s="1810"/>
      <c r="LH222" s="432"/>
      <c r="LI222" s="432"/>
      <c r="LJ222" s="432"/>
      <c r="LK222" s="432"/>
      <c r="LL222" s="432"/>
      <c r="LM222" s="432"/>
      <c r="LN222" s="1811"/>
      <c r="LO222" s="432"/>
      <c r="LP222" s="432"/>
      <c r="LQ222" s="432"/>
      <c r="LR222" s="432"/>
      <c r="LS222" s="432"/>
      <c r="LT222" s="432"/>
      <c r="LU222" s="432"/>
      <c r="LV222" s="432"/>
      <c r="LW222" s="432"/>
      <c r="LX222" s="432"/>
      <c r="LY222" s="432"/>
      <c r="LZ222" s="432"/>
      <c r="MA222" s="432"/>
      <c r="MB222" s="432"/>
      <c r="MC222" s="432"/>
      <c r="MD222" s="1811"/>
      <c r="ME222" s="1811"/>
      <c r="MF222" s="432"/>
      <c r="MG222" s="432"/>
      <c r="MH222" s="432"/>
      <c r="MI222" s="432"/>
      <c r="MJ222" s="432"/>
      <c r="MK222" s="432"/>
      <c r="ML222" s="432"/>
      <c r="MM222" s="432"/>
      <c r="MN222" s="432"/>
      <c r="MO222" s="432"/>
      <c r="MP222" s="432"/>
      <c r="MQ222" s="432"/>
      <c r="MR222" s="432"/>
      <c r="MS222" s="432"/>
      <c r="MT222" s="432"/>
      <c r="MU222" s="432"/>
      <c r="MV222" s="93"/>
      <c r="MW222" s="93"/>
      <c r="MX222" s="93"/>
      <c r="MY222" s="93"/>
      <c r="MZ222" s="93"/>
      <c r="NA222" s="93"/>
      <c r="NB222" s="93"/>
      <c r="NC222" s="93"/>
      <c r="ND222" s="93"/>
      <c r="NE222" s="93"/>
      <c r="NF222" s="93"/>
      <c r="NG222" s="93"/>
      <c r="NH222" s="93"/>
      <c r="NI222" s="93"/>
      <c r="NJ222" s="93"/>
      <c r="NK222" s="93"/>
      <c r="NL222" s="93"/>
      <c r="NM222" s="93"/>
      <c r="NN222" s="93"/>
      <c r="NO222" s="93"/>
      <c r="NP222" s="2850"/>
      <c r="NQ222" s="93"/>
      <c r="NR222" s="93"/>
      <c r="NS222" s="93"/>
      <c r="NT222" s="93"/>
      <c r="NU222" s="93"/>
      <c r="NV222" s="93"/>
      <c r="NW222" s="93"/>
      <c r="NX222" s="93"/>
      <c r="NY222" s="93"/>
      <c r="NZ222" s="93"/>
      <c r="OA222" s="93"/>
      <c r="OB222" s="93"/>
      <c r="OC222" s="93"/>
      <c r="OD222" s="93"/>
      <c r="OE222" s="93"/>
      <c r="OF222" s="93"/>
      <c r="OG222" s="93"/>
      <c r="OH222" s="93"/>
      <c r="OI222" s="93"/>
      <c r="OJ222" s="93"/>
      <c r="OK222" s="93"/>
      <c r="OL222" s="93"/>
      <c r="OM222" s="93"/>
      <c r="ON222" s="93"/>
      <c r="OO222" s="93"/>
      <c r="OP222" s="93"/>
      <c r="OQ222" s="93"/>
      <c r="OR222" s="93"/>
      <c r="OS222" s="93"/>
      <c r="OT222" s="93"/>
      <c r="OU222" s="93"/>
      <c r="OV222" s="93"/>
      <c r="OW222" s="93"/>
      <c r="OX222" s="93"/>
      <c r="OY222" s="93"/>
      <c r="OZ222" s="93"/>
      <c r="PA222" s="93"/>
      <c r="PB222" s="93"/>
      <c r="PC222" s="93"/>
      <c r="PD222" s="93"/>
      <c r="PE222" s="93"/>
      <c r="PF222" s="93"/>
      <c r="PG222" s="93"/>
      <c r="PH222" s="93"/>
      <c r="PI222" s="93"/>
      <c r="PJ222" s="93"/>
      <c r="PK222" s="93"/>
      <c r="PL222" s="93"/>
      <c r="PM222" s="93"/>
      <c r="PN222" s="93"/>
      <c r="PO222" s="93"/>
      <c r="PP222" s="93"/>
      <c r="PQ222" s="93"/>
      <c r="PR222" s="93"/>
      <c r="PS222" s="93"/>
      <c r="PT222" s="93"/>
      <c r="PU222" s="93"/>
      <c r="PV222" s="93"/>
      <c r="PW222" s="93"/>
      <c r="PX222" s="93"/>
      <c r="PY222" s="93"/>
      <c r="PZ222" s="93"/>
      <c r="QA222" s="93"/>
      <c r="QB222" s="93"/>
      <c r="QC222" s="93"/>
      <c r="QD222" s="93"/>
      <c r="QE222" s="93"/>
      <c r="QF222" s="93"/>
      <c r="QG222" s="93"/>
      <c r="QH222" s="93"/>
      <c r="QI222" s="93"/>
      <c r="QJ222" s="93"/>
      <c r="QK222" s="93"/>
      <c r="QL222" s="93"/>
      <c r="QM222" s="93"/>
      <c r="QN222" s="93"/>
      <c r="QO222" s="93"/>
      <c r="QP222" s="93"/>
      <c r="QQ222" s="93"/>
      <c r="QR222" s="93"/>
      <c r="QS222" s="93"/>
      <c r="QT222" s="93"/>
      <c r="QU222" s="93"/>
      <c r="QV222" s="93"/>
      <c r="QW222" s="93"/>
      <c r="QX222" s="93"/>
      <c r="QY222" s="93"/>
      <c r="QZ222" s="93"/>
      <c r="RA222" s="93"/>
      <c r="RB222" s="93"/>
      <c r="RC222" s="93"/>
      <c r="RD222" s="93"/>
      <c r="RE222" s="93"/>
      <c r="RF222" s="93"/>
      <c r="RG222" s="93"/>
      <c r="RH222" s="93"/>
      <c r="RI222" s="93"/>
      <c r="RJ222" s="93"/>
      <c r="RK222" s="93"/>
      <c r="RL222" s="93"/>
      <c r="RM222" s="93"/>
      <c r="RN222" s="93"/>
      <c r="RO222" s="93"/>
      <c r="RP222" s="93"/>
      <c r="RQ222" s="93"/>
      <c r="RR222" s="93"/>
      <c r="RS222" s="93"/>
      <c r="RT222" s="93"/>
      <c r="RU222" s="93"/>
      <c r="RV222" s="93"/>
      <c r="RW222" s="93"/>
      <c r="RX222" s="93"/>
      <c r="RY222" s="93"/>
    </row>
    <row r="223" spans="1:493" s="90" customFormat="1" ht="15.6" customHeight="1" thickBot="1">
      <c r="A223" s="1"/>
      <c r="B223" s="3890" t="s">
        <v>6956</v>
      </c>
      <c r="C223" s="3891"/>
      <c r="D223" s="3891"/>
      <c r="E223" s="3892"/>
      <c r="F223" s="3868">
        <v>7611</v>
      </c>
      <c r="G223" s="3869"/>
      <c r="H223" s="1"/>
      <c r="I223" s="10" t="s">
        <v>1244</v>
      </c>
      <c r="K223" s="1"/>
      <c r="L223" s="1"/>
      <c r="M223" s="1"/>
      <c r="N223" s="1"/>
      <c r="R223" s="768"/>
      <c r="S223" s="3833"/>
      <c r="T223" s="3834"/>
      <c r="U223" s="3834"/>
      <c r="V223" s="3834"/>
      <c r="W223" s="3835"/>
      <c r="X223" s="430"/>
      <c r="Y223" s="432"/>
      <c r="Z223" s="432"/>
      <c r="AA223" s="432"/>
      <c r="AB223" s="432"/>
      <c r="AC223" s="430"/>
      <c r="AD223" s="432"/>
      <c r="AE223" s="432"/>
      <c r="AF223" s="432"/>
      <c r="AG223" s="432"/>
      <c r="AH223" s="430"/>
      <c r="AI223" s="432"/>
      <c r="AJ223" s="432"/>
      <c r="AK223" s="432"/>
      <c r="AL223" s="432"/>
      <c r="AM223" s="430"/>
      <c r="AN223" s="432"/>
      <c r="AO223" s="432"/>
      <c r="AP223" s="432"/>
      <c r="AQ223" s="432"/>
      <c r="AR223" s="432"/>
      <c r="AS223" s="432"/>
      <c r="AT223" s="432"/>
      <c r="AU223" s="432"/>
      <c r="AV223" s="432"/>
      <c r="AW223" s="432"/>
      <c r="AX223" s="432"/>
      <c r="AY223" s="432"/>
      <c r="AZ223" s="432"/>
      <c r="BA223" s="432"/>
      <c r="BB223" s="432"/>
      <c r="BC223" s="432"/>
      <c r="BD223" s="432"/>
      <c r="BE223" s="432"/>
      <c r="BF223" s="432"/>
      <c r="BG223" s="432"/>
      <c r="BH223" s="432"/>
      <c r="BI223" s="432"/>
      <c r="BJ223" s="432"/>
      <c r="BK223" s="432"/>
      <c r="BL223" s="432"/>
      <c r="BM223" s="432"/>
      <c r="BN223" s="432"/>
      <c r="BO223" s="432"/>
      <c r="BP223" s="432"/>
      <c r="BQ223" s="432"/>
      <c r="BR223" s="432"/>
      <c r="BS223" s="432"/>
      <c r="BT223" s="432"/>
      <c r="BU223" s="432"/>
      <c r="BV223" s="432"/>
      <c r="BW223" s="432"/>
      <c r="BX223" s="432"/>
      <c r="BY223" s="432"/>
      <c r="BZ223" s="432"/>
      <c r="CA223" s="432"/>
      <c r="CB223" s="432"/>
      <c r="CC223" s="432"/>
      <c r="CD223" s="432"/>
      <c r="CE223" s="432"/>
      <c r="CF223" s="432"/>
      <c r="CG223" s="432"/>
      <c r="CH223" s="432"/>
      <c r="CI223" s="432"/>
      <c r="CJ223" s="432"/>
      <c r="CK223" s="432"/>
      <c r="CL223" s="432"/>
      <c r="CM223" s="432"/>
      <c r="CN223" s="432"/>
      <c r="CO223" s="432"/>
      <c r="CP223" s="432"/>
      <c r="CQ223" s="432"/>
      <c r="CR223" s="432"/>
      <c r="CS223" s="432"/>
      <c r="CT223" s="432"/>
      <c r="CU223" s="432"/>
      <c r="CV223" s="432"/>
      <c r="CW223" s="432"/>
      <c r="CX223" s="432"/>
      <c r="CY223" s="432"/>
      <c r="CZ223" s="432"/>
      <c r="DA223" s="432"/>
      <c r="DB223" s="432"/>
      <c r="DC223" s="432"/>
      <c r="DD223" s="432"/>
      <c r="DE223" s="432"/>
      <c r="DF223" s="432"/>
      <c r="DG223" s="432"/>
      <c r="DH223" s="432"/>
      <c r="DI223" s="432"/>
      <c r="DJ223" s="432"/>
      <c r="DK223" s="432"/>
      <c r="DL223" s="432"/>
      <c r="DM223" s="432"/>
      <c r="DN223" s="432"/>
      <c r="DO223" s="432"/>
      <c r="DP223" s="432"/>
      <c r="DQ223" s="432"/>
      <c r="DR223" s="432"/>
      <c r="DS223" s="432"/>
      <c r="DT223" s="432"/>
      <c r="DU223" s="432"/>
      <c r="DV223" s="432"/>
      <c r="DW223" s="432"/>
      <c r="DX223" s="432"/>
      <c r="DY223" s="432"/>
      <c r="DZ223" s="432"/>
      <c r="EA223" s="432"/>
      <c r="EB223" s="432"/>
      <c r="EC223" s="432"/>
      <c r="ED223" s="432"/>
      <c r="EE223" s="432"/>
      <c r="EF223" s="432"/>
      <c r="EG223" s="432"/>
      <c r="EH223" s="432"/>
      <c r="EI223" s="432"/>
      <c r="EJ223" s="432"/>
      <c r="EK223" s="432"/>
      <c r="EL223" s="432"/>
      <c r="EM223" s="432"/>
      <c r="EN223" s="432"/>
      <c r="EO223" s="432"/>
      <c r="EP223" s="432"/>
      <c r="EQ223" s="432"/>
      <c r="ER223" s="432"/>
      <c r="ES223" s="432"/>
      <c r="ET223" s="432"/>
      <c r="EU223" s="432"/>
      <c r="EV223" s="432"/>
      <c r="EW223" s="432"/>
      <c r="EX223" s="432"/>
      <c r="EY223" s="432"/>
      <c r="EZ223" s="432"/>
      <c r="FA223" s="432"/>
      <c r="FB223" s="432"/>
      <c r="FC223" s="432"/>
      <c r="FD223" s="432"/>
      <c r="FE223" s="432"/>
      <c r="FF223" s="432"/>
      <c r="FG223" s="432"/>
      <c r="FH223" s="432"/>
      <c r="FI223" s="432"/>
      <c r="FJ223" s="432"/>
      <c r="FK223" s="432"/>
      <c r="FL223" s="432"/>
      <c r="FM223" s="432"/>
      <c r="FN223" s="432"/>
      <c r="FO223" s="432"/>
      <c r="FP223" s="432"/>
      <c r="FQ223" s="432"/>
      <c r="FR223" s="432"/>
      <c r="FS223" s="432"/>
      <c r="FT223" s="432"/>
      <c r="FU223" s="432"/>
      <c r="FV223" s="432"/>
      <c r="FW223" s="432"/>
      <c r="FX223" s="432"/>
      <c r="FY223" s="432"/>
      <c r="FZ223" s="432"/>
      <c r="GA223" s="432"/>
      <c r="GB223" s="432"/>
      <c r="GC223" s="432"/>
      <c r="GD223" s="432"/>
      <c r="GE223" s="432"/>
      <c r="GF223" s="432"/>
      <c r="GG223" s="432"/>
      <c r="GH223" s="432"/>
      <c r="GI223" s="432"/>
      <c r="GJ223" s="432"/>
      <c r="GK223" s="432"/>
      <c r="GL223" s="432"/>
      <c r="GM223" s="432"/>
      <c r="GN223" s="432"/>
      <c r="GO223" s="432"/>
      <c r="GP223" s="432"/>
      <c r="GQ223" s="432"/>
      <c r="GR223" s="432"/>
      <c r="GS223" s="432"/>
      <c r="GT223" s="432"/>
      <c r="GU223" s="432"/>
      <c r="GV223" s="432"/>
      <c r="GW223" s="432"/>
      <c r="GX223" s="432"/>
      <c r="GY223" s="432"/>
      <c r="GZ223" s="432"/>
      <c r="HA223" s="432"/>
      <c r="HB223" s="432"/>
      <c r="HC223" s="432"/>
      <c r="HD223" s="432"/>
      <c r="HE223" s="432"/>
      <c r="HF223" s="432"/>
      <c r="HG223" s="432"/>
      <c r="HH223" s="432"/>
      <c r="HI223" s="432"/>
      <c r="HJ223" s="432"/>
      <c r="HK223" s="432"/>
      <c r="HL223" s="432"/>
      <c r="HM223" s="432"/>
      <c r="HN223" s="432"/>
      <c r="HO223" s="432"/>
      <c r="HP223" s="432"/>
      <c r="HQ223" s="432"/>
      <c r="HR223" s="432"/>
      <c r="HS223" s="432"/>
      <c r="HT223" s="432"/>
      <c r="HU223" s="432"/>
      <c r="HV223" s="432"/>
      <c r="HW223" s="432"/>
      <c r="HX223" s="432"/>
      <c r="HY223" s="432"/>
      <c r="HZ223" s="432"/>
      <c r="IA223" s="432"/>
      <c r="IB223" s="432"/>
      <c r="IC223" s="432"/>
      <c r="ID223" s="432"/>
      <c r="IE223" s="432"/>
      <c r="IF223" s="432"/>
      <c r="IG223" s="432"/>
      <c r="IH223" s="432"/>
      <c r="II223" s="432"/>
      <c r="IJ223" s="432"/>
      <c r="IK223" s="432"/>
      <c r="IL223" s="432"/>
      <c r="IM223" s="432"/>
      <c r="IN223" s="432"/>
      <c r="IO223" s="432"/>
      <c r="IP223" s="432"/>
      <c r="IQ223" s="432"/>
      <c r="IR223" s="432"/>
      <c r="IS223" s="432"/>
      <c r="IT223" s="432"/>
      <c r="IU223" s="432"/>
      <c r="IV223" s="432"/>
      <c r="IW223" s="432"/>
      <c r="IX223" s="432"/>
      <c r="IY223" s="432"/>
      <c r="IZ223" s="432"/>
      <c r="JA223" s="432"/>
      <c r="JB223" s="432"/>
      <c r="JC223" s="432"/>
      <c r="JD223" s="432"/>
      <c r="JE223" s="432"/>
      <c r="JF223" s="432"/>
      <c r="JG223" s="432"/>
      <c r="JH223" s="432"/>
      <c r="JI223" s="432"/>
      <c r="JJ223" s="432"/>
      <c r="JK223" s="432"/>
      <c r="JL223" s="432"/>
      <c r="JM223" s="432"/>
      <c r="JN223" s="432"/>
      <c r="JO223" s="432"/>
      <c r="JP223" s="432"/>
      <c r="JQ223" s="432"/>
      <c r="JR223" s="432"/>
      <c r="JS223" s="432"/>
      <c r="JT223" s="432"/>
      <c r="JU223" s="432"/>
      <c r="JV223" s="432"/>
      <c r="JW223" s="1810"/>
      <c r="JX223" s="432"/>
      <c r="JY223" s="432"/>
      <c r="JZ223" s="432"/>
      <c r="KA223" s="432"/>
      <c r="KB223" s="1810"/>
      <c r="KC223" s="432"/>
      <c r="KD223" s="432"/>
      <c r="KE223" s="432"/>
      <c r="KF223" s="432"/>
      <c r="KG223" s="1810"/>
      <c r="KH223" s="432"/>
      <c r="KI223" s="432"/>
      <c r="KJ223" s="432"/>
      <c r="KK223" s="432"/>
      <c r="KL223" s="1810"/>
      <c r="KM223" s="1810"/>
      <c r="KN223" s="1810"/>
      <c r="KO223" s="1810"/>
      <c r="KP223" s="1810"/>
      <c r="KQ223" s="1810"/>
      <c r="KR223" s="1810"/>
      <c r="KS223" s="1810"/>
      <c r="KT223" s="1810"/>
      <c r="KU223" s="1810"/>
      <c r="KV223" s="1810"/>
      <c r="KW223" s="1810"/>
      <c r="KX223" s="1810"/>
      <c r="KY223" s="1810"/>
      <c r="KZ223" s="1810"/>
      <c r="LA223" s="1810"/>
      <c r="LB223" s="1810"/>
      <c r="LC223" s="1810"/>
      <c r="LD223" s="1810"/>
      <c r="LE223" s="1810"/>
      <c r="LF223" s="1810"/>
      <c r="LG223" s="1810"/>
      <c r="LH223" s="432"/>
      <c r="LI223" s="432"/>
      <c r="LJ223" s="432"/>
      <c r="LK223" s="432"/>
      <c r="LL223" s="432"/>
      <c r="LM223" s="432"/>
      <c r="LN223" s="1811"/>
      <c r="LO223" s="432"/>
      <c r="LP223" s="432"/>
      <c r="LQ223" s="432"/>
      <c r="LR223" s="432"/>
      <c r="LS223" s="432"/>
      <c r="LT223" s="432"/>
      <c r="LU223" s="432"/>
      <c r="LV223" s="432"/>
      <c r="LW223" s="432"/>
      <c r="LX223" s="432"/>
      <c r="LY223" s="432"/>
      <c r="LZ223" s="432"/>
      <c r="MA223" s="432"/>
      <c r="MB223" s="432"/>
      <c r="MC223" s="432"/>
      <c r="MD223" s="1811"/>
      <c r="ME223" s="1811"/>
      <c r="MF223" s="432"/>
      <c r="MG223" s="432"/>
      <c r="MH223" s="432"/>
      <c r="MI223" s="432"/>
      <c r="MJ223" s="432"/>
      <c r="MK223" s="432"/>
      <c r="ML223" s="432"/>
      <c r="MM223" s="432"/>
      <c r="MN223" s="432"/>
      <c r="MO223" s="432"/>
      <c r="MP223" s="432"/>
      <c r="MQ223" s="432"/>
      <c r="MR223" s="432"/>
      <c r="MS223" s="432"/>
      <c r="MT223" s="432"/>
      <c r="MU223" s="432"/>
      <c r="MV223" s="93"/>
      <c r="MW223" s="93"/>
      <c r="MX223" s="93"/>
      <c r="MY223" s="93"/>
      <c r="MZ223" s="93"/>
      <c r="NA223" s="93"/>
      <c r="NB223" s="93"/>
      <c r="NC223" s="93"/>
      <c r="ND223" s="93"/>
      <c r="NE223" s="93"/>
      <c r="NF223" s="93"/>
      <c r="NG223" s="93"/>
      <c r="NH223" s="93"/>
      <c r="NI223" s="93"/>
      <c r="NJ223" s="93"/>
      <c r="NK223" s="93"/>
      <c r="NL223" s="93"/>
      <c r="NM223" s="93"/>
      <c r="NN223" s="93"/>
      <c r="NO223" s="93"/>
      <c r="NP223" s="2850"/>
      <c r="NQ223" s="93"/>
      <c r="NR223" s="93"/>
      <c r="NS223" s="93"/>
      <c r="NT223" s="93"/>
      <c r="NU223" s="93"/>
      <c r="NV223" s="93"/>
      <c r="NW223" s="93"/>
      <c r="NX223" s="93"/>
      <c r="NY223" s="93"/>
      <c r="NZ223" s="93"/>
      <c r="OA223" s="93"/>
      <c r="OB223" s="93"/>
      <c r="OC223" s="93"/>
      <c r="OD223" s="93"/>
      <c r="OE223" s="93"/>
      <c r="OF223" s="93"/>
      <c r="OG223" s="93"/>
      <c r="OH223" s="93"/>
      <c r="OI223" s="93"/>
      <c r="OJ223" s="93"/>
      <c r="OK223" s="93"/>
      <c r="OL223" s="93"/>
      <c r="OM223" s="93"/>
      <c r="ON223" s="93"/>
      <c r="OO223" s="93"/>
      <c r="OP223" s="93"/>
      <c r="OQ223" s="93"/>
      <c r="OR223" s="93"/>
      <c r="OS223" s="93"/>
      <c r="OT223" s="93"/>
      <c r="OU223" s="93"/>
      <c r="OV223" s="93"/>
      <c r="OW223" s="93"/>
      <c r="OX223" s="93"/>
      <c r="OY223" s="93"/>
      <c r="OZ223" s="93"/>
      <c r="PA223" s="93"/>
      <c r="PB223" s="93"/>
      <c r="PC223" s="93"/>
      <c r="PD223" s="93"/>
      <c r="PE223" s="93"/>
      <c r="PF223" s="93"/>
      <c r="PG223" s="93"/>
      <c r="PH223" s="93"/>
      <c r="PI223" s="93"/>
      <c r="PJ223" s="93"/>
      <c r="PK223" s="93"/>
      <c r="PL223" s="93"/>
      <c r="PM223" s="93"/>
      <c r="PN223" s="93"/>
      <c r="PO223" s="93"/>
      <c r="PP223" s="93"/>
      <c r="PQ223" s="93"/>
      <c r="PR223" s="93"/>
      <c r="PS223" s="93"/>
      <c r="PT223" s="93"/>
      <c r="PU223" s="93"/>
      <c r="PV223" s="93"/>
      <c r="PW223" s="93"/>
      <c r="PX223" s="93"/>
      <c r="PY223" s="93"/>
      <c r="PZ223" s="93"/>
      <c r="QA223" s="93"/>
      <c r="QB223" s="93"/>
      <c r="QC223" s="93"/>
      <c r="QD223" s="93"/>
      <c r="QE223" s="93"/>
      <c r="QF223" s="93"/>
      <c r="QG223" s="93"/>
      <c r="QH223" s="93"/>
      <c r="QI223" s="93"/>
      <c r="QJ223" s="93"/>
      <c r="QK223" s="93"/>
      <c r="QL223" s="93"/>
      <c r="QM223" s="93"/>
      <c r="QN223" s="93"/>
      <c r="QO223" s="93"/>
      <c r="QP223" s="93"/>
      <c r="QQ223" s="93"/>
      <c r="QR223" s="93"/>
      <c r="QS223" s="93"/>
      <c r="QT223" s="93"/>
      <c r="QU223" s="93"/>
      <c r="QV223" s="93"/>
      <c r="QW223" s="93"/>
      <c r="QX223" s="93"/>
      <c r="QY223" s="93"/>
      <c r="QZ223" s="93"/>
      <c r="RA223" s="93"/>
      <c r="RB223" s="93"/>
      <c r="RC223" s="93"/>
      <c r="RD223" s="93"/>
      <c r="RE223" s="93"/>
      <c r="RF223" s="93"/>
      <c r="RG223" s="93"/>
      <c r="RH223" s="93"/>
      <c r="RI223" s="93"/>
      <c r="RJ223" s="93"/>
      <c r="RK223" s="93"/>
      <c r="RL223" s="93"/>
      <c r="RM223" s="93"/>
      <c r="RN223" s="93"/>
      <c r="RO223" s="93"/>
      <c r="RP223" s="93"/>
      <c r="RQ223" s="93"/>
      <c r="RR223" s="93"/>
      <c r="RS223" s="93"/>
      <c r="RT223" s="93"/>
      <c r="RU223" s="93"/>
      <c r="RV223" s="93"/>
      <c r="RW223" s="93"/>
      <c r="RX223" s="93"/>
      <c r="RY223" s="93"/>
    </row>
    <row r="224" spans="1:493" s="90" customFormat="1" ht="15.6" customHeight="1" thickTop="1" thickBot="1">
      <c r="A224" s="1"/>
      <c r="B224" s="1"/>
      <c r="D224" s="1"/>
      <c r="E224" s="11" t="s">
        <v>183</v>
      </c>
      <c r="F224" s="3870">
        <f>SUM(F218:G223)</f>
        <v>116691</v>
      </c>
      <c r="G224" s="3871"/>
      <c r="H224" s="1"/>
      <c r="I224" s="1" t="s">
        <v>1536</v>
      </c>
      <c r="K224" s="1"/>
      <c r="L224" s="3874">
        <v>1800</v>
      </c>
      <c r="M224" s="3875"/>
      <c r="N224" s="1"/>
      <c r="R224" s="1"/>
      <c r="S224" s="3833"/>
      <c r="T224" s="3834"/>
      <c r="U224" s="3834"/>
      <c r="V224" s="3834"/>
      <c r="W224" s="3835"/>
      <c r="X224" s="430"/>
      <c r="Y224" s="432"/>
      <c r="Z224" s="432"/>
      <c r="AA224" s="432"/>
      <c r="AB224" s="432"/>
      <c r="AC224" s="430"/>
      <c r="AD224" s="432"/>
      <c r="AE224" s="432"/>
      <c r="AF224" s="432"/>
      <c r="AG224" s="432"/>
      <c r="AH224" s="430"/>
      <c r="AI224" s="432"/>
      <c r="AJ224" s="432"/>
      <c r="AK224" s="432"/>
      <c r="AL224" s="432"/>
      <c r="AM224" s="430"/>
      <c r="AN224" s="432"/>
      <c r="AO224" s="432"/>
      <c r="AP224" s="432"/>
      <c r="AQ224" s="432"/>
      <c r="AR224" s="432"/>
      <c r="AS224" s="432"/>
      <c r="AT224" s="432"/>
      <c r="AU224" s="432"/>
      <c r="AV224" s="432"/>
      <c r="AW224" s="432"/>
      <c r="AX224" s="432"/>
      <c r="AY224" s="432"/>
      <c r="AZ224" s="432"/>
      <c r="BA224" s="432"/>
      <c r="BB224" s="432"/>
      <c r="BC224" s="432"/>
      <c r="BD224" s="432"/>
      <c r="BE224" s="432"/>
      <c r="BF224" s="432"/>
      <c r="BG224" s="432"/>
      <c r="BH224" s="432"/>
      <c r="BI224" s="432"/>
      <c r="BJ224" s="432"/>
      <c r="BK224" s="432"/>
      <c r="BL224" s="432"/>
      <c r="BM224" s="432"/>
      <c r="BN224" s="432"/>
      <c r="BO224" s="432"/>
      <c r="BP224" s="432"/>
      <c r="BQ224" s="432"/>
      <c r="BR224" s="432"/>
      <c r="BS224" s="432"/>
      <c r="BT224" s="432"/>
      <c r="BU224" s="432"/>
      <c r="BV224" s="432"/>
      <c r="BW224" s="432"/>
      <c r="BX224" s="432"/>
      <c r="BY224" s="432"/>
      <c r="BZ224" s="432"/>
      <c r="CA224" s="432"/>
      <c r="CB224" s="432"/>
      <c r="CC224" s="432"/>
      <c r="CD224" s="432"/>
      <c r="CE224" s="432"/>
      <c r="CF224" s="432"/>
      <c r="CG224" s="432"/>
      <c r="CH224" s="432"/>
      <c r="CI224" s="432"/>
      <c r="CJ224" s="432"/>
      <c r="CK224" s="432"/>
      <c r="CL224" s="432"/>
      <c r="CM224" s="432"/>
      <c r="CN224" s="432"/>
      <c r="CO224" s="432"/>
      <c r="CP224" s="432"/>
      <c r="CQ224" s="432"/>
      <c r="CR224" s="432"/>
      <c r="CS224" s="432"/>
      <c r="CT224" s="432"/>
      <c r="CU224" s="432"/>
      <c r="CV224" s="432"/>
      <c r="CW224" s="432"/>
      <c r="CX224" s="432"/>
      <c r="CY224" s="432"/>
      <c r="CZ224" s="432"/>
      <c r="DA224" s="432"/>
      <c r="DB224" s="432"/>
      <c r="DC224" s="432"/>
      <c r="DD224" s="432"/>
      <c r="DE224" s="432"/>
      <c r="DF224" s="432"/>
      <c r="DG224" s="432"/>
      <c r="DH224" s="432"/>
      <c r="DI224" s="432"/>
      <c r="DJ224" s="432"/>
      <c r="DK224" s="432"/>
      <c r="DL224" s="432"/>
      <c r="DM224" s="432"/>
      <c r="DN224" s="432"/>
      <c r="DO224" s="432"/>
      <c r="DP224" s="432"/>
      <c r="DQ224" s="432"/>
      <c r="DR224" s="432"/>
      <c r="DS224" s="432"/>
      <c r="DT224" s="432"/>
      <c r="DU224" s="432"/>
      <c r="DV224" s="432"/>
      <c r="DW224" s="432"/>
      <c r="DX224" s="432"/>
      <c r="DY224" s="432"/>
      <c r="DZ224" s="432"/>
      <c r="EA224" s="432"/>
      <c r="EB224" s="432"/>
      <c r="EC224" s="432"/>
      <c r="ED224" s="432"/>
      <c r="EE224" s="432"/>
      <c r="EF224" s="432"/>
      <c r="EG224" s="432"/>
      <c r="EH224" s="432"/>
      <c r="EI224" s="432"/>
      <c r="EJ224" s="432"/>
      <c r="EK224" s="432"/>
      <c r="EL224" s="432"/>
      <c r="EM224" s="432"/>
      <c r="EN224" s="432"/>
      <c r="EO224" s="432"/>
      <c r="EP224" s="432"/>
      <c r="EQ224" s="432"/>
      <c r="ER224" s="432"/>
      <c r="ES224" s="432"/>
      <c r="ET224" s="432"/>
      <c r="EU224" s="432"/>
      <c r="EV224" s="432"/>
      <c r="EW224" s="432"/>
      <c r="EX224" s="432"/>
      <c r="EY224" s="432"/>
      <c r="EZ224" s="432"/>
      <c r="FA224" s="432"/>
      <c r="FB224" s="432"/>
      <c r="FC224" s="432"/>
      <c r="FD224" s="432"/>
      <c r="FE224" s="432"/>
      <c r="FF224" s="432"/>
      <c r="FG224" s="432"/>
      <c r="FH224" s="432"/>
      <c r="FI224" s="432"/>
      <c r="FJ224" s="432"/>
      <c r="FK224" s="432"/>
      <c r="FL224" s="432"/>
      <c r="FM224" s="432"/>
      <c r="FN224" s="432"/>
      <c r="FO224" s="432"/>
      <c r="FP224" s="432"/>
      <c r="FQ224" s="432"/>
      <c r="FR224" s="432"/>
      <c r="FS224" s="432"/>
      <c r="FT224" s="432"/>
      <c r="FU224" s="432"/>
      <c r="FV224" s="432"/>
      <c r="FW224" s="432"/>
      <c r="FX224" s="432"/>
      <c r="FY224" s="432"/>
      <c r="FZ224" s="432"/>
      <c r="GA224" s="432"/>
      <c r="GB224" s="432"/>
      <c r="GC224" s="432"/>
      <c r="GD224" s="432"/>
      <c r="GE224" s="432"/>
      <c r="GF224" s="432"/>
      <c r="GG224" s="432"/>
      <c r="GH224" s="432"/>
      <c r="GI224" s="432"/>
      <c r="GJ224" s="432"/>
      <c r="GK224" s="432"/>
      <c r="GL224" s="432"/>
      <c r="GM224" s="432"/>
      <c r="GN224" s="432"/>
      <c r="GO224" s="432"/>
      <c r="GP224" s="432"/>
      <c r="GQ224" s="432"/>
      <c r="GR224" s="432"/>
      <c r="GS224" s="432"/>
      <c r="GT224" s="432"/>
      <c r="GU224" s="432"/>
      <c r="GV224" s="432"/>
      <c r="GW224" s="432"/>
      <c r="GX224" s="432"/>
      <c r="GY224" s="432"/>
      <c r="GZ224" s="432"/>
      <c r="HA224" s="432"/>
      <c r="HB224" s="432"/>
      <c r="HC224" s="432"/>
      <c r="HD224" s="432"/>
      <c r="HE224" s="432"/>
      <c r="HF224" s="432"/>
      <c r="HG224" s="432"/>
      <c r="HH224" s="432"/>
      <c r="HI224" s="432"/>
      <c r="HJ224" s="432"/>
      <c r="HK224" s="432"/>
      <c r="HL224" s="432"/>
      <c r="HM224" s="432"/>
      <c r="HN224" s="432"/>
      <c r="HO224" s="432"/>
      <c r="HP224" s="432"/>
      <c r="HQ224" s="432"/>
      <c r="HR224" s="432"/>
      <c r="HS224" s="432"/>
      <c r="HT224" s="432"/>
      <c r="HU224" s="432"/>
      <c r="HV224" s="432"/>
      <c r="HW224" s="432"/>
      <c r="HX224" s="432"/>
      <c r="HY224" s="432"/>
      <c r="HZ224" s="432"/>
      <c r="IA224" s="432"/>
      <c r="IB224" s="432"/>
      <c r="IC224" s="432"/>
      <c r="ID224" s="432"/>
      <c r="IE224" s="432"/>
      <c r="IF224" s="432"/>
      <c r="IG224" s="432"/>
      <c r="IH224" s="432"/>
      <c r="II224" s="432"/>
      <c r="IJ224" s="432"/>
      <c r="IK224" s="432"/>
      <c r="IL224" s="432"/>
      <c r="IM224" s="432"/>
      <c r="IN224" s="432"/>
      <c r="IO224" s="432"/>
      <c r="IP224" s="432"/>
      <c r="IQ224" s="432"/>
      <c r="IR224" s="432"/>
      <c r="IS224" s="432"/>
      <c r="IT224" s="432"/>
      <c r="IU224" s="432"/>
      <c r="IV224" s="432"/>
      <c r="IW224" s="432"/>
      <c r="IX224" s="432"/>
      <c r="IY224" s="432"/>
      <c r="IZ224" s="432"/>
      <c r="JA224" s="432"/>
      <c r="JB224" s="432"/>
      <c r="JC224" s="432"/>
      <c r="JD224" s="432"/>
      <c r="JE224" s="432"/>
      <c r="JF224" s="432"/>
      <c r="JG224" s="432"/>
      <c r="JH224" s="432"/>
      <c r="JI224" s="432"/>
      <c r="JJ224" s="432"/>
      <c r="JK224" s="432"/>
      <c r="JL224" s="432"/>
      <c r="JM224" s="432"/>
      <c r="JN224" s="432"/>
      <c r="JO224" s="432"/>
      <c r="JP224" s="432"/>
      <c r="JQ224" s="432"/>
      <c r="JR224" s="432"/>
      <c r="JS224" s="432"/>
      <c r="JT224" s="432"/>
      <c r="JU224" s="432"/>
      <c r="JV224" s="432"/>
      <c r="JW224" s="1810"/>
      <c r="JX224" s="432"/>
      <c r="JY224" s="432"/>
      <c r="JZ224" s="432"/>
      <c r="KA224" s="432"/>
      <c r="KB224" s="1810"/>
      <c r="KC224" s="432"/>
      <c r="KD224" s="432"/>
      <c r="KE224" s="432"/>
      <c r="KF224" s="432"/>
      <c r="KG224" s="1810"/>
      <c r="KH224" s="432"/>
      <c r="KI224" s="432"/>
      <c r="KJ224" s="432"/>
      <c r="KK224" s="432"/>
      <c r="KL224" s="1810"/>
      <c r="KM224" s="1810"/>
      <c r="KN224" s="1810"/>
      <c r="KO224" s="1810"/>
      <c r="KP224" s="1810"/>
      <c r="KQ224" s="1810"/>
      <c r="KR224" s="1810"/>
      <c r="KS224" s="1810"/>
      <c r="KT224" s="1810"/>
      <c r="KU224" s="1810"/>
      <c r="KV224" s="1810"/>
      <c r="KW224" s="1810"/>
      <c r="KX224" s="1810"/>
      <c r="KY224" s="1810"/>
      <c r="KZ224" s="1810"/>
      <c r="LA224" s="1810"/>
      <c r="LB224" s="1810"/>
      <c r="LC224" s="1810"/>
      <c r="LD224" s="1810"/>
      <c r="LE224" s="1810"/>
      <c r="LF224" s="1810"/>
      <c r="LG224" s="1810"/>
      <c r="LH224" s="432"/>
      <c r="LI224" s="432"/>
      <c r="LJ224" s="432"/>
      <c r="LK224" s="432"/>
      <c r="LL224" s="432"/>
      <c r="LM224" s="432"/>
      <c r="LN224" s="1811"/>
      <c r="LO224" s="432"/>
      <c r="LP224" s="432"/>
      <c r="LQ224" s="432"/>
      <c r="LR224" s="432"/>
      <c r="LS224" s="432"/>
      <c r="LT224" s="432"/>
      <c r="LU224" s="432"/>
      <c r="LV224" s="432"/>
      <c r="LW224" s="432"/>
      <c r="LX224" s="432"/>
      <c r="LY224" s="432"/>
      <c r="LZ224" s="432"/>
      <c r="MA224" s="432"/>
      <c r="MB224" s="432"/>
      <c r="MC224" s="432"/>
      <c r="MD224" s="1811"/>
      <c r="ME224" s="1811"/>
      <c r="MF224" s="432"/>
      <c r="MG224" s="432"/>
      <c r="MH224" s="432"/>
      <c r="MI224" s="432"/>
      <c r="MJ224" s="432"/>
      <c r="MK224" s="432"/>
      <c r="ML224" s="432"/>
      <c r="MM224" s="432"/>
      <c r="MN224" s="432"/>
      <c r="MO224" s="432"/>
      <c r="MP224" s="432"/>
      <c r="MQ224" s="432"/>
      <c r="MR224" s="432"/>
      <c r="MS224" s="432"/>
      <c r="MT224" s="432"/>
      <c r="MU224" s="432"/>
      <c r="MV224" s="93"/>
      <c r="MW224" s="93"/>
      <c r="MX224" s="93"/>
      <c r="MY224" s="93"/>
      <c r="MZ224" s="93"/>
      <c r="NA224" s="93"/>
      <c r="NB224" s="93"/>
      <c r="NC224" s="93"/>
      <c r="ND224" s="93"/>
      <c r="NE224" s="93"/>
      <c r="NF224" s="93"/>
      <c r="NG224" s="93"/>
      <c r="NH224" s="93"/>
      <c r="NI224" s="93"/>
      <c r="NJ224" s="93"/>
      <c r="NK224" s="93"/>
      <c r="NL224" s="93"/>
      <c r="NM224" s="93"/>
      <c r="NN224" s="93"/>
      <c r="NO224" s="93"/>
      <c r="NP224" s="2850"/>
      <c r="NQ224" s="93"/>
      <c r="NR224" s="93"/>
      <c r="NS224" s="93"/>
      <c r="NT224" s="93"/>
      <c r="NU224" s="93"/>
      <c r="NV224" s="93"/>
      <c r="NW224" s="93"/>
      <c r="NX224" s="93"/>
      <c r="NY224" s="93"/>
      <c r="NZ224" s="93"/>
      <c r="OA224" s="93"/>
      <c r="OB224" s="93"/>
      <c r="OC224" s="93"/>
      <c r="OD224" s="93"/>
      <c r="OE224" s="93"/>
      <c r="OF224" s="93"/>
      <c r="OG224" s="93"/>
      <c r="OH224" s="93"/>
      <c r="OI224" s="93"/>
      <c r="OJ224" s="93"/>
      <c r="OK224" s="93"/>
      <c r="OL224" s="93"/>
      <c r="OM224" s="93"/>
      <c r="ON224" s="93"/>
      <c r="OO224" s="93"/>
      <c r="OP224" s="93"/>
      <c r="OQ224" s="93"/>
      <c r="OR224" s="93"/>
      <c r="OS224" s="93"/>
      <c r="OT224" s="93"/>
      <c r="OU224" s="93"/>
      <c r="OV224" s="93"/>
      <c r="OW224" s="93"/>
      <c r="OX224" s="93"/>
      <c r="OY224" s="93"/>
      <c r="OZ224" s="93"/>
      <c r="PA224" s="93"/>
      <c r="PB224" s="93"/>
      <c r="PC224" s="93"/>
      <c r="PD224" s="93"/>
      <c r="PE224" s="93"/>
      <c r="PF224" s="93"/>
      <c r="PG224" s="93"/>
      <c r="PH224" s="93"/>
      <c r="PI224" s="93"/>
      <c r="PJ224" s="93"/>
      <c r="PK224" s="93"/>
      <c r="PL224" s="93"/>
      <c r="PM224" s="93"/>
      <c r="PN224" s="93"/>
      <c r="PO224" s="93"/>
      <c r="PP224" s="93"/>
      <c r="PQ224" s="93"/>
      <c r="PR224" s="93"/>
      <c r="PS224" s="93"/>
      <c r="PT224" s="93"/>
      <c r="PU224" s="93"/>
      <c r="PV224" s="93"/>
      <c r="PW224" s="93"/>
      <c r="PX224" s="93"/>
      <c r="PY224" s="93"/>
      <c r="PZ224" s="93"/>
      <c r="QA224" s="93"/>
      <c r="QB224" s="93"/>
      <c r="QC224" s="93"/>
      <c r="QD224" s="93"/>
      <c r="QE224" s="93"/>
      <c r="QF224" s="93"/>
      <c r="QG224" s="93"/>
      <c r="QH224" s="93"/>
      <c r="QI224" s="93"/>
      <c r="QJ224" s="93"/>
      <c r="QK224" s="93"/>
      <c r="QL224" s="93"/>
      <c r="QM224" s="93"/>
      <c r="QN224" s="93"/>
      <c r="QO224" s="93"/>
      <c r="QP224" s="93"/>
      <c r="QQ224" s="93"/>
      <c r="QR224" s="93"/>
      <c r="QS224" s="93"/>
      <c r="QT224" s="93"/>
      <c r="QU224" s="93"/>
      <c r="QV224" s="93"/>
      <c r="QW224" s="93"/>
      <c r="QX224" s="93"/>
      <c r="QY224" s="93"/>
      <c r="QZ224" s="93"/>
      <c r="RA224" s="93"/>
      <c r="RB224" s="93"/>
      <c r="RC224" s="93"/>
      <c r="RD224" s="93"/>
      <c r="RE224" s="93"/>
      <c r="RF224" s="93"/>
      <c r="RG224" s="93"/>
      <c r="RH224" s="93"/>
      <c r="RI224" s="93"/>
      <c r="RJ224" s="93"/>
      <c r="RK224" s="93"/>
      <c r="RL224" s="93"/>
      <c r="RM224" s="93"/>
      <c r="RN224" s="93"/>
      <c r="RO224" s="93"/>
      <c r="RP224" s="93"/>
      <c r="RQ224" s="93"/>
      <c r="RR224" s="93"/>
      <c r="RS224" s="93"/>
      <c r="RT224" s="93"/>
      <c r="RU224" s="93"/>
      <c r="RV224" s="93"/>
      <c r="RW224" s="93"/>
      <c r="RX224" s="93"/>
      <c r="RY224" s="93"/>
    </row>
    <row r="225" spans="1:493" s="90" customFormat="1" ht="15" customHeight="1" thickBot="1">
      <c r="A225" s="1"/>
      <c r="B225" s="1"/>
      <c r="C225" s="10"/>
      <c r="D225" s="11"/>
      <c r="E225" s="1"/>
      <c r="F225" s="12"/>
      <c r="G225" s="12"/>
      <c r="H225" s="1"/>
      <c r="I225" s="1" t="s">
        <v>1956</v>
      </c>
      <c r="K225" s="1"/>
      <c r="L225" s="3878">
        <v>10000</v>
      </c>
      <c r="M225" s="3879"/>
      <c r="N225" s="3889" t="e">
        <f>IF(Q227="","",IF(Q225&lt;Q227, "WARNING! OE below required minimum.",""))</f>
        <v>#VALUE!</v>
      </c>
      <c r="O225" s="10" t="s">
        <v>2090</v>
      </c>
      <c r="P225" s="5"/>
      <c r="Q225" s="393">
        <f>F224+F233+F244+L220+L228+L237+L244+Q217</f>
        <v>392402</v>
      </c>
      <c r="R225" s="5"/>
      <c r="S225" s="3833"/>
      <c r="T225" s="3834"/>
      <c r="U225" s="3834"/>
      <c r="V225" s="3834"/>
      <c r="W225" s="3835"/>
      <c r="X225" s="432"/>
      <c r="Y225" s="432"/>
      <c r="Z225" s="432"/>
      <c r="AA225" s="432"/>
      <c r="AB225" s="432"/>
      <c r="AC225" s="432"/>
      <c r="AD225" s="432"/>
      <c r="AE225" s="432"/>
      <c r="AF225" s="432"/>
      <c r="AG225" s="432"/>
      <c r="AH225" s="432"/>
      <c r="AI225" s="432"/>
      <c r="AJ225" s="432"/>
      <c r="AK225" s="432"/>
      <c r="AL225" s="432"/>
      <c r="AM225" s="432"/>
      <c r="AN225" s="432"/>
      <c r="AO225" s="432"/>
      <c r="AP225" s="432"/>
      <c r="AQ225" s="432"/>
      <c r="AR225" s="432"/>
      <c r="AS225" s="432"/>
      <c r="AT225" s="432"/>
      <c r="AU225" s="432"/>
      <c r="AV225" s="432"/>
      <c r="AW225" s="432"/>
      <c r="AX225" s="432"/>
      <c r="AY225" s="432"/>
      <c r="AZ225" s="432"/>
      <c r="BA225" s="432"/>
      <c r="BB225" s="432"/>
      <c r="BC225" s="432"/>
      <c r="BD225" s="432"/>
      <c r="BE225" s="432"/>
      <c r="BF225" s="432"/>
      <c r="BG225" s="432"/>
      <c r="BH225" s="432"/>
      <c r="BI225" s="432"/>
      <c r="BJ225" s="432"/>
      <c r="BK225" s="432"/>
      <c r="BL225" s="432"/>
      <c r="BM225" s="432"/>
      <c r="BN225" s="432"/>
      <c r="BO225" s="432"/>
      <c r="BP225" s="432"/>
      <c r="BQ225" s="432"/>
      <c r="BR225" s="432"/>
      <c r="BS225" s="432"/>
      <c r="BT225" s="432"/>
      <c r="BU225" s="432"/>
      <c r="BV225" s="432"/>
      <c r="BW225" s="432"/>
      <c r="BX225" s="432"/>
      <c r="BY225" s="432"/>
      <c r="BZ225" s="432"/>
      <c r="CA225" s="432"/>
      <c r="CB225" s="432"/>
      <c r="CC225" s="432"/>
      <c r="CD225" s="432"/>
      <c r="CE225" s="432"/>
      <c r="CF225" s="432"/>
      <c r="CG225" s="432"/>
      <c r="CH225" s="432"/>
      <c r="CI225" s="432"/>
      <c r="CJ225" s="432"/>
      <c r="CK225" s="432"/>
      <c r="CL225" s="432"/>
      <c r="CM225" s="432"/>
      <c r="CN225" s="432"/>
      <c r="CO225" s="432"/>
      <c r="CP225" s="432"/>
      <c r="CQ225" s="432"/>
      <c r="CR225" s="432"/>
      <c r="CS225" s="432"/>
      <c r="CT225" s="432"/>
      <c r="CU225" s="432"/>
      <c r="CV225" s="432"/>
      <c r="CW225" s="432"/>
      <c r="CX225" s="432"/>
      <c r="CY225" s="432"/>
      <c r="CZ225" s="432"/>
      <c r="DA225" s="432"/>
      <c r="DB225" s="432"/>
      <c r="DC225" s="432"/>
      <c r="DD225" s="432"/>
      <c r="DE225" s="432"/>
      <c r="DF225" s="432"/>
      <c r="DG225" s="432"/>
      <c r="DH225" s="432"/>
      <c r="DI225" s="432"/>
      <c r="DJ225" s="432"/>
      <c r="DK225" s="432"/>
      <c r="DL225" s="432"/>
      <c r="DM225" s="432"/>
      <c r="DN225" s="432"/>
      <c r="DO225" s="432"/>
      <c r="DP225" s="432"/>
      <c r="DQ225" s="432"/>
      <c r="DR225" s="432"/>
      <c r="DS225" s="432"/>
      <c r="DT225" s="432"/>
      <c r="DU225" s="432"/>
      <c r="DV225" s="432"/>
      <c r="DW225" s="432"/>
      <c r="DX225" s="432"/>
      <c r="DY225" s="432"/>
      <c r="DZ225" s="432"/>
      <c r="EA225" s="432"/>
      <c r="EB225" s="432"/>
      <c r="EC225" s="432"/>
      <c r="ED225" s="432"/>
      <c r="EE225" s="432"/>
      <c r="EF225" s="432"/>
      <c r="EG225" s="432"/>
      <c r="EH225" s="432"/>
      <c r="EI225" s="432"/>
      <c r="EJ225" s="432"/>
      <c r="EK225" s="432"/>
      <c r="EL225" s="432"/>
      <c r="EM225" s="432"/>
      <c r="EN225" s="432"/>
      <c r="EO225" s="432"/>
      <c r="EP225" s="432"/>
      <c r="EQ225" s="432"/>
      <c r="ER225" s="432"/>
      <c r="ES225" s="432"/>
      <c r="ET225" s="432"/>
      <c r="EU225" s="432"/>
      <c r="EV225" s="432"/>
      <c r="EW225" s="432"/>
      <c r="EX225" s="432"/>
      <c r="EY225" s="432"/>
      <c r="EZ225" s="432"/>
      <c r="FA225" s="432"/>
      <c r="FB225" s="432"/>
      <c r="FC225" s="432"/>
      <c r="FD225" s="432"/>
      <c r="FE225" s="432"/>
      <c r="FF225" s="432"/>
      <c r="FG225" s="432"/>
      <c r="FH225" s="432"/>
      <c r="FI225" s="432"/>
      <c r="FJ225" s="432"/>
      <c r="FK225" s="432"/>
      <c r="FL225" s="432"/>
      <c r="FM225" s="432"/>
      <c r="FN225" s="432"/>
      <c r="FO225" s="432"/>
      <c r="FP225" s="432"/>
      <c r="FQ225" s="432"/>
      <c r="FR225" s="432"/>
      <c r="FS225" s="432"/>
      <c r="FT225" s="432"/>
      <c r="FU225" s="432"/>
      <c r="FV225" s="432"/>
      <c r="FW225" s="432"/>
      <c r="FX225" s="432"/>
      <c r="FY225" s="432"/>
      <c r="FZ225" s="432"/>
      <c r="GA225" s="432"/>
      <c r="GB225" s="432"/>
      <c r="GC225" s="432"/>
      <c r="GD225" s="432"/>
      <c r="GE225" s="432"/>
      <c r="GF225" s="432"/>
      <c r="GG225" s="432"/>
      <c r="GH225" s="432"/>
      <c r="GI225" s="432"/>
      <c r="GJ225" s="432"/>
      <c r="GK225" s="432"/>
      <c r="GL225" s="432"/>
      <c r="GM225" s="432"/>
      <c r="GN225" s="432"/>
      <c r="GO225" s="432"/>
      <c r="GP225" s="432"/>
      <c r="GQ225" s="432"/>
      <c r="GR225" s="432"/>
      <c r="GS225" s="432"/>
      <c r="GT225" s="432"/>
      <c r="GU225" s="432"/>
      <c r="GV225" s="432"/>
      <c r="GW225" s="432"/>
      <c r="GX225" s="432"/>
      <c r="GY225" s="432"/>
      <c r="GZ225" s="432"/>
      <c r="HA225" s="432"/>
      <c r="HB225" s="432"/>
      <c r="HC225" s="432"/>
      <c r="HD225" s="432"/>
      <c r="HE225" s="432"/>
      <c r="HF225" s="432"/>
      <c r="HG225" s="432"/>
      <c r="HH225" s="432"/>
      <c r="HI225" s="432"/>
      <c r="HJ225" s="432"/>
      <c r="HK225" s="432"/>
      <c r="HL225" s="432"/>
      <c r="HM225" s="432"/>
      <c r="HN225" s="432"/>
      <c r="HO225" s="432"/>
      <c r="HP225" s="432"/>
      <c r="HQ225" s="432"/>
      <c r="HR225" s="432"/>
      <c r="HS225" s="432"/>
      <c r="HT225" s="432"/>
      <c r="HU225" s="432"/>
      <c r="HV225" s="432"/>
      <c r="HW225" s="432"/>
      <c r="HX225" s="432"/>
      <c r="HY225" s="432"/>
      <c r="HZ225" s="432"/>
      <c r="IA225" s="432"/>
      <c r="IB225" s="432"/>
      <c r="IC225" s="432"/>
      <c r="ID225" s="432"/>
      <c r="IE225" s="432"/>
      <c r="IF225" s="432"/>
      <c r="IG225" s="432"/>
      <c r="IH225" s="432"/>
      <c r="II225" s="432"/>
      <c r="IJ225" s="432"/>
      <c r="IK225" s="432"/>
      <c r="IL225" s="432"/>
      <c r="IM225" s="432"/>
      <c r="IN225" s="432"/>
      <c r="IO225" s="432"/>
      <c r="IP225" s="432"/>
      <c r="IQ225" s="432"/>
      <c r="IR225" s="432"/>
      <c r="IS225" s="432"/>
      <c r="IT225" s="432"/>
      <c r="IU225" s="432"/>
      <c r="IV225" s="432"/>
      <c r="IW225" s="432"/>
      <c r="IX225" s="432"/>
      <c r="IY225" s="432"/>
      <c r="IZ225" s="432"/>
      <c r="JA225" s="432"/>
      <c r="JB225" s="432"/>
      <c r="JC225" s="432"/>
      <c r="JD225" s="432"/>
      <c r="JE225" s="432"/>
      <c r="JF225" s="432"/>
      <c r="JG225" s="432"/>
      <c r="JH225" s="432"/>
      <c r="JI225" s="432"/>
      <c r="JJ225" s="432"/>
      <c r="JK225" s="432"/>
      <c r="JL225" s="432"/>
      <c r="JM225" s="432"/>
      <c r="JN225" s="432"/>
      <c r="JO225" s="432"/>
      <c r="JP225" s="432"/>
      <c r="JQ225" s="432"/>
      <c r="JR225" s="432"/>
      <c r="JS225" s="432"/>
      <c r="JT225" s="432"/>
      <c r="JU225" s="432"/>
      <c r="JV225" s="432"/>
      <c r="JW225" s="1810"/>
      <c r="JX225" s="432"/>
      <c r="JY225" s="432"/>
      <c r="JZ225" s="432"/>
      <c r="KA225" s="432"/>
      <c r="KB225" s="1810"/>
      <c r="KC225" s="432"/>
      <c r="KD225" s="432"/>
      <c r="KE225" s="432"/>
      <c r="KF225" s="432"/>
      <c r="KG225" s="1810"/>
      <c r="KH225" s="432"/>
      <c r="KI225" s="432"/>
      <c r="KJ225" s="432"/>
      <c r="KK225" s="432"/>
      <c r="KL225" s="1810"/>
      <c r="KM225" s="1810"/>
      <c r="KN225" s="1810"/>
      <c r="KO225" s="1810"/>
      <c r="KP225" s="1810"/>
      <c r="KQ225" s="1810"/>
      <c r="KR225" s="1810"/>
      <c r="KS225" s="1810"/>
      <c r="KT225" s="1810"/>
      <c r="KU225" s="1810"/>
      <c r="KV225" s="1810"/>
      <c r="KW225" s="1810"/>
      <c r="KX225" s="1810"/>
      <c r="KY225" s="1810"/>
      <c r="KZ225" s="1810"/>
      <c r="LA225" s="1810"/>
      <c r="LB225" s="1810"/>
      <c r="LC225" s="1810"/>
      <c r="LD225" s="1810"/>
      <c r="LE225" s="1810"/>
      <c r="LF225" s="1810"/>
      <c r="LG225" s="1810"/>
      <c r="LH225" s="432"/>
      <c r="LI225" s="432"/>
      <c r="LJ225" s="432"/>
      <c r="LK225" s="432"/>
      <c r="LL225" s="432"/>
      <c r="LM225" s="432"/>
      <c r="LN225" s="1811"/>
      <c r="LO225" s="432"/>
      <c r="LP225" s="432"/>
      <c r="LQ225" s="432"/>
      <c r="LR225" s="432"/>
      <c r="LS225" s="432"/>
      <c r="LT225" s="432"/>
      <c r="LU225" s="432"/>
      <c r="LV225" s="432"/>
      <c r="LW225" s="432"/>
      <c r="LX225" s="432"/>
      <c r="LY225" s="432"/>
      <c r="LZ225" s="432"/>
      <c r="MA225" s="432"/>
      <c r="MB225" s="432"/>
      <c r="MC225" s="432"/>
      <c r="MD225" s="1811"/>
      <c r="ME225" s="1811"/>
      <c r="MF225" s="432"/>
      <c r="MG225" s="432"/>
      <c r="MH225" s="432"/>
      <c r="MI225" s="432"/>
      <c r="MJ225" s="432"/>
      <c r="MK225" s="432"/>
      <c r="ML225" s="432"/>
      <c r="MM225" s="432"/>
      <c r="MN225" s="432"/>
      <c r="MO225" s="432"/>
      <c r="MP225" s="432"/>
      <c r="MQ225" s="432"/>
      <c r="MR225" s="432"/>
      <c r="MS225" s="432"/>
      <c r="MT225" s="432"/>
      <c r="MU225" s="432"/>
      <c r="MV225" s="93"/>
      <c r="MW225" s="93"/>
      <c r="MX225" s="93"/>
      <c r="MY225" s="93"/>
      <c r="MZ225" s="93"/>
      <c r="NA225" s="93"/>
      <c r="NB225" s="93"/>
      <c r="NC225" s="93"/>
      <c r="ND225" s="93"/>
      <c r="NE225" s="93"/>
      <c r="NF225" s="93"/>
      <c r="NG225" s="93"/>
      <c r="NH225" s="93"/>
      <c r="NI225" s="93"/>
      <c r="NJ225" s="93"/>
      <c r="NK225" s="93"/>
      <c r="NL225" s="93"/>
      <c r="NM225" s="93"/>
      <c r="NN225" s="93"/>
      <c r="NO225" s="93"/>
      <c r="NP225" s="2850"/>
      <c r="NQ225" s="93"/>
      <c r="NR225" s="93"/>
      <c r="NS225" s="93"/>
      <c r="NT225" s="93"/>
      <c r="NU225" s="93"/>
      <c r="NV225" s="93"/>
      <c r="NW225" s="93"/>
      <c r="NX225" s="93"/>
      <c r="NY225" s="93"/>
      <c r="NZ225" s="93"/>
      <c r="OA225" s="93"/>
      <c r="OB225" s="93"/>
      <c r="OC225" s="93"/>
      <c r="OD225" s="93"/>
      <c r="OE225" s="93"/>
      <c r="OF225" s="93"/>
      <c r="OG225" s="93"/>
      <c r="OH225" s="93"/>
      <c r="OI225" s="93"/>
      <c r="OJ225" s="93"/>
      <c r="OK225" s="93"/>
      <c r="OL225" s="93"/>
      <c r="OM225" s="93"/>
      <c r="ON225" s="93"/>
      <c r="OO225" s="93"/>
      <c r="OP225" s="93"/>
      <c r="OQ225" s="93"/>
      <c r="OR225" s="93"/>
      <c r="OS225" s="93"/>
      <c r="OT225" s="93"/>
      <c r="OU225" s="93"/>
      <c r="OV225" s="93"/>
      <c r="OW225" s="93"/>
      <c r="OX225" s="93"/>
      <c r="OY225" s="93"/>
      <c r="OZ225" s="93"/>
      <c r="PA225" s="93"/>
      <c r="PB225" s="93"/>
      <c r="PC225" s="93"/>
      <c r="PD225" s="93"/>
      <c r="PE225" s="93"/>
      <c r="PF225" s="93"/>
      <c r="PG225" s="93"/>
      <c r="PH225" s="93"/>
      <c r="PI225" s="93"/>
      <c r="PJ225" s="93"/>
      <c r="PK225" s="93"/>
      <c r="PL225" s="93"/>
      <c r="PM225" s="93"/>
      <c r="PN225" s="93"/>
      <c r="PO225" s="93"/>
      <c r="PP225" s="93"/>
      <c r="PQ225" s="93"/>
      <c r="PR225" s="93"/>
      <c r="PS225" s="93"/>
      <c r="PT225" s="93"/>
      <c r="PU225" s="93"/>
      <c r="PV225" s="93"/>
      <c r="PW225" s="93"/>
      <c r="PX225" s="93"/>
      <c r="PY225" s="93"/>
      <c r="PZ225" s="93"/>
      <c r="QA225" s="93"/>
      <c r="QB225" s="93"/>
      <c r="QC225" s="93"/>
      <c r="QD225" s="93"/>
      <c r="QE225" s="93"/>
      <c r="QF225" s="93"/>
      <c r="QG225" s="93"/>
      <c r="QH225" s="93"/>
      <c r="QI225" s="93"/>
      <c r="QJ225" s="93"/>
      <c r="QK225" s="93"/>
      <c r="QL225" s="93"/>
      <c r="QM225" s="93"/>
      <c r="QN225" s="93"/>
      <c r="QO225" s="93"/>
      <c r="QP225" s="93"/>
      <c r="QQ225" s="93"/>
      <c r="QR225" s="93"/>
      <c r="QS225" s="93"/>
      <c r="QT225" s="93"/>
      <c r="QU225" s="93"/>
      <c r="QV225" s="93"/>
      <c r="QW225" s="93"/>
      <c r="QX225" s="93"/>
      <c r="QY225" s="93"/>
      <c r="QZ225" s="93"/>
      <c r="RA225" s="93"/>
      <c r="RB225" s="93"/>
      <c r="RC225" s="93"/>
      <c r="RD225" s="93"/>
      <c r="RE225" s="93"/>
      <c r="RF225" s="93"/>
      <c r="RG225" s="93"/>
      <c r="RH225" s="93"/>
      <c r="RI225" s="93"/>
      <c r="RJ225" s="93"/>
      <c r="RK225" s="93"/>
      <c r="RL225" s="93"/>
      <c r="RM225" s="93"/>
      <c r="RN225" s="93"/>
      <c r="RO225" s="93"/>
      <c r="RP225" s="93"/>
      <c r="RQ225" s="93"/>
      <c r="RR225" s="93"/>
      <c r="RS225" s="93"/>
      <c r="RT225" s="93"/>
      <c r="RU225" s="93"/>
      <c r="RV225" s="93"/>
      <c r="RW225" s="93"/>
      <c r="RX225" s="93"/>
      <c r="RY225" s="93"/>
    </row>
    <row r="226" spans="1:493" s="90" customFormat="1" ht="13.35" customHeight="1">
      <c r="A226" s="1"/>
      <c r="B226" s="10" t="s">
        <v>1243</v>
      </c>
      <c r="C226" s="1"/>
      <c r="D226" s="9"/>
      <c r="E226" s="1"/>
      <c r="F226" s="1"/>
      <c r="G226" s="1"/>
      <c r="H226" s="1"/>
      <c r="I226" s="1" t="s">
        <v>1537</v>
      </c>
      <c r="K226" s="1"/>
      <c r="L226" s="3878">
        <v>4000</v>
      </c>
      <c r="M226" s="3879"/>
      <c r="N226" s="3889"/>
      <c r="O226" s="66" t="s">
        <v>2587</v>
      </c>
      <c r="P226" s="384">
        <f>+Q225/P67</f>
        <v>5450.0277777777774</v>
      </c>
      <c r="R226" s="769"/>
      <c r="S226" s="3833"/>
      <c r="T226" s="3834"/>
      <c r="U226" s="3834"/>
      <c r="V226" s="3834"/>
      <c r="W226" s="3835"/>
      <c r="X226" s="430"/>
      <c r="Y226" s="432"/>
      <c r="Z226" s="432"/>
      <c r="AA226" s="432"/>
      <c r="AB226" s="432"/>
      <c r="AC226" s="430"/>
      <c r="AD226" s="432"/>
      <c r="AE226" s="432"/>
      <c r="AF226" s="432"/>
      <c r="AG226" s="432"/>
      <c r="AH226" s="430"/>
      <c r="AI226" s="432"/>
      <c r="AJ226" s="432"/>
      <c r="AK226" s="432"/>
      <c r="AL226" s="432"/>
      <c r="AM226" s="430"/>
      <c r="AN226" s="432"/>
      <c r="AO226" s="432"/>
      <c r="AP226" s="432"/>
      <c r="AQ226" s="432"/>
      <c r="AR226" s="432"/>
      <c r="AS226" s="432"/>
      <c r="AT226" s="432"/>
      <c r="AU226" s="432"/>
      <c r="AV226" s="432"/>
      <c r="AW226" s="432"/>
      <c r="AX226" s="432"/>
      <c r="AY226" s="432"/>
      <c r="AZ226" s="432"/>
      <c r="BA226" s="432"/>
      <c r="BB226" s="432"/>
      <c r="BC226" s="432"/>
      <c r="BD226" s="432"/>
      <c r="BE226" s="432"/>
      <c r="BF226" s="432"/>
      <c r="BG226" s="432"/>
      <c r="BH226" s="432"/>
      <c r="BI226" s="432"/>
      <c r="BJ226" s="432"/>
      <c r="BK226" s="432"/>
      <c r="BL226" s="432"/>
      <c r="BM226" s="432"/>
      <c r="BN226" s="432"/>
      <c r="BO226" s="432"/>
      <c r="BP226" s="432"/>
      <c r="BQ226" s="432"/>
      <c r="BR226" s="432"/>
      <c r="BS226" s="432"/>
      <c r="BT226" s="432"/>
      <c r="BU226" s="432"/>
      <c r="BV226" s="432"/>
      <c r="BW226" s="432"/>
      <c r="BX226" s="432"/>
      <c r="BY226" s="432"/>
      <c r="BZ226" s="432"/>
      <c r="CA226" s="432"/>
      <c r="CB226" s="432"/>
      <c r="CC226" s="432"/>
      <c r="CD226" s="432"/>
      <c r="CE226" s="432"/>
      <c r="CF226" s="432"/>
      <c r="CG226" s="432"/>
      <c r="CH226" s="432"/>
      <c r="CI226" s="432"/>
      <c r="CJ226" s="432"/>
      <c r="CK226" s="432"/>
      <c r="CL226" s="432"/>
      <c r="CM226" s="432"/>
      <c r="CN226" s="432"/>
      <c r="CO226" s="432"/>
      <c r="CP226" s="432"/>
      <c r="CQ226" s="432"/>
      <c r="CR226" s="432"/>
      <c r="CS226" s="432"/>
      <c r="CT226" s="432"/>
      <c r="CU226" s="432"/>
      <c r="CV226" s="432"/>
      <c r="CW226" s="432"/>
      <c r="CX226" s="432"/>
      <c r="CY226" s="432"/>
      <c r="CZ226" s="432"/>
      <c r="DA226" s="432"/>
      <c r="DB226" s="432"/>
      <c r="DC226" s="432"/>
      <c r="DD226" s="432"/>
      <c r="DE226" s="432"/>
      <c r="DF226" s="432"/>
      <c r="DG226" s="432"/>
      <c r="DH226" s="432"/>
      <c r="DI226" s="432"/>
      <c r="DJ226" s="432"/>
      <c r="DK226" s="432"/>
      <c r="DL226" s="432"/>
      <c r="DM226" s="432"/>
      <c r="DN226" s="432"/>
      <c r="DO226" s="432"/>
      <c r="DP226" s="432"/>
      <c r="DQ226" s="432"/>
      <c r="DR226" s="432"/>
      <c r="DS226" s="432"/>
      <c r="DT226" s="432"/>
      <c r="DU226" s="432"/>
      <c r="DV226" s="432"/>
      <c r="DW226" s="432"/>
      <c r="DX226" s="432"/>
      <c r="DY226" s="432"/>
      <c r="DZ226" s="432"/>
      <c r="EA226" s="432"/>
      <c r="EB226" s="432"/>
      <c r="EC226" s="432"/>
      <c r="ED226" s="432"/>
      <c r="EE226" s="432"/>
      <c r="EF226" s="432"/>
      <c r="EG226" s="432"/>
      <c r="EH226" s="432"/>
      <c r="EI226" s="432"/>
      <c r="EJ226" s="432"/>
      <c r="EK226" s="432"/>
      <c r="EL226" s="432"/>
      <c r="EM226" s="432"/>
      <c r="EN226" s="432"/>
      <c r="EO226" s="432"/>
      <c r="EP226" s="432"/>
      <c r="EQ226" s="432"/>
      <c r="ER226" s="432"/>
      <c r="ES226" s="432"/>
      <c r="ET226" s="432"/>
      <c r="EU226" s="432"/>
      <c r="EV226" s="432"/>
      <c r="EW226" s="432"/>
      <c r="EX226" s="432"/>
      <c r="EY226" s="432"/>
      <c r="EZ226" s="432"/>
      <c r="FA226" s="432"/>
      <c r="FB226" s="432"/>
      <c r="FC226" s="432"/>
      <c r="FD226" s="432"/>
      <c r="FE226" s="432"/>
      <c r="FF226" s="432"/>
      <c r="FG226" s="432"/>
      <c r="FH226" s="432"/>
      <c r="FI226" s="432"/>
      <c r="FJ226" s="432"/>
      <c r="FK226" s="432"/>
      <c r="FL226" s="432"/>
      <c r="FM226" s="432"/>
      <c r="FN226" s="432"/>
      <c r="FO226" s="432"/>
      <c r="FP226" s="432"/>
      <c r="FQ226" s="432"/>
      <c r="FR226" s="432"/>
      <c r="FS226" s="432"/>
      <c r="FT226" s="432"/>
      <c r="FU226" s="432"/>
      <c r="FV226" s="432"/>
      <c r="FW226" s="432"/>
      <c r="FX226" s="432"/>
      <c r="FY226" s="432"/>
      <c r="FZ226" s="432"/>
      <c r="GA226" s="432"/>
      <c r="GB226" s="432"/>
      <c r="GC226" s="432"/>
      <c r="GD226" s="432"/>
      <c r="GE226" s="432"/>
      <c r="GF226" s="432"/>
      <c r="GG226" s="432"/>
      <c r="GH226" s="432"/>
      <c r="GI226" s="432"/>
      <c r="GJ226" s="432"/>
      <c r="GK226" s="432"/>
      <c r="GL226" s="432"/>
      <c r="GM226" s="432"/>
      <c r="GN226" s="432"/>
      <c r="GO226" s="432"/>
      <c r="GP226" s="432"/>
      <c r="GQ226" s="432"/>
      <c r="GR226" s="432"/>
      <c r="GS226" s="432"/>
      <c r="GT226" s="432"/>
      <c r="GU226" s="432"/>
      <c r="GV226" s="432"/>
      <c r="GW226" s="432"/>
      <c r="GX226" s="432"/>
      <c r="GY226" s="432"/>
      <c r="GZ226" s="432"/>
      <c r="HA226" s="432"/>
      <c r="HB226" s="432"/>
      <c r="HC226" s="432"/>
      <c r="HD226" s="432"/>
      <c r="HE226" s="432"/>
      <c r="HF226" s="432"/>
      <c r="HG226" s="432"/>
      <c r="HH226" s="432"/>
      <c r="HI226" s="432"/>
      <c r="HJ226" s="432"/>
      <c r="HK226" s="432"/>
      <c r="HL226" s="432"/>
      <c r="HM226" s="432"/>
      <c r="HN226" s="432"/>
      <c r="HO226" s="432"/>
      <c r="HP226" s="432"/>
      <c r="HQ226" s="432"/>
      <c r="HR226" s="432"/>
      <c r="HS226" s="432"/>
      <c r="HT226" s="432"/>
      <c r="HU226" s="432"/>
      <c r="HV226" s="432"/>
      <c r="HW226" s="432"/>
      <c r="HX226" s="432"/>
      <c r="HY226" s="432"/>
      <c r="HZ226" s="432"/>
      <c r="IA226" s="432"/>
      <c r="IB226" s="432"/>
      <c r="IC226" s="432"/>
      <c r="ID226" s="432"/>
      <c r="IE226" s="432"/>
      <c r="IF226" s="432"/>
      <c r="IG226" s="432"/>
      <c r="IH226" s="432"/>
      <c r="II226" s="432"/>
      <c r="IJ226" s="432"/>
      <c r="IK226" s="432"/>
      <c r="IL226" s="432"/>
      <c r="IM226" s="432"/>
      <c r="IN226" s="432"/>
      <c r="IO226" s="432"/>
      <c r="IP226" s="432"/>
      <c r="IQ226" s="432"/>
      <c r="IR226" s="432"/>
      <c r="IS226" s="432"/>
      <c r="IT226" s="432"/>
      <c r="IU226" s="432"/>
      <c r="IV226" s="432"/>
      <c r="IW226" s="432"/>
      <c r="IX226" s="432"/>
      <c r="IY226" s="432"/>
      <c r="IZ226" s="432"/>
      <c r="JA226" s="432"/>
      <c r="JB226" s="432"/>
      <c r="JC226" s="432"/>
      <c r="JD226" s="432"/>
      <c r="JE226" s="432"/>
      <c r="JF226" s="432"/>
      <c r="JG226" s="432"/>
      <c r="JH226" s="432"/>
      <c r="JI226" s="432"/>
      <c r="JJ226" s="432"/>
      <c r="JK226" s="432"/>
      <c r="JL226" s="432"/>
      <c r="JM226" s="432"/>
      <c r="JN226" s="432"/>
      <c r="JO226" s="432"/>
      <c r="JP226" s="432"/>
      <c r="JQ226" s="432"/>
      <c r="JR226" s="432"/>
      <c r="JS226" s="432"/>
      <c r="JT226" s="432"/>
      <c r="JU226" s="432"/>
      <c r="JV226" s="432"/>
      <c r="JW226" s="1810"/>
      <c r="JX226" s="432"/>
      <c r="JY226" s="432"/>
      <c r="JZ226" s="432"/>
      <c r="KA226" s="432"/>
      <c r="KB226" s="1810"/>
      <c r="KC226" s="432"/>
      <c r="KD226" s="432"/>
      <c r="KE226" s="432"/>
      <c r="KF226" s="432"/>
      <c r="KG226" s="1810"/>
      <c r="KH226" s="432"/>
      <c r="KI226" s="432"/>
      <c r="KJ226" s="432"/>
      <c r="KK226" s="432"/>
      <c r="KL226" s="1810"/>
      <c r="KM226" s="1810"/>
      <c r="KN226" s="1810"/>
      <c r="KO226" s="1810"/>
      <c r="KP226" s="1810"/>
      <c r="KQ226" s="1810"/>
      <c r="KR226" s="1810"/>
      <c r="KS226" s="1810"/>
      <c r="KT226" s="1810"/>
      <c r="KU226" s="1810"/>
      <c r="KV226" s="1810"/>
      <c r="KW226" s="1810"/>
      <c r="KX226" s="1810"/>
      <c r="KY226" s="1810"/>
      <c r="KZ226" s="1810"/>
      <c r="LA226" s="1810"/>
      <c r="LB226" s="1810"/>
      <c r="LC226" s="1810"/>
      <c r="LD226" s="1810"/>
      <c r="LE226" s="1810"/>
      <c r="LF226" s="1810"/>
      <c r="LG226" s="1810"/>
      <c r="LH226" s="432"/>
      <c r="LI226" s="432"/>
      <c r="LJ226" s="432"/>
      <c r="LK226" s="432"/>
      <c r="LL226" s="432"/>
      <c r="LM226" s="432"/>
      <c r="LN226" s="1811"/>
      <c r="LO226" s="432"/>
      <c r="LP226" s="432"/>
      <c r="LQ226" s="432"/>
      <c r="LR226" s="432"/>
      <c r="LS226" s="432"/>
      <c r="LT226" s="432"/>
      <c r="LU226" s="432"/>
      <c r="LV226" s="432"/>
      <c r="LW226" s="432"/>
      <c r="LX226" s="432"/>
      <c r="LY226" s="432"/>
      <c r="LZ226" s="432"/>
      <c r="MA226" s="432"/>
      <c r="MB226" s="432"/>
      <c r="MC226" s="432"/>
      <c r="MD226" s="1811"/>
      <c r="ME226" s="1811"/>
      <c r="MF226" s="432"/>
      <c r="MG226" s="432"/>
      <c r="MH226" s="432"/>
      <c r="MI226" s="432"/>
      <c r="MJ226" s="432"/>
      <c r="MK226" s="432"/>
      <c r="ML226" s="432"/>
      <c r="MM226" s="432"/>
      <c r="MN226" s="432"/>
      <c r="MO226" s="432"/>
      <c r="MP226" s="432"/>
      <c r="MQ226" s="432"/>
      <c r="MR226" s="432"/>
      <c r="MS226" s="432"/>
      <c r="MT226" s="432"/>
      <c r="MU226" s="432"/>
      <c r="MV226" s="93"/>
      <c r="MW226" s="93"/>
      <c r="MX226" s="93"/>
      <c r="MY226" s="93"/>
      <c r="MZ226" s="93"/>
      <c r="NA226" s="93"/>
      <c r="NB226" s="93"/>
      <c r="NC226" s="93"/>
      <c r="ND226" s="93"/>
      <c r="NE226" s="93"/>
      <c r="NF226" s="93"/>
      <c r="NG226" s="93"/>
      <c r="NH226" s="93"/>
      <c r="NI226" s="93"/>
      <c r="NJ226" s="93"/>
      <c r="NK226" s="93"/>
      <c r="NL226" s="93"/>
      <c r="NM226" s="93"/>
      <c r="NN226" s="93"/>
      <c r="NO226" s="93"/>
      <c r="NP226" s="2850" t="s">
        <v>6757</v>
      </c>
      <c r="NQ226" s="93"/>
      <c r="NR226" s="93"/>
      <c r="NS226" s="93"/>
      <c r="NT226" s="93"/>
      <c r="NU226" s="93"/>
      <c r="NV226" s="93"/>
      <c r="NW226" s="93"/>
      <c r="NX226" s="93"/>
      <c r="NY226" s="93"/>
      <c r="NZ226" s="93"/>
      <c r="OA226" s="93"/>
      <c r="OB226" s="93"/>
      <c r="OC226" s="93"/>
      <c r="OD226" s="93"/>
      <c r="OE226" s="93"/>
      <c r="OF226" s="93"/>
      <c r="OG226" s="93"/>
      <c r="OH226" s="93"/>
      <c r="OI226" s="93"/>
      <c r="OJ226" s="93"/>
      <c r="OK226" s="93"/>
      <c r="OL226" s="93"/>
      <c r="OM226" s="93"/>
      <c r="ON226" s="93"/>
      <c r="OO226" s="93"/>
      <c r="OP226" s="93"/>
      <c r="OQ226" s="93"/>
      <c r="OR226" s="93"/>
      <c r="OS226" s="93"/>
      <c r="OT226" s="93"/>
      <c r="OU226" s="93"/>
      <c r="OV226" s="93"/>
      <c r="OW226" s="93"/>
      <c r="OX226" s="93"/>
      <c r="OY226" s="93"/>
      <c r="OZ226" s="93"/>
      <c r="PA226" s="93"/>
      <c r="PB226" s="93"/>
      <c r="PC226" s="93"/>
      <c r="PD226" s="93"/>
      <c r="PE226" s="93"/>
      <c r="PF226" s="93"/>
      <c r="PG226" s="93"/>
      <c r="PH226" s="93"/>
      <c r="PI226" s="93"/>
      <c r="PJ226" s="93"/>
      <c r="PK226" s="93"/>
      <c r="PL226" s="93"/>
      <c r="PM226" s="93"/>
      <c r="PN226" s="93"/>
      <c r="PO226" s="93"/>
      <c r="PP226" s="93"/>
      <c r="PQ226" s="93"/>
      <c r="PR226" s="93"/>
      <c r="PS226" s="93"/>
      <c r="PT226" s="93"/>
      <c r="PU226" s="93"/>
      <c r="PV226" s="93"/>
      <c r="PW226" s="93"/>
      <c r="PX226" s="93"/>
      <c r="PY226" s="93"/>
      <c r="PZ226" s="93"/>
      <c r="QA226" s="93"/>
      <c r="QB226" s="93"/>
      <c r="QC226" s="93"/>
      <c r="QD226" s="93"/>
      <c r="QE226" s="93"/>
      <c r="QF226" s="93"/>
      <c r="QG226" s="93"/>
      <c r="QH226" s="93"/>
      <c r="QI226" s="93"/>
      <c r="QJ226" s="93"/>
      <c r="QK226" s="93"/>
      <c r="QL226" s="93"/>
      <c r="QM226" s="93"/>
      <c r="QN226" s="93"/>
      <c r="QO226" s="93"/>
      <c r="QP226" s="93"/>
      <c r="QQ226" s="93"/>
      <c r="QR226" s="93"/>
      <c r="QS226" s="93"/>
      <c r="QT226" s="93"/>
      <c r="QU226" s="93"/>
      <c r="QV226" s="93"/>
      <c r="QW226" s="93"/>
      <c r="QX226" s="93"/>
      <c r="QY226" s="93"/>
      <c r="QZ226" s="93"/>
      <c r="RA226" s="93"/>
      <c r="RB226" s="93"/>
      <c r="RC226" s="93"/>
      <c r="RD226" s="93"/>
      <c r="RE226" s="93"/>
      <c r="RF226" s="93"/>
      <c r="RG226" s="93"/>
      <c r="RH226" s="93"/>
      <c r="RI226" s="93"/>
      <c r="RJ226" s="93"/>
      <c r="RK226" s="93"/>
      <c r="RL226" s="93"/>
      <c r="RM226" s="93"/>
      <c r="RN226" s="93"/>
      <c r="RO226" s="93"/>
      <c r="RP226" s="93"/>
      <c r="RQ226" s="93"/>
      <c r="RR226" s="93"/>
      <c r="RS226" s="93"/>
      <c r="RT226" s="93"/>
      <c r="RU226" s="93"/>
      <c r="RV226" s="93"/>
      <c r="RW226" s="93"/>
      <c r="RX226" s="93"/>
      <c r="RY226" s="93"/>
    </row>
    <row r="227" spans="1:493" s="90" customFormat="1" ht="15.6" customHeight="1" thickBot="1">
      <c r="A227" s="1"/>
      <c r="B227" s="1" t="s">
        <v>1323</v>
      </c>
      <c r="C227" s="1"/>
      <c r="D227" s="9"/>
      <c r="E227" s="1"/>
      <c r="F227" s="3887">
        <f>3300+7500</f>
        <v>10800</v>
      </c>
      <c r="G227" s="3888"/>
      <c r="H227" s="1"/>
      <c r="I227" s="3894" t="s">
        <v>46</v>
      </c>
      <c r="J227" s="3895"/>
      <c r="K227" s="3896"/>
      <c r="L227" s="3882"/>
      <c r="M227" s="3883"/>
      <c r="N227" s="3889"/>
      <c r="P227" s="849" t="s">
        <v>3355</v>
      </c>
      <c r="Q227" s="850" t="e">
        <f>IF(AND('Part I-Project Information'!$I$209="Yes",'Part I-Project Information'!$O$209&gt;0),'Part I-Project Information'!$O$209, IF(AND('Part I-Project Information'!$F$39="Atlanta",'Part I-Project Information'!$K$41="Urban",'Part I-Project Information'!$N$41="MSA"),'DCA Underwriting Assumptions'!$Q$63*$P$67,IF(AND('Part I-Project Information'!$K$41="Urban",'Part I-Project Information'!$N$41="MSA"),'DCA Underwriting Assumptions'!$Q$64*$P$67,IF(AND('Part I-Project Information'!$K$41="Rural",'Part I-Project Information'!$N$41="MSA",OR('Part III-Sources of Funds'!$B$13="",'Part III-Sources of Funds'!$B$13="No")),'DCA Underwriting Assumptions'!$Q$65*$P$67,IF(AND('Part I-Project Information'!$K$41="Rural",'Part I-Project Information'!$N$41="Non-MSA",OR('Part III-Sources of Funds'!$B$13="",'Part III-Sources of Funds'!$B$13="No")),'DCA Underwriting Assumptions'!$Q$66*$P$67,IF(AND('Part I-Project Information'!$K$41="Rural",'Part I-Project Information'!$N$41="Non-MSA",'Part III-Sources of Funds'!$B$13="Yes"),'DCA Underwriting Assumptions'!$Q$67*$P$67,""))))))</f>
        <v>#VALUE!</v>
      </c>
      <c r="R227" s="1"/>
      <c r="S227" s="3833"/>
      <c r="T227" s="3834"/>
      <c r="U227" s="3834"/>
      <c r="V227" s="3834"/>
      <c r="W227" s="3835"/>
      <c r="X227" s="430"/>
      <c r="Y227" s="432"/>
      <c r="Z227" s="432"/>
      <c r="AA227" s="432"/>
      <c r="AB227" s="432"/>
      <c r="AC227" s="430"/>
      <c r="AD227" s="432"/>
      <c r="AE227" s="432"/>
      <c r="AF227" s="432"/>
      <c r="AG227" s="432"/>
      <c r="AH227" s="430"/>
      <c r="AI227" s="432"/>
      <c r="AJ227" s="432"/>
      <c r="AK227" s="432"/>
      <c r="AL227" s="432"/>
      <c r="AM227" s="430"/>
      <c r="AN227" s="432"/>
      <c r="AO227" s="432"/>
      <c r="AP227" s="432"/>
      <c r="AQ227" s="432"/>
      <c r="AR227" s="432"/>
      <c r="AS227" s="432"/>
      <c r="AT227" s="432"/>
      <c r="AU227" s="432"/>
      <c r="AV227" s="432"/>
      <c r="AW227" s="432"/>
      <c r="AX227" s="432"/>
      <c r="AY227" s="432"/>
      <c r="AZ227" s="432"/>
      <c r="BA227" s="432"/>
      <c r="BB227" s="432"/>
      <c r="BC227" s="432"/>
      <c r="BD227" s="432"/>
      <c r="BE227" s="432"/>
      <c r="BF227" s="432"/>
      <c r="BG227" s="432"/>
      <c r="BH227" s="432"/>
      <c r="BI227" s="432"/>
      <c r="BJ227" s="432"/>
      <c r="BK227" s="432"/>
      <c r="BL227" s="432"/>
      <c r="BM227" s="432"/>
      <c r="BN227" s="432"/>
      <c r="BO227" s="432"/>
      <c r="BP227" s="432"/>
      <c r="BQ227" s="432"/>
      <c r="BR227" s="432"/>
      <c r="BS227" s="432"/>
      <c r="BT227" s="432"/>
      <c r="BU227" s="432"/>
      <c r="BV227" s="432"/>
      <c r="BW227" s="432"/>
      <c r="BX227" s="432"/>
      <c r="BY227" s="432"/>
      <c r="BZ227" s="432"/>
      <c r="CA227" s="432"/>
      <c r="CB227" s="432"/>
      <c r="CC227" s="432"/>
      <c r="CD227" s="432"/>
      <c r="CE227" s="432"/>
      <c r="CF227" s="432"/>
      <c r="CG227" s="432"/>
      <c r="CH227" s="432"/>
      <c r="CI227" s="432"/>
      <c r="CJ227" s="432"/>
      <c r="CK227" s="432"/>
      <c r="CL227" s="432"/>
      <c r="CM227" s="432"/>
      <c r="CN227" s="432"/>
      <c r="CO227" s="432"/>
      <c r="CP227" s="432"/>
      <c r="CQ227" s="432"/>
      <c r="CR227" s="432"/>
      <c r="CS227" s="432"/>
      <c r="CT227" s="432"/>
      <c r="CU227" s="432"/>
      <c r="CV227" s="432"/>
      <c r="CW227" s="432"/>
      <c r="CX227" s="432"/>
      <c r="CY227" s="432"/>
      <c r="CZ227" s="432"/>
      <c r="DA227" s="432"/>
      <c r="DB227" s="432"/>
      <c r="DC227" s="432"/>
      <c r="DD227" s="432"/>
      <c r="DE227" s="432"/>
      <c r="DF227" s="432"/>
      <c r="DG227" s="432"/>
      <c r="DH227" s="432"/>
      <c r="DI227" s="432"/>
      <c r="DJ227" s="432"/>
      <c r="DK227" s="432"/>
      <c r="DL227" s="432"/>
      <c r="DM227" s="432"/>
      <c r="DN227" s="432"/>
      <c r="DO227" s="432"/>
      <c r="DP227" s="432"/>
      <c r="DQ227" s="432"/>
      <c r="DR227" s="432"/>
      <c r="DS227" s="432"/>
      <c r="DT227" s="432"/>
      <c r="DU227" s="432"/>
      <c r="DV227" s="432"/>
      <c r="DW227" s="432"/>
      <c r="DX227" s="432"/>
      <c r="DY227" s="432"/>
      <c r="DZ227" s="432"/>
      <c r="EA227" s="432"/>
      <c r="EB227" s="432"/>
      <c r="EC227" s="432"/>
      <c r="ED227" s="432"/>
      <c r="EE227" s="432"/>
      <c r="EF227" s="432"/>
      <c r="EG227" s="432"/>
      <c r="EH227" s="432"/>
      <c r="EI227" s="432"/>
      <c r="EJ227" s="432"/>
      <c r="EK227" s="432"/>
      <c r="EL227" s="432"/>
      <c r="EM227" s="432"/>
      <c r="EN227" s="432"/>
      <c r="EO227" s="432"/>
      <c r="EP227" s="432"/>
      <c r="EQ227" s="432"/>
      <c r="ER227" s="432"/>
      <c r="ES227" s="432"/>
      <c r="ET227" s="432"/>
      <c r="EU227" s="432"/>
      <c r="EV227" s="432"/>
      <c r="EW227" s="432"/>
      <c r="EX227" s="432"/>
      <c r="EY227" s="432"/>
      <c r="EZ227" s="432"/>
      <c r="FA227" s="432"/>
      <c r="FB227" s="432"/>
      <c r="FC227" s="432"/>
      <c r="FD227" s="432"/>
      <c r="FE227" s="432"/>
      <c r="FF227" s="432"/>
      <c r="FG227" s="432"/>
      <c r="FH227" s="432"/>
      <c r="FI227" s="432"/>
      <c r="FJ227" s="432"/>
      <c r="FK227" s="432"/>
      <c r="FL227" s="432"/>
      <c r="FM227" s="432"/>
      <c r="FN227" s="432"/>
      <c r="FO227" s="432"/>
      <c r="FP227" s="432"/>
      <c r="FQ227" s="432"/>
      <c r="FR227" s="432"/>
      <c r="FS227" s="432"/>
      <c r="FT227" s="432"/>
      <c r="FU227" s="432"/>
      <c r="FV227" s="432"/>
      <c r="FW227" s="432"/>
      <c r="FX227" s="432"/>
      <c r="FY227" s="432"/>
      <c r="FZ227" s="432"/>
      <c r="GA227" s="432"/>
      <c r="GB227" s="432"/>
      <c r="GC227" s="432"/>
      <c r="GD227" s="432"/>
      <c r="GE227" s="432"/>
      <c r="GF227" s="432"/>
      <c r="GG227" s="432"/>
      <c r="GH227" s="432"/>
      <c r="GI227" s="432"/>
      <c r="GJ227" s="432"/>
      <c r="GK227" s="432"/>
      <c r="GL227" s="432"/>
      <c r="GM227" s="432"/>
      <c r="GN227" s="432"/>
      <c r="GO227" s="432"/>
      <c r="GP227" s="432"/>
      <c r="GQ227" s="432"/>
      <c r="GR227" s="432"/>
      <c r="GS227" s="432"/>
      <c r="GT227" s="432"/>
      <c r="GU227" s="432"/>
      <c r="GV227" s="432"/>
      <c r="GW227" s="432"/>
      <c r="GX227" s="432"/>
      <c r="GY227" s="432"/>
      <c r="GZ227" s="432"/>
      <c r="HA227" s="432"/>
      <c r="HB227" s="432"/>
      <c r="HC227" s="432"/>
      <c r="HD227" s="432"/>
      <c r="HE227" s="432"/>
      <c r="HF227" s="432"/>
      <c r="HG227" s="432"/>
      <c r="HH227" s="432"/>
      <c r="HI227" s="432"/>
      <c r="HJ227" s="432"/>
      <c r="HK227" s="432"/>
      <c r="HL227" s="432"/>
      <c r="HM227" s="432"/>
      <c r="HN227" s="432"/>
      <c r="HO227" s="432"/>
      <c r="HP227" s="432"/>
      <c r="HQ227" s="432"/>
      <c r="HR227" s="432"/>
      <c r="HS227" s="432"/>
      <c r="HT227" s="432"/>
      <c r="HU227" s="432"/>
      <c r="HV227" s="432"/>
      <c r="HW227" s="432"/>
      <c r="HX227" s="432"/>
      <c r="HY227" s="432"/>
      <c r="HZ227" s="432"/>
      <c r="IA227" s="432"/>
      <c r="IB227" s="432"/>
      <c r="IC227" s="432"/>
      <c r="ID227" s="432"/>
      <c r="IE227" s="432"/>
      <c r="IF227" s="432"/>
      <c r="IG227" s="432"/>
      <c r="IH227" s="432"/>
      <c r="II227" s="432"/>
      <c r="IJ227" s="432"/>
      <c r="IK227" s="432"/>
      <c r="IL227" s="432"/>
      <c r="IM227" s="432"/>
      <c r="IN227" s="432"/>
      <c r="IO227" s="432"/>
      <c r="IP227" s="432"/>
      <c r="IQ227" s="432"/>
      <c r="IR227" s="432"/>
      <c r="IS227" s="432"/>
      <c r="IT227" s="432"/>
      <c r="IU227" s="432"/>
      <c r="IV227" s="432"/>
      <c r="IW227" s="432"/>
      <c r="IX227" s="432"/>
      <c r="IY227" s="432"/>
      <c r="IZ227" s="432"/>
      <c r="JA227" s="432"/>
      <c r="JB227" s="432"/>
      <c r="JC227" s="432"/>
      <c r="JD227" s="432"/>
      <c r="JE227" s="432"/>
      <c r="JF227" s="432"/>
      <c r="JG227" s="432"/>
      <c r="JH227" s="432"/>
      <c r="JI227" s="432"/>
      <c r="JJ227" s="432"/>
      <c r="JK227" s="432"/>
      <c r="JL227" s="432"/>
      <c r="JM227" s="432"/>
      <c r="JN227" s="432"/>
      <c r="JO227" s="432"/>
      <c r="JP227" s="432"/>
      <c r="JQ227" s="432"/>
      <c r="JR227" s="432"/>
      <c r="JS227" s="432"/>
      <c r="JT227" s="432"/>
      <c r="JU227" s="432"/>
      <c r="JV227" s="432"/>
      <c r="JW227" s="1810"/>
      <c r="JX227" s="432"/>
      <c r="JY227" s="432"/>
      <c r="JZ227" s="432"/>
      <c r="KA227" s="432"/>
      <c r="KB227" s="1810"/>
      <c r="KC227" s="432"/>
      <c r="KD227" s="432"/>
      <c r="KE227" s="432"/>
      <c r="KF227" s="432"/>
      <c r="KG227" s="1810"/>
      <c r="KH227" s="432"/>
      <c r="KI227" s="432"/>
      <c r="KJ227" s="432"/>
      <c r="KK227" s="432"/>
      <c r="KL227" s="1810"/>
      <c r="KM227" s="1810"/>
      <c r="KN227" s="1810"/>
      <c r="KO227" s="1810"/>
      <c r="KP227" s="1810"/>
      <c r="KQ227" s="1810"/>
      <c r="KR227" s="1810"/>
      <c r="KS227" s="1810"/>
      <c r="KT227" s="1810"/>
      <c r="KU227" s="1810"/>
      <c r="KV227" s="1810"/>
      <c r="KW227" s="1810"/>
      <c r="KX227" s="1810"/>
      <c r="KY227" s="1810"/>
      <c r="KZ227" s="1810"/>
      <c r="LA227" s="1810"/>
      <c r="LB227" s="1810"/>
      <c r="LC227" s="1810"/>
      <c r="LD227" s="1810"/>
      <c r="LE227" s="1810"/>
      <c r="LF227" s="1810"/>
      <c r="LG227" s="1810"/>
      <c r="LH227" s="432"/>
      <c r="LI227" s="432"/>
      <c r="LJ227" s="432"/>
      <c r="LK227" s="432"/>
      <c r="LL227" s="432"/>
      <c r="LM227" s="432"/>
      <c r="LN227" s="1811"/>
      <c r="LO227" s="432"/>
      <c r="LP227" s="432"/>
      <c r="LQ227" s="432"/>
      <c r="LR227" s="432"/>
      <c r="LS227" s="432"/>
      <c r="LT227" s="432"/>
      <c r="LU227" s="432"/>
      <c r="LV227" s="432"/>
      <c r="LW227" s="432"/>
      <c r="LX227" s="432"/>
      <c r="LY227" s="432"/>
      <c r="LZ227" s="432"/>
      <c r="MA227" s="432"/>
      <c r="MB227" s="432"/>
      <c r="MC227" s="432"/>
      <c r="MD227" s="1811"/>
      <c r="ME227" s="1811"/>
      <c r="MF227" s="432"/>
      <c r="MG227" s="432"/>
      <c r="MH227" s="432"/>
      <c r="MI227" s="432"/>
      <c r="MJ227" s="432"/>
      <c r="MK227" s="432"/>
      <c r="ML227" s="432"/>
      <c r="MM227" s="432"/>
      <c r="MN227" s="432"/>
      <c r="MO227" s="432"/>
      <c r="MP227" s="432"/>
      <c r="MQ227" s="432"/>
      <c r="MR227" s="432"/>
      <c r="MS227" s="432"/>
      <c r="MT227" s="432"/>
      <c r="MU227" s="432"/>
      <c r="MV227" s="93"/>
      <c r="MW227" s="93"/>
      <c r="MX227" s="93"/>
      <c r="MY227" s="93"/>
      <c r="MZ227" s="93"/>
      <c r="NA227" s="93"/>
      <c r="NB227" s="93"/>
      <c r="NC227" s="93"/>
      <c r="ND227" s="93"/>
      <c r="NE227" s="93"/>
      <c r="NF227" s="93"/>
      <c r="NG227" s="93"/>
      <c r="NH227" s="93"/>
      <c r="NI227" s="93"/>
      <c r="NJ227" s="93"/>
      <c r="NK227" s="93"/>
      <c r="NL227" s="93"/>
      <c r="NM227" s="93"/>
      <c r="NN227" s="93"/>
      <c r="NO227" s="93"/>
      <c r="NP227" s="2850"/>
      <c r="NQ227" s="93"/>
      <c r="NR227" s="93"/>
      <c r="NS227" s="93"/>
      <c r="NT227" s="93"/>
      <c r="NU227" s="93"/>
      <c r="NV227" s="93"/>
      <c r="NW227" s="93"/>
      <c r="NX227" s="93"/>
      <c r="NY227" s="93"/>
      <c r="NZ227" s="93"/>
      <c r="OA227" s="93"/>
      <c r="OB227" s="93"/>
      <c r="OC227" s="93"/>
      <c r="OD227" s="93"/>
      <c r="OE227" s="93"/>
      <c r="OF227" s="93"/>
      <c r="OG227" s="93"/>
      <c r="OH227" s="93"/>
      <c r="OI227" s="93"/>
      <c r="OJ227" s="93"/>
      <c r="OK227" s="93"/>
      <c r="OL227" s="93"/>
      <c r="OM227" s="93"/>
      <c r="ON227" s="93"/>
      <c r="OO227" s="93"/>
      <c r="OP227" s="93"/>
      <c r="OQ227" s="93"/>
      <c r="OR227" s="93"/>
      <c r="OS227" s="93"/>
      <c r="OT227" s="93"/>
      <c r="OU227" s="93"/>
      <c r="OV227" s="93"/>
      <c r="OW227" s="93"/>
      <c r="OX227" s="93"/>
      <c r="OY227" s="93"/>
      <c r="OZ227" s="93"/>
      <c r="PA227" s="93"/>
      <c r="PB227" s="93"/>
      <c r="PC227" s="93"/>
      <c r="PD227" s="93"/>
      <c r="PE227" s="93"/>
      <c r="PF227" s="93"/>
      <c r="PG227" s="93"/>
      <c r="PH227" s="93"/>
      <c r="PI227" s="93"/>
      <c r="PJ227" s="93"/>
      <c r="PK227" s="93"/>
      <c r="PL227" s="93"/>
      <c r="PM227" s="93"/>
      <c r="PN227" s="93"/>
      <c r="PO227" s="93"/>
      <c r="PP227" s="93"/>
      <c r="PQ227" s="93"/>
      <c r="PR227" s="93"/>
      <c r="PS227" s="93"/>
      <c r="PT227" s="93"/>
      <c r="PU227" s="93"/>
      <c r="PV227" s="93"/>
      <c r="PW227" s="93"/>
      <c r="PX227" s="93"/>
      <c r="PY227" s="93"/>
      <c r="PZ227" s="93"/>
      <c r="QA227" s="93"/>
      <c r="QB227" s="93"/>
      <c r="QC227" s="93"/>
      <c r="QD227" s="93"/>
      <c r="QE227" s="93"/>
      <c r="QF227" s="93"/>
      <c r="QG227" s="93"/>
      <c r="QH227" s="93"/>
      <c r="QI227" s="93"/>
      <c r="QJ227" s="93"/>
      <c r="QK227" s="93"/>
      <c r="QL227" s="93"/>
      <c r="QM227" s="93"/>
      <c r="QN227" s="93"/>
      <c r="QO227" s="93"/>
      <c r="QP227" s="93"/>
      <c r="QQ227" s="93"/>
      <c r="QR227" s="93"/>
      <c r="QS227" s="93"/>
      <c r="QT227" s="93"/>
      <c r="QU227" s="93"/>
      <c r="QV227" s="93"/>
      <c r="QW227" s="93"/>
      <c r="QX227" s="93"/>
      <c r="QY227" s="93"/>
      <c r="QZ227" s="93"/>
      <c r="RA227" s="93"/>
      <c r="RB227" s="93"/>
      <c r="RC227" s="93"/>
      <c r="RD227" s="93"/>
      <c r="RE227" s="93"/>
      <c r="RF227" s="93"/>
      <c r="RG227" s="93"/>
      <c r="RH227" s="93"/>
      <c r="RI227" s="93"/>
      <c r="RJ227" s="93"/>
      <c r="RK227" s="93"/>
      <c r="RL227" s="93"/>
      <c r="RM227" s="93"/>
      <c r="RN227" s="93"/>
      <c r="RO227" s="93"/>
      <c r="RP227" s="93"/>
      <c r="RQ227" s="93"/>
      <c r="RR227" s="93"/>
      <c r="RS227" s="93"/>
      <c r="RT227" s="93"/>
      <c r="RU227" s="93"/>
      <c r="RV227" s="93"/>
      <c r="RW227" s="93"/>
      <c r="RX227" s="93"/>
      <c r="RY227" s="93"/>
    </row>
    <row r="228" spans="1:493" s="90" customFormat="1" ht="15.6" customHeight="1" thickTop="1">
      <c r="A228" s="1"/>
      <c r="B228" s="1" t="s">
        <v>1324</v>
      </c>
      <c r="C228" s="1"/>
      <c r="D228" s="9"/>
      <c r="E228" s="1"/>
      <c r="F228" s="3880">
        <v>7000</v>
      </c>
      <c r="G228" s="3881"/>
      <c r="H228" s="1"/>
      <c r="I228" s="10"/>
      <c r="K228" s="11" t="s">
        <v>183</v>
      </c>
      <c r="L228" s="3859">
        <f>SUM(L224:L227)</f>
        <v>15800</v>
      </c>
      <c r="M228" s="3893"/>
      <c r="N228" s="3889"/>
      <c r="R228" s="1"/>
      <c r="S228" s="3833"/>
      <c r="T228" s="3834"/>
      <c r="U228" s="3834"/>
      <c r="V228" s="3834"/>
      <c r="W228" s="3835"/>
      <c r="X228" s="430"/>
      <c r="Y228" s="432"/>
      <c r="Z228" s="432"/>
      <c r="AA228" s="432"/>
      <c r="AB228" s="432"/>
      <c r="AC228" s="430"/>
      <c r="AD228" s="432"/>
      <c r="AE228" s="432"/>
      <c r="AF228" s="432"/>
      <c r="AG228" s="432"/>
      <c r="AH228" s="430"/>
      <c r="AI228" s="432"/>
      <c r="AJ228" s="432"/>
      <c r="AK228" s="432"/>
      <c r="AL228" s="432"/>
      <c r="AM228" s="430"/>
      <c r="AN228" s="432"/>
      <c r="AO228" s="432"/>
      <c r="AP228" s="432"/>
      <c r="AQ228" s="432"/>
      <c r="AR228" s="432"/>
      <c r="AS228" s="432"/>
      <c r="AT228" s="432"/>
      <c r="AU228" s="432"/>
      <c r="AV228" s="432"/>
      <c r="AW228" s="432"/>
      <c r="AX228" s="432"/>
      <c r="AY228" s="432"/>
      <c r="AZ228" s="432"/>
      <c r="BA228" s="432"/>
      <c r="BB228" s="432"/>
      <c r="BC228" s="432"/>
      <c r="BD228" s="432"/>
      <c r="BE228" s="432"/>
      <c r="BF228" s="432"/>
      <c r="BG228" s="432"/>
      <c r="BH228" s="432"/>
      <c r="BI228" s="432"/>
      <c r="BJ228" s="432"/>
      <c r="BK228" s="432"/>
      <c r="BL228" s="432"/>
      <c r="BM228" s="432"/>
      <c r="BN228" s="432"/>
      <c r="BO228" s="432"/>
      <c r="BP228" s="432"/>
      <c r="BQ228" s="432"/>
      <c r="BR228" s="432"/>
      <c r="BS228" s="432"/>
      <c r="BT228" s="432"/>
      <c r="BU228" s="432"/>
      <c r="BV228" s="432"/>
      <c r="BW228" s="432"/>
      <c r="BX228" s="432"/>
      <c r="BY228" s="432"/>
      <c r="BZ228" s="432"/>
      <c r="CA228" s="432"/>
      <c r="CB228" s="432"/>
      <c r="CC228" s="432"/>
      <c r="CD228" s="432"/>
      <c r="CE228" s="432"/>
      <c r="CF228" s="432"/>
      <c r="CG228" s="432"/>
      <c r="CH228" s="432"/>
      <c r="CI228" s="432"/>
      <c r="CJ228" s="432"/>
      <c r="CK228" s="432"/>
      <c r="CL228" s="432"/>
      <c r="CM228" s="432"/>
      <c r="CN228" s="432"/>
      <c r="CO228" s="432"/>
      <c r="CP228" s="432"/>
      <c r="CQ228" s="432"/>
      <c r="CR228" s="432"/>
      <c r="CS228" s="432"/>
      <c r="CT228" s="432"/>
      <c r="CU228" s="432"/>
      <c r="CV228" s="432"/>
      <c r="CW228" s="432"/>
      <c r="CX228" s="432"/>
      <c r="CY228" s="432"/>
      <c r="CZ228" s="432"/>
      <c r="DA228" s="432"/>
      <c r="DB228" s="432"/>
      <c r="DC228" s="432"/>
      <c r="DD228" s="432"/>
      <c r="DE228" s="432"/>
      <c r="DF228" s="432"/>
      <c r="DG228" s="432"/>
      <c r="DH228" s="432"/>
      <c r="DI228" s="432"/>
      <c r="DJ228" s="432"/>
      <c r="DK228" s="432"/>
      <c r="DL228" s="432"/>
      <c r="DM228" s="432"/>
      <c r="DN228" s="432"/>
      <c r="DO228" s="432"/>
      <c r="DP228" s="432"/>
      <c r="DQ228" s="432"/>
      <c r="DR228" s="432"/>
      <c r="DS228" s="432"/>
      <c r="DT228" s="432"/>
      <c r="DU228" s="432"/>
      <c r="DV228" s="432"/>
      <c r="DW228" s="432"/>
      <c r="DX228" s="432"/>
      <c r="DY228" s="432"/>
      <c r="DZ228" s="432"/>
      <c r="EA228" s="432"/>
      <c r="EB228" s="432"/>
      <c r="EC228" s="432"/>
      <c r="ED228" s="432"/>
      <c r="EE228" s="432"/>
      <c r="EF228" s="432"/>
      <c r="EG228" s="432"/>
      <c r="EH228" s="432"/>
      <c r="EI228" s="432"/>
      <c r="EJ228" s="432"/>
      <c r="EK228" s="432"/>
      <c r="EL228" s="432"/>
      <c r="EM228" s="432"/>
      <c r="EN228" s="432"/>
      <c r="EO228" s="432"/>
      <c r="EP228" s="432"/>
      <c r="EQ228" s="432"/>
      <c r="ER228" s="432"/>
      <c r="ES228" s="432"/>
      <c r="ET228" s="432"/>
      <c r="EU228" s="432"/>
      <c r="EV228" s="432"/>
      <c r="EW228" s="432"/>
      <c r="EX228" s="432"/>
      <c r="EY228" s="432"/>
      <c r="EZ228" s="432"/>
      <c r="FA228" s="432"/>
      <c r="FB228" s="432"/>
      <c r="FC228" s="432"/>
      <c r="FD228" s="432"/>
      <c r="FE228" s="432"/>
      <c r="FF228" s="432"/>
      <c r="FG228" s="432"/>
      <c r="FH228" s="432"/>
      <c r="FI228" s="432"/>
      <c r="FJ228" s="432"/>
      <c r="FK228" s="432"/>
      <c r="FL228" s="432"/>
      <c r="FM228" s="432"/>
      <c r="FN228" s="432"/>
      <c r="FO228" s="432"/>
      <c r="FP228" s="432"/>
      <c r="FQ228" s="432"/>
      <c r="FR228" s="432"/>
      <c r="FS228" s="432"/>
      <c r="FT228" s="432"/>
      <c r="FU228" s="432"/>
      <c r="FV228" s="432"/>
      <c r="FW228" s="432"/>
      <c r="FX228" s="432"/>
      <c r="FY228" s="432"/>
      <c r="FZ228" s="432"/>
      <c r="GA228" s="432"/>
      <c r="GB228" s="432"/>
      <c r="GC228" s="432"/>
      <c r="GD228" s="432"/>
      <c r="GE228" s="432"/>
      <c r="GF228" s="432"/>
      <c r="GG228" s="432"/>
      <c r="GH228" s="432"/>
      <c r="GI228" s="432"/>
      <c r="GJ228" s="432"/>
      <c r="GK228" s="432"/>
      <c r="GL228" s="432"/>
      <c r="GM228" s="432"/>
      <c r="GN228" s="432"/>
      <c r="GO228" s="432"/>
      <c r="GP228" s="432"/>
      <c r="GQ228" s="432"/>
      <c r="GR228" s="432"/>
      <c r="GS228" s="432"/>
      <c r="GT228" s="432"/>
      <c r="GU228" s="432"/>
      <c r="GV228" s="432"/>
      <c r="GW228" s="432"/>
      <c r="GX228" s="432"/>
      <c r="GY228" s="432"/>
      <c r="GZ228" s="432"/>
      <c r="HA228" s="432"/>
      <c r="HB228" s="432"/>
      <c r="HC228" s="432"/>
      <c r="HD228" s="432"/>
      <c r="HE228" s="432"/>
      <c r="HF228" s="432"/>
      <c r="HG228" s="432"/>
      <c r="HH228" s="432"/>
      <c r="HI228" s="432"/>
      <c r="HJ228" s="432"/>
      <c r="HK228" s="432"/>
      <c r="HL228" s="432"/>
      <c r="HM228" s="432"/>
      <c r="HN228" s="432"/>
      <c r="HO228" s="432"/>
      <c r="HP228" s="432"/>
      <c r="HQ228" s="432"/>
      <c r="HR228" s="432"/>
      <c r="HS228" s="432"/>
      <c r="HT228" s="432"/>
      <c r="HU228" s="432"/>
      <c r="HV228" s="432"/>
      <c r="HW228" s="432"/>
      <c r="HX228" s="432"/>
      <c r="HY228" s="432"/>
      <c r="HZ228" s="432"/>
      <c r="IA228" s="432"/>
      <c r="IB228" s="432"/>
      <c r="IC228" s="432"/>
      <c r="ID228" s="432"/>
      <c r="IE228" s="432"/>
      <c r="IF228" s="432"/>
      <c r="IG228" s="432"/>
      <c r="IH228" s="432"/>
      <c r="II228" s="432"/>
      <c r="IJ228" s="432"/>
      <c r="IK228" s="432"/>
      <c r="IL228" s="432"/>
      <c r="IM228" s="432"/>
      <c r="IN228" s="432"/>
      <c r="IO228" s="432"/>
      <c r="IP228" s="432"/>
      <c r="IQ228" s="432"/>
      <c r="IR228" s="432"/>
      <c r="IS228" s="432"/>
      <c r="IT228" s="432"/>
      <c r="IU228" s="432"/>
      <c r="IV228" s="432"/>
      <c r="IW228" s="432"/>
      <c r="IX228" s="432"/>
      <c r="IY228" s="432"/>
      <c r="IZ228" s="432"/>
      <c r="JA228" s="432"/>
      <c r="JB228" s="432"/>
      <c r="JC228" s="432"/>
      <c r="JD228" s="432"/>
      <c r="JE228" s="432"/>
      <c r="JF228" s="432"/>
      <c r="JG228" s="432"/>
      <c r="JH228" s="432"/>
      <c r="JI228" s="432"/>
      <c r="JJ228" s="432"/>
      <c r="JK228" s="432"/>
      <c r="JL228" s="432"/>
      <c r="JM228" s="432"/>
      <c r="JN228" s="432"/>
      <c r="JO228" s="432"/>
      <c r="JP228" s="432"/>
      <c r="JQ228" s="432"/>
      <c r="JR228" s="432"/>
      <c r="JS228" s="432"/>
      <c r="JT228" s="432"/>
      <c r="JU228" s="432"/>
      <c r="JV228" s="432"/>
      <c r="JW228" s="1810"/>
      <c r="JX228" s="432"/>
      <c r="JY228" s="432"/>
      <c r="JZ228" s="432"/>
      <c r="KA228" s="432"/>
      <c r="KB228" s="1810"/>
      <c r="KC228" s="432"/>
      <c r="KD228" s="432"/>
      <c r="KE228" s="432"/>
      <c r="KF228" s="432"/>
      <c r="KG228" s="1810"/>
      <c r="KH228" s="432"/>
      <c r="KI228" s="432"/>
      <c r="KJ228" s="432"/>
      <c r="KK228" s="432"/>
      <c r="KL228" s="1810"/>
      <c r="KM228" s="1810"/>
      <c r="KN228" s="1810"/>
      <c r="KO228" s="1810"/>
      <c r="KP228" s="1810"/>
      <c r="KQ228" s="1810"/>
      <c r="KR228" s="1810"/>
      <c r="KS228" s="1810"/>
      <c r="KT228" s="1810"/>
      <c r="KU228" s="1810"/>
      <c r="KV228" s="1810"/>
      <c r="KW228" s="1810"/>
      <c r="KX228" s="1810"/>
      <c r="KY228" s="1810"/>
      <c r="KZ228" s="1810"/>
      <c r="LA228" s="1810"/>
      <c r="LB228" s="1810"/>
      <c r="LC228" s="1810"/>
      <c r="LD228" s="1810"/>
      <c r="LE228" s="1810"/>
      <c r="LF228" s="1810"/>
      <c r="LG228" s="1810"/>
      <c r="LH228" s="432"/>
      <c r="LI228" s="432"/>
      <c r="LJ228" s="432"/>
      <c r="LK228" s="432"/>
      <c r="LL228" s="432"/>
      <c r="LM228" s="432"/>
      <c r="LN228" s="1811"/>
      <c r="LO228" s="432"/>
      <c r="LP228" s="432"/>
      <c r="LQ228" s="432"/>
      <c r="LR228" s="432"/>
      <c r="LS228" s="432"/>
      <c r="LT228" s="432"/>
      <c r="LU228" s="432"/>
      <c r="LV228" s="432"/>
      <c r="LW228" s="432"/>
      <c r="LX228" s="432"/>
      <c r="LY228" s="432"/>
      <c r="LZ228" s="432"/>
      <c r="MA228" s="432"/>
      <c r="MB228" s="432"/>
      <c r="MC228" s="432"/>
      <c r="MD228" s="1811"/>
      <c r="ME228" s="1811"/>
      <c r="MF228" s="432"/>
      <c r="MG228" s="432"/>
      <c r="MH228" s="432"/>
      <c r="MI228" s="432"/>
      <c r="MJ228" s="432"/>
      <c r="MK228" s="432"/>
      <c r="ML228" s="432"/>
      <c r="MM228" s="432"/>
      <c r="MN228" s="432"/>
      <c r="MO228" s="432"/>
      <c r="MP228" s="432"/>
      <c r="MQ228" s="432"/>
      <c r="MR228" s="432"/>
      <c r="MS228" s="432"/>
      <c r="MT228" s="432"/>
      <c r="MU228" s="432"/>
      <c r="MV228" s="93"/>
      <c r="MW228" s="93"/>
      <c r="MX228" s="93"/>
      <c r="MY228" s="93"/>
      <c r="MZ228" s="93"/>
      <c r="NA228" s="93"/>
      <c r="NB228" s="93"/>
      <c r="NC228" s="93"/>
      <c r="ND228" s="93"/>
      <c r="NE228" s="93"/>
      <c r="NF228" s="93"/>
      <c r="NG228" s="93"/>
      <c r="NH228" s="93"/>
      <c r="NI228" s="93"/>
      <c r="NJ228" s="93"/>
      <c r="NK228" s="93"/>
      <c r="NL228" s="93"/>
      <c r="NM228" s="93"/>
      <c r="NN228" s="93"/>
      <c r="NO228" s="93"/>
      <c r="NP228" s="2850"/>
      <c r="NQ228" s="93"/>
      <c r="NR228" s="93"/>
      <c r="NS228" s="93"/>
      <c r="NT228" s="93"/>
      <c r="NU228" s="93"/>
      <c r="NV228" s="93"/>
      <c r="NW228" s="93"/>
      <c r="NX228" s="93"/>
      <c r="NY228" s="93"/>
      <c r="NZ228" s="93"/>
      <c r="OA228" s="93"/>
      <c r="OB228" s="93"/>
      <c r="OC228" s="93"/>
      <c r="OD228" s="93"/>
      <c r="OE228" s="93"/>
      <c r="OF228" s="93"/>
      <c r="OG228" s="93"/>
      <c r="OH228" s="93"/>
      <c r="OI228" s="93"/>
      <c r="OJ228" s="93"/>
      <c r="OK228" s="93"/>
      <c r="OL228" s="93"/>
      <c r="OM228" s="93"/>
      <c r="ON228" s="93"/>
      <c r="OO228" s="93"/>
      <c r="OP228" s="93"/>
      <c r="OQ228" s="93"/>
      <c r="OR228" s="93"/>
      <c r="OS228" s="93"/>
      <c r="OT228" s="93"/>
      <c r="OU228" s="93"/>
      <c r="OV228" s="93"/>
      <c r="OW228" s="93"/>
      <c r="OX228" s="93"/>
      <c r="OY228" s="93"/>
      <c r="OZ228" s="93"/>
      <c r="PA228" s="93"/>
      <c r="PB228" s="93"/>
      <c r="PC228" s="93"/>
      <c r="PD228" s="93"/>
      <c r="PE228" s="93"/>
      <c r="PF228" s="93"/>
      <c r="PG228" s="93"/>
      <c r="PH228" s="93"/>
      <c r="PI228" s="93"/>
      <c r="PJ228" s="93"/>
      <c r="PK228" s="93"/>
      <c r="PL228" s="93"/>
      <c r="PM228" s="93"/>
      <c r="PN228" s="93"/>
      <c r="PO228" s="93"/>
      <c r="PP228" s="93"/>
      <c r="PQ228" s="93"/>
      <c r="PR228" s="93"/>
      <c r="PS228" s="93"/>
      <c r="PT228" s="93"/>
      <c r="PU228" s="93"/>
      <c r="PV228" s="93"/>
      <c r="PW228" s="93"/>
      <c r="PX228" s="93"/>
      <c r="PY228" s="93"/>
      <c r="PZ228" s="93"/>
      <c r="QA228" s="93"/>
      <c r="QB228" s="93"/>
      <c r="QC228" s="93"/>
      <c r="QD228" s="93"/>
      <c r="QE228" s="93"/>
      <c r="QF228" s="93"/>
      <c r="QG228" s="93"/>
      <c r="QH228" s="93"/>
      <c r="QI228" s="93"/>
      <c r="QJ228" s="93"/>
      <c r="QK228" s="93"/>
      <c r="QL228" s="93"/>
      <c r="QM228" s="93"/>
      <c r="QN228" s="93"/>
      <c r="QO228" s="93"/>
      <c r="QP228" s="93"/>
      <c r="QQ228" s="93"/>
      <c r="QR228" s="93"/>
      <c r="QS228" s="93"/>
      <c r="QT228" s="93"/>
      <c r="QU228" s="93"/>
      <c r="QV228" s="93"/>
      <c r="QW228" s="93"/>
      <c r="QX228" s="93"/>
      <c r="QY228" s="93"/>
      <c r="QZ228" s="93"/>
      <c r="RA228" s="93"/>
      <c r="RB228" s="93"/>
      <c r="RC228" s="93"/>
      <c r="RD228" s="93"/>
      <c r="RE228" s="93"/>
      <c r="RF228" s="93"/>
      <c r="RG228" s="93"/>
      <c r="RH228" s="93"/>
      <c r="RI228" s="93"/>
      <c r="RJ228" s="93"/>
      <c r="RK228" s="93"/>
      <c r="RL228" s="93"/>
      <c r="RM228" s="93"/>
      <c r="RN228" s="93"/>
      <c r="RO228" s="93"/>
      <c r="RP228" s="93"/>
      <c r="RQ228" s="93"/>
      <c r="RR228" s="93"/>
      <c r="RS228" s="93"/>
      <c r="RT228" s="93"/>
      <c r="RU228" s="93"/>
      <c r="RV228" s="93"/>
      <c r="RW228" s="93"/>
      <c r="RX228" s="93"/>
      <c r="RY228" s="93"/>
    </row>
    <row r="229" spans="1:493" s="90" customFormat="1" ht="15.6" customHeight="1">
      <c r="A229" s="1"/>
      <c r="B229" s="1" t="s">
        <v>1325</v>
      </c>
      <c r="C229" s="1"/>
      <c r="D229" s="9"/>
      <c r="E229" s="1"/>
      <c r="F229" s="3880">
        <v>1700</v>
      </c>
      <c r="G229" s="3881"/>
      <c r="H229" s="1"/>
      <c r="N229" s="1"/>
      <c r="R229" s="2665"/>
      <c r="S229" s="3833"/>
      <c r="T229" s="3834"/>
      <c r="U229" s="3834"/>
      <c r="V229" s="3834"/>
      <c r="W229" s="3835"/>
      <c r="X229" s="430"/>
      <c r="Y229" s="432"/>
      <c r="Z229" s="432"/>
      <c r="AA229" s="432"/>
      <c r="AB229" s="432"/>
      <c r="AC229" s="430"/>
      <c r="AD229" s="432"/>
      <c r="AE229" s="432"/>
      <c r="AF229" s="432"/>
      <c r="AG229" s="432"/>
      <c r="AH229" s="430"/>
      <c r="AI229" s="432"/>
      <c r="AJ229" s="432"/>
      <c r="AK229" s="432"/>
      <c r="AL229" s="432"/>
      <c r="AM229" s="430"/>
      <c r="AN229" s="432"/>
      <c r="AO229" s="432"/>
      <c r="AP229" s="432"/>
      <c r="AQ229" s="432"/>
      <c r="AR229" s="432"/>
      <c r="AS229" s="432"/>
      <c r="AT229" s="432"/>
      <c r="AU229" s="432"/>
      <c r="AV229" s="432"/>
      <c r="AW229" s="432"/>
      <c r="AX229" s="432"/>
      <c r="AY229" s="432"/>
      <c r="AZ229" s="432"/>
      <c r="BA229" s="432"/>
      <c r="BB229" s="432"/>
      <c r="BC229" s="432"/>
      <c r="BD229" s="432"/>
      <c r="BE229" s="432"/>
      <c r="BF229" s="432"/>
      <c r="BG229" s="432"/>
      <c r="BH229" s="432"/>
      <c r="BI229" s="432"/>
      <c r="BJ229" s="432"/>
      <c r="BK229" s="432"/>
      <c r="BL229" s="432"/>
      <c r="BM229" s="432"/>
      <c r="BN229" s="432"/>
      <c r="BO229" s="432"/>
      <c r="BP229" s="432"/>
      <c r="BQ229" s="432"/>
      <c r="BR229" s="432"/>
      <c r="BS229" s="432"/>
      <c r="BT229" s="432"/>
      <c r="BU229" s="432"/>
      <c r="BV229" s="432"/>
      <c r="BW229" s="432"/>
      <c r="BX229" s="432"/>
      <c r="BY229" s="432"/>
      <c r="BZ229" s="432"/>
      <c r="CA229" s="432"/>
      <c r="CB229" s="432"/>
      <c r="CC229" s="432"/>
      <c r="CD229" s="432"/>
      <c r="CE229" s="432"/>
      <c r="CF229" s="432"/>
      <c r="CG229" s="432"/>
      <c r="CH229" s="432"/>
      <c r="CI229" s="432"/>
      <c r="CJ229" s="432"/>
      <c r="CK229" s="432"/>
      <c r="CL229" s="432"/>
      <c r="CM229" s="432"/>
      <c r="CN229" s="432"/>
      <c r="CO229" s="432"/>
      <c r="CP229" s="432"/>
      <c r="CQ229" s="432"/>
      <c r="CR229" s="432"/>
      <c r="CS229" s="432"/>
      <c r="CT229" s="432"/>
      <c r="CU229" s="432"/>
      <c r="CV229" s="432"/>
      <c r="CW229" s="432"/>
      <c r="CX229" s="432"/>
      <c r="CY229" s="432"/>
      <c r="CZ229" s="432"/>
      <c r="DA229" s="432"/>
      <c r="DB229" s="432"/>
      <c r="DC229" s="432"/>
      <c r="DD229" s="432"/>
      <c r="DE229" s="432"/>
      <c r="DF229" s="432"/>
      <c r="DG229" s="432"/>
      <c r="DH229" s="432"/>
      <c r="DI229" s="432"/>
      <c r="DJ229" s="432"/>
      <c r="DK229" s="432"/>
      <c r="DL229" s="432"/>
      <c r="DM229" s="432"/>
      <c r="DN229" s="432"/>
      <c r="DO229" s="432"/>
      <c r="DP229" s="432"/>
      <c r="DQ229" s="432"/>
      <c r="DR229" s="432"/>
      <c r="DS229" s="432"/>
      <c r="DT229" s="432"/>
      <c r="DU229" s="432"/>
      <c r="DV229" s="432"/>
      <c r="DW229" s="432"/>
      <c r="DX229" s="432"/>
      <c r="DY229" s="432"/>
      <c r="DZ229" s="432"/>
      <c r="EA229" s="432"/>
      <c r="EB229" s="432"/>
      <c r="EC229" s="432"/>
      <c r="ED229" s="432"/>
      <c r="EE229" s="432"/>
      <c r="EF229" s="432"/>
      <c r="EG229" s="432"/>
      <c r="EH229" s="432"/>
      <c r="EI229" s="432"/>
      <c r="EJ229" s="432"/>
      <c r="EK229" s="432"/>
      <c r="EL229" s="432"/>
      <c r="EM229" s="432"/>
      <c r="EN229" s="432"/>
      <c r="EO229" s="432"/>
      <c r="EP229" s="432"/>
      <c r="EQ229" s="432"/>
      <c r="ER229" s="432"/>
      <c r="ES229" s="432"/>
      <c r="ET229" s="432"/>
      <c r="EU229" s="432"/>
      <c r="EV229" s="432"/>
      <c r="EW229" s="432"/>
      <c r="EX229" s="432"/>
      <c r="EY229" s="432"/>
      <c r="EZ229" s="432"/>
      <c r="FA229" s="432"/>
      <c r="FB229" s="432"/>
      <c r="FC229" s="432"/>
      <c r="FD229" s="432"/>
      <c r="FE229" s="432"/>
      <c r="FF229" s="432"/>
      <c r="FG229" s="432"/>
      <c r="FH229" s="432"/>
      <c r="FI229" s="432"/>
      <c r="FJ229" s="432"/>
      <c r="FK229" s="432"/>
      <c r="FL229" s="432"/>
      <c r="FM229" s="432"/>
      <c r="FN229" s="432"/>
      <c r="FO229" s="432"/>
      <c r="FP229" s="432"/>
      <c r="FQ229" s="432"/>
      <c r="FR229" s="432"/>
      <c r="FS229" s="432"/>
      <c r="FT229" s="432"/>
      <c r="FU229" s="432"/>
      <c r="FV229" s="432"/>
      <c r="FW229" s="432"/>
      <c r="FX229" s="432"/>
      <c r="FY229" s="432"/>
      <c r="FZ229" s="432"/>
      <c r="GA229" s="432"/>
      <c r="GB229" s="432"/>
      <c r="GC229" s="432"/>
      <c r="GD229" s="432"/>
      <c r="GE229" s="432"/>
      <c r="GF229" s="432"/>
      <c r="GG229" s="432"/>
      <c r="GH229" s="432"/>
      <c r="GI229" s="432"/>
      <c r="GJ229" s="432"/>
      <c r="GK229" s="432"/>
      <c r="GL229" s="432"/>
      <c r="GM229" s="432"/>
      <c r="GN229" s="432"/>
      <c r="GO229" s="432"/>
      <c r="GP229" s="432"/>
      <c r="GQ229" s="432"/>
      <c r="GR229" s="432"/>
      <c r="GS229" s="432"/>
      <c r="GT229" s="432"/>
      <c r="GU229" s="432"/>
      <c r="GV229" s="432"/>
      <c r="GW229" s="432"/>
      <c r="GX229" s="432"/>
      <c r="GY229" s="432"/>
      <c r="GZ229" s="432"/>
      <c r="HA229" s="432"/>
      <c r="HB229" s="432"/>
      <c r="HC229" s="432"/>
      <c r="HD229" s="432"/>
      <c r="HE229" s="432"/>
      <c r="HF229" s="432"/>
      <c r="HG229" s="432"/>
      <c r="HH229" s="432"/>
      <c r="HI229" s="432"/>
      <c r="HJ229" s="432"/>
      <c r="HK229" s="432"/>
      <c r="HL229" s="432"/>
      <c r="HM229" s="432"/>
      <c r="HN229" s="432"/>
      <c r="HO229" s="432"/>
      <c r="HP229" s="432"/>
      <c r="HQ229" s="432"/>
      <c r="HR229" s="432"/>
      <c r="HS229" s="432"/>
      <c r="HT229" s="432"/>
      <c r="HU229" s="432"/>
      <c r="HV229" s="432"/>
      <c r="HW229" s="432"/>
      <c r="HX229" s="432"/>
      <c r="HY229" s="432"/>
      <c r="HZ229" s="432"/>
      <c r="IA229" s="432"/>
      <c r="IB229" s="432"/>
      <c r="IC229" s="432"/>
      <c r="ID229" s="432"/>
      <c r="IE229" s="432"/>
      <c r="IF229" s="432"/>
      <c r="IG229" s="432"/>
      <c r="IH229" s="432"/>
      <c r="II229" s="432"/>
      <c r="IJ229" s="432"/>
      <c r="IK229" s="432"/>
      <c r="IL229" s="432"/>
      <c r="IM229" s="432"/>
      <c r="IN229" s="432"/>
      <c r="IO229" s="432"/>
      <c r="IP229" s="432"/>
      <c r="IQ229" s="432"/>
      <c r="IR229" s="432"/>
      <c r="IS229" s="432"/>
      <c r="IT229" s="432"/>
      <c r="IU229" s="432"/>
      <c r="IV229" s="432"/>
      <c r="IW229" s="432"/>
      <c r="IX229" s="432"/>
      <c r="IY229" s="432"/>
      <c r="IZ229" s="432"/>
      <c r="JA229" s="432"/>
      <c r="JB229" s="432"/>
      <c r="JC229" s="432"/>
      <c r="JD229" s="432"/>
      <c r="JE229" s="432"/>
      <c r="JF229" s="432"/>
      <c r="JG229" s="432"/>
      <c r="JH229" s="432"/>
      <c r="JI229" s="432"/>
      <c r="JJ229" s="432"/>
      <c r="JK229" s="432"/>
      <c r="JL229" s="432"/>
      <c r="JM229" s="432"/>
      <c r="JN229" s="432"/>
      <c r="JO229" s="432"/>
      <c r="JP229" s="432"/>
      <c r="JQ229" s="432"/>
      <c r="JR229" s="432"/>
      <c r="JS229" s="432"/>
      <c r="JT229" s="432"/>
      <c r="JU229" s="432"/>
      <c r="JV229" s="432"/>
      <c r="JW229" s="1810"/>
      <c r="JX229" s="432"/>
      <c r="JY229" s="432"/>
      <c r="JZ229" s="432"/>
      <c r="KA229" s="432"/>
      <c r="KB229" s="1810"/>
      <c r="KC229" s="432"/>
      <c r="KD229" s="432"/>
      <c r="KE229" s="432"/>
      <c r="KF229" s="432"/>
      <c r="KG229" s="1810"/>
      <c r="KH229" s="432"/>
      <c r="KI229" s="432"/>
      <c r="KJ229" s="432"/>
      <c r="KK229" s="432"/>
      <c r="KL229" s="1810"/>
      <c r="KM229" s="1810"/>
      <c r="KN229" s="1810"/>
      <c r="KO229" s="1810"/>
      <c r="KP229" s="1810"/>
      <c r="KQ229" s="1810"/>
      <c r="KR229" s="1810"/>
      <c r="KS229" s="1810"/>
      <c r="KT229" s="1810"/>
      <c r="KU229" s="1810"/>
      <c r="KV229" s="1810"/>
      <c r="KW229" s="1810"/>
      <c r="KX229" s="1810"/>
      <c r="KY229" s="1810"/>
      <c r="KZ229" s="1810"/>
      <c r="LA229" s="1810"/>
      <c r="LB229" s="1810"/>
      <c r="LC229" s="1810"/>
      <c r="LD229" s="1810"/>
      <c r="LE229" s="1810"/>
      <c r="LF229" s="1810"/>
      <c r="LG229" s="1810"/>
      <c r="LH229" s="432"/>
      <c r="LI229" s="432"/>
      <c r="LJ229" s="432"/>
      <c r="LK229" s="432"/>
      <c r="LL229" s="432"/>
      <c r="LM229" s="432"/>
      <c r="LN229" s="1811"/>
      <c r="LO229" s="432"/>
      <c r="LP229" s="432"/>
      <c r="LQ229" s="432"/>
      <c r="LR229" s="432"/>
      <c r="LS229" s="432"/>
      <c r="LT229" s="432"/>
      <c r="LU229" s="432"/>
      <c r="LV229" s="432"/>
      <c r="LW229" s="432"/>
      <c r="LX229" s="432"/>
      <c r="LY229" s="432"/>
      <c r="LZ229" s="432"/>
      <c r="MA229" s="432"/>
      <c r="MB229" s="432"/>
      <c r="MC229" s="432"/>
      <c r="MD229" s="1811"/>
      <c r="ME229" s="1811"/>
      <c r="MF229" s="432"/>
      <c r="MG229" s="432"/>
      <c r="MH229" s="432"/>
      <c r="MI229" s="432"/>
      <c r="MJ229" s="432"/>
      <c r="MK229" s="432"/>
      <c r="ML229" s="432"/>
      <c r="MM229" s="432"/>
      <c r="MN229" s="432"/>
      <c r="MO229" s="432"/>
      <c r="MP229" s="432"/>
      <c r="MQ229" s="432"/>
      <c r="MR229" s="432"/>
      <c r="MS229" s="432"/>
      <c r="MT229" s="432"/>
      <c r="MU229" s="432"/>
      <c r="MV229" s="93"/>
      <c r="MW229" s="93"/>
      <c r="MX229" s="93"/>
      <c r="MY229" s="93"/>
      <c r="MZ229" s="93"/>
      <c r="NA229" s="93"/>
      <c r="NB229" s="93"/>
      <c r="NC229" s="93"/>
      <c r="ND229" s="93"/>
      <c r="NE229" s="93"/>
      <c r="NF229" s="93"/>
      <c r="NG229" s="93"/>
      <c r="NH229" s="93"/>
      <c r="NI229" s="93"/>
      <c r="NJ229" s="93"/>
      <c r="NK229" s="93"/>
      <c r="NL229" s="93"/>
      <c r="NM229" s="93"/>
      <c r="NN229" s="93"/>
      <c r="NO229" s="93"/>
      <c r="NP229" s="2850"/>
      <c r="NQ229" s="93"/>
      <c r="NR229" s="93"/>
      <c r="NS229" s="93"/>
      <c r="NT229" s="93"/>
      <c r="NU229" s="93"/>
      <c r="NV229" s="93"/>
      <c r="NW229" s="93"/>
      <c r="NX229" s="93"/>
      <c r="NY229" s="93"/>
      <c r="NZ229" s="93"/>
      <c r="OA229" s="93"/>
      <c r="OB229" s="93"/>
      <c r="OC229" s="93"/>
      <c r="OD229" s="93"/>
      <c r="OE229" s="93"/>
      <c r="OF229" s="93"/>
      <c r="OG229" s="93"/>
      <c r="OH229" s="93"/>
      <c r="OI229" s="93"/>
      <c r="OJ229" s="93"/>
      <c r="OK229" s="93"/>
      <c r="OL229" s="93"/>
      <c r="OM229" s="93"/>
      <c r="ON229" s="93"/>
      <c r="OO229" s="93"/>
      <c r="OP229" s="93"/>
      <c r="OQ229" s="93"/>
      <c r="OR229" s="93"/>
      <c r="OS229" s="93"/>
      <c r="OT229" s="93"/>
      <c r="OU229" s="93"/>
      <c r="OV229" s="93"/>
      <c r="OW229" s="93"/>
      <c r="OX229" s="93"/>
      <c r="OY229" s="93"/>
      <c r="OZ229" s="93"/>
      <c r="PA229" s="93"/>
      <c r="PB229" s="93"/>
      <c r="PC229" s="93"/>
      <c r="PD229" s="93"/>
      <c r="PE229" s="93"/>
      <c r="PF229" s="93"/>
      <c r="PG229" s="93"/>
      <c r="PH229" s="93"/>
      <c r="PI229" s="93"/>
      <c r="PJ229" s="93"/>
      <c r="PK229" s="93"/>
      <c r="PL229" s="93"/>
      <c r="PM229" s="93"/>
      <c r="PN229" s="93"/>
      <c r="PO229" s="93"/>
      <c r="PP229" s="93"/>
      <c r="PQ229" s="93"/>
      <c r="PR229" s="93"/>
      <c r="PS229" s="93"/>
      <c r="PT229" s="93"/>
      <c r="PU229" s="93"/>
      <c r="PV229" s="93"/>
      <c r="PW229" s="93"/>
      <c r="PX229" s="93"/>
      <c r="PY229" s="93"/>
      <c r="PZ229" s="93"/>
      <c r="QA229" s="93"/>
      <c r="QB229" s="93"/>
      <c r="QC229" s="93"/>
      <c r="QD229" s="93"/>
      <c r="QE229" s="93"/>
      <c r="QF229" s="93"/>
      <c r="QG229" s="93"/>
      <c r="QH229" s="93"/>
      <c r="QI229" s="93"/>
      <c r="QJ229" s="93"/>
      <c r="QK229" s="93"/>
      <c r="QL229" s="93"/>
      <c r="QM229" s="93"/>
      <c r="QN229" s="93"/>
      <c r="QO229" s="93"/>
      <c r="QP229" s="93"/>
      <c r="QQ229" s="93"/>
      <c r="QR229" s="93"/>
      <c r="QS229" s="93"/>
      <c r="QT229" s="93"/>
      <c r="QU229" s="93"/>
      <c r="QV229" s="93"/>
      <c r="QW229" s="93"/>
      <c r="QX229" s="93"/>
      <c r="QY229" s="93"/>
      <c r="QZ229" s="93"/>
      <c r="RA229" s="93"/>
      <c r="RB229" s="93"/>
      <c r="RC229" s="93"/>
      <c r="RD229" s="93"/>
      <c r="RE229" s="93"/>
      <c r="RF229" s="93"/>
      <c r="RG229" s="93"/>
      <c r="RH229" s="93"/>
      <c r="RI229" s="93"/>
      <c r="RJ229" s="93"/>
      <c r="RK229" s="93"/>
      <c r="RL229" s="93"/>
      <c r="RM229" s="93"/>
      <c r="RN229" s="93"/>
      <c r="RO229" s="93"/>
      <c r="RP229" s="93"/>
      <c r="RQ229" s="93"/>
      <c r="RR229" s="93"/>
      <c r="RS229" s="93"/>
      <c r="RT229" s="93"/>
      <c r="RU229" s="93"/>
      <c r="RV229" s="93"/>
      <c r="RW229" s="93"/>
      <c r="RX229" s="93"/>
      <c r="RY229" s="93"/>
    </row>
    <row r="230" spans="1:493" s="90" customFormat="1" ht="15.6" customHeight="1" thickBot="1">
      <c r="A230" s="1"/>
      <c r="B230" s="1" t="s">
        <v>2236</v>
      </c>
      <c r="C230" s="1"/>
      <c r="D230" s="9"/>
      <c r="E230" s="1"/>
      <c r="F230" s="3880">
        <v>1500</v>
      </c>
      <c r="G230" s="3881"/>
      <c r="H230" s="1"/>
      <c r="L230" s="1"/>
      <c r="M230" s="1"/>
      <c r="N230" s="1"/>
      <c r="R230" s="2665"/>
      <c r="S230" s="3833"/>
      <c r="T230" s="3834"/>
      <c r="U230" s="3834"/>
      <c r="V230" s="3834"/>
      <c r="W230" s="3835"/>
      <c r="X230" s="430"/>
      <c r="Y230" s="432"/>
      <c r="Z230" s="432"/>
      <c r="AA230" s="432"/>
      <c r="AB230" s="432"/>
      <c r="AC230" s="430"/>
      <c r="AD230" s="432"/>
      <c r="AE230" s="432"/>
      <c r="AF230" s="432"/>
      <c r="AG230" s="432"/>
      <c r="AH230" s="430"/>
      <c r="AI230" s="432"/>
      <c r="AJ230" s="432"/>
      <c r="AK230" s="432"/>
      <c r="AL230" s="432"/>
      <c r="AM230" s="430"/>
      <c r="AN230" s="432"/>
      <c r="AO230" s="432"/>
      <c r="AP230" s="432"/>
      <c r="AQ230" s="432"/>
      <c r="AR230" s="432"/>
      <c r="AS230" s="432"/>
      <c r="AT230" s="432"/>
      <c r="AU230" s="432"/>
      <c r="AV230" s="432"/>
      <c r="AW230" s="432"/>
      <c r="AX230" s="432"/>
      <c r="AY230" s="432"/>
      <c r="AZ230" s="432"/>
      <c r="BA230" s="432"/>
      <c r="BB230" s="432"/>
      <c r="BC230" s="432"/>
      <c r="BD230" s="432"/>
      <c r="BE230" s="432"/>
      <c r="BF230" s="432"/>
      <c r="BG230" s="432"/>
      <c r="BH230" s="432"/>
      <c r="BI230" s="432"/>
      <c r="BJ230" s="432"/>
      <c r="BK230" s="432"/>
      <c r="BL230" s="432"/>
      <c r="BM230" s="432"/>
      <c r="BN230" s="432"/>
      <c r="BO230" s="432"/>
      <c r="BP230" s="432"/>
      <c r="BQ230" s="432"/>
      <c r="BR230" s="432"/>
      <c r="BS230" s="432"/>
      <c r="BT230" s="432"/>
      <c r="BU230" s="432"/>
      <c r="BV230" s="432"/>
      <c r="BW230" s="432"/>
      <c r="BX230" s="432"/>
      <c r="BY230" s="432"/>
      <c r="BZ230" s="432"/>
      <c r="CA230" s="432"/>
      <c r="CB230" s="432"/>
      <c r="CC230" s="432"/>
      <c r="CD230" s="432"/>
      <c r="CE230" s="432"/>
      <c r="CF230" s="432"/>
      <c r="CG230" s="432"/>
      <c r="CH230" s="432"/>
      <c r="CI230" s="432"/>
      <c r="CJ230" s="432"/>
      <c r="CK230" s="432"/>
      <c r="CL230" s="432"/>
      <c r="CM230" s="432"/>
      <c r="CN230" s="432"/>
      <c r="CO230" s="432"/>
      <c r="CP230" s="432"/>
      <c r="CQ230" s="432"/>
      <c r="CR230" s="432"/>
      <c r="CS230" s="432"/>
      <c r="CT230" s="432"/>
      <c r="CU230" s="432"/>
      <c r="CV230" s="432"/>
      <c r="CW230" s="432"/>
      <c r="CX230" s="432"/>
      <c r="CY230" s="432"/>
      <c r="CZ230" s="432"/>
      <c r="DA230" s="432"/>
      <c r="DB230" s="432"/>
      <c r="DC230" s="432"/>
      <c r="DD230" s="432"/>
      <c r="DE230" s="432"/>
      <c r="DF230" s="432"/>
      <c r="DG230" s="432"/>
      <c r="DH230" s="432"/>
      <c r="DI230" s="432"/>
      <c r="DJ230" s="432"/>
      <c r="DK230" s="432"/>
      <c r="DL230" s="432"/>
      <c r="DM230" s="432"/>
      <c r="DN230" s="432"/>
      <c r="DO230" s="432"/>
      <c r="DP230" s="432"/>
      <c r="DQ230" s="432"/>
      <c r="DR230" s="432"/>
      <c r="DS230" s="432"/>
      <c r="DT230" s="432"/>
      <c r="DU230" s="432"/>
      <c r="DV230" s="432"/>
      <c r="DW230" s="432"/>
      <c r="DX230" s="432"/>
      <c r="DY230" s="432"/>
      <c r="DZ230" s="432"/>
      <c r="EA230" s="432"/>
      <c r="EB230" s="432"/>
      <c r="EC230" s="432"/>
      <c r="ED230" s="432"/>
      <c r="EE230" s="432"/>
      <c r="EF230" s="432"/>
      <c r="EG230" s="432"/>
      <c r="EH230" s="432"/>
      <c r="EI230" s="432"/>
      <c r="EJ230" s="432"/>
      <c r="EK230" s="432"/>
      <c r="EL230" s="432"/>
      <c r="EM230" s="432"/>
      <c r="EN230" s="432"/>
      <c r="EO230" s="432"/>
      <c r="EP230" s="432"/>
      <c r="EQ230" s="432"/>
      <c r="ER230" s="432"/>
      <c r="ES230" s="432"/>
      <c r="ET230" s="432"/>
      <c r="EU230" s="432"/>
      <c r="EV230" s="432"/>
      <c r="EW230" s="432"/>
      <c r="EX230" s="432"/>
      <c r="EY230" s="432"/>
      <c r="EZ230" s="432"/>
      <c r="FA230" s="432"/>
      <c r="FB230" s="432"/>
      <c r="FC230" s="432"/>
      <c r="FD230" s="432"/>
      <c r="FE230" s="432"/>
      <c r="FF230" s="432"/>
      <c r="FG230" s="432"/>
      <c r="FH230" s="432"/>
      <c r="FI230" s="432"/>
      <c r="FJ230" s="432"/>
      <c r="FK230" s="432"/>
      <c r="FL230" s="432"/>
      <c r="FM230" s="432"/>
      <c r="FN230" s="432"/>
      <c r="FO230" s="432"/>
      <c r="FP230" s="432"/>
      <c r="FQ230" s="432"/>
      <c r="FR230" s="432"/>
      <c r="FS230" s="432"/>
      <c r="FT230" s="432"/>
      <c r="FU230" s="432"/>
      <c r="FV230" s="432"/>
      <c r="FW230" s="432"/>
      <c r="FX230" s="432"/>
      <c r="FY230" s="432"/>
      <c r="FZ230" s="432"/>
      <c r="GA230" s="432"/>
      <c r="GB230" s="432"/>
      <c r="GC230" s="432"/>
      <c r="GD230" s="432"/>
      <c r="GE230" s="432"/>
      <c r="GF230" s="432"/>
      <c r="GG230" s="432"/>
      <c r="GH230" s="432"/>
      <c r="GI230" s="432"/>
      <c r="GJ230" s="432"/>
      <c r="GK230" s="432"/>
      <c r="GL230" s="432"/>
      <c r="GM230" s="432"/>
      <c r="GN230" s="432"/>
      <c r="GO230" s="432"/>
      <c r="GP230" s="432"/>
      <c r="GQ230" s="432"/>
      <c r="GR230" s="432"/>
      <c r="GS230" s="432"/>
      <c r="GT230" s="432"/>
      <c r="GU230" s="432"/>
      <c r="GV230" s="432"/>
      <c r="GW230" s="432"/>
      <c r="GX230" s="432"/>
      <c r="GY230" s="432"/>
      <c r="GZ230" s="432"/>
      <c r="HA230" s="432"/>
      <c r="HB230" s="432"/>
      <c r="HC230" s="432"/>
      <c r="HD230" s="432"/>
      <c r="HE230" s="432"/>
      <c r="HF230" s="432"/>
      <c r="HG230" s="432"/>
      <c r="HH230" s="432"/>
      <c r="HI230" s="432"/>
      <c r="HJ230" s="432"/>
      <c r="HK230" s="432"/>
      <c r="HL230" s="432"/>
      <c r="HM230" s="432"/>
      <c r="HN230" s="432"/>
      <c r="HO230" s="432"/>
      <c r="HP230" s="432"/>
      <c r="HQ230" s="432"/>
      <c r="HR230" s="432"/>
      <c r="HS230" s="432"/>
      <c r="HT230" s="432"/>
      <c r="HU230" s="432"/>
      <c r="HV230" s="432"/>
      <c r="HW230" s="432"/>
      <c r="HX230" s="432"/>
      <c r="HY230" s="432"/>
      <c r="HZ230" s="432"/>
      <c r="IA230" s="432"/>
      <c r="IB230" s="432"/>
      <c r="IC230" s="432"/>
      <c r="ID230" s="432"/>
      <c r="IE230" s="432"/>
      <c r="IF230" s="432"/>
      <c r="IG230" s="432"/>
      <c r="IH230" s="432"/>
      <c r="II230" s="432"/>
      <c r="IJ230" s="432"/>
      <c r="IK230" s="432"/>
      <c r="IL230" s="432"/>
      <c r="IM230" s="432"/>
      <c r="IN230" s="432"/>
      <c r="IO230" s="432"/>
      <c r="IP230" s="432"/>
      <c r="IQ230" s="432"/>
      <c r="IR230" s="432"/>
      <c r="IS230" s="432"/>
      <c r="IT230" s="432"/>
      <c r="IU230" s="432"/>
      <c r="IV230" s="432"/>
      <c r="IW230" s="432"/>
      <c r="IX230" s="432"/>
      <c r="IY230" s="432"/>
      <c r="IZ230" s="432"/>
      <c r="JA230" s="432"/>
      <c r="JB230" s="432"/>
      <c r="JC230" s="432"/>
      <c r="JD230" s="432"/>
      <c r="JE230" s="432"/>
      <c r="JF230" s="432"/>
      <c r="JG230" s="432"/>
      <c r="JH230" s="432"/>
      <c r="JI230" s="432"/>
      <c r="JJ230" s="432"/>
      <c r="JK230" s="432"/>
      <c r="JL230" s="432"/>
      <c r="JM230" s="432"/>
      <c r="JN230" s="432"/>
      <c r="JO230" s="432"/>
      <c r="JP230" s="432"/>
      <c r="JQ230" s="432"/>
      <c r="JR230" s="432"/>
      <c r="JS230" s="432"/>
      <c r="JT230" s="432"/>
      <c r="JU230" s="432"/>
      <c r="JV230" s="432"/>
      <c r="JW230" s="1810"/>
      <c r="JX230" s="432"/>
      <c r="JY230" s="432"/>
      <c r="JZ230" s="432"/>
      <c r="KA230" s="432"/>
      <c r="KB230" s="1810"/>
      <c r="KC230" s="432"/>
      <c r="KD230" s="432"/>
      <c r="KE230" s="432"/>
      <c r="KF230" s="432"/>
      <c r="KG230" s="1810"/>
      <c r="KH230" s="432"/>
      <c r="KI230" s="432"/>
      <c r="KJ230" s="432"/>
      <c r="KK230" s="432"/>
      <c r="KL230" s="1810"/>
      <c r="KM230" s="1810"/>
      <c r="KN230" s="1810"/>
      <c r="KO230" s="1810"/>
      <c r="KP230" s="1810"/>
      <c r="KQ230" s="1810"/>
      <c r="KR230" s="1810"/>
      <c r="KS230" s="1810"/>
      <c r="KT230" s="1810"/>
      <c r="KU230" s="1810"/>
      <c r="KV230" s="1810"/>
      <c r="KW230" s="1810"/>
      <c r="KX230" s="1810"/>
      <c r="KY230" s="1810"/>
      <c r="KZ230" s="1810"/>
      <c r="LA230" s="1810"/>
      <c r="LB230" s="1810"/>
      <c r="LC230" s="1810"/>
      <c r="LD230" s="1810"/>
      <c r="LE230" s="1810"/>
      <c r="LF230" s="1810"/>
      <c r="LG230" s="1810"/>
      <c r="LH230" s="432"/>
      <c r="LI230" s="432"/>
      <c r="LJ230" s="432"/>
      <c r="LK230" s="432"/>
      <c r="LL230" s="432"/>
      <c r="LM230" s="432"/>
      <c r="LN230" s="1811"/>
      <c r="LO230" s="432"/>
      <c r="LP230" s="432"/>
      <c r="LQ230" s="432"/>
      <c r="LR230" s="432"/>
      <c r="LS230" s="432"/>
      <c r="LT230" s="432"/>
      <c r="LU230" s="432"/>
      <c r="LV230" s="432"/>
      <c r="LW230" s="432"/>
      <c r="LX230" s="432"/>
      <c r="LY230" s="432"/>
      <c r="LZ230" s="432"/>
      <c r="MA230" s="432"/>
      <c r="MB230" s="432"/>
      <c r="MC230" s="432"/>
      <c r="MD230" s="1811"/>
      <c r="ME230" s="1811"/>
      <c r="MF230" s="432"/>
      <c r="MG230" s="432"/>
      <c r="MH230" s="432"/>
      <c r="MI230" s="432"/>
      <c r="MJ230" s="432"/>
      <c r="MK230" s="432"/>
      <c r="ML230" s="432"/>
      <c r="MM230" s="432"/>
      <c r="MN230" s="432"/>
      <c r="MO230" s="432"/>
      <c r="MP230" s="432"/>
      <c r="MQ230" s="432"/>
      <c r="MR230" s="432"/>
      <c r="MS230" s="432"/>
      <c r="MT230" s="432"/>
      <c r="MU230" s="432"/>
      <c r="MV230" s="93"/>
      <c r="MW230" s="93"/>
      <c r="MX230" s="93"/>
      <c r="MY230" s="93"/>
      <c r="MZ230" s="93"/>
      <c r="NA230" s="93"/>
      <c r="NB230" s="93"/>
      <c r="NC230" s="93"/>
      <c r="ND230" s="93"/>
      <c r="NE230" s="93"/>
      <c r="NF230" s="93"/>
      <c r="NG230" s="93"/>
      <c r="NH230" s="93"/>
      <c r="NI230" s="93"/>
      <c r="NJ230" s="93"/>
      <c r="NK230" s="93"/>
      <c r="NL230" s="93"/>
      <c r="NM230" s="93"/>
      <c r="NN230" s="93"/>
      <c r="NO230" s="93"/>
      <c r="NP230" s="2850" t="s">
        <v>6758</v>
      </c>
      <c r="NQ230" s="93"/>
      <c r="NR230" s="93"/>
      <c r="NS230" s="93"/>
      <c r="NT230" s="93"/>
      <c r="NU230" s="93"/>
      <c r="NV230" s="93"/>
      <c r="NW230" s="93"/>
      <c r="NX230" s="93"/>
      <c r="NY230" s="93"/>
      <c r="NZ230" s="93"/>
      <c r="OA230" s="93"/>
      <c r="OB230" s="93"/>
      <c r="OC230" s="93"/>
      <c r="OD230" s="93"/>
      <c r="OE230" s="93"/>
      <c r="OF230" s="93"/>
      <c r="OG230" s="93"/>
      <c r="OH230" s="93"/>
      <c r="OI230" s="93"/>
      <c r="OJ230" s="93"/>
      <c r="OK230" s="93"/>
      <c r="OL230" s="93"/>
      <c r="OM230" s="93"/>
      <c r="ON230" s="93"/>
      <c r="OO230" s="93"/>
      <c r="OP230" s="93"/>
      <c r="OQ230" s="93"/>
      <c r="OR230" s="93"/>
      <c r="OS230" s="93"/>
      <c r="OT230" s="93"/>
      <c r="OU230" s="93"/>
      <c r="OV230" s="93"/>
      <c r="OW230" s="93"/>
      <c r="OX230" s="93"/>
      <c r="OY230" s="93"/>
      <c r="OZ230" s="93"/>
      <c r="PA230" s="93"/>
      <c r="PB230" s="93"/>
      <c r="PC230" s="93"/>
      <c r="PD230" s="93"/>
      <c r="PE230" s="93"/>
      <c r="PF230" s="93"/>
      <c r="PG230" s="93"/>
      <c r="PH230" s="93"/>
      <c r="PI230" s="93"/>
      <c r="PJ230" s="93"/>
      <c r="PK230" s="93"/>
      <c r="PL230" s="93"/>
      <c r="PM230" s="93"/>
      <c r="PN230" s="93"/>
      <c r="PO230" s="93"/>
      <c r="PP230" s="93"/>
      <c r="PQ230" s="93"/>
      <c r="PR230" s="93"/>
      <c r="PS230" s="93"/>
      <c r="PT230" s="93"/>
      <c r="PU230" s="93"/>
      <c r="PV230" s="93"/>
      <c r="PW230" s="93"/>
      <c r="PX230" s="93"/>
      <c r="PY230" s="93"/>
      <c r="PZ230" s="93"/>
      <c r="QA230" s="93"/>
      <c r="QB230" s="93"/>
      <c r="QC230" s="93"/>
      <c r="QD230" s="93"/>
      <c r="QE230" s="93"/>
      <c r="QF230" s="93"/>
      <c r="QG230" s="93"/>
      <c r="QH230" s="93"/>
      <c r="QI230" s="93"/>
      <c r="QJ230" s="93"/>
      <c r="QK230" s="93"/>
      <c r="QL230" s="93"/>
      <c r="QM230" s="93"/>
      <c r="QN230" s="93"/>
      <c r="QO230" s="93"/>
      <c r="QP230" s="93"/>
      <c r="QQ230" s="93"/>
      <c r="QR230" s="93"/>
      <c r="QS230" s="93"/>
      <c r="QT230" s="93"/>
      <c r="QU230" s="93"/>
      <c r="QV230" s="93"/>
      <c r="QW230" s="93"/>
      <c r="QX230" s="93"/>
      <c r="QY230" s="93"/>
      <c r="QZ230" s="93"/>
      <c r="RA230" s="93"/>
      <c r="RB230" s="93"/>
      <c r="RC230" s="93"/>
      <c r="RD230" s="93"/>
      <c r="RE230" s="93"/>
      <c r="RF230" s="93"/>
      <c r="RG230" s="93"/>
      <c r="RH230" s="93"/>
      <c r="RI230" s="93"/>
      <c r="RJ230" s="93"/>
      <c r="RK230" s="93"/>
      <c r="RL230" s="93"/>
      <c r="RM230" s="93"/>
      <c r="RN230" s="93"/>
      <c r="RO230" s="93"/>
      <c r="RP230" s="93"/>
      <c r="RQ230" s="93"/>
      <c r="RR230" s="93"/>
      <c r="RS230" s="93"/>
      <c r="RT230" s="93"/>
      <c r="RU230" s="93"/>
      <c r="RV230" s="93"/>
      <c r="RW230" s="93"/>
      <c r="RX230" s="93"/>
      <c r="RY230" s="93"/>
    </row>
    <row r="231" spans="1:493" s="90" customFormat="1" ht="15.6" customHeight="1" thickBot="1">
      <c r="A231" s="1"/>
      <c r="B231" s="1" t="s">
        <v>1534</v>
      </c>
      <c r="C231" s="1"/>
      <c r="D231" s="9"/>
      <c r="E231" s="1"/>
      <c r="F231" s="3880">
        <f>10000+1500</f>
        <v>11500</v>
      </c>
      <c r="G231" s="3881"/>
      <c r="H231" s="1"/>
      <c r="I231" s="10" t="s">
        <v>1326</v>
      </c>
      <c r="K231" s="2623" t="s">
        <v>4064</v>
      </c>
      <c r="O231" s="1395" t="s">
        <v>3205</v>
      </c>
      <c r="P231" s="10"/>
      <c r="Q231" s="2932">
        <f>Q240</f>
        <v>18000</v>
      </c>
      <c r="S231" s="3833"/>
      <c r="T231" s="3834"/>
      <c r="U231" s="3834"/>
      <c r="V231" s="3834"/>
      <c r="W231" s="3835"/>
      <c r="X231" s="430"/>
      <c r="Y231" s="432"/>
      <c r="Z231" s="432"/>
      <c r="AA231" s="432"/>
      <c r="AB231" s="432"/>
      <c r="AC231" s="430"/>
      <c r="AD231" s="432"/>
      <c r="AE231" s="432"/>
      <c r="AF231" s="432"/>
      <c r="AG231" s="432"/>
      <c r="AH231" s="430"/>
      <c r="AI231" s="432"/>
      <c r="AJ231" s="432"/>
      <c r="AK231" s="432"/>
      <c r="AL231" s="432"/>
      <c r="AM231" s="430"/>
      <c r="AN231" s="432"/>
      <c r="AO231" s="432"/>
      <c r="AP231" s="432"/>
      <c r="AQ231" s="432"/>
      <c r="AR231" s="432"/>
      <c r="AS231" s="432"/>
      <c r="AT231" s="432"/>
      <c r="AU231" s="432"/>
      <c r="AV231" s="432"/>
      <c r="AW231" s="432"/>
      <c r="AX231" s="432"/>
      <c r="AY231" s="432"/>
      <c r="AZ231" s="432"/>
      <c r="BA231" s="432"/>
      <c r="BB231" s="432"/>
      <c r="BC231" s="432"/>
      <c r="BD231" s="432"/>
      <c r="BE231" s="432"/>
      <c r="BF231" s="432"/>
      <c r="BG231" s="432"/>
      <c r="BH231" s="432"/>
      <c r="BI231" s="432"/>
      <c r="BJ231" s="432"/>
      <c r="BK231" s="432"/>
      <c r="BL231" s="432"/>
      <c r="BM231" s="432"/>
      <c r="BN231" s="432"/>
      <c r="BO231" s="432"/>
      <c r="BP231" s="432"/>
      <c r="BQ231" s="432"/>
      <c r="BR231" s="432"/>
      <c r="BS231" s="432"/>
      <c r="BT231" s="432"/>
      <c r="BU231" s="432"/>
      <c r="BV231" s="432"/>
      <c r="BW231" s="432"/>
      <c r="BX231" s="432"/>
      <c r="BY231" s="432"/>
      <c r="BZ231" s="432"/>
      <c r="CA231" s="432"/>
      <c r="CB231" s="432"/>
      <c r="CC231" s="432"/>
      <c r="CD231" s="432"/>
      <c r="CE231" s="432"/>
      <c r="CF231" s="432"/>
      <c r="CG231" s="432"/>
      <c r="CH231" s="432"/>
      <c r="CI231" s="432"/>
      <c r="CJ231" s="432"/>
      <c r="CK231" s="432"/>
      <c r="CL231" s="432"/>
      <c r="CM231" s="432"/>
      <c r="CN231" s="432"/>
      <c r="CO231" s="432"/>
      <c r="CP231" s="432"/>
      <c r="CQ231" s="432"/>
      <c r="CR231" s="432"/>
      <c r="CS231" s="432"/>
      <c r="CT231" s="432"/>
      <c r="CU231" s="432"/>
      <c r="CV231" s="432"/>
      <c r="CW231" s="432"/>
      <c r="CX231" s="432"/>
      <c r="CY231" s="432"/>
      <c r="CZ231" s="432"/>
      <c r="DA231" s="432"/>
      <c r="DB231" s="432"/>
      <c r="DC231" s="432"/>
      <c r="DD231" s="432"/>
      <c r="DE231" s="432"/>
      <c r="DF231" s="432"/>
      <c r="DG231" s="432"/>
      <c r="DH231" s="432"/>
      <c r="DI231" s="432"/>
      <c r="DJ231" s="432"/>
      <c r="DK231" s="432"/>
      <c r="DL231" s="432"/>
      <c r="DM231" s="432"/>
      <c r="DN231" s="432"/>
      <c r="DO231" s="432"/>
      <c r="DP231" s="432"/>
      <c r="DQ231" s="432"/>
      <c r="DR231" s="432"/>
      <c r="DS231" s="432"/>
      <c r="DT231" s="432"/>
      <c r="DU231" s="432"/>
      <c r="DV231" s="432"/>
      <c r="DW231" s="432"/>
      <c r="DX231" s="432"/>
      <c r="DY231" s="432"/>
      <c r="DZ231" s="432"/>
      <c r="EA231" s="432"/>
      <c r="EB231" s="432"/>
      <c r="EC231" s="432"/>
      <c r="ED231" s="432"/>
      <c r="EE231" s="432"/>
      <c r="EF231" s="432"/>
      <c r="EG231" s="432"/>
      <c r="EH231" s="432"/>
      <c r="EI231" s="432"/>
      <c r="EJ231" s="432"/>
      <c r="EK231" s="432"/>
      <c r="EL231" s="432"/>
      <c r="EM231" s="432"/>
      <c r="EN231" s="432"/>
      <c r="EO231" s="432"/>
      <c r="EP231" s="432"/>
      <c r="EQ231" s="432"/>
      <c r="ER231" s="432"/>
      <c r="ES231" s="432"/>
      <c r="ET231" s="432"/>
      <c r="EU231" s="432"/>
      <c r="EV231" s="432"/>
      <c r="EW231" s="432"/>
      <c r="EX231" s="432"/>
      <c r="EY231" s="432"/>
      <c r="EZ231" s="432"/>
      <c r="FA231" s="432"/>
      <c r="FB231" s="432"/>
      <c r="FC231" s="432"/>
      <c r="FD231" s="432"/>
      <c r="FE231" s="432"/>
      <c r="FF231" s="432"/>
      <c r="FG231" s="432"/>
      <c r="FH231" s="432"/>
      <c r="FI231" s="432"/>
      <c r="FJ231" s="432"/>
      <c r="FK231" s="432"/>
      <c r="FL231" s="432"/>
      <c r="FM231" s="432"/>
      <c r="FN231" s="432"/>
      <c r="FO231" s="432"/>
      <c r="FP231" s="432"/>
      <c r="FQ231" s="432"/>
      <c r="FR231" s="432"/>
      <c r="FS231" s="432"/>
      <c r="FT231" s="432"/>
      <c r="FU231" s="432"/>
      <c r="FV231" s="432"/>
      <c r="FW231" s="432"/>
      <c r="FX231" s="432"/>
      <c r="FY231" s="432"/>
      <c r="FZ231" s="432"/>
      <c r="GA231" s="432"/>
      <c r="GB231" s="432"/>
      <c r="GC231" s="432"/>
      <c r="GD231" s="432"/>
      <c r="GE231" s="432"/>
      <c r="GF231" s="432"/>
      <c r="GG231" s="432"/>
      <c r="GH231" s="432"/>
      <c r="GI231" s="432"/>
      <c r="GJ231" s="432"/>
      <c r="GK231" s="432"/>
      <c r="GL231" s="432"/>
      <c r="GM231" s="432"/>
      <c r="GN231" s="432"/>
      <c r="GO231" s="432"/>
      <c r="GP231" s="432"/>
      <c r="GQ231" s="432"/>
      <c r="GR231" s="432"/>
      <c r="GS231" s="432"/>
      <c r="GT231" s="432"/>
      <c r="GU231" s="432"/>
      <c r="GV231" s="432"/>
      <c r="GW231" s="432"/>
      <c r="GX231" s="432"/>
      <c r="GY231" s="432"/>
      <c r="GZ231" s="432"/>
      <c r="HA231" s="432"/>
      <c r="HB231" s="432"/>
      <c r="HC231" s="432"/>
      <c r="HD231" s="432"/>
      <c r="HE231" s="432"/>
      <c r="HF231" s="432"/>
      <c r="HG231" s="432"/>
      <c r="HH231" s="432"/>
      <c r="HI231" s="432"/>
      <c r="HJ231" s="432"/>
      <c r="HK231" s="432"/>
      <c r="HL231" s="432"/>
      <c r="HM231" s="432"/>
      <c r="HN231" s="432"/>
      <c r="HO231" s="432"/>
      <c r="HP231" s="432"/>
      <c r="HQ231" s="432"/>
      <c r="HR231" s="432"/>
      <c r="HS231" s="432"/>
      <c r="HT231" s="432"/>
      <c r="HU231" s="432"/>
      <c r="HV231" s="432"/>
      <c r="HW231" s="432"/>
      <c r="HX231" s="432"/>
      <c r="HY231" s="432"/>
      <c r="HZ231" s="432"/>
      <c r="IA231" s="432"/>
      <c r="IB231" s="432"/>
      <c r="IC231" s="432"/>
      <c r="ID231" s="432"/>
      <c r="IE231" s="432"/>
      <c r="IF231" s="432"/>
      <c r="IG231" s="432"/>
      <c r="IH231" s="432"/>
      <c r="II231" s="432"/>
      <c r="IJ231" s="432"/>
      <c r="IK231" s="432"/>
      <c r="IL231" s="432"/>
      <c r="IM231" s="432"/>
      <c r="IN231" s="432"/>
      <c r="IO231" s="432"/>
      <c r="IP231" s="432"/>
      <c r="IQ231" s="432"/>
      <c r="IR231" s="432"/>
      <c r="IS231" s="432"/>
      <c r="IT231" s="432"/>
      <c r="IU231" s="432"/>
      <c r="IV231" s="432"/>
      <c r="IW231" s="432"/>
      <c r="IX231" s="432"/>
      <c r="IY231" s="432"/>
      <c r="IZ231" s="432"/>
      <c r="JA231" s="432"/>
      <c r="JB231" s="432"/>
      <c r="JC231" s="432"/>
      <c r="JD231" s="432"/>
      <c r="JE231" s="432"/>
      <c r="JF231" s="432"/>
      <c r="JG231" s="432"/>
      <c r="JH231" s="432"/>
      <c r="JI231" s="432"/>
      <c r="JJ231" s="432"/>
      <c r="JK231" s="432"/>
      <c r="JL231" s="432"/>
      <c r="JM231" s="432"/>
      <c r="JN231" s="432"/>
      <c r="JO231" s="432"/>
      <c r="JP231" s="432"/>
      <c r="JQ231" s="432"/>
      <c r="JR231" s="432"/>
      <c r="JS231" s="432"/>
      <c r="JT231" s="432"/>
      <c r="JU231" s="432"/>
      <c r="JV231" s="432"/>
      <c r="JW231" s="1810"/>
      <c r="JX231" s="432"/>
      <c r="JY231" s="432"/>
      <c r="JZ231" s="432"/>
      <c r="KA231" s="432"/>
      <c r="KB231" s="1810"/>
      <c r="KC231" s="432"/>
      <c r="KD231" s="432"/>
      <c r="KE231" s="432"/>
      <c r="KF231" s="432"/>
      <c r="KG231" s="1810"/>
      <c r="KH231" s="432"/>
      <c r="KI231" s="432"/>
      <c r="KJ231" s="432"/>
      <c r="KK231" s="432"/>
      <c r="KL231" s="1810"/>
      <c r="KM231" s="1810"/>
      <c r="KN231" s="1810"/>
      <c r="KO231" s="1810"/>
      <c r="KP231" s="1810"/>
      <c r="KQ231" s="1810"/>
      <c r="KR231" s="1810"/>
      <c r="KS231" s="1810"/>
      <c r="KT231" s="1810"/>
      <c r="KU231" s="1810"/>
      <c r="KV231" s="1810"/>
      <c r="KW231" s="1810"/>
      <c r="KX231" s="1810"/>
      <c r="KY231" s="1810"/>
      <c r="KZ231" s="1810"/>
      <c r="LA231" s="1810"/>
      <c r="LB231" s="1810"/>
      <c r="LC231" s="1810"/>
      <c r="LD231" s="1810"/>
      <c r="LE231" s="1810"/>
      <c r="LF231" s="1810"/>
      <c r="LG231" s="1810"/>
      <c r="LH231" s="432"/>
      <c r="LI231" s="432"/>
      <c r="LJ231" s="432"/>
      <c r="LK231" s="432"/>
      <c r="LL231" s="432"/>
      <c r="LM231" s="432"/>
      <c r="LN231" s="1811"/>
      <c r="LO231" s="432"/>
      <c r="LP231" s="432"/>
      <c r="LQ231" s="432"/>
      <c r="LR231" s="432"/>
      <c r="LS231" s="432"/>
      <c r="LT231" s="432"/>
      <c r="LU231" s="432"/>
      <c r="LV231" s="432"/>
      <c r="LW231" s="432"/>
      <c r="LX231" s="432"/>
      <c r="LY231" s="432"/>
      <c r="LZ231" s="432"/>
      <c r="MA231" s="432"/>
      <c r="MB231" s="432"/>
      <c r="MC231" s="432"/>
      <c r="MD231" s="1811"/>
      <c r="ME231" s="1811"/>
      <c r="MF231" s="432"/>
      <c r="MG231" s="432"/>
      <c r="MH231" s="432"/>
      <c r="MI231" s="432"/>
      <c r="MJ231" s="432"/>
      <c r="MK231" s="432"/>
      <c r="ML231" s="432"/>
      <c r="MM231" s="432"/>
      <c r="MN231" s="432"/>
      <c r="MO231" s="432"/>
      <c r="MP231" s="432"/>
      <c r="MQ231" s="432"/>
      <c r="MR231" s="432"/>
      <c r="MS231" s="432"/>
      <c r="MT231" s="432"/>
      <c r="MU231" s="432"/>
      <c r="MV231" s="93"/>
      <c r="MW231" s="93"/>
      <c r="MX231" s="93"/>
      <c r="MY231" s="93"/>
      <c r="MZ231" s="93"/>
      <c r="NA231" s="93"/>
      <c r="NB231" s="93"/>
      <c r="NC231" s="93"/>
      <c r="ND231" s="93"/>
      <c r="NE231" s="93"/>
      <c r="NF231" s="93"/>
      <c r="NG231" s="93"/>
      <c r="NH231" s="93"/>
      <c r="NI231" s="93"/>
      <c r="NJ231" s="93"/>
      <c r="NK231" s="93"/>
      <c r="NL231" s="93"/>
      <c r="NM231" s="93"/>
      <c r="NN231" s="93"/>
      <c r="NO231" s="93"/>
      <c r="NP231" s="2850"/>
      <c r="NQ231" s="93"/>
      <c r="NR231" s="93"/>
      <c r="NS231" s="93"/>
      <c r="NT231" s="93"/>
      <c r="NU231" s="93"/>
      <c r="NV231" s="93"/>
      <c r="NW231" s="93"/>
      <c r="NX231" s="93"/>
      <c r="NY231" s="93"/>
      <c r="NZ231" s="93"/>
      <c r="OA231" s="93"/>
      <c r="OB231" s="93"/>
      <c r="OC231" s="93"/>
      <c r="OD231" s="93"/>
      <c r="OE231" s="93"/>
      <c r="OF231" s="93"/>
      <c r="OG231" s="93"/>
      <c r="OH231" s="93"/>
      <c r="OI231" s="93"/>
      <c r="OJ231" s="93"/>
      <c r="OK231" s="93"/>
      <c r="OL231" s="93"/>
      <c r="OM231" s="93"/>
      <c r="ON231" s="93"/>
      <c r="OO231" s="93"/>
      <c r="OP231" s="93"/>
      <c r="OQ231" s="93"/>
      <c r="OR231" s="93"/>
      <c r="OS231" s="93"/>
      <c r="OT231" s="93"/>
      <c r="OU231" s="93"/>
      <c r="OV231" s="93"/>
      <c r="OW231" s="93"/>
      <c r="OX231" s="93"/>
      <c r="OY231" s="93"/>
      <c r="OZ231" s="93"/>
      <c r="PA231" s="93"/>
      <c r="PB231" s="93"/>
      <c r="PC231" s="93"/>
      <c r="PD231" s="93"/>
      <c r="PE231" s="93"/>
      <c r="PF231" s="93"/>
      <c r="PG231" s="93"/>
      <c r="PH231" s="93"/>
      <c r="PI231" s="93"/>
      <c r="PJ231" s="93"/>
      <c r="PK231" s="93"/>
      <c r="PL231" s="93"/>
      <c r="PM231" s="93"/>
      <c r="PN231" s="93"/>
      <c r="PO231" s="93"/>
      <c r="PP231" s="93"/>
      <c r="PQ231" s="93"/>
      <c r="PR231" s="93"/>
      <c r="PS231" s="93"/>
      <c r="PT231" s="93"/>
      <c r="PU231" s="93"/>
      <c r="PV231" s="93"/>
      <c r="PW231" s="93"/>
      <c r="PX231" s="93"/>
      <c r="PY231" s="93"/>
      <c r="PZ231" s="93"/>
      <c r="QA231" s="93"/>
      <c r="QB231" s="93"/>
      <c r="QC231" s="93"/>
      <c r="QD231" s="93"/>
      <c r="QE231" s="93"/>
      <c r="QF231" s="93"/>
      <c r="QG231" s="93"/>
      <c r="QH231" s="93"/>
      <c r="QI231" s="93"/>
      <c r="QJ231" s="93"/>
      <c r="QK231" s="93"/>
      <c r="QL231" s="93"/>
      <c r="QM231" s="93"/>
      <c r="QN231" s="93"/>
      <c r="QO231" s="93"/>
      <c r="QP231" s="93"/>
      <c r="QQ231" s="93"/>
      <c r="QR231" s="93"/>
      <c r="QS231" s="93"/>
      <c r="QT231" s="93"/>
      <c r="QU231" s="93"/>
      <c r="QV231" s="93"/>
      <c r="QW231" s="93"/>
      <c r="QX231" s="93"/>
      <c r="QY231" s="93"/>
      <c r="QZ231" s="93"/>
      <c r="RA231" s="93"/>
      <c r="RB231" s="93"/>
      <c r="RC231" s="93"/>
      <c r="RD231" s="93"/>
      <c r="RE231" s="93"/>
      <c r="RF231" s="93"/>
      <c r="RG231" s="93"/>
      <c r="RH231" s="93"/>
      <c r="RI231" s="93"/>
      <c r="RJ231" s="93"/>
      <c r="RK231" s="93"/>
      <c r="RL231" s="93"/>
      <c r="RM231" s="93"/>
      <c r="RN231" s="93"/>
      <c r="RO231" s="93"/>
      <c r="RP231" s="93"/>
      <c r="RQ231" s="93"/>
      <c r="RR231" s="93"/>
      <c r="RS231" s="93"/>
      <c r="RT231" s="93"/>
      <c r="RU231" s="93"/>
      <c r="RV231" s="93"/>
      <c r="RW231" s="93"/>
      <c r="RX231" s="93"/>
      <c r="RY231" s="93"/>
    </row>
    <row r="232" spans="1:493" s="90" customFormat="1" ht="15.6" customHeight="1" thickBot="1">
      <c r="A232" s="1"/>
      <c r="B232" s="3890" t="s">
        <v>46</v>
      </c>
      <c r="C232" s="3891"/>
      <c r="D232" s="3891"/>
      <c r="E232" s="3892"/>
      <c r="F232" s="3868"/>
      <c r="G232" s="3869"/>
      <c r="H232" s="1"/>
      <c r="I232" s="1" t="s">
        <v>1319</v>
      </c>
      <c r="K232" s="438">
        <f>L232/12/P67</f>
        <v>17.939814814814817</v>
      </c>
      <c r="L232" s="3874">
        <v>15500</v>
      </c>
      <c r="M232" s="3875"/>
      <c r="N232" s="3863" t="str">
        <f>IF(Q231&lt;Q240, "WARNING! RR proposed is below the DCA required minimum.","")</f>
        <v/>
      </c>
      <c r="O232" s="871" t="s">
        <v>4063</v>
      </c>
      <c r="P232" s="866"/>
      <c r="Q232" s="872">
        <f>Q231/P240</f>
        <v>250</v>
      </c>
      <c r="R232" s="768"/>
      <c r="S232" s="3833"/>
      <c r="T232" s="3834"/>
      <c r="U232" s="3834"/>
      <c r="V232" s="3834"/>
      <c r="W232" s="3835"/>
      <c r="X232" s="430"/>
      <c r="Y232" s="432"/>
      <c r="Z232" s="432"/>
      <c r="AA232" s="432"/>
      <c r="AB232" s="432"/>
      <c r="AC232" s="430"/>
      <c r="AD232" s="432"/>
      <c r="AE232" s="432"/>
      <c r="AF232" s="432"/>
      <c r="AG232" s="432"/>
      <c r="AH232" s="430"/>
      <c r="AI232" s="432"/>
      <c r="AJ232" s="432"/>
      <c r="AK232" s="432"/>
      <c r="AL232" s="432"/>
      <c r="AM232" s="430"/>
      <c r="AN232" s="432"/>
      <c r="AO232" s="432"/>
      <c r="AP232" s="432"/>
      <c r="AQ232" s="432"/>
      <c r="AR232" s="432"/>
      <c r="AS232" s="432"/>
      <c r="AT232" s="432"/>
      <c r="AU232" s="432"/>
      <c r="AV232" s="432"/>
      <c r="AW232" s="432"/>
      <c r="AX232" s="432"/>
      <c r="AY232" s="432"/>
      <c r="AZ232" s="432"/>
      <c r="BA232" s="432"/>
      <c r="BB232" s="432"/>
      <c r="BC232" s="432"/>
      <c r="BD232" s="432"/>
      <c r="BE232" s="432"/>
      <c r="BF232" s="432"/>
      <c r="BG232" s="432"/>
      <c r="BH232" s="432"/>
      <c r="BI232" s="432"/>
      <c r="BJ232" s="432"/>
      <c r="BK232" s="432"/>
      <c r="BL232" s="432"/>
      <c r="BM232" s="432"/>
      <c r="BN232" s="432"/>
      <c r="BO232" s="432"/>
      <c r="BP232" s="432"/>
      <c r="BQ232" s="432"/>
      <c r="BR232" s="432"/>
      <c r="BS232" s="432"/>
      <c r="BT232" s="432"/>
      <c r="BU232" s="432"/>
      <c r="BV232" s="432"/>
      <c r="BW232" s="432"/>
      <c r="BX232" s="432"/>
      <c r="BY232" s="432"/>
      <c r="BZ232" s="432"/>
      <c r="CA232" s="432"/>
      <c r="CB232" s="432"/>
      <c r="CC232" s="432"/>
      <c r="CD232" s="432"/>
      <c r="CE232" s="432"/>
      <c r="CF232" s="432"/>
      <c r="CG232" s="432"/>
      <c r="CH232" s="432"/>
      <c r="CI232" s="432"/>
      <c r="CJ232" s="432"/>
      <c r="CK232" s="432"/>
      <c r="CL232" s="432"/>
      <c r="CM232" s="432"/>
      <c r="CN232" s="432"/>
      <c r="CO232" s="432"/>
      <c r="CP232" s="432"/>
      <c r="CQ232" s="432"/>
      <c r="CR232" s="432"/>
      <c r="CS232" s="432"/>
      <c r="CT232" s="432"/>
      <c r="CU232" s="432"/>
      <c r="CV232" s="432"/>
      <c r="CW232" s="432"/>
      <c r="CX232" s="432"/>
      <c r="CY232" s="432"/>
      <c r="CZ232" s="432"/>
      <c r="DA232" s="432"/>
      <c r="DB232" s="432"/>
      <c r="DC232" s="432"/>
      <c r="DD232" s="432"/>
      <c r="DE232" s="432"/>
      <c r="DF232" s="432"/>
      <c r="DG232" s="432"/>
      <c r="DH232" s="432"/>
      <c r="DI232" s="432"/>
      <c r="DJ232" s="432"/>
      <c r="DK232" s="432"/>
      <c r="DL232" s="432"/>
      <c r="DM232" s="432"/>
      <c r="DN232" s="432"/>
      <c r="DO232" s="432"/>
      <c r="DP232" s="432"/>
      <c r="DQ232" s="432"/>
      <c r="DR232" s="432"/>
      <c r="DS232" s="432"/>
      <c r="DT232" s="432"/>
      <c r="DU232" s="432"/>
      <c r="DV232" s="432"/>
      <c r="DW232" s="432"/>
      <c r="DX232" s="432"/>
      <c r="DY232" s="432"/>
      <c r="DZ232" s="432"/>
      <c r="EA232" s="432"/>
      <c r="EB232" s="432"/>
      <c r="EC232" s="432"/>
      <c r="ED232" s="432"/>
      <c r="EE232" s="432"/>
      <c r="EF232" s="432"/>
      <c r="EG232" s="432"/>
      <c r="EH232" s="432"/>
      <c r="EI232" s="432"/>
      <c r="EJ232" s="432"/>
      <c r="EK232" s="432"/>
      <c r="EL232" s="432"/>
      <c r="EM232" s="432"/>
      <c r="EN232" s="432"/>
      <c r="EO232" s="432"/>
      <c r="EP232" s="432"/>
      <c r="EQ232" s="432"/>
      <c r="ER232" s="432"/>
      <c r="ES232" s="432"/>
      <c r="ET232" s="432"/>
      <c r="EU232" s="432"/>
      <c r="EV232" s="432"/>
      <c r="EW232" s="432"/>
      <c r="EX232" s="432"/>
      <c r="EY232" s="432"/>
      <c r="EZ232" s="432"/>
      <c r="FA232" s="432"/>
      <c r="FB232" s="432"/>
      <c r="FC232" s="432"/>
      <c r="FD232" s="432"/>
      <c r="FE232" s="432"/>
      <c r="FF232" s="432"/>
      <c r="FG232" s="432"/>
      <c r="FH232" s="432"/>
      <c r="FI232" s="432"/>
      <c r="FJ232" s="432"/>
      <c r="FK232" s="432"/>
      <c r="FL232" s="432"/>
      <c r="FM232" s="432"/>
      <c r="FN232" s="432"/>
      <c r="FO232" s="432"/>
      <c r="FP232" s="432"/>
      <c r="FQ232" s="432"/>
      <c r="FR232" s="432"/>
      <c r="FS232" s="432"/>
      <c r="FT232" s="432"/>
      <c r="FU232" s="432"/>
      <c r="FV232" s="432"/>
      <c r="FW232" s="432"/>
      <c r="FX232" s="432"/>
      <c r="FY232" s="432"/>
      <c r="FZ232" s="432"/>
      <c r="GA232" s="432"/>
      <c r="GB232" s="432"/>
      <c r="GC232" s="432"/>
      <c r="GD232" s="432"/>
      <c r="GE232" s="432"/>
      <c r="GF232" s="432"/>
      <c r="GG232" s="432"/>
      <c r="GH232" s="432"/>
      <c r="GI232" s="432"/>
      <c r="GJ232" s="432"/>
      <c r="GK232" s="432"/>
      <c r="GL232" s="432"/>
      <c r="GM232" s="432"/>
      <c r="GN232" s="432"/>
      <c r="GO232" s="432"/>
      <c r="GP232" s="432"/>
      <c r="GQ232" s="432"/>
      <c r="GR232" s="432"/>
      <c r="GS232" s="432"/>
      <c r="GT232" s="432"/>
      <c r="GU232" s="432"/>
      <c r="GV232" s="432"/>
      <c r="GW232" s="432"/>
      <c r="GX232" s="432"/>
      <c r="GY232" s="432"/>
      <c r="GZ232" s="432"/>
      <c r="HA232" s="432"/>
      <c r="HB232" s="432"/>
      <c r="HC232" s="432"/>
      <c r="HD232" s="432"/>
      <c r="HE232" s="432"/>
      <c r="HF232" s="432"/>
      <c r="HG232" s="432"/>
      <c r="HH232" s="432"/>
      <c r="HI232" s="432"/>
      <c r="HJ232" s="432"/>
      <c r="HK232" s="432"/>
      <c r="HL232" s="432"/>
      <c r="HM232" s="432"/>
      <c r="HN232" s="432"/>
      <c r="HO232" s="432"/>
      <c r="HP232" s="432"/>
      <c r="HQ232" s="432"/>
      <c r="HR232" s="432"/>
      <c r="HS232" s="432"/>
      <c r="HT232" s="432"/>
      <c r="HU232" s="432"/>
      <c r="HV232" s="432"/>
      <c r="HW232" s="432"/>
      <c r="HX232" s="432"/>
      <c r="HY232" s="432"/>
      <c r="HZ232" s="432"/>
      <c r="IA232" s="432"/>
      <c r="IB232" s="432"/>
      <c r="IC232" s="432"/>
      <c r="ID232" s="432"/>
      <c r="IE232" s="432"/>
      <c r="IF232" s="432"/>
      <c r="IG232" s="432"/>
      <c r="IH232" s="432"/>
      <c r="II232" s="432"/>
      <c r="IJ232" s="432"/>
      <c r="IK232" s="432"/>
      <c r="IL232" s="432"/>
      <c r="IM232" s="432"/>
      <c r="IN232" s="432"/>
      <c r="IO232" s="432"/>
      <c r="IP232" s="432"/>
      <c r="IQ232" s="432"/>
      <c r="IR232" s="432"/>
      <c r="IS232" s="432"/>
      <c r="IT232" s="432"/>
      <c r="IU232" s="432"/>
      <c r="IV232" s="432"/>
      <c r="IW232" s="432"/>
      <c r="IX232" s="432"/>
      <c r="IY232" s="432"/>
      <c r="IZ232" s="432"/>
      <c r="JA232" s="432"/>
      <c r="JB232" s="432"/>
      <c r="JC232" s="432"/>
      <c r="JD232" s="432"/>
      <c r="JE232" s="432"/>
      <c r="JF232" s="432"/>
      <c r="JG232" s="432"/>
      <c r="JH232" s="432"/>
      <c r="JI232" s="432"/>
      <c r="JJ232" s="432"/>
      <c r="JK232" s="432"/>
      <c r="JL232" s="432"/>
      <c r="JM232" s="432"/>
      <c r="JN232" s="432"/>
      <c r="JO232" s="432"/>
      <c r="JP232" s="432"/>
      <c r="JQ232" s="432"/>
      <c r="JR232" s="432"/>
      <c r="JS232" s="432"/>
      <c r="JT232" s="432"/>
      <c r="JU232" s="432"/>
      <c r="JV232" s="432"/>
      <c r="JW232" s="1810"/>
      <c r="JX232" s="432"/>
      <c r="JY232" s="432"/>
      <c r="JZ232" s="432"/>
      <c r="KA232" s="432"/>
      <c r="KB232" s="1810"/>
      <c r="KC232" s="432"/>
      <c r="KD232" s="432"/>
      <c r="KE232" s="432"/>
      <c r="KF232" s="432"/>
      <c r="KG232" s="1810"/>
      <c r="KH232" s="432"/>
      <c r="KI232" s="432"/>
      <c r="KJ232" s="432"/>
      <c r="KK232" s="432"/>
      <c r="KL232" s="1810"/>
      <c r="KM232" s="1810"/>
      <c r="KN232" s="1810"/>
      <c r="KO232" s="1810"/>
      <c r="KP232" s="1810"/>
      <c r="KQ232" s="1810"/>
      <c r="KR232" s="1810"/>
      <c r="KS232" s="1810"/>
      <c r="KT232" s="1810"/>
      <c r="KU232" s="1810"/>
      <c r="KV232" s="1810"/>
      <c r="KW232" s="1810"/>
      <c r="KX232" s="1810"/>
      <c r="KY232" s="1810"/>
      <c r="KZ232" s="1810"/>
      <c r="LA232" s="1810"/>
      <c r="LB232" s="1810"/>
      <c r="LC232" s="1810"/>
      <c r="LD232" s="1810"/>
      <c r="LE232" s="1810"/>
      <c r="LF232" s="1810"/>
      <c r="LG232" s="1810"/>
      <c r="LH232" s="432"/>
      <c r="LI232" s="432"/>
      <c r="LJ232" s="432"/>
      <c r="LK232" s="432"/>
      <c r="LL232" s="432"/>
      <c r="LM232" s="432"/>
      <c r="LN232" s="1811"/>
      <c r="LO232" s="432"/>
      <c r="LP232" s="432"/>
      <c r="LQ232" s="432"/>
      <c r="LR232" s="432"/>
      <c r="LS232" s="432"/>
      <c r="LT232" s="432"/>
      <c r="LU232" s="432"/>
      <c r="LV232" s="432"/>
      <c r="LW232" s="432"/>
      <c r="LX232" s="432"/>
      <c r="LY232" s="432"/>
      <c r="LZ232" s="432"/>
      <c r="MA232" s="432"/>
      <c r="MB232" s="432"/>
      <c r="MC232" s="432"/>
      <c r="MD232" s="1811"/>
      <c r="ME232" s="1811"/>
      <c r="MF232" s="432"/>
      <c r="MG232" s="432"/>
      <c r="MH232" s="432"/>
      <c r="MI232" s="432"/>
      <c r="MJ232" s="432"/>
      <c r="MK232" s="432"/>
      <c r="ML232" s="432"/>
      <c r="MM232" s="432"/>
      <c r="MN232" s="432"/>
      <c r="MO232" s="432"/>
      <c r="MP232" s="432"/>
      <c r="MQ232" s="432"/>
      <c r="MR232" s="432"/>
      <c r="MS232" s="432"/>
      <c r="MT232" s="432"/>
      <c r="MU232" s="432"/>
      <c r="MV232" s="93"/>
      <c r="MW232" s="93"/>
      <c r="MX232" s="93"/>
      <c r="MY232" s="93"/>
      <c r="MZ232" s="93"/>
      <c r="NA232" s="93"/>
      <c r="NB232" s="93"/>
      <c r="NC232" s="93"/>
      <c r="ND232" s="93"/>
      <c r="NE232" s="93"/>
      <c r="NF232" s="93"/>
      <c r="NG232" s="93"/>
      <c r="NH232" s="93"/>
      <c r="NI232" s="93"/>
      <c r="NJ232" s="93"/>
      <c r="NK232" s="93"/>
      <c r="NL232" s="93"/>
      <c r="NM232" s="93"/>
      <c r="NN232" s="93"/>
      <c r="NO232" s="93"/>
      <c r="NP232" s="2850"/>
      <c r="NQ232" s="93"/>
      <c r="NR232" s="93"/>
      <c r="NS232" s="93"/>
      <c r="NT232" s="93"/>
      <c r="NU232" s="93"/>
      <c r="NV232" s="93"/>
      <c r="NW232" s="93"/>
      <c r="NX232" s="93"/>
      <c r="NY232" s="93"/>
      <c r="NZ232" s="93"/>
      <c r="OA232" s="93"/>
      <c r="OB232" s="93"/>
      <c r="OC232" s="93"/>
      <c r="OD232" s="93"/>
      <c r="OE232" s="93"/>
      <c r="OF232" s="93"/>
      <c r="OG232" s="93"/>
      <c r="OH232" s="93"/>
      <c r="OI232" s="93"/>
      <c r="OJ232" s="93"/>
      <c r="OK232" s="93"/>
      <c r="OL232" s="93"/>
      <c r="OM232" s="93"/>
      <c r="ON232" s="93"/>
      <c r="OO232" s="93"/>
      <c r="OP232" s="93"/>
      <c r="OQ232" s="93"/>
      <c r="OR232" s="93"/>
      <c r="OS232" s="93"/>
      <c r="OT232" s="93"/>
      <c r="OU232" s="93"/>
      <c r="OV232" s="93"/>
      <c r="OW232" s="93"/>
      <c r="OX232" s="93"/>
      <c r="OY232" s="93"/>
      <c r="OZ232" s="93"/>
      <c r="PA232" s="93"/>
      <c r="PB232" s="93"/>
      <c r="PC232" s="93"/>
      <c r="PD232" s="93"/>
      <c r="PE232" s="93"/>
      <c r="PF232" s="93"/>
      <c r="PG232" s="93"/>
      <c r="PH232" s="93"/>
      <c r="PI232" s="93"/>
      <c r="PJ232" s="93"/>
      <c r="PK232" s="93"/>
      <c r="PL232" s="93"/>
      <c r="PM232" s="93"/>
      <c r="PN232" s="93"/>
      <c r="PO232" s="93"/>
      <c r="PP232" s="93"/>
      <c r="PQ232" s="93"/>
      <c r="PR232" s="93"/>
      <c r="PS232" s="93"/>
      <c r="PT232" s="93"/>
      <c r="PU232" s="93"/>
      <c r="PV232" s="93"/>
      <c r="PW232" s="93"/>
      <c r="PX232" s="93"/>
      <c r="PY232" s="93"/>
      <c r="PZ232" s="93"/>
      <c r="QA232" s="93"/>
      <c r="QB232" s="93"/>
      <c r="QC232" s="93"/>
      <c r="QD232" s="93"/>
      <c r="QE232" s="93"/>
      <c r="QF232" s="93"/>
      <c r="QG232" s="93"/>
      <c r="QH232" s="93"/>
      <c r="QI232" s="93"/>
      <c r="QJ232" s="93"/>
      <c r="QK232" s="93"/>
      <c r="QL232" s="93"/>
      <c r="QM232" s="93"/>
      <c r="QN232" s="93"/>
      <c r="QO232" s="93"/>
      <c r="QP232" s="93"/>
      <c r="QQ232" s="93"/>
      <c r="QR232" s="93"/>
      <c r="QS232" s="93"/>
      <c r="QT232" s="93"/>
      <c r="QU232" s="93"/>
      <c r="QV232" s="93"/>
      <c r="QW232" s="93"/>
      <c r="QX232" s="93"/>
      <c r="QY232" s="93"/>
      <c r="QZ232" s="93"/>
      <c r="RA232" s="93"/>
      <c r="RB232" s="93"/>
      <c r="RC232" s="93"/>
      <c r="RD232" s="93"/>
      <c r="RE232" s="93"/>
      <c r="RF232" s="93"/>
      <c r="RG232" s="93"/>
      <c r="RH232" s="93"/>
      <c r="RI232" s="93"/>
      <c r="RJ232" s="93"/>
      <c r="RK232" s="93"/>
      <c r="RL232" s="93"/>
      <c r="RM232" s="93"/>
      <c r="RN232" s="93"/>
      <c r="RO232" s="93"/>
      <c r="RP232" s="93"/>
      <c r="RQ232" s="93"/>
      <c r="RR232" s="93"/>
      <c r="RS232" s="93"/>
      <c r="RT232" s="93"/>
      <c r="RU232" s="93"/>
      <c r="RV232" s="93"/>
      <c r="RW232" s="93"/>
      <c r="RX232" s="93"/>
      <c r="RY232" s="93"/>
    </row>
    <row r="233" spans="1:493" s="90" customFormat="1" ht="15.6" customHeight="1" thickTop="1">
      <c r="A233" s="1"/>
      <c r="B233" s="1"/>
      <c r="D233" s="1"/>
      <c r="E233" s="11" t="s">
        <v>183</v>
      </c>
      <c r="F233" s="3870">
        <f>SUM(F227:G232)</f>
        <v>32500</v>
      </c>
      <c r="G233" s="3871"/>
      <c r="H233" s="1"/>
      <c r="I233" s="1" t="s">
        <v>1320</v>
      </c>
      <c r="K233" s="438">
        <f>L233/12/P67</f>
        <v>0</v>
      </c>
      <c r="L233" s="3878"/>
      <c r="M233" s="3879"/>
      <c r="N233" s="3864"/>
      <c r="O233" s="3865" t="s">
        <v>3363</v>
      </c>
      <c r="P233" s="3866"/>
      <c r="Q233" s="3867"/>
      <c r="S233" s="3833"/>
      <c r="T233" s="3834"/>
      <c r="U233" s="3834"/>
      <c r="V233" s="3834"/>
      <c r="W233" s="3835"/>
      <c r="X233" s="430"/>
      <c r="Y233" s="432"/>
      <c r="Z233" s="432"/>
      <c r="AA233" s="432"/>
      <c r="AB233" s="432"/>
      <c r="AC233" s="430"/>
      <c r="AD233" s="432"/>
      <c r="AE233" s="432"/>
      <c r="AF233" s="432"/>
      <c r="AG233" s="432"/>
      <c r="AH233" s="430"/>
      <c r="AI233" s="432"/>
      <c r="AJ233" s="432"/>
      <c r="AK233" s="432"/>
      <c r="AL233" s="432"/>
      <c r="AM233" s="430"/>
      <c r="AN233" s="432"/>
      <c r="AO233" s="432"/>
      <c r="AP233" s="432"/>
      <c r="AQ233" s="432"/>
      <c r="AR233" s="432"/>
      <c r="AS233" s="432"/>
      <c r="AT233" s="432"/>
      <c r="AU233" s="432"/>
      <c r="AV233" s="432"/>
      <c r="AW233" s="432"/>
      <c r="AX233" s="432"/>
      <c r="AY233" s="432"/>
      <c r="AZ233" s="432"/>
      <c r="BA233" s="432"/>
      <c r="BB233" s="432"/>
      <c r="BC233" s="432"/>
      <c r="BD233" s="432"/>
      <c r="BE233" s="432"/>
      <c r="BF233" s="432"/>
      <c r="BG233" s="432"/>
      <c r="BH233" s="432"/>
      <c r="BI233" s="432"/>
      <c r="BJ233" s="432"/>
      <c r="BK233" s="432"/>
      <c r="BL233" s="432"/>
      <c r="BM233" s="432"/>
      <c r="BN233" s="432"/>
      <c r="BO233" s="432"/>
      <c r="BP233" s="432"/>
      <c r="BQ233" s="432"/>
      <c r="BR233" s="432"/>
      <c r="BS233" s="432"/>
      <c r="BT233" s="432"/>
      <c r="BU233" s="432"/>
      <c r="BV233" s="432"/>
      <c r="BW233" s="432"/>
      <c r="BX233" s="432"/>
      <c r="BY233" s="432"/>
      <c r="BZ233" s="432"/>
      <c r="CA233" s="432"/>
      <c r="CB233" s="432"/>
      <c r="CC233" s="432"/>
      <c r="CD233" s="432"/>
      <c r="CE233" s="432"/>
      <c r="CF233" s="432"/>
      <c r="CG233" s="432"/>
      <c r="CH233" s="432"/>
      <c r="CI233" s="432"/>
      <c r="CJ233" s="432"/>
      <c r="CK233" s="432"/>
      <c r="CL233" s="432"/>
      <c r="CM233" s="432"/>
      <c r="CN233" s="432"/>
      <c r="CO233" s="432"/>
      <c r="CP233" s="432"/>
      <c r="CQ233" s="432"/>
      <c r="CR233" s="432"/>
      <c r="CS233" s="432"/>
      <c r="CT233" s="432"/>
      <c r="CU233" s="432"/>
      <c r="CV233" s="432"/>
      <c r="CW233" s="432"/>
      <c r="CX233" s="432"/>
      <c r="CY233" s="432"/>
      <c r="CZ233" s="432"/>
      <c r="DA233" s="432"/>
      <c r="DB233" s="432"/>
      <c r="DC233" s="432"/>
      <c r="DD233" s="432"/>
      <c r="DE233" s="432"/>
      <c r="DF233" s="432"/>
      <c r="DG233" s="432"/>
      <c r="DH233" s="432"/>
      <c r="DI233" s="432"/>
      <c r="DJ233" s="432"/>
      <c r="DK233" s="432"/>
      <c r="DL233" s="432"/>
      <c r="DM233" s="432"/>
      <c r="DN233" s="432"/>
      <c r="DO233" s="432"/>
      <c r="DP233" s="432"/>
      <c r="DQ233" s="432"/>
      <c r="DR233" s="432"/>
      <c r="DS233" s="432"/>
      <c r="DT233" s="432"/>
      <c r="DU233" s="432"/>
      <c r="DV233" s="432"/>
      <c r="DW233" s="432"/>
      <c r="DX233" s="432"/>
      <c r="DY233" s="432"/>
      <c r="DZ233" s="432"/>
      <c r="EA233" s="432"/>
      <c r="EB233" s="432"/>
      <c r="EC233" s="432"/>
      <c r="ED233" s="432"/>
      <c r="EE233" s="432"/>
      <c r="EF233" s="432"/>
      <c r="EG233" s="432"/>
      <c r="EH233" s="432"/>
      <c r="EI233" s="432"/>
      <c r="EJ233" s="432"/>
      <c r="EK233" s="432"/>
      <c r="EL233" s="432"/>
      <c r="EM233" s="432"/>
      <c r="EN233" s="432"/>
      <c r="EO233" s="432"/>
      <c r="EP233" s="432"/>
      <c r="EQ233" s="432"/>
      <c r="ER233" s="432"/>
      <c r="ES233" s="432"/>
      <c r="ET233" s="432"/>
      <c r="EU233" s="432"/>
      <c r="EV233" s="432"/>
      <c r="EW233" s="432"/>
      <c r="EX233" s="432"/>
      <c r="EY233" s="432"/>
      <c r="EZ233" s="432"/>
      <c r="FA233" s="432"/>
      <c r="FB233" s="432"/>
      <c r="FC233" s="432"/>
      <c r="FD233" s="432"/>
      <c r="FE233" s="432"/>
      <c r="FF233" s="432"/>
      <c r="FG233" s="432"/>
      <c r="FH233" s="432"/>
      <c r="FI233" s="432"/>
      <c r="FJ233" s="432"/>
      <c r="FK233" s="432"/>
      <c r="FL233" s="432"/>
      <c r="FM233" s="432"/>
      <c r="FN233" s="432"/>
      <c r="FO233" s="432"/>
      <c r="FP233" s="432"/>
      <c r="FQ233" s="432"/>
      <c r="FR233" s="432"/>
      <c r="FS233" s="432"/>
      <c r="FT233" s="432"/>
      <c r="FU233" s="432"/>
      <c r="FV233" s="432"/>
      <c r="FW233" s="432"/>
      <c r="FX233" s="432"/>
      <c r="FY233" s="432"/>
      <c r="FZ233" s="432"/>
      <c r="GA233" s="432"/>
      <c r="GB233" s="432"/>
      <c r="GC233" s="432"/>
      <c r="GD233" s="432"/>
      <c r="GE233" s="432"/>
      <c r="GF233" s="432"/>
      <c r="GG233" s="432"/>
      <c r="GH233" s="432"/>
      <c r="GI233" s="432"/>
      <c r="GJ233" s="432"/>
      <c r="GK233" s="432"/>
      <c r="GL233" s="432"/>
      <c r="GM233" s="432"/>
      <c r="GN233" s="432"/>
      <c r="GO233" s="432"/>
      <c r="GP233" s="432"/>
      <c r="GQ233" s="432"/>
      <c r="GR233" s="432"/>
      <c r="GS233" s="432"/>
      <c r="GT233" s="432"/>
      <c r="GU233" s="432"/>
      <c r="GV233" s="432"/>
      <c r="GW233" s="432"/>
      <c r="GX233" s="432"/>
      <c r="GY233" s="432"/>
      <c r="GZ233" s="432"/>
      <c r="HA233" s="432"/>
      <c r="HB233" s="432"/>
      <c r="HC233" s="432"/>
      <c r="HD233" s="432"/>
      <c r="HE233" s="432"/>
      <c r="HF233" s="432"/>
      <c r="HG233" s="432"/>
      <c r="HH233" s="432"/>
      <c r="HI233" s="432"/>
      <c r="HJ233" s="432"/>
      <c r="HK233" s="432"/>
      <c r="HL233" s="432"/>
      <c r="HM233" s="432"/>
      <c r="HN233" s="432"/>
      <c r="HO233" s="432"/>
      <c r="HP233" s="432"/>
      <c r="HQ233" s="432"/>
      <c r="HR233" s="432"/>
      <c r="HS233" s="432"/>
      <c r="HT233" s="432"/>
      <c r="HU233" s="432"/>
      <c r="HV233" s="432"/>
      <c r="HW233" s="432"/>
      <c r="HX233" s="432"/>
      <c r="HY233" s="432"/>
      <c r="HZ233" s="432"/>
      <c r="IA233" s="432"/>
      <c r="IB233" s="432"/>
      <c r="IC233" s="432"/>
      <c r="ID233" s="432"/>
      <c r="IE233" s="432"/>
      <c r="IF233" s="432"/>
      <c r="IG233" s="432"/>
      <c r="IH233" s="432"/>
      <c r="II233" s="432"/>
      <c r="IJ233" s="432"/>
      <c r="IK233" s="432"/>
      <c r="IL233" s="432"/>
      <c r="IM233" s="432"/>
      <c r="IN233" s="432"/>
      <c r="IO233" s="432"/>
      <c r="IP233" s="432"/>
      <c r="IQ233" s="432"/>
      <c r="IR233" s="432"/>
      <c r="IS233" s="432"/>
      <c r="IT233" s="432"/>
      <c r="IU233" s="432"/>
      <c r="IV233" s="432"/>
      <c r="IW233" s="432"/>
      <c r="IX233" s="432"/>
      <c r="IY233" s="432"/>
      <c r="IZ233" s="432"/>
      <c r="JA233" s="432"/>
      <c r="JB233" s="432"/>
      <c r="JC233" s="432"/>
      <c r="JD233" s="432"/>
      <c r="JE233" s="432"/>
      <c r="JF233" s="432"/>
      <c r="JG233" s="432"/>
      <c r="JH233" s="432"/>
      <c r="JI233" s="432"/>
      <c r="JJ233" s="432"/>
      <c r="JK233" s="432"/>
      <c r="JL233" s="432"/>
      <c r="JM233" s="432"/>
      <c r="JN233" s="432"/>
      <c r="JO233" s="432"/>
      <c r="JP233" s="432"/>
      <c r="JQ233" s="432"/>
      <c r="JR233" s="432"/>
      <c r="JS233" s="432"/>
      <c r="JT233" s="432"/>
      <c r="JU233" s="432"/>
      <c r="JV233" s="432"/>
      <c r="JW233" s="1810"/>
      <c r="JX233" s="432"/>
      <c r="JY233" s="432"/>
      <c r="JZ233" s="432"/>
      <c r="KA233" s="432"/>
      <c r="KB233" s="1810"/>
      <c r="KC233" s="432"/>
      <c r="KD233" s="432"/>
      <c r="KE233" s="432"/>
      <c r="KF233" s="432"/>
      <c r="KG233" s="1810"/>
      <c r="KH233" s="432"/>
      <c r="KI233" s="432"/>
      <c r="KJ233" s="432"/>
      <c r="KK233" s="432"/>
      <c r="KL233" s="1810"/>
      <c r="KM233" s="1810"/>
      <c r="KN233" s="1810"/>
      <c r="KO233" s="1810"/>
      <c r="KP233" s="1810"/>
      <c r="KQ233" s="1810"/>
      <c r="KR233" s="1810"/>
      <c r="KS233" s="1810"/>
      <c r="KT233" s="1810"/>
      <c r="KU233" s="1810"/>
      <c r="KV233" s="1810"/>
      <c r="KW233" s="1810"/>
      <c r="KX233" s="1810"/>
      <c r="KY233" s="1810"/>
      <c r="KZ233" s="1810"/>
      <c r="LA233" s="1810"/>
      <c r="LB233" s="1810"/>
      <c r="LC233" s="1810"/>
      <c r="LD233" s="1810"/>
      <c r="LE233" s="1810"/>
      <c r="LF233" s="1810"/>
      <c r="LG233" s="1810"/>
      <c r="LH233" s="432"/>
      <c r="LI233" s="432"/>
      <c r="LJ233" s="432"/>
      <c r="LK233" s="432"/>
      <c r="LL233" s="432"/>
      <c r="LM233" s="432"/>
      <c r="LN233" s="1811"/>
      <c r="LO233" s="432"/>
      <c r="LP233" s="432"/>
      <c r="LQ233" s="432"/>
      <c r="LR233" s="432"/>
      <c r="LS233" s="432"/>
      <c r="LT233" s="432"/>
      <c r="LU233" s="432"/>
      <c r="LV233" s="432"/>
      <c r="LW233" s="432"/>
      <c r="LX233" s="432"/>
      <c r="LY233" s="432"/>
      <c r="LZ233" s="432"/>
      <c r="MA233" s="432"/>
      <c r="MB233" s="432"/>
      <c r="MC233" s="432"/>
      <c r="MD233" s="1811"/>
      <c r="ME233" s="1811"/>
      <c r="MF233" s="432"/>
      <c r="MG233" s="432"/>
      <c r="MH233" s="432"/>
      <c r="MI233" s="432"/>
      <c r="MJ233" s="432"/>
      <c r="MK233" s="432"/>
      <c r="ML233" s="432"/>
      <c r="MM233" s="432"/>
      <c r="MN233" s="432"/>
      <c r="MO233" s="432"/>
      <c r="MP233" s="432"/>
      <c r="MQ233" s="432"/>
      <c r="MR233" s="432"/>
      <c r="MS233" s="432"/>
      <c r="MT233" s="432"/>
      <c r="MU233" s="432"/>
      <c r="MV233" s="93"/>
      <c r="MW233" s="93"/>
      <c r="MX233" s="93"/>
      <c r="MY233" s="93"/>
      <c r="MZ233" s="93"/>
      <c r="NA233" s="93"/>
      <c r="NB233" s="93"/>
      <c r="NC233" s="93"/>
      <c r="ND233" s="93"/>
      <c r="NE233" s="93"/>
      <c r="NF233" s="93"/>
      <c r="NG233" s="93"/>
      <c r="NH233" s="93"/>
      <c r="NI233" s="93"/>
      <c r="NJ233" s="93"/>
      <c r="NK233" s="93"/>
      <c r="NL233" s="93"/>
      <c r="NM233" s="93"/>
      <c r="NN233" s="93"/>
      <c r="NO233" s="93"/>
      <c r="NP233" s="2850"/>
      <c r="NQ233" s="93"/>
      <c r="NR233" s="93"/>
      <c r="NS233" s="93"/>
      <c r="NT233" s="93"/>
      <c r="NU233" s="93"/>
      <c r="NV233" s="93"/>
      <c r="NW233" s="93"/>
      <c r="NX233" s="93"/>
      <c r="NY233" s="93"/>
      <c r="NZ233" s="93"/>
      <c r="OA233" s="93"/>
      <c r="OB233" s="93"/>
      <c r="OC233" s="93"/>
      <c r="OD233" s="93"/>
      <c r="OE233" s="93"/>
      <c r="OF233" s="93"/>
      <c r="OG233" s="93"/>
      <c r="OH233" s="93"/>
      <c r="OI233" s="93"/>
      <c r="OJ233" s="93"/>
      <c r="OK233" s="93"/>
      <c r="OL233" s="93"/>
      <c r="OM233" s="93"/>
      <c r="ON233" s="93"/>
      <c r="OO233" s="93"/>
      <c r="OP233" s="93"/>
      <c r="OQ233" s="93"/>
      <c r="OR233" s="93"/>
      <c r="OS233" s="93"/>
      <c r="OT233" s="93"/>
      <c r="OU233" s="93"/>
      <c r="OV233" s="93"/>
      <c r="OW233" s="93"/>
      <c r="OX233" s="93"/>
      <c r="OY233" s="93"/>
      <c r="OZ233" s="93"/>
      <c r="PA233" s="93"/>
      <c r="PB233" s="93"/>
      <c r="PC233" s="93"/>
      <c r="PD233" s="93"/>
      <c r="PE233" s="93"/>
      <c r="PF233" s="93"/>
      <c r="PG233" s="93"/>
      <c r="PH233" s="93"/>
      <c r="PI233" s="93"/>
      <c r="PJ233" s="93"/>
      <c r="PK233" s="93"/>
      <c r="PL233" s="93"/>
      <c r="PM233" s="93"/>
      <c r="PN233" s="93"/>
      <c r="PO233" s="93"/>
      <c r="PP233" s="93"/>
      <c r="PQ233" s="93"/>
      <c r="PR233" s="93"/>
      <c r="PS233" s="93"/>
      <c r="PT233" s="93"/>
      <c r="PU233" s="93"/>
      <c r="PV233" s="93"/>
      <c r="PW233" s="93"/>
      <c r="PX233" s="93"/>
      <c r="PY233" s="93"/>
      <c r="PZ233" s="93"/>
      <c r="QA233" s="93"/>
      <c r="QB233" s="93"/>
      <c r="QC233" s="93"/>
      <c r="QD233" s="93"/>
      <c r="QE233" s="93"/>
      <c r="QF233" s="93"/>
      <c r="QG233" s="93"/>
      <c r="QH233" s="93"/>
      <c r="QI233" s="93"/>
      <c r="QJ233" s="93"/>
      <c r="QK233" s="93"/>
      <c r="QL233" s="93"/>
      <c r="QM233" s="93"/>
      <c r="QN233" s="93"/>
      <c r="QO233" s="93"/>
      <c r="QP233" s="93"/>
      <c r="QQ233" s="93"/>
      <c r="QR233" s="93"/>
      <c r="QS233" s="93"/>
      <c r="QT233" s="93"/>
      <c r="QU233" s="93"/>
      <c r="QV233" s="93"/>
      <c r="QW233" s="93"/>
      <c r="QX233" s="93"/>
      <c r="QY233" s="93"/>
      <c r="QZ233" s="93"/>
      <c r="RA233" s="93"/>
      <c r="RB233" s="93"/>
      <c r="RC233" s="93"/>
      <c r="RD233" s="93"/>
      <c r="RE233" s="93"/>
      <c r="RF233" s="93"/>
      <c r="RG233" s="93"/>
      <c r="RH233" s="93"/>
      <c r="RI233" s="93"/>
      <c r="RJ233" s="93"/>
      <c r="RK233" s="93"/>
      <c r="RL233" s="93"/>
      <c r="RM233" s="93"/>
      <c r="RN233" s="93"/>
      <c r="RO233" s="93"/>
      <c r="RP233" s="93"/>
      <c r="RQ233" s="93"/>
      <c r="RR233" s="93"/>
      <c r="RS233" s="93"/>
      <c r="RT233" s="93"/>
      <c r="RU233" s="93"/>
      <c r="RV233" s="93"/>
      <c r="RW233" s="93"/>
      <c r="RX233" s="93"/>
      <c r="RY233" s="93"/>
    </row>
    <row r="234" spans="1:493" s="90" customFormat="1" ht="15" customHeight="1">
      <c r="A234" s="1"/>
      <c r="B234" s="1"/>
      <c r="C234" s="1"/>
      <c r="D234" s="11"/>
      <c r="E234" s="1"/>
      <c r="F234" s="12"/>
      <c r="G234" s="12"/>
      <c r="H234" s="1"/>
      <c r="I234" s="93" t="s">
        <v>4121</v>
      </c>
      <c r="K234" s="438">
        <f>L234/12/P67</f>
        <v>13.888888888888889</v>
      </c>
      <c r="L234" s="3878">
        <v>12000</v>
      </c>
      <c r="M234" s="3879"/>
      <c r="N234" s="3864"/>
      <c r="O234" s="865" t="s">
        <v>2560</v>
      </c>
      <c r="P234" s="765" t="s">
        <v>3420</v>
      </c>
      <c r="Q234" s="867" t="s">
        <v>3173</v>
      </c>
      <c r="R234" s="5"/>
      <c r="S234" s="3833"/>
      <c r="T234" s="3834"/>
      <c r="U234" s="3834"/>
      <c r="V234" s="3834"/>
      <c r="W234" s="3835"/>
      <c r="X234" s="432"/>
      <c r="Y234" s="432"/>
      <c r="Z234" s="432"/>
      <c r="AA234" s="432"/>
      <c r="AB234" s="432"/>
      <c r="AC234" s="432"/>
      <c r="AD234" s="432"/>
      <c r="AE234" s="432"/>
      <c r="AF234" s="432"/>
      <c r="AG234" s="432"/>
      <c r="AH234" s="432"/>
      <c r="AI234" s="432"/>
      <c r="AJ234" s="432"/>
      <c r="AK234" s="432"/>
      <c r="AL234" s="432"/>
      <c r="AM234" s="432"/>
      <c r="AN234" s="432"/>
      <c r="AO234" s="432"/>
      <c r="AP234" s="432"/>
      <c r="AQ234" s="432"/>
      <c r="AR234" s="432"/>
      <c r="AS234" s="432"/>
      <c r="AT234" s="432"/>
      <c r="AU234" s="432"/>
      <c r="AV234" s="432"/>
      <c r="AW234" s="432"/>
      <c r="AX234" s="432"/>
      <c r="AY234" s="432"/>
      <c r="AZ234" s="432"/>
      <c r="BA234" s="432"/>
      <c r="BB234" s="432"/>
      <c r="BC234" s="432"/>
      <c r="BD234" s="432"/>
      <c r="BE234" s="432"/>
      <c r="BF234" s="432"/>
      <c r="BG234" s="432"/>
      <c r="BH234" s="432"/>
      <c r="BI234" s="432"/>
      <c r="BJ234" s="432"/>
      <c r="BK234" s="432"/>
      <c r="BL234" s="432"/>
      <c r="BM234" s="432"/>
      <c r="BN234" s="432"/>
      <c r="BO234" s="432"/>
      <c r="BP234" s="432"/>
      <c r="BQ234" s="432"/>
      <c r="BR234" s="432"/>
      <c r="BS234" s="432"/>
      <c r="BT234" s="432"/>
      <c r="BU234" s="432"/>
      <c r="BV234" s="432"/>
      <c r="BW234" s="432"/>
      <c r="BX234" s="432"/>
      <c r="BY234" s="432"/>
      <c r="BZ234" s="432"/>
      <c r="CA234" s="432"/>
      <c r="CB234" s="432"/>
      <c r="CC234" s="432"/>
      <c r="CD234" s="432"/>
      <c r="CE234" s="432"/>
      <c r="CF234" s="432"/>
      <c r="CG234" s="432"/>
      <c r="CH234" s="432"/>
      <c r="CI234" s="432"/>
      <c r="CJ234" s="432"/>
      <c r="CK234" s="432"/>
      <c r="CL234" s="432"/>
      <c r="CM234" s="432"/>
      <c r="CN234" s="432"/>
      <c r="CO234" s="432"/>
      <c r="CP234" s="432"/>
      <c r="CQ234" s="432"/>
      <c r="CR234" s="432"/>
      <c r="CS234" s="432"/>
      <c r="CT234" s="432"/>
      <c r="CU234" s="432"/>
      <c r="CV234" s="432"/>
      <c r="CW234" s="432"/>
      <c r="CX234" s="432"/>
      <c r="CY234" s="432"/>
      <c r="CZ234" s="432"/>
      <c r="DA234" s="432"/>
      <c r="DB234" s="432"/>
      <c r="DC234" s="432"/>
      <c r="DD234" s="432"/>
      <c r="DE234" s="432"/>
      <c r="DF234" s="432"/>
      <c r="DG234" s="432"/>
      <c r="DH234" s="432"/>
      <c r="DI234" s="432"/>
      <c r="DJ234" s="432"/>
      <c r="DK234" s="432"/>
      <c r="DL234" s="432"/>
      <c r="DM234" s="432"/>
      <c r="DN234" s="432"/>
      <c r="DO234" s="432"/>
      <c r="DP234" s="432"/>
      <c r="DQ234" s="432"/>
      <c r="DR234" s="432"/>
      <c r="DS234" s="432"/>
      <c r="DT234" s="432"/>
      <c r="DU234" s="432"/>
      <c r="DV234" s="432"/>
      <c r="DW234" s="432"/>
      <c r="DX234" s="432"/>
      <c r="DY234" s="432"/>
      <c r="DZ234" s="432"/>
      <c r="EA234" s="432"/>
      <c r="EB234" s="432"/>
      <c r="EC234" s="432"/>
      <c r="ED234" s="432"/>
      <c r="EE234" s="432"/>
      <c r="EF234" s="432"/>
      <c r="EG234" s="432"/>
      <c r="EH234" s="432"/>
      <c r="EI234" s="432"/>
      <c r="EJ234" s="432"/>
      <c r="EK234" s="432"/>
      <c r="EL234" s="432"/>
      <c r="EM234" s="432"/>
      <c r="EN234" s="432"/>
      <c r="EO234" s="432"/>
      <c r="EP234" s="432"/>
      <c r="EQ234" s="432"/>
      <c r="ER234" s="432"/>
      <c r="ES234" s="432"/>
      <c r="ET234" s="432"/>
      <c r="EU234" s="432"/>
      <c r="EV234" s="432"/>
      <c r="EW234" s="432"/>
      <c r="EX234" s="432"/>
      <c r="EY234" s="432"/>
      <c r="EZ234" s="432"/>
      <c r="FA234" s="432"/>
      <c r="FB234" s="432"/>
      <c r="FC234" s="432"/>
      <c r="FD234" s="432"/>
      <c r="FE234" s="432"/>
      <c r="FF234" s="432"/>
      <c r="FG234" s="432"/>
      <c r="FH234" s="432"/>
      <c r="FI234" s="432"/>
      <c r="FJ234" s="432"/>
      <c r="FK234" s="432"/>
      <c r="FL234" s="432"/>
      <c r="FM234" s="432"/>
      <c r="FN234" s="432"/>
      <c r="FO234" s="432"/>
      <c r="FP234" s="432"/>
      <c r="FQ234" s="432"/>
      <c r="FR234" s="432"/>
      <c r="FS234" s="432"/>
      <c r="FT234" s="432"/>
      <c r="FU234" s="432"/>
      <c r="FV234" s="432"/>
      <c r="FW234" s="432"/>
      <c r="FX234" s="432"/>
      <c r="FY234" s="432"/>
      <c r="FZ234" s="432"/>
      <c r="GA234" s="432"/>
      <c r="GB234" s="432"/>
      <c r="GC234" s="432"/>
      <c r="GD234" s="432"/>
      <c r="GE234" s="432"/>
      <c r="GF234" s="432"/>
      <c r="GG234" s="432"/>
      <c r="GH234" s="432"/>
      <c r="GI234" s="432"/>
      <c r="GJ234" s="432"/>
      <c r="GK234" s="432"/>
      <c r="GL234" s="432"/>
      <c r="GM234" s="432"/>
      <c r="GN234" s="432"/>
      <c r="GO234" s="432"/>
      <c r="GP234" s="432"/>
      <c r="GQ234" s="432"/>
      <c r="GR234" s="432"/>
      <c r="GS234" s="432"/>
      <c r="GT234" s="432"/>
      <c r="GU234" s="432"/>
      <c r="GV234" s="432"/>
      <c r="GW234" s="432"/>
      <c r="GX234" s="432"/>
      <c r="GY234" s="432"/>
      <c r="GZ234" s="432"/>
      <c r="HA234" s="432"/>
      <c r="HB234" s="432"/>
      <c r="HC234" s="432"/>
      <c r="HD234" s="432"/>
      <c r="HE234" s="432"/>
      <c r="HF234" s="432"/>
      <c r="HG234" s="432"/>
      <c r="HH234" s="432"/>
      <c r="HI234" s="432"/>
      <c r="HJ234" s="432"/>
      <c r="HK234" s="432"/>
      <c r="HL234" s="432"/>
      <c r="HM234" s="432"/>
      <c r="HN234" s="432"/>
      <c r="HO234" s="432"/>
      <c r="HP234" s="432"/>
      <c r="HQ234" s="432"/>
      <c r="HR234" s="432"/>
      <c r="HS234" s="432"/>
      <c r="HT234" s="432"/>
      <c r="HU234" s="432"/>
      <c r="HV234" s="432"/>
      <c r="HW234" s="432"/>
      <c r="HX234" s="432"/>
      <c r="HY234" s="432"/>
      <c r="HZ234" s="432"/>
      <c r="IA234" s="432"/>
      <c r="IB234" s="432"/>
      <c r="IC234" s="432"/>
      <c r="ID234" s="432"/>
      <c r="IE234" s="432"/>
      <c r="IF234" s="432"/>
      <c r="IG234" s="432"/>
      <c r="IH234" s="432"/>
      <c r="II234" s="432"/>
      <c r="IJ234" s="432"/>
      <c r="IK234" s="432"/>
      <c r="IL234" s="432"/>
      <c r="IM234" s="432"/>
      <c r="IN234" s="432"/>
      <c r="IO234" s="432"/>
      <c r="IP234" s="432"/>
      <c r="IQ234" s="432"/>
      <c r="IR234" s="432"/>
      <c r="IS234" s="432"/>
      <c r="IT234" s="432"/>
      <c r="IU234" s="432"/>
      <c r="IV234" s="432"/>
      <c r="IW234" s="432"/>
      <c r="IX234" s="432"/>
      <c r="IY234" s="432"/>
      <c r="IZ234" s="432"/>
      <c r="JA234" s="432"/>
      <c r="JB234" s="432"/>
      <c r="JC234" s="432"/>
      <c r="JD234" s="432"/>
      <c r="JE234" s="432"/>
      <c r="JF234" s="432"/>
      <c r="JG234" s="432"/>
      <c r="JH234" s="432"/>
      <c r="JI234" s="432"/>
      <c r="JJ234" s="432"/>
      <c r="JK234" s="432"/>
      <c r="JL234" s="432"/>
      <c r="JM234" s="432"/>
      <c r="JN234" s="432"/>
      <c r="JO234" s="432"/>
      <c r="JP234" s="432"/>
      <c r="JQ234" s="432"/>
      <c r="JR234" s="432"/>
      <c r="JS234" s="432"/>
      <c r="JT234" s="432"/>
      <c r="JU234" s="432"/>
      <c r="JV234" s="432"/>
      <c r="JW234" s="1810"/>
      <c r="JX234" s="432"/>
      <c r="JY234" s="432"/>
      <c r="JZ234" s="432"/>
      <c r="KA234" s="432"/>
      <c r="KB234" s="1810"/>
      <c r="KC234" s="432"/>
      <c r="KD234" s="432"/>
      <c r="KE234" s="432"/>
      <c r="KF234" s="432"/>
      <c r="KG234" s="1810"/>
      <c r="KH234" s="432"/>
      <c r="KI234" s="432"/>
      <c r="KJ234" s="432"/>
      <c r="KK234" s="432"/>
      <c r="KL234" s="1810"/>
      <c r="KM234" s="1810"/>
      <c r="KN234" s="1810"/>
      <c r="KO234" s="1810"/>
      <c r="KP234" s="1810"/>
      <c r="KQ234" s="1810"/>
      <c r="KR234" s="1810"/>
      <c r="KS234" s="1810"/>
      <c r="KT234" s="1810"/>
      <c r="KU234" s="1810"/>
      <c r="KV234" s="1810"/>
      <c r="KW234" s="1810"/>
      <c r="KX234" s="1810"/>
      <c r="KY234" s="1810"/>
      <c r="KZ234" s="1810"/>
      <c r="LA234" s="1810"/>
      <c r="LB234" s="1810"/>
      <c r="LC234" s="1810"/>
      <c r="LD234" s="1810"/>
      <c r="LE234" s="1810"/>
      <c r="LF234" s="1810"/>
      <c r="LG234" s="1810"/>
      <c r="LH234" s="432"/>
      <c r="LI234" s="432"/>
      <c r="LJ234" s="432"/>
      <c r="LK234" s="432"/>
      <c r="LL234" s="432"/>
      <c r="LM234" s="432"/>
      <c r="LN234" s="1811"/>
      <c r="LO234" s="432"/>
      <c r="LP234" s="432"/>
      <c r="LQ234" s="432"/>
      <c r="LR234" s="432"/>
      <c r="LS234" s="432"/>
      <c r="LT234" s="432"/>
      <c r="LU234" s="432"/>
      <c r="LV234" s="432"/>
      <c r="LW234" s="432"/>
      <c r="LX234" s="432"/>
      <c r="LY234" s="432"/>
      <c r="LZ234" s="432"/>
      <c r="MA234" s="432"/>
      <c r="MB234" s="432"/>
      <c r="MC234" s="432"/>
      <c r="MD234" s="1811"/>
      <c r="ME234" s="1811"/>
      <c r="MF234" s="432"/>
      <c r="MG234" s="432"/>
      <c r="MH234" s="432"/>
      <c r="MI234" s="432"/>
      <c r="MJ234" s="432"/>
      <c r="MK234" s="432"/>
      <c r="ML234" s="432"/>
      <c r="MM234" s="432"/>
      <c r="MN234" s="432"/>
      <c r="MO234" s="432"/>
      <c r="MP234" s="432"/>
      <c r="MQ234" s="432"/>
      <c r="MR234" s="432"/>
      <c r="MS234" s="432"/>
      <c r="MT234" s="432"/>
      <c r="MU234" s="432"/>
      <c r="MV234" s="93"/>
      <c r="MW234" s="93"/>
      <c r="MX234" s="93"/>
      <c r="MY234" s="93"/>
      <c r="MZ234" s="93"/>
      <c r="NA234" s="93"/>
      <c r="NB234" s="93"/>
      <c r="NC234" s="93"/>
      <c r="ND234" s="93"/>
      <c r="NE234" s="93"/>
      <c r="NF234" s="93"/>
      <c r="NG234" s="93"/>
      <c r="NH234" s="93"/>
      <c r="NI234" s="93"/>
      <c r="NJ234" s="93"/>
      <c r="NK234" s="93"/>
      <c r="NL234" s="93"/>
      <c r="NM234" s="93"/>
      <c r="NN234" s="93"/>
      <c r="NO234" s="93"/>
      <c r="NP234" s="2850" t="s">
        <v>6691</v>
      </c>
      <c r="NQ234" s="93"/>
      <c r="NR234" s="93"/>
      <c r="NS234" s="93"/>
      <c r="NT234" s="93"/>
      <c r="NU234" s="93"/>
      <c r="NV234" s="93"/>
      <c r="NW234" s="93"/>
      <c r="NX234" s="93"/>
      <c r="NY234" s="93"/>
      <c r="NZ234" s="93"/>
      <c r="OA234" s="93"/>
      <c r="OB234" s="93"/>
      <c r="OC234" s="93"/>
      <c r="OD234" s="93"/>
      <c r="OE234" s="93"/>
      <c r="OF234" s="93"/>
      <c r="OG234" s="93"/>
      <c r="OH234" s="93"/>
      <c r="OI234" s="93"/>
      <c r="OJ234" s="93"/>
      <c r="OK234" s="93"/>
      <c r="OL234" s="93"/>
      <c r="OM234" s="93"/>
      <c r="ON234" s="93"/>
      <c r="OO234" s="93"/>
      <c r="OP234" s="93"/>
      <c r="OQ234" s="93"/>
      <c r="OR234" s="93"/>
      <c r="OS234" s="93"/>
      <c r="OT234" s="93"/>
      <c r="OU234" s="93"/>
      <c r="OV234" s="93"/>
      <c r="OW234" s="93"/>
      <c r="OX234" s="93"/>
      <c r="OY234" s="93"/>
      <c r="OZ234" s="93"/>
      <c r="PA234" s="93"/>
      <c r="PB234" s="93"/>
      <c r="PC234" s="93"/>
      <c r="PD234" s="93"/>
      <c r="PE234" s="93"/>
      <c r="PF234" s="93"/>
      <c r="PG234" s="93"/>
      <c r="PH234" s="93"/>
      <c r="PI234" s="93"/>
      <c r="PJ234" s="93"/>
      <c r="PK234" s="93"/>
      <c r="PL234" s="93"/>
      <c r="PM234" s="93"/>
      <c r="PN234" s="93"/>
      <c r="PO234" s="93"/>
      <c r="PP234" s="93"/>
      <c r="PQ234" s="93"/>
      <c r="PR234" s="93"/>
      <c r="PS234" s="93"/>
      <c r="PT234" s="93"/>
      <c r="PU234" s="93"/>
      <c r="PV234" s="93"/>
      <c r="PW234" s="93"/>
      <c r="PX234" s="93"/>
      <c r="PY234" s="93"/>
      <c r="PZ234" s="93"/>
      <c r="QA234" s="93"/>
      <c r="QB234" s="93"/>
      <c r="QC234" s="93"/>
      <c r="QD234" s="93"/>
      <c r="QE234" s="93"/>
      <c r="QF234" s="93"/>
      <c r="QG234" s="93"/>
      <c r="QH234" s="93"/>
      <c r="QI234" s="93"/>
      <c r="QJ234" s="93"/>
      <c r="QK234" s="93"/>
      <c r="QL234" s="93"/>
      <c r="QM234" s="93"/>
      <c r="QN234" s="93"/>
      <c r="QO234" s="93"/>
      <c r="QP234" s="93"/>
      <c r="QQ234" s="93"/>
      <c r="QR234" s="93"/>
      <c r="QS234" s="93"/>
      <c r="QT234" s="93"/>
      <c r="QU234" s="93"/>
      <c r="QV234" s="93"/>
      <c r="QW234" s="93"/>
      <c r="QX234" s="93"/>
      <c r="QY234" s="93"/>
      <c r="QZ234" s="93"/>
      <c r="RA234" s="93"/>
      <c r="RB234" s="93"/>
      <c r="RC234" s="93"/>
      <c r="RD234" s="93"/>
      <c r="RE234" s="93"/>
      <c r="RF234" s="93"/>
      <c r="RG234" s="93"/>
      <c r="RH234" s="93"/>
      <c r="RI234" s="93"/>
      <c r="RJ234" s="93"/>
      <c r="RK234" s="93"/>
      <c r="RL234" s="93"/>
      <c r="RM234" s="93"/>
      <c r="RN234" s="93"/>
      <c r="RO234" s="93"/>
      <c r="RP234" s="93"/>
      <c r="RQ234" s="93"/>
      <c r="RR234" s="93"/>
      <c r="RS234" s="93"/>
      <c r="RT234" s="93"/>
      <c r="RU234" s="93"/>
      <c r="RV234" s="93"/>
      <c r="RW234" s="93"/>
      <c r="RX234" s="93"/>
      <c r="RY234" s="93"/>
    </row>
    <row r="235" spans="1:493" s="90" customFormat="1" ht="15.75" customHeight="1">
      <c r="A235" s="1"/>
      <c r="B235" s="10" t="s">
        <v>1245</v>
      </c>
      <c r="C235" s="1"/>
      <c r="D235" s="9"/>
      <c r="E235" s="1"/>
      <c r="F235" s="1"/>
      <c r="G235" s="1"/>
      <c r="H235" s="1"/>
      <c r="I235" s="1" t="s">
        <v>1322</v>
      </c>
      <c r="K235" s="1"/>
      <c r="L235" s="3878">
        <v>8000</v>
      </c>
      <c r="M235" s="3879"/>
      <c r="N235" s="3864"/>
      <c r="O235" s="568" t="s">
        <v>36</v>
      </c>
      <c r="P235" s="569"/>
      <c r="Q235" s="570"/>
      <c r="R235" s="769"/>
      <c r="S235" s="3833"/>
      <c r="T235" s="3834"/>
      <c r="U235" s="3834"/>
      <c r="V235" s="3834"/>
      <c r="W235" s="3835"/>
      <c r="X235" s="430"/>
      <c r="Y235" s="432"/>
      <c r="Z235" s="432"/>
      <c r="AA235" s="432"/>
      <c r="AB235" s="432"/>
      <c r="AC235" s="430"/>
      <c r="AD235" s="432"/>
      <c r="AE235" s="432"/>
      <c r="AF235" s="432"/>
      <c r="AG235" s="432"/>
      <c r="AH235" s="430"/>
      <c r="AI235" s="432"/>
      <c r="AJ235" s="432"/>
      <c r="AK235" s="432"/>
      <c r="AL235" s="432"/>
      <c r="AM235" s="430"/>
      <c r="AN235" s="432"/>
      <c r="AO235" s="432"/>
      <c r="AP235" s="432"/>
      <c r="AQ235" s="432"/>
      <c r="AR235" s="432"/>
      <c r="AS235" s="432"/>
      <c r="AT235" s="432"/>
      <c r="AU235" s="432"/>
      <c r="AV235" s="432"/>
      <c r="AW235" s="432"/>
      <c r="AX235" s="432"/>
      <c r="AY235" s="432"/>
      <c r="AZ235" s="432"/>
      <c r="BA235" s="432"/>
      <c r="BB235" s="432"/>
      <c r="BC235" s="432"/>
      <c r="BD235" s="432"/>
      <c r="BE235" s="432"/>
      <c r="BF235" s="432"/>
      <c r="BG235" s="432"/>
      <c r="BH235" s="432"/>
      <c r="BI235" s="432"/>
      <c r="BJ235" s="432"/>
      <c r="BK235" s="432"/>
      <c r="BL235" s="432"/>
      <c r="BM235" s="432"/>
      <c r="BN235" s="432"/>
      <c r="BO235" s="432"/>
      <c r="BP235" s="432"/>
      <c r="BQ235" s="432"/>
      <c r="BR235" s="432"/>
      <c r="BS235" s="432"/>
      <c r="BT235" s="432"/>
      <c r="BU235" s="432"/>
      <c r="BV235" s="432"/>
      <c r="BW235" s="432"/>
      <c r="BX235" s="432"/>
      <c r="BY235" s="432"/>
      <c r="BZ235" s="432"/>
      <c r="CA235" s="432"/>
      <c r="CB235" s="432"/>
      <c r="CC235" s="432"/>
      <c r="CD235" s="432"/>
      <c r="CE235" s="432"/>
      <c r="CF235" s="432"/>
      <c r="CG235" s="432"/>
      <c r="CH235" s="432"/>
      <c r="CI235" s="432"/>
      <c r="CJ235" s="432"/>
      <c r="CK235" s="432"/>
      <c r="CL235" s="432"/>
      <c r="CM235" s="432"/>
      <c r="CN235" s="432"/>
      <c r="CO235" s="432"/>
      <c r="CP235" s="432"/>
      <c r="CQ235" s="432"/>
      <c r="CR235" s="432"/>
      <c r="CS235" s="432"/>
      <c r="CT235" s="432"/>
      <c r="CU235" s="432"/>
      <c r="CV235" s="432"/>
      <c r="CW235" s="432"/>
      <c r="CX235" s="432"/>
      <c r="CY235" s="432"/>
      <c r="CZ235" s="432"/>
      <c r="DA235" s="432"/>
      <c r="DB235" s="432"/>
      <c r="DC235" s="432"/>
      <c r="DD235" s="432"/>
      <c r="DE235" s="432"/>
      <c r="DF235" s="432"/>
      <c r="DG235" s="432"/>
      <c r="DH235" s="432"/>
      <c r="DI235" s="432"/>
      <c r="DJ235" s="432"/>
      <c r="DK235" s="432"/>
      <c r="DL235" s="432"/>
      <c r="DM235" s="432"/>
      <c r="DN235" s="432"/>
      <c r="DO235" s="432"/>
      <c r="DP235" s="432"/>
      <c r="DQ235" s="432"/>
      <c r="DR235" s="432"/>
      <c r="DS235" s="432"/>
      <c r="DT235" s="432"/>
      <c r="DU235" s="432"/>
      <c r="DV235" s="432"/>
      <c r="DW235" s="432"/>
      <c r="DX235" s="432"/>
      <c r="DY235" s="432"/>
      <c r="DZ235" s="432"/>
      <c r="EA235" s="432"/>
      <c r="EB235" s="432"/>
      <c r="EC235" s="432"/>
      <c r="ED235" s="432"/>
      <c r="EE235" s="432"/>
      <c r="EF235" s="432"/>
      <c r="EG235" s="432"/>
      <c r="EH235" s="432"/>
      <c r="EI235" s="432"/>
      <c r="EJ235" s="432"/>
      <c r="EK235" s="432"/>
      <c r="EL235" s="432"/>
      <c r="EM235" s="432"/>
      <c r="EN235" s="432"/>
      <c r="EO235" s="432"/>
      <c r="EP235" s="432"/>
      <c r="EQ235" s="432"/>
      <c r="ER235" s="432"/>
      <c r="ES235" s="432"/>
      <c r="ET235" s="432"/>
      <c r="EU235" s="432"/>
      <c r="EV235" s="432"/>
      <c r="EW235" s="432"/>
      <c r="EX235" s="432"/>
      <c r="EY235" s="432"/>
      <c r="EZ235" s="432"/>
      <c r="FA235" s="432"/>
      <c r="FB235" s="432"/>
      <c r="FC235" s="432"/>
      <c r="FD235" s="432"/>
      <c r="FE235" s="432"/>
      <c r="FF235" s="432"/>
      <c r="FG235" s="432"/>
      <c r="FH235" s="432"/>
      <c r="FI235" s="432"/>
      <c r="FJ235" s="432"/>
      <c r="FK235" s="432"/>
      <c r="FL235" s="432"/>
      <c r="FM235" s="432"/>
      <c r="FN235" s="432"/>
      <c r="FO235" s="432"/>
      <c r="FP235" s="432"/>
      <c r="FQ235" s="432"/>
      <c r="FR235" s="432"/>
      <c r="FS235" s="432"/>
      <c r="FT235" s="432"/>
      <c r="FU235" s="432"/>
      <c r="FV235" s="432"/>
      <c r="FW235" s="432"/>
      <c r="FX235" s="432"/>
      <c r="FY235" s="432"/>
      <c r="FZ235" s="432"/>
      <c r="GA235" s="432"/>
      <c r="GB235" s="432"/>
      <c r="GC235" s="432"/>
      <c r="GD235" s="432"/>
      <c r="GE235" s="432"/>
      <c r="GF235" s="432"/>
      <c r="GG235" s="432"/>
      <c r="GH235" s="432"/>
      <c r="GI235" s="432"/>
      <c r="GJ235" s="432"/>
      <c r="GK235" s="432"/>
      <c r="GL235" s="432"/>
      <c r="GM235" s="432"/>
      <c r="GN235" s="432"/>
      <c r="GO235" s="432"/>
      <c r="GP235" s="432"/>
      <c r="GQ235" s="432"/>
      <c r="GR235" s="432"/>
      <c r="GS235" s="432"/>
      <c r="GT235" s="432"/>
      <c r="GU235" s="432"/>
      <c r="GV235" s="432"/>
      <c r="GW235" s="432"/>
      <c r="GX235" s="432"/>
      <c r="GY235" s="432"/>
      <c r="GZ235" s="432"/>
      <c r="HA235" s="432"/>
      <c r="HB235" s="432"/>
      <c r="HC235" s="432"/>
      <c r="HD235" s="432"/>
      <c r="HE235" s="432"/>
      <c r="HF235" s="432"/>
      <c r="HG235" s="432"/>
      <c r="HH235" s="432"/>
      <c r="HI235" s="432"/>
      <c r="HJ235" s="432"/>
      <c r="HK235" s="432"/>
      <c r="HL235" s="432"/>
      <c r="HM235" s="432"/>
      <c r="HN235" s="432"/>
      <c r="HO235" s="432"/>
      <c r="HP235" s="432"/>
      <c r="HQ235" s="432"/>
      <c r="HR235" s="432"/>
      <c r="HS235" s="432"/>
      <c r="HT235" s="432"/>
      <c r="HU235" s="432"/>
      <c r="HV235" s="432"/>
      <c r="HW235" s="432"/>
      <c r="HX235" s="432"/>
      <c r="HY235" s="432"/>
      <c r="HZ235" s="432"/>
      <c r="IA235" s="432"/>
      <c r="IB235" s="432"/>
      <c r="IC235" s="432"/>
      <c r="ID235" s="432"/>
      <c r="IE235" s="432"/>
      <c r="IF235" s="432"/>
      <c r="IG235" s="432"/>
      <c r="IH235" s="432"/>
      <c r="II235" s="432"/>
      <c r="IJ235" s="432"/>
      <c r="IK235" s="432"/>
      <c r="IL235" s="432"/>
      <c r="IM235" s="432"/>
      <c r="IN235" s="432"/>
      <c r="IO235" s="432"/>
      <c r="IP235" s="432"/>
      <c r="IQ235" s="432"/>
      <c r="IR235" s="432"/>
      <c r="IS235" s="432"/>
      <c r="IT235" s="432"/>
      <c r="IU235" s="432"/>
      <c r="IV235" s="432"/>
      <c r="IW235" s="432"/>
      <c r="IX235" s="432"/>
      <c r="IY235" s="432"/>
      <c r="IZ235" s="432"/>
      <c r="JA235" s="432"/>
      <c r="JB235" s="432"/>
      <c r="JC235" s="432"/>
      <c r="JD235" s="432"/>
      <c r="JE235" s="432"/>
      <c r="JF235" s="432"/>
      <c r="JG235" s="432"/>
      <c r="JH235" s="432"/>
      <c r="JI235" s="432"/>
      <c r="JJ235" s="432"/>
      <c r="JK235" s="432"/>
      <c r="JL235" s="432"/>
      <c r="JM235" s="432"/>
      <c r="JN235" s="432"/>
      <c r="JO235" s="432"/>
      <c r="JP235" s="432"/>
      <c r="JQ235" s="432"/>
      <c r="JR235" s="432"/>
      <c r="JS235" s="432"/>
      <c r="JT235" s="432"/>
      <c r="JU235" s="432"/>
      <c r="JV235" s="432"/>
      <c r="JW235" s="1810"/>
      <c r="JX235" s="432"/>
      <c r="JY235" s="432"/>
      <c r="JZ235" s="432"/>
      <c r="KA235" s="432"/>
      <c r="KB235" s="1810"/>
      <c r="KC235" s="432"/>
      <c r="KD235" s="432"/>
      <c r="KE235" s="432"/>
      <c r="KF235" s="432"/>
      <c r="KG235" s="1810"/>
      <c r="KH235" s="432"/>
      <c r="KI235" s="432"/>
      <c r="KJ235" s="432"/>
      <c r="KK235" s="432"/>
      <c r="KL235" s="1810"/>
      <c r="KM235" s="1810"/>
      <c r="KN235" s="1810"/>
      <c r="KO235" s="1810"/>
      <c r="KP235" s="1810"/>
      <c r="KQ235" s="1810"/>
      <c r="KR235" s="1810"/>
      <c r="KS235" s="1810"/>
      <c r="KT235" s="1810"/>
      <c r="KU235" s="1810"/>
      <c r="KV235" s="1810"/>
      <c r="KW235" s="1810"/>
      <c r="KX235" s="1810"/>
      <c r="KY235" s="1810"/>
      <c r="KZ235" s="1810"/>
      <c r="LA235" s="1810"/>
      <c r="LB235" s="1810"/>
      <c r="LC235" s="1810"/>
      <c r="LD235" s="1810"/>
      <c r="LE235" s="1810"/>
      <c r="LF235" s="1810"/>
      <c r="LG235" s="1810"/>
      <c r="LH235" s="432"/>
      <c r="LI235" s="432"/>
      <c r="LJ235" s="432"/>
      <c r="LK235" s="432"/>
      <c r="LL235" s="432"/>
      <c r="LM235" s="432"/>
      <c r="LN235" s="1811"/>
      <c r="LO235" s="432"/>
      <c r="LP235" s="432"/>
      <c r="LQ235" s="432"/>
      <c r="LR235" s="432"/>
      <c r="LS235" s="432"/>
      <c r="LT235" s="432"/>
      <c r="LU235" s="432"/>
      <c r="LV235" s="432"/>
      <c r="LW235" s="432"/>
      <c r="LX235" s="432"/>
      <c r="LY235" s="432"/>
      <c r="LZ235" s="432"/>
      <c r="MA235" s="432"/>
      <c r="MB235" s="432"/>
      <c r="MC235" s="432"/>
      <c r="MD235" s="1811"/>
      <c r="ME235" s="1811"/>
      <c r="MF235" s="432"/>
      <c r="MG235" s="432"/>
      <c r="MH235" s="432"/>
      <c r="MI235" s="432"/>
      <c r="MJ235" s="432"/>
      <c r="MK235" s="432"/>
      <c r="ML235" s="432"/>
      <c r="MM235" s="432"/>
      <c r="MN235" s="432"/>
      <c r="MO235" s="432"/>
      <c r="MP235" s="432"/>
      <c r="MQ235" s="432"/>
      <c r="MR235" s="432"/>
      <c r="MS235" s="432"/>
      <c r="MT235" s="432"/>
      <c r="MU235" s="432"/>
      <c r="MV235" s="93"/>
      <c r="MW235" s="93"/>
      <c r="MX235" s="93"/>
      <c r="MY235" s="93"/>
      <c r="MZ235" s="93"/>
      <c r="NA235" s="93"/>
      <c r="NB235" s="93"/>
      <c r="NC235" s="93"/>
      <c r="ND235" s="93"/>
      <c r="NE235" s="93"/>
      <c r="NF235" s="93"/>
      <c r="NG235" s="93"/>
      <c r="NH235" s="93"/>
      <c r="NI235" s="93"/>
      <c r="NJ235" s="93"/>
      <c r="NK235" s="93"/>
      <c r="NL235" s="93"/>
      <c r="NM235" s="93"/>
      <c r="NN235" s="93"/>
      <c r="NO235" s="93"/>
      <c r="NP235" s="2850"/>
      <c r="NQ235" s="93"/>
      <c r="NR235" s="93"/>
      <c r="NS235" s="93"/>
      <c r="NT235" s="93"/>
      <c r="NU235" s="93"/>
      <c r="NV235" s="93"/>
      <c r="NW235" s="93"/>
      <c r="NX235" s="93"/>
      <c r="NY235" s="93"/>
      <c r="NZ235" s="93"/>
      <c r="OA235" s="93"/>
      <c r="OB235" s="93"/>
      <c r="OC235" s="93"/>
      <c r="OD235" s="93"/>
      <c r="OE235" s="93"/>
      <c r="OF235" s="93"/>
      <c r="OG235" s="93"/>
      <c r="OH235" s="93"/>
      <c r="OI235" s="93"/>
      <c r="OJ235" s="93"/>
      <c r="OK235" s="93"/>
      <c r="OL235" s="93"/>
      <c r="OM235" s="93"/>
      <c r="ON235" s="93"/>
      <c r="OO235" s="93"/>
      <c r="OP235" s="93"/>
      <c r="OQ235" s="93"/>
      <c r="OR235" s="93"/>
      <c r="OS235" s="93"/>
      <c r="OT235" s="93"/>
      <c r="OU235" s="93"/>
      <c r="OV235" s="93"/>
      <c r="OW235" s="93"/>
      <c r="OX235" s="93"/>
      <c r="OY235" s="93"/>
      <c r="OZ235" s="93"/>
      <c r="PA235" s="93"/>
      <c r="PB235" s="93"/>
      <c r="PC235" s="93"/>
      <c r="PD235" s="93"/>
      <c r="PE235" s="93"/>
      <c r="PF235" s="93"/>
      <c r="PG235" s="93"/>
      <c r="PH235" s="93"/>
      <c r="PI235" s="93"/>
      <c r="PJ235" s="93"/>
      <c r="PK235" s="93"/>
      <c r="PL235" s="93"/>
      <c r="PM235" s="93"/>
      <c r="PN235" s="93"/>
      <c r="PO235" s="93"/>
      <c r="PP235" s="93"/>
      <c r="PQ235" s="93"/>
      <c r="PR235" s="93"/>
      <c r="PS235" s="93"/>
      <c r="PT235" s="93"/>
      <c r="PU235" s="93"/>
      <c r="PV235" s="93"/>
      <c r="PW235" s="93"/>
      <c r="PX235" s="93"/>
      <c r="PY235" s="93"/>
      <c r="PZ235" s="93"/>
      <c r="QA235" s="93"/>
      <c r="QB235" s="93"/>
      <c r="QC235" s="93"/>
      <c r="QD235" s="93"/>
      <c r="QE235" s="93"/>
      <c r="QF235" s="93"/>
      <c r="QG235" s="93"/>
      <c r="QH235" s="93"/>
      <c r="QI235" s="93"/>
      <c r="QJ235" s="93"/>
      <c r="QK235" s="93"/>
      <c r="QL235" s="93"/>
      <c r="QM235" s="93"/>
      <c r="QN235" s="93"/>
      <c r="QO235" s="93"/>
      <c r="QP235" s="93"/>
      <c r="QQ235" s="93"/>
      <c r="QR235" s="93"/>
      <c r="QS235" s="93"/>
      <c r="QT235" s="93"/>
      <c r="QU235" s="93"/>
      <c r="QV235" s="93"/>
      <c r="QW235" s="93"/>
      <c r="QX235" s="93"/>
      <c r="QY235" s="93"/>
      <c r="QZ235" s="93"/>
      <c r="RA235" s="93"/>
      <c r="RB235" s="93"/>
      <c r="RC235" s="93"/>
      <c r="RD235" s="93"/>
      <c r="RE235" s="93"/>
      <c r="RF235" s="93"/>
      <c r="RG235" s="93"/>
      <c r="RH235" s="93"/>
      <c r="RI235" s="93"/>
      <c r="RJ235" s="93"/>
      <c r="RK235" s="93"/>
      <c r="RL235" s="93"/>
      <c r="RM235" s="93"/>
      <c r="RN235" s="93"/>
      <c r="RO235" s="93"/>
      <c r="RP235" s="93"/>
      <c r="RQ235" s="93"/>
      <c r="RR235" s="93"/>
      <c r="RS235" s="93"/>
      <c r="RT235" s="93"/>
      <c r="RU235" s="93"/>
      <c r="RV235" s="93"/>
      <c r="RW235" s="93"/>
      <c r="RX235" s="93"/>
      <c r="RY235" s="93"/>
    </row>
    <row r="236" spans="1:493" s="90" customFormat="1" ht="15.6" customHeight="1" thickBot="1">
      <c r="A236" s="1"/>
      <c r="B236" s="1" t="s">
        <v>1538</v>
      </c>
      <c r="C236" s="1"/>
      <c r="D236" s="9"/>
      <c r="E236" s="1"/>
      <c r="F236" s="3872">
        <v>3000</v>
      </c>
      <c r="G236" s="3873"/>
      <c r="H236" s="1"/>
      <c r="I236" s="3894" t="s">
        <v>6957</v>
      </c>
      <c r="J236" s="3895"/>
      <c r="K236" s="3896"/>
      <c r="L236" s="3882">
        <v>3600</v>
      </c>
      <c r="M236" s="3883"/>
      <c r="N236" s="3864"/>
      <c r="O236" s="464" t="s">
        <v>3171</v>
      </c>
      <c r="P236" s="770" t="str">
        <f>CONCATENATE(SUM(MF49:MJ49)," units x $",'DCA Underwriting Assumptions'!$Q$68," =")</f>
        <v>0 units x $350 =</v>
      </c>
      <c r="Q236" s="571">
        <f>SUM(MF49:MJ49)*'DCA Underwriting Assumptions'!$Q$68</f>
        <v>0</v>
      </c>
      <c r="R236" s="2933"/>
      <c r="S236" s="3833"/>
      <c r="T236" s="3834"/>
      <c r="U236" s="3834"/>
      <c r="V236" s="3834"/>
      <c r="W236" s="3835"/>
      <c r="X236" s="430"/>
      <c r="Y236" s="432"/>
      <c r="Z236" s="432"/>
      <c r="AA236" s="432"/>
      <c r="AB236" s="432"/>
      <c r="AC236" s="430"/>
      <c r="AD236" s="432"/>
      <c r="AE236" s="432"/>
      <c r="AF236" s="432"/>
      <c r="AG236" s="432"/>
      <c r="AH236" s="430"/>
      <c r="AI236" s="432"/>
      <c r="AJ236" s="432"/>
      <c r="AK236" s="432"/>
      <c r="AL236" s="432"/>
      <c r="AM236" s="430"/>
      <c r="AN236" s="432"/>
      <c r="AO236" s="432"/>
      <c r="AP236" s="432"/>
      <c r="AQ236" s="432"/>
      <c r="AR236" s="432"/>
      <c r="AS236" s="432"/>
      <c r="AT236" s="432"/>
      <c r="AU236" s="432"/>
      <c r="AV236" s="432"/>
      <c r="AW236" s="432"/>
      <c r="AX236" s="432"/>
      <c r="AY236" s="432"/>
      <c r="AZ236" s="432"/>
      <c r="BA236" s="432"/>
      <c r="BB236" s="432"/>
      <c r="BC236" s="432"/>
      <c r="BD236" s="432"/>
      <c r="BE236" s="432"/>
      <c r="BF236" s="432"/>
      <c r="BG236" s="432"/>
      <c r="BH236" s="432"/>
      <c r="BI236" s="432"/>
      <c r="BJ236" s="432"/>
      <c r="BK236" s="432"/>
      <c r="BL236" s="432"/>
      <c r="BM236" s="432"/>
      <c r="BN236" s="432"/>
      <c r="BO236" s="432"/>
      <c r="BP236" s="432"/>
      <c r="BQ236" s="432"/>
      <c r="BR236" s="432"/>
      <c r="BS236" s="432"/>
      <c r="BT236" s="432"/>
      <c r="BU236" s="432"/>
      <c r="BV236" s="432"/>
      <c r="BW236" s="432"/>
      <c r="BX236" s="432"/>
      <c r="BY236" s="432"/>
      <c r="BZ236" s="432"/>
      <c r="CA236" s="432"/>
      <c r="CB236" s="432"/>
      <c r="CC236" s="432"/>
      <c r="CD236" s="432"/>
      <c r="CE236" s="432"/>
      <c r="CF236" s="432"/>
      <c r="CG236" s="432"/>
      <c r="CH236" s="432"/>
      <c r="CI236" s="432"/>
      <c r="CJ236" s="432"/>
      <c r="CK236" s="432"/>
      <c r="CL236" s="432"/>
      <c r="CM236" s="432"/>
      <c r="CN236" s="432"/>
      <c r="CO236" s="432"/>
      <c r="CP236" s="432"/>
      <c r="CQ236" s="432"/>
      <c r="CR236" s="432"/>
      <c r="CS236" s="432"/>
      <c r="CT236" s="432"/>
      <c r="CU236" s="432"/>
      <c r="CV236" s="432"/>
      <c r="CW236" s="432"/>
      <c r="CX236" s="432"/>
      <c r="CY236" s="432"/>
      <c r="CZ236" s="432"/>
      <c r="DA236" s="432"/>
      <c r="DB236" s="432"/>
      <c r="DC236" s="432"/>
      <c r="DD236" s="432"/>
      <c r="DE236" s="432"/>
      <c r="DF236" s="432"/>
      <c r="DG236" s="432"/>
      <c r="DH236" s="432"/>
      <c r="DI236" s="432"/>
      <c r="DJ236" s="432"/>
      <c r="DK236" s="432"/>
      <c r="DL236" s="432"/>
      <c r="DM236" s="432"/>
      <c r="DN236" s="432"/>
      <c r="DO236" s="432"/>
      <c r="DP236" s="432"/>
      <c r="DQ236" s="432"/>
      <c r="DR236" s="432"/>
      <c r="DS236" s="432"/>
      <c r="DT236" s="432"/>
      <c r="DU236" s="432"/>
      <c r="DV236" s="432"/>
      <c r="DW236" s="432"/>
      <c r="DX236" s="432"/>
      <c r="DY236" s="432"/>
      <c r="DZ236" s="432"/>
      <c r="EA236" s="432"/>
      <c r="EB236" s="432"/>
      <c r="EC236" s="432"/>
      <c r="ED236" s="432"/>
      <c r="EE236" s="432"/>
      <c r="EF236" s="432"/>
      <c r="EG236" s="432"/>
      <c r="EH236" s="432"/>
      <c r="EI236" s="432"/>
      <c r="EJ236" s="432"/>
      <c r="EK236" s="432"/>
      <c r="EL236" s="432"/>
      <c r="EM236" s="432"/>
      <c r="EN236" s="432"/>
      <c r="EO236" s="432"/>
      <c r="EP236" s="432"/>
      <c r="EQ236" s="432"/>
      <c r="ER236" s="432"/>
      <c r="ES236" s="432"/>
      <c r="ET236" s="432"/>
      <c r="EU236" s="432"/>
      <c r="EV236" s="432"/>
      <c r="EW236" s="432"/>
      <c r="EX236" s="432"/>
      <c r="EY236" s="432"/>
      <c r="EZ236" s="432"/>
      <c r="FA236" s="432"/>
      <c r="FB236" s="432"/>
      <c r="FC236" s="432"/>
      <c r="FD236" s="432"/>
      <c r="FE236" s="432"/>
      <c r="FF236" s="432"/>
      <c r="FG236" s="432"/>
      <c r="FH236" s="432"/>
      <c r="FI236" s="432"/>
      <c r="FJ236" s="432"/>
      <c r="FK236" s="432"/>
      <c r="FL236" s="432"/>
      <c r="FM236" s="432"/>
      <c r="FN236" s="432"/>
      <c r="FO236" s="432"/>
      <c r="FP236" s="432"/>
      <c r="FQ236" s="432"/>
      <c r="FR236" s="432"/>
      <c r="FS236" s="432"/>
      <c r="FT236" s="432"/>
      <c r="FU236" s="432"/>
      <c r="FV236" s="432"/>
      <c r="FW236" s="432"/>
      <c r="FX236" s="432"/>
      <c r="FY236" s="432"/>
      <c r="FZ236" s="432"/>
      <c r="GA236" s="432"/>
      <c r="GB236" s="432"/>
      <c r="GC236" s="432"/>
      <c r="GD236" s="432"/>
      <c r="GE236" s="432"/>
      <c r="GF236" s="432"/>
      <c r="GG236" s="432"/>
      <c r="GH236" s="432"/>
      <c r="GI236" s="432"/>
      <c r="GJ236" s="432"/>
      <c r="GK236" s="432"/>
      <c r="GL236" s="432"/>
      <c r="GM236" s="432"/>
      <c r="GN236" s="432"/>
      <c r="GO236" s="432"/>
      <c r="GP236" s="432"/>
      <c r="GQ236" s="432"/>
      <c r="GR236" s="432"/>
      <c r="GS236" s="432"/>
      <c r="GT236" s="432"/>
      <c r="GU236" s="432"/>
      <c r="GV236" s="432"/>
      <c r="GW236" s="432"/>
      <c r="GX236" s="432"/>
      <c r="GY236" s="432"/>
      <c r="GZ236" s="432"/>
      <c r="HA236" s="432"/>
      <c r="HB236" s="432"/>
      <c r="HC236" s="432"/>
      <c r="HD236" s="432"/>
      <c r="HE236" s="432"/>
      <c r="HF236" s="432"/>
      <c r="HG236" s="432"/>
      <c r="HH236" s="432"/>
      <c r="HI236" s="432"/>
      <c r="HJ236" s="432"/>
      <c r="HK236" s="432"/>
      <c r="HL236" s="432"/>
      <c r="HM236" s="432"/>
      <c r="HN236" s="432"/>
      <c r="HO236" s="432"/>
      <c r="HP236" s="432"/>
      <c r="HQ236" s="432"/>
      <c r="HR236" s="432"/>
      <c r="HS236" s="432"/>
      <c r="HT236" s="432"/>
      <c r="HU236" s="432"/>
      <c r="HV236" s="432"/>
      <c r="HW236" s="432"/>
      <c r="HX236" s="432"/>
      <c r="HY236" s="432"/>
      <c r="HZ236" s="432"/>
      <c r="IA236" s="432"/>
      <c r="IB236" s="432"/>
      <c r="IC236" s="432"/>
      <c r="ID236" s="432"/>
      <c r="IE236" s="432"/>
      <c r="IF236" s="432"/>
      <c r="IG236" s="432"/>
      <c r="IH236" s="432"/>
      <c r="II236" s="432"/>
      <c r="IJ236" s="432"/>
      <c r="IK236" s="432"/>
      <c r="IL236" s="432"/>
      <c r="IM236" s="432"/>
      <c r="IN236" s="432"/>
      <c r="IO236" s="432"/>
      <c r="IP236" s="432"/>
      <c r="IQ236" s="432"/>
      <c r="IR236" s="432"/>
      <c r="IS236" s="432"/>
      <c r="IT236" s="432"/>
      <c r="IU236" s="432"/>
      <c r="IV236" s="432"/>
      <c r="IW236" s="432"/>
      <c r="IX236" s="432"/>
      <c r="IY236" s="432"/>
      <c r="IZ236" s="432"/>
      <c r="JA236" s="432"/>
      <c r="JB236" s="432"/>
      <c r="JC236" s="432"/>
      <c r="JD236" s="432"/>
      <c r="JE236" s="432"/>
      <c r="JF236" s="432"/>
      <c r="JG236" s="432"/>
      <c r="JH236" s="432"/>
      <c r="JI236" s="432"/>
      <c r="JJ236" s="432"/>
      <c r="JK236" s="432"/>
      <c r="JL236" s="432"/>
      <c r="JM236" s="432"/>
      <c r="JN236" s="432"/>
      <c r="JO236" s="432"/>
      <c r="JP236" s="432"/>
      <c r="JQ236" s="432"/>
      <c r="JR236" s="432"/>
      <c r="JS236" s="432"/>
      <c r="JT236" s="432"/>
      <c r="JU236" s="432"/>
      <c r="JV236" s="432"/>
      <c r="JW236" s="1810"/>
      <c r="JX236" s="432"/>
      <c r="JY236" s="432"/>
      <c r="JZ236" s="432"/>
      <c r="KA236" s="432"/>
      <c r="KB236" s="1810"/>
      <c r="KC236" s="432"/>
      <c r="KD236" s="432"/>
      <c r="KE236" s="432"/>
      <c r="KF236" s="432"/>
      <c r="KG236" s="1810"/>
      <c r="KH236" s="432"/>
      <c r="KI236" s="432"/>
      <c r="KJ236" s="432"/>
      <c r="KK236" s="432"/>
      <c r="KL236" s="1810"/>
      <c r="KM236" s="1810"/>
      <c r="KN236" s="1810"/>
      <c r="KO236" s="1810"/>
      <c r="KP236" s="1810"/>
      <c r="KQ236" s="1810"/>
      <c r="KR236" s="1810"/>
      <c r="KS236" s="1810"/>
      <c r="KT236" s="1810"/>
      <c r="KU236" s="1810"/>
      <c r="KV236" s="1810"/>
      <c r="KW236" s="1810"/>
      <c r="KX236" s="1810"/>
      <c r="KY236" s="1810"/>
      <c r="KZ236" s="1810"/>
      <c r="LA236" s="1810"/>
      <c r="LB236" s="1810"/>
      <c r="LC236" s="1810"/>
      <c r="LD236" s="1810"/>
      <c r="LE236" s="1810"/>
      <c r="LF236" s="1810"/>
      <c r="LG236" s="1810"/>
      <c r="LH236" s="432"/>
      <c r="LI236" s="432"/>
      <c r="LJ236" s="432"/>
      <c r="LK236" s="432"/>
      <c r="LL236" s="432"/>
      <c r="LM236" s="432"/>
      <c r="LN236" s="1811"/>
      <c r="LO236" s="432"/>
      <c r="LP236" s="432"/>
      <c r="LQ236" s="432"/>
      <c r="LR236" s="432"/>
      <c r="LS236" s="432"/>
      <c r="LT236" s="432"/>
      <c r="LU236" s="432"/>
      <c r="LV236" s="432"/>
      <c r="LW236" s="432"/>
      <c r="LX236" s="432"/>
      <c r="LY236" s="432"/>
      <c r="LZ236" s="432"/>
      <c r="MA236" s="432"/>
      <c r="MB236" s="432"/>
      <c r="MC236" s="432"/>
      <c r="MD236" s="1811"/>
      <c r="ME236" s="1811"/>
      <c r="MF236" s="432"/>
      <c r="MG236" s="432"/>
      <c r="MH236" s="432"/>
      <c r="MI236" s="432"/>
      <c r="MJ236" s="432"/>
      <c r="MK236" s="432"/>
      <c r="ML236" s="432"/>
      <c r="MM236" s="432"/>
      <c r="MN236" s="432"/>
      <c r="MO236" s="432"/>
      <c r="MP236" s="432"/>
      <c r="MQ236" s="432"/>
      <c r="MR236" s="432"/>
      <c r="MS236" s="432"/>
      <c r="MT236" s="432"/>
      <c r="MU236" s="432"/>
      <c r="MV236" s="93"/>
      <c r="MW236" s="93"/>
      <c r="MX236" s="93"/>
      <c r="MY236" s="93"/>
      <c r="MZ236" s="93"/>
      <c r="NA236" s="93"/>
      <c r="NB236" s="93"/>
      <c r="NC236" s="93"/>
      <c r="ND236" s="93"/>
      <c r="NE236" s="93"/>
      <c r="NF236" s="93"/>
      <c r="NG236" s="93"/>
      <c r="NH236" s="93"/>
      <c r="NI236" s="93"/>
      <c r="NJ236" s="93"/>
      <c r="NK236" s="93"/>
      <c r="NL236" s="93"/>
      <c r="NM236" s="93"/>
      <c r="NN236" s="93"/>
      <c r="NO236" s="93"/>
      <c r="NP236" s="2850"/>
      <c r="NQ236" s="93"/>
      <c r="NR236" s="93"/>
      <c r="NS236" s="93"/>
      <c r="NT236" s="93"/>
      <c r="NU236" s="93"/>
      <c r="NV236" s="93"/>
      <c r="NW236" s="93"/>
      <c r="NX236" s="93"/>
      <c r="NY236" s="93"/>
      <c r="NZ236" s="93"/>
      <c r="OA236" s="93"/>
      <c r="OB236" s="93"/>
      <c r="OC236" s="93"/>
      <c r="OD236" s="93"/>
      <c r="OE236" s="93"/>
      <c r="OF236" s="93"/>
      <c r="OG236" s="93"/>
      <c r="OH236" s="93"/>
      <c r="OI236" s="93"/>
      <c r="OJ236" s="93"/>
      <c r="OK236" s="93"/>
      <c r="OL236" s="93"/>
      <c r="OM236" s="93"/>
      <c r="ON236" s="93"/>
      <c r="OO236" s="93"/>
      <c r="OP236" s="93"/>
      <c r="OQ236" s="93"/>
      <c r="OR236" s="93"/>
      <c r="OS236" s="93"/>
      <c r="OT236" s="93"/>
      <c r="OU236" s="93"/>
      <c r="OV236" s="93"/>
      <c r="OW236" s="93"/>
      <c r="OX236" s="93"/>
      <c r="OY236" s="93"/>
      <c r="OZ236" s="93"/>
      <c r="PA236" s="93"/>
      <c r="PB236" s="93"/>
      <c r="PC236" s="93"/>
      <c r="PD236" s="93"/>
      <c r="PE236" s="93"/>
      <c r="PF236" s="93"/>
      <c r="PG236" s="93"/>
      <c r="PH236" s="93"/>
      <c r="PI236" s="93"/>
      <c r="PJ236" s="93"/>
      <c r="PK236" s="93"/>
      <c r="PL236" s="93"/>
      <c r="PM236" s="93"/>
      <c r="PN236" s="93"/>
      <c r="PO236" s="93"/>
      <c r="PP236" s="93"/>
      <c r="PQ236" s="93"/>
      <c r="PR236" s="93"/>
      <c r="PS236" s="93"/>
      <c r="PT236" s="93"/>
      <c r="PU236" s="93"/>
      <c r="PV236" s="93"/>
      <c r="PW236" s="93"/>
      <c r="PX236" s="93"/>
      <c r="PY236" s="93"/>
      <c r="PZ236" s="93"/>
      <c r="QA236" s="93"/>
      <c r="QB236" s="93"/>
      <c r="QC236" s="93"/>
      <c r="QD236" s="93"/>
      <c r="QE236" s="93"/>
      <c r="QF236" s="93"/>
      <c r="QG236" s="93"/>
      <c r="QH236" s="93"/>
      <c r="QI236" s="93"/>
      <c r="QJ236" s="93"/>
      <c r="QK236" s="93"/>
      <c r="QL236" s="93"/>
      <c r="QM236" s="93"/>
      <c r="QN236" s="93"/>
      <c r="QO236" s="93"/>
      <c r="QP236" s="93"/>
      <c r="QQ236" s="93"/>
      <c r="QR236" s="93"/>
      <c r="QS236" s="93"/>
      <c r="QT236" s="93"/>
      <c r="QU236" s="93"/>
      <c r="QV236" s="93"/>
      <c r="QW236" s="93"/>
      <c r="QX236" s="93"/>
      <c r="QY236" s="93"/>
      <c r="QZ236" s="93"/>
      <c r="RA236" s="93"/>
      <c r="RB236" s="93"/>
      <c r="RC236" s="93"/>
      <c r="RD236" s="93"/>
      <c r="RE236" s="93"/>
      <c r="RF236" s="93"/>
      <c r="RG236" s="93"/>
      <c r="RH236" s="93"/>
      <c r="RI236" s="93"/>
      <c r="RJ236" s="93"/>
      <c r="RK236" s="93"/>
      <c r="RL236" s="93"/>
      <c r="RM236" s="93"/>
      <c r="RN236" s="93"/>
      <c r="RO236" s="93"/>
      <c r="RP236" s="93"/>
      <c r="RQ236" s="93"/>
      <c r="RR236" s="93"/>
      <c r="RS236" s="93"/>
      <c r="RT236" s="93"/>
      <c r="RU236" s="93"/>
      <c r="RV236" s="93"/>
      <c r="RW236" s="93"/>
      <c r="RX236" s="93"/>
      <c r="RY236" s="93"/>
    </row>
    <row r="237" spans="1:493" s="90" customFormat="1" ht="15.6" customHeight="1" thickTop="1">
      <c r="A237" s="1"/>
      <c r="B237" s="1" t="s">
        <v>1539</v>
      </c>
      <c r="C237" s="1"/>
      <c r="D237" s="9"/>
      <c r="E237" s="1"/>
      <c r="F237" s="3876">
        <f>2800+6000</f>
        <v>8800</v>
      </c>
      <c r="G237" s="3877"/>
      <c r="H237" s="1"/>
      <c r="I237" s="1"/>
      <c r="K237" s="11" t="s">
        <v>183</v>
      </c>
      <c r="L237" s="3859">
        <f>SUM(L232:L236)</f>
        <v>39100</v>
      </c>
      <c r="M237" s="3893"/>
      <c r="N237" s="3864"/>
      <c r="O237" s="464" t="s">
        <v>3170</v>
      </c>
      <c r="P237" s="770" t="str">
        <f>CONCATENATE(SUM(MK49:MO49)," units x $",'DCA Underwriting Assumptions'!$Q$69," =")</f>
        <v>72 units x $250 =</v>
      </c>
      <c r="Q237" s="571">
        <f>SUM(MK49:MO49)*'DCA Underwriting Assumptions'!$Q$69</f>
        <v>18000</v>
      </c>
      <c r="S237" s="3833"/>
      <c r="T237" s="3834"/>
      <c r="U237" s="3834"/>
      <c r="V237" s="3834"/>
      <c r="W237" s="3835"/>
      <c r="X237" s="430"/>
      <c r="Y237" s="432"/>
      <c r="Z237" s="432"/>
      <c r="AA237" s="432"/>
      <c r="AB237" s="432"/>
      <c r="AC237" s="430"/>
      <c r="AD237" s="432"/>
      <c r="AE237" s="432"/>
      <c r="AF237" s="432"/>
      <c r="AG237" s="432"/>
      <c r="AH237" s="430"/>
      <c r="AI237" s="432"/>
      <c r="AJ237" s="432"/>
      <c r="AK237" s="432"/>
      <c r="AL237" s="432"/>
      <c r="AM237" s="430"/>
      <c r="AN237" s="432"/>
      <c r="AO237" s="432"/>
      <c r="AP237" s="432"/>
      <c r="AQ237" s="432"/>
      <c r="AR237" s="432"/>
      <c r="AS237" s="432"/>
      <c r="AT237" s="432"/>
      <c r="AU237" s="432"/>
      <c r="AV237" s="432"/>
      <c r="AW237" s="432"/>
      <c r="AX237" s="432"/>
      <c r="AY237" s="432"/>
      <c r="AZ237" s="432"/>
      <c r="BA237" s="432"/>
      <c r="BB237" s="432"/>
      <c r="BC237" s="432"/>
      <c r="BD237" s="432"/>
      <c r="BE237" s="432"/>
      <c r="BF237" s="432"/>
      <c r="BG237" s="432"/>
      <c r="BH237" s="432"/>
      <c r="BI237" s="432"/>
      <c r="BJ237" s="432"/>
      <c r="BK237" s="432"/>
      <c r="BL237" s="432"/>
      <c r="BM237" s="432"/>
      <c r="BN237" s="432"/>
      <c r="BO237" s="432"/>
      <c r="BP237" s="432"/>
      <c r="BQ237" s="432"/>
      <c r="BR237" s="432"/>
      <c r="BS237" s="432"/>
      <c r="BT237" s="432"/>
      <c r="BU237" s="432"/>
      <c r="BV237" s="432"/>
      <c r="BW237" s="432"/>
      <c r="BX237" s="432"/>
      <c r="BY237" s="432"/>
      <c r="BZ237" s="432"/>
      <c r="CA237" s="432"/>
      <c r="CB237" s="432"/>
      <c r="CC237" s="432"/>
      <c r="CD237" s="432"/>
      <c r="CE237" s="432"/>
      <c r="CF237" s="432"/>
      <c r="CG237" s="432"/>
      <c r="CH237" s="432"/>
      <c r="CI237" s="432"/>
      <c r="CJ237" s="432"/>
      <c r="CK237" s="432"/>
      <c r="CL237" s="432"/>
      <c r="CM237" s="432"/>
      <c r="CN237" s="432"/>
      <c r="CO237" s="432"/>
      <c r="CP237" s="432"/>
      <c r="CQ237" s="432"/>
      <c r="CR237" s="432"/>
      <c r="CS237" s="432"/>
      <c r="CT237" s="432"/>
      <c r="CU237" s="432"/>
      <c r="CV237" s="432"/>
      <c r="CW237" s="432"/>
      <c r="CX237" s="432"/>
      <c r="CY237" s="432"/>
      <c r="CZ237" s="432"/>
      <c r="DA237" s="432"/>
      <c r="DB237" s="432"/>
      <c r="DC237" s="432"/>
      <c r="DD237" s="432"/>
      <c r="DE237" s="432"/>
      <c r="DF237" s="432"/>
      <c r="DG237" s="432"/>
      <c r="DH237" s="432"/>
      <c r="DI237" s="432"/>
      <c r="DJ237" s="432"/>
      <c r="DK237" s="432"/>
      <c r="DL237" s="432"/>
      <c r="DM237" s="432"/>
      <c r="DN237" s="432"/>
      <c r="DO237" s="432"/>
      <c r="DP237" s="432"/>
      <c r="DQ237" s="432"/>
      <c r="DR237" s="432"/>
      <c r="DS237" s="432"/>
      <c r="DT237" s="432"/>
      <c r="DU237" s="432"/>
      <c r="DV237" s="432"/>
      <c r="DW237" s="432"/>
      <c r="DX237" s="432"/>
      <c r="DY237" s="432"/>
      <c r="DZ237" s="432"/>
      <c r="EA237" s="432"/>
      <c r="EB237" s="432"/>
      <c r="EC237" s="432"/>
      <c r="ED237" s="432"/>
      <c r="EE237" s="432"/>
      <c r="EF237" s="432"/>
      <c r="EG237" s="432"/>
      <c r="EH237" s="432"/>
      <c r="EI237" s="432"/>
      <c r="EJ237" s="432"/>
      <c r="EK237" s="432"/>
      <c r="EL237" s="432"/>
      <c r="EM237" s="432"/>
      <c r="EN237" s="432"/>
      <c r="EO237" s="432"/>
      <c r="EP237" s="432"/>
      <c r="EQ237" s="432"/>
      <c r="ER237" s="432"/>
      <c r="ES237" s="432"/>
      <c r="ET237" s="432"/>
      <c r="EU237" s="432"/>
      <c r="EV237" s="432"/>
      <c r="EW237" s="432"/>
      <c r="EX237" s="432"/>
      <c r="EY237" s="432"/>
      <c r="EZ237" s="432"/>
      <c r="FA237" s="432"/>
      <c r="FB237" s="432"/>
      <c r="FC237" s="432"/>
      <c r="FD237" s="432"/>
      <c r="FE237" s="432"/>
      <c r="FF237" s="432"/>
      <c r="FG237" s="432"/>
      <c r="FH237" s="432"/>
      <c r="FI237" s="432"/>
      <c r="FJ237" s="432"/>
      <c r="FK237" s="432"/>
      <c r="FL237" s="432"/>
      <c r="FM237" s="432"/>
      <c r="FN237" s="432"/>
      <c r="FO237" s="432"/>
      <c r="FP237" s="432"/>
      <c r="FQ237" s="432"/>
      <c r="FR237" s="432"/>
      <c r="FS237" s="432"/>
      <c r="FT237" s="432"/>
      <c r="FU237" s="432"/>
      <c r="FV237" s="432"/>
      <c r="FW237" s="432"/>
      <c r="FX237" s="432"/>
      <c r="FY237" s="432"/>
      <c r="FZ237" s="432"/>
      <c r="GA237" s="432"/>
      <c r="GB237" s="432"/>
      <c r="GC237" s="432"/>
      <c r="GD237" s="432"/>
      <c r="GE237" s="432"/>
      <c r="GF237" s="432"/>
      <c r="GG237" s="432"/>
      <c r="GH237" s="432"/>
      <c r="GI237" s="432"/>
      <c r="GJ237" s="432"/>
      <c r="GK237" s="432"/>
      <c r="GL237" s="432"/>
      <c r="GM237" s="432"/>
      <c r="GN237" s="432"/>
      <c r="GO237" s="432"/>
      <c r="GP237" s="432"/>
      <c r="GQ237" s="432"/>
      <c r="GR237" s="432"/>
      <c r="GS237" s="432"/>
      <c r="GT237" s="432"/>
      <c r="GU237" s="432"/>
      <c r="GV237" s="432"/>
      <c r="GW237" s="432"/>
      <c r="GX237" s="432"/>
      <c r="GY237" s="432"/>
      <c r="GZ237" s="432"/>
      <c r="HA237" s="432"/>
      <c r="HB237" s="432"/>
      <c r="HC237" s="432"/>
      <c r="HD237" s="432"/>
      <c r="HE237" s="432"/>
      <c r="HF237" s="432"/>
      <c r="HG237" s="432"/>
      <c r="HH237" s="432"/>
      <c r="HI237" s="432"/>
      <c r="HJ237" s="432"/>
      <c r="HK237" s="432"/>
      <c r="HL237" s="432"/>
      <c r="HM237" s="432"/>
      <c r="HN237" s="432"/>
      <c r="HO237" s="432"/>
      <c r="HP237" s="432"/>
      <c r="HQ237" s="432"/>
      <c r="HR237" s="432"/>
      <c r="HS237" s="432"/>
      <c r="HT237" s="432"/>
      <c r="HU237" s="432"/>
      <c r="HV237" s="432"/>
      <c r="HW237" s="432"/>
      <c r="HX237" s="432"/>
      <c r="HY237" s="432"/>
      <c r="HZ237" s="432"/>
      <c r="IA237" s="432"/>
      <c r="IB237" s="432"/>
      <c r="IC237" s="432"/>
      <c r="ID237" s="432"/>
      <c r="IE237" s="432"/>
      <c r="IF237" s="432"/>
      <c r="IG237" s="432"/>
      <c r="IH237" s="432"/>
      <c r="II237" s="432"/>
      <c r="IJ237" s="432"/>
      <c r="IK237" s="432"/>
      <c r="IL237" s="432"/>
      <c r="IM237" s="432"/>
      <c r="IN237" s="432"/>
      <c r="IO237" s="432"/>
      <c r="IP237" s="432"/>
      <c r="IQ237" s="432"/>
      <c r="IR237" s="432"/>
      <c r="IS237" s="432"/>
      <c r="IT237" s="432"/>
      <c r="IU237" s="432"/>
      <c r="IV237" s="432"/>
      <c r="IW237" s="432"/>
      <c r="IX237" s="432"/>
      <c r="IY237" s="432"/>
      <c r="IZ237" s="432"/>
      <c r="JA237" s="432"/>
      <c r="JB237" s="432"/>
      <c r="JC237" s="432"/>
      <c r="JD237" s="432"/>
      <c r="JE237" s="432"/>
      <c r="JF237" s="432"/>
      <c r="JG237" s="432"/>
      <c r="JH237" s="432"/>
      <c r="JI237" s="432"/>
      <c r="JJ237" s="432"/>
      <c r="JK237" s="432"/>
      <c r="JL237" s="432"/>
      <c r="JM237" s="432"/>
      <c r="JN237" s="432"/>
      <c r="JO237" s="432"/>
      <c r="JP237" s="432"/>
      <c r="JQ237" s="432"/>
      <c r="JR237" s="432"/>
      <c r="JS237" s="432"/>
      <c r="JT237" s="432"/>
      <c r="JU237" s="432"/>
      <c r="JV237" s="432"/>
      <c r="JW237" s="1810"/>
      <c r="JX237" s="432"/>
      <c r="JY237" s="432"/>
      <c r="JZ237" s="432"/>
      <c r="KA237" s="432"/>
      <c r="KB237" s="1810"/>
      <c r="KC237" s="432"/>
      <c r="KD237" s="432"/>
      <c r="KE237" s="432"/>
      <c r="KF237" s="432"/>
      <c r="KG237" s="1810"/>
      <c r="KH237" s="432"/>
      <c r="KI237" s="432"/>
      <c r="KJ237" s="432"/>
      <c r="KK237" s="432"/>
      <c r="KL237" s="1810"/>
      <c r="KM237" s="1810"/>
      <c r="KN237" s="1810"/>
      <c r="KO237" s="1810"/>
      <c r="KP237" s="1810"/>
      <c r="KQ237" s="1810"/>
      <c r="KR237" s="1810"/>
      <c r="KS237" s="1810"/>
      <c r="KT237" s="1810"/>
      <c r="KU237" s="1810"/>
      <c r="KV237" s="1810"/>
      <c r="KW237" s="1810"/>
      <c r="KX237" s="1810"/>
      <c r="KY237" s="1810"/>
      <c r="KZ237" s="1810"/>
      <c r="LA237" s="1810"/>
      <c r="LB237" s="1810"/>
      <c r="LC237" s="1810"/>
      <c r="LD237" s="1810"/>
      <c r="LE237" s="1810"/>
      <c r="LF237" s="1810"/>
      <c r="LG237" s="1810"/>
      <c r="LH237" s="432"/>
      <c r="LI237" s="432"/>
      <c r="LJ237" s="432"/>
      <c r="LK237" s="432"/>
      <c r="LL237" s="432"/>
      <c r="LM237" s="432"/>
      <c r="LN237" s="1811"/>
      <c r="LO237" s="432"/>
      <c r="LP237" s="432"/>
      <c r="LQ237" s="432"/>
      <c r="LR237" s="432"/>
      <c r="LS237" s="432"/>
      <c r="LT237" s="432"/>
      <c r="LU237" s="432"/>
      <c r="LV237" s="432"/>
      <c r="LW237" s="432"/>
      <c r="LX237" s="432"/>
      <c r="LY237" s="432"/>
      <c r="LZ237" s="432"/>
      <c r="MA237" s="432"/>
      <c r="MB237" s="432"/>
      <c r="MC237" s="432"/>
      <c r="MD237" s="1811"/>
      <c r="ME237" s="1811"/>
      <c r="MF237" s="432"/>
      <c r="MG237" s="432"/>
      <c r="MH237" s="432"/>
      <c r="MI237" s="432"/>
      <c r="MJ237" s="432"/>
      <c r="MK237" s="432"/>
      <c r="ML237" s="432"/>
      <c r="MM237" s="432"/>
      <c r="MN237" s="432"/>
      <c r="MO237" s="432"/>
      <c r="MP237" s="432"/>
      <c r="MQ237" s="432"/>
      <c r="MR237" s="432"/>
      <c r="MS237" s="432"/>
      <c r="MT237" s="432"/>
      <c r="MU237" s="432"/>
      <c r="MV237" s="93"/>
      <c r="MW237" s="93"/>
      <c r="MX237" s="93"/>
      <c r="MY237" s="93"/>
      <c r="MZ237" s="93"/>
      <c r="NA237" s="93"/>
      <c r="NB237" s="93"/>
      <c r="NC237" s="93"/>
      <c r="ND237" s="93"/>
      <c r="NE237" s="93"/>
      <c r="NF237" s="93"/>
      <c r="NG237" s="93"/>
      <c r="NH237" s="93"/>
      <c r="NI237" s="93"/>
      <c r="NJ237" s="93"/>
      <c r="NK237" s="93"/>
      <c r="NL237" s="93"/>
      <c r="NM237" s="93"/>
      <c r="NN237" s="93"/>
      <c r="NO237" s="93"/>
      <c r="NP237" s="2850"/>
      <c r="NQ237" s="93"/>
      <c r="NR237" s="93"/>
      <c r="NS237" s="93"/>
      <c r="NT237" s="93"/>
      <c r="NU237" s="93"/>
      <c r="NV237" s="93"/>
      <c r="NW237" s="93"/>
      <c r="NX237" s="93"/>
      <c r="NY237" s="93"/>
      <c r="NZ237" s="93"/>
      <c r="OA237" s="93"/>
      <c r="OB237" s="93"/>
      <c r="OC237" s="93"/>
      <c r="OD237" s="93"/>
      <c r="OE237" s="93"/>
      <c r="OF237" s="93"/>
      <c r="OG237" s="93"/>
      <c r="OH237" s="93"/>
      <c r="OI237" s="93"/>
      <c r="OJ237" s="93"/>
      <c r="OK237" s="93"/>
      <c r="OL237" s="93"/>
      <c r="OM237" s="93"/>
      <c r="ON237" s="93"/>
      <c r="OO237" s="93"/>
      <c r="OP237" s="93"/>
      <c r="OQ237" s="93"/>
      <c r="OR237" s="93"/>
      <c r="OS237" s="93"/>
      <c r="OT237" s="93"/>
      <c r="OU237" s="93"/>
      <c r="OV237" s="93"/>
      <c r="OW237" s="93"/>
      <c r="OX237" s="93"/>
      <c r="OY237" s="93"/>
      <c r="OZ237" s="93"/>
      <c r="PA237" s="93"/>
      <c r="PB237" s="93"/>
      <c r="PC237" s="93"/>
      <c r="PD237" s="93"/>
      <c r="PE237" s="93"/>
      <c r="PF237" s="93"/>
      <c r="PG237" s="93"/>
      <c r="PH237" s="93"/>
      <c r="PI237" s="93"/>
      <c r="PJ237" s="93"/>
      <c r="PK237" s="93"/>
      <c r="PL237" s="93"/>
      <c r="PM237" s="93"/>
      <c r="PN237" s="93"/>
      <c r="PO237" s="93"/>
      <c r="PP237" s="93"/>
      <c r="PQ237" s="93"/>
      <c r="PR237" s="93"/>
      <c r="PS237" s="93"/>
      <c r="PT237" s="93"/>
      <c r="PU237" s="93"/>
      <c r="PV237" s="93"/>
      <c r="PW237" s="93"/>
      <c r="PX237" s="93"/>
      <c r="PY237" s="93"/>
      <c r="PZ237" s="93"/>
      <c r="QA237" s="93"/>
      <c r="QB237" s="93"/>
      <c r="QC237" s="93"/>
      <c r="QD237" s="93"/>
      <c r="QE237" s="93"/>
      <c r="QF237" s="93"/>
      <c r="QG237" s="93"/>
      <c r="QH237" s="93"/>
      <c r="QI237" s="93"/>
      <c r="QJ237" s="93"/>
      <c r="QK237" s="93"/>
      <c r="QL237" s="93"/>
      <c r="QM237" s="93"/>
      <c r="QN237" s="93"/>
      <c r="QO237" s="93"/>
      <c r="QP237" s="93"/>
      <c r="QQ237" s="93"/>
      <c r="QR237" s="93"/>
      <c r="QS237" s="93"/>
      <c r="QT237" s="93"/>
      <c r="QU237" s="93"/>
      <c r="QV237" s="93"/>
      <c r="QW237" s="93"/>
      <c r="QX237" s="93"/>
      <c r="QY237" s="93"/>
      <c r="QZ237" s="93"/>
      <c r="RA237" s="93"/>
      <c r="RB237" s="93"/>
      <c r="RC237" s="93"/>
      <c r="RD237" s="93"/>
      <c r="RE237" s="93"/>
      <c r="RF237" s="93"/>
      <c r="RG237" s="93"/>
      <c r="RH237" s="93"/>
      <c r="RI237" s="93"/>
      <c r="RJ237" s="93"/>
      <c r="RK237" s="93"/>
      <c r="RL237" s="93"/>
      <c r="RM237" s="93"/>
      <c r="RN237" s="93"/>
      <c r="RO237" s="93"/>
      <c r="RP237" s="93"/>
      <c r="RQ237" s="93"/>
      <c r="RR237" s="93"/>
      <c r="RS237" s="93"/>
      <c r="RT237" s="93"/>
      <c r="RU237" s="93"/>
      <c r="RV237" s="93"/>
      <c r="RW237" s="93"/>
      <c r="RX237" s="93"/>
      <c r="RY237" s="93"/>
    </row>
    <row r="238" spans="1:493" s="90" customFormat="1" ht="15.6" customHeight="1">
      <c r="A238" s="1"/>
      <c r="B238" s="1" t="s">
        <v>1540</v>
      </c>
      <c r="C238" s="1"/>
      <c r="D238" s="9"/>
      <c r="E238" s="1"/>
      <c r="F238" s="3876">
        <v>25000</v>
      </c>
      <c r="G238" s="3877"/>
      <c r="H238" s="1"/>
      <c r="K238" s="1"/>
      <c r="L238" s="1"/>
      <c r="N238" s="3864"/>
      <c r="O238" s="572" t="s">
        <v>6834</v>
      </c>
      <c r="P238" s="770" t="str">
        <f>CONCATENATE(SUM(MP49:MT49)," units x $",'DCA Underwriting Assumptions'!$Q$70," =")</f>
        <v>0 units x $420 =</v>
      </c>
      <c r="Q238" s="571">
        <f>SUM(MP49:MT49)*'DCA Underwriting Assumptions'!$Q$70</f>
        <v>0</v>
      </c>
      <c r="R238" s="765"/>
      <c r="S238" s="3833"/>
      <c r="T238" s="3834"/>
      <c r="U238" s="3834"/>
      <c r="V238" s="3834"/>
      <c r="W238" s="3835"/>
      <c r="X238" s="430"/>
      <c r="Y238" s="432"/>
      <c r="Z238" s="432"/>
      <c r="AA238" s="432"/>
      <c r="AB238" s="432"/>
      <c r="AC238" s="430"/>
      <c r="AD238" s="432"/>
      <c r="AE238" s="432"/>
      <c r="AF238" s="432"/>
      <c r="AG238" s="432"/>
      <c r="AH238" s="430"/>
      <c r="AI238" s="432"/>
      <c r="AJ238" s="432"/>
      <c r="AK238" s="432"/>
      <c r="AL238" s="432"/>
      <c r="AM238" s="430"/>
      <c r="AN238" s="432"/>
      <c r="AO238" s="432"/>
      <c r="AP238" s="432"/>
      <c r="AQ238" s="432"/>
      <c r="AR238" s="432"/>
      <c r="AS238" s="432"/>
      <c r="AT238" s="432"/>
      <c r="AU238" s="432"/>
      <c r="AV238" s="432"/>
      <c r="AW238" s="432"/>
      <c r="AX238" s="432"/>
      <c r="AY238" s="432"/>
      <c r="AZ238" s="432"/>
      <c r="BA238" s="432"/>
      <c r="BB238" s="432"/>
      <c r="BC238" s="432"/>
      <c r="BD238" s="432"/>
      <c r="BE238" s="432"/>
      <c r="BF238" s="432"/>
      <c r="BG238" s="432"/>
      <c r="BH238" s="432"/>
      <c r="BI238" s="432"/>
      <c r="BJ238" s="432"/>
      <c r="BK238" s="432"/>
      <c r="BL238" s="432"/>
      <c r="BM238" s="432"/>
      <c r="BN238" s="432"/>
      <c r="BO238" s="432"/>
      <c r="BP238" s="432"/>
      <c r="BQ238" s="432"/>
      <c r="BR238" s="432"/>
      <c r="BS238" s="432"/>
      <c r="BT238" s="432"/>
      <c r="BU238" s="432"/>
      <c r="BV238" s="432"/>
      <c r="BW238" s="432"/>
      <c r="BX238" s="432"/>
      <c r="BY238" s="432"/>
      <c r="BZ238" s="432"/>
      <c r="CA238" s="432"/>
      <c r="CB238" s="432"/>
      <c r="CC238" s="432"/>
      <c r="CD238" s="432"/>
      <c r="CE238" s="432"/>
      <c r="CF238" s="432"/>
      <c r="CG238" s="432"/>
      <c r="CH238" s="432"/>
      <c r="CI238" s="432"/>
      <c r="CJ238" s="432"/>
      <c r="CK238" s="432"/>
      <c r="CL238" s="432"/>
      <c r="CM238" s="432"/>
      <c r="CN238" s="432"/>
      <c r="CO238" s="432"/>
      <c r="CP238" s="432"/>
      <c r="CQ238" s="432"/>
      <c r="CR238" s="432"/>
      <c r="CS238" s="432"/>
      <c r="CT238" s="432"/>
      <c r="CU238" s="432"/>
      <c r="CV238" s="432"/>
      <c r="CW238" s="432"/>
      <c r="CX238" s="432"/>
      <c r="CY238" s="432"/>
      <c r="CZ238" s="432"/>
      <c r="DA238" s="432"/>
      <c r="DB238" s="432"/>
      <c r="DC238" s="432"/>
      <c r="DD238" s="432"/>
      <c r="DE238" s="432"/>
      <c r="DF238" s="432"/>
      <c r="DG238" s="432"/>
      <c r="DH238" s="432"/>
      <c r="DI238" s="432"/>
      <c r="DJ238" s="432"/>
      <c r="DK238" s="432"/>
      <c r="DL238" s="432"/>
      <c r="DM238" s="432"/>
      <c r="DN238" s="432"/>
      <c r="DO238" s="432"/>
      <c r="DP238" s="432"/>
      <c r="DQ238" s="432"/>
      <c r="DR238" s="432"/>
      <c r="DS238" s="432"/>
      <c r="DT238" s="432"/>
      <c r="DU238" s="432"/>
      <c r="DV238" s="432"/>
      <c r="DW238" s="432"/>
      <c r="DX238" s="432"/>
      <c r="DY238" s="432"/>
      <c r="DZ238" s="432"/>
      <c r="EA238" s="432"/>
      <c r="EB238" s="432"/>
      <c r="EC238" s="432"/>
      <c r="ED238" s="432"/>
      <c r="EE238" s="432"/>
      <c r="EF238" s="432"/>
      <c r="EG238" s="432"/>
      <c r="EH238" s="432"/>
      <c r="EI238" s="432"/>
      <c r="EJ238" s="432"/>
      <c r="EK238" s="432"/>
      <c r="EL238" s="432"/>
      <c r="EM238" s="432"/>
      <c r="EN238" s="432"/>
      <c r="EO238" s="432"/>
      <c r="EP238" s="432"/>
      <c r="EQ238" s="432"/>
      <c r="ER238" s="432"/>
      <c r="ES238" s="432"/>
      <c r="ET238" s="432"/>
      <c r="EU238" s="432"/>
      <c r="EV238" s="432"/>
      <c r="EW238" s="432"/>
      <c r="EX238" s="432"/>
      <c r="EY238" s="432"/>
      <c r="EZ238" s="432"/>
      <c r="FA238" s="432"/>
      <c r="FB238" s="432"/>
      <c r="FC238" s="432"/>
      <c r="FD238" s="432"/>
      <c r="FE238" s="432"/>
      <c r="FF238" s="432"/>
      <c r="FG238" s="432"/>
      <c r="FH238" s="432"/>
      <c r="FI238" s="432"/>
      <c r="FJ238" s="432"/>
      <c r="FK238" s="432"/>
      <c r="FL238" s="432"/>
      <c r="FM238" s="432"/>
      <c r="FN238" s="432"/>
      <c r="FO238" s="432"/>
      <c r="FP238" s="432"/>
      <c r="FQ238" s="432"/>
      <c r="FR238" s="432"/>
      <c r="FS238" s="432"/>
      <c r="FT238" s="432"/>
      <c r="FU238" s="432"/>
      <c r="FV238" s="432"/>
      <c r="FW238" s="432"/>
      <c r="FX238" s="432"/>
      <c r="FY238" s="432"/>
      <c r="FZ238" s="432"/>
      <c r="GA238" s="432"/>
      <c r="GB238" s="432"/>
      <c r="GC238" s="432"/>
      <c r="GD238" s="432"/>
      <c r="GE238" s="432"/>
      <c r="GF238" s="432"/>
      <c r="GG238" s="432"/>
      <c r="GH238" s="432"/>
      <c r="GI238" s="432"/>
      <c r="GJ238" s="432"/>
      <c r="GK238" s="432"/>
      <c r="GL238" s="432"/>
      <c r="GM238" s="432"/>
      <c r="GN238" s="432"/>
      <c r="GO238" s="432"/>
      <c r="GP238" s="432"/>
      <c r="GQ238" s="432"/>
      <c r="GR238" s="432"/>
      <c r="GS238" s="432"/>
      <c r="GT238" s="432"/>
      <c r="GU238" s="432"/>
      <c r="GV238" s="432"/>
      <c r="GW238" s="432"/>
      <c r="GX238" s="432"/>
      <c r="GY238" s="432"/>
      <c r="GZ238" s="432"/>
      <c r="HA238" s="432"/>
      <c r="HB238" s="432"/>
      <c r="HC238" s="432"/>
      <c r="HD238" s="432"/>
      <c r="HE238" s="432"/>
      <c r="HF238" s="432"/>
      <c r="HG238" s="432"/>
      <c r="HH238" s="432"/>
      <c r="HI238" s="432"/>
      <c r="HJ238" s="432"/>
      <c r="HK238" s="432"/>
      <c r="HL238" s="432"/>
      <c r="HM238" s="432"/>
      <c r="HN238" s="432"/>
      <c r="HO238" s="432"/>
      <c r="HP238" s="432"/>
      <c r="HQ238" s="432"/>
      <c r="HR238" s="432"/>
      <c r="HS238" s="432"/>
      <c r="HT238" s="432"/>
      <c r="HU238" s="432"/>
      <c r="HV238" s="432"/>
      <c r="HW238" s="432"/>
      <c r="HX238" s="432"/>
      <c r="HY238" s="432"/>
      <c r="HZ238" s="432"/>
      <c r="IA238" s="432"/>
      <c r="IB238" s="432"/>
      <c r="IC238" s="432"/>
      <c r="ID238" s="432"/>
      <c r="IE238" s="432"/>
      <c r="IF238" s="432"/>
      <c r="IG238" s="432"/>
      <c r="IH238" s="432"/>
      <c r="II238" s="432"/>
      <c r="IJ238" s="432"/>
      <c r="IK238" s="432"/>
      <c r="IL238" s="432"/>
      <c r="IM238" s="432"/>
      <c r="IN238" s="432"/>
      <c r="IO238" s="432"/>
      <c r="IP238" s="432"/>
      <c r="IQ238" s="432"/>
      <c r="IR238" s="432"/>
      <c r="IS238" s="432"/>
      <c r="IT238" s="432"/>
      <c r="IU238" s="432"/>
      <c r="IV238" s="432"/>
      <c r="IW238" s="432"/>
      <c r="IX238" s="432"/>
      <c r="IY238" s="432"/>
      <c r="IZ238" s="432"/>
      <c r="JA238" s="432"/>
      <c r="JB238" s="432"/>
      <c r="JC238" s="432"/>
      <c r="JD238" s="432"/>
      <c r="JE238" s="432"/>
      <c r="JF238" s="432"/>
      <c r="JG238" s="432"/>
      <c r="JH238" s="432"/>
      <c r="JI238" s="432"/>
      <c r="JJ238" s="432"/>
      <c r="JK238" s="432"/>
      <c r="JL238" s="432"/>
      <c r="JM238" s="432"/>
      <c r="JN238" s="432"/>
      <c r="JO238" s="432"/>
      <c r="JP238" s="432"/>
      <c r="JQ238" s="432"/>
      <c r="JR238" s="432"/>
      <c r="JS238" s="432"/>
      <c r="JT238" s="432"/>
      <c r="JU238" s="432"/>
      <c r="JV238" s="432"/>
      <c r="JW238" s="1810"/>
      <c r="JX238" s="432"/>
      <c r="JY238" s="432"/>
      <c r="JZ238" s="432"/>
      <c r="KA238" s="432"/>
      <c r="KB238" s="1810"/>
      <c r="KC238" s="432"/>
      <c r="KD238" s="432"/>
      <c r="KE238" s="432"/>
      <c r="KF238" s="432"/>
      <c r="KG238" s="1810"/>
      <c r="KH238" s="432"/>
      <c r="KI238" s="432"/>
      <c r="KJ238" s="432"/>
      <c r="KK238" s="432"/>
      <c r="KL238" s="1810"/>
      <c r="KM238" s="1810"/>
      <c r="KN238" s="1810"/>
      <c r="KO238" s="1810"/>
      <c r="KP238" s="1810"/>
      <c r="KQ238" s="1810"/>
      <c r="KR238" s="1810"/>
      <c r="KS238" s="1810"/>
      <c r="KT238" s="1810"/>
      <c r="KU238" s="1810"/>
      <c r="KV238" s="1810"/>
      <c r="KW238" s="1810"/>
      <c r="KX238" s="1810"/>
      <c r="KY238" s="1810"/>
      <c r="KZ238" s="1810"/>
      <c r="LA238" s="1810"/>
      <c r="LB238" s="1810"/>
      <c r="LC238" s="1810"/>
      <c r="LD238" s="1810"/>
      <c r="LE238" s="1810"/>
      <c r="LF238" s="1810"/>
      <c r="LG238" s="1810"/>
      <c r="LH238" s="432"/>
      <c r="LI238" s="432"/>
      <c r="LJ238" s="432"/>
      <c r="LK238" s="432"/>
      <c r="LL238" s="432"/>
      <c r="LM238" s="432"/>
      <c r="LN238" s="1811"/>
      <c r="LO238" s="432"/>
      <c r="LP238" s="432"/>
      <c r="LQ238" s="432"/>
      <c r="LR238" s="432"/>
      <c r="LS238" s="432"/>
      <c r="LT238" s="432"/>
      <c r="LU238" s="432"/>
      <c r="LV238" s="432"/>
      <c r="LW238" s="432"/>
      <c r="LX238" s="432"/>
      <c r="LY238" s="432"/>
      <c r="LZ238" s="432"/>
      <c r="MA238" s="432"/>
      <c r="MB238" s="432"/>
      <c r="MC238" s="432"/>
      <c r="MD238" s="1811"/>
      <c r="ME238" s="1811"/>
      <c r="MF238" s="432"/>
      <c r="MG238" s="432"/>
      <c r="MH238" s="432"/>
      <c r="MI238" s="432"/>
      <c r="MJ238" s="432"/>
      <c r="MK238" s="432"/>
      <c r="ML238" s="432"/>
      <c r="MM238" s="432"/>
      <c r="MN238" s="432"/>
      <c r="MO238" s="432"/>
      <c r="MP238" s="432"/>
      <c r="MQ238" s="432"/>
      <c r="MR238" s="432"/>
      <c r="MS238" s="432"/>
      <c r="MT238" s="432"/>
      <c r="MU238" s="432"/>
      <c r="MV238" s="93"/>
      <c r="MW238" s="93"/>
      <c r="MX238" s="93"/>
      <c r="MY238" s="93"/>
      <c r="MZ238" s="93"/>
      <c r="NA238" s="93"/>
      <c r="NB238" s="93"/>
      <c r="NC238" s="93"/>
      <c r="ND238" s="93"/>
      <c r="NE238" s="93"/>
      <c r="NF238" s="93"/>
      <c r="NG238" s="93"/>
      <c r="NH238" s="93"/>
      <c r="NI238" s="93"/>
      <c r="NJ238" s="93"/>
      <c r="NK238" s="93"/>
      <c r="NL238" s="93"/>
      <c r="NM238" s="93"/>
      <c r="NN238" s="93"/>
      <c r="NO238" s="93"/>
      <c r="NP238" s="2850"/>
      <c r="NQ238" s="93"/>
      <c r="NR238" s="93"/>
      <c r="NS238" s="93"/>
      <c r="NT238" s="93"/>
      <c r="NU238" s="93"/>
      <c r="NV238" s="93"/>
      <c r="NW238" s="93"/>
      <c r="NX238" s="93"/>
      <c r="NY238" s="93"/>
      <c r="NZ238" s="93"/>
      <c r="OA238" s="93"/>
      <c r="OB238" s="93"/>
      <c r="OC238" s="93"/>
      <c r="OD238" s="93"/>
      <c r="OE238" s="93"/>
      <c r="OF238" s="93"/>
      <c r="OG238" s="93"/>
      <c r="OH238" s="93"/>
      <c r="OI238" s="93"/>
      <c r="OJ238" s="93"/>
      <c r="OK238" s="93"/>
      <c r="OL238" s="93"/>
      <c r="OM238" s="93"/>
      <c r="ON238" s="93"/>
      <c r="OO238" s="93"/>
      <c r="OP238" s="93"/>
      <c r="OQ238" s="93"/>
      <c r="OR238" s="93"/>
      <c r="OS238" s="93"/>
      <c r="OT238" s="93"/>
      <c r="OU238" s="93"/>
      <c r="OV238" s="93"/>
      <c r="OW238" s="93"/>
      <c r="OX238" s="93"/>
      <c r="OY238" s="93"/>
      <c r="OZ238" s="93"/>
      <c r="PA238" s="93"/>
      <c r="PB238" s="93"/>
      <c r="PC238" s="93"/>
      <c r="PD238" s="93"/>
      <c r="PE238" s="93"/>
      <c r="PF238" s="93"/>
      <c r="PG238" s="93"/>
      <c r="PH238" s="93"/>
      <c r="PI238" s="93"/>
      <c r="PJ238" s="93"/>
      <c r="PK238" s="93"/>
      <c r="PL238" s="93"/>
      <c r="PM238" s="93"/>
      <c r="PN238" s="93"/>
      <c r="PO238" s="93"/>
      <c r="PP238" s="93"/>
      <c r="PQ238" s="93"/>
      <c r="PR238" s="93"/>
      <c r="PS238" s="93"/>
      <c r="PT238" s="93"/>
      <c r="PU238" s="93"/>
      <c r="PV238" s="93"/>
      <c r="PW238" s="93"/>
      <c r="PX238" s="93"/>
      <c r="PY238" s="93"/>
      <c r="PZ238" s="93"/>
      <c r="QA238" s="93"/>
      <c r="QB238" s="93"/>
      <c r="QC238" s="93"/>
      <c r="QD238" s="93"/>
      <c r="QE238" s="93"/>
      <c r="QF238" s="93"/>
      <c r="QG238" s="93"/>
      <c r="QH238" s="93"/>
      <c r="QI238" s="93"/>
      <c r="QJ238" s="93"/>
      <c r="QK238" s="93"/>
      <c r="QL238" s="93"/>
      <c r="QM238" s="93"/>
      <c r="QN238" s="93"/>
      <c r="QO238" s="93"/>
      <c r="QP238" s="93"/>
      <c r="QQ238" s="93"/>
      <c r="QR238" s="93"/>
      <c r="QS238" s="93"/>
      <c r="QT238" s="93"/>
      <c r="QU238" s="93"/>
      <c r="QV238" s="93"/>
      <c r="QW238" s="93"/>
      <c r="QX238" s="93"/>
      <c r="QY238" s="93"/>
      <c r="QZ238" s="93"/>
      <c r="RA238" s="93"/>
      <c r="RB238" s="93"/>
      <c r="RC238" s="93"/>
      <c r="RD238" s="93"/>
      <c r="RE238" s="93"/>
      <c r="RF238" s="93"/>
      <c r="RG238" s="93"/>
      <c r="RH238" s="93"/>
      <c r="RI238" s="93"/>
      <c r="RJ238" s="93"/>
      <c r="RK238" s="93"/>
      <c r="RL238" s="93"/>
      <c r="RM238" s="93"/>
      <c r="RN238" s="93"/>
      <c r="RO238" s="93"/>
      <c r="RP238" s="93"/>
      <c r="RQ238" s="93"/>
      <c r="RR238" s="93"/>
      <c r="RS238" s="93"/>
      <c r="RT238" s="93"/>
      <c r="RU238" s="93"/>
      <c r="RV238" s="93"/>
      <c r="RW238" s="93"/>
      <c r="RX238" s="93"/>
      <c r="RY238" s="93"/>
    </row>
    <row r="239" spans="1:493" s="90" customFormat="1" ht="15.6" customHeight="1">
      <c r="A239" s="1"/>
      <c r="B239" s="1" t="s">
        <v>964</v>
      </c>
      <c r="C239" s="1"/>
      <c r="D239" s="9"/>
      <c r="E239" s="1"/>
      <c r="F239" s="3880">
        <v>4200</v>
      </c>
      <c r="G239" s="3881"/>
      <c r="H239" s="1"/>
      <c r="O239" s="572" t="s">
        <v>3169</v>
      </c>
      <c r="P239" s="770" t="str">
        <f>CONCATENATE(P125," units x $",'DCA Underwriting Assumptions'!$Q$70," =")</f>
        <v>0 units x $420 =</v>
      </c>
      <c r="Q239" s="571">
        <f>P125*'DCA Underwriting Assumptions'!$Q$70</f>
        <v>0</v>
      </c>
      <c r="R239" s="569"/>
      <c r="S239" s="3833"/>
      <c r="T239" s="3834"/>
      <c r="U239" s="3834"/>
      <c r="V239" s="3834"/>
      <c r="W239" s="3835"/>
      <c r="X239" s="430"/>
      <c r="Y239" s="432"/>
      <c r="Z239" s="432"/>
      <c r="AA239" s="432"/>
      <c r="AB239" s="432"/>
      <c r="AC239" s="430"/>
      <c r="AD239" s="432"/>
      <c r="AE239" s="432"/>
      <c r="AF239" s="432"/>
      <c r="AG239" s="432"/>
      <c r="AH239" s="430"/>
      <c r="AI239" s="432"/>
      <c r="AJ239" s="432"/>
      <c r="AK239" s="432"/>
      <c r="AL239" s="432"/>
      <c r="AM239" s="430"/>
      <c r="AN239" s="432"/>
      <c r="AO239" s="432"/>
      <c r="AP239" s="432"/>
      <c r="AQ239" s="432"/>
      <c r="AR239" s="432"/>
      <c r="AS239" s="432"/>
      <c r="AT239" s="432"/>
      <c r="AU239" s="432"/>
      <c r="AV239" s="432"/>
      <c r="AW239" s="432"/>
      <c r="AX239" s="432"/>
      <c r="AY239" s="432"/>
      <c r="AZ239" s="432"/>
      <c r="BA239" s="432"/>
      <c r="BB239" s="432"/>
      <c r="BC239" s="432"/>
      <c r="BD239" s="432"/>
      <c r="BE239" s="432"/>
      <c r="BF239" s="432"/>
      <c r="BG239" s="432"/>
      <c r="BH239" s="432"/>
      <c r="BI239" s="432"/>
      <c r="BJ239" s="432"/>
      <c r="BK239" s="432"/>
      <c r="BL239" s="432"/>
      <c r="BM239" s="432"/>
      <c r="BN239" s="432"/>
      <c r="BO239" s="432"/>
      <c r="BP239" s="432"/>
      <c r="BQ239" s="432"/>
      <c r="BR239" s="432"/>
      <c r="BS239" s="432"/>
      <c r="BT239" s="432"/>
      <c r="BU239" s="432"/>
      <c r="BV239" s="432"/>
      <c r="BW239" s="432"/>
      <c r="BX239" s="432"/>
      <c r="BY239" s="432"/>
      <c r="BZ239" s="432"/>
      <c r="CA239" s="432"/>
      <c r="CB239" s="432"/>
      <c r="CC239" s="432"/>
      <c r="CD239" s="432"/>
      <c r="CE239" s="432"/>
      <c r="CF239" s="432"/>
      <c r="CG239" s="432"/>
      <c r="CH239" s="432"/>
      <c r="CI239" s="432"/>
      <c r="CJ239" s="432"/>
      <c r="CK239" s="432"/>
      <c r="CL239" s="432"/>
      <c r="CM239" s="432"/>
      <c r="CN239" s="432"/>
      <c r="CO239" s="432"/>
      <c r="CP239" s="432"/>
      <c r="CQ239" s="432"/>
      <c r="CR239" s="432"/>
      <c r="CS239" s="432"/>
      <c r="CT239" s="432"/>
      <c r="CU239" s="432"/>
      <c r="CV239" s="432"/>
      <c r="CW239" s="432"/>
      <c r="CX239" s="432"/>
      <c r="CY239" s="432"/>
      <c r="CZ239" s="432"/>
      <c r="DA239" s="432"/>
      <c r="DB239" s="432"/>
      <c r="DC239" s="432"/>
      <c r="DD239" s="432"/>
      <c r="DE239" s="432"/>
      <c r="DF239" s="432"/>
      <c r="DG239" s="432"/>
      <c r="DH239" s="432"/>
      <c r="DI239" s="432"/>
      <c r="DJ239" s="432"/>
      <c r="DK239" s="432"/>
      <c r="DL239" s="432"/>
      <c r="DM239" s="432"/>
      <c r="DN239" s="432"/>
      <c r="DO239" s="432"/>
      <c r="DP239" s="432"/>
      <c r="DQ239" s="432"/>
      <c r="DR239" s="432"/>
      <c r="DS239" s="432"/>
      <c r="DT239" s="432"/>
      <c r="DU239" s="432"/>
      <c r="DV239" s="432"/>
      <c r="DW239" s="432"/>
      <c r="DX239" s="432"/>
      <c r="DY239" s="432"/>
      <c r="DZ239" s="432"/>
      <c r="EA239" s="432"/>
      <c r="EB239" s="432"/>
      <c r="EC239" s="432"/>
      <c r="ED239" s="432"/>
      <c r="EE239" s="432"/>
      <c r="EF239" s="432"/>
      <c r="EG239" s="432"/>
      <c r="EH239" s="432"/>
      <c r="EI239" s="432"/>
      <c r="EJ239" s="432"/>
      <c r="EK239" s="432"/>
      <c r="EL239" s="432"/>
      <c r="EM239" s="432"/>
      <c r="EN239" s="432"/>
      <c r="EO239" s="432"/>
      <c r="EP239" s="432"/>
      <c r="EQ239" s="432"/>
      <c r="ER239" s="432"/>
      <c r="ES239" s="432"/>
      <c r="ET239" s="432"/>
      <c r="EU239" s="432"/>
      <c r="EV239" s="432"/>
      <c r="EW239" s="432"/>
      <c r="EX239" s="432"/>
      <c r="EY239" s="432"/>
      <c r="EZ239" s="432"/>
      <c r="FA239" s="432"/>
      <c r="FB239" s="432"/>
      <c r="FC239" s="432"/>
      <c r="FD239" s="432"/>
      <c r="FE239" s="432"/>
      <c r="FF239" s="432"/>
      <c r="FG239" s="432"/>
      <c r="FH239" s="432"/>
      <c r="FI239" s="432"/>
      <c r="FJ239" s="432"/>
      <c r="FK239" s="432"/>
      <c r="FL239" s="432"/>
      <c r="FM239" s="432"/>
      <c r="FN239" s="432"/>
      <c r="FO239" s="432"/>
      <c r="FP239" s="432"/>
      <c r="FQ239" s="432"/>
      <c r="FR239" s="432"/>
      <c r="FS239" s="432"/>
      <c r="FT239" s="432"/>
      <c r="FU239" s="432"/>
      <c r="FV239" s="432"/>
      <c r="FW239" s="432"/>
      <c r="FX239" s="432"/>
      <c r="FY239" s="432"/>
      <c r="FZ239" s="432"/>
      <c r="GA239" s="432"/>
      <c r="GB239" s="432"/>
      <c r="GC239" s="432"/>
      <c r="GD239" s="432"/>
      <c r="GE239" s="432"/>
      <c r="GF239" s="432"/>
      <c r="GG239" s="432"/>
      <c r="GH239" s="432"/>
      <c r="GI239" s="432"/>
      <c r="GJ239" s="432"/>
      <c r="GK239" s="432"/>
      <c r="GL239" s="432"/>
      <c r="GM239" s="432"/>
      <c r="GN239" s="432"/>
      <c r="GO239" s="432"/>
      <c r="GP239" s="432"/>
      <c r="GQ239" s="432"/>
      <c r="GR239" s="432"/>
      <c r="GS239" s="432"/>
      <c r="GT239" s="432"/>
      <c r="GU239" s="432"/>
      <c r="GV239" s="432"/>
      <c r="GW239" s="432"/>
      <c r="GX239" s="432"/>
      <c r="GY239" s="432"/>
      <c r="GZ239" s="432"/>
      <c r="HA239" s="432"/>
      <c r="HB239" s="432"/>
      <c r="HC239" s="432"/>
      <c r="HD239" s="432"/>
      <c r="HE239" s="432"/>
      <c r="HF239" s="432"/>
      <c r="HG239" s="432"/>
      <c r="HH239" s="432"/>
      <c r="HI239" s="432"/>
      <c r="HJ239" s="432"/>
      <c r="HK239" s="432"/>
      <c r="HL239" s="432"/>
      <c r="HM239" s="432"/>
      <c r="HN239" s="432"/>
      <c r="HO239" s="432"/>
      <c r="HP239" s="432"/>
      <c r="HQ239" s="432"/>
      <c r="HR239" s="432"/>
      <c r="HS239" s="432"/>
      <c r="HT239" s="432"/>
      <c r="HU239" s="432"/>
      <c r="HV239" s="432"/>
      <c r="HW239" s="432"/>
      <c r="HX239" s="432"/>
      <c r="HY239" s="432"/>
      <c r="HZ239" s="432"/>
      <c r="IA239" s="432"/>
      <c r="IB239" s="432"/>
      <c r="IC239" s="432"/>
      <c r="ID239" s="432"/>
      <c r="IE239" s="432"/>
      <c r="IF239" s="432"/>
      <c r="IG239" s="432"/>
      <c r="IH239" s="432"/>
      <c r="II239" s="432"/>
      <c r="IJ239" s="432"/>
      <c r="IK239" s="432"/>
      <c r="IL239" s="432"/>
      <c r="IM239" s="432"/>
      <c r="IN239" s="432"/>
      <c r="IO239" s="432"/>
      <c r="IP239" s="432"/>
      <c r="IQ239" s="432"/>
      <c r="IR239" s="432"/>
      <c r="IS239" s="432"/>
      <c r="IT239" s="432"/>
      <c r="IU239" s="432"/>
      <c r="IV239" s="432"/>
      <c r="IW239" s="432"/>
      <c r="IX239" s="432"/>
      <c r="IY239" s="432"/>
      <c r="IZ239" s="432"/>
      <c r="JA239" s="432"/>
      <c r="JB239" s="432"/>
      <c r="JC239" s="432"/>
      <c r="JD239" s="432"/>
      <c r="JE239" s="432"/>
      <c r="JF239" s="432"/>
      <c r="JG239" s="432"/>
      <c r="JH239" s="432"/>
      <c r="JI239" s="432"/>
      <c r="JJ239" s="432"/>
      <c r="JK239" s="432"/>
      <c r="JL239" s="432"/>
      <c r="JM239" s="432"/>
      <c r="JN239" s="432"/>
      <c r="JO239" s="432"/>
      <c r="JP239" s="432"/>
      <c r="JQ239" s="432"/>
      <c r="JR239" s="432"/>
      <c r="JS239" s="432"/>
      <c r="JT239" s="432"/>
      <c r="JU239" s="432"/>
      <c r="JV239" s="432"/>
      <c r="JW239" s="1810"/>
      <c r="JX239" s="432"/>
      <c r="JY239" s="432"/>
      <c r="JZ239" s="432"/>
      <c r="KA239" s="432"/>
      <c r="KB239" s="1810"/>
      <c r="KC239" s="432"/>
      <c r="KD239" s="432"/>
      <c r="KE239" s="432"/>
      <c r="KF239" s="432"/>
      <c r="KG239" s="1810"/>
      <c r="KH239" s="432"/>
      <c r="KI239" s="432"/>
      <c r="KJ239" s="432"/>
      <c r="KK239" s="432"/>
      <c r="KL239" s="1810"/>
      <c r="KM239" s="1810"/>
      <c r="KN239" s="1810"/>
      <c r="KO239" s="1810"/>
      <c r="KP239" s="1810"/>
      <c r="KQ239" s="1810"/>
      <c r="KR239" s="1810"/>
      <c r="KS239" s="1810"/>
      <c r="KT239" s="1810"/>
      <c r="KU239" s="1810"/>
      <c r="KV239" s="1810"/>
      <c r="KW239" s="1810"/>
      <c r="KX239" s="1810"/>
      <c r="KY239" s="1810"/>
      <c r="KZ239" s="1810"/>
      <c r="LA239" s="1810"/>
      <c r="LB239" s="1810"/>
      <c r="LC239" s="1810"/>
      <c r="LD239" s="1810"/>
      <c r="LE239" s="1810"/>
      <c r="LF239" s="1810"/>
      <c r="LG239" s="1810"/>
      <c r="LH239" s="432"/>
      <c r="LI239" s="432"/>
      <c r="LJ239" s="432"/>
      <c r="LK239" s="432"/>
      <c r="LL239" s="432"/>
      <c r="LM239" s="432"/>
      <c r="LN239" s="1811"/>
      <c r="LO239" s="432"/>
      <c r="LP239" s="432"/>
      <c r="LQ239" s="432"/>
      <c r="LR239" s="432"/>
      <c r="LS239" s="432"/>
      <c r="LT239" s="432"/>
      <c r="LU239" s="432"/>
      <c r="LV239" s="432"/>
      <c r="LW239" s="432"/>
      <c r="LX239" s="432"/>
      <c r="LY239" s="432"/>
      <c r="LZ239" s="432"/>
      <c r="MA239" s="432"/>
      <c r="MB239" s="432"/>
      <c r="MC239" s="432"/>
      <c r="MD239" s="1811"/>
      <c r="ME239" s="1811"/>
      <c r="MF239" s="432"/>
      <c r="MG239" s="432"/>
      <c r="MH239" s="432"/>
      <c r="MI239" s="432"/>
      <c r="MJ239" s="432"/>
      <c r="MK239" s="432"/>
      <c r="ML239" s="432"/>
      <c r="MM239" s="432"/>
      <c r="MN239" s="432"/>
      <c r="MO239" s="432"/>
      <c r="MP239" s="432"/>
      <c r="MQ239" s="432"/>
      <c r="MR239" s="432"/>
      <c r="MS239" s="432"/>
      <c r="MT239" s="432"/>
      <c r="MU239" s="432"/>
      <c r="MV239" s="93"/>
      <c r="MW239" s="93"/>
      <c r="MX239" s="93"/>
      <c r="MY239" s="93"/>
      <c r="MZ239" s="93"/>
      <c r="NA239" s="93"/>
      <c r="NB239" s="93"/>
      <c r="NC239" s="93"/>
      <c r="ND239" s="93"/>
      <c r="NE239" s="93"/>
      <c r="NF239" s="93"/>
      <c r="NG239" s="93"/>
      <c r="NH239" s="93"/>
      <c r="NI239" s="93"/>
      <c r="NJ239" s="93"/>
      <c r="NK239" s="93"/>
      <c r="NL239" s="93"/>
      <c r="NM239" s="93"/>
      <c r="NN239" s="93"/>
      <c r="NO239" s="93"/>
      <c r="NP239" s="2850" t="s">
        <v>6759</v>
      </c>
      <c r="NQ239" s="93"/>
      <c r="NR239" s="93"/>
      <c r="NS239" s="93"/>
      <c r="NT239" s="93"/>
      <c r="NU239" s="93"/>
      <c r="NV239" s="93"/>
      <c r="NW239" s="93"/>
      <c r="NX239" s="93"/>
      <c r="NY239" s="93"/>
      <c r="NZ239" s="93"/>
      <c r="OA239" s="93"/>
      <c r="OB239" s="93"/>
      <c r="OC239" s="93"/>
      <c r="OD239" s="93"/>
      <c r="OE239" s="93"/>
      <c r="OF239" s="93"/>
      <c r="OG239" s="93"/>
      <c r="OH239" s="93"/>
      <c r="OI239" s="93"/>
      <c r="OJ239" s="93"/>
      <c r="OK239" s="93"/>
      <c r="OL239" s="93"/>
      <c r="OM239" s="93"/>
      <c r="ON239" s="93"/>
      <c r="OO239" s="93"/>
      <c r="OP239" s="93"/>
      <c r="OQ239" s="93"/>
      <c r="OR239" s="93"/>
      <c r="OS239" s="93"/>
      <c r="OT239" s="93"/>
      <c r="OU239" s="93"/>
      <c r="OV239" s="93"/>
      <c r="OW239" s="93"/>
      <c r="OX239" s="93"/>
      <c r="OY239" s="93"/>
      <c r="OZ239" s="93"/>
      <c r="PA239" s="93"/>
      <c r="PB239" s="93"/>
      <c r="PC239" s="93"/>
      <c r="PD239" s="93"/>
      <c r="PE239" s="93"/>
      <c r="PF239" s="93"/>
      <c r="PG239" s="93"/>
      <c r="PH239" s="93"/>
      <c r="PI239" s="93"/>
      <c r="PJ239" s="93"/>
      <c r="PK239" s="93"/>
      <c r="PL239" s="93"/>
      <c r="PM239" s="93"/>
      <c r="PN239" s="93"/>
      <c r="PO239" s="93"/>
      <c r="PP239" s="93"/>
      <c r="PQ239" s="93"/>
      <c r="PR239" s="93"/>
      <c r="PS239" s="93"/>
      <c r="PT239" s="93"/>
      <c r="PU239" s="93"/>
      <c r="PV239" s="93"/>
      <c r="PW239" s="93"/>
      <c r="PX239" s="93"/>
      <c r="PY239" s="93"/>
      <c r="PZ239" s="93"/>
      <c r="QA239" s="93"/>
      <c r="QB239" s="93"/>
      <c r="QC239" s="93"/>
      <c r="QD239" s="93"/>
      <c r="QE239" s="93"/>
      <c r="QF239" s="93"/>
      <c r="QG239" s="93"/>
      <c r="QH239" s="93"/>
      <c r="QI239" s="93"/>
      <c r="QJ239" s="93"/>
      <c r="QK239" s="93"/>
      <c r="QL239" s="93"/>
      <c r="QM239" s="93"/>
      <c r="QN239" s="93"/>
      <c r="QO239" s="93"/>
      <c r="QP239" s="93"/>
      <c r="QQ239" s="93"/>
      <c r="QR239" s="93"/>
      <c r="QS239" s="93"/>
      <c r="QT239" s="93"/>
      <c r="QU239" s="93"/>
      <c r="QV239" s="93"/>
      <c r="QW239" s="93"/>
      <c r="QX239" s="93"/>
      <c r="QY239" s="93"/>
      <c r="QZ239" s="93"/>
      <c r="RA239" s="93"/>
      <c r="RB239" s="93"/>
      <c r="RC239" s="93"/>
      <c r="RD239" s="93"/>
      <c r="RE239" s="93"/>
      <c r="RF239" s="93"/>
      <c r="RG239" s="93"/>
      <c r="RH239" s="93"/>
      <c r="RI239" s="93"/>
      <c r="RJ239" s="93"/>
      <c r="RK239" s="93"/>
      <c r="RL239" s="93"/>
      <c r="RM239" s="93"/>
      <c r="RN239" s="93"/>
      <c r="RO239" s="93"/>
      <c r="RP239" s="93"/>
      <c r="RQ239" s="93"/>
      <c r="RR239" s="93"/>
      <c r="RS239" s="93"/>
      <c r="RT239" s="93"/>
      <c r="RU239" s="93"/>
      <c r="RV239" s="93"/>
      <c r="RW239" s="93"/>
      <c r="RX239" s="93"/>
      <c r="RY239" s="93"/>
    </row>
    <row r="240" spans="1:493" s="90" customFormat="1" ht="15.6" customHeight="1">
      <c r="A240" s="1"/>
      <c r="B240" s="1" t="s">
        <v>965</v>
      </c>
      <c r="C240" s="1"/>
      <c r="D240" s="9"/>
      <c r="E240" s="1"/>
      <c r="F240" s="3880">
        <v>6000</v>
      </c>
      <c r="G240" s="3881"/>
      <c r="H240" s="1"/>
      <c r="I240" s="10" t="s">
        <v>1327</v>
      </c>
      <c r="O240" s="868" t="s">
        <v>2563</v>
      </c>
      <c r="P240" s="869">
        <f>SUM(MF49:MJ49)+SUM(MK49:MO49)+SUM(MP49:MT49)+P125</f>
        <v>72</v>
      </c>
      <c r="Q240" s="870">
        <f>SUM(Q236:Q239)</f>
        <v>18000</v>
      </c>
      <c r="R240" s="770"/>
      <c r="S240" s="3833"/>
      <c r="T240" s="3834"/>
      <c r="U240" s="3834"/>
      <c r="V240" s="3834"/>
      <c r="W240" s="3835"/>
      <c r="X240" s="430"/>
      <c r="Y240" s="432"/>
      <c r="Z240" s="432"/>
      <c r="AA240" s="432"/>
      <c r="AB240" s="432"/>
      <c r="AC240" s="430"/>
      <c r="AD240" s="432"/>
      <c r="AE240" s="432"/>
      <c r="AF240" s="432"/>
      <c r="AG240" s="432"/>
      <c r="AH240" s="430"/>
      <c r="AI240" s="432"/>
      <c r="AJ240" s="432"/>
      <c r="AK240" s="432"/>
      <c r="AL240" s="432"/>
      <c r="AM240" s="430"/>
      <c r="AN240" s="432"/>
      <c r="AO240" s="432"/>
      <c r="AP240" s="432"/>
      <c r="AQ240" s="432"/>
      <c r="AR240" s="432"/>
      <c r="AS240" s="432"/>
      <c r="AT240" s="432"/>
      <c r="AU240" s="432"/>
      <c r="AV240" s="432"/>
      <c r="AW240" s="432"/>
      <c r="AX240" s="432"/>
      <c r="AY240" s="432"/>
      <c r="AZ240" s="432"/>
      <c r="BA240" s="432"/>
      <c r="BB240" s="432"/>
      <c r="BC240" s="432"/>
      <c r="BD240" s="432"/>
      <c r="BE240" s="432"/>
      <c r="BF240" s="432"/>
      <c r="BG240" s="432"/>
      <c r="BH240" s="432"/>
      <c r="BI240" s="432"/>
      <c r="BJ240" s="432"/>
      <c r="BK240" s="432"/>
      <c r="BL240" s="432"/>
      <c r="BM240" s="432"/>
      <c r="BN240" s="432"/>
      <c r="BO240" s="432"/>
      <c r="BP240" s="432"/>
      <c r="BQ240" s="432"/>
      <c r="BR240" s="432"/>
      <c r="BS240" s="432"/>
      <c r="BT240" s="432"/>
      <c r="BU240" s="432"/>
      <c r="BV240" s="432"/>
      <c r="BW240" s="432"/>
      <c r="BX240" s="432"/>
      <c r="BY240" s="432"/>
      <c r="BZ240" s="432"/>
      <c r="CA240" s="432"/>
      <c r="CB240" s="432"/>
      <c r="CC240" s="432"/>
      <c r="CD240" s="432"/>
      <c r="CE240" s="432"/>
      <c r="CF240" s="432"/>
      <c r="CG240" s="432"/>
      <c r="CH240" s="432"/>
      <c r="CI240" s="432"/>
      <c r="CJ240" s="432"/>
      <c r="CK240" s="432"/>
      <c r="CL240" s="432"/>
      <c r="CM240" s="432"/>
      <c r="CN240" s="432"/>
      <c r="CO240" s="432"/>
      <c r="CP240" s="432"/>
      <c r="CQ240" s="432"/>
      <c r="CR240" s="432"/>
      <c r="CS240" s="432"/>
      <c r="CT240" s="432"/>
      <c r="CU240" s="432"/>
      <c r="CV240" s="432"/>
      <c r="CW240" s="432"/>
      <c r="CX240" s="432"/>
      <c r="CY240" s="432"/>
      <c r="CZ240" s="432"/>
      <c r="DA240" s="432"/>
      <c r="DB240" s="432"/>
      <c r="DC240" s="432"/>
      <c r="DD240" s="432"/>
      <c r="DE240" s="432"/>
      <c r="DF240" s="432"/>
      <c r="DG240" s="432"/>
      <c r="DH240" s="432"/>
      <c r="DI240" s="432"/>
      <c r="DJ240" s="432"/>
      <c r="DK240" s="432"/>
      <c r="DL240" s="432"/>
      <c r="DM240" s="432"/>
      <c r="DN240" s="432"/>
      <c r="DO240" s="432"/>
      <c r="DP240" s="432"/>
      <c r="DQ240" s="432"/>
      <c r="DR240" s="432"/>
      <c r="DS240" s="432"/>
      <c r="DT240" s="432"/>
      <c r="DU240" s="432"/>
      <c r="DV240" s="432"/>
      <c r="DW240" s="432"/>
      <c r="DX240" s="432"/>
      <c r="DY240" s="432"/>
      <c r="DZ240" s="432"/>
      <c r="EA240" s="432"/>
      <c r="EB240" s="432"/>
      <c r="EC240" s="432"/>
      <c r="ED240" s="432"/>
      <c r="EE240" s="432"/>
      <c r="EF240" s="432"/>
      <c r="EG240" s="432"/>
      <c r="EH240" s="432"/>
      <c r="EI240" s="432"/>
      <c r="EJ240" s="432"/>
      <c r="EK240" s="432"/>
      <c r="EL240" s="432"/>
      <c r="EM240" s="432"/>
      <c r="EN240" s="432"/>
      <c r="EO240" s="432"/>
      <c r="EP240" s="432"/>
      <c r="EQ240" s="432"/>
      <c r="ER240" s="432"/>
      <c r="ES240" s="432"/>
      <c r="ET240" s="432"/>
      <c r="EU240" s="432"/>
      <c r="EV240" s="432"/>
      <c r="EW240" s="432"/>
      <c r="EX240" s="432"/>
      <c r="EY240" s="432"/>
      <c r="EZ240" s="432"/>
      <c r="FA240" s="432"/>
      <c r="FB240" s="432"/>
      <c r="FC240" s="432"/>
      <c r="FD240" s="432"/>
      <c r="FE240" s="432"/>
      <c r="FF240" s="432"/>
      <c r="FG240" s="432"/>
      <c r="FH240" s="432"/>
      <c r="FI240" s="432"/>
      <c r="FJ240" s="432"/>
      <c r="FK240" s="432"/>
      <c r="FL240" s="432"/>
      <c r="FM240" s="432"/>
      <c r="FN240" s="432"/>
      <c r="FO240" s="432"/>
      <c r="FP240" s="432"/>
      <c r="FQ240" s="432"/>
      <c r="FR240" s="432"/>
      <c r="FS240" s="432"/>
      <c r="FT240" s="432"/>
      <c r="FU240" s="432"/>
      <c r="FV240" s="432"/>
      <c r="FW240" s="432"/>
      <c r="FX240" s="432"/>
      <c r="FY240" s="432"/>
      <c r="FZ240" s="432"/>
      <c r="GA240" s="432"/>
      <c r="GB240" s="432"/>
      <c r="GC240" s="432"/>
      <c r="GD240" s="432"/>
      <c r="GE240" s="432"/>
      <c r="GF240" s="432"/>
      <c r="GG240" s="432"/>
      <c r="GH240" s="432"/>
      <c r="GI240" s="432"/>
      <c r="GJ240" s="432"/>
      <c r="GK240" s="432"/>
      <c r="GL240" s="432"/>
      <c r="GM240" s="432"/>
      <c r="GN240" s="432"/>
      <c r="GO240" s="432"/>
      <c r="GP240" s="432"/>
      <c r="GQ240" s="432"/>
      <c r="GR240" s="432"/>
      <c r="GS240" s="432"/>
      <c r="GT240" s="432"/>
      <c r="GU240" s="432"/>
      <c r="GV240" s="432"/>
      <c r="GW240" s="432"/>
      <c r="GX240" s="432"/>
      <c r="GY240" s="432"/>
      <c r="GZ240" s="432"/>
      <c r="HA240" s="432"/>
      <c r="HB240" s="432"/>
      <c r="HC240" s="432"/>
      <c r="HD240" s="432"/>
      <c r="HE240" s="432"/>
      <c r="HF240" s="432"/>
      <c r="HG240" s="432"/>
      <c r="HH240" s="432"/>
      <c r="HI240" s="432"/>
      <c r="HJ240" s="432"/>
      <c r="HK240" s="432"/>
      <c r="HL240" s="432"/>
      <c r="HM240" s="432"/>
      <c r="HN240" s="432"/>
      <c r="HO240" s="432"/>
      <c r="HP240" s="432"/>
      <c r="HQ240" s="432"/>
      <c r="HR240" s="432"/>
      <c r="HS240" s="432"/>
      <c r="HT240" s="432"/>
      <c r="HU240" s="432"/>
      <c r="HV240" s="432"/>
      <c r="HW240" s="432"/>
      <c r="HX240" s="432"/>
      <c r="HY240" s="432"/>
      <c r="HZ240" s="432"/>
      <c r="IA240" s="432"/>
      <c r="IB240" s="432"/>
      <c r="IC240" s="432"/>
      <c r="ID240" s="432"/>
      <c r="IE240" s="432"/>
      <c r="IF240" s="432"/>
      <c r="IG240" s="432"/>
      <c r="IH240" s="432"/>
      <c r="II240" s="432"/>
      <c r="IJ240" s="432"/>
      <c r="IK240" s="432"/>
      <c r="IL240" s="432"/>
      <c r="IM240" s="432"/>
      <c r="IN240" s="432"/>
      <c r="IO240" s="432"/>
      <c r="IP240" s="432"/>
      <c r="IQ240" s="432"/>
      <c r="IR240" s="432"/>
      <c r="IS240" s="432"/>
      <c r="IT240" s="432"/>
      <c r="IU240" s="432"/>
      <c r="IV240" s="432"/>
      <c r="IW240" s="432"/>
      <c r="IX240" s="432"/>
      <c r="IY240" s="432"/>
      <c r="IZ240" s="432"/>
      <c r="JA240" s="432"/>
      <c r="JB240" s="432"/>
      <c r="JC240" s="432"/>
      <c r="JD240" s="432"/>
      <c r="JE240" s="432"/>
      <c r="JF240" s="432"/>
      <c r="JG240" s="432"/>
      <c r="JH240" s="432"/>
      <c r="JI240" s="432"/>
      <c r="JJ240" s="432"/>
      <c r="JK240" s="432"/>
      <c r="JL240" s="432"/>
      <c r="JM240" s="432"/>
      <c r="JN240" s="432"/>
      <c r="JO240" s="432"/>
      <c r="JP240" s="432"/>
      <c r="JQ240" s="432"/>
      <c r="JR240" s="432"/>
      <c r="JS240" s="432"/>
      <c r="JT240" s="432"/>
      <c r="JU240" s="432"/>
      <c r="JV240" s="432"/>
      <c r="JW240" s="1810"/>
      <c r="JX240" s="432"/>
      <c r="JY240" s="432"/>
      <c r="JZ240" s="432"/>
      <c r="KA240" s="432"/>
      <c r="KB240" s="1810"/>
      <c r="KC240" s="432"/>
      <c r="KD240" s="432"/>
      <c r="KE240" s="432"/>
      <c r="KF240" s="432"/>
      <c r="KG240" s="1810"/>
      <c r="KH240" s="432"/>
      <c r="KI240" s="432"/>
      <c r="KJ240" s="432"/>
      <c r="KK240" s="432"/>
      <c r="KL240" s="1810"/>
      <c r="KM240" s="1810"/>
      <c r="KN240" s="1810"/>
      <c r="KO240" s="1810"/>
      <c r="KP240" s="1810"/>
      <c r="KQ240" s="1810"/>
      <c r="KR240" s="1810"/>
      <c r="KS240" s="1810"/>
      <c r="KT240" s="1810"/>
      <c r="KU240" s="1810"/>
      <c r="KV240" s="1810"/>
      <c r="KW240" s="1810"/>
      <c r="KX240" s="1810"/>
      <c r="KY240" s="1810"/>
      <c r="KZ240" s="1810"/>
      <c r="LA240" s="1810"/>
      <c r="LB240" s="1810"/>
      <c r="LC240" s="1810"/>
      <c r="LD240" s="1810"/>
      <c r="LE240" s="1810"/>
      <c r="LF240" s="1810"/>
      <c r="LG240" s="1810"/>
      <c r="LH240" s="432"/>
      <c r="LI240" s="432"/>
      <c r="LJ240" s="432"/>
      <c r="LK240" s="432"/>
      <c r="LL240" s="432"/>
      <c r="LM240" s="432"/>
      <c r="LN240" s="1811"/>
      <c r="LO240" s="432"/>
      <c r="LP240" s="432"/>
      <c r="LQ240" s="432"/>
      <c r="LR240" s="432"/>
      <c r="LS240" s="432"/>
      <c r="LT240" s="432"/>
      <c r="LU240" s="432"/>
      <c r="LV240" s="432"/>
      <c r="LW240" s="432"/>
      <c r="LX240" s="432"/>
      <c r="LY240" s="432"/>
      <c r="LZ240" s="432"/>
      <c r="MA240" s="432"/>
      <c r="MB240" s="432"/>
      <c r="MC240" s="432"/>
      <c r="MD240" s="1811"/>
      <c r="ME240" s="1811"/>
      <c r="MF240" s="432"/>
      <c r="MG240" s="432"/>
      <c r="MH240" s="432"/>
      <c r="MI240" s="432"/>
      <c r="MJ240" s="432"/>
      <c r="MK240" s="432"/>
      <c r="ML240" s="432"/>
      <c r="MM240" s="432"/>
      <c r="MN240" s="432"/>
      <c r="MO240" s="432"/>
      <c r="MP240" s="432"/>
      <c r="MQ240" s="432"/>
      <c r="MR240" s="432"/>
      <c r="MS240" s="432"/>
      <c r="MT240" s="432"/>
      <c r="MU240" s="432"/>
      <c r="MV240" s="93"/>
      <c r="MW240" s="93"/>
      <c r="MX240" s="93"/>
      <c r="MY240" s="93"/>
      <c r="MZ240" s="93"/>
      <c r="NA240" s="93"/>
      <c r="NB240" s="93"/>
      <c r="NC240" s="93"/>
      <c r="ND240" s="93"/>
      <c r="NE240" s="93"/>
      <c r="NF240" s="93"/>
      <c r="NG240" s="93"/>
      <c r="NH240" s="93"/>
      <c r="NI240" s="93"/>
      <c r="NJ240" s="93"/>
      <c r="NK240" s="93"/>
      <c r="NL240" s="93"/>
      <c r="NM240" s="93"/>
      <c r="NN240" s="93"/>
      <c r="NO240" s="93"/>
      <c r="NP240" s="2850"/>
      <c r="NQ240" s="93"/>
      <c r="NR240" s="93"/>
      <c r="NS240" s="93"/>
      <c r="NT240" s="93"/>
      <c r="NU240" s="93"/>
      <c r="NV240" s="93"/>
      <c r="NW240" s="93"/>
      <c r="NX240" s="93"/>
      <c r="NY240" s="93"/>
      <c r="NZ240" s="93"/>
      <c r="OA240" s="93"/>
      <c r="OB240" s="93"/>
      <c r="OC240" s="93"/>
      <c r="OD240" s="93"/>
      <c r="OE240" s="93"/>
      <c r="OF240" s="93"/>
      <c r="OG240" s="93"/>
      <c r="OH240" s="93"/>
      <c r="OI240" s="93"/>
      <c r="OJ240" s="93"/>
      <c r="OK240" s="93"/>
      <c r="OL240" s="93"/>
      <c r="OM240" s="93"/>
      <c r="ON240" s="93"/>
      <c r="OO240" s="93"/>
      <c r="OP240" s="93"/>
      <c r="OQ240" s="93"/>
      <c r="OR240" s="93"/>
      <c r="OS240" s="93"/>
      <c r="OT240" s="93"/>
      <c r="OU240" s="93"/>
      <c r="OV240" s="93"/>
      <c r="OW240" s="93"/>
      <c r="OX240" s="93"/>
      <c r="OY240" s="93"/>
      <c r="OZ240" s="93"/>
      <c r="PA240" s="93"/>
      <c r="PB240" s="93"/>
      <c r="PC240" s="93"/>
      <c r="PD240" s="93"/>
      <c r="PE240" s="93"/>
      <c r="PF240" s="93"/>
      <c r="PG240" s="93"/>
      <c r="PH240" s="93"/>
      <c r="PI240" s="93"/>
      <c r="PJ240" s="93"/>
      <c r="PK240" s="93"/>
      <c r="PL240" s="93"/>
      <c r="PM240" s="93"/>
      <c r="PN240" s="93"/>
      <c r="PO240" s="93"/>
      <c r="PP240" s="93"/>
      <c r="PQ240" s="93"/>
      <c r="PR240" s="93"/>
      <c r="PS240" s="93"/>
      <c r="PT240" s="93"/>
      <c r="PU240" s="93"/>
      <c r="PV240" s="93"/>
      <c r="PW240" s="93"/>
      <c r="PX240" s="93"/>
      <c r="PY240" s="93"/>
      <c r="PZ240" s="93"/>
      <c r="QA240" s="93"/>
      <c r="QB240" s="93"/>
      <c r="QC240" s="93"/>
      <c r="QD240" s="93"/>
      <c r="QE240" s="93"/>
      <c r="QF240" s="93"/>
      <c r="QG240" s="93"/>
      <c r="QH240" s="93"/>
      <c r="QI240" s="93"/>
      <c r="QJ240" s="93"/>
      <c r="QK240" s="93"/>
      <c r="QL240" s="93"/>
      <c r="QM240" s="93"/>
      <c r="QN240" s="93"/>
      <c r="QO240" s="93"/>
      <c r="QP240" s="93"/>
      <c r="QQ240" s="93"/>
      <c r="QR240" s="93"/>
      <c r="QS240" s="93"/>
      <c r="QT240" s="93"/>
      <c r="QU240" s="93"/>
      <c r="QV240" s="93"/>
      <c r="QW240" s="93"/>
      <c r="QX240" s="93"/>
      <c r="QY240" s="93"/>
      <c r="QZ240" s="93"/>
      <c r="RA240" s="93"/>
      <c r="RB240" s="93"/>
      <c r="RC240" s="93"/>
      <c r="RD240" s="93"/>
      <c r="RE240" s="93"/>
      <c r="RF240" s="93"/>
      <c r="RG240" s="93"/>
      <c r="RH240" s="93"/>
      <c r="RI240" s="93"/>
      <c r="RJ240" s="93"/>
      <c r="RK240" s="93"/>
      <c r="RL240" s="93"/>
      <c r="RM240" s="93"/>
      <c r="RN240" s="93"/>
      <c r="RO240" s="93"/>
      <c r="RP240" s="93"/>
      <c r="RQ240" s="93"/>
      <c r="RR240" s="93"/>
      <c r="RS240" s="93"/>
      <c r="RT240" s="93"/>
      <c r="RU240" s="93"/>
      <c r="RV240" s="93"/>
      <c r="RW240" s="93"/>
      <c r="RX240" s="93"/>
      <c r="RY240" s="93"/>
    </row>
    <row r="241" spans="1:493" s="90" customFormat="1" ht="15.6" customHeight="1">
      <c r="A241" s="1"/>
      <c r="B241" s="1" t="s">
        <v>966</v>
      </c>
      <c r="C241" s="1"/>
      <c r="D241" s="9"/>
      <c r="E241" s="1"/>
      <c r="F241" s="3880"/>
      <c r="G241" s="3881"/>
      <c r="H241" s="1"/>
      <c r="I241" s="93" t="s">
        <v>4122</v>
      </c>
      <c r="K241" s="1"/>
      <c r="L241" s="3874">
        <v>49000</v>
      </c>
      <c r="M241" s="3875"/>
      <c r="R241" s="770"/>
      <c r="S241" s="3833"/>
      <c r="T241" s="3834"/>
      <c r="U241" s="3834"/>
      <c r="V241" s="3834"/>
      <c r="W241" s="3835"/>
      <c r="X241" s="430"/>
      <c r="Y241" s="432"/>
      <c r="Z241" s="432"/>
      <c r="AA241" s="432"/>
      <c r="AB241" s="432"/>
      <c r="AC241" s="430"/>
      <c r="AD241" s="432"/>
      <c r="AE241" s="432"/>
      <c r="AF241" s="432"/>
      <c r="AG241" s="432"/>
      <c r="AH241" s="430"/>
      <c r="AI241" s="432"/>
      <c r="AJ241" s="432"/>
      <c r="AK241" s="432"/>
      <c r="AL241" s="432"/>
      <c r="AM241" s="430"/>
      <c r="AN241" s="432"/>
      <c r="AO241" s="432"/>
      <c r="AP241" s="432"/>
      <c r="AQ241" s="432"/>
      <c r="AR241" s="432"/>
      <c r="AS241" s="432"/>
      <c r="AT241" s="432"/>
      <c r="AU241" s="432"/>
      <c r="AV241" s="432"/>
      <c r="AW241" s="432"/>
      <c r="AX241" s="432"/>
      <c r="AY241" s="432"/>
      <c r="AZ241" s="432"/>
      <c r="BA241" s="432"/>
      <c r="BB241" s="432"/>
      <c r="BC241" s="432"/>
      <c r="BD241" s="432"/>
      <c r="BE241" s="432"/>
      <c r="BF241" s="432"/>
      <c r="BG241" s="432"/>
      <c r="BH241" s="432"/>
      <c r="BI241" s="432"/>
      <c r="BJ241" s="432"/>
      <c r="BK241" s="432"/>
      <c r="BL241" s="432"/>
      <c r="BM241" s="432"/>
      <c r="BN241" s="432"/>
      <c r="BO241" s="432"/>
      <c r="BP241" s="432"/>
      <c r="BQ241" s="432"/>
      <c r="BR241" s="432"/>
      <c r="BS241" s="432"/>
      <c r="BT241" s="432"/>
      <c r="BU241" s="432"/>
      <c r="BV241" s="432"/>
      <c r="BW241" s="432"/>
      <c r="BX241" s="432"/>
      <c r="BY241" s="432"/>
      <c r="BZ241" s="432"/>
      <c r="CA241" s="432"/>
      <c r="CB241" s="432"/>
      <c r="CC241" s="432"/>
      <c r="CD241" s="432"/>
      <c r="CE241" s="432"/>
      <c r="CF241" s="432"/>
      <c r="CG241" s="432"/>
      <c r="CH241" s="432"/>
      <c r="CI241" s="432"/>
      <c r="CJ241" s="432"/>
      <c r="CK241" s="432"/>
      <c r="CL241" s="432"/>
      <c r="CM241" s="432"/>
      <c r="CN241" s="432"/>
      <c r="CO241" s="432"/>
      <c r="CP241" s="432"/>
      <c r="CQ241" s="432"/>
      <c r="CR241" s="432"/>
      <c r="CS241" s="432"/>
      <c r="CT241" s="432"/>
      <c r="CU241" s="432"/>
      <c r="CV241" s="432"/>
      <c r="CW241" s="432"/>
      <c r="CX241" s="432"/>
      <c r="CY241" s="432"/>
      <c r="CZ241" s="432"/>
      <c r="DA241" s="432"/>
      <c r="DB241" s="432"/>
      <c r="DC241" s="432"/>
      <c r="DD241" s="432"/>
      <c r="DE241" s="432"/>
      <c r="DF241" s="432"/>
      <c r="DG241" s="432"/>
      <c r="DH241" s="432"/>
      <c r="DI241" s="432"/>
      <c r="DJ241" s="432"/>
      <c r="DK241" s="432"/>
      <c r="DL241" s="432"/>
      <c r="DM241" s="432"/>
      <c r="DN241" s="432"/>
      <c r="DO241" s="432"/>
      <c r="DP241" s="432"/>
      <c r="DQ241" s="432"/>
      <c r="DR241" s="432"/>
      <c r="DS241" s="432"/>
      <c r="DT241" s="432"/>
      <c r="DU241" s="432"/>
      <c r="DV241" s="432"/>
      <c r="DW241" s="432"/>
      <c r="DX241" s="432"/>
      <c r="DY241" s="432"/>
      <c r="DZ241" s="432"/>
      <c r="EA241" s="432"/>
      <c r="EB241" s="432"/>
      <c r="EC241" s="432"/>
      <c r="ED241" s="432"/>
      <c r="EE241" s="432"/>
      <c r="EF241" s="432"/>
      <c r="EG241" s="432"/>
      <c r="EH241" s="432"/>
      <c r="EI241" s="432"/>
      <c r="EJ241" s="432"/>
      <c r="EK241" s="432"/>
      <c r="EL241" s="432"/>
      <c r="EM241" s="432"/>
      <c r="EN241" s="432"/>
      <c r="EO241" s="432"/>
      <c r="EP241" s="432"/>
      <c r="EQ241" s="432"/>
      <c r="ER241" s="432"/>
      <c r="ES241" s="432"/>
      <c r="ET241" s="432"/>
      <c r="EU241" s="432"/>
      <c r="EV241" s="432"/>
      <c r="EW241" s="432"/>
      <c r="EX241" s="432"/>
      <c r="EY241" s="432"/>
      <c r="EZ241" s="432"/>
      <c r="FA241" s="432"/>
      <c r="FB241" s="432"/>
      <c r="FC241" s="432"/>
      <c r="FD241" s="432"/>
      <c r="FE241" s="432"/>
      <c r="FF241" s="432"/>
      <c r="FG241" s="432"/>
      <c r="FH241" s="432"/>
      <c r="FI241" s="432"/>
      <c r="FJ241" s="432"/>
      <c r="FK241" s="432"/>
      <c r="FL241" s="432"/>
      <c r="FM241" s="432"/>
      <c r="FN241" s="432"/>
      <c r="FO241" s="432"/>
      <c r="FP241" s="432"/>
      <c r="FQ241" s="432"/>
      <c r="FR241" s="432"/>
      <c r="FS241" s="432"/>
      <c r="FT241" s="432"/>
      <c r="FU241" s="432"/>
      <c r="FV241" s="432"/>
      <c r="FW241" s="432"/>
      <c r="FX241" s="432"/>
      <c r="FY241" s="432"/>
      <c r="FZ241" s="432"/>
      <c r="GA241" s="432"/>
      <c r="GB241" s="432"/>
      <c r="GC241" s="432"/>
      <c r="GD241" s="432"/>
      <c r="GE241" s="432"/>
      <c r="GF241" s="432"/>
      <c r="GG241" s="432"/>
      <c r="GH241" s="432"/>
      <c r="GI241" s="432"/>
      <c r="GJ241" s="432"/>
      <c r="GK241" s="432"/>
      <c r="GL241" s="432"/>
      <c r="GM241" s="432"/>
      <c r="GN241" s="432"/>
      <c r="GO241" s="432"/>
      <c r="GP241" s="432"/>
      <c r="GQ241" s="432"/>
      <c r="GR241" s="432"/>
      <c r="GS241" s="432"/>
      <c r="GT241" s="432"/>
      <c r="GU241" s="432"/>
      <c r="GV241" s="432"/>
      <c r="GW241" s="432"/>
      <c r="GX241" s="432"/>
      <c r="GY241" s="432"/>
      <c r="GZ241" s="432"/>
      <c r="HA241" s="432"/>
      <c r="HB241" s="432"/>
      <c r="HC241" s="432"/>
      <c r="HD241" s="432"/>
      <c r="HE241" s="432"/>
      <c r="HF241" s="432"/>
      <c r="HG241" s="432"/>
      <c r="HH241" s="432"/>
      <c r="HI241" s="432"/>
      <c r="HJ241" s="432"/>
      <c r="HK241" s="432"/>
      <c r="HL241" s="432"/>
      <c r="HM241" s="432"/>
      <c r="HN241" s="432"/>
      <c r="HO241" s="432"/>
      <c r="HP241" s="432"/>
      <c r="HQ241" s="432"/>
      <c r="HR241" s="432"/>
      <c r="HS241" s="432"/>
      <c r="HT241" s="432"/>
      <c r="HU241" s="432"/>
      <c r="HV241" s="432"/>
      <c r="HW241" s="432"/>
      <c r="HX241" s="432"/>
      <c r="HY241" s="432"/>
      <c r="HZ241" s="432"/>
      <c r="IA241" s="432"/>
      <c r="IB241" s="432"/>
      <c r="IC241" s="432"/>
      <c r="ID241" s="432"/>
      <c r="IE241" s="432"/>
      <c r="IF241" s="432"/>
      <c r="IG241" s="432"/>
      <c r="IH241" s="432"/>
      <c r="II241" s="432"/>
      <c r="IJ241" s="432"/>
      <c r="IK241" s="432"/>
      <c r="IL241" s="432"/>
      <c r="IM241" s="432"/>
      <c r="IN241" s="432"/>
      <c r="IO241" s="432"/>
      <c r="IP241" s="432"/>
      <c r="IQ241" s="432"/>
      <c r="IR241" s="432"/>
      <c r="IS241" s="432"/>
      <c r="IT241" s="432"/>
      <c r="IU241" s="432"/>
      <c r="IV241" s="432"/>
      <c r="IW241" s="432"/>
      <c r="IX241" s="432"/>
      <c r="IY241" s="432"/>
      <c r="IZ241" s="432"/>
      <c r="JA241" s="432"/>
      <c r="JB241" s="432"/>
      <c r="JC241" s="432"/>
      <c r="JD241" s="432"/>
      <c r="JE241" s="432"/>
      <c r="JF241" s="432"/>
      <c r="JG241" s="432"/>
      <c r="JH241" s="432"/>
      <c r="JI241" s="432"/>
      <c r="JJ241" s="432"/>
      <c r="JK241" s="432"/>
      <c r="JL241" s="432"/>
      <c r="JM241" s="432"/>
      <c r="JN241" s="432"/>
      <c r="JO241" s="432"/>
      <c r="JP241" s="432"/>
      <c r="JQ241" s="432"/>
      <c r="JR241" s="432"/>
      <c r="JS241" s="432"/>
      <c r="JT241" s="432"/>
      <c r="JU241" s="432"/>
      <c r="JV241" s="432"/>
      <c r="JW241" s="1810"/>
      <c r="JX241" s="432"/>
      <c r="JY241" s="432"/>
      <c r="JZ241" s="432"/>
      <c r="KA241" s="432"/>
      <c r="KB241" s="1810"/>
      <c r="KC241" s="432"/>
      <c r="KD241" s="432"/>
      <c r="KE241" s="432"/>
      <c r="KF241" s="432"/>
      <c r="KG241" s="1810"/>
      <c r="KH241" s="432"/>
      <c r="KI241" s="432"/>
      <c r="KJ241" s="432"/>
      <c r="KK241" s="432"/>
      <c r="KL241" s="1810"/>
      <c r="KM241" s="1810"/>
      <c r="KN241" s="1810"/>
      <c r="KO241" s="1810"/>
      <c r="KP241" s="1810"/>
      <c r="KQ241" s="1810"/>
      <c r="KR241" s="1810"/>
      <c r="KS241" s="1810"/>
      <c r="KT241" s="1810"/>
      <c r="KU241" s="1810"/>
      <c r="KV241" s="1810"/>
      <c r="KW241" s="1810"/>
      <c r="KX241" s="1810"/>
      <c r="KY241" s="1810"/>
      <c r="KZ241" s="1810"/>
      <c r="LA241" s="1810"/>
      <c r="LB241" s="1810"/>
      <c r="LC241" s="1810"/>
      <c r="LD241" s="1810"/>
      <c r="LE241" s="1810"/>
      <c r="LF241" s="1810"/>
      <c r="LG241" s="1810"/>
      <c r="LH241" s="432"/>
      <c r="LI241" s="432"/>
      <c r="LJ241" s="432"/>
      <c r="LK241" s="432"/>
      <c r="LL241" s="432"/>
      <c r="LM241" s="432"/>
      <c r="LN241" s="1811"/>
      <c r="LO241" s="432"/>
      <c r="LP241" s="432"/>
      <c r="LQ241" s="432"/>
      <c r="LR241" s="432"/>
      <c r="LS241" s="432"/>
      <c r="LT241" s="432"/>
      <c r="LU241" s="432"/>
      <c r="LV241" s="432"/>
      <c r="LW241" s="432"/>
      <c r="LX241" s="432"/>
      <c r="LY241" s="432"/>
      <c r="LZ241" s="432"/>
      <c r="MA241" s="432"/>
      <c r="MB241" s="432"/>
      <c r="MC241" s="432"/>
      <c r="MD241" s="1811"/>
      <c r="ME241" s="1811"/>
      <c r="MF241" s="432"/>
      <c r="MG241" s="432"/>
      <c r="MH241" s="432"/>
      <c r="MI241" s="432"/>
      <c r="MJ241" s="432"/>
      <c r="MK241" s="432"/>
      <c r="ML241" s="432"/>
      <c r="MM241" s="432"/>
      <c r="MN241" s="432"/>
      <c r="MO241" s="432"/>
      <c r="MP241" s="432"/>
      <c r="MQ241" s="432"/>
      <c r="MR241" s="432"/>
      <c r="MS241" s="432"/>
      <c r="MT241" s="432"/>
      <c r="MU241" s="432"/>
      <c r="MV241" s="93"/>
      <c r="MW241" s="93"/>
      <c r="MX241" s="93"/>
      <c r="MY241" s="93"/>
      <c r="MZ241" s="93"/>
      <c r="NA241" s="93"/>
      <c r="NB241" s="93"/>
      <c r="NC241" s="93"/>
      <c r="ND241" s="93"/>
      <c r="NE241" s="93"/>
      <c r="NF241" s="93"/>
      <c r="NG241" s="93"/>
      <c r="NH241" s="93"/>
      <c r="NI241" s="93"/>
      <c r="NJ241" s="93"/>
      <c r="NK241" s="93"/>
      <c r="NL241" s="93"/>
      <c r="NM241" s="93"/>
      <c r="NN241" s="93"/>
      <c r="NO241" s="93"/>
      <c r="NP241" s="2850"/>
      <c r="NQ241" s="93"/>
      <c r="NR241" s="93"/>
      <c r="NS241" s="93"/>
      <c r="NT241" s="93"/>
      <c r="NU241" s="93"/>
      <c r="NV241" s="93"/>
      <c r="NW241" s="93"/>
      <c r="NX241" s="93"/>
      <c r="NY241" s="93"/>
      <c r="NZ241" s="93"/>
      <c r="OA241" s="93"/>
      <c r="OB241" s="93"/>
      <c r="OC241" s="93"/>
      <c r="OD241" s="93"/>
      <c r="OE241" s="93"/>
      <c r="OF241" s="93"/>
      <c r="OG241" s="93"/>
      <c r="OH241" s="93"/>
      <c r="OI241" s="93"/>
      <c r="OJ241" s="93"/>
      <c r="OK241" s="93"/>
      <c r="OL241" s="93"/>
      <c r="OM241" s="93"/>
      <c r="ON241" s="93"/>
      <c r="OO241" s="93"/>
      <c r="OP241" s="93"/>
      <c r="OQ241" s="93"/>
      <c r="OR241" s="93"/>
      <c r="OS241" s="93"/>
      <c r="OT241" s="93"/>
      <c r="OU241" s="93"/>
      <c r="OV241" s="93"/>
      <c r="OW241" s="93"/>
      <c r="OX241" s="93"/>
      <c r="OY241" s="93"/>
      <c r="OZ241" s="93"/>
      <c r="PA241" s="93"/>
      <c r="PB241" s="93"/>
      <c r="PC241" s="93"/>
      <c r="PD241" s="93"/>
      <c r="PE241" s="93"/>
      <c r="PF241" s="93"/>
      <c r="PG241" s="93"/>
      <c r="PH241" s="93"/>
      <c r="PI241" s="93"/>
      <c r="PJ241" s="93"/>
      <c r="PK241" s="93"/>
      <c r="PL241" s="93"/>
      <c r="PM241" s="93"/>
      <c r="PN241" s="93"/>
      <c r="PO241" s="93"/>
      <c r="PP241" s="93"/>
      <c r="PQ241" s="93"/>
      <c r="PR241" s="93"/>
      <c r="PS241" s="93"/>
      <c r="PT241" s="93"/>
      <c r="PU241" s="93"/>
      <c r="PV241" s="93"/>
      <c r="PW241" s="93"/>
      <c r="PX241" s="93"/>
      <c r="PY241" s="93"/>
      <c r="PZ241" s="93"/>
      <c r="QA241" s="93"/>
      <c r="QB241" s="93"/>
      <c r="QC241" s="93"/>
      <c r="QD241" s="93"/>
      <c r="QE241" s="93"/>
      <c r="QF241" s="93"/>
      <c r="QG241" s="93"/>
      <c r="QH241" s="93"/>
      <c r="QI241" s="93"/>
      <c r="QJ241" s="93"/>
      <c r="QK241" s="93"/>
      <c r="QL241" s="93"/>
      <c r="QM241" s="93"/>
      <c r="QN241" s="93"/>
      <c r="QO241" s="93"/>
      <c r="QP241" s="93"/>
      <c r="QQ241" s="93"/>
      <c r="QR241" s="93"/>
      <c r="QS241" s="93"/>
      <c r="QT241" s="93"/>
      <c r="QU241" s="93"/>
      <c r="QV241" s="93"/>
      <c r="QW241" s="93"/>
      <c r="QX241" s="93"/>
      <c r="QY241" s="93"/>
      <c r="QZ241" s="93"/>
      <c r="RA241" s="93"/>
      <c r="RB241" s="93"/>
      <c r="RC241" s="93"/>
      <c r="RD241" s="93"/>
      <c r="RE241" s="93"/>
      <c r="RF241" s="93"/>
      <c r="RG241" s="93"/>
      <c r="RH241" s="93"/>
      <c r="RI241" s="93"/>
      <c r="RJ241" s="93"/>
      <c r="RK241" s="93"/>
      <c r="RL241" s="93"/>
      <c r="RM241" s="93"/>
      <c r="RN241" s="93"/>
      <c r="RO241" s="93"/>
      <c r="RP241" s="93"/>
      <c r="RQ241" s="93"/>
      <c r="RR241" s="93"/>
      <c r="RS241" s="93"/>
      <c r="RT241" s="93"/>
      <c r="RU241" s="93"/>
      <c r="RV241" s="93"/>
      <c r="RW241" s="93"/>
      <c r="RX241" s="93"/>
      <c r="RY241" s="93"/>
    </row>
    <row r="242" spans="1:493" s="90" customFormat="1" ht="15.6" customHeight="1">
      <c r="A242" s="1"/>
      <c r="B242" s="1" t="s">
        <v>835</v>
      </c>
      <c r="C242" s="1"/>
      <c r="D242" s="9"/>
      <c r="E242" s="1"/>
      <c r="F242" s="3880">
        <v>600</v>
      </c>
      <c r="G242" s="3881"/>
      <c r="H242" s="1"/>
      <c r="I242" s="1" t="s">
        <v>139</v>
      </c>
      <c r="K242" s="1"/>
      <c r="L242" s="3878">
        <v>51702</v>
      </c>
      <c r="M242" s="3879"/>
      <c r="R242" s="770"/>
      <c r="S242" s="3833"/>
      <c r="T242" s="3834"/>
      <c r="U242" s="3834"/>
      <c r="V242" s="3834"/>
      <c r="W242" s="3835"/>
      <c r="X242" s="430"/>
      <c r="Y242" s="432"/>
      <c r="Z242" s="432"/>
      <c r="AA242" s="432"/>
      <c r="AB242" s="432"/>
      <c r="AC242" s="430"/>
      <c r="AD242" s="432"/>
      <c r="AE242" s="432"/>
      <c r="AF242" s="432"/>
      <c r="AG242" s="432"/>
      <c r="AH242" s="430"/>
      <c r="AI242" s="432"/>
      <c r="AJ242" s="432"/>
      <c r="AK242" s="432"/>
      <c r="AL242" s="432"/>
      <c r="AM242" s="430"/>
      <c r="AN242" s="432"/>
      <c r="AO242" s="432"/>
      <c r="AP242" s="432"/>
      <c r="AQ242" s="432"/>
      <c r="AR242" s="432"/>
      <c r="AS242" s="432"/>
      <c r="AT242" s="432"/>
      <c r="AU242" s="432"/>
      <c r="AV242" s="432"/>
      <c r="AW242" s="432"/>
      <c r="AX242" s="432"/>
      <c r="AY242" s="432"/>
      <c r="AZ242" s="432"/>
      <c r="BA242" s="432"/>
      <c r="BB242" s="432"/>
      <c r="BC242" s="432"/>
      <c r="BD242" s="432"/>
      <c r="BE242" s="432"/>
      <c r="BF242" s="432"/>
      <c r="BG242" s="432"/>
      <c r="BH242" s="432"/>
      <c r="BI242" s="432"/>
      <c r="BJ242" s="432"/>
      <c r="BK242" s="432"/>
      <c r="BL242" s="432"/>
      <c r="BM242" s="432"/>
      <c r="BN242" s="432"/>
      <c r="BO242" s="432"/>
      <c r="BP242" s="432"/>
      <c r="BQ242" s="432"/>
      <c r="BR242" s="432"/>
      <c r="BS242" s="432"/>
      <c r="BT242" s="432"/>
      <c r="BU242" s="432"/>
      <c r="BV242" s="432"/>
      <c r="BW242" s="432"/>
      <c r="BX242" s="432"/>
      <c r="BY242" s="432"/>
      <c r="BZ242" s="432"/>
      <c r="CA242" s="432"/>
      <c r="CB242" s="432"/>
      <c r="CC242" s="432"/>
      <c r="CD242" s="432"/>
      <c r="CE242" s="432"/>
      <c r="CF242" s="432"/>
      <c r="CG242" s="432"/>
      <c r="CH242" s="432"/>
      <c r="CI242" s="432"/>
      <c r="CJ242" s="432"/>
      <c r="CK242" s="432"/>
      <c r="CL242" s="432"/>
      <c r="CM242" s="432"/>
      <c r="CN242" s="432"/>
      <c r="CO242" s="432"/>
      <c r="CP242" s="432"/>
      <c r="CQ242" s="432"/>
      <c r="CR242" s="432"/>
      <c r="CS242" s="432"/>
      <c r="CT242" s="432"/>
      <c r="CU242" s="432"/>
      <c r="CV242" s="432"/>
      <c r="CW242" s="432"/>
      <c r="CX242" s="432"/>
      <c r="CY242" s="432"/>
      <c r="CZ242" s="432"/>
      <c r="DA242" s="432"/>
      <c r="DB242" s="432"/>
      <c r="DC242" s="432"/>
      <c r="DD242" s="432"/>
      <c r="DE242" s="432"/>
      <c r="DF242" s="432"/>
      <c r="DG242" s="432"/>
      <c r="DH242" s="432"/>
      <c r="DI242" s="432"/>
      <c r="DJ242" s="432"/>
      <c r="DK242" s="432"/>
      <c r="DL242" s="432"/>
      <c r="DM242" s="432"/>
      <c r="DN242" s="432"/>
      <c r="DO242" s="432"/>
      <c r="DP242" s="432"/>
      <c r="DQ242" s="432"/>
      <c r="DR242" s="432"/>
      <c r="DS242" s="432"/>
      <c r="DT242" s="432"/>
      <c r="DU242" s="432"/>
      <c r="DV242" s="432"/>
      <c r="DW242" s="432"/>
      <c r="DX242" s="432"/>
      <c r="DY242" s="432"/>
      <c r="DZ242" s="432"/>
      <c r="EA242" s="432"/>
      <c r="EB242" s="432"/>
      <c r="EC242" s="432"/>
      <c r="ED242" s="432"/>
      <c r="EE242" s="432"/>
      <c r="EF242" s="432"/>
      <c r="EG242" s="432"/>
      <c r="EH242" s="432"/>
      <c r="EI242" s="432"/>
      <c r="EJ242" s="432"/>
      <c r="EK242" s="432"/>
      <c r="EL242" s="432"/>
      <c r="EM242" s="432"/>
      <c r="EN242" s="432"/>
      <c r="EO242" s="432"/>
      <c r="EP242" s="432"/>
      <c r="EQ242" s="432"/>
      <c r="ER242" s="432"/>
      <c r="ES242" s="432"/>
      <c r="ET242" s="432"/>
      <c r="EU242" s="432"/>
      <c r="EV242" s="432"/>
      <c r="EW242" s="432"/>
      <c r="EX242" s="432"/>
      <c r="EY242" s="432"/>
      <c r="EZ242" s="432"/>
      <c r="FA242" s="432"/>
      <c r="FB242" s="432"/>
      <c r="FC242" s="432"/>
      <c r="FD242" s="432"/>
      <c r="FE242" s="432"/>
      <c r="FF242" s="432"/>
      <c r="FG242" s="432"/>
      <c r="FH242" s="432"/>
      <c r="FI242" s="432"/>
      <c r="FJ242" s="432"/>
      <c r="FK242" s="432"/>
      <c r="FL242" s="432"/>
      <c r="FM242" s="432"/>
      <c r="FN242" s="432"/>
      <c r="FO242" s="432"/>
      <c r="FP242" s="432"/>
      <c r="FQ242" s="432"/>
      <c r="FR242" s="432"/>
      <c r="FS242" s="432"/>
      <c r="FT242" s="432"/>
      <c r="FU242" s="432"/>
      <c r="FV242" s="432"/>
      <c r="FW242" s="432"/>
      <c r="FX242" s="432"/>
      <c r="FY242" s="432"/>
      <c r="FZ242" s="432"/>
      <c r="GA242" s="432"/>
      <c r="GB242" s="432"/>
      <c r="GC242" s="432"/>
      <c r="GD242" s="432"/>
      <c r="GE242" s="432"/>
      <c r="GF242" s="432"/>
      <c r="GG242" s="432"/>
      <c r="GH242" s="432"/>
      <c r="GI242" s="432"/>
      <c r="GJ242" s="432"/>
      <c r="GK242" s="432"/>
      <c r="GL242" s="432"/>
      <c r="GM242" s="432"/>
      <c r="GN242" s="432"/>
      <c r="GO242" s="432"/>
      <c r="GP242" s="432"/>
      <c r="GQ242" s="432"/>
      <c r="GR242" s="432"/>
      <c r="GS242" s="432"/>
      <c r="GT242" s="432"/>
      <c r="GU242" s="432"/>
      <c r="GV242" s="432"/>
      <c r="GW242" s="432"/>
      <c r="GX242" s="432"/>
      <c r="GY242" s="432"/>
      <c r="GZ242" s="432"/>
      <c r="HA242" s="432"/>
      <c r="HB242" s="432"/>
      <c r="HC242" s="432"/>
      <c r="HD242" s="432"/>
      <c r="HE242" s="432"/>
      <c r="HF242" s="432"/>
      <c r="HG242" s="432"/>
      <c r="HH242" s="432"/>
      <c r="HI242" s="432"/>
      <c r="HJ242" s="432"/>
      <c r="HK242" s="432"/>
      <c r="HL242" s="432"/>
      <c r="HM242" s="432"/>
      <c r="HN242" s="432"/>
      <c r="HO242" s="432"/>
      <c r="HP242" s="432"/>
      <c r="HQ242" s="432"/>
      <c r="HR242" s="432"/>
      <c r="HS242" s="432"/>
      <c r="HT242" s="432"/>
      <c r="HU242" s="432"/>
      <c r="HV242" s="432"/>
      <c r="HW242" s="432"/>
      <c r="HX242" s="432"/>
      <c r="HY242" s="432"/>
      <c r="HZ242" s="432"/>
      <c r="IA242" s="432"/>
      <c r="IB242" s="432"/>
      <c r="IC242" s="432"/>
      <c r="ID242" s="432"/>
      <c r="IE242" s="432"/>
      <c r="IF242" s="432"/>
      <c r="IG242" s="432"/>
      <c r="IH242" s="432"/>
      <c r="II242" s="432"/>
      <c r="IJ242" s="432"/>
      <c r="IK242" s="432"/>
      <c r="IL242" s="432"/>
      <c r="IM242" s="432"/>
      <c r="IN242" s="432"/>
      <c r="IO242" s="432"/>
      <c r="IP242" s="432"/>
      <c r="IQ242" s="432"/>
      <c r="IR242" s="432"/>
      <c r="IS242" s="432"/>
      <c r="IT242" s="432"/>
      <c r="IU242" s="432"/>
      <c r="IV242" s="432"/>
      <c r="IW242" s="432"/>
      <c r="IX242" s="432"/>
      <c r="IY242" s="432"/>
      <c r="IZ242" s="432"/>
      <c r="JA242" s="432"/>
      <c r="JB242" s="432"/>
      <c r="JC242" s="432"/>
      <c r="JD242" s="432"/>
      <c r="JE242" s="432"/>
      <c r="JF242" s="432"/>
      <c r="JG242" s="432"/>
      <c r="JH242" s="432"/>
      <c r="JI242" s="432"/>
      <c r="JJ242" s="432"/>
      <c r="JK242" s="432"/>
      <c r="JL242" s="432"/>
      <c r="JM242" s="432"/>
      <c r="JN242" s="432"/>
      <c r="JO242" s="432"/>
      <c r="JP242" s="432"/>
      <c r="JQ242" s="432"/>
      <c r="JR242" s="432"/>
      <c r="JS242" s="432"/>
      <c r="JT242" s="432"/>
      <c r="JU242" s="432"/>
      <c r="JV242" s="432"/>
      <c r="JW242" s="1810"/>
      <c r="JX242" s="432"/>
      <c r="JY242" s="432"/>
      <c r="JZ242" s="432"/>
      <c r="KA242" s="432"/>
      <c r="KB242" s="1810"/>
      <c r="KC242" s="432"/>
      <c r="KD242" s="432"/>
      <c r="KE242" s="432"/>
      <c r="KF242" s="432"/>
      <c r="KG242" s="1810"/>
      <c r="KH242" s="432"/>
      <c r="KI242" s="432"/>
      <c r="KJ242" s="432"/>
      <c r="KK242" s="432"/>
      <c r="KL242" s="1810"/>
      <c r="KM242" s="1810"/>
      <c r="KN242" s="1810"/>
      <c r="KO242" s="1810"/>
      <c r="KP242" s="1810"/>
      <c r="KQ242" s="1810"/>
      <c r="KR242" s="1810"/>
      <c r="KS242" s="1810"/>
      <c r="KT242" s="1810"/>
      <c r="KU242" s="1810"/>
      <c r="KV242" s="1810"/>
      <c r="KW242" s="1810"/>
      <c r="KX242" s="1810"/>
      <c r="KY242" s="1810"/>
      <c r="KZ242" s="1810"/>
      <c r="LA242" s="1810"/>
      <c r="LB242" s="1810"/>
      <c r="LC242" s="1810"/>
      <c r="LD242" s="1810"/>
      <c r="LE242" s="1810"/>
      <c r="LF242" s="1810"/>
      <c r="LG242" s="1810"/>
      <c r="LH242" s="432"/>
      <c r="LI242" s="432"/>
      <c r="LJ242" s="432"/>
      <c r="LK242" s="432"/>
      <c r="LL242" s="432"/>
      <c r="LM242" s="432"/>
      <c r="LN242" s="1811"/>
      <c r="LO242" s="432"/>
      <c r="LP242" s="432"/>
      <c r="LQ242" s="432"/>
      <c r="LR242" s="432"/>
      <c r="LS242" s="432"/>
      <c r="LT242" s="432"/>
      <c r="LU242" s="432"/>
      <c r="LV242" s="432"/>
      <c r="LW242" s="432"/>
      <c r="LX242" s="432"/>
      <c r="LY242" s="432"/>
      <c r="LZ242" s="432"/>
      <c r="MA242" s="432"/>
      <c r="MB242" s="432"/>
      <c r="MC242" s="432"/>
      <c r="MD242" s="1811"/>
      <c r="ME242" s="1811"/>
      <c r="MF242" s="432"/>
      <c r="MG242" s="432"/>
      <c r="MH242" s="432"/>
      <c r="MI242" s="432"/>
      <c r="MJ242" s="432"/>
      <c r="MK242" s="432"/>
      <c r="ML242" s="432"/>
      <c r="MM242" s="432"/>
      <c r="MN242" s="432"/>
      <c r="MO242" s="432"/>
      <c r="MP242" s="432"/>
      <c r="MQ242" s="432"/>
      <c r="MR242" s="432"/>
      <c r="MS242" s="432"/>
      <c r="MT242" s="432"/>
      <c r="MU242" s="432"/>
      <c r="MV242" s="93"/>
      <c r="MW242" s="93"/>
      <c r="MX242" s="93"/>
      <c r="MY242" s="93"/>
      <c r="MZ242" s="93"/>
      <c r="NA242" s="93"/>
      <c r="NB242" s="93"/>
      <c r="NC242" s="93"/>
      <c r="ND242" s="93"/>
      <c r="NE242" s="93"/>
      <c r="NF242" s="93"/>
      <c r="NG242" s="93"/>
      <c r="NH242" s="93"/>
      <c r="NI242" s="93"/>
      <c r="NJ242" s="93"/>
      <c r="NK242" s="93"/>
      <c r="NL242" s="93"/>
      <c r="NM242" s="93"/>
      <c r="NN242" s="93"/>
      <c r="NO242" s="93"/>
      <c r="NP242" s="2850"/>
      <c r="NQ242" s="93"/>
      <c r="NR242" s="93"/>
      <c r="NS242" s="93"/>
      <c r="NT242" s="93"/>
      <c r="NU242" s="93"/>
      <c r="NV242" s="93"/>
      <c r="NW242" s="93"/>
      <c r="NX242" s="93"/>
      <c r="NY242" s="93"/>
      <c r="NZ242" s="93"/>
      <c r="OA242" s="93"/>
      <c r="OB242" s="93"/>
      <c r="OC242" s="93"/>
      <c r="OD242" s="93"/>
      <c r="OE242" s="93"/>
      <c r="OF242" s="93"/>
      <c r="OG242" s="93"/>
      <c r="OH242" s="93"/>
      <c r="OI242" s="93"/>
      <c r="OJ242" s="93"/>
      <c r="OK242" s="93"/>
      <c r="OL242" s="93"/>
      <c r="OM242" s="93"/>
      <c r="ON242" s="93"/>
      <c r="OO242" s="93"/>
      <c r="OP242" s="93"/>
      <c r="OQ242" s="93"/>
      <c r="OR242" s="93"/>
      <c r="OS242" s="93"/>
      <c r="OT242" s="93"/>
      <c r="OU242" s="93"/>
      <c r="OV242" s="93"/>
      <c r="OW242" s="93"/>
      <c r="OX242" s="93"/>
      <c r="OY242" s="93"/>
      <c r="OZ242" s="93"/>
      <c r="PA242" s="93"/>
      <c r="PB242" s="93"/>
      <c r="PC242" s="93"/>
      <c r="PD242" s="93"/>
      <c r="PE242" s="93"/>
      <c r="PF242" s="93"/>
      <c r="PG242" s="93"/>
      <c r="PH242" s="93"/>
      <c r="PI242" s="93"/>
      <c r="PJ242" s="93"/>
      <c r="PK242" s="93"/>
      <c r="PL242" s="93"/>
      <c r="PM242" s="93"/>
      <c r="PN242" s="93"/>
      <c r="PO242" s="93"/>
      <c r="PP242" s="93"/>
      <c r="PQ242" s="93"/>
      <c r="PR242" s="93"/>
      <c r="PS242" s="93"/>
      <c r="PT242" s="93"/>
      <c r="PU242" s="93"/>
      <c r="PV242" s="93"/>
      <c r="PW242" s="93"/>
      <c r="PX242" s="93"/>
      <c r="PY242" s="93"/>
      <c r="PZ242" s="93"/>
      <c r="QA242" s="93"/>
      <c r="QB242" s="93"/>
      <c r="QC242" s="93"/>
      <c r="QD242" s="93"/>
      <c r="QE242" s="93"/>
      <c r="QF242" s="93"/>
      <c r="QG242" s="93"/>
      <c r="QH242" s="93"/>
      <c r="QI242" s="93"/>
      <c r="QJ242" s="93"/>
      <c r="QK242" s="93"/>
      <c r="QL242" s="93"/>
      <c r="QM242" s="93"/>
      <c r="QN242" s="93"/>
      <c r="QO242" s="93"/>
      <c r="QP242" s="93"/>
      <c r="QQ242" s="93"/>
      <c r="QR242" s="93"/>
      <c r="QS242" s="93"/>
      <c r="QT242" s="93"/>
      <c r="QU242" s="93"/>
      <c r="QV242" s="93"/>
      <c r="QW242" s="93"/>
      <c r="QX242" s="93"/>
      <c r="QY242" s="93"/>
      <c r="QZ242" s="93"/>
      <c r="RA242" s="93"/>
      <c r="RB242" s="93"/>
      <c r="RC242" s="93"/>
      <c r="RD242" s="93"/>
      <c r="RE242" s="93"/>
      <c r="RF242" s="93"/>
      <c r="RG242" s="93"/>
      <c r="RH242" s="93"/>
      <c r="RI242" s="93"/>
      <c r="RJ242" s="93"/>
      <c r="RK242" s="93"/>
      <c r="RL242" s="93"/>
      <c r="RM242" s="93"/>
      <c r="RN242" s="93"/>
      <c r="RO242" s="93"/>
      <c r="RP242" s="93"/>
      <c r="RQ242" s="93"/>
      <c r="RR242" s="93"/>
      <c r="RS242" s="93"/>
      <c r="RT242" s="93"/>
      <c r="RU242" s="93"/>
      <c r="RV242" s="93"/>
      <c r="RW242" s="93"/>
      <c r="RX242" s="93"/>
      <c r="RY242" s="93"/>
    </row>
    <row r="243" spans="1:493" s="90" customFormat="1" ht="15.6" customHeight="1" thickBot="1">
      <c r="A243" s="1"/>
      <c r="B243" s="3890" t="s">
        <v>46</v>
      </c>
      <c r="C243" s="3891"/>
      <c r="D243" s="3891"/>
      <c r="E243" s="3892"/>
      <c r="F243" s="3868"/>
      <c r="G243" s="3869"/>
      <c r="H243" s="1"/>
      <c r="I243" s="3894" t="s">
        <v>46</v>
      </c>
      <c r="J243" s="3895"/>
      <c r="K243" s="3896"/>
      <c r="L243" s="3897"/>
      <c r="M243" s="3898"/>
      <c r="N243" s="1"/>
      <c r="R243" s="770"/>
      <c r="S243" s="3833"/>
      <c r="T243" s="3834"/>
      <c r="U243" s="3834"/>
      <c r="V243" s="3834"/>
      <c r="W243" s="3835"/>
      <c r="X243" s="430"/>
      <c r="Y243" s="432"/>
      <c r="Z243" s="432"/>
      <c r="AA243" s="432"/>
      <c r="AB243" s="432"/>
      <c r="AC243" s="430"/>
      <c r="AD243" s="432"/>
      <c r="AE243" s="432"/>
      <c r="AF243" s="432"/>
      <c r="AG243" s="432"/>
      <c r="AH243" s="430"/>
      <c r="AI243" s="432"/>
      <c r="AJ243" s="432"/>
      <c r="AK243" s="432"/>
      <c r="AL243" s="432"/>
      <c r="AM243" s="430"/>
      <c r="AN243" s="432"/>
      <c r="AO243" s="432"/>
      <c r="AP243" s="432"/>
      <c r="AQ243" s="432"/>
      <c r="AR243" s="432"/>
      <c r="AS243" s="432"/>
      <c r="AT243" s="432"/>
      <c r="AU243" s="432"/>
      <c r="AV243" s="432"/>
      <c r="AW243" s="432"/>
      <c r="AX243" s="432"/>
      <c r="AY243" s="432"/>
      <c r="AZ243" s="432"/>
      <c r="BA243" s="432"/>
      <c r="BB243" s="432"/>
      <c r="BC243" s="432"/>
      <c r="BD243" s="432"/>
      <c r="BE243" s="432"/>
      <c r="BF243" s="432"/>
      <c r="BG243" s="432"/>
      <c r="BH243" s="432"/>
      <c r="BI243" s="432"/>
      <c r="BJ243" s="432"/>
      <c r="BK243" s="432"/>
      <c r="BL243" s="432"/>
      <c r="BM243" s="432"/>
      <c r="BN243" s="432"/>
      <c r="BO243" s="432"/>
      <c r="BP243" s="432"/>
      <c r="BQ243" s="432"/>
      <c r="BR243" s="432"/>
      <c r="BS243" s="432"/>
      <c r="BT243" s="432"/>
      <c r="BU243" s="432"/>
      <c r="BV243" s="432"/>
      <c r="BW243" s="432"/>
      <c r="BX243" s="432"/>
      <c r="BY243" s="432"/>
      <c r="BZ243" s="432"/>
      <c r="CA243" s="432"/>
      <c r="CB243" s="432"/>
      <c r="CC243" s="432"/>
      <c r="CD243" s="432"/>
      <c r="CE243" s="432"/>
      <c r="CF243" s="432"/>
      <c r="CG243" s="432"/>
      <c r="CH243" s="432"/>
      <c r="CI243" s="432"/>
      <c r="CJ243" s="432"/>
      <c r="CK243" s="432"/>
      <c r="CL243" s="432"/>
      <c r="CM243" s="432"/>
      <c r="CN243" s="432"/>
      <c r="CO243" s="432"/>
      <c r="CP243" s="432"/>
      <c r="CQ243" s="432"/>
      <c r="CR243" s="432"/>
      <c r="CS243" s="432"/>
      <c r="CT243" s="432"/>
      <c r="CU243" s="432"/>
      <c r="CV243" s="432"/>
      <c r="CW243" s="432"/>
      <c r="CX243" s="432"/>
      <c r="CY243" s="432"/>
      <c r="CZ243" s="432"/>
      <c r="DA243" s="432"/>
      <c r="DB243" s="432"/>
      <c r="DC243" s="432"/>
      <c r="DD243" s="432"/>
      <c r="DE243" s="432"/>
      <c r="DF243" s="432"/>
      <c r="DG243" s="432"/>
      <c r="DH243" s="432"/>
      <c r="DI243" s="432"/>
      <c r="DJ243" s="432"/>
      <c r="DK243" s="432"/>
      <c r="DL243" s="432"/>
      <c r="DM243" s="432"/>
      <c r="DN243" s="432"/>
      <c r="DO243" s="432"/>
      <c r="DP243" s="432"/>
      <c r="DQ243" s="432"/>
      <c r="DR243" s="432"/>
      <c r="DS243" s="432"/>
      <c r="DT243" s="432"/>
      <c r="DU243" s="432"/>
      <c r="DV243" s="432"/>
      <c r="DW243" s="432"/>
      <c r="DX243" s="432"/>
      <c r="DY243" s="432"/>
      <c r="DZ243" s="432"/>
      <c r="EA243" s="432"/>
      <c r="EB243" s="432"/>
      <c r="EC243" s="432"/>
      <c r="ED243" s="432"/>
      <c r="EE243" s="432"/>
      <c r="EF243" s="432"/>
      <c r="EG243" s="432"/>
      <c r="EH243" s="432"/>
      <c r="EI243" s="432"/>
      <c r="EJ243" s="432"/>
      <c r="EK243" s="432"/>
      <c r="EL243" s="432"/>
      <c r="EM243" s="432"/>
      <c r="EN243" s="432"/>
      <c r="EO243" s="432"/>
      <c r="EP243" s="432"/>
      <c r="EQ243" s="432"/>
      <c r="ER243" s="432"/>
      <c r="ES243" s="432"/>
      <c r="ET243" s="432"/>
      <c r="EU243" s="432"/>
      <c r="EV243" s="432"/>
      <c r="EW243" s="432"/>
      <c r="EX243" s="432"/>
      <c r="EY243" s="432"/>
      <c r="EZ243" s="432"/>
      <c r="FA243" s="432"/>
      <c r="FB243" s="432"/>
      <c r="FC243" s="432"/>
      <c r="FD243" s="432"/>
      <c r="FE243" s="432"/>
      <c r="FF243" s="432"/>
      <c r="FG243" s="432"/>
      <c r="FH243" s="432"/>
      <c r="FI243" s="432"/>
      <c r="FJ243" s="432"/>
      <c r="FK243" s="432"/>
      <c r="FL243" s="432"/>
      <c r="FM243" s="432"/>
      <c r="FN243" s="432"/>
      <c r="FO243" s="432"/>
      <c r="FP243" s="432"/>
      <c r="FQ243" s="432"/>
      <c r="FR243" s="432"/>
      <c r="FS243" s="432"/>
      <c r="FT243" s="432"/>
      <c r="FU243" s="432"/>
      <c r="FV243" s="432"/>
      <c r="FW243" s="432"/>
      <c r="FX243" s="432"/>
      <c r="FY243" s="432"/>
      <c r="FZ243" s="432"/>
      <c r="GA243" s="432"/>
      <c r="GB243" s="432"/>
      <c r="GC243" s="432"/>
      <c r="GD243" s="432"/>
      <c r="GE243" s="432"/>
      <c r="GF243" s="432"/>
      <c r="GG243" s="432"/>
      <c r="GH243" s="432"/>
      <c r="GI243" s="432"/>
      <c r="GJ243" s="432"/>
      <c r="GK243" s="432"/>
      <c r="GL243" s="432"/>
      <c r="GM243" s="432"/>
      <c r="GN243" s="432"/>
      <c r="GO243" s="432"/>
      <c r="GP243" s="432"/>
      <c r="GQ243" s="432"/>
      <c r="GR243" s="432"/>
      <c r="GS243" s="432"/>
      <c r="GT243" s="432"/>
      <c r="GU243" s="432"/>
      <c r="GV243" s="432"/>
      <c r="GW243" s="432"/>
      <c r="GX243" s="432"/>
      <c r="GY243" s="432"/>
      <c r="GZ243" s="432"/>
      <c r="HA243" s="432"/>
      <c r="HB243" s="432"/>
      <c r="HC243" s="432"/>
      <c r="HD243" s="432"/>
      <c r="HE243" s="432"/>
      <c r="HF243" s="432"/>
      <c r="HG243" s="432"/>
      <c r="HH243" s="432"/>
      <c r="HI243" s="432"/>
      <c r="HJ243" s="432"/>
      <c r="HK243" s="432"/>
      <c r="HL243" s="432"/>
      <c r="HM243" s="432"/>
      <c r="HN243" s="432"/>
      <c r="HO243" s="432"/>
      <c r="HP243" s="432"/>
      <c r="HQ243" s="432"/>
      <c r="HR243" s="432"/>
      <c r="HS243" s="432"/>
      <c r="HT243" s="432"/>
      <c r="HU243" s="432"/>
      <c r="HV243" s="432"/>
      <c r="HW243" s="432"/>
      <c r="HX243" s="432"/>
      <c r="HY243" s="432"/>
      <c r="HZ243" s="432"/>
      <c r="IA243" s="432"/>
      <c r="IB243" s="432"/>
      <c r="IC243" s="432"/>
      <c r="ID243" s="432"/>
      <c r="IE243" s="432"/>
      <c r="IF243" s="432"/>
      <c r="IG243" s="432"/>
      <c r="IH243" s="432"/>
      <c r="II243" s="432"/>
      <c r="IJ243" s="432"/>
      <c r="IK243" s="432"/>
      <c r="IL243" s="432"/>
      <c r="IM243" s="432"/>
      <c r="IN243" s="432"/>
      <c r="IO243" s="432"/>
      <c r="IP243" s="432"/>
      <c r="IQ243" s="432"/>
      <c r="IR243" s="432"/>
      <c r="IS243" s="432"/>
      <c r="IT243" s="432"/>
      <c r="IU243" s="432"/>
      <c r="IV243" s="432"/>
      <c r="IW243" s="432"/>
      <c r="IX243" s="432"/>
      <c r="IY243" s="432"/>
      <c r="IZ243" s="432"/>
      <c r="JA243" s="432"/>
      <c r="JB243" s="432"/>
      <c r="JC243" s="432"/>
      <c r="JD243" s="432"/>
      <c r="JE243" s="432"/>
      <c r="JF243" s="432"/>
      <c r="JG243" s="432"/>
      <c r="JH243" s="432"/>
      <c r="JI243" s="432"/>
      <c r="JJ243" s="432"/>
      <c r="JK243" s="432"/>
      <c r="JL243" s="432"/>
      <c r="JM243" s="432"/>
      <c r="JN243" s="432"/>
      <c r="JO243" s="432"/>
      <c r="JP243" s="432"/>
      <c r="JQ243" s="432"/>
      <c r="JR243" s="432"/>
      <c r="JS243" s="432"/>
      <c r="JT243" s="432"/>
      <c r="JU243" s="432"/>
      <c r="JV243" s="432"/>
      <c r="JW243" s="1810"/>
      <c r="JX243" s="432"/>
      <c r="JY243" s="432"/>
      <c r="JZ243" s="432"/>
      <c r="KA243" s="432"/>
      <c r="KB243" s="1810"/>
      <c r="KC243" s="432"/>
      <c r="KD243" s="432"/>
      <c r="KE243" s="432"/>
      <c r="KF243" s="432"/>
      <c r="KG243" s="1810"/>
      <c r="KH243" s="432"/>
      <c r="KI243" s="432"/>
      <c r="KJ243" s="432"/>
      <c r="KK243" s="432"/>
      <c r="KL243" s="1810"/>
      <c r="KM243" s="1810"/>
      <c r="KN243" s="1810"/>
      <c r="KO243" s="1810"/>
      <c r="KP243" s="1810"/>
      <c r="KQ243" s="1810"/>
      <c r="KR243" s="1810"/>
      <c r="KS243" s="1810"/>
      <c r="KT243" s="1810"/>
      <c r="KU243" s="1810"/>
      <c r="KV243" s="1810"/>
      <c r="KW243" s="1810"/>
      <c r="KX243" s="1810"/>
      <c r="KY243" s="1810"/>
      <c r="KZ243" s="1810"/>
      <c r="LA243" s="1810"/>
      <c r="LB243" s="1810"/>
      <c r="LC243" s="1810"/>
      <c r="LD243" s="1810"/>
      <c r="LE243" s="1810"/>
      <c r="LF243" s="1810"/>
      <c r="LG243" s="1810"/>
      <c r="LH243" s="432"/>
      <c r="LI243" s="432"/>
      <c r="LJ243" s="432"/>
      <c r="LK243" s="432"/>
      <c r="LL243" s="432"/>
      <c r="LM243" s="432"/>
      <c r="LN243" s="1811"/>
      <c r="LO243" s="432"/>
      <c r="LP243" s="432"/>
      <c r="LQ243" s="432"/>
      <c r="LR243" s="432"/>
      <c r="LS243" s="432"/>
      <c r="LT243" s="432"/>
      <c r="LU243" s="432"/>
      <c r="LV243" s="432"/>
      <c r="LW243" s="432"/>
      <c r="LX243" s="432"/>
      <c r="LY243" s="432"/>
      <c r="LZ243" s="432"/>
      <c r="MA243" s="432"/>
      <c r="MB243" s="432"/>
      <c r="MC243" s="432"/>
      <c r="MD243" s="1811"/>
      <c r="ME243" s="1811"/>
      <c r="MF243" s="432"/>
      <c r="MG243" s="432"/>
      <c r="MH243" s="432"/>
      <c r="MI243" s="432"/>
      <c r="MJ243" s="432"/>
      <c r="MK243" s="432"/>
      <c r="ML243" s="432"/>
      <c r="MM243" s="432"/>
      <c r="MN243" s="432"/>
      <c r="MO243" s="432"/>
      <c r="MP243" s="432"/>
      <c r="MQ243" s="432"/>
      <c r="MR243" s="432"/>
      <c r="MS243" s="432"/>
      <c r="MT243" s="432"/>
      <c r="MU243" s="432"/>
      <c r="MV243" s="93"/>
      <c r="MW243" s="93"/>
      <c r="MX243" s="93"/>
      <c r="MY243" s="93"/>
      <c r="MZ243" s="93"/>
      <c r="NA243" s="93"/>
      <c r="NB243" s="93"/>
      <c r="NC243" s="93"/>
      <c r="ND243" s="93"/>
      <c r="NE243" s="93"/>
      <c r="NF243" s="93"/>
      <c r="NG243" s="93"/>
      <c r="NH243" s="93"/>
      <c r="NI243" s="93"/>
      <c r="NJ243" s="93"/>
      <c r="NK243" s="93"/>
      <c r="NL243" s="93"/>
      <c r="NM243" s="93"/>
      <c r="NN243" s="93"/>
      <c r="NO243" s="93"/>
      <c r="NP243" s="2850" t="s">
        <v>6760</v>
      </c>
      <c r="NQ243" s="93"/>
      <c r="NR243" s="93"/>
      <c r="NS243" s="93"/>
      <c r="NT243" s="93"/>
      <c r="NU243" s="93"/>
      <c r="NV243" s="93"/>
      <c r="NW243" s="93"/>
      <c r="NX243" s="93"/>
      <c r="NY243" s="93"/>
      <c r="NZ243" s="93"/>
      <c r="OA243" s="93"/>
      <c r="OB243" s="93"/>
      <c r="OC243" s="93"/>
      <c r="OD243" s="93"/>
      <c r="OE243" s="93"/>
      <c r="OF243" s="93"/>
      <c r="OG243" s="93"/>
      <c r="OH243" s="93"/>
      <c r="OI243" s="93"/>
      <c r="OJ243" s="93"/>
      <c r="OK243" s="93"/>
      <c r="OL243" s="93"/>
      <c r="OM243" s="93"/>
      <c r="ON243" s="93"/>
      <c r="OO243" s="93"/>
      <c r="OP243" s="93"/>
      <c r="OQ243" s="93"/>
      <c r="OR243" s="93"/>
      <c r="OS243" s="93"/>
      <c r="OT243" s="93"/>
      <c r="OU243" s="93"/>
      <c r="OV243" s="93"/>
      <c r="OW243" s="93"/>
      <c r="OX243" s="93"/>
      <c r="OY243" s="93"/>
      <c r="OZ243" s="93"/>
      <c r="PA243" s="93"/>
      <c r="PB243" s="93"/>
      <c r="PC243" s="93"/>
      <c r="PD243" s="93"/>
      <c r="PE243" s="93"/>
      <c r="PF243" s="93"/>
      <c r="PG243" s="93"/>
      <c r="PH243" s="93"/>
      <c r="PI243" s="93"/>
      <c r="PJ243" s="93"/>
      <c r="PK243" s="93"/>
      <c r="PL243" s="93"/>
      <c r="PM243" s="93"/>
      <c r="PN243" s="93"/>
      <c r="PO243" s="93"/>
      <c r="PP243" s="93"/>
      <c r="PQ243" s="93"/>
      <c r="PR243" s="93"/>
      <c r="PS243" s="93"/>
      <c r="PT243" s="93"/>
      <c r="PU243" s="93"/>
      <c r="PV243" s="93"/>
      <c r="PW243" s="93"/>
      <c r="PX243" s="93"/>
      <c r="PY243" s="93"/>
      <c r="PZ243" s="93"/>
      <c r="QA243" s="93"/>
      <c r="QB243" s="93"/>
      <c r="QC243" s="93"/>
      <c r="QD243" s="93"/>
      <c r="QE243" s="93"/>
      <c r="QF243" s="93"/>
      <c r="QG243" s="93"/>
      <c r="QH243" s="93"/>
      <c r="QI243" s="93"/>
      <c r="QJ243" s="93"/>
      <c r="QK243" s="93"/>
      <c r="QL243" s="93"/>
      <c r="QM243" s="93"/>
      <c r="QN243" s="93"/>
      <c r="QO243" s="93"/>
      <c r="QP243" s="93"/>
      <c r="QQ243" s="93"/>
      <c r="QR243" s="93"/>
      <c r="QS243" s="93"/>
      <c r="QT243" s="93"/>
      <c r="QU243" s="93"/>
      <c r="QV243" s="93"/>
      <c r="QW243" s="93"/>
      <c r="QX243" s="93"/>
      <c r="QY243" s="93"/>
      <c r="QZ243" s="93"/>
      <c r="RA243" s="93"/>
      <c r="RB243" s="93"/>
      <c r="RC243" s="93"/>
      <c r="RD243" s="93"/>
      <c r="RE243" s="93"/>
      <c r="RF243" s="93"/>
      <c r="RG243" s="93"/>
      <c r="RH243" s="93"/>
      <c r="RI243" s="93"/>
      <c r="RJ243" s="93"/>
      <c r="RK243" s="93"/>
      <c r="RL243" s="93"/>
      <c r="RM243" s="93"/>
      <c r="RN243" s="93"/>
      <c r="RO243" s="93"/>
      <c r="RP243" s="93"/>
      <c r="RQ243" s="93"/>
      <c r="RR243" s="93"/>
      <c r="RS243" s="93"/>
      <c r="RT243" s="93"/>
      <c r="RU243" s="93"/>
      <c r="RV243" s="93"/>
      <c r="RW243" s="93"/>
      <c r="RX243" s="93"/>
      <c r="RY243" s="93"/>
    </row>
    <row r="244" spans="1:493" s="90" customFormat="1" ht="15.6" customHeight="1" thickTop="1" thickBot="1">
      <c r="A244" s="1"/>
      <c r="B244" s="10"/>
      <c r="D244" s="1"/>
      <c r="E244" s="11" t="s">
        <v>183</v>
      </c>
      <c r="F244" s="3861">
        <f>SUM(F236:G243)</f>
        <v>47600</v>
      </c>
      <c r="G244" s="3862"/>
      <c r="H244" s="1"/>
      <c r="K244" s="11" t="s">
        <v>183</v>
      </c>
      <c r="L244" s="3859">
        <f>SUM(L240:L243)</f>
        <v>100702</v>
      </c>
      <c r="M244" s="3860"/>
      <c r="N244" s="1"/>
      <c r="O244" s="10" t="s">
        <v>2091</v>
      </c>
      <c r="P244" s="1"/>
      <c r="Q244" s="393">
        <f>Q225+Q231</f>
        <v>410402</v>
      </c>
      <c r="R244" s="770"/>
      <c r="S244" s="3839"/>
      <c r="T244" s="3840"/>
      <c r="U244" s="3840"/>
      <c r="V244" s="3840"/>
      <c r="W244" s="3841"/>
      <c r="X244" s="430"/>
      <c r="Y244" s="432"/>
      <c r="Z244" s="432"/>
      <c r="AA244" s="432"/>
      <c r="AB244" s="432"/>
      <c r="AC244" s="430"/>
      <c r="AD244" s="432"/>
      <c r="AE244" s="432"/>
      <c r="AF244" s="432"/>
      <c r="AG244" s="432"/>
      <c r="AH244" s="430"/>
      <c r="AI244" s="432"/>
      <c r="AJ244" s="432"/>
      <c r="AK244" s="432"/>
      <c r="AL244" s="432"/>
      <c r="AM244" s="430"/>
      <c r="AN244" s="432"/>
      <c r="AO244" s="432"/>
      <c r="AP244" s="432"/>
      <c r="AQ244" s="432"/>
      <c r="AR244" s="432"/>
      <c r="AS244" s="432"/>
      <c r="AT244" s="432"/>
      <c r="AU244" s="432"/>
      <c r="AV244" s="432"/>
      <c r="AW244" s="432"/>
      <c r="AX244" s="432"/>
      <c r="AY244" s="432"/>
      <c r="AZ244" s="432"/>
      <c r="BA244" s="432"/>
      <c r="BB244" s="432"/>
      <c r="BC244" s="432"/>
      <c r="BD244" s="432"/>
      <c r="BE244" s="432"/>
      <c r="BF244" s="432"/>
      <c r="BG244" s="432"/>
      <c r="BH244" s="432"/>
      <c r="BI244" s="432"/>
      <c r="BJ244" s="432"/>
      <c r="BK244" s="432"/>
      <c r="BL244" s="432"/>
      <c r="BM244" s="432"/>
      <c r="BN244" s="432"/>
      <c r="BO244" s="432"/>
      <c r="BP244" s="432"/>
      <c r="BQ244" s="432"/>
      <c r="BR244" s="432"/>
      <c r="BS244" s="432"/>
      <c r="BT244" s="432"/>
      <c r="BU244" s="432"/>
      <c r="BV244" s="432"/>
      <c r="BW244" s="432"/>
      <c r="BX244" s="432"/>
      <c r="BY244" s="432"/>
      <c r="BZ244" s="432"/>
      <c r="CA244" s="432"/>
      <c r="CB244" s="432"/>
      <c r="CC244" s="432"/>
      <c r="CD244" s="432"/>
      <c r="CE244" s="432"/>
      <c r="CF244" s="432"/>
      <c r="CG244" s="432"/>
      <c r="CH244" s="432"/>
      <c r="CI244" s="432"/>
      <c r="CJ244" s="432"/>
      <c r="CK244" s="432"/>
      <c r="CL244" s="432"/>
      <c r="CM244" s="432"/>
      <c r="CN244" s="432"/>
      <c r="CO244" s="432"/>
      <c r="CP244" s="432"/>
      <c r="CQ244" s="432"/>
      <c r="CR244" s="432"/>
      <c r="CS244" s="432"/>
      <c r="CT244" s="432"/>
      <c r="CU244" s="432"/>
      <c r="CV244" s="432"/>
      <c r="CW244" s="432"/>
      <c r="CX244" s="432"/>
      <c r="CY244" s="432"/>
      <c r="CZ244" s="432"/>
      <c r="DA244" s="432"/>
      <c r="DB244" s="432"/>
      <c r="DC244" s="432"/>
      <c r="DD244" s="432"/>
      <c r="DE244" s="432"/>
      <c r="DF244" s="432"/>
      <c r="DG244" s="432"/>
      <c r="DH244" s="432"/>
      <c r="DI244" s="432"/>
      <c r="DJ244" s="432"/>
      <c r="DK244" s="432"/>
      <c r="DL244" s="432"/>
      <c r="DM244" s="432"/>
      <c r="DN244" s="432"/>
      <c r="DO244" s="432"/>
      <c r="DP244" s="432"/>
      <c r="DQ244" s="432"/>
      <c r="DR244" s="432"/>
      <c r="DS244" s="432"/>
      <c r="DT244" s="432"/>
      <c r="DU244" s="432"/>
      <c r="DV244" s="432"/>
      <c r="DW244" s="432"/>
      <c r="DX244" s="432"/>
      <c r="DY244" s="432"/>
      <c r="DZ244" s="432"/>
      <c r="EA244" s="432"/>
      <c r="EB244" s="432"/>
      <c r="EC244" s="432"/>
      <c r="ED244" s="432"/>
      <c r="EE244" s="432"/>
      <c r="EF244" s="432"/>
      <c r="EG244" s="432"/>
      <c r="EH244" s="432"/>
      <c r="EI244" s="432"/>
      <c r="EJ244" s="432"/>
      <c r="EK244" s="432"/>
      <c r="EL244" s="432"/>
      <c r="EM244" s="432"/>
      <c r="EN244" s="432"/>
      <c r="EO244" s="432"/>
      <c r="EP244" s="432"/>
      <c r="EQ244" s="432"/>
      <c r="ER244" s="432"/>
      <c r="ES244" s="432"/>
      <c r="ET244" s="432"/>
      <c r="EU244" s="432"/>
      <c r="EV244" s="432"/>
      <c r="EW244" s="432"/>
      <c r="EX244" s="432"/>
      <c r="EY244" s="432"/>
      <c r="EZ244" s="432"/>
      <c r="FA244" s="432"/>
      <c r="FB244" s="432"/>
      <c r="FC244" s="432"/>
      <c r="FD244" s="432"/>
      <c r="FE244" s="432"/>
      <c r="FF244" s="432"/>
      <c r="FG244" s="432"/>
      <c r="FH244" s="432"/>
      <c r="FI244" s="432"/>
      <c r="FJ244" s="432"/>
      <c r="FK244" s="432"/>
      <c r="FL244" s="432"/>
      <c r="FM244" s="432"/>
      <c r="FN244" s="432"/>
      <c r="FO244" s="432"/>
      <c r="FP244" s="432"/>
      <c r="FQ244" s="432"/>
      <c r="FR244" s="432"/>
      <c r="FS244" s="432"/>
      <c r="FT244" s="432"/>
      <c r="FU244" s="432"/>
      <c r="FV244" s="432"/>
      <c r="FW244" s="432"/>
      <c r="FX244" s="432"/>
      <c r="FY244" s="432"/>
      <c r="FZ244" s="432"/>
      <c r="GA244" s="432"/>
      <c r="GB244" s="432"/>
      <c r="GC244" s="432"/>
      <c r="GD244" s="432"/>
      <c r="GE244" s="432"/>
      <c r="GF244" s="432"/>
      <c r="GG244" s="432"/>
      <c r="GH244" s="432"/>
      <c r="GI244" s="432"/>
      <c r="GJ244" s="432"/>
      <c r="GK244" s="432"/>
      <c r="GL244" s="432"/>
      <c r="GM244" s="432"/>
      <c r="GN244" s="432"/>
      <c r="GO244" s="432"/>
      <c r="GP244" s="432"/>
      <c r="GQ244" s="432"/>
      <c r="GR244" s="432"/>
      <c r="GS244" s="432"/>
      <c r="GT244" s="432"/>
      <c r="GU244" s="432"/>
      <c r="GV244" s="432"/>
      <c r="GW244" s="432"/>
      <c r="GX244" s="432"/>
      <c r="GY244" s="432"/>
      <c r="GZ244" s="432"/>
      <c r="HA244" s="432"/>
      <c r="HB244" s="432"/>
      <c r="HC244" s="432"/>
      <c r="HD244" s="432"/>
      <c r="HE244" s="432"/>
      <c r="HF244" s="432"/>
      <c r="HG244" s="432"/>
      <c r="HH244" s="432"/>
      <c r="HI244" s="432"/>
      <c r="HJ244" s="432"/>
      <c r="HK244" s="432"/>
      <c r="HL244" s="432"/>
      <c r="HM244" s="432"/>
      <c r="HN244" s="432"/>
      <c r="HO244" s="432"/>
      <c r="HP244" s="432"/>
      <c r="HQ244" s="432"/>
      <c r="HR244" s="432"/>
      <c r="HS244" s="432"/>
      <c r="HT244" s="432"/>
      <c r="HU244" s="432"/>
      <c r="HV244" s="432"/>
      <c r="HW244" s="432"/>
      <c r="HX244" s="432"/>
      <c r="HY244" s="432"/>
      <c r="HZ244" s="432"/>
      <c r="IA244" s="432"/>
      <c r="IB244" s="432"/>
      <c r="IC244" s="432"/>
      <c r="ID244" s="432"/>
      <c r="IE244" s="432"/>
      <c r="IF244" s="432"/>
      <c r="IG244" s="432"/>
      <c r="IH244" s="432"/>
      <c r="II244" s="432"/>
      <c r="IJ244" s="432"/>
      <c r="IK244" s="432"/>
      <c r="IL244" s="432"/>
      <c r="IM244" s="432"/>
      <c r="IN244" s="432"/>
      <c r="IO244" s="432"/>
      <c r="IP244" s="432"/>
      <c r="IQ244" s="432"/>
      <c r="IR244" s="432"/>
      <c r="IS244" s="432"/>
      <c r="IT244" s="432"/>
      <c r="IU244" s="432"/>
      <c r="IV244" s="432"/>
      <c r="IW244" s="432"/>
      <c r="IX244" s="432"/>
      <c r="IY244" s="432"/>
      <c r="IZ244" s="432"/>
      <c r="JA244" s="432"/>
      <c r="JB244" s="432"/>
      <c r="JC244" s="432"/>
      <c r="JD244" s="432"/>
      <c r="JE244" s="432"/>
      <c r="JF244" s="432"/>
      <c r="JG244" s="432"/>
      <c r="JH244" s="432"/>
      <c r="JI244" s="432"/>
      <c r="JJ244" s="432"/>
      <c r="JK244" s="432"/>
      <c r="JL244" s="432"/>
      <c r="JM244" s="432"/>
      <c r="JN244" s="432"/>
      <c r="JO244" s="432"/>
      <c r="JP244" s="432"/>
      <c r="JQ244" s="432"/>
      <c r="JR244" s="432"/>
      <c r="JS244" s="432"/>
      <c r="JT244" s="432"/>
      <c r="JU244" s="432"/>
      <c r="JV244" s="432"/>
      <c r="JW244" s="1810"/>
      <c r="JX244" s="432"/>
      <c r="JY244" s="432"/>
      <c r="JZ244" s="432"/>
      <c r="KA244" s="432"/>
      <c r="KB244" s="1810"/>
      <c r="KC244" s="432"/>
      <c r="KD244" s="432"/>
      <c r="KE244" s="432"/>
      <c r="KF244" s="432"/>
      <c r="KG244" s="1810"/>
      <c r="KH244" s="432"/>
      <c r="KI244" s="432"/>
      <c r="KJ244" s="432"/>
      <c r="KK244" s="432"/>
      <c r="KL244" s="1810"/>
      <c r="KM244" s="1810"/>
      <c r="KN244" s="1810"/>
      <c r="KO244" s="1810"/>
      <c r="KP244" s="1810"/>
      <c r="KQ244" s="1810"/>
      <c r="KR244" s="1810"/>
      <c r="KS244" s="1810"/>
      <c r="KT244" s="1810"/>
      <c r="KU244" s="1810"/>
      <c r="KV244" s="1810"/>
      <c r="KW244" s="1810"/>
      <c r="KX244" s="1810"/>
      <c r="KY244" s="1810"/>
      <c r="KZ244" s="1810"/>
      <c r="LA244" s="1810"/>
      <c r="LB244" s="1810"/>
      <c r="LC244" s="1810"/>
      <c r="LD244" s="1810"/>
      <c r="LE244" s="1810"/>
      <c r="LF244" s="1810"/>
      <c r="LG244" s="1810"/>
      <c r="LH244" s="432"/>
      <c r="LI244" s="432"/>
      <c r="LJ244" s="432"/>
      <c r="LK244" s="432"/>
      <c r="LL244" s="432"/>
      <c r="LM244" s="432"/>
      <c r="LN244" s="1811"/>
      <c r="LO244" s="432"/>
      <c r="LP244" s="432"/>
      <c r="LQ244" s="432"/>
      <c r="LR244" s="432"/>
      <c r="LS244" s="432"/>
      <c r="LT244" s="432"/>
      <c r="LU244" s="432"/>
      <c r="LV244" s="432"/>
      <c r="LW244" s="432"/>
      <c r="LX244" s="432"/>
      <c r="LY244" s="432"/>
      <c r="LZ244" s="432"/>
      <c r="MA244" s="432"/>
      <c r="MB244" s="432"/>
      <c r="MC244" s="432"/>
      <c r="MD244" s="1811"/>
      <c r="ME244" s="1811"/>
      <c r="MF244" s="432"/>
      <c r="MG244" s="432"/>
      <c r="MH244" s="432"/>
      <c r="MI244" s="432"/>
      <c r="MJ244" s="432"/>
      <c r="MK244" s="432"/>
      <c r="ML244" s="432"/>
      <c r="MM244" s="432"/>
      <c r="MN244" s="432"/>
      <c r="MO244" s="432"/>
      <c r="MP244" s="432"/>
      <c r="MQ244" s="432"/>
      <c r="MR244" s="432"/>
      <c r="MS244" s="432"/>
      <c r="MT244" s="432"/>
      <c r="MU244" s="432"/>
      <c r="MV244" s="93"/>
      <c r="MW244" s="93"/>
      <c r="MX244" s="93"/>
      <c r="MY244" s="93"/>
      <c r="MZ244" s="93"/>
      <c r="NA244" s="93"/>
      <c r="NB244" s="93"/>
      <c r="NC244" s="93"/>
      <c r="ND244" s="93"/>
      <c r="NE244" s="93"/>
      <c r="NF244" s="93"/>
      <c r="NG244" s="93"/>
      <c r="NH244" s="93"/>
      <c r="NI244" s="93"/>
      <c r="NJ244" s="93"/>
      <c r="NK244" s="93"/>
      <c r="NL244" s="93"/>
      <c r="NM244" s="93"/>
      <c r="NN244" s="93"/>
      <c r="NO244" s="93"/>
      <c r="NP244" s="2850"/>
      <c r="NQ244" s="93"/>
      <c r="NR244" s="93"/>
      <c r="NS244" s="93"/>
      <c r="NT244" s="93"/>
      <c r="NU244" s="93"/>
      <c r="NV244" s="93"/>
      <c r="NW244" s="93"/>
      <c r="NX244" s="93"/>
      <c r="NY244" s="93"/>
      <c r="NZ244" s="93"/>
      <c r="OA244" s="93"/>
      <c r="OB244" s="93"/>
      <c r="OC244" s="93"/>
      <c r="OD244" s="93"/>
      <c r="OE244" s="93"/>
      <c r="OF244" s="93"/>
      <c r="OG244" s="93"/>
      <c r="OH244" s="93"/>
      <c r="OI244" s="93"/>
      <c r="OJ244" s="93"/>
      <c r="OK244" s="93"/>
      <c r="OL244" s="93"/>
      <c r="OM244" s="93"/>
      <c r="ON244" s="93"/>
      <c r="OO244" s="93"/>
      <c r="OP244" s="93"/>
      <c r="OQ244" s="93"/>
      <c r="OR244" s="93"/>
      <c r="OS244" s="93"/>
      <c r="OT244" s="93"/>
      <c r="OU244" s="93"/>
      <c r="OV244" s="93"/>
      <c r="OW244" s="93"/>
      <c r="OX244" s="93"/>
      <c r="OY244" s="93"/>
      <c r="OZ244" s="93"/>
      <c r="PA244" s="93"/>
      <c r="PB244" s="93"/>
      <c r="PC244" s="93"/>
      <c r="PD244" s="93"/>
      <c r="PE244" s="93"/>
      <c r="PF244" s="93"/>
      <c r="PG244" s="93"/>
      <c r="PH244" s="93"/>
      <c r="PI244" s="93"/>
      <c r="PJ244" s="93"/>
      <c r="PK244" s="93"/>
      <c r="PL244" s="93"/>
      <c r="PM244" s="93"/>
      <c r="PN244" s="93"/>
      <c r="PO244" s="93"/>
      <c r="PP244" s="93"/>
      <c r="PQ244" s="93"/>
      <c r="PR244" s="93"/>
      <c r="PS244" s="93"/>
      <c r="PT244" s="93"/>
      <c r="PU244" s="93"/>
      <c r="PV244" s="93"/>
      <c r="PW244" s="93"/>
      <c r="PX244" s="93"/>
      <c r="PY244" s="93"/>
      <c r="PZ244" s="93"/>
      <c r="QA244" s="93"/>
      <c r="QB244" s="93"/>
      <c r="QC244" s="93"/>
      <c r="QD244" s="93"/>
      <c r="QE244" s="93"/>
      <c r="QF244" s="93"/>
      <c r="QG244" s="93"/>
      <c r="QH244" s="93"/>
      <c r="QI244" s="93"/>
      <c r="QJ244" s="93"/>
      <c r="QK244" s="93"/>
      <c r="QL244" s="93"/>
      <c r="QM244" s="93"/>
      <c r="QN244" s="93"/>
      <c r="QO244" s="93"/>
      <c r="QP244" s="93"/>
      <c r="QQ244" s="93"/>
      <c r="QR244" s="93"/>
      <c r="QS244" s="93"/>
      <c r="QT244" s="93"/>
      <c r="QU244" s="93"/>
      <c r="QV244" s="93"/>
      <c r="QW244" s="93"/>
      <c r="QX244" s="93"/>
      <c r="QY244" s="93"/>
      <c r="QZ244" s="93"/>
      <c r="RA244" s="93"/>
      <c r="RB244" s="93"/>
      <c r="RC244" s="93"/>
      <c r="RD244" s="93"/>
      <c r="RE244" s="93"/>
      <c r="RF244" s="93"/>
      <c r="RG244" s="93"/>
      <c r="RH244" s="93"/>
      <c r="RI244" s="93"/>
      <c r="RJ244" s="93"/>
      <c r="RK244" s="93"/>
      <c r="RL244" s="93"/>
      <c r="RM244" s="93"/>
      <c r="RN244" s="93"/>
      <c r="RO244" s="93"/>
      <c r="RP244" s="93"/>
      <c r="RQ244" s="93"/>
      <c r="RR244" s="93"/>
      <c r="RS244" s="93"/>
      <c r="RT244" s="93"/>
      <c r="RU244" s="93"/>
      <c r="RV244" s="93"/>
      <c r="RW244" s="93"/>
      <c r="RX244" s="93"/>
      <c r="RY244" s="93"/>
    </row>
    <row r="245" spans="1:493" s="90" customFormat="1" ht="6" customHeight="1">
      <c r="A245" s="1"/>
      <c r="B245" s="10"/>
      <c r="C245" s="11"/>
      <c r="D245" s="1"/>
      <c r="E245" s="1"/>
      <c r="F245" s="12"/>
      <c r="G245" s="12"/>
      <c r="H245" s="1"/>
      <c r="I245" s="1"/>
      <c r="J245" s="1"/>
      <c r="K245" s="12"/>
      <c r="L245" s="1"/>
      <c r="M245" s="1"/>
      <c r="N245" s="1"/>
      <c r="X245" s="430"/>
      <c r="Y245" s="432"/>
      <c r="Z245" s="432"/>
      <c r="AA245" s="432"/>
      <c r="AB245" s="432"/>
      <c r="AC245" s="430"/>
      <c r="AD245" s="432"/>
      <c r="AE245" s="432"/>
      <c r="AF245" s="432"/>
      <c r="AG245" s="432"/>
      <c r="AH245" s="430"/>
      <c r="AI245" s="432"/>
      <c r="AJ245" s="432"/>
      <c r="AK245" s="432"/>
      <c r="AL245" s="432"/>
      <c r="AM245" s="430"/>
      <c r="AN245" s="432"/>
      <c r="AO245" s="432"/>
      <c r="AP245" s="432"/>
      <c r="AQ245" s="432"/>
      <c r="AR245" s="432"/>
      <c r="AS245" s="432"/>
      <c r="AT245" s="432"/>
      <c r="AU245" s="432"/>
      <c r="AV245" s="432"/>
      <c r="AW245" s="432"/>
      <c r="AX245" s="432"/>
      <c r="AY245" s="432"/>
      <c r="AZ245" s="432"/>
      <c r="BA245" s="432"/>
      <c r="BB245" s="432"/>
      <c r="BC245" s="432"/>
      <c r="BD245" s="432"/>
      <c r="BE245" s="432"/>
      <c r="BF245" s="432"/>
      <c r="BG245" s="432"/>
      <c r="BH245" s="432"/>
      <c r="BI245" s="432"/>
      <c r="BJ245" s="432"/>
      <c r="BK245" s="432"/>
      <c r="BL245" s="432"/>
      <c r="BM245" s="432"/>
      <c r="BN245" s="432"/>
      <c r="BO245" s="432"/>
      <c r="BP245" s="432"/>
      <c r="BQ245" s="432"/>
      <c r="BR245" s="432"/>
      <c r="BS245" s="432"/>
      <c r="BT245" s="432"/>
      <c r="BU245" s="432"/>
      <c r="BV245" s="432"/>
      <c r="BW245" s="432"/>
      <c r="BX245" s="432"/>
      <c r="BY245" s="432"/>
      <c r="BZ245" s="432"/>
      <c r="CA245" s="432"/>
      <c r="CB245" s="432"/>
      <c r="CC245" s="432"/>
      <c r="CD245" s="432"/>
      <c r="CE245" s="432"/>
      <c r="CF245" s="432"/>
      <c r="CG245" s="432"/>
      <c r="CH245" s="432"/>
      <c r="CI245" s="432"/>
      <c r="CJ245" s="432"/>
      <c r="CK245" s="432"/>
      <c r="CL245" s="432"/>
      <c r="CM245" s="432"/>
      <c r="CN245" s="432"/>
      <c r="CO245" s="432"/>
      <c r="CP245" s="432"/>
      <c r="CQ245" s="432"/>
      <c r="CR245" s="432"/>
      <c r="CS245" s="432"/>
      <c r="CT245" s="432"/>
      <c r="CU245" s="432"/>
      <c r="CV245" s="432"/>
      <c r="CW245" s="432"/>
      <c r="CX245" s="432"/>
      <c r="CY245" s="432"/>
      <c r="CZ245" s="432"/>
      <c r="DA245" s="432"/>
      <c r="DB245" s="432"/>
      <c r="DC245" s="432"/>
      <c r="DD245" s="432"/>
      <c r="DE245" s="432"/>
      <c r="DF245" s="432"/>
      <c r="DG245" s="432"/>
      <c r="DH245" s="432"/>
      <c r="DI245" s="432"/>
      <c r="DJ245" s="432"/>
      <c r="DK245" s="432"/>
      <c r="DL245" s="432"/>
      <c r="DM245" s="432"/>
      <c r="DN245" s="432"/>
      <c r="DO245" s="432"/>
      <c r="DP245" s="432"/>
      <c r="DQ245" s="432"/>
      <c r="DR245" s="432"/>
      <c r="DS245" s="432"/>
      <c r="DT245" s="432"/>
      <c r="DU245" s="432"/>
      <c r="DV245" s="432"/>
      <c r="DW245" s="432"/>
      <c r="DX245" s="432"/>
      <c r="DY245" s="432"/>
      <c r="DZ245" s="432"/>
      <c r="EA245" s="432"/>
      <c r="EB245" s="432"/>
      <c r="EC245" s="432"/>
      <c r="ED245" s="432"/>
      <c r="EE245" s="432"/>
      <c r="EF245" s="432"/>
      <c r="EG245" s="432"/>
      <c r="EH245" s="432"/>
      <c r="EI245" s="432"/>
      <c r="EJ245" s="432"/>
      <c r="EK245" s="432"/>
      <c r="EL245" s="432"/>
      <c r="EM245" s="432"/>
      <c r="EN245" s="432"/>
      <c r="EO245" s="432"/>
      <c r="EP245" s="432"/>
      <c r="EQ245" s="432"/>
      <c r="ER245" s="432"/>
      <c r="ES245" s="432"/>
      <c r="ET245" s="432"/>
      <c r="EU245" s="432"/>
      <c r="EV245" s="432"/>
      <c r="EW245" s="432"/>
      <c r="EX245" s="432"/>
      <c r="EY245" s="432"/>
      <c r="EZ245" s="432"/>
      <c r="FA245" s="432"/>
      <c r="FB245" s="432"/>
      <c r="FC245" s="432"/>
      <c r="FD245" s="432"/>
      <c r="FE245" s="432"/>
      <c r="FF245" s="432"/>
      <c r="FG245" s="432"/>
      <c r="FH245" s="432"/>
      <c r="FI245" s="432"/>
      <c r="FJ245" s="432"/>
      <c r="FK245" s="432"/>
      <c r="FL245" s="432"/>
      <c r="FM245" s="432"/>
      <c r="FN245" s="432"/>
      <c r="FO245" s="432"/>
      <c r="FP245" s="432"/>
      <c r="FQ245" s="432"/>
      <c r="FR245" s="432"/>
      <c r="FS245" s="432"/>
      <c r="FT245" s="432"/>
      <c r="FU245" s="432"/>
      <c r="FV245" s="432"/>
      <c r="FW245" s="432"/>
      <c r="FX245" s="432"/>
      <c r="FY245" s="432"/>
      <c r="FZ245" s="432"/>
      <c r="GA245" s="432"/>
      <c r="GB245" s="432"/>
      <c r="GC245" s="432"/>
      <c r="GD245" s="432"/>
      <c r="GE245" s="432"/>
      <c r="GF245" s="432"/>
      <c r="GG245" s="432"/>
      <c r="GH245" s="432"/>
      <c r="GI245" s="432"/>
      <c r="GJ245" s="432"/>
      <c r="GK245" s="432"/>
      <c r="GL245" s="432"/>
      <c r="GM245" s="432"/>
      <c r="GN245" s="432"/>
      <c r="GO245" s="432"/>
      <c r="GP245" s="432"/>
      <c r="GQ245" s="432"/>
      <c r="GR245" s="432"/>
      <c r="GS245" s="432"/>
      <c r="GT245" s="432"/>
      <c r="GU245" s="432"/>
      <c r="GV245" s="432"/>
      <c r="GW245" s="432"/>
      <c r="GX245" s="432"/>
      <c r="GY245" s="432"/>
      <c r="GZ245" s="432"/>
      <c r="HA245" s="432"/>
      <c r="HB245" s="432"/>
      <c r="HC245" s="432"/>
      <c r="HD245" s="432"/>
      <c r="HE245" s="432"/>
      <c r="HF245" s="432"/>
      <c r="HG245" s="432"/>
      <c r="HH245" s="432"/>
      <c r="HI245" s="432"/>
      <c r="HJ245" s="432"/>
      <c r="HK245" s="432"/>
      <c r="HL245" s="432"/>
      <c r="HM245" s="432"/>
      <c r="HN245" s="432"/>
      <c r="HO245" s="432"/>
      <c r="HP245" s="432"/>
      <c r="HQ245" s="432"/>
      <c r="HR245" s="432"/>
      <c r="HS245" s="432"/>
      <c r="HT245" s="432"/>
      <c r="HU245" s="432"/>
      <c r="HV245" s="432"/>
      <c r="HW245" s="432"/>
      <c r="HX245" s="432"/>
      <c r="HY245" s="432"/>
      <c r="HZ245" s="432"/>
      <c r="IA245" s="432"/>
      <c r="IB245" s="432"/>
      <c r="IC245" s="432"/>
      <c r="ID245" s="432"/>
      <c r="IE245" s="432"/>
      <c r="IF245" s="432"/>
      <c r="IG245" s="432"/>
      <c r="IH245" s="432"/>
      <c r="II245" s="432"/>
      <c r="IJ245" s="432"/>
      <c r="IK245" s="432"/>
      <c r="IL245" s="432"/>
      <c r="IM245" s="432"/>
      <c r="IN245" s="432"/>
      <c r="IO245" s="432"/>
      <c r="IP245" s="432"/>
      <c r="IQ245" s="432"/>
      <c r="IR245" s="432"/>
      <c r="IS245" s="432"/>
      <c r="IT245" s="432"/>
      <c r="IU245" s="432"/>
      <c r="IV245" s="432"/>
      <c r="IW245" s="432"/>
      <c r="IX245" s="432"/>
      <c r="IY245" s="432"/>
      <c r="IZ245" s="432"/>
      <c r="JA245" s="432"/>
      <c r="JB245" s="432"/>
      <c r="JC245" s="432"/>
      <c r="JD245" s="432"/>
      <c r="JE245" s="432"/>
      <c r="JF245" s="432"/>
      <c r="JG245" s="432"/>
      <c r="JH245" s="432"/>
      <c r="JI245" s="432"/>
      <c r="JJ245" s="432"/>
      <c r="JK245" s="432"/>
      <c r="JL245" s="432"/>
      <c r="JM245" s="432"/>
      <c r="JN245" s="432"/>
      <c r="JO245" s="432"/>
      <c r="JP245" s="432"/>
      <c r="JQ245" s="432"/>
      <c r="JR245" s="432"/>
      <c r="JS245" s="432"/>
      <c r="JT245" s="432"/>
      <c r="JU245" s="432"/>
      <c r="JV245" s="432"/>
      <c r="JW245" s="1810"/>
      <c r="JX245" s="432"/>
      <c r="JY245" s="432"/>
      <c r="JZ245" s="432"/>
      <c r="KA245" s="432"/>
      <c r="KB245" s="1810"/>
      <c r="KC245" s="432"/>
      <c r="KD245" s="432"/>
      <c r="KE245" s="432"/>
      <c r="KF245" s="432"/>
      <c r="KG245" s="1810"/>
      <c r="KH245" s="432"/>
      <c r="KI245" s="432"/>
      <c r="KJ245" s="432"/>
      <c r="KK245" s="432"/>
      <c r="KL245" s="1810"/>
      <c r="KM245" s="1810"/>
      <c r="KN245" s="1810"/>
      <c r="KO245" s="1810"/>
      <c r="KP245" s="1810"/>
      <c r="KQ245" s="1810"/>
      <c r="KR245" s="1810"/>
      <c r="KS245" s="1810"/>
      <c r="KT245" s="1810"/>
      <c r="KU245" s="1810"/>
      <c r="KV245" s="1810"/>
      <c r="KW245" s="1810"/>
      <c r="KX245" s="1810"/>
      <c r="KY245" s="1810"/>
      <c r="KZ245" s="1810"/>
      <c r="LA245" s="1810"/>
      <c r="LB245" s="1810"/>
      <c r="LC245" s="1810"/>
      <c r="LD245" s="1810"/>
      <c r="LE245" s="1810"/>
      <c r="LF245" s="1810"/>
      <c r="LG245" s="1810"/>
      <c r="LH245" s="432"/>
      <c r="LI245" s="432"/>
      <c r="LJ245" s="432"/>
      <c r="LK245" s="432"/>
      <c r="LL245" s="432"/>
      <c r="LM245" s="432"/>
      <c r="LN245" s="1811"/>
      <c r="LO245" s="432"/>
      <c r="LP245" s="432"/>
      <c r="LQ245" s="432"/>
      <c r="LR245" s="432"/>
      <c r="LS245" s="432"/>
      <c r="LT245" s="432"/>
      <c r="LU245" s="432"/>
      <c r="LV245" s="432"/>
      <c r="LW245" s="432"/>
      <c r="LX245" s="432"/>
      <c r="LY245" s="432"/>
      <c r="LZ245" s="432"/>
      <c r="MA245" s="432"/>
      <c r="MB245" s="432"/>
      <c r="MC245" s="432"/>
      <c r="MD245" s="1811"/>
      <c r="ME245" s="1811"/>
      <c r="MF245" s="432"/>
      <c r="MG245" s="432"/>
      <c r="MH245" s="432"/>
      <c r="MI245" s="432"/>
      <c r="MJ245" s="432"/>
      <c r="MK245" s="432"/>
      <c r="ML245" s="432"/>
      <c r="MM245" s="432"/>
      <c r="MN245" s="432"/>
      <c r="MO245" s="432"/>
      <c r="MP245" s="432"/>
      <c r="MQ245" s="432"/>
      <c r="MR245" s="432"/>
      <c r="MS245" s="432"/>
      <c r="MT245" s="432"/>
      <c r="MU245" s="432"/>
      <c r="MV245" s="93"/>
      <c r="MW245" s="93"/>
      <c r="MX245" s="93"/>
      <c r="MY245" s="93"/>
      <c r="MZ245" s="93"/>
      <c r="NA245" s="93"/>
      <c r="NB245" s="93"/>
      <c r="NC245" s="93"/>
      <c r="ND245" s="93"/>
      <c r="NE245" s="93"/>
      <c r="NF245" s="93"/>
      <c r="NG245" s="93"/>
      <c r="NH245" s="93"/>
      <c r="NI245" s="93"/>
      <c r="NJ245" s="93"/>
      <c r="NK245" s="93"/>
      <c r="NL245" s="93"/>
      <c r="NM245" s="93"/>
      <c r="NN245" s="93"/>
      <c r="NO245" s="93"/>
      <c r="NP245" s="2850"/>
      <c r="NQ245" s="93"/>
      <c r="NR245" s="93"/>
      <c r="NS245" s="93"/>
      <c r="NT245" s="93"/>
      <c r="NU245" s="93"/>
      <c r="NV245" s="93"/>
      <c r="NW245" s="93"/>
      <c r="NX245" s="93"/>
      <c r="NY245" s="93"/>
      <c r="NZ245" s="93"/>
      <c r="OA245" s="93"/>
      <c r="OB245" s="93"/>
      <c r="OC245" s="93"/>
      <c r="OD245" s="93"/>
      <c r="OE245" s="93"/>
      <c r="OF245" s="93"/>
      <c r="OG245" s="93"/>
      <c r="OH245" s="93"/>
      <c r="OI245" s="93"/>
      <c r="OJ245" s="93"/>
      <c r="OK245" s="93"/>
      <c r="OL245" s="93"/>
      <c r="OM245" s="93"/>
      <c r="ON245" s="93"/>
      <c r="OO245" s="93"/>
      <c r="OP245" s="93"/>
      <c r="OQ245" s="93"/>
      <c r="OR245" s="93"/>
      <c r="OS245" s="93"/>
      <c r="OT245" s="93"/>
      <c r="OU245" s="93"/>
      <c r="OV245" s="93"/>
      <c r="OW245" s="93"/>
      <c r="OX245" s="93"/>
      <c r="OY245" s="93"/>
      <c r="OZ245" s="93"/>
      <c r="PA245" s="93"/>
      <c r="PB245" s="93"/>
      <c r="PC245" s="93"/>
      <c r="PD245" s="93"/>
      <c r="PE245" s="93"/>
      <c r="PF245" s="93"/>
      <c r="PG245" s="93"/>
      <c r="PH245" s="93"/>
      <c r="PI245" s="93"/>
      <c r="PJ245" s="93"/>
      <c r="PK245" s="93"/>
      <c r="PL245" s="93"/>
      <c r="PM245" s="93"/>
      <c r="PN245" s="93"/>
      <c r="PO245" s="93"/>
      <c r="PP245" s="93"/>
      <c r="PQ245" s="93"/>
      <c r="PR245" s="93"/>
      <c r="PS245" s="93"/>
      <c r="PT245" s="93"/>
      <c r="PU245" s="93"/>
      <c r="PV245" s="93"/>
      <c r="PW245" s="93"/>
      <c r="PX245" s="93"/>
      <c r="PY245" s="93"/>
      <c r="PZ245" s="93"/>
      <c r="QA245" s="93"/>
      <c r="QB245" s="93"/>
      <c r="QC245" s="93"/>
      <c r="QD245" s="93"/>
      <c r="QE245" s="93"/>
      <c r="QF245" s="93"/>
      <c r="QG245" s="93"/>
      <c r="QH245" s="93"/>
      <c r="QI245" s="93"/>
      <c r="QJ245" s="93"/>
      <c r="QK245" s="93"/>
      <c r="QL245" s="93"/>
      <c r="QM245" s="93"/>
      <c r="QN245" s="93"/>
      <c r="QO245" s="93"/>
      <c r="QP245" s="93"/>
      <c r="QQ245" s="93"/>
      <c r="QR245" s="93"/>
      <c r="QS245" s="93"/>
      <c r="QT245" s="93"/>
      <c r="QU245" s="93"/>
      <c r="QV245" s="93"/>
      <c r="QW245" s="93"/>
      <c r="QX245" s="93"/>
      <c r="QY245" s="93"/>
      <c r="QZ245" s="93"/>
      <c r="RA245" s="93"/>
      <c r="RB245" s="93"/>
      <c r="RC245" s="93"/>
      <c r="RD245" s="93"/>
      <c r="RE245" s="93"/>
      <c r="RF245" s="93"/>
      <c r="RG245" s="93"/>
      <c r="RH245" s="93"/>
      <c r="RI245" s="93"/>
      <c r="RJ245" s="93"/>
      <c r="RK245" s="93"/>
      <c r="RL245" s="93"/>
      <c r="RM245" s="93"/>
      <c r="RN245" s="93"/>
      <c r="RO245" s="93"/>
      <c r="RP245" s="93"/>
      <c r="RQ245" s="93"/>
      <c r="RR245" s="93"/>
      <c r="RS245" s="93"/>
      <c r="RT245" s="93"/>
      <c r="RU245" s="93"/>
      <c r="RV245" s="93"/>
      <c r="RW245" s="93"/>
      <c r="RX245" s="93"/>
      <c r="RY245" s="93"/>
    </row>
    <row r="246" spans="1:493" s="90" customFormat="1" ht="15.6" customHeight="1">
      <c r="A246" s="1"/>
      <c r="B246" s="10"/>
      <c r="C246" s="11"/>
      <c r="D246" s="1"/>
      <c r="E246" s="1"/>
      <c r="F246" s="12"/>
      <c r="G246" s="12"/>
      <c r="H246" s="1"/>
      <c r="I246" s="1"/>
      <c r="J246" s="1"/>
      <c r="K246" s="12"/>
      <c r="L246" s="1"/>
      <c r="M246" s="1"/>
      <c r="N246" s="1"/>
      <c r="R246" s="768"/>
      <c r="X246" s="430"/>
      <c r="Y246" s="432"/>
      <c r="Z246" s="432"/>
      <c r="AA246" s="432"/>
      <c r="AB246" s="432"/>
      <c r="AC246" s="430"/>
      <c r="AD246" s="432"/>
      <c r="AE246" s="432"/>
      <c r="AF246" s="432"/>
      <c r="AG246" s="432"/>
      <c r="AH246" s="430"/>
      <c r="AI246" s="432"/>
      <c r="AJ246" s="432"/>
      <c r="AK246" s="432"/>
      <c r="AL246" s="432"/>
      <c r="AM246" s="430"/>
      <c r="AN246" s="432"/>
      <c r="AO246" s="432"/>
      <c r="AP246" s="432"/>
      <c r="AQ246" s="432"/>
      <c r="AR246" s="432"/>
      <c r="AS246" s="432"/>
      <c r="AT246" s="432"/>
      <c r="AU246" s="432"/>
      <c r="AV246" s="432"/>
      <c r="AW246" s="432"/>
      <c r="AX246" s="432"/>
      <c r="AY246" s="432"/>
      <c r="AZ246" s="432"/>
      <c r="BA246" s="432"/>
      <c r="BB246" s="432"/>
      <c r="BC246" s="432"/>
      <c r="BD246" s="432"/>
      <c r="BE246" s="432"/>
      <c r="BF246" s="432"/>
      <c r="BG246" s="432"/>
      <c r="BH246" s="432"/>
      <c r="BI246" s="432"/>
      <c r="BJ246" s="432"/>
      <c r="BK246" s="432"/>
      <c r="BL246" s="432"/>
      <c r="BM246" s="432"/>
      <c r="BN246" s="432"/>
      <c r="BO246" s="432"/>
      <c r="BP246" s="432"/>
      <c r="BQ246" s="432"/>
      <c r="BR246" s="432"/>
      <c r="BS246" s="432"/>
      <c r="BT246" s="432"/>
      <c r="BU246" s="432"/>
      <c r="BV246" s="432"/>
      <c r="BW246" s="432"/>
      <c r="BX246" s="432"/>
      <c r="BY246" s="432"/>
      <c r="BZ246" s="432"/>
      <c r="CA246" s="432"/>
      <c r="CB246" s="432"/>
      <c r="CC246" s="432"/>
      <c r="CD246" s="432"/>
      <c r="CE246" s="432"/>
      <c r="CF246" s="432"/>
      <c r="CG246" s="432"/>
      <c r="CH246" s="432"/>
      <c r="CI246" s="432"/>
      <c r="CJ246" s="432"/>
      <c r="CK246" s="432"/>
      <c r="CL246" s="432"/>
      <c r="CM246" s="432"/>
      <c r="CN246" s="432"/>
      <c r="CO246" s="432"/>
      <c r="CP246" s="432"/>
      <c r="CQ246" s="432"/>
      <c r="CR246" s="432"/>
      <c r="CS246" s="432"/>
      <c r="CT246" s="432"/>
      <c r="CU246" s="432"/>
      <c r="CV246" s="432"/>
      <c r="CW246" s="432"/>
      <c r="CX246" s="432"/>
      <c r="CY246" s="432"/>
      <c r="CZ246" s="432"/>
      <c r="DA246" s="432"/>
      <c r="DB246" s="432"/>
      <c r="DC246" s="432"/>
      <c r="DD246" s="432"/>
      <c r="DE246" s="432"/>
      <c r="DF246" s="432"/>
      <c r="DG246" s="432"/>
      <c r="DH246" s="432"/>
      <c r="DI246" s="432"/>
      <c r="DJ246" s="432"/>
      <c r="DK246" s="432"/>
      <c r="DL246" s="432"/>
      <c r="DM246" s="432"/>
      <c r="DN246" s="432"/>
      <c r="DO246" s="432"/>
      <c r="DP246" s="432"/>
      <c r="DQ246" s="432"/>
      <c r="DR246" s="432"/>
      <c r="DS246" s="432"/>
      <c r="DT246" s="432"/>
      <c r="DU246" s="432"/>
      <c r="DV246" s="432"/>
      <c r="DW246" s="432"/>
      <c r="DX246" s="432"/>
      <c r="DY246" s="432"/>
      <c r="DZ246" s="432"/>
      <c r="EA246" s="432"/>
      <c r="EB246" s="432"/>
      <c r="EC246" s="432"/>
      <c r="ED246" s="432"/>
      <c r="EE246" s="432"/>
      <c r="EF246" s="432"/>
      <c r="EG246" s="432"/>
      <c r="EH246" s="432"/>
      <c r="EI246" s="432"/>
      <c r="EJ246" s="432"/>
      <c r="EK246" s="432"/>
      <c r="EL246" s="432"/>
      <c r="EM246" s="432"/>
      <c r="EN246" s="432"/>
      <c r="EO246" s="432"/>
      <c r="EP246" s="432"/>
      <c r="EQ246" s="432"/>
      <c r="ER246" s="432"/>
      <c r="ES246" s="432"/>
      <c r="ET246" s="432"/>
      <c r="EU246" s="432"/>
      <c r="EV246" s="432"/>
      <c r="EW246" s="432"/>
      <c r="EX246" s="432"/>
      <c r="EY246" s="432"/>
      <c r="EZ246" s="432"/>
      <c r="FA246" s="432"/>
      <c r="FB246" s="432"/>
      <c r="FC246" s="432"/>
      <c r="FD246" s="432"/>
      <c r="FE246" s="432"/>
      <c r="FF246" s="432"/>
      <c r="FG246" s="432"/>
      <c r="FH246" s="432"/>
      <c r="FI246" s="432"/>
      <c r="FJ246" s="432"/>
      <c r="FK246" s="432"/>
      <c r="FL246" s="432"/>
      <c r="FM246" s="432"/>
      <c r="FN246" s="432"/>
      <c r="FO246" s="432"/>
      <c r="FP246" s="432"/>
      <c r="FQ246" s="432"/>
      <c r="FR246" s="432"/>
      <c r="FS246" s="432"/>
      <c r="FT246" s="432"/>
      <c r="FU246" s="432"/>
      <c r="FV246" s="432"/>
      <c r="FW246" s="432"/>
      <c r="FX246" s="432"/>
      <c r="FY246" s="432"/>
      <c r="FZ246" s="432"/>
      <c r="GA246" s="432"/>
      <c r="GB246" s="432"/>
      <c r="GC246" s="432"/>
      <c r="GD246" s="432"/>
      <c r="GE246" s="432"/>
      <c r="GF246" s="432"/>
      <c r="GG246" s="432"/>
      <c r="GH246" s="432"/>
      <c r="GI246" s="432"/>
      <c r="GJ246" s="432"/>
      <c r="GK246" s="432"/>
      <c r="GL246" s="432"/>
      <c r="GM246" s="432"/>
      <c r="GN246" s="432"/>
      <c r="GO246" s="432"/>
      <c r="GP246" s="432"/>
      <c r="GQ246" s="432"/>
      <c r="GR246" s="432"/>
      <c r="GS246" s="432"/>
      <c r="GT246" s="432"/>
      <c r="GU246" s="432"/>
      <c r="GV246" s="432"/>
      <c r="GW246" s="432"/>
      <c r="GX246" s="432"/>
      <c r="GY246" s="432"/>
      <c r="GZ246" s="432"/>
      <c r="HA246" s="432"/>
      <c r="HB246" s="432"/>
      <c r="HC246" s="432"/>
      <c r="HD246" s="432"/>
      <c r="HE246" s="432"/>
      <c r="HF246" s="432"/>
      <c r="HG246" s="432"/>
      <c r="HH246" s="432"/>
      <c r="HI246" s="432"/>
      <c r="HJ246" s="432"/>
      <c r="HK246" s="432"/>
      <c r="HL246" s="432"/>
      <c r="HM246" s="432"/>
      <c r="HN246" s="432"/>
      <c r="HO246" s="432"/>
      <c r="HP246" s="432"/>
      <c r="HQ246" s="432"/>
      <c r="HR246" s="432"/>
      <c r="HS246" s="432"/>
      <c r="HT246" s="432"/>
      <c r="HU246" s="432"/>
      <c r="HV246" s="432"/>
      <c r="HW246" s="432"/>
      <c r="HX246" s="432"/>
      <c r="HY246" s="432"/>
      <c r="HZ246" s="432"/>
      <c r="IA246" s="432"/>
      <c r="IB246" s="432"/>
      <c r="IC246" s="432"/>
      <c r="ID246" s="432"/>
      <c r="IE246" s="432"/>
      <c r="IF246" s="432"/>
      <c r="IG246" s="432"/>
      <c r="IH246" s="432"/>
      <c r="II246" s="432"/>
      <c r="IJ246" s="432"/>
      <c r="IK246" s="432"/>
      <c r="IL246" s="432"/>
      <c r="IM246" s="432"/>
      <c r="IN246" s="432"/>
      <c r="IO246" s="432"/>
      <c r="IP246" s="432"/>
      <c r="IQ246" s="432"/>
      <c r="IR246" s="432"/>
      <c r="IS246" s="432"/>
      <c r="IT246" s="432"/>
      <c r="IU246" s="432"/>
      <c r="IV246" s="432"/>
      <c r="IW246" s="432"/>
      <c r="IX246" s="432"/>
      <c r="IY246" s="432"/>
      <c r="IZ246" s="432"/>
      <c r="JA246" s="432"/>
      <c r="JB246" s="432"/>
      <c r="JC246" s="432"/>
      <c r="JD246" s="432"/>
      <c r="JE246" s="432"/>
      <c r="JF246" s="432"/>
      <c r="JG246" s="432"/>
      <c r="JH246" s="432"/>
      <c r="JI246" s="432"/>
      <c r="JJ246" s="432"/>
      <c r="JK246" s="432"/>
      <c r="JL246" s="432"/>
      <c r="JM246" s="432"/>
      <c r="JN246" s="432"/>
      <c r="JO246" s="432"/>
      <c r="JP246" s="432"/>
      <c r="JQ246" s="432"/>
      <c r="JR246" s="432"/>
      <c r="JS246" s="432"/>
      <c r="JT246" s="432"/>
      <c r="JU246" s="432"/>
      <c r="JV246" s="432"/>
      <c r="JW246" s="1810"/>
      <c r="JX246" s="432"/>
      <c r="JY246" s="432"/>
      <c r="JZ246" s="432"/>
      <c r="KA246" s="432"/>
      <c r="KB246" s="1810"/>
      <c r="KC246" s="432"/>
      <c r="KD246" s="432"/>
      <c r="KE246" s="432"/>
      <c r="KF246" s="432"/>
      <c r="KG246" s="1810"/>
      <c r="KH246" s="432"/>
      <c r="KI246" s="432"/>
      <c r="KJ246" s="432"/>
      <c r="KK246" s="432"/>
      <c r="KL246" s="1810"/>
      <c r="KM246" s="1810"/>
      <c r="KN246" s="1810"/>
      <c r="KO246" s="1810"/>
      <c r="KP246" s="1810"/>
      <c r="KQ246" s="1810"/>
      <c r="KR246" s="1810"/>
      <c r="KS246" s="1810"/>
      <c r="KT246" s="1810"/>
      <c r="KU246" s="1810"/>
      <c r="KV246" s="1810"/>
      <c r="KW246" s="1810"/>
      <c r="KX246" s="1810"/>
      <c r="KY246" s="1810"/>
      <c r="KZ246" s="1810"/>
      <c r="LA246" s="1810"/>
      <c r="LB246" s="1810"/>
      <c r="LC246" s="1810"/>
      <c r="LD246" s="1810"/>
      <c r="LE246" s="1810"/>
      <c r="LF246" s="1810"/>
      <c r="LG246" s="1810"/>
      <c r="LH246" s="432"/>
      <c r="LI246" s="432"/>
      <c r="LJ246" s="432"/>
      <c r="LK246" s="432"/>
      <c r="LL246" s="432"/>
      <c r="LM246" s="432"/>
      <c r="LN246" s="1811"/>
      <c r="LO246" s="432"/>
      <c r="LP246" s="432"/>
      <c r="LQ246" s="432"/>
      <c r="LR246" s="432"/>
      <c r="LS246" s="432"/>
      <c r="LT246" s="432"/>
      <c r="LU246" s="432"/>
      <c r="LV246" s="432"/>
      <c r="LW246" s="432"/>
      <c r="LX246" s="432"/>
      <c r="LY246" s="432"/>
      <c r="LZ246" s="432"/>
      <c r="MA246" s="432"/>
      <c r="MB246" s="432"/>
      <c r="MC246" s="432"/>
      <c r="MD246" s="1811"/>
      <c r="ME246" s="1811"/>
      <c r="MF246" s="432"/>
      <c r="MG246" s="432"/>
      <c r="MH246" s="432"/>
      <c r="MI246" s="432"/>
      <c r="MJ246" s="432"/>
      <c r="MK246" s="432"/>
      <c r="ML246" s="432"/>
      <c r="MM246" s="432"/>
      <c r="MN246" s="432"/>
      <c r="MO246" s="432"/>
      <c r="MP246" s="432"/>
      <c r="MQ246" s="432"/>
      <c r="MR246" s="432"/>
      <c r="MS246" s="432"/>
      <c r="MT246" s="432"/>
      <c r="MU246" s="432"/>
      <c r="MV246" s="93"/>
      <c r="MW246" s="93"/>
      <c r="MX246" s="93"/>
      <c r="MY246" s="93"/>
      <c r="MZ246" s="93"/>
      <c r="NA246" s="93"/>
      <c r="NB246" s="93"/>
      <c r="NC246" s="93"/>
      <c r="ND246" s="93"/>
      <c r="NE246" s="93"/>
      <c r="NF246" s="93"/>
      <c r="NG246" s="93"/>
      <c r="NH246" s="93"/>
      <c r="NI246" s="93"/>
      <c r="NJ246" s="93"/>
      <c r="NK246" s="93"/>
      <c r="NL246" s="93"/>
      <c r="NM246" s="93"/>
      <c r="NN246" s="93"/>
      <c r="NO246" s="93"/>
      <c r="NP246" s="2850"/>
      <c r="NQ246" s="93"/>
      <c r="NR246" s="93"/>
      <c r="NS246" s="93"/>
      <c r="NT246" s="93"/>
      <c r="NU246" s="93"/>
      <c r="NV246" s="93"/>
      <c r="NW246" s="93"/>
      <c r="NX246" s="93"/>
      <c r="NY246" s="93"/>
      <c r="NZ246" s="93"/>
      <c r="OA246" s="93"/>
      <c r="OB246" s="93"/>
      <c r="OC246" s="93"/>
      <c r="OD246" s="93"/>
      <c r="OE246" s="93"/>
      <c r="OF246" s="93"/>
      <c r="OG246" s="93"/>
      <c r="OH246" s="93"/>
      <c r="OI246" s="93"/>
      <c r="OJ246" s="93"/>
      <c r="OK246" s="93"/>
      <c r="OL246" s="93"/>
      <c r="OM246" s="93"/>
      <c r="ON246" s="93"/>
      <c r="OO246" s="93"/>
      <c r="OP246" s="93"/>
      <c r="OQ246" s="93"/>
      <c r="OR246" s="93"/>
      <c r="OS246" s="93"/>
      <c r="OT246" s="93"/>
      <c r="OU246" s="93"/>
      <c r="OV246" s="93"/>
      <c r="OW246" s="93"/>
      <c r="OX246" s="93"/>
      <c r="OY246" s="93"/>
      <c r="OZ246" s="93"/>
      <c r="PA246" s="93"/>
      <c r="PB246" s="93"/>
      <c r="PC246" s="93"/>
      <c r="PD246" s="93"/>
      <c r="PE246" s="93"/>
      <c r="PF246" s="93"/>
      <c r="PG246" s="93"/>
      <c r="PH246" s="93"/>
      <c r="PI246" s="93"/>
      <c r="PJ246" s="93"/>
      <c r="PK246" s="93"/>
      <c r="PL246" s="93"/>
      <c r="PM246" s="93"/>
      <c r="PN246" s="93"/>
      <c r="PO246" s="93"/>
      <c r="PP246" s="93"/>
      <c r="PQ246" s="93"/>
      <c r="PR246" s="93"/>
      <c r="PS246" s="93"/>
      <c r="PT246" s="93"/>
      <c r="PU246" s="93"/>
      <c r="PV246" s="93"/>
      <c r="PW246" s="93"/>
      <c r="PX246" s="93"/>
      <c r="PY246" s="93"/>
      <c r="PZ246" s="93"/>
      <c r="QA246" s="93"/>
      <c r="QB246" s="93"/>
      <c r="QC246" s="93"/>
      <c r="QD246" s="93"/>
      <c r="QE246" s="93"/>
      <c r="QF246" s="93"/>
      <c r="QG246" s="93"/>
      <c r="QH246" s="93"/>
      <c r="QI246" s="93"/>
      <c r="QJ246" s="93"/>
      <c r="QK246" s="93"/>
      <c r="QL246" s="93"/>
      <c r="QM246" s="93"/>
      <c r="QN246" s="93"/>
      <c r="QO246" s="93"/>
      <c r="QP246" s="93"/>
      <c r="QQ246" s="93"/>
      <c r="QR246" s="93"/>
      <c r="QS246" s="93"/>
      <c r="QT246" s="93"/>
      <c r="QU246" s="93"/>
      <c r="QV246" s="93"/>
      <c r="QW246" s="93"/>
      <c r="QX246" s="93"/>
      <c r="QY246" s="93"/>
      <c r="QZ246" s="93"/>
      <c r="RA246" s="93"/>
      <c r="RB246" s="93"/>
      <c r="RC246" s="93"/>
      <c r="RD246" s="93"/>
      <c r="RE246" s="93"/>
      <c r="RF246" s="93"/>
      <c r="RG246" s="93"/>
      <c r="RH246" s="93"/>
      <c r="RI246" s="93"/>
      <c r="RJ246" s="93"/>
      <c r="RK246" s="93"/>
      <c r="RL246" s="93"/>
      <c r="RM246" s="93"/>
      <c r="RN246" s="93"/>
      <c r="RO246" s="93"/>
      <c r="RP246" s="93"/>
      <c r="RQ246" s="93"/>
      <c r="RR246" s="93"/>
      <c r="RS246" s="93"/>
      <c r="RT246" s="93"/>
      <c r="RU246" s="93"/>
      <c r="RV246" s="93"/>
      <c r="RW246" s="93"/>
      <c r="RX246" s="93"/>
      <c r="RY246" s="93"/>
    </row>
    <row r="247" spans="1:493" s="90" customFormat="1" ht="15" customHeight="1" thickBot="1">
      <c r="A247" s="1"/>
      <c r="B247" s="10"/>
      <c r="C247" s="11"/>
      <c r="D247" s="1"/>
      <c r="E247" s="1"/>
      <c r="F247" s="12"/>
      <c r="G247" s="12"/>
      <c r="H247" s="1"/>
      <c r="I247" s="1"/>
      <c r="J247" s="1"/>
      <c r="K247" s="12"/>
      <c r="L247" s="1"/>
      <c r="M247" s="1"/>
      <c r="N247" s="1"/>
      <c r="O247" s="10"/>
      <c r="P247" s="1"/>
      <c r="Q247" s="768"/>
      <c r="R247" s="768"/>
      <c r="X247" s="430"/>
      <c r="Y247" s="432"/>
      <c r="Z247" s="432"/>
      <c r="AA247" s="432"/>
      <c r="AB247" s="432"/>
      <c r="AC247" s="430"/>
      <c r="AD247" s="432"/>
      <c r="AE247" s="432"/>
      <c r="AF247" s="432"/>
      <c r="AG247" s="432"/>
      <c r="AH247" s="430"/>
      <c r="AI247" s="432"/>
      <c r="AJ247" s="432"/>
      <c r="AK247" s="432"/>
      <c r="AL247" s="432"/>
      <c r="AM247" s="430"/>
      <c r="AN247" s="432"/>
      <c r="AO247" s="432"/>
      <c r="AP247" s="432"/>
      <c r="AQ247" s="432"/>
      <c r="AR247" s="432"/>
      <c r="AS247" s="432"/>
      <c r="AT247" s="432"/>
      <c r="AU247" s="432"/>
      <c r="AV247" s="432"/>
      <c r="AW247" s="432"/>
      <c r="AX247" s="432"/>
      <c r="AY247" s="432"/>
      <c r="AZ247" s="432"/>
      <c r="BA247" s="432"/>
      <c r="BB247" s="432"/>
      <c r="BC247" s="432"/>
      <c r="BD247" s="432"/>
      <c r="BE247" s="432"/>
      <c r="BF247" s="432"/>
      <c r="BG247" s="432"/>
      <c r="BH247" s="432"/>
      <c r="BI247" s="432"/>
      <c r="BJ247" s="432"/>
      <c r="BK247" s="432"/>
      <c r="BL247" s="432"/>
      <c r="BM247" s="432"/>
      <c r="BN247" s="432"/>
      <c r="BO247" s="432"/>
      <c r="BP247" s="432"/>
      <c r="BQ247" s="432"/>
      <c r="BR247" s="432"/>
      <c r="BS247" s="432"/>
      <c r="BT247" s="432"/>
      <c r="BU247" s="432"/>
      <c r="BV247" s="432"/>
      <c r="BW247" s="432"/>
      <c r="BX247" s="432"/>
      <c r="BY247" s="432"/>
      <c r="BZ247" s="432"/>
      <c r="CA247" s="432"/>
      <c r="CB247" s="432"/>
      <c r="CC247" s="432"/>
      <c r="CD247" s="432"/>
      <c r="CE247" s="432"/>
      <c r="CF247" s="432"/>
      <c r="CG247" s="432"/>
      <c r="CH247" s="432"/>
      <c r="CI247" s="432"/>
      <c r="CJ247" s="432"/>
      <c r="CK247" s="432"/>
      <c r="CL247" s="432"/>
      <c r="CM247" s="432"/>
      <c r="CN247" s="432"/>
      <c r="CO247" s="432"/>
      <c r="CP247" s="432"/>
      <c r="CQ247" s="432"/>
      <c r="CR247" s="432"/>
      <c r="CS247" s="432"/>
      <c r="CT247" s="432"/>
      <c r="CU247" s="432"/>
      <c r="CV247" s="432"/>
      <c r="CW247" s="432"/>
      <c r="CX247" s="432"/>
      <c r="CY247" s="432"/>
      <c r="CZ247" s="432"/>
      <c r="DA247" s="432"/>
      <c r="DB247" s="432"/>
      <c r="DC247" s="432"/>
      <c r="DD247" s="432"/>
      <c r="DE247" s="432"/>
      <c r="DF247" s="432"/>
      <c r="DG247" s="432"/>
      <c r="DH247" s="432"/>
      <c r="DI247" s="432"/>
      <c r="DJ247" s="432"/>
      <c r="DK247" s="432"/>
      <c r="DL247" s="432"/>
      <c r="DM247" s="432"/>
      <c r="DN247" s="432"/>
      <c r="DO247" s="432"/>
      <c r="DP247" s="432"/>
      <c r="DQ247" s="432"/>
      <c r="DR247" s="432"/>
      <c r="DS247" s="432"/>
      <c r="DT247" s="432"/>
      <c r="DU247" s="432"/>
      <c r="DV247" s="432"/>
      <c r="DW247" s="432"/>
      <c r="DX247" s="432"/>
      <c r="DY247" s="432"/>
      <c r="DZ247" s="432"/>
      <c r="EA247" s="432"/>
      <c r="EB247" s="432"/>
      <c r="EC247" s="432"/>
      <c r="ED247" s="432"/>
      <c r="EE247" s="432"/>
      <c r="EF247" s="432"/>
      <c r="EG247" s="432"/>
      <c r="EH247" s="432"/>
      <c r="EI247" s="432"/>
      <c r="EJ247" s="432"/>
      <c r="EK247" s="432"/>
      <c r="EL247" s="432"/>
      <c r="EM247" s="432"/>
      <c r="EN247" s="432"/>
      <c r="EO247" s="432"/>
      <c r="EP247" s="432"/>
      <c r="EQ247" s="432"/>
      <c r="ER247" s="432"/>
      <c r="ES247" s="432"/>
      <c r="ET247" s="432"/>
      <c r="EU247" s="432"/>
      <c r="EV247" s="432"/>
      <c r="EW247" s="432"/>
      <c r="EX247" s="432"/>
      <c r="EY247" s="432"/>
      <c r="EZ247" s="432"/>
      <c r="FA247" s="432"/>
      <c r="FB247" s="432"/>
      <c r="FC247" s="432"/>
      <c r="FD247" s="432"/>
      <c r="FE247" s="432"/>
      <c r="FF247" s="432"/>
      <c r="FG247" s="432"/>
      <c r="FH247" s="432"/>
      <c r="FI247" s="432"/>
      <c r="FJ247" s="432"/>
      <c r="FK247" s="432"/>
      <c r="FL247" s="432"/>
      <c r="FM247" s="432"/>
      <c r="FN247" s="432"/>
      <c r="FO247" s="432"/>
      <c r="FP247" s="432"/>
      <c r="FQ247" s="432"/>
      <c r="FR247" s="432"/>
      <c r="FS247" s="432"/>
      <c r="FT247" s="432"/>
      <c r="FU247" s="432"/>
      <c r="FV247" s="432"/>
      <c r="FW247" s="432"/>
      <c r="FX247" s="432"/>
      <c r="FY247" s="432"/>
      <c r="FZ247" s="432"/>
      <c r="GA247" s="432"/>
      <c r="GB247" s="432"/>
      <c r="GC247" s="432"/>
      <c r="GD247" s="432"/>
      <c r="GE247" s="432"/>
      <c r="GF247" s="432"/>
      <c r="GG247" s="432"/>
      <c r="GH247" s="432"/>
      <c r="GI247" s="432"/>
      <c r="GJ247" s="432"/>
      <c r="GK247" s="432"/>
      <c r="GL247" s="432"/>
      <c r="GM247" s="432"/>
      <c r="GN247" s="432"/>
      <c r="GO247" s="432"/>
      <c r="GP247" s="432"/>
      <c r="GQ247" s="432"/>
      <c r="GR247" s="432"/>
      <c r="GS247" s="432"/>
      <c r="GT247" s="432"/>
      <c r="GU247" s="432"/>
      <c r="GV247" s="432"/>
      <c r="GW247" s="432"/>
      <c r="GX247" s="432"/>
      <c r="GY247" s="432"/>
      <c r="GZ247" s="432"/>
      <c r="HA247" s="432"/>
      <c r="HB247" s="432"/>
      <c r="HC247" s="432"/>
      <c r="HD247" s="432"/>
      <c r="HE247" s="432"/>
      <c r="HF247" s="432"/>
      <c r="HG247" s="432"/>
      <c r="HH247" s="432"/>
      <c r="HI247" s="432"/>
      <c r="HJ247" s="432"/>
      <c r="HK247" s="432"/>
      <c r="HL247" s="432"/>
      <c r="HM247" s="432"/>
      <c r="HN247" s="432"/>
      <c r="HO247" s="432"/>
      <c r="HP247" s="432"/>
      <c r="HQ247" s="432"/>
      <c r="HR247" s="432"/>
      <c r="HS247" s="432"/>
      <c r="HT247" s="432"/>
      <c r="HU247" s="432"/>
      <c r="HV247" s="432"/>
      <c r="HW247" s="432"/>
      <c r="HX247" s="432"/>
      <c r="HY247" s="432"/>
      <c r="HZ247" s="432"/>
      <c r="IA247" s="432"/>
      <c r="IB247" s="432"/>
      <c r="IC247" s="432"/>
      <c r="ID247" s="432"/>
      <c r="IE247" s="432"/>
      <c r="IF247" s="432"/>
      <c r="IG247" s="432"/>
      <c r="IH247" s="432"/>
      <c r="II247" s="432"/>
      <c r="IJ247" s="432"/>
      <c r="IK247" s="432"/>
      <c r="IL247" s="432"/>
      <c r="IM247" s="432"/>
      <c r="IN247" s="432"/>
      <c r="IO247" s="432"/>
      <c r="IP247" s="432"/>
      <c r="IQ247" s="432"/>
      <c r="IR247" s="432"/>
      <c r="IS247" s="432"/>
      <c r="IT247" s="432"/>
      <c r="IU247" s="432"/>
      <c r="IV247" s="432"/>
      <c r="IW247" s="432"/>
      <c r="IX247" s="432"/>
      <c r="IY247" s="432"/>
      <c r="IZ247" s="432"/>
      <c r="JA247" s="432"/>
      <c r="JB247" s="432"/>
      <c r="JC247" s="432"/>
      <c r="JD247" s="432"/>
      <c r="JE247" s="432"/>
      <c r="JF247" s="432"/>
      <c r="JG247" s="432"/>
      <c r="JH247" s="432"/>
      <c r="JI247" s="432"/>
      <c r="JJ247" s="432"/>
      <c r="JK247" s="432"/>
      <c r="JL247" s="432"/>
      <c r="JM247" s="432"/>
      <c r="JN247" s="432"/>
      <c r="JO247" s="432"/>
      <c r="JP247" s="432"/>
      <c r="JQ247" s="432"/>
      <c r="JR247" s="432"/>
      <c r="JS247" s="432"/>
      <c r="JT247" s="432"/>
      <c r="JU247" s="432"/>
      <c r="JV247" s="432"/>
      <c r="JW247" s="1810"/>
      <c r="JX247" s="432"/>
      <c r="JY247" s="432"/>
      <c r="JZ247" s="432"/>
      <c r="KA247" s="432"/>
      <c r="KB247" s="1810"/>
      <c r="KC247" s="432"/>
      <c r="KD247" s="432"/>
      <c r="KE247" s="432"/>
      <c r="KF247" s="432"/>
      <c r="KG247" s="1810"/>
      <c r="KH247" s="432"/>
      <c r="KI247" s="432"/>
      <c r="KJ247" s="432"/>
      <c r="KK247" s="432"/>
      <c r="KL247" s="1810"/>
      <c r="KM247" s="1810"/>
      <c r="KN247" s="1810"/>
      <c r="KO247" s="1810"/>
      <c r="KP247" s="1810"/>
      <c r="KQ247" s="1810"/>
      <c r="KR247" s="1810"/>
      <c r="KS247" s="1810"/>
      <c r="KT247" s="1810"/>
      <c r="KU247" s="1810"/>
      <c r="KV247" s="1810"/>
      <c r="KW247" s="1810"/>
      <c r="KX247" s="1810"/>
      <c r="KY247" s="1810"/>
      <c r="KZ247" s="1810"/>
      <c r="LA247" s="1810"/>
      <c r="LB247" s="1810"/>
      <c r="LC247" s="1810"/>
      <c r="LD247" s="1810"/>
      <c r="LE247" s="1810"/>
      <c r="LF247" s="1810"/>
      <c r="LG247" s="1810"/>
      <c r="LH247" s="432"/>
      <c r="LI247" s="432"/>
      <c r="LJ247" s="432"/>
      <c r="LK247" s="432"/>
      <c r="LL247" s="432"/>
      <c r="LM247" s="432"/>
      <c r="LN247" s="1811"/>
      <c r="LO247" s="432"/>
      <c r="LP247" s="432"/>
      <c r="LQ247" s="432"/>
      <c r="LR247" s="432"/>
      <c r="LS247" s="432"/>
      <c r="LT247" s="432"/>
      <c r="LU247" s="432"/>
      <c r="LV247" s="432"/>
      <c r="LW247" s="432"/>
      <c r="LX247" s="432"/>
      <c r="LY247" s="432"/>
      <c r="LZ247" s="432"/>
      <c r="MA247" s="432"/>
      <c r="MB247" s="432"/>
      <c r="MC247" s="432"/>
      <c r="MD247" s="1811"/>
      <c r="ME247" s="1811"/>
      <c r="MF247" s="432"/>
      <c r="MG247" s="432"/>
      <c r="MH247" s="432"/>
      <c r="MI247" s="432"/>
      <c r="MJ247" s="432"/>
      <c r="MK247" s="432"/>
      <c r="ML247" s="432"/>
      <c r="MM247" s="432"/>
      <c r="MN247" s="432"/>
      <c r="MO247" s="432"/>
      <c r="MP247" s="432"/>
      <c r="MQ247" s="432"/>
      <c r="MR247" s="432"/>
      <c r="MS247" s="432"/>
      <c r="MT247" s="432"/>
      <c r="MU247" s="432"/>
      <c r="MV247" s="93"/>
      <c r="MW247" s="93"/>
      <c r="MX247" s="93"/>
      <c r="MY247" s="93"/>
      <c r="MZ247" s="93"/>
      <c r="NA247" s="93"/>
      <c r="NB247" s="93"/>
      <c r="NC247" s="93"/>
      <c r="ND247" s="93"/>
      <c r="NE247" s="93"/>
      <c r="NF247" s="93"/>
      <c r="NG247" s="93"/>
      <c r="NH247" s="93"/>
      <c r="NI247" s="93"/>
      <c r="NJ247" s="93"/>
      <c r="NK247" s="93"/>
      <c r="NL247" s="93"/>
      <c r="NM247" s="93"/>
      <c r="NN247" s="93"/>
      <c r="NO247" s="93"/>
      <c r="NP247" s="2850"/>
      <c r="NQ247" s="93"/>
      <c r="NR247" s="93"/>
      <c r="NS247" s="93"/>
      <c r="NT247" s="93"/>
      <c r="NU247" s="93"/>
      <c r="NV247" s="93"/>
      <c r="NW247" s="93"/>
      <c r="NX247" s="93"/>
      <c r="NY247" s="93"/>
      <c r="NZ247" s="93"/>
      <c r="OA247" s="93"/>
      <c r="OB247" s="93"/>
      <c r="OC247" s="93"/>
      <c r="OD247" s="93"/>
      <c r="OE247" s="93"/>
      <c r="OF247" s="93"/>
      <c r="OG247" s="93"/>
      <c r="OH247" s="93"/>
      <c r="OI247" s="93"/>
      <c r="OJ247" s="93"/>
      <c r="OK247" s="93"/>
      <c r="OL247" s="93"/>
      <c r="OM247" s="93"/>
      <c r="ON247" s="93"/>
      <c r="OO247" s="93"/>
      <c r="OP247" s="93"/>
      <c r="OQ247" s="93"/>
      <c r="OR247" s="93"/>
      <c r="OS247" s="93"/>
      <c r="OT247" s="93"/>
      <c r="OU247" s="93"/>
      <c r="OV247" s="93"/>
      <c r="OW247" s="93"/>
      <c r="OX247" s="93"/>
      <c r="OY247" s="93"/>
      <c r="OZ247" s="93"/>
      <c r="PA247" s="93"/>
      <c r="PB247" s="93"/>
      <c r="PC247" s="93"/>
      <c r="PD247" s="93"/>
      <c r="PE247" s="93"/>
      <c r="PF247" s="93"/>
      <c r="PG247" s="93"/>
      <c r="PH247" s="93"/>
      <c r="PI247" s="93"/>
      <c r="PJ247" s="93"/>
      <c r="PK247" s="93"/>
      <c r="PL247" s="93"/>
      <c r="PM247" s="93"/>
      <c r="PN247" s="93"/>
      <c r="PO247" s="93"/>
      <c r="PP247" s="93"/>
      <c r="PQ247" s="93"/>
      <c r="PR247" s="93"/>
      <c r="PS247" s="93"/>
      <c r="PT247" s="93"/>
      <c r="PU247" s="93"/>
      <c r="PV247" s="93"/>
      <c r="PW247" s="93"/>
      <c r="PX247" s="93"/>
      <c r="PY247" s="93"/>
      <c r="PZ247" s="93"/>
      <c r="QA247" s="93"/>
      <c r="QB247" s="93"/>
      <c r="QC247" s="93"/>
      <c r="QD247" s="93"/>
      <c r="QE247" s="93"/>
      <c r="QF247" s="93"/>
      <c r="QG247" s="93"/>
      <c r="QH247" s="93"/>
      <c r="QI247" s="93"/>
      <c r="QJ247" s="93"/>
      <c r="QK247" s="93"/>
      <c r="QL247" s="93"/>
      <c r="QM247" s="93"/>
      <c r="QN247" s="93"/>
      <c r="QO247" s="93"/>
      <c r="QP247" s="93"/>
      <c r="QQ247" s="93"/>
      <c r="QR247" s="93"/>
      <c r="QS247" s="93"/>
      <c r="QT247" s="93"/>
      <c r="QU247" s="93"/>
      <c r="QV247" s="93"/>
      <c r="QW247" s="93"/>
      <c r="QX247" s="93"/>
      <c r="QY247" s="93"/>
      <c r="QZ247" s="93"/>
      <c r="RA247" s="93"/>
      <c r="RB247" s="93"/>
      <c r="RC247" s="93"/>
      <c r="RD247" s="93"/>
      <c r="RE247" s="93"/>
      <c r="RF247" s="93"/>
      <c r="RG247" s="93"/>
      <c r="RH247" s="93"/>
      <c r="RI247" s="93"/>
      <c r="RJ247" s="93"/>
      <c r="RK247" s="93"/>
      <c r="RL247" s="93"/>
      <c r="RM247" s="93"/>
      <c r="RN247" s="93"/>
      <c r="RO247" s="93"/>
      <c r="RP247" s="93"/>
      <c r="RQ247" s="93"/>
      <c r="RR247" s="93"/>
      <c r="RS247" s="93"/>
      <c r="RT247" s="93"/>
      <c r="RU247" s="93"/>
      <c r="RV247" s="93"/>
      <c r="RW247" s="93"/>
      <c r="RX247" s="93"/>
      <c r="RY247" s="93"/>
    </row>
    <row r="248" spans="1:493" s="90" customFormat="1" ht="15" customHeight="1" thickBot="1">
      <c r="A248" s="13" t="s">
        <v>1713</v>
      </c>
      <c r="B248" s="10" t="s">
        <v>4053</v>
      </c>
      <c r="C248" s="11"/>
      <c r="D248" s="1"/>
      <c r="E248" s="1"/>
      <c r="H248" s="12"/>
      <c r="I248" s="1306" t="s">
        <v>4054</v>
      </c>
      <c r="K248" s="3926">
        <v>10</v>
      </c>
      <c r="L248" s="3927"/>
      <c r="M248" s="1359" t="s">
        <v>4091</v>
      </c>
      <c r="N248" s="2934">
        <v>99</v>
      </c>
      <c r="O248" s="10" t="s">
        <v>4056</v>
      </c>
      <c r="P248" s="1"/>
      <c r="Q248" s="2935">
        <f>K248*N248</f>
        <v>990</v>
      </c>
      <c r="R248" s="768"/>
      <c r="S248" s="3851"/>
      <c r="T248" s="3852"/>
      <c r="U248" s="3852"/>
      <c r="V248" s="3852"/>
      <c r="W248" s="3853"/>
      <c r="X248" s="430"/>
      <c r="Y248" s="432"/>
      <c r="Z248" s="432"/>
      <c r="AA248" s="432"/>
      <c r="AB248" s="432"/>
      <c r="AC248" s="430"/>
      <c r="AD248" s="432"/>
      <c r="AE248" s="432"/>
      <c r="AF248" s="432"/>
      <c r="AG248" s="432"/>
      <c r="AH248" s="430"/>
      <c r="AI248" s="432"/>
      <c r="AJ248" s="432"/>
      <c r="AK248" s="432"/>
      <c r="AL248" s="432"/>
      <c r="AM248" s="430"/>
      <c r="AN248" s="432"/>
      <c r="AO248" s="432"/>
      <c r="AP248" s="432"/>
      <c r="AQ248" s="432"/>
      <c r="AR248" s="432"/>
      <c r="AS248" s="432"/>
      <c r="AT248" s="432"/>
      <c r="AU248" s="432"/>
      <c r="AV248" s="432"/>
      <c r="AW248" s="432"/>
      <c r="AX248" s="432"/>
      <c r="AY248" s="432"/>
      <c r="AZ248" s="432"/>
      <c r="BA248" s="432"/>
      <c r="BB248" s="432"/>
      <c r="BC248" s="432"/>
      <c r="BD248" s="432"/>
      <c r="BE248" s="432"/>
      <c r="BF248" s="432"/>
      <c r="BG248" s="432"/>
      <c r="BH248" s="432"/>
      <c r="BI248" s="432"/>
      <c r="BJ248" s="432"/>
      <c r="BK248" s="432"/>
      <c r="BL248" s="432"/>
      <c r="BM248" s="432"/>
      <c r="BN248" s="432"/>
      <c r="BO248" s="432"/>
      <c r="BP248" s="432"/>
      <c r="BQ248" s="432"/>
      <c r="BR248" s="432"/>
      <c r="BS248" s="432"/>
      <c r="BT248" s="432"/>
      <c r="BU248" s="432"/>
      <c r="BV248" s="432"/>
      <c r="BW248" s="432"/>
      <c r="BX248" s="432"/>
      <c r="BY248" s="432"/>
      <c r="BZ248" s="432"/>
      <c r="CA248" s="432"/>
      <c r="CB248" s="432"/>
      <c r="CC248" s="432"/>
      <c r="CD248" s="432"/>
      <c r="CE248" s="432"/>
      <c r="CF248" s="432"/>
      <c r="CG248" s="432"/>
      <c r="CH248" s="432"/>
      <c r="CI248" s="432"/>
      <c r="CJ248" s="432"/>
      <c r="CK248" s="432"/>
      <c r="CL248" s="432"/>
      <c r="CM248" s="432"/>
      <c r="CN248" s="432"/>
      <c r="CO248" s="432"/>
      <c r="CP248" s="432"/>
      <c r="CQ248" s="432"/>
      <c r="CR248" s="432"/>
      <c r="CS248" s="432"/>
      <c r="CT248" s="432"/>
      <c r="CU248" s="432"/>
      <c r="CV248" s="432"/>
      <c r="CW248" s="432"/>
      <c r="CX248" s="432"/>
      <c r="CY248" s="432"/>
      <c r="CZ248" s="432"/>
      <c r="DA248" s="432"/>
      <c r="DB248" s="432"/>
      <c r="DC248" s="432"/>
      <c r="DD248" s="432"/>
      <c r="DE248" s="432"/>
      <c r="DF248" s="432"/>
      <c r="DG248" s="432"/>
      <c r="DH248" s="432"/>
      <c r="DI248" s="432"/>
      <c r="DJ248" s="432"/>
      <c r="DK248" s="432"/>
      <c r="DL248" s="432"/>
      <c r="DM248" s="432"/>
      <c r="DN248" s="432"/>
      <c r="DO248" s="432"/>
      <c r="DP248" s="432"/>
      <c r="DQ248" s="432"/>
      <c r="DR248" s="432"/>
      <c r="DS248" s="432"/>
      <c r="DT248" s="432"/>
      <c r="DU248" s="432"/>
      <c r="DV248" s="432"/>
      <c r="DW248" s="432"/>
      <c r="DX248" s="432"/>
      <c r="DY248" s="432"/>
      <c r="DZ248" s="432"/>
      <c r="EA248" s="432"/>
      <c r="EB248" s="432"/>
      <c r="EC248" s="432"/>
      <c r="ED248" s="432"/>
      <c r="EE248" s="432"/>
      <c r="EF248" s="432"/>
      <c r="EG248" s="432"/>
      <c r="EH248" s="432"/>
      <c r="EI248" s="432"/>
      <c r="EJ248" s="432"/>
      <c r="EK248" s="432"/>
      <c r="EL248" s="432"/>
      <c r="EM248" s="432"/>
      <c r="EN248" s="432"/>
      <c r="EO248" s="432"/>
      <c r="EP248" s="432"/>
      <c r="EQ248" s="432"/>
      <c r="ER248" s="432"/>
      <c r="ES248" s="432"/>
      <c r="ET248" s="432"/>
      <c r="EU248" s="432"/>
      <c r="EV248" s="432"/>
      <c r="EW248" s="432"/>
      <c r="EX248" s="432"/>
      <c r="EY248" s="432"/>
      <c r="EZ248" s="432"/>
      <c r="FA248" s="432"/>
      <c r="FB248" s="432"/>
      <c r="FC248" s="432"/>
      <c r="FD248" s="432"/>
      <c r="FE248" s="432"/>
      <c r="FF248" s="432"/>
      <c r="FG248" s="432"/>
      <c r="FH248" s="432"/>
      <c r="FI248" s="432"/>
      <c r="FJ248" s="432"/>
      <c r="FK248" s="432"/>
      <c r="FL248" s="432"/>
      <c r="FM248" s="432"/>
      <c r="FN248" s="432"/>
      <c r="FO248" s="432"/>
      <c r="FP248" s="432"/>
      <c r="FQ248" s="432"/>
      <c r="FR248" s="432"/>
      <c r="FS248" s="432"/>
      <c r="FT248" s="432"/>
      <c r="FU248" s="432"/>
      <c r="FV248" s="432"/>
      <c r="FW248" s="432"/>
      <c r="FX248" s="432"/>
      <c r="FY248" s="432"/>
      <c r="FZ248" s="432"/>
      <c r="GA248" s="432"/>
      <c r="GB248" s="432"/>
      <c r="GC248" s="432"/>
      <c r="GD248" s="432"/>
      <c r="GE248" s="432"/>
      <c r="GF248" s="432"/>
      <c r="GG248" s="432"/>
      <c r="GH248" s="432"/>
      <c r="GI248" s="432"/>
      <c r="GJ248" s="432"/>
      <c r="GK248" s="432"/>
      <c r="GL248" s="432"/>
      <c r="GM248" s="432"/>
      <c r="GN248" s="432"/>
      <c r="GO248" s="432"/>
      <c r="GP248" s="432"/>
      <c r="GQ248" s="432"/>
      <c r="GR248" s="432"/>
      <c r="GS248" s="432"/>
      <c r="GT248" s="432"/>
      <c r="GU248" s="432"/>
      <c r="GV248" s="432"/>
      <c r="GW248" s="432"/>
      <c r="GX248" s="432"/>
      <c r="GY248" s="432"/>
      <c r="GZ248" s="432"/>
      <c r="HA248" s="432"/>
      <c r="HB248" s="432"/>
      <c r="HC248" s="432"/>
      <c r="HD248" s="432"/>
      <c r="HE248" s="432"/>
      <c r="HF248" s="432"/>
      <c r="HG248" s="432"/>
      <c r="HH248" s="432"/>
      <c r="HI248" s="432"/>
      <c r="HJ248" s="432"/>
      <c r="HK248" s="432"/>
      <c r="HL248" s="432"/>
      <c r="HM248" s="432"/>
      <c r="HN248" s="432"/>
      <c r="HO248" s="432"/>
      <c r="HP248" s="432"/>
      <c r="HQ248" s="432"/>
      <c r="HR248" s="432"/>
      <c r="HS248" s="432"/>
      <c r="HT248" s="432"/>
      <c r="HU248" s="432"/>
      <c r="HV248" s="432"/>
      <c r="HW248" s="432"/>
      <c r="HX248" s="432"/>
      <c r="HY248" s="432"/>
      <c r="HZ248" s="432"/>
      <c r="IA248" s="432"/>
      <c r="IB248" s="432"/>
      <c r="IC248" s="432"/>
      <c r="ID248" s="432"/>
      <c r="IE248" s="432"/>
      <c r="IF248" s="432"/>
      <c r="IG248" s="432"/>
      <c r="IH248" s="432"/>
      <c r="II248" s="432"/>
      <c r="IJ248" s="432"/>
      <c r="IK248" s="432"/>
      <c r="IL248" s="432"/>
      <c r="IM248" s="432"/>
      <c r="IN248" s="432"/>
      <c r="IO248" s="432"/>
      <c r="IP248" s="432"/>
      <c r="IQ248" s="432"/>
      <c r="IR248" s="432"/>
      <c r="IS248" s="432"/>
      <c r="IT248" s="432"/>
      <c r="IU248" s="432"/>
      <c r="IV248" s="432"/>
      <c r="IW248" s="432"/>
      <c r="IX248" s="432"/>
      <c r="IY248" s="432"/>
      <c r="IZ248" s="432"/>
      <c r="JA248" s="432"/>
      <c r="JB248" s="432"/>
      <c r="JC248" s="432"/>
      <c r="JD248" s="432"/>
      <c r="JE248" s="432"/>
      <c r="JF248" s="432"/>
      <c r="JG248" s="432"/>
      <c r="JH248" s="432"/>
      <c r="JI248" s="432"/>
      <c r="JJ248" s="432"/>
      <c r="JK248" s="432"/>
      <c r="JL248" s="432"/>
      <c r="JM248" s="432"/>
      <c r="JN248" s="432"/>
      <c r="JO248" s="432"/>
      <c r="JP248" s="432"/>
      <c r="JQ248" s="432"/>
      <c r="JR248" s="432"/>
      <c r="JS248" s="432"/>
      <c r="JT248" s="432"/>
      <c r="JU248" s="432"/>
      <c r="JV248" s="432"/>
      <c r="JW248" s="1810"/>
      <c r="JX248" s="432"/>
      <c r="JY248" s="432"/>
      <c r="JZ248" s="432"/>
      <c r="KA248" s="432"/>
      <c r="KB248" s="1810"/>
      <c r="KC248" s="432"/>
      <c r="KD248" s="432"/>
      <c r="KE248" s="432"/>
      <c r="KF248" s="432"/>
      <c r="KG248" s="1810"/>
      <c r="KH248" s="432"/>
      <c r="KI248" s="432"/>
      <c r="KJ248" s="432"/>
      <c r="KK248" s="432"/>
      <c r="KL248" s="1810"/>
      <c r="KM248" s="1810"/>
      <c r="KN248" s="1810"/>
      <c r="KO248" s="1810"/>
      <c r="KP248" s="1810"/>
      <c r="KQ248" s="1810"/>
      <c r="KR248" s="1810"/>
      <c r="KS248" s="1810"/>
      <c r="KT248" s="1810"/>
      <c r="KU248" s="1810"/>
      <c r="KV248" s="1810"/>
      <c r="KW248" s="1810"/>
      <c r="KX248" s="1810"/>
      <c r="KY248" s="1810"/>
      <c r="KZ248" s="1810"/>
      <c r="LA248" s="1810"/>
      <c r="LB248" s="1810"/>
      <c r="LC248" s="1810"/>
      <c r="LD248" s="1810"/>
      <c r="LE248" s="1810"/>
      <c r="LF248" s="1810"/>
      <c r="LG248" s="1810"/>
      <c r="LH248" s="432"/>
      <c r="LI248" s="432"/>
      <c r="LJ248" s="432"/>
      <c r="LK248" s="432"/>
      <c r="LL248" s="432"/>
      <c r="LM248" s="432"/>
      <c r="LN248" s="1811"/>
      <c r="LO248" s="432"/>
      <c r="LP248" s="432"/>
      <c r="LQ248" s="432"/>
      <c r="LR248" s="432"/>
      <c r="LS248" s="432"/>
      <c r="LT248" s="432"/>
      <c r="LU248" s="432"/>
      <c r="LV248" s="432"/>
      <c r="LW248" s="432"/>
      <c r="LX248" s="432"/>
      <c r="LY248" s="432"/>
      <c r="LZ248" s="432"/>
      <c r="MA248" s="432"/>
      <c r="MB248" s="432"/>
      <c r="MC248" s="432"/>
      <c r="MD248" s="1811"/>
      <c r="ME248" s="1811"/>
      <c r="MF248" s="432"/>
      <c r="MG248" s="432"/>
      <c r="MH248" s="432"/>
      <c r="MI248" s="432"/>
      <c r="MJ248" s="432"/>
      <c r="MK248" s="432"/>
      <c r="ML248" s="432"/>
      <c r="MM248" s="432"/>
      <c r="MN248" s="432"/>
      <c r="MO248" s="432"/>
      <c r="MP248" s="432"/>
      <c r="MQ248" s="432"/>
      <c r="MR248" s="432"/>
      <c r="MS248" s="432"/>
      <c r="MT248" s="432"/>
      <c r="MU248" s="432"/>
      <c r="MV248" s="93"/>
      <c r="MW248" s="93"/>
      <c r="MX248" s="93"/>
      <c r="MY248" s="93"/>
      <c r="MZ248" s="93"/>
      <c r="NA248" s="93"/>
      <c r="NB248" s="93"/>
      <c r="NC248" s="93"/>
      <c r="ND248" s="93"/>
      <c r="NE248" s="93"/>
      <c r="NF248" s="93"/>
      <c r="NG248" s="93"/>
      <c r="NH248" s="93"/>
      <c r="NI248" s="93"/>
      <c r="NJ248" s="93"/>
      <c r="NK248" s="93"/>
      <c r="NL248" s="93"/>
      <c r="NM248" s="93"/>
      <c r="NN248" s="93"/>
      <c r="NO248" s="93"/>
      <c r="NP248" s="2850"/>
      <c r="NQ248" s="93"/>
      <c r="NR248" s="93"/>
      <c r="NS248" s="93"/>
      <c r="NT248" s="93"/>
      <c r="NU248" s="93"/>
      <c r="NV248" s="93"/>
      <c r="NW248" s="93"/>
      <c r="NX248" s="93"/>
      <c r="NY248" s="93"/>
      <c r="NZ248" s="93"/>
      <c r="OA248" s="93"/>
      <c r="OB248" s="93"/>
      <c r="OC248" s="93"/>
      <c r="OD248" s="93"/>
      <c r="OE248" s="93"/>
      <c r="OF248" s="93"/>
      <c r="OG248" s="93"/>
      <c r="OH248" s="93"/>
      <c r="OI248" s="93"/>
      <c r="OJ248" s="93"/>
      <c r="OK248" s="93"/>
      <c r="OL248" s="93"/>
      <c r="OM248" s="93"/>
      <c r="ON248" s="93"/>
      <c r="OO248" s="93"/>
      <c r="OP248" s="93"/>
      <c r="OQ248" s="93"/>
      <c r="OR248" s="93"/>
      <c r="OS248" s="93"/>
      <c r="OT248" s="93"/>
      <c r="OU248" s="93"/>
      <c r="OV248" s="93"/>
      <c r="OW248" s="93"/>
      <c r="OX248" s="93"/>
      <c r="OY248" s="93"/>
      <c r="OZ248" s="93"/>
      <c r="PA248" s="93"/>
      <c r="PB248" s="93"/>
      <c r="PC248" s="93"/>
      <c r="PD248" s="93"/>
      <c r="PE248" s="93"/>
      <c r="PF248" s="93"/>
      <c r="PG248" s="93"/>
      <c r="PH248" s="93"/>
      <c r="PI248" s="93"/>
      <c r="PJ248" s="93"/>
      <c r="PK248" s="93"/>
      <c r="PL248" s="93"/>
      <c r="PM248" s="93"/>
      <c r="PN248" s="93"/>
      <c r="PO248" s="93"/>
      <c r="PP248" s="93"/>
      <c r="PQ248" s="93"/>
      <c r="PR248" s="93"/>
      <c r="PS248" s="93"/>
      <c r="PT248" s="93"/>
      <c r="PU248" s="93"/>
      <c r="PV248" s="93"/>
      <c r="PW248" s="93"/>
      <c r="PX248" s="93"/>
      <c r="PY248" s="93"/>
      <c r="PZ248" s="93"/>
      <c r="QA248" s="93"/>
      <c r="QB248" s="93"/>
      <c r="QC248" s="93"/>
      <c r="QD248" s="93"/>
      <c r="QE248" s="93"/>
      <c r="QF248" s="93"/>
      <c r="QG248" s="93"/>
      <c r="QH248" s="93"/>
      <c r="QI248" s="93"/>
      <c r="QJ248" s="93"/>
      <c r="QK248" s="93"/>
      <c r="QL248" s="93"/>
      <c r="QM248" s="93"/>
      <c r="QN248" s="93"/>
      <c r="QO248" s="93"/>
      <c r="QP248" s="93"/>
      <c r="QQ248" s="93"/>
      <c r="QR248" s="93"/>
      <c r="QS248" s="93"/>
      <c r="QT248" s="93"/>
      <c r="QU248" s="93"/>
      <c r="QV248" s="93"/>
      <c r="QW248" s="93"/>
      <c r="QX248" s="93"/>
      <c r="QY248" s="93"/>
      <c r="QZ248" s="93"/>
      <c r="RA248" s="93"/>
      <c r="RB248" s="93"/>
      <c r="RC248" s="93"/>
      <c r="RD248" s="93"/>
      <c r="RE248" s="93"/>
      <c r="RF248" s="93"/>
      <c r="RG248" s="93"/>
      <c r="RH248" s="93"/>
      <c r="RI248" s="93"/>
      <c r="RJ248" s="93"/>
      <c r="RK248" s="93"/>
      <c r="RL248" s="93"/>
      <c r="RM248" s="93"/>
      <c r="RN248" s="93"/>
      <c r="RO248" s="93"/>
      <c r="RP248" s="93"/>
      <c r="RQ248" s="93"/>
      <c r="RR248" s="93"/>
      <c r="RS248" s="93"/>
      <c r="RT248" s="93"/>
      <c r="RU248" s="93"/>
      <c r="RV248" s="93"/>
      <c r="RW248" s="93"/>
      <c r="RX248" s="93"/>
      <c r="RY248" s="93"/>
    </row>
    <row r="249" spans="1:493" s="90" customFormat="1" ht="6" customHeight="1" thickBot="1">
      <c r="A249" s="1"/>
      <c r="B249" s="10"/>
      <c r="C249" s="11"/>
      <c r="D249" s="1"/>
      <c r="E249" s="1"/>
      <c r="F249" s="12"/>
      <c r="G249" s="12"/>
      <c r="H249" s="1"/>
      <c r="I249" s="1"/>
      <c r="J249" s="1"/>
      <c r="K249" s="12"/>
      <c r="L249" s="1"/>
      <c r="M249" s="1"/>
      <c r="N249" s="1"/>
      <c r="O249" s="10"/>
      <c r="P249" s="1"/>
      <c r="Q249" s="768"/>
      <c r="R249" s="768"/>
      <c r="X249" s="430"/>
      <c r="Y249" s="432"/>
      <c r="Z249" s="432"/>
      <c r="AA249" s="432"/>
      <c r="AB249" s="432"/>
      <c r="AC249" s="430"/>
      <c r="AD249" s="432"/>
      <c r="AE249" s="432"/>
      <c r="AF249" s="432"/>
      <c r="AG249" s="432"/>
      <c r="AH249" s="430"/>
      <c r="AI249" s="432"/>
      <c r="AJ249" s="432"/>
      <c r="AK249" s="432"/>
      <c r="AL249" s="432"/>
      <c r="AM249" s="430"/>
      <c r="AN249" s="432"/>
      <c r="AO249" s="432"/>
      <c r="AP249" s="432"/>
      <c r="AQ249" s="432"/>
      <c r="AR249" s="432"/>
      <c r="AS249" s="432"/>
      <c r="AT249" s="432"/>
      <c r="AU249" s="432"/>
      <c r="AV249" s="432"/>
      <c r="AW249" s="432"/>
      <c r="AX249" s="432"/>
      <c r="AY249" s="432"/>
      <c r="AZ249" s="432"/>
      <c r="BA249" s="432"/>
      <c r="BB249" s="432"/>
      <c r="BC249" s="432"/>
      <c r="BD249" s="432"/>
      <c r="BE249" s="432"/>
      <c r="BF249" s="432"/>
      <c r="BG249" s="432"/>
      <c r="BH249" s="432"/>
      <c r="BI249" s="432"/>
      <c r="BJ249" s="432"/>
      <c r="BK249" s="432"/>
      <c r="BL249" s="432"/>
      <c r="BM249" s="432"/>
      <c r="BN249" s="432"/>
      <c r="BO249" s="432"/>
      <c r="BP249" s="432"/>
      <c r="BQ249" s="432"/>
      <c r="BR249" s="432"/>
      <c r="BS249" s="432"/>
      <c r="BT249" s="432"/>
      <c r="BU249" s="432"/>
      <c r="BV249" s="432"/>
      <c r="BW249" s="432"/>
      <c r="BX249" s="432"/>
      <c r="BY249" s="432"/>
      <c r="BZ249" s="432"/>
      <c r="CA249" s="432"/>
      <c r="CB249" s="432"/>
      <c r="CC249" s="432"/>
      <c r="CD249" s="432"/>
      <c r="CE249" s="432"/>
      <c r="CF249" s="432"/>
      <c r="CG249" s="432"/>
      <c r="CH249" s="432"/>
      <c r="CI249" s="432"/>
      <c r="CJ249" s="432"/>
      <c r="CK249" s="432"/>
      <c r="CL249" s="432"/>
      <c r="CM249" s="432"/>
      <c r="CN249" s="432"/>
      <c r="CO249" s="432"/>
      <c r="CP249" s="432"/>
      <c r="CQ249" s="432"/>
      <c r="CR249" s="432"/>
      <c r="CS249" s="432"/>
      <c r="CT249" s="432"/>
      <c r="CU249" s="432"/>
      <c r="CV249" s="432"/>
      <c r="CW249" s="432"/>
      <c r="CX249" s="432"/>
      <c r="CY249" s="432"/>
      <c r="CZ249" s="432"/>
      <c r="DA249" s="432"/>
      <c r="DB249" s="432"/>
      <c r="DC249" s="432"/>
      <c r="DD249" s="432"/>
      <c r="DE249" s="432"/>
      <c r="DF249" s="432"/>
      <c r="DG249" s="432"/>
      <c r="DH249" s="432"/>
      <c r="DI249" s="432"/>
      <c r="DJ249" s="432"/>
      <c r="DK249" s="432"/>
      <c r="DL249" s="432"/>
      <c r="DM249" s="432"/>
      <c r="DN249" s="432"/>
      <c r="DO249" s="432"/>
      <c r="DP249" s="432"/>
      <c r="DQ249" s="432"/>
      <c r="DR249" s="432"/>
      <c r="DS249" s="432"/>
      <c r="DT249" s="432"/>
      <c r="DU249" s="432"/>
      <c r="DV249" s="432"/>
      <c r="DW249" s="432"/>
      <c r="DX249" s="432"/>
      <c r="DY249" s="432"/>
      <c r="DZ249" s="432"/>
      <c r="EA249" s="432"/>
      <c r="EB249" s="432"/>
      <c r="EC249" s="432"/>
      <c r="ED249" s="432"/>
      <c r="EE249" s="432"/>
      <c r="EF249" s="432"/>
      <c r="EG249" s="432"/>
      <c r="EH249" s="432"/>
      <c r="EI249" s="432"/>
      <c r="EJ249" s="432"/>
      <c r="EK249" s="432"/>
      <c r="EL249" s="432"/>
      <c r="EM249" s="432"/>
      <c r="EN249" s="432"/>
      <c r="EO249" s="432"/>
      <c r="EP249" s="432"/>
      <c r="EQ249" s="432"/>
      <c r="ER249" s="432"/>
      <c r="ES249" s="432"/>
      <c r="ET249" s="432"/>
      <c r="EU249" s="432"/>
      <c r="EV249" s="432"/>
      <c r="EW249" s="432"/>
      <c r="EX249" s="432"/>
      <c r="EY249" s="432"/>
      <c r="EZ249" s="432"/>
      <c r="FA249" s="432"/>
      <c r="FB249" s="432"/>
      <c r="FC249" s="432"/>
      <c r="FD249" s="432"/>
      <c r="FE249" s="432"/>
      <c r="FF249" s="432"/>
      <c r="FG249" s="432"/>
      <c r="FH249" s="432"/>
      <c r="FI249" s="432"/>
      <c r="FJ249" s="432"/>
      <c r="FK249" s="432"/>
      <c r="FL249" s="432"/>
      <c r="FM249" s="432"/>
      <c r="FN249" s="432"/>
      <c r="FO249" s="432"/>
      <c r="FP249" s="432"/>
      <c r="FQ249" s="432"/>
      <c r="FR249" s="432"/>
      <c r="FS249" s="432"/>
      <c r="FT249" s="432"/>
      <c r="FU249" s="432"/>
      <c r="FV249" s="432"/>
      <c r="FW249" s="432"/>
      <c r="FX249" s="432"/>
      <c r="FY249" s="432"/>
      <c r="FZ249" s="432"/>
      <c r="GA249" s="432"/>
      <c r="GB249" s="432"/>
      <c r="GC249" s="432"/>
      <c r="GD249" s="432"/>
      <c r="GE249" s="432"/>
      <c r="GF249" s="432"/>
      <c r="GG249" s="432"/>
      <c r="GH249" s="432"/>
      <c r="GI249" s="432"/>
      <c r="GJ249" s="432"/>
      <c r="GK249" s="432"/>
      <c r="GL249" s="432"/>
      <c r="GM249" s="432"/>
      <c r="GN249" s="432"/>
      <c r="GO249" s="432"/>
      <c r="GP249" s="432"/>
      <c r="GQ249" s="432"/>
      <c r="GR249" s="432"/>
      <c r="GS249" s="432"/>
      <c r="GT249" s="432"/>
      <c r="GU249" s="432"/>
      <c r="GV249" s="432"/>
      <c r="GW249" s="432"/>
      <c r="GX249" s="432"/>
      <c r="GY249" s="432"/>
      <c r="GZ249" s="432"/>
      <c r="HA249" s="432"/>
      <c r="HB249" s="432"/>
      <c r="HC249" s="432"/>
      <c r="HD249" s="432"/>
      <c r="HE249" s="432"/>
      <c r="HF249" s="432"/>
      <c r="HG249" s="432"/>
      <c r="HH249" s="432"/>
      <c r="HI249" s="432"/>
      <c r="HJ249" s="432"/>
      <c r="HK249" s="432"/>
      <c r="HL249" s="432"/>
      <c r="HM249" s="432"/>
      <c r="HN249" s="432"/>
      <c r="HO249" s="432"/>
      <c r="HP249" s="432"/>
      <c r="HQ249" s="432"/>
      <c r="HR249" s="432"/>
      <c r="HS249" s="432"/>
      <c r="HT249" s="432"/>
      <c r="HU249" s="432"/>
      <c r="HV249" s="432"/>
      <c r="HW249" s="432"/>
      <c r="HX249" s="432"/>
      <c r="HY249" s="432"/>
      <c r="HZ249" s="432"/>
      <c r="IA249" s="432"/>
      <c r="IB249" s="432"/>
      <c r="IC249" s="432"/>
      <c r="ID249" s="432"/>
      <c r="IE249" s="432"/>
      <c r="IF249" s="432"/>
      <c r="IG249" s="432"/>
      <c r="IH249" s="432"/>
      <c r="II249" s="432"/>
      <c r="IJ249" s="432"/>
      <c r="IK249" s="432"/>
      <c r="IL249" s="432"/>
      <c r="IM249" s="432"/>
      <c r="IN249" s="432"/>
      <c r="IO249" s="432"/>
      <c r="IP249" s="432"/>
      <c r="IQ249" s="432"/>
      <c r="IR249" s="432"/>
      <c r="IS249" s="432"/>
      <c r="IT249" s="432"/>
      <c r="IU249" s="432"/>
      <c r="IV249" s="432"/>
      <c r="IW249" s="432"/>
      <c r="IX249" s="432"/>
      <c r="IY249" s="432"/>
      <c r="IZ249" s="432"/>
      <c r="JA249" s="432"/>
      <c r="JB249" s="432"/>
      <c r="JC249" s="432"/>
      <c r="JD249" s="432"/>
      <c r="JE249" s="432"/>
      <c r="JF249" s="432"/>
      <c r="JG249" s="432"/>
      <c r="JH249" s="432"/>
      <c r="JI249" s="432"/>
      <c r="JJ249" s="432"/>
      <c r="JK249" s="432"/>
      <c r="JL249" s="432"/>
      <c r="JM249" s="432"/>
      <c r="JN249" s="432"/>
      <c r="JO249" s="432"/>
      <c r="JP249" s="432"/>
      <c r="JQ249" s="432"/>
      <c r="JR249" s="432"/>
      <c r="JS249" s="432"/>
      <c r="JT249" s="432"/>
      <c r="JU249" s="432"/>
      <c r="JV249" s="432"/>
      <c r="JW249" s="1810"/>
      <c r="JX249" s="432"/>
      <c r="JY249" s="432"/>
      <c r="JZ249" s="432"/>
      <c r="KA249" s="432"/>
      <c r="KB249" s="1810"/>
      <c r="KC249" s="432"/>
      <c r="KD249" s="432"/>
      <c r="KE249" s="432"/>
      <c r="KF249" s="432"/>
      <c r="KG249" s="1810"/>
      <c r="KH249" s="432"/>
      <c r="KI249" s="432"/>
      <c r="KJ249" s="432"/>
      <c r="KK249" s="432"/>
      <c r="KL249" s="1810"/>
      <c r="KM249" s="1810"/>
      <c r="KN249" s="1810"/>
      <c r="KO249" s="1810"/>
      <c r="KP249" s="1810"/>
      <c r="KQ249" s="1810"/>
      <c r="KR249" s="1810"/>
      <c r="KS249" s="1810"/>
      <c r="KT249" s="1810"/>
      <c r="KU249" s="1810"/>
      <c r="KV249" s="1810"/>
      <c r="KW249" s="1810"/>
      <c r="KX249" s="1810"/>
      <c r="KY249" s="1810"/>
      <c r="KZ249" s="1810"/>
      <c r="LA249" s="1810"/>
      <c r="LB249" s="1810"/>
      <c r="LC249" s="1810"/>
      <c r="LD249" s="1810"/>
      <c r="LE249" s="1810"/>
      <c r="LF249" s="1810"/>
      <c r="LG249" s="1810"/>
      <c r="LH249" s="432"/>
      <c r="LI249" s="432"/>
      <c r="LJ249" s="432"/>
      <c r="LK249" s="432"/>
      <c r="LL249" s="432"/>
      <c r="LM249" s="432"/>
      <c r="LN249" s="1811"/>
      <c r="LO249" s="432"/>
      <c r="LP249" s="432"/>
      <c r="LQ249" s="432"/>
      <c r="LR249" s="432"/>
      <c r="LS249" s="432"/>
      <c r="LT249" s="432"/>
      <c r="LU249" s="432"/>
      <c r="LV249" s="432"/>
      <c r="LW249" s="432"/>
      <c r="LX249" s="432"/>
      <c r="LY249" s="432"/>
      <c r="LZ249" s="432"/>
      <c r="MA249" s="432"/>
      <c r="MB249" s="432"/>
      <c r="MC249" s="432"/>
      <c r="MD249" s="1811"/>
      <c r="ME249" s="1811"/>
      <c r="MF249" s="432"/>
      <c r="MG249" s="432"/>
      <c r="MH249" s="432"/>
      <c r="MI249" s="432"/>
      <c r="MJ249" s="432"/>
      <c r="MK249" s="432"/>
      <c r="ML249" s="432"/>
      <c r="MM249" s="432"/>
      <c r="MN249" s="432"/>
      <c r="MO249" s="432"/>
      <c r="MP249" s="432"/>
      <c r="MQ249" s="432"/>
      <c r="MR249" s="432"/>
      <c r="MS249" s="432"/>
      <c r="MT249" s="432"/>
      <c r="MU249" s="432"/>
      <c r="MV249" s="93"/>
      <c r="MW249" s="93"/>
      <c r="MX249" s="93"/>
      <c r="MY249" s="93"/>
      <c r="MZ249" s="93"/>
      <c r="NA249" s="93"/>
      <c r="NB249" s="93"/>
      <c r="NC249" s="93"/>
      <c r="ND249" s="93"/>
      <c r="NE249" s="93"/>
      <c r="NF249" s="93"/>
      <c r="NG249" s="93"/>
      <c r="NH249" s="93"/>
      <c r="NI249" s="93"/>
      <c r="NJ249" s="93"/>
      <c r="NK249" s="93"/>
      <c r="NL249" s="93"/>
      <c r="NM249" s="93"/>
      <c r="NN249" s="93"/>
      <c r="NO249" s="93"/>
      <c r="NP249" s="2850"/>
      <c r="NQ249" s="93"/>
      <c r="NR249" s="93"/>
      <c r="NS249" s="93"/>
      <c r="NT249" s="93"/>
      <c r="NU249" s="93"/>
      <c r="NV249" s="93"/>
      <c r="NW249" s="93"/>
      <c r="NX249" s="93"/>
      <c r="NY249" s="93"/>
      <c r="NZ249" s="93"/>
      <c r="OA249" s="93"/>
      <c r="OB249" s="93"/>
      <c r="OC249" s="93"/>
      <c r="OD249" s="93"/>
      <c r="OE249" s="93"/>
      <c r="OF249" s="93"/>
      <c r="OG249" s="93"/>
      <c r="OH249" s="93"/>
      <c r="OI249" s="93"/>
      <c r="OJ249" s="93"/>
      <c r="OK249" s="93"/>
      <c r="OL249" s="93"/>
      <c r="OM249" s="93"/>
      <c r="ON249" s="93"/>
      <c r="OO249" s="93"/>
      <c r="OP249" s="93"/>
      <c r="OQ249" s="93"/>
      <c r="OR249" s="93"/>
      <c r="OS249" s="93"/>
      <c r="OT249" s="93"/>
      <c r="OU249" s="93"/>
      <c r="OV249" s="93"/>
      <c r="OW249" s="93"/>
      <c r="OX249" s="93"/>
      <c r="OY249" s="93"/>
      <c r="OZ249" s="93"/>
      <c r="PA249" s="93"/>
      <c r="PB249" s="93"/>
      <c r="PC249" s="93"/>
      <c r="PD249" s="93"/>
      <c r="PE249" s="93"/>
      <c r="PF249" s="93"/>
      <c r="PG249" s="93"/>
      <c r="PH249" s="93"/>
      <c r="PI249" s="93"/>
      <c r="PJ249" s="93"/>
      <c r="PK249" s="93"/>
      <c r="PL249" s="93"/>
      <c r="PM249" s="93"/>
      <c r="PN249" s="93"/>
      <c r="PO249" s="93"/>
      <c r="PP249" s="93"/>
      <c r="PQ249" s="93"/>
      <c r="PR249" s="93"/>
      <c r="PS249" s="93"/>
      <c r="PT249" s="93"/>
      <c r="PU249" s="93"/>
      <c r="PV249" s="93"/>
      <c r="PW249" s="93"/>
      <c r="PX249" s="93"/>
      <c r="PY249" s="93"/>
      <c r="PZ249" s="93"/>
      <c r="QA249" s="93"/>
      <c r="QB249" s="93"/>
      <c r="QC249" s="93"/>
      <c r="QD249" s="93"/>
      <c r="QE249" s="93"/>
      <c r="QF249" s="93"/>
      <c r="QG249" s="93"/>
      <c r="QH249" s="93"/>
      <c r="QI249" s="93"/>
      <c r="QJ249" s="93"/>
      <c r="QK249" s="93"/>
      <c r="QL249" s="93"/>
      <c r="QM249" s="93"/>
      <c r="QN249" s="93"/>
      <c r="QO249" s="93"/>
      <c r="QP249" s="93"/>
      <c r="QQ249" s="93"/>
      <c r="QR249" s="93"/>
      <c r="QS249" s="93"/>
      <c r="QT249" s="93"/>
      <c r="QU249" s="93"/>
      <c r="QV249" s="93"/>
      <c r="QW249" s="93"/>
      <c r="QX249" s="93"/>
      <c r="QY249" s="93"/>
      <c r="QZ249" s="93"/>
      <c r="RA249" s="93"/>
      <c r="RB249" s="93"/>
      <c r="RC249" s="93"/>
      <c r="RD249" s="93"/>
      <c r="RE249" s="93"/>
      <c r="RF249" s="93"/>
      <c r="RG249" s="93"/>
      <c r="RH249" s="93"/>
      <c r="RI249" s="93"/>
      <c r="RJ249" s="93"/>
      <c r="RK249" s="93"/>
      <c r="RL249" s="93"/>
      <c r="RM249" s="93"/>
      <c r="RN249" s="93"/>
      <c r="RO249" s="93"/>
      <c r="RP249" s="93"/>
      <c r="RQ249" s="93"/>
      <c r="RR249" s="93"/>
      <c r="RS249" s="93"/>
      <c r="RT249" s="93"/>
      <c r="RU249" s="93"/>
      <c r="RV249" s="93"/>
      <c r="RW249" s="93"/>
      <c r="RX249" s="93"/>
      <c r="RY249" s="93"/>
    </row>
    <row r="250" spans="1:493" s="90" customFormat="1" ht="15" customHeight="1" thickBot="1">
      <c r="A250" s="1"/>
      <c r="B250" s="445" t="s">
        <v>4092</v>
      </c>
      <c r="C250" s="11"/>
      <c r="D250" s="1"/>
      <c r="E250" s="1"/>
      <c r="F250" s="12"/>
      <c r="G250" s="12"/>
      <c r="H250" s="1"/>
      <c r="I250" s="1"/>
      <c r="J250" s="2844" t="s">
        <v>2771</v>
      </c>
      <c r="K250" s="1306" t="s">
        <v>4094</v>
      </c>
      <c r="L250" s="2844" t="s">
        <v>1691</v>
      </c>
      <c r="M250" s="72" t="s">
        <v>4095</v>
      </c>
      <c r="N250" s="2934"/>
      <c r="O250" s="445" t="s">
        <v>4093</v>
      </c>
      <c r="P250" s="1"/>
      <c r="Q250" s="2936"/>
      <c r="R250" s="768"/>
      <c r="S250" s="3851"/>
      <c r="T250" s="3852"/>
      <c r="U250" s="3852"/>
      <c r="V250" s="3852"/>
      <c r="W250" s="3853"/>
      <c r="X250" s="430"/>
      <c r="Y250" s="432"/>
      <c r="Z250" s="432"/>
      <c r="AA250" s="432"/>
      <c r="AB250" s="432"/>
      <c r="AC250" s="430"/>
      <c r="AD250" s="432"/>
      <c r="AE250" s="432"/>
      <c r="AF250" s="432"/>
      <c r="AG250" s="432"/>
      <c r="AH250" s="430"/>
      <c r="AI250" s="432"/>
      <c r="AJ250" s="432"/>
      <c r="AK250" s="432"/>
      <c r="AL250" s="432"/>
      <c r="AM250" s="430"/>
      <c r="AN250" s="432"/>
      <c r="AO250" s="432"/>
      <c r="AP250" s="432"/>
      <c r="AQ250" s="432"/>
      <c r="AR250" s="432"/>
      <c r="AS250" s="432"/>
      <c r="AT250" s="432"/>
      <c r="AU250" s="432"/>
      <c r="AV250" s="432"/>
      <c r="AW250" s="432"/>
      <c r="AX250" s="432"/>
      <c r="AY250" s="432"/>
      <c r="AZ250" s="432"/>
      <c r="BA250" s="432"/>
      <c r="BB250" s="432"/>
      <c r="BC250" s="432"/>
      <c r="BD250" s="432"/>
      <c r="BE250" s="432"/>
      <c r="BF250" s="432"/>
      <c r="BG250" s="432"/>
      <c r="BH250" s="432"/>
      <c r="BI250" s="432"/>
      <c r="BJ250" s="432"/>
      <c r="BK250" s="432"/>
      <c r="BL250" s="432"/>
      <c r="BM250" s="432"/>
      <c r="BN250" s="432"/>
      <c r="BO250" s="432"/>
      <c r="BP250" s="432"/>
      <c r="BQ250" s="432"/>
      <c r="BR250" s="432"/>
      <c r="BS250" s="432"/>
      <c r="BT250" s="432"/>
      <c r="BU250" s="432"/>
      <c r="BV250" s="432"/>
      <c r="BW250" s="432"/>
      <c r="BX250" s="432"/>
      <c r="BY250" s="432"/>
      <c r="BZ250" s="432"/>
      <c r="CA250" s="432"/>
      <c r="CB250" s="432"/>
      <c r="CC250" s="432"/>
      <c r="CD250" s="432"/>
      <c r="CE250" s="432"/>
      <c r="CF250" s="432"/>
      <c r="CG250" s="432"/>
      <c r="CH250" s="432"/>
      <c r="CI250" s="432"/>
      <c r="CJ250" s="432"/>
      <c r="CK250" s="432"/>
      <c r="CL250" s="432"/>
      <c r="CM250" s="432"/>
      <c r="CN250" s="432"/>
      <c r="CO250" s="432"/>
      <c r="CP250" s="432"/>
      <c r="CQ250" s="432"/>
      <c r="CR250" s="432"/>
      <c r="CS250" s="432"/>
      <c r="CT250" s="432"/>
      <c r="CU250" s="432"/>
      <c r="CV250" s="432"/>
      <c r="CW250" s="432"/>
      <c r="CX250" s="432"/>
      <c r="CY250" s="432"/>
      <c r="CZ250" s="432"/>
      <c r="DA250" s="432"/>
      <c r="DB250" s="432"/>
      <c r="DC250" s="432"/>
      <c r="DD250" s="432"/>
      <c r="DE250" s="432"/>
      <c r="DF250" s="432"/>
      <c r="DG250" s="432"/>
      <c r="DH250" s="432"/>
      <c r="DI250" s="432"/>
      <c r="DJ250" s="432"/>
      <c r="DK250" s="432"/>
      <c r="DL250" s="432"/>
      <c r="DM250" s="432"/>
      <c r="DN250" s="432"/>
      <c r="DO250" s="432"/>
      <c r="DP250" s="432"/>
      <c r="DQ250" s="432"/>
      <c r="DR250" s="432"/>
      <c r="DS250" s="432"/>
      <c r="DT250" s="432"/>
      <c r="DU250" s="432"/>
      <c r="DV250" s="432"/>
      <c r="DW250" s="432"/>
      <c r="DX250" s="432"/>
      <c r="DY250" s="432"/>
      <c r="DZ250" s="432"/>
      <c r="EA250" s="432"/>
      <c r="EB250" s="432"/>
      <c r="EC250" s="432"/>
      <c r="ED250" s="432"/>
      <c r="EE250" s="432"/>
      <c r="EF250" s="432"/>
      <c r="EG250" s="432"/>
      <c r="EH250" s="432"/>
      <c r="EI250" s="432"/>
      <c r="EJ250" s="432"/>
      <c r="EK250" s="432"/>
      <c r="EL250" s="432"/>
      <c r="EM250" s="432"/>
      <c r="EN250" s="432"/>
      <c r="EO250" s="432"/>
      <c r="EP250" s="432"/>
      <c r="EQ250" s="432"/>
      <c r="ER250" s="432"/>
      <c r="ES250" s="432"/>
      <c r="ET250" s="432"/>
      <c r="EU250" s="432"/>
      <c r="EV250" s="432"/>
      <c r="EW250" s="432"/>
      <c r="EX250" s="432"/>
      <c r="EY250" s="432"/>
      <c r="EZ250" s="432"/>
      <c r="FA250" s="432"/>
      <c r="FB250" s="432"/>
      <c r="FC250" s="432"/>
      <c r="FD250" s="432"/>
      <c r="FE250" s="432"/>
      <c r="FF250" s="432"/>
      <c r="FG250" s="432"/>
      <c r="FH250" s="432"/>
      <c r="FI250" s="432"/>
      <c r="FJ250" s="432"/>
      <c r="FK250" s="432"/>
      <c r="FL250" s="432"/>
      <c r="FM250" s="432"/>
      <c r="FN250" s="432"/>
      <c r="FO250" s="432"/>
      <c r="FP250" s="432"/>
      <c r="FQ250" s="432"/>
      <c r="FR250" s="432"/>
      <c r="FS250" s="432"/>
      <c r="FT250" s="432"/>
      <c r="FU250" s="432"/>
      <c r="FV250" s="432"/>
      <c r="FW250" s="432"/>
      <c r="FX250" s="432"/>
      <c r="FY250" s="432"/>
      <c r="FZ250" s="432"/>
      <c r="GA250" s="432"/>
      <c r="GB250" s="432"/>
      <c r="GC250" s="432"/>
      <c r="GD250" s="432"/>
      <c r="GE250" s="432"/>
      <c r="GF250" s="432"/>
      <c r="GG250" s="432"/>
      <c r="GH250" s="432"/>
      <c r="GI250" s="432"/>
      <c r="GJ250" s="432"/>
      <c r="GK250" s="432"/>
      <c r="GL250" s="432"/>
      <c r="GM250" s="432"/>
      <c r="GN250" s="432"/>
      <c r="GO250" s="432"/>
      <c r="GP250" s="432"/>
      <c r="GQ250" s="432"/>
      <c r="GR250" s="432"/>
      <c r="GS250" s="432"/>
      <c r="GT250" s="432"/>
      <c r="GU250" s="432"/>
      <c r="GV250" s="432"/>
      <c r="GW250" s="432"/>
      <c r="GX250" s="432"/>
      <c r="GY250" s="432"/>
      <c r="GZ250" s="432"/>
      <c r="HA250" s="432"/>
      <c r="HB250" s="432"/>
      <c r="HC250" s="432"/>
      <c r="HD250" s="432"/>
      <c r="HE250" s="432"/>
      <c r="HF250" s="432"/>
      <c r="HG250" s="432"/>
      <c r="HH250" s="432"/>
      <c r="HI250" s="432"/>
      <c r="HJ250" s="432"/>
      <c r="HK250" s="432"/>
      <c r="HL250" s="432"/>
      <c r="HM250" s="432"/>
      <c r="HN250" s="432"/>
      <c r="HO250" s="432"/>
      <c r="HP250" s="432"/>
      <c r="HQ250" s="432"/>
      <c r="HR250" s="432"/>
      <c r="HS250" s="432"/>
      <c r="HT250" s="432"/>
      <c r="HU250" s="432"/>
      <c r="HV250" s="432"/>
      <c r="HW250" s="432"/>
      <c r="HX250" s="432"/>
      <c r="HY250" s="432"/>
      <c r="HZ250" s="432"/>
      <c r="IA250" s="432"/>
      <c r="IB250" s="432"/>
      <c r="IC250" s="432"/>
      <c r="ID250" s="432"/>
      <c r="IE250" s="432"/>
      <c r="IF250" s="432"/>
      <c r="IG250" s="432"/>
      <c r="IH250" s="432"/>
      <c r="II250" s="432"/>
      <c r="IJ250" s="432"/>
      <c r="IK250" s="432"/>
      <c r="IL250" s="432"/>
      <c r="IM250" s="432"/>
      <c r="IN250" s="432"/>
      <c r="IO250" s="432"/>
      <c r="IP250" s="432"/>
      <c r="IQ250" s="432"/>
      <c r="IR250" s="432"/>
      <c r="IS250" s="432"/>
      <c r="IT250" s="432"/>
      <c r="IU250" s="432"/>
      <c r="IV250" s="432"/>
      <c r="IW250" s="432"/>
      <c r="IX250" s="432"/>
      <c r="IY250" s="432"/>
      <c r="IZ250" s="432"/>
      <c r="JA250" s="432"/>
      <c r="JB250" s="432"/>
      <c r="JC250" s="432"/>
      <c r="JD250" s="432"/>
      <c r="JE250" s="432"/>
      <c r="JF250" s="432"/>
      <c r="JG250" s="432"/>
      <c r="JH250" s="432"/>
      <c r="JI250" s="432"/>
      <c r="JJ250" s="432"/>
      <c r="JK250" s="432"/>
      <c r="JL250" s="432"/>
      <c r="JM250" s="432"/>
      <c r="JN250" s="432"/>
      <c r="JO250" s="432"/>
      <c r="JP250" s="432"/>
      <c r="JQ250" s="432"/>
      <c r="JR250" s="432"/>
      <c r="JS250" s="432"/>
      <c r="JT250" s="432"/>
      <c r="JU250" s="432"/>
      <c r="JV250" s="432"/>
      <c r="JW250" s="1810"/>
      <c r="JX250" s="432"/>
      <c r="JY250" s="432"/>
      <c r="JZ250" s="432"/>
      <c r="KA250" s="432"/>
      <c r="KB250" s="1810"/>
      <c r="KC250" s="432"/>
      <c r="KD250" s="432"/>
      <c r="KE250" s="432"/>
      <c r="KF250" s="432"/>
      <c r="KG250" s="1810"/>
      <c r="KH250" s="432"/>
      <c r="KI250" s="432"/>
      <c r="KJ250" s="432"/>
      <c r="KK250" s="432"/>
      <c r="KL250" s="1810"/>
      <c r="KM250" s="1810"/>
      <c r="KN250" s="1810"/>
      <c r="KO250" s="1810"/>
      <c r="KP250" s="1810"/>
      <c r="KQ250" s="1810"/>
      <c r="KR250" s="1810"/>
      <c r="KS250" s="1810"/>
      <c r="KT250" s="1810"/>
      <c r="KU250" s="1810"/>
      <c r="KV250" s="1810"/>
      <c r="KW250" s="1810"/>
      <c r="KX250" s="1810"/>
      <c r="KY250" s="1810"/>
      <c r="KZ250" s="1810"/>
      <c r="LA250" s="1810"/>
      <c r="LB250" s="1810"/>
      <c r="LC250" s="1810"/>
      <c r="LD250" s="1810"/>
      <c r="LE250" s="1810"/>
      <c r="LF250" s="1810"/>
      <c r="LG250" s="1810"/>
      <c r="LH250" s="432"/>
      <c r="LI250" s="432"/>
      <c r="LJ250" s="432"/>
      <c r="LK250" s="432"/>
      <c r="LL250" s="432"/>
      <c r="LM250" s="432"/>
      <c r="LN250" s="1811"/>
      <c r="LO250" s="432"/>
      <c r="LP250" s="432"/>
      <c r="LQ250" s="432"/>
      <c r="LR250" s="432"/>
      <c r="LS250" s="432"/>
      <c r="LT250" s="432"/>
      <c r="LU250" s="432"/>
      <c r="LV250" s="432"/>
      <c r="LW250" s="432"/>
      <c r="LX250" s="432"/>
      <c r="LY250" s="432"/>
      <c r="LZ250" s="432"/>
      <c r="MA250" s="432"/>
      <c r="MB250" s="432"/>
      <c r="MC250" s="432"/>
      <c r="MD250" s="1811"/>
      <c r="ME250" s="1811"/>
      <c r="MF250" s="432"/>
      <c r="MG250" s="432"/>
      <c r="MH250" s="432"/>
      <c r="MI250" s="432"/>
      <c r="MJ250" s="432"/>
      <c r="MK250" s="432"/>
      <c r="ML250" s="432"/>
      <c r="MM250" s="432"/>
      <c r="MN250" s="432"/>
      <c r="MO250" s="432"/>
      <c r="MP250" s="432"/>
      <c r="MQ250" s="432"/>
      <c r="MR250" s="432"/>
      <c r="MS250" s="432"/>
      <c r="MT250" s="432"/>
      <c r="MU250" s="432"/>
      <c r="MV250" s="93"/>
      <c r="MW250" s="93"/>
      <c r="MX250" s="93"/>
      <c r="MY250" s="93"/>
      <c r="MZ250" s="93"/>
      <c r="NA250" s="93"/>
      <c r="NB250" s="93"/>
      <c r="NC250" s="93"/>
      <c r="ND250" s="93"/>
      <c r="NE250" s="93"/>
      <c r="NF250" s="93"/>
      <c r="NG250" s="93"/>
      <c r="NH250" s="93"/>
      <c r="NI250" s="93"/>
      <c r="NJ250" s="93"/>
      <c r="NK250" s="93"/>
      <c r="NL250" s="93"/>
      <c r="NM250" s="93"/>
      <c r="NN250" s="93"/>
      <c r="NO250" s="93"/>
      <c r="NP250" s="2850" t="s">
        <v>6761</v>
      </c>
      <c r="NQ250" s="93"/>
      <c r="NR250" s="93"/>
      <c r="NS250" s="93"/>
      <c r="NT250" s="93"/>
      <c r="NU250" s="93"/>
      <c r="NV250" s="93"/>
      <c r="NW250" s="93"/>
      <c r="NX250" s="93"/>
      <c r="NY250" s="93"/>
      <c r="NZ250" s="93"/>
      <c r="OA250" s="93"/>
      <c r="OB250" s="93"/>
      <c r="OC250" s="93"/>
      <c r="OD250" s="93"/>
      <c r="OE250" s="93"/>
      <c r="OF250" s="93"/>
      <c r="OG250" s="93"/>
      <c r="OH250" s="93"/>
      <c r="OI250" s="93"/>
      <c r="OJ250" s="93"/>
      <c r="OK250" s="93"/>
      <c r="OL250" s="93"/>
      <c r="OM250" s="93"/>
      <c r="ON250" s="93"/>
      <c r="OO250" s="93"/>
      <c r="OP250" s="93"/>
      <c r="OQ250" s="93"/>
      <c r="OR250" s="93"/>
      <c r="OS250" s="93"/>
      <c r="OT250" s="93"/>
      <c r="OU250" s="93"/>
      <c r="OV250" s="93"/>
      <c r="OW250" s="93"/>
      <c r="OX250" s="93"/>
      <c r="OY250" s="93"/>
      <c r="OZ250" s="93"/>
      <c r="PA250" s="93"/>
      <c r="PB250" s="93"/>
      <c r="PC250" s="93"/>
      <c r="PD250" s="93"/>
      <c r="PE250" s="93"/>
      <c r="PF250" s="93"/>
      <c r="PG250" s="93"/>
      <c r="PH250" s="93"/>
      <c r="PI250" s="93"/>
      <c r="PJ250" s="93"/>
      <c r="PK250" s="93"/>
      <c r="PL250" s="93"/>
      <c r="PM250" s="93"/>
      <c r="PN250" s="93"/>
      <c r="PO250" s="93"/>
      <c r="PP250" s="93"/>
      <c r="PQ250" s="93"/>
      <c r="PR250" s="93"/>
      <c r="PS250" s="93"/>
      <c r="PT250" s="93"/>
      <c r="PU250" s="93"/>
      <c r="PV250" s="93"/>
      <c r="PW250" s="93"/>
      <c r="PX250" s="93"/>
      <c r="PY250" s="93"/>
      <c r="PZ250" s="93"/>
      <c r="QA250" s="93"/>
      <c r="QB250" s="93"/>
      <c r="QC250" s="93"/>
      <c r="QD250" s="93"/>
      <c r="QE250" s="93"/>
      <c r="QF250" s="93"/>
      <c r="QG250" s="93"/>
      <c r="QH250" s="93"/>
      <c r="QI250" s="93"/>
      <c r="QJ250" s="93"/>
      <c r="QK250" s="93"/>
      <c r="QL250" s="93"/>
      <c r="QM250" s="93"/>
      <c r="QN250" s="93"/>
      <c r="QO250" s="93"/>
      <c r="QP250" s="93"/>
      <c r="QQ250" s="93"/>
      <c r="QR250" s="93"/>
      <c r="QS250" s="93"/>
      <c r="QT250" s="93"/>
      <c r="QU250" s="93"/>
      <c r="QV250" s="93"/>
      <c r="QW250" s="93"/>
      <c r="QX250" s="93"/>
      <c r="QY250" s="93"/>
      <c r="QZ250" s="93"/>
      <c r="RA250" s="93"/>
      <c r="RB250" s="93"/>
      <c r="RC250" s="93"/>
      <c r="RD250" s="93"/>
      <c r="RE250" s="93"/>
      <c r="RF250" s="93"/>
      <c r="RG250" s="93"/>
      <c r="RH250" s="93"/>
      <c r="RI250" s="93"/>
      <c r="RJ250" s="93"/>
      <c r="RK250" s="93"/>
      <c r="RL250" s="93"/>
      <c r="RM250" s="93"/>
      <c r="RN250" s="93"/>
      <c r="RO250" s="93"/>
      <c r="RP250" s="93"/>
      <c r="RQ250" s="93"/>
      <c r="RR250" s="93"/>
      <c r="RS250" s="93"/>
      <c r="RT250" s="93"/>
      <c r="RU250" s="93"/>
      <c r="RV250" s="93"/>
      <c r="RW250" s="93"/>
      <c r="RX250" s="93"/>
      <c r="RY250" s="93"/>
    </row>
    <row r="251" spans="1:493" s="90" customFormat="1" ht="39" customHeight="1">
      <c r="A251" s="1"/>
      <c r="B251" s="10"/>
      <c r="C251" s="11"/>
      <c r="D251" s="1"/>
      <c r="E251" s="1"/>
      <c r="F251" s="12"/>
      <c r="G251" s="12"/>
      <c r="H251" s="1"/>
      <c r="I251" s="1"/>
      <c r="J251" s="1"/>
      <c r="K251" s="12"/>
      <c r="L251" s="1"/>
      <c r="M251" s="1"/>
      <c r="N251" s="1"/>
      <c r="O251" s="10"/>
      <c r="P251" s="1"/>
      <c r="Q251" s="768"/>
      <c r="R251" s="768"/>
      <c r="X251" s="430"/>
      <c r="Y251" s="432"/>
      <c r="Z251" s="432"/>
      <c r="AA251" s="432"/>
      <c r="AB251" s="432"/>
      <c r="AC251" s="430"/>
      <c r="AD251" s="432"/>
      <c r="AE251" s="432"/>
      <c r="AF251" s="432"/>
      <c r="AG251" s="432"/>
      <c r="AH251" s="430"/>
      <c r="AI251" s="432"/>
      <c r="AJ251" s="432"/>
      <c r="AK251" s="432"/>
      <c r="AL251" s="432"/>
      <c r="AM251" s="430"/>
      <c r="AN251" s="432"/>
      <c r="AO251" s="432"/>
      <c r="AP251" s="432"/>
      <c r="AQ251" s="432"/>
      <c r="AR251" s="432"/>
      <c r="AS251" s="432"/>
      <c r="AT251" s="432"/>
      <c r="AU251" s="432"/>
      <c r="AV251" s="432"/>
      <c r="AW251" s="432"/>
      <c r="AX251" s="432"/>
      <c r="AY251" s="432"/>
      <c r="AZ251" s="432"/>
      <c r="BA251" s="432"/>
      <c r="BB251" s="432"/>
      <c r="BC251" s="432"/>
      <c r="BD251" s="432"/>
      <c r="BE251" s="432"/>
      <c r="BF251" s="432"/>
      <c r="BG251" s="432"/>
      <c r="BH251" s="432"/>
      <c r="BI251" s="432"/>
      <c r="BJ251" s="432"/>
      <c r="BK251" s="432"/>
      <c r="BL251" s="432"/>
      <c r="BM251" s="432"/>
      <c r="BN251" s="432"/>
      <c r="BO251" s="432"/>
      <c r="BP251" s="432"/>
      <c r="BQ251" s="432"/>
      <c r="BR251" s="432"/>
      <c r="BS251" s="432"/>
      <c r="BT251" s="432"/>
      <c r="BU251" s="432"/>
      <c r="BV251" s="432"/>
      <c r="BW251" s="432"/>
      <c r="BX251" s="432"/>
      <c r="BY251" s="432"/>
      <c r="BZ251" s="432"/>
      <c r="CA251" s="432"/>
      <c r="CB251" s="432"/>
      <c r="CC251" s="432"/>
      <c r="CD251" s="432"/>
      <c r="CE251" s="432"/>
      <c r="CF251" s="432"/>
      <c r="CG251" s="432"/>
      <c r="CH251" s="432"/>
      <c r="CI251" s="432"/>
      <c r="CJ251" s="432"/>
      <c r="CK251" s="432"/>
      <c r="CL251" s="432"/>
      <c r="CM251" s="432"/>
      <c r="CN251" s="432"/>
      <c r="CO251" s="432"/>
      <c r="CP251" s="432"/>
      <c r="CQ251" s="432"/>
      <c r="CR251" s="432"/>
      <c r="CS251" s="432"/>
      <c r="CT251" s="432"/>
      <c r="CU251" s="432"/>
      <c r="CV251" s="432"/>
      <c r="CW251" s="432"/>
      <c r="CX251" s="432"/>
      <c r="CY251" s="432"/>
      <c r="CZ251" s="432"/>
      <c r="DA251" s="432"/>
      <c r="DB251" s="432"/>
      <c r="DC251" s="432"/>
      <c r="DD251" s="432"/>
      <c r="DE251" s="432"/>
      <c r="DF251" s="432"/>
      <c r="DG251" s="432"/>
      <c r="DH251" s="432"/>
      <c r="DI251" s="432"/>
      <c r="DJ251" s="432"/>
      <c r="DK251" s="432"/>
      <c r="DL251" s="432"/>
      <c r="DM251" s="432"/>
      <c r="DN251" s="432"/>
      <c r="DO251" s="432"/>
      <c r="DP251" s="432"/>
      <c r="DQ251" s="432"/>
      <c r="DR251" s="432"/>
      <c r="DS251" s="432"/>
      <c r="DT251" s="432"/>
      <c r="DU251" s="432"/>
      <c r="DV251" s="432"/>
      <c r="DW251" s="432"/>
      <c r="DX251" s="432"/>
      <c r="DY251" s="432"/>
      <c r="DZ251" s="432"/>
      <c r="EA251" s="432"/>
      <c r="EB251" s="432"/>
      <c r="EC251" s="432"/>
      <c r="ED251" s="432"/>
      <c r="EE251" s="432"/>
      <c r="EF251" s="432"/>
      <c r="EG251" s="432"/>
      <c r="EH251" s="432"/>
      <c r="EI251" s="432"/>
      <c r="EJ251" s="432"/>
      <c r="EK251" s="432"/>
      <c r="EL251" s="432"/>
      <c r="EM251" s="432"/>
      <c r="EN251" s="432"/>
      <c r="EO251" s="432"/>
      <c r="EP251" s="432"/>
      <c r="EQ251" s="432"/>
      <c r="ER251" s="432"/>
      <c r="ES251" s="432"/>
      <c r="ET251" s="432"/>
      <c r="EU251" s="432"/>
      <c r="EV251" s="432"/>
      <c r="EW251" s="432"/>
      <c r="EX251" s="432"/>
      <c r="EY251" s="432"/>
      <c r="EZ251" s="432"/>
      <c r="FA251" s="432"/>
      <c r="FB251" s="432"/>
      <c r="FC251" s="432"/>
      <c r="FD251" s="432"/>
      <c r="FE251" s="432"/>
      <c r="FF251" s="432"/>
      <c r="FG251" s="432"/>
      <c r="FH251" s="432"/>
      <c r="FI251" s="432"/>
      <c r="FJ251" s="432"/>
      <c r="FK251" s="432"/>
      <c r="FL251" s="432"/>
      <c r="FM251" s="432"/>
      <c r="FN251" s="432"/>
      <c r="FO251" s="432"/>
      <c r="FP251" s="432"/>
      <c r="FQ251" s="432"/>
      <c r="FR251" s="432"/>
      <c r="FS251" s="432"/>
      <c r="FT251" s="432"/>
      <c r="FU251" s="432"/>
      <c r="FV251" s="432"/>
      <c r="FW251" s="432"/>
      <c r="FX251" s="432"/>
      <c r="FY251" s="432"/>
      <c r="FZ251" s="432"/>
      <c r="GA251" s="432"/>
      <c r="GB251" s="432"/>
      <c r="GC251" s="432"/>
      <c r="GD251" s="432"/>
      <c r="GE251" s="432"/>
      <c r="GF251" s="432"/>
      <c r="GG251" s="432"/>
      <c r="GH251" s="432"/>
      <c r="GI251" s="432"/>
      <c r="GJ251" s="432"/>
      <c r="GK251" s="432"/>
      <c r="GL251" s="432"/>
      <c r="GM251" s="432"/>
      <c r="GN251" s="432"/>
      <c r="GO251" s="432"/>
      <c r="GP251" s="432"/>
      <c r="GQ251" s="432"/>
      <c r="GR251" s="432"/>
      <c r="GS251" s="432"/>
      <c r="GT251" s="432"/>
      <c r="GU251" s="432"/>
      <c r="GV251" s="432"/>
      <c r="GW251" s="432"/>
      <c r="GX251" s="432"/>
      <c r="GY251" s="432"/>
      <c r="GZ251" s="432"/>
      <c r="HA251" s="432"/>
      <c r="HB251" s="432"/>
      <c r="HC251" s="432"/>
      <c r="HD251" s="432"/>
      <c r="HE251" s="432"/>
      <c r="HF251" s="432"/>
      <c r="HG251" s="432"/>
      <c r="HH251" s="432"/>
      <c r="HI251" s="432"/>
      <c r="HJ251" s="432"/>
      <c r="HK251" s="432"/>
      <c r="HL251" s="432"/>
      <c r="HM251" s="432"/>
      <c r="HN251" s="432"/>
      <c r="HO251" s="432"/>
      <c r="HP251" s="432"/>
      <c r="HQ251" s="432"/>
      <c r="HR251" s="432"/>
      <c r="HS251" s="432"/>
      <c r="HT251" s="432"/>
      <c r="HU251" s="432"/>
      <c r="HV251" s="432"/>
      <c r="HW251" s="432"/>
      <c r="HX251" s="432"/>
      <c r="HY251" s="432"/>
      <c r="HZ251" s="432"/>
      <c r="IA251" s="432"/>
      <c r="IB251" s="432"/>
      <c r="IC251" s="432"/>
      <c r="ID251" s="432"/>
      <c r="IE251" s="432"/>
      <c r="IF251" s="432"/>
      <c r="IG251" s="432"/>
      <c r="IH251" s="432"/>
      <c r="II251" s="432"/>
      <c r="IJ251" s="432"/>
      <c r="IK251" s="432"/>
      <c r="IL251" s="432"/>
      <c r="IM251" s="432"/>
      <c r="IN251" s="432"/>
      <c r="IO251" s="432"/>
      <c r="IP251" s="432"/>
      <c r="IQ251" s="432"/>
      <c r="IR251" s="432"/>
      <c r="IS251" s="432"/>
      <c r="IT251" s="432"/>
      <c r="IU251" s="432"/>
      <c r="IV251" s="432"/>
      <c r="IW251" s="432"/>
      <c r="IX251" s="432"/>
      <c r="IY251" s="432"/>
      <c r="IZ251" s="432"/>
      <c r="JA251" s="432"/>
      <c r="JB251" s="432"/>
      <c r="JC251" s="432"/>
      <c r="JD251" s="432"/>
      <c r="JE251" s="432"/>
      <c r="JF251" s="432"/>
      <c r="JG251" s="432"/>
      <c r="JH251" s="432"/>
      <c r="JI251" s="432"/>
      <c r="JJ251" s="432"/>
      <c r="JK251" s="432"/>
      <c r="JL251" s="432"/>
      <c r="JM251" s="432"/>
      <c r="JN251" s="432"/>
      <c r="JO251" s="432"/>
      <c r="JP251" s="432"/>
      <c r="JQ251" s="432"/>
      <c r="JR251" s="432"/>
      <c r="JS251" s="432"/>
      <c r="JT251" s="432"/>
      <c r="JU251" s="432"/>
      <c r="JV251" s="432"/>
      <c r="JW251" s="1810"/>
      <c r="JX251" s="432"/>
      <c r="JY251" s="432"/>
      <c r="JZ251" s="432"/>
      <c r="KA251" s="432"/>
      <c r="KB251" s="1810"/>
      <c r="KC251" s="432"/>
      <c r="KD251" s="432"/>
      <c r="KE251" s="432"/>
      <c r="KF251" s="432"/>
      <c r="KG251" s="1810"/>
      <c r="KH251" s="432"/>
      <c r="KI251" s="432"/>
      <c r="KJ251" s="432"/>
      <c r="KK251" s="432"/>
      <c r="KL251" s="1810"/>
      <c r="KM251" s="1810"/>
      <c r="KN251" s="1810"/>
      <c r="KO251" s="1810"/>
      <c r="KP251" s="1810"/>
      <c r="KQ251" s="1810"/>
      <c r="KR251" s="1810"/>
      <c r="KS251" s="1810"/>
      <c r="KT251" s="1810"/>
      <c r="KU251" s="1810"/>
      <c r="KV251" s="1810"/>
      <c r="KW251" s="1810"/>
      <c r="KX251" s="1810"/>
      <c r="KY251" s="1810"/>
      <c r="KZ251" s="1810"/>
      <c r="LA251" s="1810"/>
      <c r="LB251" s="1810"/>
      <c r="LC251" s="1810"/>
      <c r="LD251" s="1810"/>
      <c r="LE251" s="1810"/>
      <c r="LF251" s="1810"/>
      <c r="LG251" s="1810"/>
      <c r="LH251" s="432"/>
      <c r="LI251" s="432"/>
      <c r="LJ251" s="432"/>
      <c r="LK251" s="432"/>
      <c r="LL251" s="432"/>
      <c r="LM251" s="432"/>
      <c r="LN251" s="1811"/>
      <c r="LO251" s="432"/>
      <c r="LP251" s="432"/>
      <c r="LQ251" s="432"/>
      <c r="LR251" s="432"/>
      <c r="LS251" s="432"/>
      <c r="LT251" s="432"/>
      <c r="LU251" s="432"/>
      <c r="LV251" s="432"/>
      <c r="LW251" s="432"/>
      <c r="LX251" s="432"/>
      <c r="LY251" s="432"/>
      <c r="LZ251" s="432"/>
      <c r="MA251" s="432"/>
      <c r="MB251" s="432"/>
      <c r="MC251" s="432"/>
      <c r="MD251" s="1811"/>
      <c r="ME251" s="1811"/>
      <c r="MF251" s="432"/>
      <c r="MG251" s="432"/>
      <c r="MH251" s="432"/>
      <c r="MI251" s="432"/>
      <c r="MJ251" s="432"/>
      <c r="MK251" s="432"/>
      <c r="ML251" s="432"/>
      <c r="MM251" s="432"/>
      <c r="MN251" s="432"/>
      <c r="MO251" s="432"/>
      <c r="MP251" s="432"/>
      <c r="MQ251" s="432"/>
      <c r="MR251" s="432"/>
      <c r="MS251" s="432"/>
      <c r="MT251" s="432"/>
      <c r="MU251" s="432"/>
      <c r="MV251" s="93"/>
      <c r="MW251" s="93"/>
      <c r="MX251" s="93"/>
      <c r="MY251" s="93"/>
      <c r="MZ251" s="93"/>
      <c r="NA251" s="93"/>
      <c r="NB251" s="93"/>
      <c r="NC251" s="93"/>
      <c r="ND251" s="93"/>
      <c r="NE251" s="93"/>
      <c r="NF251" s="93"/>
      <c r="NG251" s="93"/>
      <c r="NH251" s="93"/>
      <c r="NI251" s="93"/>
      <c r="NJ251" s="93"/>
      <c r="NK251" s="93"/>
      <c r="NL251" s="93"/>
      <c r="NM251" s="93"/>
      <c r="NN251" s="93"/>
      <c r="NO251" s="93"/>
      <c r="NP251" s="2850"/>
      <c r="NQ251" s="93"/>
      <c r="NR251" s="93"/>
      <c r="NS251" s="93"/>
      <c r="NT251" s="93"/>
      <c r="NU251" s="93"/>
      <c r="NV251" s="93"/>
      <c r="NW251" s="93"/>
      <c r="NX251" s="93"/>
      <c r="NY251" s="93"/>
      <c r="NZ251" s="93"/>
      <c r="OA251" s="93"/>
      <c r="OB251" s="93"/>
      <c r="OC251" s="93"/>
      <c r="OD251" s="93"/>
      <c r="OE251" s="93"/>
      <c r="OF251" s="93"/>
      <c r="OG251" s="93"/>
      <c r="OH251" s="93"/>
      <c r="OI251" s="93"/>
      <c r="OJ251" s="93"/>
      <c r="OK251" s="93"/>
      <c r="OL251" s="93"/>
      <c r="OM251" s="93"/>
      <c r="ON251" s="93"/>
      <c r="OO251" s="93"/>
      <c r="OP251" s="93"/>
      <c r="OQ251" s="93"/>
      <c r="OR251" s="93"/>
      <c r="OS251" s="93"/>
      <c r="OT251" s="93"/>
      <c r="OU251" s="93"/>
      <c r="OV251" s="93"/>
      <c r="OW251" s="93"/>
      <c r="OX251" s="93"/>
      <c r="OY251" s="93"/>
      <c r="OZ251" s="93"/>
      <c r="PA251" s="93"/>
      <c r="PB251" s="93"/>
      <c r="PC251" s="93"/>
      <c r="PD251" s="93"/>
      <c r="PE251" s="93"/>
      <c r="PF251" s="93"/>
      <c r="PG251" s="93"/>
      <c r="PH251" s="93"/>
      <c r="PI251" s="93"/>
      <c r="PJ251" s="93"/>
      <c r="PK251" s="93"/>
      <c r="PL251" s="93"/>
      <c r="PM251" s="93"/>
      <c r="PN251" s="93"/>
      <c r="PO251" s="93"/>
      <c r="PP251" s="93"/>
      <c r="PQ251" s="93"/>
      <c r="PR251" s="93"/>
      <c r="PS251" s="93"/>
      <c r="PT251" s="93"/>
      <c r="PU251" s="93"/>
      <c r="PV251" s="93"/>
      <c r="PW251" s="93"/>
      <c r="PX251" s="93"/>
      <c r="PY251" s="93"/>
      <c r="PZ251" s="93"/>
      <c r="QA251" s="93"/>
      <c r="QB251" s="93"/>
      <c r="QC251" s="93"/>
      <c r="QD251" s="93"/>
      <c r="QE251" s="93"/>
      <c r="QF251" s="93"/>
      <c r="QG251" s="93"/>
      <c r="QH251" s="93"/>
      <c r="QI251" s="93"/>
      <c r="QJ251" s="93"/>
      <c r="QK251" s="93"/>
      <c r="QL251" s="93"/>
      <c r="QM251" s="93"/>
      <c r="QN251" s="93"/>
      <c r="QO251" s="93"/>
      <c r="QP251" s="93"/>
      <c r="QQ251" s="93"/>
      <c r="QR251" s="93"/>
      <c r="QS251" s="93"/>
      <c r="QT251" s="93"/>
      <c r="QU251" s="93"/>
      <c r="QV251" s="93"/>
      <c r="QW251" s="93"/>
      <c r="QX251" s="93"/>
      <c r="QY251" s="93"/>
      <c r="QZ251" s="93"/>
      <c r="RA251" s="93"/>
      <c r="RB251" s="93"/>
      <c r="RC251" s="93"/>
      <c r="RD251" s="93"/>
      <c r="RE251" s="93"/>
      <c r="RF251" s="93"/>
      <c r="RG251" s="93"/>
      <c r="RH251" s="93"/>
      <c r="RI251" s="93"/>
      <c r="RJ251" s="93"/>
      <c r="RK251" s="93"/>
      <c r="RL251" s="93"/>
      <c r="RM251" s="93"/>
      <c r="RN251" s="93"/>
      <c r="RO251" s="93"/>
      <c r="RP251" s="93"/>
      <c r="RQ251" s="93"/>
      <c r="RR251" s="93"/>
      <c r="RS251" s="93"/>
      <c r="RT251" s="93"/>
      <c r="RU251" s="93"/>
      <c r="RV251" s="93"/>
      <c r="RW251" s="93"/>
      <c r="RX251" s="93"/>
      <c r="RY251" s="93"/>
    </row>
    <row r="252" spans="1:493" ht="12" customHeight="1">
      <c r="A252" s="13" t="s">
        <v>3524</v>
      </c>
      <c r="B252" s="13" t="s">
        <v>543</v>
      </c>
      <c r="N252" s="13" t="s">
        <v>4052</v>
      </c>
      <c r="O252" s="13"/>
      <c r="NP252" s="2850"/>
    </row>
    <row r="253" spans="1:493" ht="103.5" customHeight="1">
      <c r="A253" s="3469" t="s">
        <v>7025</v>
      </c>
      <c r="B253" s="3469"/>
      <c r="C253" s="3469"/>
      <c r="D253" s="3469"/>
      <c r="E253" s="3469"/>
      <c r="F253" s="3469"/>
      <c r="G253" s="3469"/>
      <c r="H253" s="3469"/>
      <c r="I253" s="3469"/>
      <c r="J253" s="3469"/>
      <c r="K253" s="3469"/>
      <c r="L253" s="3469"/>
      <c r="M253" s="3469"/>
      <c r="N253" s="3468"/>
      <c r="O253" s="3468"/>
      <c r="P253" s="3468"/>
      <c r="Q253" s="3468"/>
      <c r="R253" s="3858" t="s">
        <v>3523</v>
      </c>
      <c r="S253" s="3132"/>
      <c r="T253" s="3132"/>
      <c r="U253" s="3132"/>
      <c r="NP253" s="2850"/>
    </row>
    <row r="254" spans="1:493" ht="11.25" customHeight="1">
      <c r="NP254" s="2850"/>
    </row>
    <row r="255" spans="1:493" ht="12" customHeight="1">
      <c r="NP255" s="2850"/>
    </row>
    <row r="256" spans="1:493" ht="12" customHeight="1">
      <c r="NP256" s="2850"/>
    </row>
    <row r="257" spans="1:493" ht="14.1" customHeight="1">
      <c r="NP257" s="2850"/>
    </row>
    <row r="258" spans="1:493" s="90" customFormat="1" ht="14.1" customHeight="1">
      <c r="A258" s="1"/>
      <c r="B258" s="1"/>
      <c r="C258" s="1"/>
      <c r="D258" s="1"/>
      <c r="E258" s="1"/>
      <c r="F258" s="1"/>
      <c r="G258" s="1"/>
      <c r="H258" s="1"/>
      <c r="I258" s="1"/>
      <c r="J258" s="1"/>
      <c r="K258" s="1"/>
      <c r="L258" s="1"/>
      <c r="M258" s="1"/>
      <c r="N258" s="1"/>
      <c r="O258" s="1"/>
      <c r="P258" s="1"/>
      <c r="X258" s="432"/>
      <c r="Y258" s="432"/>
      <c r="Z258" s="432"/>
      <c r="AA258" s="432"/>
      <c r="AB258" s="432"/>
      <c r="AC258" s="432"/>
      <c r="AD258" s="432"/>
      <c r="AE258" s="432"/>
      <c r="AF258" s="432"/>
      <c r="AG258" s="432"/>
      <c r="AH258" s="432"/>
      <c r="AI258" s="432"/>
      <c r="AJ258" s="432"/>
      <c r="AK258" s="432"/>
      <c r="AL258" s="432"/>
      <c r="AM258" s="432"/>
      <c r="AN258" s="432"/>
      <c r="AO258" s="432"/>
      <c r="AP258" s="432"/>
      <c r="AQ258" s="432"/>
      <c r="AR258" s="432"/>
      <c r="AS258" s="432"/>
      <c r="AT258" s="432"/>
      <c r="AU258" s="432"/>
      <c r="AV258" s="432"/>
      <c r="AW258" s="432"/>
      <c r="AX258" s="432"/>
      <c r="AY258" s="432"/>
      <c r="AZ258" s="432"/>
      <c r="BA258" s="432"/>
      <c r="BB258" s="432"/>
      <c r="BC258" s="432"/>
      <c r="BD258" s="432"/>
      <c r="BE258" s="432"/>
      <c r="BF258" s="432"/>
      <c r="BG258" s="432"/>
      <c r="BH258" s="432"/>
      <c r="BI258" s="432"/>
      <c r="BJ258" s="432"/>
      <c r="BK258" s="432"/>
      <c r="BL258" s="432"/>
      <c r="BM258" s="432"/>
      <c r="BN258" s="432"/>
      <c r="BO258" s="432"/>
      <c r="BP258" s="432"/>
      <c r="BQ258" s="432"/>
      <c r="BR258" s="432"/>
      <c r="BS258" s="432"/>
      <c r="BT258" s="432"/>
      <c r="BU258" s="432"/>
      <c r="BV258" s="432"/>
      <c r="BW258" s="432"/>
      <c r="BX258" s="432"/>
      <c r="BY258" s="432"/>
      <c r="BZ258" s="432"/>
      <c r="CA258" s="432"/>
      <c r="CB258" s="432"/>
      <c r="CC258" s="432"/>
      <c r="CD258" s="432"/>
      <c r="CE258" s="432"/>
      <c r="CF258" s="432"/>
      <c r="CG258" s="432"/>
      <c r="CH258" s="432"/>
      <c r="CI258" s="432"/>
      <c r="CJ258" s="432"/>
      <c r="CK258" s="432"/>
      <c r="CL258" s="432"/>
      <c r="CM258" s="432"/>
      <c r="CN258" s="432"/>
      <c r="CO258" s="432"/>
      <c r="CP258" s="432"/>
      <c r="CQ258" s="432"/>
      <c r="CR258" s="432"/>
      <c r="CS258" s="432"/>
      <c r="CT258" s="432"/>
      <c r="CU258" s="432"/>
      <c r="CV258" s="432"/>
      <c r="CW258" s="432"/>
      <c r="CX258" s="432"/>
      <c r="CY258" s="432"/>
      <c r="CZ258" s="432"/>
      <c r="DA258" s="432"/>
      <c r="DB258" s="432"/>
      <c r="DC258" s="432"/>
      <c r="DD258" s="432"/>
      <c r="DE258" s="432"/>
      <c r="DF258" s="432"/>
      <c r="DG258" s="432"/>
      <c r="DH258" s="432"/>
      <c r="DI258" s="432"/>
      <c r="DJ258" s="432"/>
      <c r="DK258" s="432"/>
      <c r="DL258" s="432"/>
      <c r="DM258" s="432"/>
      <c r="DN258" s="432"/>
      <c r="DO258" s="432"/>
      <c r="DP258" s="432"/>
      <c r="DQ258" s="432"/>
      <c r="DR258" s="432"/>
      <c r="DS258" s="432"/>
      <c r="DT258" s="432"/>
      <c r="DU258" s="432"/>
      <c r="DV258" s="432"/>
      <c r="DW258" s="432"/>
      <c r="DX258" s="432"/>
      <c r="DY258" s="432"/>
      <c r="DZ258" s="432"/>
      <c r="EA258" s="432"/>
      <c r="EB258" s="432"/>
      <c r="EC258" s="432"/>
      <c r="ED258" s="432"/>
      <c r="EE258" s="432"/>
      <c r="EF258" s="432"/>
      <c r="EG258" s="432"/>
      <c r="EH258" s="432"/>
      <c r="EI258" s="432"/>
      <c r="EJ258" s="432"/>
      <c r="EK258" s="432"/>
      <c r="EL258" s="432"/>
      <c r="EM258" s="432"/>
      <c r="EN258" s="432"/>
      <c r="EO258" s="432"/>
      <c r="EP258" s="432"/>
      <c r="EQ258" s="432"/>
      <c r="ER258" s="432"/>
      <c r="ES258" s="432"/>
      <c r="ET258" s="432"/>
      <c r="EU258" s="432"/>
      <c r="EV258" s="432"/>
      <c r="EW258" s="432"/>
      <c r="EX258" s="432"/>
      <c r="EY258" s="432"/>
      <c r="EZ258" s="432"/>
      <c r="FA258" s="432"/>
      <c r="FB258" s="432"/>
      <c r="FC258" s="432"/>
      <c r="FD258" s="432"/>
      <c r="FE258" s="432"/>
      <c r="FF258" s="432"/>
      <c r="FG258" s="432"/>
      <c r="FH258" s="432"/>
      <c r="FI258" s="432"/>
      <c r="FJ258" s="432"/>
      <c r="FK258" s="432"/>
      <c r="FL258" s="432"/>
      <c r="FM258" s="432"/>
      <c r="FN258" s="432"/>
      <c r="FO258" s="432"/>
      <c r="FP258" s="432"/>
      <c r="FQ258" s="432"/>
      <c r="FR258" s="432"/>
      <c r="FS258" s="432"/>
      <c r="FT258" s="432"/>
      <c r="FU258" s="432"/>
      <c r="FV258" s="432"/>
      <c r="FW258" s="432"/>
      <c r="FX258" s="432"/>
      <c r="FY258" s="432"/>
      <c r="FZ258" s="432"/>
      <c r="GA258" s="432"/>
      <c r="GB258" s="432"/>
      <c r="GC258" s="432"/>
      <c r="GD258" s="432"/>
      <c r="GE258" s="432"/>
      <c r="GF258" s="432"/>
      <c r="GG258" s="432"/>
      <c r="GH258" s="432"/>
      <c r="GI258" s="432"/>
      <c r="GJ258" s="432"/>
      <c r="GK258" s="432"/>
      <c r="GL258" s="432"/>
      <c r="GM258" s="432"/>
      <c r="GN258" s="432"/>
      <c r="GO258" s="432"/>
      <c r="GP258" s="432"/>
      <c r="GQ258" s="432"/>
      <c r="GR258" s="432"/>
      <c r="GS258" s="432"/>
      <c r="GT258" s="432"/>
      <c r="GU258" s="432"/>
      <c r="GV258" s="432"/>
      <c r="GW258" s="432"/>
      <c r="GX258" s="432"/>
      <c r="GY258" s="432"/>
      <c r="GZ258" s="432"/>
      <c r="HA258" s="432"/>
      <c r="HB258" s="432"/>
      <c r="HC258" s="432"/>
      <c r="HD258" s="432"/>
      <c r="HE258" s="432"/>
      <c r="HF258" s="432"/>
      <c r="HG258" s="432"/>
      <c r="HH258" s="432"/>
      <c r="HI258" s="432"/>
      <c r="HJ258" s="432"/>
      <c r="HK258" s="432"/>
      <c r="HL258" s="432"/>
      <c r="HM258" s="432"/>
      <c r="HN258" s="432"/>
      <c r="HO258" s="432"/>
      <c r="HP258" s="432"/>
      <c r="HQ258" s="432"/>
      <c r="HR258" s="432"/>
      <c r="HS258" s="432"/>
      <c r="HT258" s="432"/>
      <c r="HU258" s="432"/>
      <c r="HV258" s="432"/>
      <c r="HW258" s="432"/>
      <c r="HX258" s="432"/>
      <c r="HY258" s="432"/>
      <c r="HZ258" s="432"/>
      <c r="IA258" s="432"/>
      <c r="IB258" s="432"/>
      <c r="IC258" s="432"/>
      <c r="ID258" s="432"/>
      <c r="IE258" s="432"/>
      <c r="IF258" s="432"/>
      <c r="IG258" s="432"/>
      <c r="IH258" s="432"/>
      <c r="II258" s="432"/>
      <c r="IJ258" s="432"/>
      <c r="IK258" s="432"/>
      <c r="IL258" s="432"/>
      <c r="IM258" s="432"/>
      <c r="IN258" s="432"/>
      <c r="IO258" s="432"/>
      <c r="IP258" s="432"/>
      <c r="IQ258" s="432"/>
      <c r="IR258" s="432"/>
      <c r="IS258" s="432"/>
      <c r="IT258" s="432"/>
      <c r="IU258" s="432"/>
      <c r="IV258" s="432"/>
      <c r="IW258" s="432"/>
      <c r="IX258" s="432"/>
      <c r="IY258" s="432"/>
      <c r="IZ258" s="432"/>
      <c r="JA258" s="432"/>
      <c r="JB258" s="432"/>
      <c r="JC258" s="432"/>
      <c r="JD258" s="432"/>
      <c r="JE258" s="432"/>
      <c r="JF258" s="432"/>
      <c r="JG258" s="432"/>
      <c r="JH258" s="432"/>
      <c r="JI258" s="432"/>
      <c r="JJ258" s="432"/>
      <c r="JK258" s="432"/>
      <c r="JL258" s="432"/>
      <c r="JM258" s="432"/>
      <c r="JN258" s="432"/>
      <c r="JO258" s="432"/>
      <c r="JP258" s="432"/>
      <c r="JQ258" s="432"/>
      <c r="JR258" s="432"/>
      <c r="JS258" s="432"/>
      <c r="JT258" s="432"/>
      <c r="JU258" s="432"/>
      <c r="JV258" s="432"/>
      <c r="JW258" s="1810"/>
      <c r="JX258" s="432"/>
      <c r="JY258" s="432"/>
      <c r="JZ258" s="432"/>
      <c r="KA258" s="432"/>
      <c r="KB258" s="1810"/>
      <c r="KC258" s="432"/>
      <c r="KD258" s="432"/>
      <c r="KE258" s="432"/>
      <c r="KF258" s="432"/>
      <c r="KG258" s="1810"/>
      <c r="KH258" s="432"/>
      <c r="KI258" s="432"/>
      <c r="KJ258" s="432"/>
      <c r="KK258" s="432"/>
      <c r="KL258" s="1810"/>
      <c r="KM258" s="1810"/>
      <c r="KN258" s="1810"/>
      <c r="KO258" s="1810"/>
      <c r="KP258" s="1810"/>
      <c r="KQ258" s="1810"/>
      <c r="KR258" s="1810"/>
      <c r="KS258" s="1810"/>
      <c r="KT258" s="1810"/>
      <c r="KU258" s="1810"/>
      <c r="KV258" s="1810"/>
      <c r="KW258" s="1810"/>
      <c r="KX258" s="1810"/>
      <c r="KY258" s="1810"/>
      <c r="KZ258" s="1810"/>
      <c r="LA258" s="1810"/>
      <c r="LB258" s="1810"/>
      <c r="LC258" s="1810"/>
      <c r="LD258" s="1810"/>
      <c r="LE258" s="1810"/>
      <c r="LF258" s="1810"/>
      <c r="LG258" s="1810"/>
      <c r="LH258" s="432"/>
      <c r="LI258" s="432"/>
      <c r="LJ258" s="432"/>
      <c r="LK258" s="432"/>
      <c r="LL258" s="432"/>
      <c r="LM258" s="432"/>
      <c r="LN258" s="1811"/>
      <c r="LO258" s="432"/>
      <c r="LP258" s="432"/>
      <c r="LQ258" s="432"/>
      <c r="LR258" s="432"/>
      <c r="LS258" s="432"/>
      <c r="LT258" s="432"/>
      <c r="LU258" s="432"/>
      <c r="LV258" s="432"/>
      <c r="LW258" s="432"/>
      <c r="LX258" s="432"/>
      <c r="LY258" s="432"/>
      <c r="LZ258" s="432"/>
      <c r="MA258" s="432"/>
      <c r="MB258" s="432"/>
      <c r="MC258" s="432"/>
      <c r="MD258" s="1811"/>
      <c r="ME258" s="1811"/>
      <c r="MF258" s="432"/>
      <c r="MG258" s="432"/>
      <c r="MH258" s="432"/>
      <c r="MI258" s="432"/>
      <c r="MJ258" s="432"/>
      <c r="MK258" s="432"/>
      <c r="ML258" s="432"/>
      <c r="MM258" s="432"/>
      <c r="MN258" s="432"/>
      <c r="MO258" s="432"/>
      <c r="MP258" s="432"/>
      <c r="MQ258" s="432"/>
      <c r="MR258" s="432"/>
      <c r="MS258" s="432"/>
      <c r="MT258" s="432"/>
      <c r="MU258" s="432"/>
      <c r="MV258" s="93"/>
      <c r="MW258" s="93"/>
      <c r="MX258" s="93"/>
      <c r="MY258" s="93"/>
      <c r="MZ258" s="93"/>
      <c r="NA258" s="93"/>
      <c r="NB258" s="93"/>
      <c r="NC258" s="93"/>
      <c r="ND258" s="93"/>
      <c r="NE258" s="93"/>
      <c r="NF258" s="93"/>
      <c r="NG258" s="93"/>
      <c r="NH258" s="93"/>
      <c r="NI258" s="93"/>
      <c r="NJ258" s="93"/>
      <c r="NK258" s="93"/>
      <c r="NL258" s="93"/>
      <c r="NM258" s="93"/>
      <c r="NN258" s="93"/>
      <c r="NO258" s="93"/>
      <c r="NP258" s="2807"/>
      <c r="NQ258" s="93"/>
      <c r="NR258" s="93"/>
      <c r="NS258" s="93"/>
      <c r="NT258" s="93"/>
      <c r="NU258" s="93"/>
      <c r="NV258" s="93"/>
      <c r="NW258" s="93"/>
      <c r="NX258" s="93"/>
      <c r="NY258" s="93"/>
      <c r="NZ258" s="93"/>
      <c r="OA258" s="93"/>
      <c r="OB258" s="93"/>
      <c r="OC258" s="93"/>
      <c r="OD258" s="93"/>
      <c r="OE258" s="93"/>
      <c r="OF258" s="93"/>
      <c r="OG258" s="93"/>
      <c r="OH258" s="93"/>
      <c r="OI258" s="93"/>
      <c r="OJ258" s="93"/>
      <c r="OK258" s="93"/>
      <c r="OL258" s="93"/>
      <c r="OM258" s="93"/>
      <c r="ON258" s="93"/>
      <c r="OO258" s="93"/>
      <c r="OP258" s="93"/>
      <c r="OQ258" s="93"/>
      <c r="OR258" s="93"/>
      <c r="OS258" s="93"/>
      <c r="OT258" s="93"/>
      <c r="OU258" s="93"/>
      <c r="OV258" s="93"/>
      <c r="OW258" s="93"/>
      <c r="OX258" s="93"/>
      <c r="OY258" s="93"/>
      <c r="OZ258" s="93"/>
      <c r="PA258" s="93"/>
      <c r="PB258" s="93"/>
      <c r="PC258" s="93"/>
      <c r="PD258" s="93"/>
      <c r="PE258" s="93"/>
      <c r="PF258" s="93"/>
      <c r="PG258" s="93"/>
      <c r="PH258" s="93"/>
      <c r="PI258" s="93"/>
      <c r="PJ258" s="93"/>
      <c r="PK258" s="93"/>
      <c r="PL258" s="93"/>
      <c r="PM258" s="93"/>
      <c r="PN258" s="93"/>
      <c r="PO258" s="93"/>
      <c r="PP258" s="93"/>
      <c r="PQ258" s="93"/>
      <c r="PR258" s="93"/>
      <c r="PS258" s="93"/>
      <c r="PT258" s="93"/>
      <c r="PU258" s="93"/>
      <c r="PV258" s="93"/>
      <c r="PW258" s="93"/>
      <c r="PX258" s="93"/>
      <c r="PY258" s="93"/>
      <c r="PZ258" s="93"/>
      <c r="QA258" s="93"/>
      <c r="QB258" s="93"/>
      <c r="QC258" s="93"/>
      <c r="QD258" s="93"/>
      <c r="QE258" s="93"/>
      <c r="QF258" s="93"/>
      <c r="QG258" s="93"/>
      <c r="QH258" s="93"/>
      <c r="QI258" s="93"/>
      <c r="QJ258" s="93"/>
      <c r="QK258" s="93"/>
      <c r="QL258" s="93"/>
      <c r="QM258" s="93"/>
      <c r="QN258" s="93"/>
      <c r="QO258" s="93"/>
      <c r="QP258" s="93"/>
      <c r="QQ258" s="93"/>
      <c r="QR258" s="93"/>
      <c r="QS258" s="93"/>
      <c r="QT258" s="93"/>
      <c r="QU258" s="93"/>
      <c r="QV258" s="93"/>
      <c r="QW258" s="93"/>
      <c r="QX258" s="93"/>
      <c r="QY258" s="93"/>
      <c r="QZ258" s="93"/>
      <c r="RA258" s="93"/>
      <c r="RB258" s="93"/>
      <c r="RC258" s="93"/>
      <c r="RD258" s="93"/>
      <c r="RE258" s="93"/>
      <c r="RF258" s="93"/>
      <c r="RG258" s="93"/>
      <c r="RH258" s="93"/>
      <c r="RI258" s="93"/>
      <c r="RJ258" s="93"/>
      <c r="RK258" s="93"/>
      <c r="RL258" s="93"/>
      <c r="RM258" s="93"/>
      <c r="RN258" s="93"/>
      <c r="RO258" s="93"/>
      <c r="RP258" s="93"/>
      <c r="RQ258" s="93"/>
      <c r="RR258" s="93"/>
      <c r="RS258" s="93"/>
      <c r="RT258" s="93"/>
      <c r="RU258" s="93"/>
      <c r="RV258" s="93"/>
      <c r="RW258" s="93"/>
      <c r="RX258" s="93"/>
      <c r="RY258" s="93"/>
    </row>
    <row r="259" spans="1:493" s="90" customFormat="1" ht="14.1" customHeight="1">
      <c r="A259" s="1"/>
      <c r="B259" s="1"/>
      <c r="C259" s="1"/>
      <c r="D259" s="1"/>
      <c r="E259" s="1"/>
      <c r="F259" s="1"/>
      <c r="G259" s="1"/>
      <c r="H259" s="1"/>
      <c r="I259" s="1"/>
      <c r="J259" s="1"/>
      <c r="K259" s="1"/>
      <c r="L259" s="1"/>
      <c r="M259" s="1"/>
      <c r="N259" s="1"/>
      <c r="O259" s="1"/>
      <c r="P259" s="1"/>
      <c r="X259" s="432"/>
      <c r="Y259" s="432"/>
      <c r="Z259" s="432"/>
      <c r="AA259" s="432"/>
      <c r="AB259" s="432"/>
      <c r="AC259" s="432"/>
      <c r="AD259" s="432"/>
      <c r="AE259" s="432"/>
      <c r="AF259" s="432"/>
      <c r="AG259" s="432"/>
      <c r="AH259" s="432"/>
      <c r="AI259" s="432"/>
      <c r="AJ259" s="432"/>
      <c r="AK259" s="432"/>
      <c r="AL259" s="432"/>
      <c r="AM259" s="432"/>
      <c r="AN259" s="432"/>
      <c r="AO259" s="432"/>
      <c r="AP259" s="432"/>
      <c r="AQ259" s="432"/>
      <c r="AR259" s="432"/>
      <c r="AS259" s="432"/>
      <c r="AT259" s="432"/>
      <c r="AU259" s="432"/>
      <c r="AV259" s="432"/>
      <c r="AW259" s="432"/>
      <c r="AX259" s="432"/>
      <c r="AY259" s="432"/>
      <c r="AZ259" s="432"/>
      <c r="BA259" s="432"/>
      <c r="BB259" s="432"/>
      <c r="BC259" s="432"/>
      <c r="BD259" s="432"/>
      <c r="BE259" s="432"/>
      <c r="BF259" s="432"/>
      <c r="BG259" s="432"/>
      <c r="BH259" s="432"/>
      <c r="BI259" s="432"/>
      <c r="BJ259" s="432"/>
      <c r="BK259" s="432"/>
      <c r="BL259" s="432"/>
      <c r="BM259" s="432"/>
      <c r="BN259" s="432"/>
      <c r="BO259" s="432"/>
      <c r="BP259" s="432"/>
      <c r="BQ259" s="432"/>
      <c r="BR259" s="432"/>
      <c r="BS259" s="432"/>
      <c r="BT259" s="432"/>
      <c r="BU259" s="432"/>
      <c r="BV259" s="432"/>
      <c r="BW259" s="432"/>
      <c r="BX259" s="432"/>
      <c r="BY259" s="432"/>
      <c r="BZ259" s="432"/>
      <c r="CA259" s="432"/>
      <c r="CB259" s="432"/>
      <c r="CC259" s="432"/>
      <c r="CD259" s="432"/>
      <c r="CE259" s="432"/>
      <c r="CF259" s="432"/>
      <c r="CG259" s="432"/>
      <c r="CH259" s="432"/>
      <c r="CI259" s="432"/>
      <c r="CJ259" s="432"/>
      <c r="CK259" s="432"/>
      <c r="CL259" s="432"/>
      <c r="CM259" s="432"/>
      <c r="CN259" s="432"/>
      <c r="CO259" s="432"/>
      <c r="CP259" s="432"/>
      <c r="CQ259" s="432"/>
      <c r="CR259" s="432"/>
      <c r="CS259" s="432"/>
      <c r="CT259" s="432"/>
      <c r="CU259" s="432"/>
      <c r="CV259" s="432"/>
      <c r="CW259" s="432"/>
      <c r="CX259" s="432"/>
      <c r="CY259" s="432"/>
      <c r="CZ259" s="432"/>
      <c r="DA259" s="432"/>
      <c r="DB259" s="432"/>
      <c r="DC259" s="432"/>
      <c r="DD259" s="432"/>
      <c r="DE259" s="432"/>
      <c r="DF259" s="432"/>
      <c r="DG259" s="432"/>
      <c r="DH259" s="432"/>
      <c r="DI259" s="432"/>
      <c r="DJ259" s="432"/>
      <c r="DK259" s="432"/>
      <c r="DL259" s="432"/>
      <c r="DM259" s="432"/>
      <c r="DN259" s="432"/>
      <c r="DO259" s="432"/>
      <c r="DP259" s="432"/>
      <c r="DQ259" s="432"/>
      <c r="DR259" s="432"/>
      <c r="DS259" s="432"/>
      <c r="DT259" s="432"/>
      <c r="DU259" s="432"/>
      <c r="DV259" s="432"/>
      <c r="DW259" s="432"/>
      <c r="DX259" s="432"/>
      <c r="DY259" s="432"/>
      <c r="DZ259" s="432"/>
      <c r="EA259" s="432"/>
      <c r="EB259" s="432"/>
      <c r="EC259" s="432"/>
      <c r="ED259" s="432"/>
      <c r="EE259" s="432"/>
      <c r="EF259" s="432"/>
      <c r="EG259" s="432"/>
      <c r="EH259" s="432"/>
      <c r="EI259" s="432"/>
      <c r="EJ259" s="432"/>
      <c r="EK259" s="432"/>
      <c r="EL259" s="432"/>
      <c r="EM259" s="432"/>
      <c r="EN259" s="432"/>
      <c r="EO259" s="432"/>
      <c r="EP259" s="432"/>
      <c r="EQ259" s="432"/>
      <c r="ER259" s="432"/>
      <c r="ES259" s="432"/>
      <c r="ET259" s="432"/>
      <c r="EU259" s="432"/>
      <c r="EV259" s="432"/>
      <c r="EW259" s="432"/>
      <c r="EX259" s="432"/>
      <c r="EY259" s="432"/>
      <c r="EZ259" s="432"/>
      <c r="FA259" s="432"/>
      <c r="FB259" s="432"/>
      <c r="FC259" s="432"/>
      <c r="FD259" s="432"/>
      <c r="FE259" s="432"/>
      <c r="FF259" s="432"/>
      <c r="FG259" s="432"/>
      <c r="FH259" s="432"/>
      <c r="FI259" s="432"/>
      <c r="FJ259" s="432"/>
      <c r="FK259" s="432"/>
      <c r="FL259" s="432"/>
      <c r="FM259" s="432"/>
      <c r="FN259" s="432"/>
      <c r="FO259" s="432"/>
      <c r="FP259" s="432"/>
      <c r="FQ259" s="432"/>
      <c r="FR259" s="432"/>
      <c r="FS259" s="432"/>
      <c r="FT259" s="432"/>
      <c r="FU259" s="432"/>
      <c r="FV259" s="432"/>
      <c r="FW259" s="432"/>
      <c r="FX259" s="432"/>
      <c r="FY259" s="432"/>
      <c r="FZ259" s="432"/>
      <c r="GA259" s="432"/>
      <c r="GB259" s="432"/>
      <c r="GC259" s="432"/>
      <c r="GD259" s="432"/>
      <c r="GE259" s="432"/>
      <c r="GF259" s="432"/>
      <c r="GG259" s="432"/>
      <c r="GH259" s="432"/>
      <c r="GI259" s="432"/>
      <c r="GJ259" s="432"/>
      <c r="GK259" s="432"/>
      <c r="GL259" s="432"/>
      <c r="GM259" s="432"/>
      <c r="GN259" s="432"/>
      <c r="GO259" s="432"/>
      <c r="GP259" s="432"/>
      <c r="GQ259" s="432"/>
      <c r="GR259" s="432"/>
      <c r="GS259" s="432"/>
      <c r="GT259" s="432"/>
      <c r="GU259" s="432"/>
      <c r="GV259" s="432"/>
      <c r="GW259" s="432"/>
      <c r="GX259" s="432"/>
      <c r="GY259" s="432"/>
      <c r="GZ259" s="432"/>
      <c r="HA259" s="432"/>
      <c r="HB259" s="432"/>
      <c r="HC259" s="432"/>
      <c r="HD259" s="432"/>
      <c r="HE259" s="432"/>
      <c r="HF259" s="432"/>
      <c r="HG259" s="432"/>
      <c r="HH259" s="432"/>
      <c r="HI259" s="432"/>
      <c r="HJ259" s="432"/>
      <c r="HK259" s="432"/>
      <c r="HL259" s="432"/>
      <c r="HM259" s="432"/>
      <c r="HN259" s="432"/>
      <c r="HO259" s="432"/>
      <c r="HP259" s="432"/>
      <c r="HQ259" s="432"/>
      <c r="HR259" s="432"/>
      <c r="HS259" s="432"/>
      <c r="HT259" s="432"/>
      <c r="HU259" s="432"/>
      <c r="HV259" s="432"/>
      <c r="HW259" s="432"/>
      <c r="HX259" s="432"/>
      <c r="HY259" s="432"/>
      <c r="HZ259" s="432"/>
      <c r="IA259" s="432"/>
      <c r="IB259" s="432"/>
      <c r="IC259" s="432"/>
      <c r="ID259" s="432"/>
      <c r="IE259" s="432"/>
      <c r="IF259" s="432"/>
      <c r="IG259" s="432"/>
      <c r="IH259" s="432"/>
      <c r="II259" s="432"/>
      <c r="IJ259" s="432"/>
      <c r="IK259" s="432"/>
      <c r="IL259" s="432"/>
      <c r="IM259" s="432"/>
      <c r="IN259" s="432"/>
      <c r="IO259" s="432"/>
      <c r="IP259" s="432"/>
      <c r="IQ259" s="432"/>
      <c r="IR259" s="432"/>
      <c r="IS259" s="432"/>
      <c r="IT259" s="432"/>
      <c r="IU259" s="432"/>
      <c r="IV259" s="432"/>
      <c r="IW259" s="432"/>
      <c r="IX259" s="432"/>
      <c r="IY259" s="432"/>
      <c r="IZ259" s="432"/>
      <c r="JA259" s="432"/>
      <c r="JB259" s="432"/>
      <c r="JC259" s="432"/>
      <c r="JD259" s="432"/>
      <c r="JE259" s="432"/>
      <c r="JF259" s="432"/>
      <c r="JG259" s="432"/>
      <c r="JH259" s="432"/>
      <c r="JI259" s="432"/>
      <c r="JJ259" s="432"/>
      <c r="JK259" s="432"/>
      <c r="JL259" s="432"/>
      <c r="JM259" s="432"/>
      <c r="JN259" s="432"/>
      <c r="JO259" s="432"/>
      <c r="JP259" s="432"/>
      <c r="JQ259" s="432"/>
      <c r="JR259" s="432"/>
      <c r="JS259" s="432"/>
      <c r="JT259" s="432"/>
      <c r="JU259" s="432"/>
      <c r="JV259" s="432"/>
      <c r="JW259" s="1810"/>
      <c r="JX259" s="432"/>
      <c r="JY259" s="432"/>
      <c r="JZ259" s="432"/>
      <c r="KA259" s="432"/>
      <c r="KB259" s="1810"/>
      <c r="KC259" s="432"/>
      <c r="KD259" s="432"/>
      <c r="KE259" s="432"/>
      <c r="KF259" s="432"/>
      <c r="KG259" s="1810"/>
      <c r="KH259" s="432"/>
      <c r="KI259" s="432"/>
      <c r="KJ259" s="432"/>
      <c r="KK259" s="432"/>
      <c r="KL259" s="1810"/>
      <c r="KM259" s="1810"/>
      <c r="KN259" s="1810"/>
      <c r="KO259" s="1810"/>
      <c r="KP259" s="1810"/>
      <c r="KQ259" s="1810"/>
      <c r="KR259" s="1810"/>
      <c r="KS259" s="1810"/>
      <c r="KT259" s="1810"/>
      <c r="KU259" s="1810"/>
      <c r="KV259" s="1810"/>
      <c r="KW259" s="1810"/>
      <c r="KX259" s="1810"/>
      <c r="KY259" s="1810"/>
      <c r="KZ259" s="1810"/>
      <c r="LA259" s="1810"/>
      <c r="LB259" s="1810"/>
      <c r="LC259" s="1810"/>
      <c r="LD259" s="1810"/>
      <c r="LE259" s="1810"/>
      <c r="LF259" s="1810"/>
      <c r="LG259" s="1810"/>
      <c r="LH259" s="432"/>
      <c r="LI259" s="432"/>
      <c r="LJ259" s="432"/>
      <c r="LK259" s="432"/>
      <c r="LL259" s="432"/>
      <c r="LM259" s="432"/>
      <c r="LN259" s="1811"/>
      <c r="LO259" s="432"/>
      <c r="LP259" s="432"/>
      <c r="LQ259" s="432"/>
      <c r="LR259" s="432"/>
      <c r="LS259" s="432"/>
      <c r="LT259" s="432"/>
      <c r="LU259" s="432"/>
      <c r="LV259" s="432"/>
      <c r="LW259" s="432"/>
      <c r="LX259" s="432"/>
      <c r="LY259" s="432"/>
      <c r="LZ259" s="432"/>
      <c r="MA259" s="432"/>
      <c r="MB259" s="432"/>
      <c r="MC259" s="432"/>
      <c r="MD259" s="1811"/>
      <c r="ME259" s="1811"/>
      <c r="MF259" s="432"/>
      <c r="MG259" s="432"/>
      <c r="MH259" s="432"/>
      <c r="MI259" s="432"/>
      <c r="MJ259" s="432"/>
      <c r="MK259" s="432"/>
      <c r="ML259" s="432"/>
      <c r="MM259" s="432"/>
      <c r="MN259" s="432"/>
      <c r="MO259" s="432"/>
      <c r="MP259" s="432"/>
      <c r="MQ259" s="432"/>
      <c r="MR259" s="432"/>
      <c r="MS259" s="432"/>
      <c r="MT259" s="432"/>
      <c r="MU259" s="432"/>
      <c r="MV259" s="93"/>
      <c r="MW259" s="93"/>
      <c r="MX259" s="93"/>
      <c r="MY259" s="93"/>
      <c r="MZ259" s="93"/>
      <c r="NA259" s="93"/>
      <c r="NB259" s="93"/>
      <c r="NC259" s="93"/>
      <c r="ND259" s="93"/>
      <c r="NE259" s="93"/>
      <c r="NF259" s="93"/>
      <c r="NG259" s="93"/>
      <c r="NH259" s="93"/>
      <c r="NI259" s="93"/>
      <c r="NJ259" s="93"/>
      <c r="NK259" s="93"/>
      <c r="NL259" s="93"/>
      <c r="NM259" s="93"/>
      <c r="NN259" s="93"/>
      <c r="NO259" s="93"/>
      <c r="NP259" s="2807"/>
      <c r="NQ259" s="93"/>
      <c r="NR259" s="93"/>
      <c r="NS259" s="93"/>
      <c r="NT259" s="93"/>
      <c r="NU259" s="93"/>
      <c r="NV259" s="93"/>
      <c r="NW259" s="93"/>
      <c r="NX259" s="93"/>
      <c r="NY259" s="93"/>
      <c r="NZ259" s="93"/>
      <c r="OA259" s="93"/>
      <c r="OB259" s="93"/>
      <c r="OC259" s="93"/>
      <c r="OD259" s="93"/>
      <c r="OE259" s="93"/>
      <c r="OF259" s="93"/>
      <c r="OG259" s="93"/>
      <c r="OH259" s="93"/>
      <c r="OI259" s="93"/>
      <c r="OJ259" s="93"/>
      <c r="OK259" s="93"/>
      <c r="OL259" s="93"/>
      <c r="OM259" s="93"/>
      <c r="ON259" s="93"/>
      <c r="OO259" s="93"/>
      <c r="OP259" s="93"/>
      <c r="OQ259" s="93"/>
      <c r="OR259" s="93"/>
      <c r="OS259" s="93"/>
      <c r="OT259" s="93"/>
      <c r="OU259" s="93"/>
      <c r="OV259" s="93"/>
      <c r="OW259" s="93"/>
      <c r="OX259" s="93"/>
      <c r="OY259" s="93"/>
      <c r="OZ259" s="93"/>
      <c r="PA259" s="93"/>
      <c r="PB259" s="93"/>
      <c r="PC259" s="93"/>
      <c r="PD259" s="93"/>
      <c r="PE259" s="93"/>
      <c r="PF259" s="93"/>
      <c r="PG259" s="93"/>
      <c r="PH259" s="93"/>
      <c r="PI259" s="93"/>
      <c r="PJ259" s="93"/>
      <c r="PK259" s="93"/>
      <c r="PL259" s="93"/>
      <c r="PM259" s="93"/>
      <c r="PN259" s="93"/>
      <c r="PO259" s="93"/>
      <c r="PP259" s="93"/>
      <c r="PQ259" s="93"/>
      <c r="PR259" s="93"/>
      <c r="PS259" s="93"/>
      <c r="PT259" s="93"/>
      <c r="PU259" s="93"/>
      <c r="PV259" s="93"/>
      <c r="PW259" s="93"/>
      <c r="PX259" s="93"/>
      <c r="PY259" s="93"/>
      <c r="PZ259" s="93"/>
      <c r="QA259" s="93"/>
      <c r="QB259" s="93"/>
      <c r="QC259" s="93"/>
      <c r="QD259" s="93"/>
      <c r="QE259" s="93"/>
      <c r="QF259" s="93"/>
      <c r="QG259" s="93"/>
      <c r="QH259" s="93"/>
      <c r="QI259" s="93"/>
      <c r="QJ259" s="93"/>
      <c r="QK259" s="93"/>
      <c r="QL259" s="93"/>
      <c r="QM259" s="93"/>
      <c r="QN259" s="93"/>
      <c r="QO259" s="93"/>
      <c r="QP259" s="93"/>
      <c r="QQ259" s="93"/>
      <c r="QR259" s="93"/>
      <c r="QS259" s="93"/>
      <c r="QT259" s="93"/>
      <c r="QU259" s="93"/>
      <c r="QV259" s="93"/>
      <c r="QW259" s="93"/>
      <c r="QX259" s="93"/>
      <c r="QY259" s="93"/>
      <c r="QZ259" s="93"/>
      <c r="RA259" s="93"/>
      <c r="RB259" s="93"/>
      <c r="RC259" s="93"/>
      <c r="RD259" s="93"/>
      <c r="RE259" s="93"/>
      <c r="RF259" s="93"/>
      <c r="RG259" s="93"/>
      <c r="RH259" s="93"/>
      <c r="RI259" s="93"/>
      <c r="RJ259" s="93"/>
      <c r="RK259" s="93"/>
      <c r="RL259" s="93"/>
      <c r="RM259" s="93"/>
      <c r="RN259" s="93"/>
      <c r="RO259" s="93"/>
      <c r="RP259" s="93"/>
      <c r="RQ259" s="93"/>
      <c r="RR259" s="93"/>
      <c r="RS259" s="93"/>
      <c r="RT259" s="93"/>
      <c r="RU259" s="93"/>
      <c r="RV259" s="93"/>
      <c r="RW259" s="93"/>
      <c r="RX259" s="93"/>
      <c r="RY259" s="93"/>
    </row>
    <row r="260" spans="1:493" s="90" customFormat="1" ht="14.1" customHeight="1">
      <c r="A260" s="1"/>
      <c r="B260" s="1"/>
      <c r="C260" s="1"/>
      <c r="D260" s="1"/>
      <c r="E260" s="1"/>
      <c r="F260" s="1"/>
      <c r="G260" s="1"/>
      <c r="H260" s="1"/>
      <c r="I260" s="1"/>
      <c r="J260" s="1"/>
      <c r="K260" s="1"/>
      <c r="L260" s="1"/>
      <c r="M260" s="1"/>
      <c r="N260" s="1"/>
      <c r="O260" s="1"/>
      <c r="P260" s="1"/>
      <c r="X260" s="432"/>
      <c r="Y260" s="432"/>
      <c r="Z260" s="432"/>
      <c r="AA260" s="432"/>
      <c r="AB260" s="432"/>
      <c r="AC260" s="432"/>
      <c r="AD260" s="432"/>
      <c r="AE260" s="432"/>
      <c r="AF260" s="432"/>
      <c r="AG260" s="432"/>
      <c r="AH260" s="432"/>
      <c r="AI260" s="432"/>
      <c r="AJ260" s="432"/>
      <c r="AK260" s="432"/>
      <c r="AL260" s="432"/>
      <c r="AM260" s="432"/>
      <c r="AN260" s="432"/>
      <c r="AO260" s="432"/>
      <c r="AP260" s="432"/>
      <c r="AQ260" s="432"/>
      <c r="AR260" s="432"/>
      <c r="AS260" s="432"/>
      <c r="AT260" s="432"/>
      <c r="AU260" s="432"/>
      <c r="AV260" s="432"/>
      <c r="AW260" s="432"/>
      <c r="AX260" s="432"/>
      <c r="AY260" s="432"/>
      <c r="AZ260" s="432"/>
      <c r="BA260" s="432"/>
      <c r="BB260" s="432"/>
      <c r="BC260" s="432"/>
      <c r="BD260" s="432"/>
      <c r="BE260" s="432"/>
      <c r="BF260" s="432"/>
      <c r="BG260" s="432"/>
      <c r="BH260" s="432"/>
      <c r="BI260" s="432"/>
      <c r="BJ260" s="432"/>
      <c r="BK260" s="432"/>
      <c r="BL260" s="432"/>
      <c r="BM260" s="432"/>
      <c r="BN260" s="432"/>
      <c r="BO260" s="432"/>
      <c r="BP260" s="432"/>
      <c r="BQ260" s="432"/>
      <c r="BR260" s="432"/>
      <c r="BS260" s="432"/>
      <c r="BT260" s="432"/>
      <c r="BU260" s="432"/>
      <c r="BV260" s="432"/>
      <c r="BW260" s="432"/>
      <c r="BX260" s="432"/>
      <c r="BY260" s="432"/>
      <c r="BZ260" s="432"/>
      <c r="CA260" s="432"/>
      <c r="CB260" s="432"/>
      <c r="CC260" s="432"/>
      <c r="CD260" s="432"/>
      <c r="CE260" s="432"/>
      <c r="CF260" s="432"/>
      <c r="CG260" s="432"/>
      <c r="CH260" s="432"/>
      <c r="CI260" s="432"/>
      <c r="CJ260" s="432"/>
      <c r="CK260" s="432"/>
      <c r="CL260" s="432"/>
      <c r="CM260" s="432"/>
      <c r="CN260" s="432"/>
      <c r="CO260" s="432"/>
      <c r="CP260" s="432"/>
      <c r="CQ260" s="432"/>
      <c r="CR260" s="432"/>
      <c r="CS260" s="432"/>
      <c r="CT260" s="432"/>
      <c r="CU260" s="432"/>
      <c r="CV260" s="432"/>
      <c r="CW260" s="432"/>
      <c r="CX260" s="432"/>
      <c r="CY260" s="432"/>
      <c r="CZ260" s="432"/>
      <c r="DA260" s="432"/>
      <c r="DB260" s="432"/>
      <c r="DC260" s="432"/>
      <c r="DD260" s="432"/>
      <c r="DE260" s="432"/>
      <c r="DF260" s="432"/>
      <c r="DG260" s="432"/>
      <c r="DH260" s="432"/>
      <c r="DI260" s="432"/>
      <c r="DJ260" s="432"/>
      <c r="DK260" s="432"/>
      <c r="DL260" s="432"/>
      <c r="DM260" s="432"/>
      <c r="DN260" s="432"/>
      <c r="DO260" s="432"/>
      <c r="DP260" s="432"/>
      <c r="DQ260" s="432"/>
      <c r="DR260" s="432"/>
      <c r="DS260" s="432"/>
      <c r="DT260" s="432"/>
      <c r="DU260" s="432"/>
      <c r="DV260" s="432"/>
      <c r="DW260" s="432"/>
      <c r="DX260" s="432"/>
      <c r="DY260" s="432"/>
      <c r="DZ260" s="432"/>
      <c r="EA260" s="432"/>
      <c r="EB260" s="432"/>
      <c r="EC260" s="432"/>
      <c r="ED260" s="432"/>
      <c r="EE260" s="432"/>
      <c r="EF260" s="432"/>
      <c r="EG260" s="432"/>
      <c r="EH260" s="432"/>
      <c r="EI260" s="432"/>
      <c r="EJ260" s="432"/>
      <c r="EK260" s="432"/>
      <c r="EL260" s="432"/>
      <c r="EM260" s="432"/>
      <c r="EN260" s="432"/>
      <c r="EO260" s="432"/>
      <c r="EP260" s="432"/>
      <c r="EQ260" s="432"/>
      <c r="ER260" s="432"/>
      <c r="ES260" s="432"/>
      <c r="ET260" s="432"/>
      <c r="EU260" s="432"/>
      <c r="EV260" s="432"/>
      <c r="EW260" s="432"/>
      <c r="EX260" s="432"/>
      <c r="EY260" s="432"/>
      <c r="EZ260" s="432"/>
      <c r="FA260" s="432"/>
      <c r="FB260" s="432"/>
      <c r="FC260" s="432"/>
      <c r="FD260" s="432"/>
      <c r="FE260" s="432"/>
      <c r="FF260" s="432"/>
      <c r="FG260" s="432"/>
      <c r="FH260" s="432"/>
      <c r="FI260" s="432"/>
      <c r="FJ260" s="432"/>
      <c r="FK260" s="432"/>
      <c r="FL260" s="432"/>
      <c r="FM260" s="432"/>
      <c r="FN260" s="432"/>
      <c r="FO260" s="432"/>
      <c r="FP260" s="432"/>
      <c r="FQ260" s="432"/>
      <c r="FR260" s="432"/>
      <c r="FS260" s="432"/>
      <c r="FT260" s="432"/>
      <c r="FU260" s="432"/>
      <c r="FV260" s="432"/>
      <c r="FW260" s="432"/>
      <c r="FX260" s="432"/>
      <c r="FY260" s="432"/>
      <c r="FZ260" s="432"/>
      <c r="GA260" s="432"/>
      <c r="GB260" s="432"/>
      <c r="GC260" s="432"/>
      <c r="GD260" s="432"/>
      <c r="GE260" s="432"/>
      <c r="GF260" s="432"/>
      <c r="GG260" s="432"/>
      <c r="GH260" s="432"/>
      <c r="GI260" s="432"/>
      <c r="GJ260" s="432"/>
      <c r="GK260" s="432"/>
      <c r="GL260" s="432"/>
      <c r="GM260" s="432"/>
      <c r="GN260" s="432"/>
      <c r="GO260" s="432"/>
      <c r="GP260" s="432"/>
      <c r="GQ260" s="432"/>
      <c r="GR260" s="432"/>
      <c r="GS260" s="432"/>
      <c r="GT260" s="432"/>
      <c r="GU260" s="432"/>
      <c r="GV260" s="432"/>
      <c r="GW260" s="432"/>
      <c r="GX260" s="432"/>
      <c r="GY260" s="432"/>
      <c r="GZ260" s="432"/>
      <c r="HA260" s="432"/>
      <c r="HB260" s="432"/>
      <c r="HC260" s="432"/>
      <c r="HD260" s="432"/>
      <c r="HE260" s="432"/>
      <c r="HF260" s="432"/>
      <c r="HG260" s="432"/>
      <c r="HH260" s="432"/>
      <c r="HI260" s="432"/>
      <c r="HJ260" s="432"/>
      <c r="HK260" s="432"/>
      <c r="HL260" s="432"/>
      <c r="HM260" s="432"/>
      <c r="HN260" s="432"/>
      <c r="HO260" s="432"/>
      <c r="HP260" s="432"/>
      <c r="HQ260" s="432"/>
      <c r="HR260" s="432"/>
      <c r="HS260" s="432"/>
      <c r="HT260" s="432"/>
      <c r="HU260" s="432"/>
      <c r="HV260" s="432"/>
      <c r="HW260" s="432"/>
      <c r="HX260" s="432"/>
      <c r="HY260" s="432"/>
      <c r="HZ260" s="432"/>
      <c r="IA260" s="432"/>
      <c r="IB260" s="432"/>
      <c r="IC260" s="432"/>
      <c r="ID260" s="432"/>
      <c r="IE260" s="432"/>
      <c r="IF260" s="432"/>
      <c r="IG260" s="432"/>
      <c r="IH260" s="432"/>
      <c r="II260" s="432"/>
      <c r="IJ260" s="432"/>
      <c r="IK260" s="432"/>
      <c r="IL260" s="432"/>
      <c r="IM260" s="432"/>
      <c r="IN260" s="432"/>
      <c r="IO260" s="432"/>
      <c r="IP260" s="432"/>
      <c r="IQ260" s="432"/>
      <c r="IR260" s="432"/>
      <c r="IS260" s="432"/>
      <c r="IT260" s="432"/>
      <c r="IU260" s="432"/>
      <c r="IV260" s="432"/>
      <c r="IW260" s="432"/>
      <c r="IX260" s="432"/>
      <c r="IY260" s="432"/>
      <c r="IZ260" s="432"/>
      <c r="JA260" s="432"/>
      <c r="JB260" s="432"/>
      <c r="JC260" s="432"/>
      <c r="JD260" s="432"/>
      <c r="JE260" s="432"/>
      <c r="JF260" s="432"/>
      <c r="JG260" s="432"/>
      <c r="JH260" s="432"/>
      <c r="JI260" s="432"/>
      <c r="JJ260" s="432"/>
      <c r="JK260" s="432"/>
      <c r="JL260" s="432"/>
      <c r="JM260" s="432"/>
      <c r="JN260" s="432"/>
      <c r="JO260" s="432"/>
      <c r="JP260" s="432"/>
      <c r="JQ260" s="432"/>
      <c r="JR260" s="432"/>
      <c r="JS260" s="432"/>
      <c r="JT260" s="432"/>
      <c r="JU260" s="432"/>
      <c r="JV260" s="432"/>
      <c r="JW260" s="1810"/>
      <c r="JX260" s="432"/>
      <c r="JY260" s="432"/>
      <c r="JZ260" s="432"/>
      <c r="KA260" s="432"/>
      <c r="KB260" s="1810"/>
      <c r="KC260" s="432"/>
      <c r="KD260" s="432"/>
      <c r="KE260" s="432"/>
      <c r="KF260" s="432"/>
      <c r="KG260" s="1810"/>
      <c r="KH260" s="432"/>
      <c r="KI260" s="432"/>
      <c r="KJ260" s="432"/>
      <c r="KK260" s="432"/>
      <c r="KL260" s="1810"/>
      <c r="KM260" s="1810"/>
      <c r="KN260" s="1810"/>
      <c r="KO260" s="1810"/>
      <c r="KP260" s="1810"/>
      <c r="KQ260" s="1810"/>
      <c r="KR260" s="1810"/>
      <c r="KS260" s="1810"/>
      <c r="KT260" s="1810"/>
      <c r="KU260" s="1810"/>
      <c r="KV260" s="1810"/>
      <c r="KW260" s="1810"/>
      <c r="KX260" s="1810"/>
      <c r="KY260" s="1810"/>
      <c r="KZ260" s="1810"/>
      <c r="LA260" s="1810"/>
      <c r="LB260" s="1810"/>
      <c r="LC260" s="1810"/>
      <c r="LD260" s="1810"/>
      <c r="LE260" s="1810"/>
      <c r="LF260" s="1810"/>
      <c r="LG260" s="1810"/>
      <c r="LH260" s="432"/>
      <c r="LI260" s="432"/>
      <c r="LJ260" s="432"/>
      <c r="LK260" s="432"/>
      <c r="LL260" s="432"/>
      <c r="LM260" s="432"/>
      <c r="LN260" s="1811"/>
      <c r="LO260" s="432"/>
      <c r="LP260" s="432"/>
      <c r="LQ260" s="432"/>
      <c r="LR260" s="432"/>
      <c r="LS260" s="432"/>
      <c r="LT260" s="432"/>
      <c r="LU260" s="432"/>
      <c r="LV260" s="432"/>
      <c r="LW260" s="432"/>
      <c r="LX260" s="432"/>
      <c r="LY260" s="432"/>
      <c r="LZ260" s="432"/>
      <c r="MA260" s="432"/>
      <c r="MB260" s="432"/>
      <c r="MC260" s="432"/>
      <c r="MD260" s="1811"/>
      <c r="ME260" s="1811"/>
      <c r="MF260" s="432"/>
      <c r="MG260" s="432"/>
      <c r="MH260" s="432"/>
      <c r="MI260" s="432"/>
      <c r="MJ260" s="432"/>
      <c r="MK260" s="432"/>
      <c r="ML260" s="432"/>
      <c r="MM260" s="432"/>
      <c r="MN260" s="432"/>
      <c r="MO260" s="432"/>
      <c r="MP260" s="432"/>
      <c r="MQ260" s="432"/>
      <c r="MR260" s="432"/>
      <c r="MS260" s="432"/>
      <c r="MT260" s="432"/>
      <c r="MU260" s="432"/>
      <c r="MV260" s="93"/>
      <c r="MW260" s="93"/>
      <c r="MX260" s="93"/>
      <c r="MY260" s="93"/>
      <c r="MZ260" s="93"/>
      <c r="NA260" s="93"/>
      <c r="NB260" s="93"/>
      <c r="NC260" s="93"/>
      <c r="ND260" s="93"/>
      <c r="NE260" s="93"/>
      <c r="NF260" s="93"/>
      <c r="NG260" s="93"/>
      <c r="NH260" s="93"/>
      <c r="NI260" s="93"/>
      <c r="NJ260" s="93"/>
      <c r="NK260" s="93"/>
      <c r="NL260" s="93"/>
      <c r="NM260" s="93"/>
      <c r="NN260" s="93"/>
      <c r="NO260" s="93"/>
      <c r="NP260" s="2807"/>
      <c r="NQ260" s="93"/>
      <c r="NR260" s="93"/>
      <c r="NS260" s="93"/>
      <c r="NT260" s="93"/>
      <c r="NU260" s="93"/>
      <c r="NV260" s="93"/>
      <c r="NW260" s="93"/>
      <c r="NX260" s="93"/>
      <c r="NY260" s="93"/>
      <c r="NZ260" s="93"/>
      <c r="OA260" s="93"/>
      <c r="OB260" s="93"/>
      <c r="OC260" s="93"/>
      <c r="OD260" s="93"/>
      <c r="OE260" s="93"/>
      <c r="OF260" s="93"/>
      <c r="OG260" s="93"/>
      <c r="OH260" s="93"/>
      <c r="OI260" s="93"/>
      <c r="OJ260" s="93"/>
      <c r="OK260" s="93"/>
      <c r="OL260" s="93"/>
      <c r="OM260" s="93"/>
      <c r="ON260" s="93"/>
      <c r="OO260" s="93"/>
      <c r="OP260" s="93"/>
      <c r="OQ260" s="93"/>
      <c r="OR260" s="93"/>
      <c r="OS260" s="93"/>
      <c r="OT260" s="93"/>
      <c r="OU260" s="93"/>
      <c r="OV260" s="93"/>
      <c r="OW260" s="93"/>
      <c r="OX260" s="93"/>
      <c r="OY260" s="93"/>
      <c r="OZ260" s="93"/>
      <c r="PA260" s="93"/>
      <c r="PB260" s="93"/>
      <c r="PC260" s="93"/>
      <c r="PD260" s="93"/>
      <c r="PE260" s="93"/>
      <c r="PF260" s="93"/>
      <c r="PG260" s="93"/>
      <c r="PH260" s="93"/>
      <c r="PI260" s="93"/>
      <c r="PJ260" s="93"/>
      <c r="PK260" s="93"/>
      <c r="PL260" s="93"/>
      <c r="PM260" s="93"/>
      <c r="PN260" s="93"/>
      <c r="PO260" s="93"/>
      <c r="PP260" s="93"/>
      <c r="PQ260" s="93"/>
      <c r="PR260" s="93"/>
      <c r="PS260" s="93"/>
      <c r="PT260" s="93"/>
      <c r="PU260" s="93"/>
      <c r="PV260" s="93"/>
      <c r="PW260" s="93"/>
      <c r="PX260" s="93"/>
      <c r="PY260" s="93"/>
      <c r="PZ260" s="93"/>
      <c r="QA260" s="93"/>
      <c r="QB260" s="93"/>
      <c r="QC260" s="93"/>
      <c r="QD260" s="93"/>
      <c r="QE260" s="93"/>
      <c r="QF260" s="93"/>
      <c r="QG260" s="93"/>
      <c r="QH260" s="93"/>
      <c r="QI260" s="93"/>
      <c r="QJ260" s="93"/>
      <c r="QK260" s="93"/>
      <c r="QL260" s="93"/>
      <c r="QM260" s="93"/>
      <c r="QN260" s="93"/>
      <c r="QO260" s="93"/>
      <c r="QP260" s="93"/>
      <c r="QQ260" s="93"/>
      <c r="QR260" s="93"/>
      <c r="QS260" s="93"/>
      <c r="QT260" s="93"/>
      <c r="QU260" s="93"/>
      <c r="QV260" s="93"/>
      <c r="QW260" s="93"/>
      <c r="QX260" s="93"/>
      <c r="QY260" s="93"/>
      <c r="QZ260" s="93"/>
      <c r="RA260" s="93"/>
      <c r="RB260" s="93"/>
      <c r="RC260" s="93"/>
      <c r="RD260" s="93"/>
      <c r="RE260" s="93"/>
      <c r="RF260" s="93"/>
      <c r="RG260" s="93"/>
      <c r="RH260" s="93"/>
      <c r="RI260" s="93"/>
      <c r="RJ260" s="93"/>
      <c r="RK260" s="93"/>
      <c r="RL260" s="93"/>
      <c r="RM260" s="93"/>
      <c r="RN260" s="93"/>
      <c r="RO260" s="93"/>
      <c r="RP260" s="93"/>
      <c r="RQ260" s="93"/>
      <c r="RR260" s="93"/>
      <c r="RS260" s="93"/>
      <c r="RT260" s="93"/>
      <c r="RU260" s="93"/>
      <c r="RV260" s="93"/>
      <c r="RW260" s="93"/>
      <c r="RX260" s="93"/>
      <c r="RY260" s="93"/>
    </row>
    <row r="261" spans="1:493" s="90" customFormat="1" ht="14.1" customHeight="1">
      <c r="A261" s="32"/>
      <c r="B261" s="1"/>
      <c r="C261" s="1"/>
      <c r="D261" s="1"/>
      <c r="E261" s="1"/>
      <c r="F261" s="1"/>
      <c r="G261" s="1"/>
      <c r="H261" s="1"/>
      <c r="I261" s="1"/>
      <c r="J261" s="1"/>
      <c r="K261" s="1"/>
      <c r="L261" s="1"/>
      <c r="M261" s="1"/>
      <c r="N261" s="1"/>
      <c r="O261" s="1"/>
      <c r="P261" s="1"/>
      <c r="X261" s="432"/>
      <c r="Y261" s="432"/>
      <c r="Z261" s="432"/>
      <c r="AA261" s="432"/>
      <c r="AB261" s="432"/>
      <c r="AC261" s="432"/>
      <c r="AD261" s="432"/>
      <c r="AE261" s="432"/>
      <c r="AF261" s="432"/>
      <c r="AG261" s="432"/>
      <c r="AH261" s="432"/>
      <c r="AI261" s="432"/>
      <c r="AJ261" s="432"/>
      <c r="AK261" s="432"/>
      <c r="AL261" s="432"/>
      <c r="AM261" s="432"/>
      <c r="AN261" s="432"/>
      <c r="AO261" s="432"/>
      <c r="AP261" s="432"/>
      <c r="AQ261" s="432"/>
      <c r="AR261" s="432"/>
      <c r="AS261" s="432"/>
      <c r="AT261" s="432"/>
      <c r="AU261" s="432"/>
      <c r="AV261" s="432"/>
      <c r="AW261" s="432"/>
      <c r="AX261" s="432"/>
      <c r="AY261" s="432"/>
      <c r="AZ261" s="432"/>
      <c r="BA261" s="432"/>
      <c r="BB261" s="432"/>
      <c r="BC261" s="432"/>
      <c r="BD261" s="432"/>
      <c r="BE261" s="432"/>
      <c r="BF261" s="432"/>
      <c r="BG261" s="432"/>
      <c r="BH261" s="432"/>
      <c r="BI261" s="432"/>
      <c r="BJ261" s="432"/>
      <c r="BK261" s="432"/>
      <c r="BL261" s="432"/>
      <c r="BM261" s="432"/>
      <c r="BN261" s="432"/>
      <c r="BO261" s="432"/>
      <c r="BP261" s="432"/>
      <c r="BQ261" s="432"/>
      <c r="BR261" s="432"/>
      <c r="BS261" s="432"/>
      <c r="BT261" s="432"/>
      <c r="BU261" s="432"/>
      <c r="BV261" s="432"/>
      <c r="BW261" s="432"/>
      <c r="BX261" s="432"/>
      <c r="BY261" s="432"/>
      <c r="BZ261" s="432"/>
      <c r="CA261" s="432"/>
      <c r="CB261" s="432"/>
      <c r="CC261" s="432"/>
      <c r="CD261" s="432"/>
      <c r="CE261" s="432"/>
      <c r="CF261" s="432"/>
      <c r="CG261" s="432"/>
      <c r="CH261" s="432"/>
      <c r="CI261" s="432"/>
      <c r="CJ261" s="432"/>
      <c r="CK261" s="432"/>
      <c r="CL261" s="432"/>
      <c r="CM261" s="432"/>
      <c r="CN261" s="432"/>
      <c r="CO261" s="432"/>
      <c r="CP261" s="432"/>
      <c r="CQ261" s="432"/>
      <c r="CR261" s="432"/>
      <c r="CS261" s="432"/>
      <c r="CT261" s="432"/>
      <c r="CU261" s="432"/>
      <c r="CV261" s="432"/>
      <c r="CW261" s="432"/>
      <c r="CX261" s="432"/>
      <c r="CY261" s="432"/>
      <c r="CZ261" s="432"/>
      <c r="DA261" s="432"/>
      <c r="DB261" s="432"/>
      <c r="DC261" s="432"/>
      <c r="DD261" s="432"/>
      <c r="DE261" s="432"/>
      <c r="DF261" s="432"/>
      <c r="DG261" s="432"/>
      <c r="DH261" s="432"/>
      <c r="DI261" s="432"/>
      <c r="DJ261" s="432"/>
      <c r="DK261" s="432"/>
      <c r="DL261" s="432"/>
      <c r="DM261" s="432"/>
      <c r="DN261" s="432"/>
      <c r="DO261" s="432"/>
      <c r="DP261" s="432"/>
      <c r="DQ261" s="432"/>
      <c r="DR261" s="432"/>
      <c r="DS261" s="432"/>
      <c r="DT261" s="432"/>
      <c r="DU261" s="432"/>
      <c r="DV261" s="432"/>
      <c r="DW261" s="432"/>
      <c r="DX261" s="432"/>
      <c r="DY261" s="432"/>
      <c r="DZ261" s="432"/>
      <c r="EA261" s="432"/>
      <c r="EB261" s="432"/>
      <c r="EC261" s="432"/>
      <c r="ED261" s="432"/>
      <c r="EE261" s="432"/>
      <c r="EF261" s="432"/>
      <c r="EG261" s="432"/>
      <c r="EH261" s="432"/>
      <c r="EI261" s="432"/>
      <c r="EJ261" s="432"/>
      <c r="EK261" s="432"/>
      <c r="EL261" s="432"/>
      <c r="EM261" s="432"/>
      <c r="EN261" s="432"/>
      <c r="EO261" s="432"/>
      <c r="EP261" s="432"/>
      <c r="EQ261" s="432"/>
      <c r="ER261" s="432"/>
      <c r="ES261" s="432"/>
      <c r="ET261" s="432"/>
      <c r="EU261" s="432"/>
      <c r="EV261" s="432"/>
      <c r="EW261" s="432"/>
      <c r="EX261" s="432"/>
      <c r="EY261" s="432"/>
      <c r="EZ261" s="432"/>
      <c r="FA261" s="432"/>
      <c r="FB261" s="432"/>
      <c r="FC261" s="432"/>
      <c r="FD261" s="432"/>
      <c r="FE261" s="432"/>
      <c r="FF261" s="432"/>
      <c r="FG261" s="432"/>
      <c r="FH261" s="432"/>
      <c r="FI261" s="432"/>
      <c r="FJ261" s="432"/>
      <c r="FK261" s="432"/>
      <c r="FL261" s="432"/>
      <c r="FM261" s="432"/>
      <c r="FN261" s="432"/>
      <c r="FO261" s="432"/>
      <c r="FP261" s="432"/>
      <c r="FQ261" s="432"/>
      <c r="FR261" s="432"/>
      <c r="FS261" s="432"/>
      <c r="FT261" s="432"/>
      <c r="FU261" s="432"/>
      <c r="FV261" s="432"/>
      <c r="FW261" s="432"/>
      <c r="FX261" s="432"/>
      <c r="FY261" s="432"/>
      <c r="FZ261" s="432"/>
      <c r="GA261" s="432"/>
      <c r="GB261" s="432"/>
      <c r="GC261" s="432"/>
      <c r="GD261" s="432"/>
      <c r="GE261" s="432"/>
      <c r="GF261" s="432"/>
      <c r="GG261" s="432"/>
      <c r="GH261" s="432"/>
      <c r="GI261" s="432"/>
      <c r="GJ261" s="432"/>
      <c r="GK261" s="432"/>
      <c r="GL261" s="432"/>
      <c r="GM261" s="432"/>
      <c r="GN261" s="432"/>
      <c r="GO261" s="432"/>
      <c r="GP261" s="432"/>
      <c r="GQ261" s="432"/>
      <c r="GR261" s="432"/>
      <c r="GS261" s="432"/>
      <c r="GT261" s="432"/>
      <c r="GU261" s="432"/>
      <c r="GV261" s="432"/>
      <c r="GW261" s="432"/>
      <c r="GX261" s="432"/>
      <c r="GY261" s="432"/>
      <c r="GZ261" s="432"/>
      <c r="HA261" s="432"/>
      <c r="HB261" s="432"/>
      <c r="HC261" s="432"/>
      <c r="HD261" s="432"/>
      <c r="HE261" s="432"/>
      <c r="HF261" s="432"/>
      <c r="HG261" s="432"/>
      <c r="HH261" s="432"/>
      <c r="HI261" s="432"/>
      <c r="HJ261" s="432"/>
      <c r="HK261" s="432"/>
      <c r="HL261" s="432"/>
      <c r="HM261" s="432"/>
      <c r="HN261" s="432"/>
      <c r="HO261" s="432"/>
      <c r="HP261" s="432"/>
      <c r="HQ261" s="432"/>
      <c r="HR261" s="432"/>
      <c r="HS261" s="432"/>
      <c r="HT261" s="432"/>
      <c r="HU261" s="432"/>
      <c r="HV261" s="432"/>
      <c r="HW261" s="432"/>
      <c r="HX261" s="432"/>
      <c r="HY261" s="432"/>
      <c r="HZ261" s="432"/>
      <c r="IA261" s="432"/>
      <c r="IB261" s="432"/>
      <c r="IC261" s="432"/>
      <c r="ID261" s="432"/>
      <c r="IE261" s="432"/>
      <c r="IF261" s="432"/>
      <c r="IG261" s="432"/>
      <c r="IH261" s="432"/>
      <c r="II261" s="432"/>
      <c r="IJ261" s="432"/>
      <c r="IK261" s="432"/>
      <c r="IL261" s="432"/>
      <c r="IM261" s="432"/>
      <c r="IN261" s="432"/>
      <c r="IO261" s="432"/>
      <c r="IP261" s="432"/>
      <c r="IQ261" s="432"/>
      <c r="IR261" s="432"/>
      <c r="IS261" s="432"/>
      <c r="IT261" s="432"/>
      <c r="IU261" s="432"/>
      <c r="IV261" s="432"/>
      <c r="IW261" s="432"/>
      <c r="IX261" s="432"/>
      <c r="IY261" s="432"/>
      <c r="IZ261" s="432"/>
      <c r="JA261" s="432"/>
      <c r="JB261" s="432"/>
      <c r="JC261" s="432"/>
      <c r="JD261" s="432"/>
      <c r="JE261" s="432"/>
      <c r="JF261" s="432"/>
      <c r="JG261" s="432"/>
      <c r="JH261" s="432"/>
      <c r="JI261" s="432"/>
      <c r="JJ261" s="432"/>
      <c r="JK261" s="432"/>
      <c r="JL261" s="432"/>
      <c r="JM261" s="432"/>
      <c r="JN261" s="432"/>
      <c r="JO261" s="432"/>
      <c r="JP261" s="432"/>
      <c r="JQ261" s="432"/>
      <c r="JR261" s="432"/>
      <c r="JS261" s="432"/>
      <c r="JT261" s="432"/>
      <c r="JU261" s="432"/>
      <c r="JV261" s="432"/>
      <c r="JW261" s="1810"/>
      <c r="JX261" s="432"/>
      <c r="JY261" s="432"/>
      <c r="JZ261" s="432"/>
      <c r="KA261" s="432"/>
      <c r="KB261" s="1810"/>
      <c r="KC261" s="432"/>
      <c r="KD261" s="432"/>
      <c r="KE261" s="432"/>
      <c r="KF261" s="432"/>
      <c r="KG261" s="1810"/>
      <c r="KH261" s="432"/>
      <c r="KI261" s="432"/>
      <c r="KJ261" s="432"/>
      <c r="KK261" s="432"/>
      <c r="KL261" s="1810"/>
      <c r="KM261" s="1810"/>
      <c r="KN261" s="1810"/>
      <c r="KO261" s="1810"/>
      <c r="KP261" s="1810"/>
      <c r="KQ261" s="1810"/>
      <c r="KR261" s="1810"/>
      <c r="KS261" s="1810"/>
      <c r="KT261" s="1810"/>
      <c r="KU261" s="1810"/>
      <c r="KV261" s="1810"/>
      <c r="KW261" s="1810"/>
      <c r="KX261" s="1810"/>
      <c r="KY261" s="1810"/>
      <c r="KZ261" s="1810"/>
      <c r="LA261" s="1810"/>
      <c r="LB261" s="1810"/>
      <c r="LC261" s="1810"/>
      <c r="LD261" s="1810"/>
      <c r="LE261" s="1810"/>
      <c r="LF261" s="1810"/>
      <c r="LG261" s="1810"/>
      <c r="LH261" s="432"/>
      <c r="LI261" s="432"/>
      <c r="LJ261" s="432"/>
      <c r="LK261" s="432"/>
      <c r="LL261" s="432"/>
      <c r="LM261" s="432"/>
      <c r="LN261" s="1811"/>
      <c r="LO261" s="432"/>
      <c r="LP261" s="432"/>
      <c r="LQ261" s="432"/>
      <c r="LR261" s="432"/>
      <c r="LS261" s="432"/>
      <c r="LT261" s="432"/>
      <c r="LU261" s="432"/>
      <c r="LV261" s="432"/>
      <c r="LW261" s="432"/>
      <c r="LX261" s="432"/>
      <c r="LY261" s="432"/>
      <c r="LZ261" s="432"/>
      <c r="MA261" s="432"/>
      <c r="MB261" s="432"/>
      <c r="MC261" s="432"/>
      <c r="MD261" s="1811"/>
      <c r="ME261" s="1811"/>
      <c r="MF261" s="432"/>
      <c r="MG261" s="432"/>
      <c r="MH261" s="432"/>
      <c r="MI261" s="432"/>
      <c r="MJ261" s="432"/>
      <c r="MK261" s="432"/>
      <c r="ML261" s="432"/>
      <c r="MM261" s="432"/>
      <c r="MN261" s="432"/>
      <c r="MO261" s="432"/>
      <c r="MP261" s="432"/>
      <c r="MQ261" s="432"/>
      <c r="MR261" s="432"/>
      <c r="MS261" s="432"/>
      <c r="MT261" s="432"/>
      <c r="MU261" s="432"/>
      <c r="MV261" s="93"/>
      <c r="MW261" s="93"/>
      <c r="MX261" s="93"/>
      <c r="MY261" s="93"/>
      <c r="MZ261" s="93"/>
      <c r="NA261" s="93"/>
      <c r="NB261" s="93"/>
      <c r="NC261" s="93"/>
      <c r="ND261" s="93"/>
      <c r="NE261" s="93"/>
      <c r="NF261" s="93"/>
      <c r="NG261" s="93"/>
      <c r="NH261" s="93"/>
      <c r="NI261" s="93"/>
      <c r="NJ261" s="93"/>
      <c r="NK261" s="93"/>
      <c r="NL261" s="93"/>
      <c r="NM261" s="93"/>
      <c r="NN261" s="93"/>
      <c r="NO261" s="93"/>
      <c r="NP261" s="2807"/>
      <c r="NQ261" s="93"/>
      <c r="NR261" s="93"/>
      <c r="NS261" s="93"/>
      <c r="NT261" s="93"/>
      <c r="NU261" s="93"/>
      <c r="NV261" s="93"/>
      <c r="NW261" s="93"/>
      <c r="NX261" s="93"/>
      <c r="NY261" s="93"/>
      <c r="NZ261" s="93"/>
      <c r="OA261" s="93"/>
      <c r="OB261" s="93"/>
      <c r="OC261" s="93"/>
      <c r="OD261" s="93"/>
      <c r="OE261" s="93"/>
      <c r="OF261" s="93"/>
      <c r="OG261" s="93"/>
      <c r="OH261" s="93"/>
      <c r="OI261" s="93"/>
      <c r="OJ261" s="93"/>
      <c r="OK261" s="93"/>
      <c r="OL261" s="93"/>
      <c r="OM261" s="93"/>
      <c r="ON261" s="93"/>
      <c r="OO261" s="93"/>
      <c r="OP261" s="93"/>
      <c r="OQ261" s="93"/>
      <c r="OR261" s="93"/>
      <c r="OS261" s="93"/>
      <c r="OT261" s="93"/>
      <c r="OU261" s="93"/>
      <c r="OV261" s="93"/>
      <c r="OW261" s="93"/>
      <c r="OX261" s="93"/>
      <c r="OY261" s="93"/>
      <c r="OZ261" s="93"/>
      <c r="PA261" s="93"/>
      <c r="PB261" s="93"/>
      <c r="PC261" s="93"/>
      <c r="PD261" s="93"/>
      <c r="PE261" s="93"/>
      <c r="PF261" s="93"/>
      <c r="PG261" s="93"/>
      <c r="PH261" s="93"/>
      <c r="PI261" s="93"/>
      <c r="PJ261" s="93"/>
      <c r="PK261" s="93"/>
      <c r="PL261" s="93"/>
      <c r="PM261" s="93"/>
      <c r="PN261" s="93"/>
      <c r="PO261" s="93"/>
      <c r="PP261" s="93"/>
      <c r="PQ261" s="93"/>
      <c r="PR261" s="93"/>
      <c r="PS261" s="93"/>
      <c r="PT261" s="93"/>
      <c r="PU261" s="93"/>
      <c r="PV261" s="93"/>
      <c r="PW261" s="93"/>
      <c r="PX261" s="93"/>
      <c r="PY261" s="93"/>
      <c r="PZ261" s="93"/>
      <c r="QA261" s="93"/>
      <c r="QB261" s="93"/>
      <c r="QC261" s="93"/>
      <c r="QD261" s="93"/>
      <c r="QE261" s="93"/>
      <c r="QF261" s="93"/>
      <c r="QG261" s="93"/>
      <c r="QH261" s="93"/>
      <c r="QI261" s="93"/>
      <c r="QJ261" s="93"/>
      <c r="QK261" s="93"/>
      <c r="QL261" s="93"/>
      <c r="QM261" s="93"/>
      <c r="QN261" s="93"/>
      <c r="QO261" s="93"/>
      <c r="QP261" s="93"/>
      <c r="QQ261" s="93"/>
      <c r="QR261" s="93"/>
      <c r="QS261" s="93"/>
      <c r="QT261" s="93"/>
      <c r="QU261" s="93"/>
      <c r="QV261" s="93"/>
      <c r="QW261" s="93"/>
      <c r="QX261" s="93"/>
      <c r="QY261" s="93"/>
      <c r="QZ261" s="93"/>
      <c r="RA261" s="93"/>
      <c r="RB261" s="93"/>
      <c r="RC261" s="93"/>
      <c r="RD261" s="93"/>
      <c r="RE261" s="93"/>
      <c r="RF261" s="93"/>
      <c r="RG261" s="93"/>
      <c r="RH261" s="93"/>
      <c r="RI261" s="93"/>
      <c r="RJ261" s="93"/>
      <c r="RK261" s="93"/>
      <c r="RL261" s="93"/>
      <c r="RM261" s="93"/>
      <c r="RN261" s="93"/>
      <c r="RO261" s="93"/>
      <c r="RP261" s="93"/>
      <c r="RQ261" s="93"/>
      <c r="RR261" s="93"/>
      <c r="RS261" s="93"/>
      <c r="RT261" s="93"/>
      <c r="RU261" s="93"/>
      <c r="RV261" s="93"/>
      <c r="RW261" s="93"/>
      <c r="RX261" s="93"/>
      <c r="RY261" s="93"/>
    </row>
    <row r="262" spans="1:493" s="90" customFormat="1" ht="14.1" customHeight="1">
      <c r="A262" s="32"/>
      <c r="B262" s="1"/>
      <c r="C262" s="1"/>
      <c r="D262" s="1"/>
      <c r="E262" s="1"/>
      <c r="F262" s="1"/>
      <c r="G262" s="1"/>
      <c r="H262" s="1"/>
      <c r="I262" s="1"/>
      <c r="J262" s="1"/>
      <c r="K262" s="1"/>
      <c r="L262" s="1"/>
      <c r="M262" s="1"/>
      <c r="N262" s="1"/>
      <c r="O262" s="1"/>
      <c r="P262" s="1"/>
      <c r="X262" s="432"/>
      <c r="Y262" s="432"/>
      <c r="Z262" s="432"/>
      <c r="AA262" s="432"/>
      <c r="AB262" s="432"/>
      <c r="AC262" s="432"/>
      <c r="AD262" s="432"/>
      <c r="AE262" s="432"/>
      <c r="AF262" s="432"/>
      <c r="AG262" s="432"/>
      <c r="AH262" s="432"/>
      <c r="AI262" s="432"/>
      <c r="AJ262" s="432"/>
      <c r="AK262" s="432"/>
      <c r="AL262" s="432"/>
      <c r="AM262" s="432"/>
      <c r="AN262" s="432"/>
      <c r="AO262" s="432"/>
      <c r="AP262" s="432"/>
      <c r="AQ262" s="432"/>
      <c r="AR262" s="432"/>
      <c r="AS262" s="432"/>
      <c r="AT262" s="432"/>
      <c r="AU262" s="432"/>
      <c r="AV262" s="432"/>
      <c r="AW262" s="432"/>
      <c r="AX262" s="432"/>
      <c r="AY262" s="432"/>
      <c r="AZ262" s="432"/>
      <c r="BA262" s="432"/>
      <c r="BB262" s="432"/>
      <c r="BC262" s="432"/>
      <c r="BD262" s="432"/>
      <c r="BE262" s="432"/>
      <c r="BF262" s="432"/>
      <c r="BG262" s="432"/>
      <c r="BH262" s="432"/>
      <c r="BI262" s="432"/>
      <c r="BJ262" s="432"/>
      <c r="BK262" s="432"/>
      <c r="BL262" s="432"/>
      <c r="BM262" s="432"/>
      <c r="BN262" s="432"/>
      <c r="BO262" s="432"/>
      <c r="BP262" s="432"/>
      <c r="BQ262" s="432"/>
      <c r="BR262" s="432"/>
      <c r="BS262" s="432"/>
      <c r="BT262" s="432"/>
      <c r="BU262" s="432"/>
      <c r="BV262" s="432"/>
      <c r="BW262" s="432"/>
      <c r="BX262" s="432"/>
      <c r="BY262" s="432"/>
      <c r="BZ262" s="432"/>
      <c r="CA262" s="432"/>
      <c r="CB262" s="432"/>
      <c r="CC262" s="432"/>
      <c r="CD262" s="432"/>
      <c r="CE262" s="432"/>
      <c r="CF262" s="432"/>
      <c r="CG262" s="432"/>
      <c r="CH262" s="432"/>
      <c r="CI262" s="432"/>
      <c r="CJ262" s="432"/>
      <c r="CK262" s="432"/>
      <c r="CL262" s="432"/>
      <c r="CM262" s="432"/>
      <c r="CN262" s="432"/>
      <c r="CO262" s="432"/>
      <c r="CP262" s="432"/>
      <c r="CQ262" s="432"/>
      <c r="CR262" s="432"/>
      <c r="CS262" s="432"/>
      <c r="CT262" s="432"/>
      <c r="CU262" s="432"/>
      <c r="CV262" s="432"/>
      <c r="CW262" s="432"/>
      <c r="CX262" s="432"/>
      <c r="CY262" s="432"/>
      <c r="CZ262" s="432"/>
      <c r="DA262" s="432"/>
      <c r="DB262" s="432"/>
      <c r="DC262" s="432"/>
      <c r="DD262" s="432"/>
      <c r="DE262" s="432"/>
      <c r="DF262" s="432"/>
      <c r="DG262" s="432"/>
      <c r="DH262" s="432"/>
      <c r="DI262" s="432"/>
      <c r="DJ262" s="432"/>
      <c r="DK262" s="432"/>
      <c r="DL262" s="432"/>
      <c r="DM262" s="432"/>
      <c r="DN262" s="432"/>
      <c r="DO262" s="432"/>
      <c r="DP262" s="432"/>
      <c r="DQ262" s="432"/>
      <c r="DR262" s="432"/>
      <c r="DS262" s="432"/>
      <c r="DT262" s="432"/>
      <c r="DU262" s="432"/>
      <c r="DV262" s="432"/>
      <c r="DW262" s="432"/>
      <c r="DX262" s="432"/>
      <c r="DY262" s="432"/>
      <c r="DZ262" s="432"/>
      <c r="EA262" s="432"/>
      <c r="EB262" s="432"/>
      <c r="EC262" s="432"/>
      <c r="ED262" s="432"/>
      <c r="EE262" s="432"/>
      <c r="EF262" s="432"/>
      <c r="EG262" s="432"/>
      <c r="EH262" s="432"/>
      <c r="EI262" s="432"/>
      <c r="EJ262" s="432"/>
      <c r="EK262" s="432"/>
      <c r="EL262" s="432"/>
      <c r="EM262" s="432"/>
      <c r="EN262" s="432"/>
      <c r="EO262" s="432"/>
      <c r="EP262" s="432"/>
      <c r="EQ262" s="432"/>
      <c r="ER262" s="432"/>
      <c r="ES262" s="432"/>
      <c r="ET262" s="432"/>
      <c r="EU262" s="432"/>
      <c r="EV262" s="432"/>
      <c r="EW262" s="432"/>
      <c r="EX262" s="432"/>
      <c r="EY262" s="432"/>
      <c r="EZ262" s="432"/>
      <c r="FA262" s="432"/>
      <c r="FB262" s="432"/>
      <c r="FC262" s="432"/>
      <c r="FD262" s="432"/>
      <c r="FE262" s="432"/>
      <c r="FF262" s="432"/>
      <c r="FG262" s="432"/>
      <c r="FH262" s="432"/>
      <c r="FI262" s="432"/>
      <c r="FJ262" s="432"/>
      <c r="FK262" s="432"/>
      <c r="FL262" s="432"/>
      <c r="FM262" s="432"/>
      <c r="FN262" s="432"/>
      <c r="FO262" s="432"/>
      <c r="FP262" s="432"/>
      <c r="FQ262" s="432"/>
      <c r="FR262" s="432"/>
      <c r="FS262" s="432"/>
      <c r="FT262" s="432"/>
      <c r="FU262" s="432"/>
      <c r="FV262" s="432"/>
      <c r="FW262" s="432"/>
      <c r="FX262" s="432"/>
      <c r="FY262" s="432"/>
      <c r="FZ262" s="432"/>
      <c r="GA262" s="432"/>
      <c r="GB262" s="432"/>
      <c r="GC262" s="432"/>
      <c r="GD262" s="432"/>
      <c r="GE262" s="432"/>
      <c r="GF262" s="432"/>
      <c r="GG262" s="432"/>
      <c r="GH262" s="432"/>
      <c r="GI262" s="432"/>
      <c r="GJ262" s="432"/>
      <c r="GK262" s="432"/>
      <c r="GL262" s="432"/>
      <c r="GM262" s="432"/>
      <c r="GN262" s="432"/>
      <c r="GO262" s="432"/>
      <c r="GP262" s="432"/>
      <c r="GQ262" s="432"/>
      <c r="GR262" s="432"/>
      <c r="GS262" s="432"/>
      <c r="GT262" s="432"/>
      <c r="GU262" s="432"/>
      <c r="GV262" s="432"/>
      <c r="GW262" s="432"/>
      <c r="GX262" s="432"/>
      <c r="GY262" s="432"/>
      <c r="GZ262" s="432"/>
      <c r="HA262" s="432"/>
      <c r="HB262" s="432"/>
      <c r="HC262" s="432"/>
      <c r="HD262" s="432"/>
      <c r="HE262" s="432"/>
      <c r="HF262" s="432"/>
      <c r="HG262" s="432"/>
      <c r="HH262" s="432"/>
      <c r="HI262" s="432"/>
      <c r="HJ262" s="432"/>
      <c r="HK262" s="432"/>
      <c r="HL262" s="432"/>
      <c r="HM262" s="432"/>
      <c r="HN262" s="432"/>
      <c r="HO262" s="432"/>
      <c r="HP262" s="432"/>
      <c r="HQ262" s="432"/>
      <c r="HR262" s="432"/>
      <c r="HS262" s="432"/>
      <c r="HT262" s="432"/>
      <c r="HU262" s="432"/>
      <c r="HV262" s="432"/>
      <c r="HW262" s="432"/>
      <c r="HX262" s="432"/>
      <c r="HY262" s="432"/>
      <c r="HZ262" s="432"/>
      <c r="IA262" s="432"/>
      <c r="IB262" s="432"/>
      <c r="IC262" s="432"/>
      <c r="ID262" s="432"/>
      <c r="IE262" s="432"/>
      <c r="IF262" s="432"/>
      <c r="IG262" s="432"/>
      <c r="IH262" s="432"/>
      <c r="II262" s="432"/>
      <c r="IJ262" s="432"/>
      <c r="IK262" s="432"/>
      <c r="IL262" s="432"/>
      <c r="IM262" s="432"/>
      <c r="IN262" s="432"/>
      <c r="IO262" s="432"/>
      <c r="IP262" s="432"/>
      <c r="IQ262" s="432"/>
      <c r="IR262" s="432"/>
      <c r="IS262" s="432"/>
      <c r="IT262" s="432"/>
      <c r="IU262" s="432"/>
      <c r="IV262" s="432"/>
      <c r="IW262" s="432"/>
      <c r="IX262" s="432"/>
      <c r="IY262" s="432"/>
      <c r="IZ262" s="432"/>
      <c r="JA262" s="432"/>
      <c r="JB262" s="432"/>
      <c r="JC262" s="432"/>
      <c r="JD262" s="432"/>
      <c r="JE262" s="432"/>
      <c r="JF262" s="432"/>
      <c r="JG262" s="432"/>
      <c r="JH262" s="432"/>
      <c r="JI262" s="432"/>
      <c r="JJ262" s="432"/>
      <c r="JK262" s="432"/>
      <c r="JL262" s="432"/>
      <c r="JM262" s="432"/>
      <c r="JN262" s="432"/>
      <c r="JO262" s="432"/>
      <c r="JP262" s="432"/>
      <c r="JQ262" s="432"/>
      <c r="JR262" s="432"/>
      <c r="JS262" s="432"/>
      <c r="JT262" s="432"/>
      <c r="JU262" s="432"/>
      <c r="JV262" s="432"/>
      <c r="JW262" s="1810"/>
      <c r="JX262" s="432"/>
      <c r="JY262" s="432"/>
      <c r="JZ262" s="432"/>
      <c r="KA262" s="432"/>
      <c r="KB262" s="1810"/>
      <c r="KC262" s="432"/>
      <c r="KD262" s="432"/>
      <c r="KE262" s="432"/>
      <c r="KF262" s="432"/>
      <c r="KG262" s="1810"/>
      <c r="KH262" s="432"/>
      <c r="KI262" s="432"/>
      <c r="KJ262" s="432"/>
      <c r="KK262" s="432"/>
      <c r="KL262" s="1810"/>
      <c r="KM262" s="1810"/>
      <c r="KN262" s="1810"/>
      <c r="KO262" s="1810"/>
      <c r="KP262" s="1810"/>
      <c r="KQ262" s="1810"/>
      <c r="KR262" s="1810"/>
      <c r="KS262" s="1810"/>
      <c r="KT262" s="1810"/>
      <c r="KU262" s="1810"/>
      <c r="KV262" s="1810"/>
      <c r="KW262" s="1810"/>
      <c r="KX262" s="1810"/>
      <c r="KY262" s="1810"/>
      <c r="KZ262" s="1810"/>
      <c r="LA262" s="1810"/>
      <c r="LB262" s="1810"/>
      <c r="LC262" s="1810"/>
      <c r="LD262" s="1810"/>
      <c r="LE262" s="1810"/>
      <c r="LF262" s="1810"/>
      <c r="LG262" s="1810"/>
      <c r="LH262" s="432"/>
      <c r="LI262" s="432"/>
      <c r="LJ262" s="432"/>
      <c r="LK262" s="432"/>
      <c r="LL262" s="432"/>
      <c r="LM262" s="432"/>
      <c r="LN262" s="1811"/>
      <c r="LO262" s="432"/>
      <c r="LP262" s="432"/>
      <c r="LQ262" s="432"/>
      <c r="LR262" s="432"/>
      <c r="LS262" s="432"/>
      <c r="LT262" s="432"/>
      <c r="LU262" s="432"/>
      <c r="LV262" s="432"/>
      <c r="LW262" s="432"/>
      <c r="LX262" s="432"/>
      <c r="LY262" s="432"/>
      <c r="LZ262" s="432"/>
      <c r="MA262" s="432"/>
      <c r="MB262" s="432"/>
      <c r="MC262" s="432"/>
      <c r="MD262" s="1811"/>
      <c r="ME262" s="1811"/>
      <c r="MF262" s="432"/>
      <c r="MG262" s="432"/>
      <c r="MH262" s="432"/>
      <c r="MI262" s="432"/>
      <c r="MJ262" s="432"/>
      <c r="MK262" s="432"/>
      <c r="ML262" s="432"/>
      <c r="MM262" s="432"/>
      <c r="MN262" s="432"/>
      <c r="MO262" s="432"/>
      <c r="MP262" s="432"/>
      <c r="MQ262" s="432"/>
      <c r="MR262" s="432"/>
      <c r="MS262" s="432"/>
      <c r="MT262" s="432"/>
      <c r="MU262" s="432"/>
      <c r="MV262" s="93"/>
      <c r="MW262" s="93"/>
      <c r="MX262" s="93"/>
      <c r="MY262" s="93"/>
      <c r="MZ262" s="93"/>
      <c r="NA262" s="93"/>
      <c r="NB262" s="93"/>
      <c r="NC262" s="93"/>
      <c r="ND262" s="93"/>
      <c r="NE262" s="93"/>
      <c r="NF262" s="93"/>
      <c r="NG262" s="93"/>
      <c r="NH262" s="93"/>
      <c r="NI262" s="93"/>
      <c r="NJ262" s="93"/>
      <c r="NK262" s="93"/>
      <c r="NL262" s="93"/>
      <c r="NM262" s="93"/>
      <c r="NN262" s="93"/>
      <c r="NO262" s="93"/>
      <c r="NP262" s="2807"/>
      <c r="NQ262" s="93"/>
      <c r="NR262" s="93"/>
      <c r="NS262" s="93"/>
      <c r="NT262" s="93"/>
      <c r="NU262" s="93"/>
      <c r="NV262" s="93"/>
      <c r="NW262" s="93"/>
      <c r="NX262" s="93"/>
      <c r="NY262" s="93"/>
      <c r="NZ262" s="93"/>
      <c r="OA262" s="93"/>
      <c r="OB262" s="93"/>
      <c r="OC262" s="93"/>
      <c r="OD262" s="93"/>
      <c r="OE262" s="93"/>
      <c r="OF262" s="93"/>
      <c r="OG262" s="93"/>
      <c r="OH262" s="93"/>
      <c r="OI262" s="93"/>
      <c r="OJ262" s="93"/>
      <c r="OK262" s="93"/>
      <c r="OL262" s="93"/>
      <c r="OM262" s="93"/>
      <c r="ON262" s="93"/>
      <c r="OO262" s="93"/>
      <c r="OP262" s="93"/>
      <c r="OQ262" s="93"/>
      <c r="OR262" s="93"/>
      <c r="OS262" s="93"/>
      <c r="OT262" s="93"/>
      <c r="OU262" s="93"/>
      <c r="OV262" s="93"/>
      <c r="OW262" s="93"/>
      <c r="OX262" s="93"/>
      <c r="OY262" s="93"/>
      <c r="OZ262" s="93"/>
      <c r="PA262" s="93"/>
      <c r="PB262" s="93"/>
      <c r="PC262" s="93"/>
      <c r="PD262" s="93"/>
      <c r="PE262" s="93"/>
      <c r="PF262" s="93"/>
      <c r="PG262" s="93"/>
      <c r="PH262" s="93"/>
      <c r="PI262" s="93"/>
      <c r="PJ262" s="93"/>
      <c r="PK262" s="93"/>
      <c r="PL262" s="93"/>
      <c r="PM262" s="93"/>
      <c r="PN262" s="93"/>
      <c r="PO262" s="93"/>
      <c r="PP262" s="93"/>
      <c r="PQ262" s="93"/>
      <c r="PR262" s="93"/>
      <c r="PS262" s="93"/>
      <c r="PT262" s="93"/>
      <c r="PU262" s="93"/>
      <c r="PV262" s="93"/>
      <c r="PW262" s="93"/>
      <c r="PX262" s="93"/>
      <c r="PY262" s="93"/>
      <c r="PZ262" s="93"/>
      <c r="QA262" s="93"/>
      <c r="QB262" s="93"/>
      <c r="QC262" s="93"/>
      <c r="QD262" s="93"/>
      <c r="QE262" s="93"/>
      <c r="QF262" s="93"/>
      <c r="QG262" s="93"/>
      <c r="QH262" s="93"/>
      <c r="QI262" s="93"/>
      <c r="QJ262" s="93"/>
      <c r="QK262" s="93"/>
      <c r="QL262" s="93"/>
      <c r="QM262" s="93"/>
      <c r="QN262" s="93"/>
      <c r="QO262" s="93"/>
      <c r="QP262" s="93"/>
      <c r="QQ262" s="93"/>
      <c r="QR262" s="93"/>
      <c r="QS262" s="93"/>
      <c r="QT262" s="93"/>
      <c r="QU262" s="93"/>
      <c r="QV262" s="93"/>
      <c r="QW262" s="93"/>
      <c r="QX262" s="93"/>
      <c r="QY262" s="93"/>
      <c r="QZ262" s="93"/>
      <c r="RA262" s="93"/>
      <c r="RB262" s="93"/>
      <c r="RC262" s="93"/>
      <c r="RD262" s="93"/>
      <c r="RE262" s="93"/>
      <c r="RF262" s="93"/>
      <c r="RG262" s="93"/>
      <c r="RH262" s="93"/>
      <c r="RI262" s="93"/>
      <c r="RJ262" s="93"/>
      <c r="RK262" s="93"/>
      <c r="RL262" s="93"/>
      <c r="RM262" s="93"/>
      <c r="RN262" s="93"/>
      <c r="RO262" s="93"/>
      <c r="RP262" s="93"/>
      <c r="RQ262" s="93"/>
      <c r="RR262" s="93"/>
      <c r="RS262" s="93"/>
      <c r="RT262" s="93"/>
      <c r="RU262" s="93"/>
      <c r="RV262" s="93"/>
      <c r="RW262" s="93"/>
      <c r="RX262" s="93"/>
      <c r="RY262" s="93"/>
    </row>
    <row r="263" spans="1:493" s="90" customFormat="1" ht="14.1" customHeight="1">
      <c r="A263" s="2648"/>
      <c r="B263" s="1"/>
      <c r="C263" s="1"/>
      <c r="D263" s="1"/>
      <c r="E263" s="1"/>
      <c r="F263" s="1"/>
      <c r="G263" s="1"/>
      <c r="H263" s="1"/>
      <c r="I263" s="1"/>
      <c r="J263" s="1"/>
      <c r="K263" s="1"/>
      <c r="L263" s="1"/>
      <c r="M263" s="1"/>
      <c r="N263" s="1"/>
      <c r="O263" s="1"/>
      <c r="P263" s="1"/>
      <c r="X263" s="432"/>
      <c r="Y263" s="432"/>
      <c r="Z263" s="432"/>
      <c r="AA263" s="432"/>
      <c r="AB263" s="432"/>
      <c r="AC263" s="432"/>
      <c r="AD263" s="432"/>
      <c r="AE263" s="432"/>
      <c r="AF263" s="432"/>
      <c r="AG263" s="432"/>
      <c r="AH263" s="432"/>
      <c r="AI263" s="432"/>
      <c r="AJ263" s="432"/>
      <c r="AK263" s="432"/>
      <c r="AL263" s="432"/>
      <c r="AM263" s="432"/>
      <c r="AN263" s="432"/>
      <c r="AO263" s="432"/>
      <c r="AP263" s="432"/>
      <c r="AQ263" s="432"/>
      <c r="AR263" s="432"/>
      <c r="AS263" s="432"/>
      <c r="AT263" s="432"/>
      <c r="AU263" s="432"/>
      <c r="AV263" s="432"/>
      <c r="AW263" s="432"/>
      <c r="AX263" s="432"/>
      <c r="AY263" s="432"/>
      <c r="AZ263" s="432"/>
      <c r="BA263" s="432"/>
      <c r="BB263" s="432"/>
      <c r="BC263" s="432"/>
      <c r="BD263" s="432"/>
      <c r="BE263" s="432"/>
      <c r="BF263" s="432"/>
      <c r="BG263" s="432"/>
      <c r="BH263" s="432"/>
      <c r="BI263" s="432"/>
      <c r="BJ263" s="432"/>
      <c r="BK263" s="432"/>
      <c r="BL263" s="432"/>
      <c r="BM263" s="432"/>
      <c r="BN263" s="432"/>
      <c r="BO263" s="432"/>
      <c r="BP263" s="432"/>
      <c r="BQ263" s="432"/>
      <c r="BR263" s="432"/>
      <c r="BS263" s="432"/>
      <c r="BT263" s="432"/>
      <c r="BU263" s="432"/>
      <c r="BV263" s="432"/>
      <c r="BW263" s="432"/>
      <c r="BX263" s="432"/>
      <c r="BY263" s="432"/>
      <c r="BZ263" s="432"/>
      <c r="CA263" s="432"/>
      <c r="CB263" s="432"/>
      <c r="CC263" s="432"/>
      <c r="CD263" s="432"/>
      <c r="CE263" s="432"/>
      <c r="CF263" s="432"/>
      <c r="CG263" s="432"/>
      <c r="CH263" s="432"/>
      <c r="CI263" s="432"/>
      <c r="CJ263" s="432"/>
      <c r="CK263" s="432"/>
      <c r="CL263" s="432"/>
      <c r="CM263" s="432"/>
      <c r="CN263" s="432"/>
      <c r="CO263" s="432"/>
      <c r="CP263" s="432"/>
      <c r="CQ263" s="432"/>
      <c r="CR263" s="432"/>
      <c r="CS263" s="432"/>
      <c r="CT263" s="432"/>
      <c r="CU263" s="432"/>
      <c r="CV263" s="432"/>
      <c r="CW263" s="432"/>
      <c r="CX263" s="432"/>
      <c r="CY263" s="432"/>
      <c r="CZ263" s="432"/>
      <c r="DA263" s="432"/>
      <c r="DB263" s="432"/>
      <c r="DC263" s="432"/>
      <c r="DD263" s="432"/>
      <c r="DE263" s="432"/>
      <c r="DF263" s="432"/>
      <c r="DG263" s="432"/>
      <c r="DH263" s="432"/>
      <c r="DI263" s="432"/>
      <c r="DJ263" s="432"/>
      <c r="DK263" s="432"/>
      <c r="DL263" s="432"/>
      <c r="DM263" s="432"/>
      <c r="DN263" s="432"/>
      <c r="DO263" s="432"/>
      <c r="DP263" s="432"/>
      <c r="DQ263" s="432"/>
      <c r="DR263" s="432"/>
      <c r="DS263" s="432"/>
      <c r="DT263" s="432"/>
      <c r="DU263" s="432"/>
      <c r="DV263" s="432"/>
      <c r="DW263" s="432"/>
      <c r="DX263" s="432"/>
      <c r="DY263" s="432"/>
      <c r="DZ263" s="432"/>
      <c r="EA263" s="432"/>
      <c r="EB263" s="432"/>
      <c r="EC263" s="432"/>
      <c r="ED263" s="432"/>
      <c r="EE263" s="432"/>
      <c r="EF263" s="432"/>
      <c r="EG263" s="432"/>
      <c r="EH263" s="432"/>
      <c r="EI263" s="432"/>
      <c r="EJ263" s="432"/>
      <c r="EK263" s="432"/>
      <c r="EL263" s="432"/>
      <c r="EM263" s="432"/>
      <c r="EN263" s="432"/>
      <c r="EO263" s="432"/>
      <c r="EP263" s="432"/>
      <c r="EQ263" s="432"/>
      <c r="ER263" s="432"/>
      <c r="ES263" s="432"/>
      <c r="ET263" s="432"/>
      <c r="EU263" s="432"/>
      <c r="EV263" s="432"/>
      <c r="EW263" s="432"/>
      <c r="EX263" s="432"/>
      <c r="EY263" s="432"/>
      <c r="EZ263" s="432"/>
      <c r="FA263" s="432"/>
      <c r="FB263" s="432"/>
      <c r="FC263" s="432"/>
      <c r="FD263" s="432"/>
      <c r="FE263" s="432"/>
      <c r="FF263" s="432"/>
      <c r="FG263" s="432"/>
      <c r="FH263" s="432"/>
      <c r="FI263" s="432"/>
      <c r="FJ263" s="432"/>
      <c r="FK263" s="432"/>
      <c r="FL263" s="432"/>
      <c r="FM263" s="432"/>
      <c r="FN263" s="432"/>
      <c r="FO263" s="432"/>
      <c r="FP263" s="432"/>
      <c r="FQ263" s="432"/>
      <c r="FR263" s="432"/>
      <c r="FS263" s="432"/>
      <c r="FT263" s="432"/>
      <c r="FU263" s="432"/>
      <c r="FV263" s="432"/>
      <c r="FW263" s="432"/>
      <c r="FX263" s="432"/>
      <c r="FY263" s="432"/>
      <c r="FZ263" s="432"/>
      <c r="GA263" s="432"/>
      <c r="GB263" s="432"/>
      <c r="GC263" s="432"/>
      <c r="GD263" s="432"/>
      <c r="GE263" s="432"/>
      <c r="GF263" s="432"/>
      <c r="GG263" s="432"/>
      <c r="GH263" s="432"/>
      <c r="GI263" s="432"/>
      <c r="GJ263" s="432"/>
      <c r="GK263" s="432"/>
      <c r="GL263" s="432"/>
      <c r="GM263" s="432"/>
      <c r="GN263" s="432"/>
      <c r="GO263" s="432"/>
      <c r="GP263" s="432"/>
      <c r="GQ263" s="432"/>
      <c r="GR263" s="432"/>
      <c r="GS263" s="432"/>
      <c r="GT263" s="432"/>
      <c r="GU263" s="432"/>
      <c r="GV263" s="432"/>
      <c r="GW263" s="432"/>
      <c r="GX263" s="432"/>
      <c r="GY263" s="432"/>
      <c r="GZ263" s="432"/>
      <c r="HA263" s="432"/>
      <c r="HB263" s="432"/>
      <c r="HC263" s="432"/>
      <c r="HD263" s="432"/>
      <c r="HE263" s="432"/>
      <c r="HF263" s="432"/>
      <c r="HG263" s="432"/>
      <c r="HH263" s="432"/>
      <c r="HI263" s="432"/>
      <c r="HJ263" s="432"/>
      <c r="HK263" s="432"/>
      <c r="HL263" s="432"/>
      <c r="HM263" s="432"/>
      <c r="HN263" s="432"/>
      <c r="HO263" s="432"/>
      <c r="HP263" s="432"/>
      <c r="HQ263" s="432"/>
      <c r="HR263" s="432"/>
      <c r="HS263" s="432"/>
      <c r="HT263" s="432"/>
      <c r="HU263" s="432"/>
      <c r="HV263" s="432"/>
      <c r="HW263" s="432"/>
      <c r="HX263" s="432"/>
      <c r="HY263" s="432"/>
      <c r="HZ263" s="432"/>
      <c r="IA263" s="432"/>
      <c r="IB263" s="432"/>
      <c r="IC263" s="432"/>
      <c r="ID263" s="432"/>
      <c r="IE263" s="432"/>
      <c r="IF263" s="432"/>
      <c r="IG263" s="432"/>
      <c r="IH263" s="432"/>
      <c r="II263" s="432"/>
      <c r="IJ263" s="432"/>
      <c r="IK263" s="432"/>
      <c r="IL263" s="432"/>
      <c r="IM263" s="432"/>
      <c r="IN263" s="432"/>
      <c r="IO263" s="432"/>
      <c r="IP263" s="432"/>
      <c r="IQ263" s="432"/>
      <c r="IR263" s="432"/>
      <c r="IS263" s="432"/>
      <c r="IT263" s="432"/>
      <c r="IU263" s="432"/>
      <c r="IV263" s="432"/>
      <c r="IW263" s="432"/>
      <c r="IX263" s="432"/>
      <c r="IY263" s="432"/>
      <c r="IZ263" s="432"/>
      <c r="JA263" s="432"/>
      <c r="JB263" s="432"/>
      <c r="JC263" s="432"/>
      <c r="JD263" s="432"/>
      <c r="JE263" s="432"/>
      <c r="JF263" s="432"/>
      <c r="JG263" s="432"/>
      <c r="JH263" s="432"/>
      <c r="JI263" s="432"/>
      <c r="JJ263" s="432"/>
      <c r="JK263" s="432"/>
      <c r="JL263" s="432"/>
      <c r="JM263" s="432"/>
      <c r="JN263" s="432"/>
      <c r="JO263" s="432"/>
      <c r="JP263" s="432"/>
      <c r="JQ263" s="432"/>
      <c r="JR263" s="432"/>
      <c r="JS263" s="432"/>
      <c r="JT263" s="432"/>
      <c r="JU263" s="432"/>
      <c r="JV263" s="432"/>
      <c r="JW263" s="1810"/>
      <c r="JX263" s="432"/>
      <c r="JY263" s="432"/>
      <c r="JZ263" s="432"/>
      <c r="KA263" s="432"/>
      <c r="KB263" s="1810"/>
      <c r="KC263" s="432"/>
      <c r="KD263" s="432"/>
      <c r="KE263" s="432"/>
      <c r="KF263" s="432"/>
      <c r="KG263" s="1810"/>
      <c r="KH263" s="432"/>
      <c r="KI263" s="432"/>
      <c r="KJ263" s="432"/>
      <c r="KK263" s="432"/>
      <c r="KL263" s="1810"/>
      <c r="KM263" s="1810"/>
      <c r="KN263" s="1810"/>
      <c r="KO263" s="1810"/>
      <c r="KP263" s="1810"/>
      <c r="KQ263" s="1810"/>
      <c r="KR263" s="1810"/>
      <c r="KS263" s="1810"/>
      <c r="KT263" s="1810"/>
      <c r="KU263" s="1810"/>
      <c r="KV263" s="1810"/>
      <c r="KW263" s="1810"/>
      <c r="KX263" s="1810"/>
      <c r="KY263" s="1810"/>
      <c r="KZ263" s="1810"/>
      <c r="LA263" s="1810"/>
      <c r="LB263" s="1810"/>
      <c r="LC263" s="1810"/>
      <c r="LD263" s="1810"/>
      <c r="LE263" s="1810"/>
      <c r="LF263" s="1810"/>
      <c r="LG263" s="1810"/>
      <c r="LH263" s="432"/>
      <c r="LI263" s="432"/>
      <c r="LJ263" s="432"/>
      <c r="LK263" s="432"/>
      <c r="LL263" s="432"/>
      <c r="LM263" s="432"/>
      <c r="LN263" s="1811"/>
      <c r="LO263" s="432"/>
      <c r="LP263" s="432"/>
      <c r="LQ263" s="432"/>
      <c r="LR263" s="432"/>
      <c r="LS263" s="432"/>
      <c r="LT263" s="432"/>
      <c r="LU263" s="432"/>
      <c r="LV263" s="432"/>
      <c r="LW263" s="432"/>
      <c r="LX263" s="432"/>
      <c r="LY263" s="432"/>
      <c r="LZ263" s="432"/>
      <c r="MA263" s="432"/>
      <c r="MB263" s="432"/>
      <c r="MC263" s="432"/>
      <c r="MD263" s="1811"/>
      <c r="ME263" s="1811"/>
      <c r="MF263" s="432"/>
      <c r="MG263" s="432"/>
      <c r="MH263" s="432"/>
      <c r="MI263" s="432"/>
      <c r="MJ263" s="432"/>
      <c r="MK263" s="432"/>
      <c r="ML263" s="432"/>
      <c r="MM263" s="432"/>
      <c r="MN263" s="432"/>
      <c r="MO263" s="432"/>
      <c r="MP263" s="432"/>
      <c r="MQ263" s="432"/>
      <c r="MR263" s="432"/>
      <c r="MS263" s="432"/>
      <c r="MT263" s="432"/>
      <c r="MU263" s="432"/>
      <c r="MV263" s="93"/>
      <c r="MW263" s="93"/>
      <c r="MX263" s="93"/>
      <c r="MY263" s="93"/>
      <c r="MZ263" s="93"/>
      <c r="NA263" s="93"/>
      <c r="NB263" s="93"/>
      <c r="NC263" s="93"/>
      <c r="ND263" s="93"/>
      <c r="NE263" s="93"/>
      <c r="NF263" s="93"/>
      <c r="NG263" s="93"/>
      <c r="NH263" s="93"/>
      <c r="NI263" s="93"/>
      <c r="NJ263" s="93"/>
      <c r="NK263" s="93"/>
      <c r="NL263" s="93"/>
      <c r="NM263" s="93"/>
      <c r="NN263" s="93"/>
      <c r="NO263" s="93"/>
      <c r="NP263" s="2807"/>
      <c r="NQ263" s="93"/>
      <c r="NR263" s="93"/>
      <c r="NS263" s="93"/>
      <c r="NT263" s="93"/>
      <c r="NU263" s="93"/>
      <c r="NV263" s="93"/>
      <c r="NW263" s="93"/>
      <c r="NX263" s="93"/>
      <c r="NY263" s="93"/>
      <c r="NZ263" s="93"/>
      <c r="OA263" s="93"/>
      <c r="OB263" s="93"/>
      <c r="OC263" s="93"/>
      <c r="OD263" s="93"/>
      <c r="OE263" s="93"/>
      <c r="OF263" s="93"/>
      <c r="OG263" s="93"/>
      <c r="OH263" s="93"/>
      <c r="OI263" s="93"/>
      <c r="OJ263" s="93"/>
      <c r="OK263" s="93"/>
      <c r="OL263" s="93"/>
      <c r="OM263" s="93"/>
      <c r="ON263" s="93"/>
      <c r="OO263" s="93"/>
      <c r="OP263" s="93"/>
      <c r="OQ263" s="93"/>
      <c r="OR263" s="93"/>
      <c r="OS263" s="93"/>
      <c r="OT263" s="93"/>
      <c r="OU263" s="93"/>
      <c r="OV263" s="93"/>
      <c r="OW263" s="93"/>
      <c r="OX263" s="93"/>
      <c r="OY263" s="93"/>
      <c r="OZ263" s="93"/>
      <c r="PA263" s="93"/>
      <c r="PB263" s="93"/>
      <c r="PC263" s="93"/>
      <c r="PD263" s="93"/>
      <c r="PE263" s="93"/>
      <c r="PF263" s="93"/>
      <c r="PG263" s="93"/>
      <c r="PH263" s="93"/>
      <c r="PI263" s="93"/>
      <c r="PJ263" s="93"/>
      <c r="PK263" s="93"/>
      <c r="PL263" s="93"/>
      <c r="PM263" s="93"/>
      <c r="PN263" s="93"/>
      <c r="PO263" s="93"/>
      <c r="PP263" s="93"/>
      <c r="PQ263" s="93"/>
      <c r="PR263" s="93"/>
      <c r="PS263" s="93"/>
      <c r="PT263" s="93"/>
      <c r="PU263" s="93"/>
      <c r="PV263" s="93"/>
      <c r="PW263" s="93"/>
      <c r="PX263" s="93"/>
      <c r="PY263" s="93"/>
      <c r="PZ263" s="93"/>
      <c r="QA263" s="93"/>
      <c r="QB263" s="93"/>
      <c r="QC263" s="93"/>
      <c r="QD263" s="93"/>
      <c r="QE263" s="93"/>
      <c r="QF263" s="93"/>
      <c r="QG263" s="93"/>
      <c r="QH263" s="93"/>
      <c r="QI263" s="93"/>
      <c r="QJ263" s="93"/>
      <c r="QK263" s="93"/>
      <c r="QL263" s="93"/>
      <c r="QM263" s="93"/>
      <c r="QN263" s="93"/>
      <c r="QO263" s="93"/>
      <c r="QP263" s="93"/>
      <c r="QQ263" s="93"/>
      <c r="QR263" s="93"/>
      <c r="QS263" s="93"/>
      <c r="QT263" s="93"/>
      <c r="QU263" s="93"/>
      <c r="QV263" s="93"/>
      <c r="QW263" s="93"/>
      <c r="QX263" s="93"/>
      <c r="QY263" s="93"/>
      <c r="QZ263" s="93"/>
      <c r="RA263" s="93"/>
      <c r="RB263" s="93"/>
      <c r="RC263" s="93"/>
      <c r="RD263" s="93"/>
      <c r="RE263" s="93"/>
      <c r="RF263" s="93"/>
      <c r="RG263" s="93"/>
      <c r="RH263" s="93"/>
      <c r="RI263" s="93"/>
      <c r="RJ263" s="93"/>
      <c r="RK263" s="93"/>
      <c r="RL263" s="93"/>
      <c r="RM263" s="93"/>
      <c r="RN263" s="93"/>
      <c r="RO263" s="93"/>
      <c r="RP263" s="93"/>
      <c r="RQ263" s="93"/>
      <c r="RR263" s="93"/>
      <c r="RS263" s="93"/>
      <c r="RT263" s="93"/>
      <c r="RU263" s="93"/>
      <c r="RV263" s="93"/>
      <c r="RW263" s="93"/>
      <c r="RX263" s="93"/>
      <c r="RY263" s="93"/>
    </row>
    <row r="264" spans="1:493" s="90" customFormat="1" ht="14.1" customHeight="1">
      <c r="A264" s="1"/>
      <c r="B264" s="1"/>
      <c r="C264" s="1"/>
      <c r="D264" s="1"/>
      <c r="E264" s="1"/>
      <c r="F264" s="1"/>
      <c r="G264" s="1"/>
      <c r="H264" s="1"/>
      <c r="I264" s="1"/>
      <c r="J264" s="1"/>
      <c r="K264" s="1"/>
      <c r="L264" s="1"/>
      <c r="M264" s="1"/>
      <c r="N264" s="1"/>
      <c r="O264" s="1"/>
      <c r="P264" s="1"/>
      <c r="X264" s="432"/>
      <c r="Y264" s="432"/>
      <c r="Z264" s="432"/>
      <c r="AA264" s="432"/>
      <c r="AB264" s="432"/>
      <c r="AC264" s="432"/>
      <c r="AD264" s="432"/>
      <c r="AE264" s="432"/>
      <c r="AF264" s="432"/>
      <c r="AG264" s="432"/>
      <c r="AH264" s="432"/>
      <c r="AI264" s="432"/>
      <c r="AJ264" s="432"/>
      <c r="AK264" s="432"/>
      <c r="AL264" s="432"/>
      <c r="AM264" s="432"/>
      <c r="AN264" s="432"/>
      <c r="AO264" s="432"/>
      <c r="AP264" s="432"/>
      <c r="AQ264" s="432"/>
      <c r="AR264" s="432"/>
      <c r="AS264" s="432"/>
      <c r="AT264" s="432"/>
      <c r="AU264" s="432"/>
      <c r="AV264" s="432"/>
      <c r="AW264" s="432"/>
      <c r="AX264" s="432"/>
      <c r="AY264" s="432"/>
      <c r="AZ264" s="432"/>
      <c r="BA264" s="432"/>
      <c r="BB264" s="432"/>
      <c r="BC264" s="432"/>
      <c r="BD264" s="432"/>
      <c r="BE264" s="432"/>
      <c r="BF264" s="432"/>
      <c r="BG264" s="432"/>
      <c r="BH264" s="432"/>
      <c r="BI264" s="432"/>
      <c r="BJ264" s="432"/>
      <c r="BK264" s="432"/>
      <c r="BL264" s="432"/>
      <c r="BM264" s="432"/>
      <c r="BN264" s="432"/>
      <c r="BO264" s="432"/>
      <c r="BP264" s="432"/>
      <c r="BQ264" s="432"/>
      <c r="BR264" s="432"/>
      <c r="BS264" s="432"/>
      <c r="BT264" s="432"/>
      <c r="BU264" s="432"/>
      <c r="BV264" s="432"/>
      <c r="BW264" s="432"/>
      <c r="BX264" s="432"/>
      <c r="BY264" s="432"/>
      <c r="BZ264" s="432"/>
      <c r="CA264" s="432"/>
      <c r="CB264" s="432"/>
      <c r="CC264" s="432"/>
      <c r="CD264" s="432"/>
      <c r="CE264" s="432"/>
      <c r="CF264" s="432"/>
      <c r="CG264" s="432"/>
      <c r="CH264" s="432"/>
      <c r="CI264" s="432"/>
      <c r="CJ264" s="432"/>
      <c r="CK264" s="432"/>
      <c r="CL264" s="432"/>
      <c r="CM264" s="432"/>
      <c r="CN264" s="432"/>
      <c r="CO264" s="432"/>
      <c r="CP264" s="432"/>
      <c r="CQ264" s="432"/>
      <c r="CR264" s="432"/>
      <c r="CS264" s="432"/>
      <c r="CT264" s="432"/>
      <c r="CU264" s="432"/>
      <c r="CV264" s="432"/>
      <c r="CW264" s="432"/>
      <c r="CX264" s="432"/>
      <c r="CY264" s="432"/>
      <c r="CZ264" s="432"/>
      <c r="DA264" s="432"/>
      <c r="DB264" s="432"/>
      <c r="DC264" s="432"/>
      <c r="DD264" s="432"/>
      <c r="DE264" s="432"/>
      <c r="DF264" s="432"/>
      <c r="DG264" s="432"/>
      <c r="DH264" s="432"/>
      <c r="DI264" s="432"/>
      <c r="DJ264" s="432"/>
      <c r="DK264" s="432"/>
      <c r="DL264" s="432"/>
      <c r="DM264" s="432"/>
      <c r="DN264" s="432"/>
      <c r="DO264" s="432"/>
      <c r="DP264" s="432"/>
      <c r="DQ264" s="432"/>
      <c r="DR264" s="432"/>
      <c r="DS264" s="432"/>
      <c r="DT264" s="432"/>
      <c r="DU264" s="432"/>
      <c r="DV264" s="432"/>
      <c r="DW264" s="432"/>
      <c r="DX264" s="432"/>
      <c r="DY264" s="432"/>
      <c r="DZ264" s="432"/>
      <c r="EA264" s="432"/>
      <c r="EB264" s="432"/>
      <c r="EC264" s="432"/>
      <c r="ED264" s="432"/>
      <c r="EE264" s="432"/>
      <c r="EF264" s="432"/>
      <c r="EG264" s="432"/>
      <c r="EH264" s="432"/>
      <c r="EI264" s="432"/>
      <c r="EJ264" s="432"/>
      <c r="EK264" s="432"/>
      <c r="EL264" s="432"/>
      <c r="EM264" s="432"/>
      <c r="EN264" s="432"/>
      <c r="EO264" s="432"/>
      <c r="EP264" s="432"/>
      <c r="EQ264" s="432"/>
      <c r="ER264" s="432"/>
      <c r="ES264" s="432"/>
      <c r="ET264" s="432"/>
      <c r="EU264" s="432"/>
      <c r="EV264" s="432"/>
      <c r="EW264" s="432"/>
      <c r="EX264" s="432"/>
      <c r="EY264" s="432"/>
      <c r="EZ264" s="432"/>
      <c r="FA264" s="432"/>
      <c r="FB264" s="432"/>
      <c r="FC264" s="432"/>
      <c r="FD264" s="432"/>
      <c r="FE264" s="432"/>
      <c r="FF264" s="432"/>
      <c r="FG264" s="432"/>
      <c r="FH264" s="432"/>
      <c r="FI264" s="432"/>
      <c r="FJ264" s="432"/>
      <c r="FK264" s="432"/>
      <c r="FL264" s="432"/>
      <c r="FM264" s="432"/>
      <c r="FN264" s="432"/>
      <c r="FO264" s="432"/>
      <c r="FP264" s="432"/>
      <c r="FQ264" s="432"/>
      <c r="FR264" s="432"/>
      <c r="FS264" s="432"/>
      <c r="FT264" s="432"/>
      <c r="FU264" s="432"/>
      <c r="FV264" s="432"/>
      <c r="FW264" s="432"/>
      <c r="FX264" s="432"/>
      <c r="FY264" s="432"/>
      <c r="FZ264" s="432"/>
      <c r="GA264" s="432"/>
      <c r="GB264" s="432"/>
      <c r="GC264" s="432"/>
      <c r="GD264" s="432"/>
      <c r="GE264" s="432"/>
      <c r="GF264" s="432"/>
      <c r="GG264" s="432"/>
      <c r="GH264" s="432"/>
      <c r="GI264" s="432"/>
      <c r="GJ264" s="432"/>
      <c r="GK264" s="432"/>
      <c r="GL264" s="432"/>
      <c r="GM264" s="432"/>
      <c r="GN264" s="432"/>
      <c r="GO264" s="432"/>
      <c r="GP264" s="432"/>
      <c r="GQ264" s="432"/>
      <c r="GR264" s="432"/>
      <c r="GS264" s="432"/>
      <c r="GT264" s="432"/>
      <c r="GU264" s="432"/>
      <c r="GV264" s="432"/>
      <c r="GW264" s="432"/>
      <c r="GX264" s="432"/>
      <c r="GY264" s="432"/>
      <c r="GZ264" s="432"/>
      <c r="HA264" s="432"/>
      <c r="HB264" s="432"/>
      <c r="HC264" s="432"/>
      <c r="HD264" s="432"/>
      <c r="HE264" s="432"/>
      <c r="HF264" s="432"/>
      <c r="HG264" s="432"/>
      <c r="HH264" s="432"/>
      <c r="HI264" s="432"/>
      <c r="HJ264" s="432"/>
      <c r="HK264" s="432"/>
      <c r="HL264" s="432"/>
      <c r="HM264" s="432"/>
      <c r="HN264" s="432"/>
      <c r="HO264" s="432"/>
      <c r="HP264" s="432"/>
      <c r="HQ264" s="432"/>
      <c r="HR264" s="432"/>
      <c r="HS264" s="432"/>
      <c r="HT264" s="432"/>
      <c r="HU264" s="432"/>
      <c r="HV264" s="432"/>
      <c r="HW264" s="432"/>
      <c r="HX264" s="432"/>
      <c r="HY264" s="432"/>
      <c r="HZ264" s="432"/>
      <c r="IA264" s="432"/>
      <c r="IB264" s="432"/>
      <c r="IC264" s="432"/>
      <c r="ID264" s="432"/>
      <c r="IE264" s="432"/>
      <c r="IF264" s="432"/>
      <c r="IG264" s="432"/>
      <c r="IH264" s="432"/>
      <c r="II264" s="432"/>
      <c r="IJ264" s="432"/>
      <c r="IK264" s="432"/>
      <c r="IL264" s="432"/>
      <c r="IM264" s="432"/>
      <c r="IN264" s="432"/>
      <c r="IO264" s="432"/>
      <c r="IP264" s="432"/>
      <c r="IQ264" s="432"/>
      <c r="IR264" s="432"/>
      <c r="IS264" s="432"/>
      <c r="IT264" s="432"/>
      <c r="IU264" s="432"/>
      <c r="IV264" s="432"/>
      <c r="IW264" s="432"/>
      <c r="IX264" s="432"/>
      <c r="IY264" s="432"/>
      <c r="IZ264" s="432"/>
      <c r="JA264" s="432"/>
      <c r="JB264" s="432"/>
      <c r="JC264" s="432"/>
      <c r="JD264" s="432"/>
      <c r="JE264" s="432"/>
      <c r="JF264" s="432"/>
      <c r="JG264" s="432"/>
      <c r="JH264" s="432"/>
      <c r="JI264" s="432"/>
      <c r="JJ264" s="432"/>
      <c r="JK264" s="432"/>
      <c r="JL264" s="432"/>
      <c r="JM264" s="432"/>
      <c r="JN264" s="432"/>
      <c r="JO264" s="432"/>
      <c r="JP264" s="432"/>
      <c r="JQ264" s="432"/>
      <c r="JR264" s="432"/>
      <c r="JS264" s="432"/>
      <c r="JT264" s="432"/>
      <c r="JU264" s="432"/>
      <c r="JV264" s="432"/>
      <c r="JW264" s="1810"/>
      <c r="JX264" s="432"/>
      <c r="JY264" s="432"/>
      <c r="JZ264" s="432"/>
      <c r="KA264" s="432"/>
      <c r="KB264" s="1810"/>
      <c r="KC264" s="432"/>
      <c r="KD264" s="432"/>
      <c r="KE264" s="432"/>
      <c r="KF264" s="432"/>
      <c r="KG264" s="1810"/>
      <c r="KH264" s="432"/>
      <c r="KI264" s="432"/>
      <c r="KJ264" s="432"/>
      <c r="KK264" s="432"/>
      <c r="KL264" s="1810"/>
      <c r="KM264" s="1810"/>
      <c r="KN264" s="1810"/>
      <c r="KO264" s="1810"/>
      <c r="KP264" s="1810"/>
      <c r="KQ264" s="1810"/>
      <c r="KR264" s="1810"/>
      <c r="KS264" s="1810"/>
      <c r="KT264" s="1810"/>
      <c r="KU264" s="1810"/>
      <c r="KV264" s="1810"/>
      <c r="KW264" s="1810"/>
      <c r="KX264" s="1810"/>
      <c r="KY264" s="1810"/>
      <c r="KZ264" s="1810"/>
      <c r="LA264" s="1810"/>
      <c r="LB264" s="1810"/>
      <c r="LC264" s="1810"/>
      <c r="LD264" s="1810"/>
      <c r="LE264" s="1810"/>
      <c r="LF264" s="1810"/>
      <c r="LG264" s="1810"/>
      <c r="LH264" s="432"/>
      <c r="LI264" s="432"/>
      <c r="LJ264" s="432"/>
      <c r="LK264" s="432"/>
      <c r="LL264" s="432"/>
      <c r="LM264" s="432"/>
      <c r="LN264" s="1811"/>
      <c r="LO264" s="432"/>
      <c r="LP264" s="432"/>
      <c r="LQ264" s="432"/>
      <c r="LR264" s="432"/>
      <c r="LS264" s="432"/>
      <c r="LT264" s="432"/>
      <c r="LU264" s="432"/>
      <c r="LV264" s="432"/>
      <c r="LW264" s="432"/>
      <c r="LX264" s="432"/>
      <c r="LY264" s="432"/>
      <c r="LZ264" s="432"/>
      <c r="MA264" s="432"/>
      <c r="MB264" s="432"/>
      <c r="MC264" s="432"/>
      <c r="MD264" s="1811"/>
      <c r="ME264" s="1811"/>
      <c r="MF264" s="432"/>
      <c r="MG264" s="432"/>
      <c r="MH264" s="432"/>
      <c r="MI264" s="432"/>
      <c r="MJ264" s="432"/>
      <c r="MK264" s="432"/>
      <c r="ML264" s="432"/>
      <c r="MM264" s="432"/>
      <c r="MN264" s="432"/>
      <c r="MO264" s="432"/>
      <c r="MP264" s="432"/>
      <c r="MQ264" s="432"/>
      <c r="MR264" s="432"/>
      <c r="MS264" s="432"/>
      <c r="MT264" s="432"/>
      <c r="MU264" s="432"/>
      <c r="MV264" s="93"/>
      <c r="MW264" s="93"/>
      <c r="MX264" s="93"/>
      <c r="MY264" s="93"/>
      <c r="MZ264" s="93"/>
      <c r="NA264" s="93"/>
      <c r="NB264" s="93"/>
      <c r="NC264" s="93"/>
      <c r="ND264" s="93"/>
      <c r="NE264" s="93"/>
      <c r="NF264" s="93"/>
      <c r="NG264" s="93"/>
      <c r="NH264" s="93"/>
      <c r="NI264" s="93"/>
      <c r="NJ264" s="93"/>
      <c r="NK264" s="93"/>
      <c r="NL264" s="93"/>
      <c r="NM264" s="93"/>
      <c r="NN264" s="93"/>
      <c r="NO264" s="93"/>
      <c r="NP264" s="2850"/>
      <c r="NQ264" s="93"/>
      <c r="NR264" s="93"/>
      <c r="NS264" s="93"/>
      <c r="NT264" s="93"/>
      <c r="NU264" s="93"/>
      <c r="NV264" s="93"/>
      <c r="NW264" s="93"/>
      <c r="NX264" s="93"/>
      <c r="NY264" s="93"/>
      <c r="NZ264" s="93"/>
      <c r="OA264" s="93"/>
      <c r="OB264" s="93"/>
      <c r="OC264" s="93"/>
      <c r="OD264" s="93"/>
      <c r="OE264" s="93"/>
      <c r="OF264" s="93"/>
      <c r="OG264" s="93"/>
      <c r="OH264" s="93"/>
      <c r="OI264" s="93"/>
      <c r="OJ264" s="93"/>
      <c r="OK264" s="93"/>
      <c r="OL264" s="93"/>
      <c r="OM264" s="93"/>
      <c r="ON264" s="93"/>
      <c r="OO264" s="93"/>
      <c r="OP264" s="93"/>
      <c r="OQ264" s="93"/>
      <c r="OR264" s="93"/>
      <c r="OS264" s="93"/>
      <c r="OT264" s="93"/>
      <c r="OU264" s="93"/>
      <c r="OV264" s="93"/>
      <c r="OW264" s="93"/>
      <c r="OX264" s="93"/>
      <c r="OY264" s="93"/>
      <c r="OZ264" s="93"/>
      <c r="PA264" s="93"/>
      <c r="PB264" s="93"/>
      <c r="PC264" s="93"/>
      <c r="PD264" s="93"/>
      <c r="PE264" s="93"/>
      <c r="PF264" s="93"/>
      <c r="PG264" s="93"/>
      <c r="PH264" s="93"/>
      <c r="PI264" s="93"/>
      <c r="PJ264" s="93"/>
      <c r="PK264" s="93"/>
      <c r="PL264" s="93"/>
      <c r="PM264" s="93"/>
      <c r="PN264" s="93"/>
      <c r="PO264" s="93"/>
      <c r="PP264" s="93"/>
      <c r="PQ264" s="93"/>
      <c r="PR264" s="93"/>
      <c r="PS264" s="93"/>
      <c r="PT264" s="93"/>
      <c r="PU264" s="93"/>
      <c r="PV264" s="93"/>
      <c r="PW264" s="93"/>
      <c r="PX264" s="93"/>
      <c r="PY264" s="93"/>
      <c r="PZ264" s="93"/>
      <c r="QA264" s="93"/>
      <c r="QB264" s="93"/>
      <c r="QC264" s="93"/>
      <c r="QD264" s="93"/>
      <c r="QE264" s="93"/>
      <c r="QF264" s="93"/>
      <c r="QG264" s="93"/>
      <c r="QH264" s="93"/>
      <c r="QI264" s="93"/>
      <c r="QJ264" s="93"/>
      <c r="QK264" s="93"/>
      <c r="QL264" s="93"/>
      <c r="QM264" s="93"/>
      <c r="QN264" s="93"/>
      <c r="QO264" s="93"/>
      <c r="QP264" s="93"/>
      <c r="QQ264" s="93"/>
      <c r="QR264" s="93"/>
      <c r="QS264" s="93"/>
      <c r="QT264" s="93"/>
      <c r="QU264" s="93"/>
      <c r="QV264" s="93"/>
      <c r="QW264" s="93"/>
      <c r="QX264" s="93"/>
      <c r="QY264" s="93"/>
      <c r="QZ264" s="93"/>
      <c r="RA264" s="93"/>
      <c r="RB264" s="93"/>
      <c r="RC264" s="93"/>
      <c r="RD264" s="93"/>
      <c r="RE264" s="93"/>
      <c r="RF264" s="93"/>
      <c r="RG264" s="93"/>
      <c r="RH264" s="93"/>
      <c r="RI264" s="93"/>
      <c r="RJ264" s="93"/>
      <c r="RK264" s="93"/>
      <c r="RL264" s="93"/>
      <c r="RM264" s="93"/>
      <c r="RN264" s="93"/>
      <c r="RO264" s="93"/>
      <c r="RP264" s="93"/>
      <c r="RQ264" s="93"/>
      <c r="RR264" s="93"/>
      <c r="RS264" s="93"/>
      <c r="RT264" s="93"/>
      <c r="RU264" s="93"/>
      <c r="RV264" s="93"/>
      <c r="RW264" s="93"/>
      <c r="RX264" s="93"/>
      <c r="RY264" s="93"/>
    </row>
    <row r="265" spans="1:493" ht="14.1" customHeight="1">
      <c r="NP265" s="2850"/>
    </row>
    <row r="266" spans="1:493" ht="14.1" customHeight="1">
      <c r="NP266" s="2850"/>
    </row>
    <row r="267" spans="1:493" ht="14.1" customHeight="1">
      <c r="NP267" s="2850"/>
    </row>
    <row r="268" spans="1:493" ht="14.1" customHeight="1">
      <c r="NP268" s="2850"/>
    </row>
    <row r="269" spans="1:493" s="90" customFormat="1" ht="14.1" customHeight="1">
      <c r="A269" s="32"/>
      <c r="B269" s="1"/>
      <c r="C269" s="1"/>
      <c r="D269" s="1"/>
      <c r="E269" s="1"/>
      <c r="F269" s="1"/>
      <c r="G269" s="1"/>
      <c r="H269" s="1"/>
      <c r="I269" s="1"/>
      <c r="J269" s="1"/>
      <c r="K269" s="1"/>
      <c r="L269" s="1"/>
      <c r="M269" s="1"/>
      <c r="N269" s="1"/>
      <c r="O269" s="1"/>
      <c r="P269" s="1"/>
      <c r="X269" s="432"/>
      <c r="Y269" s="432"/>
      <c r="Z269" s="432"/>
      <c r="AA269" s="432"/>
      <c r="AB269" s="432"/>
      <c r="AC269" s="432"/>
      <c r="AD269" s="432"/>
      <c r="AE269" s="432"/>
      <c r="AF269" s="432"/>
      <c r="AG269" s="432"/>
      <c r="AH269" s="432"/>
      <c r="AI269" s="432"/>
      <c r="AJ269" s="432"/>
      <c r="AK269" s="432"/>
      <c r="AL269" s="432"/>
      <c r="AM269" s="432"/>
      <c r="AN269" s="432"/>
      <c r="AO269" s="432"/>
      <c r="AP269" s="432"/>
      <c r="AQ269" s="432"/>
      <c r="AR269" s="432"/>
      <c r="AS269" s="432"/>
      <c r="AT269" s="432"/>
      <c r="AU269" s="432"/>
      <c r="AV269" s="432"/>
      <c r="AW269" s="432"/>
      <c r="AX269" s="432"/>
      <c r="AY269" s="432"/>
      <c r="AZ269" s="432"/>
      <c r="BA269" s="432"/>
      <c r="BB269" s="432"/>
      <c r="BC269" s="432"/>
      <c r="BD269" s="432"/>
      <c r="BE269" s="432"/>
      <c r="BF269" s="432"/>
      <c r="BG269" s="432"/>
      <c r="BH269" s="432"/>
      <c r="BI269" s="432"/>
      <c r="BJ269" s="432"/>
      <c r="BK269" s="432"/>
      <c r="BL269" s="432"/>
      <c r="BM269" s="432"/>
      <c r="BN269" s="432"/>
      <c r="BO269" s="432"/>
      <c r="BP269" s="432"/>
      <c r="BQ269" s="432"/>
      <c r="BR269" s="432"/>
      <c r="BS269" s="432"/>
      <c r="BT269" s="432"/>
      <c r="BU269" s="432"/>
      <c r="BV269" s="432"/>
      <c r="BW269" s="432"/>
      <c r="BX269" s="432"/>
      <c r="BY269" s="432"/>
      <c r="BZ269" s="432"/>
      <c r="CA269" s="432"/>
      <c r="CB269" s="432"/>
      <c r="CC269" s="432"/>
      <c r="CD269" s="432"/>
      <c r="CE269" s="432"/>
      <c r="CF269" s="432"/>
      <c r="CG269" s="432"/>
      <c r="CH269" s="432"/>
      <c r="CI269" s="432"/>
      <c r="CJ269" s="432"/>
      <c r="CK269" s="432"/>
      <c r="CL269" s="432"/>
      <c r="CM269" s="432"/>
      <c r="CN269" s="432"/>
      <c r="CO269" s="432"/>
      <c r="CP269" s="432"/>
      <c r="CQ269" s="432"/>
      <c r="CR269" s="432"/>
      <c r="CS269" s="432"/>
      <c r="CT269" s="432"/>
      <c r="CU269" s="432"/>
      <c r="CV269" s="432"/>
      <c r="CW269" s="432"/>
      <c r="CX269" s="432"/>
      <c r="CY269" s="432"/>
      <c r="CZ269" s="432"/>
      <c r="DA269" s="432"/>
      <c r="DB269" s="432"/>
      <c r="DC269" s="432"/>
      <c r="DD269" s="432"/>
      <c r="DE269" s="432"/>
      <c r="DF269" s="432"/>
      <c r="DG269" s="432"/>
      <c r="DH269" s="432"/>
      <c r="DI269" s="432"/>
      <c r="DJ269" s="432"/>
      <c r="DK269" s="432"/>
      <c r="DL269" s="432"/>
      <c r="DM269" s="432"/>
      <c r="DN269" s="432"/>
      <c r="DO269" s="432"/>
      <c r="DP269" s="432"/>
      <c r="DQ269" s="432"/>
      <c r="DR269" s="432"/>
      <c r="DS269" s="432"/>
      <c r="DT269" s="432"/>
      <c r="DU269" s="432"/>
      <c r="DV269" s="432"/>
      <c r="DW269" s="432"/>
      <c r="DX269" s="432"/>
      <c r="DY269" s="432"/>
      <c r="DZ269" s="432"/>
      <c r="EA269" s="432"/>
      <c r="EB269" s="432"/>
      <c r="EC269" s="432"/>
      <c r="ED269" s="432"/>
      <c r="EE269" s="432"/>
      <c r="EF269" s="432"/>
      <c r="EG269" s="432"/>
      <c r="EH269" s="432"/>
      <c r="EI269" s="432"/>
      <c r="EJ269" s="432"/>
      <c r="EK269" s="432"/>
      <c r="EL269" s="432"/>
      <c r="EM269" s="432"/>
      <c r="EN269" s="432"/>
      <c r="EO269" s="432"/>
      <c r="EP269" s="432"/>
      <c r="EQ269" s="432"/>
      <c r="ER269" s="432"/>
      <c r="ES269" s="432"/>
      <c r="ET269" s="432"/>
      <c r="EU269" s="432"/>
      <c r="EV269" s="432"/>
      <c r="EW269" s="432"/>
      <c r="EX269" s="432"/>
      <c r="EY269" s="432"/>
      <c r="EZ269" s="432"/>
      <c r="FA269" s="432"/>
      <c r="FB269" s="432"/>
      <c r="FC269" s="432"/>
      <c r="FD269" s="432"/>
      <c r="FE269" s="432"/>
      <c r="FF269" s="432"/>
      <c r="FG269" s="432"/>
      <c r="FH269" s="432"/>
      <c r="FI269" s="432"/>
      <c r="FJ269" s="432"/>
      <c r="FK269" s="432"/>
      <c r="FL269" s="432"/>
      <c r="FM269" s="432"/>
      <c r="FN269" s="432"/>
      <c r="FO269" s="432"/>
      <c r="FP269" s="432"/>
      <c r="FQ269" s="432"/>
      <c r="FR269" s="432"/>
      <c r="FS269" s="432"/>
      <c r="FT269" s="432"/>
      <c r="FU269" s="432"/>
      <c r="FV269" s="432"/>
      <c r="FW269" s="432"/>
      <c r="FX269" s="432"/>
      <c r="FY269" s="432"/>
      <c r="FZ269" s="432"/>
      <c r="GA269" s="432"/>
      <c r="GB269" s="432"/>
      <c r="GC269" s="432"/>
      <c r="GD269" s="432"/>
      <c r="GE269" s="432"/>
      <c r="GF269" s="432"/>
      <c r="GG269" s="432"/>
      <c r="GH269" s="432"/>
      <c r="GI269" s="432"/>
      <c r="GJ269" s="432"/>
      <c r="GK269" s="432"/>
      <c r="GL269" s="432"/>
      <c r="GM269" s="432"/>
      <c r="GN269" s="432"/>
      <c r="GO269" s="432"/>
      <c r="GP269" s="432"/>
      <c r="GQ269" s="432"/>
      <c r="GR269" s="432"/>
      <c r="GS269" s="432"/>
      <c r="GT269" s="432"/>
      <c r="GU269" s="432"/>
      <c r="GV269" s="432"/>
      <c r="GW269" s="432"/>
      <c r="GX269" s="432"/>
      <c r="GY269" s="432"/>
      <c r="GZ269" s="432"/>
      <c r="HA269" s="432"/>
      <c r="HB269" s="432"/>
      <c r="HC269" s="432"/>
      <c r="HD269" s="432"/>
      <c r="HE269" s="432"/>
      <c r="HF269" s="432"/>
      <c r="HG269" s="432"/>
      <c r="HH269" s="432"/>
      <c r="HI269" s="432"/>
      <c r="HJ269" s="432"/>
      <c r="HK269" s="432"/>
      <c r="HL269" s="432"/>
      <c r="HM269" s="432"/>
      <c r="HN269" s="432"/>
      <c r="HO269" s="432"/>
      <c r="HP269" s="432"/>
      <c r="HQ269" s="432"/>
      <c r="HR269" s="432"/>
      <c r="HS269" s="432"/>
      <c r="HT269" s="432"/>
      <c r="HU269" s="432"/>
      <c r="HV269" s="432"/>
      <c r="HW269" s="432"/>
      <c r="HX269" s="432"/>
      <c r="HY269" s="432"/>
      <c r="HZ269" s="432"/>
      <c r="IA269" s="432"/>
      <c r="IB269" s="432"/>
      <c r="IC269" s="432"/>
      <c r="ID269" s="432"/>
      <c r="IE269" s="432"/>
      <c r="IF269" s="432"/>
      <c r="IG269" s="432"/>
      <c r="IH269" s="432"/>
      <c r="II269" s="432"/>
      <c r="IJ269" s="432"/>
      <c r="IK269" s="432"/>
      <c r="IL269" s="432"/>
      <c r="IM269" s="432"/>
      <c r="IN269" s="432"/>
      <c r="IO269" s="432"/>
      <c r="IP269" s="432"/>
      <c r="IQ269" s="432"/>
      <c r="IR269" s="432"/>
      <c r="IS269" s="432"/>
      <c r="IT269" s="432"/>
      <c r="IU269" s="432"/>
      <c r="IV269" s="432"/>
      <c r="IW269" s="432"/>
      <c r="IX269" s="432"/>
      <c r="IY269" s="432"/>
      <c r="IZ269" s="432"/>
      <c r="JA269" s="432"/>
      <c r="JB269" s="432"/>
      <c r="JC269" s="432"/>
      <c r="JD269" s="432"/>
      <c r="JE269" s="432"/>
      <c r="JF269" s="432"/>
      <c r="JG269" s="432"/>
      <c r="JH269" s="432"/>
      <c r="JI269" s="432"/>
      <c r="JJ269" s="432"/>
      <c r="JK269" s="432"/>
      <c r="JL269" s="432"/>
      <c r="JM269" s="432"/>
      <c r="JN269" s="432"/>
      <c r="JO269" s="432"/>
      <c r="JP269" s="432"/>
      <c r="JQ269" s="432"/>
      <c r="JR269" s="432"/>
      <c r="JS269" s="432"/>
      <c r="JT269" s="432"/>
      <c r="JU269" s="432"/>
      <c r="JV269" s="432"/>
      <c r="JW269" s="1810"/>
      <c r="JX269" s="432"/>
      <c r="JY269" s="432"/>
      <c r="JZ269" s="432"/>
      <c r="KA269" s="432"/>
      <c r="KB269" s="1810"/>
      <c r="KC269" s="432"/>
      <c r="KD269" s="432"/>
      <c r="KE269" s="432"/>
      <c r="KF269" s="432"/>
      <c r="KG269" s="1810"/>
      <c r="KH269" s="432"/>
      <c r="KI269" s="432"/>
      <c r="KJ269" s="432"/>
      <c r="KK269" s="432"/>
      <c r="KL269" s="1810"/>
      <c r="KM269" s="1810"/>
      <c r="KN269" s="1810"/>
      <c r="KO269" s="1810"/>
      <c r="KP269" s="1810"/>
      <c r="KQ269" s="1810"/>
      <c r="KR269" s="1810"/>
      <c r="KS269" s="1810"/>
      <c r="KT269" s="1810"/>
      <c r="KU269" s="1810"/>
      <c r="KV269" s="1810"/>
      <c r="KW269" s="1810"/>
      <c r="KX269" s="1810"/>
      <c r="KY269" s="1810"/>
      <c r="KZ269" s="1810"/>
      <c r="LA269" s="1810"/>
      <c r="LB269" s="1810"/>
      <c r="LC269" s="1810"/>
      <c r="LD269" s="1810"/>
      <c r="LE269" s="1810"/>
      <c r="LF269" s="1810"/>
      <c r="LG269" s="1810"/>
      <c r="LH269" s="432"/>
      <c r="LI269" s="432"/>
      <c r="LJ269" s="432"/>
      <c r="LK269" s="432"/>
      <c r="LL269" s="432"/>
      <c r="LM269" s="432"/>
      <c r="LN269" s="1811"/>
      <c r="LO269" s="432"/>
      <c r="LP269" s="432"/>
      <c r="LQ269" s="432"/>
      <c r="LR269" s="432"/>
      <c r="LS269" s="432"/>
      <c r="LT269" s="432"/>
      <c r="LU269" s="432"/>
      <c r="LV269" s="432"/>
      <c r="LW269" s="432"/>
      <c r="LX269" s="432"/>
      <c r="LY269" s="432"/>
      <c r="LZ269" s="432"/>
      <c r="MA269" s="432"/>
      <c r="MB269" s="432"/>
      <c r="MC269" s="432"/>
      <c r="MD269" s="1811"/>
      <c r="ME269" s="1811"/>
      <c r="MF269" s="432"/>
      <c r="MG269" s="432"/>
      <c r="MH269" s="432"/>
      <c r="MI269" s="432"/>
      <c r="MJ269" s="432"/>
      <c r="MK269" s="432"/>
      <c r="ML269" s="432"/>
      <c r="MM269" s="432"/>
      <c r="MN269" s="432"/>
      <c r="MO269" s="432"/>
      <c r="MP269" s="432"/>
      <c r="MQ269" s="432"/>
      <c r="MR269" s="432"/>
      <c r="MS269" s="432"/>
      <c r="MT269" s="432"/>
      <c r="MU269" s="432"/>
      <c r="MV269" s="93"/>
      <c r="MW269" s="93"/>
      <c r="MX269" s="93"/>
      <c r="MY269" s="93"/>
      <c r="MZ269" s="93"/>
      <c r="NA269" s="93"/>
      <c r="NB269" s="93"/>
      <c r="NC269" s="93"/>
      <c r="ND269" s="93"/>
      <c r="NE269" s="93"/>
      <c r="NF269" s="93"/>
      <c r="NG269" s="93"/>
      <c r="NH269" s="93"/>
      <c r="NI269" s="93"/>
      <c r="NJ269" s="93"/>
      <c r="NK269" s="93"/>
      <c r="NL269" s="93"/>
      <c r="NM269" s="93"/>
      <c r="NN269" s="93"/>
      <c r="NO269" s="93"/>
      <c r="NP269" s="2850"/>
      <c r="NQ269" s="93"/>
      <c r="NR269" s="93"/>
      <c r="NS269" s="93"/>
      <c r="NT269" s="93"/>
      <c r="NU269" s="93"/>
      <c r="NV269" s="93"/>
      <c r="NW269" s="93"/>
      <c r="NX269" s="93"/>
      <c r="NY269" s="93"/>
      <c r="NZ269" s="93"/>
      <c r="OA269" s="93"/>
      <c r="OB269" s="93"/>
      <c r="OC269" s="93"/>
      <c r="OD269" s="93"/>
      <c r="OE269" s="93"/>
      <c r="OF269" s="93"/>
      <c r="OG269" s="93"/>
      <c r="OH269" s="93"/>
      <c r="OI269" s="93"/>
      <c r="OJ269" s="93"/>
      <c r="OK269" s="93"/>
      <c r="OL269" s="93"/>
      <c r="OM269" s="93"/>
      <c r="ON269" s="93"/>
      <c r="OO269" s="93"/>
      <c r="OP269" s="93"/>
      <c r="OQ269" s="93"/>
      <c r="OR269" s="93"/>
      <c r="OS269" s="93"/>
      <c r="OT269" s="93"/>
      <c r="OU269" s="93"/>
      <c r="OV269" s="93"/>
      <c r="OW269" s="93"/>
      <c r="OX269" s="93"/>
      <c r="OY269" s="93"/>
      <c r="OZ269" s="93"/>
      <c r="PA269" s="93"/>
      <c r="PB269" s="93"/>
      <c r="PC269" s="93"/>
      <c r="PD269" s="93"/>
      <c r="PE269" s="93"/>
      <c r="PF269" s="93"/>
      <c r="PG269" s="93"/>
      <c r="PH269" s="93"/>
      <c r="PI269" s="93"/>
      <c r="PJ269" s="93"/>
      <c r="PK269" s="93"/>
      <c r="PL269" s="93"/>
      <c r="PM269" s="93"/>
      <c r="PN269" s="93"/>
      <c r="PO269" s="93"/>
      <c r="PP269" s="93"/>
      <c r="PQ269" s="93"/>
      <c r="PR269" s="93"/>
      <c r="PS269" s="93"/>
      <c r="PT269" s="93"/>
      <c r="PU269" s="93"/>
      <c r="PV269" s="93"/>
      <c r="PW269" s="93"/>
      <c r="PX269" s="93"/>
      <c r="PY269" s="93"/>
      <c r="PZ269" s="93"/>
      <c r="QA269" s="93"/>
      <c r="QB269" s="93"/>
      <c r="QC269" s="93"/>
      <c r="QD269" s="93"/>
      <c r="QE269" s="93"/>
      <c r="QF269" s="93"/>
      <c r="QG269" s="93"/>
      <c r="QH269" s="93"/>
      <c r="QI269" s="93"/>
      <c r="QJ269" s="93"/>
      <c r="QK269" s="93"/>
      <c r="QL269" s="93"/>
      <c r="QM269" s="93"/>
      <c r="QN269" s="93"/>
      <c r="QO269" s="93"/>
      <c r="QP269" s="93"/>
      <c r="QQ269" s="93"/>
      <c r="QR269" s="93"/>
      <c r="QS269" s="93"/>
      <c r="QT269" s="93"/>
      <c r="QU269" s="93"/>
      <c r="QV269" s="93"/>
      <c r="QW269" s="93"/>
      <c r="QX269" s="93"/>
      <c r="QY269" s="93"/>
      <c r="QZ269" s="93"/>
      <c r="RA269" s="93"/>
      <c r="RB269" s="93"/>
      <c r="RC269" s="93"/>
      <c r="RD269" s="93"/>
      <c r="RE269" s="93"/>
      <c r="RF269" s="93"/>
      <c r="RG269" s="93"/>
      <c r="RH269" s="93"/>
      <c r="RI269" s="93"/>
      <c r="RJ269" s="93"/>
      <c r="RK269" s="93"/>
      <c r="RL269" s="93"/>
      <c r="RM269" s="93"/>
      <c r="RN269" s="93"/>
      <c r="RO269" s="93"/>
      <c r="RP269" s="93"/>
      <c r="RQ269" s="93"/>
      <c r="RR269" s="93"/>
      <c r="RS269" s="93"/>
      <c r="RT269" s="93"/>
      <c r="RU269" s="93"/>
      <c r="RV269" s="93"/>
      <c r="RW269" s="93"/>
      <c r="RX269" s="93"/>
      <c r="RY269" s="93"/>
    </row>
    <row r="270" spans="1:493" s="90" customFormat="1" ht="14.1" customHeight="1">
      <c r="A270" s="32"/>
      <c r="B270" s="1"/>
      <c r="C270" s="1"/>
      <c r="D270" s="1"/>
      <c r="E270" s="1"/>
      <c r="F270" s="1"/>
      <c r="G270" s="1"/>
      <c r="H270" s="1"/>
      <c r="I270" s="1"/>
      <c r="J270" s="1"/>
      <c r="K270" s="1"/>
      <c r="L270" s="1"/>
      <c r="M270" s="1"/>
      <c r="N270" s="1"/>
      <c r="O270" s="1"/>
      <c r="P270" s="1"/>
      <c r="X270" s="432"/>
      <c r="Y270" s="432"/>
      <c r="Z270" s="432"/>
      <c r="AA270" s="432"/>
      <c r="AB270" s="432"/>
      <c r="AC270" s="432"/>
      <c r="AD270" s="432"/>
      <c r="AE270" s="432"/>
      <c r="AF270" s="432"/>
      <c r="AG270" s="432"/>
      <c r="AH270" s="432"/>
      <c r="AI270" s="432"/>
      <c r="AJ270" s="432"/>
      <c r="AK270" s="432"/>
      <c r="AL270" s="432"/>
      <c r="AM270" s="432"/>
      <c r="AN270" s="432"/>
      <c r="AO270" s="432"/>
      <c r="AP270" s="432"/>
      <c r="AQ270" s="432"/>
      <c r="AR270" s="432"/>
      <c r="AS270" s="432"/>
      <c r="AT270" s="432"/>
      <c r="AU270" s="432"/>
      <c r="AV270" s="432"/>
      <c r="AW270" s="432"/>
      <c r="AX270" s="432"/>
      <c r="AY270" s="432"/>
      <c r="AZ270" s="432"/>
      <c r="BA270" s="432"/>
      <c r="BB270" s="432"/>
      <c r="BC270" s="432"/>
      <c r="BD270" s="432"/>
      <c r="BE270" s="432"/>
      <c r="BF270" s="432"/>
      <c r="BG270" s="432"/>
      <c r="BH270" s="432"/>
      <c r="BI270" s="432"/>
      <c r="BJ270" s="432"/>
      <c r="BK270" s="432"/>
      <c r="BL270" s="432"/>
      <c r="BM270" s="432"/>
      <c r="BN270" s="432"/>
      <c r="BO270" s="432"/>
      <c r="BP270" s="432"/>
      <c r="BQ270" s="432"/>
      <c r="BR270" s="432"/>
      <c r="BS270" s="432"/>
      <c r="BT270" s="432"/>
      <c r="BU270" s="432"/>
      <c r="BV270" s="432"/>
      <c r="BW270" s="432"/>
      <c r="BX270" s="432"/>
      <c r="BY270" s="432"/>
      <c r="BZ270" s="432"/>
      <c r="CA270" s="432"/>
      <c r="CB270" s="432"/>
      <c r="CC270" s="432"/>
      <c r="CD270" s="432"/>
      <c r="CE270" s="432"/>
      <c r="CF270" s="432"/>
      <c r="CG270" s="432"/>
      <c r="CH270" s="432"/>
      <c r="CI270" s="432"/>
      <c r="CJ270" s="432"/>
      <c r="CK270" s="432"/>
      <c r="CL270" s="432"/>
      <c r="CM270" s="432"/>
      <c r="CN270" s="432"/>
      <c r="CO270" s="432"/>
      <c r="CP270" s="432"/>
      <c r="CQ270" s="432"/>
      <c r="CR270" s="432"/>
      <c r="CS270" s="432"/>
      <c r="CT270" s="432"/>
      <c r="CU270" s="432"/>
      <c r="CV270" s="432"/>
      <c r="CW270" s="432"/>
      <c r="CX270" s="432"/>
      <c r="CY270" s="432"/>
      <c r="CZ270" s="432"/>
      <c r="DA270" s="432"/>
      <c r="DB270" s="432"/>
      <c r="DC270" s="432"/>
      <c r="DD270" s="432"/>
      <c r="DE270" s="432"/>
      <c r="DF270" s="432"/>
      <c r="DG270" s="432"/>
      <c r="DH270" s="432"/>
      <c r="DI270" s="432"/>
      <c r="DJ270" s="432"/>
      <c r="DK270" s="432"/>
      <c r="DL270" s="432"/>
      <c r="DM270" s="432"/>
      <c r="DN270" s="432"/>
      <c r="DO270" s="432"/>
      <c r="DP270" s="432"/>
      <c r="DQ270" s="432"/>
      <c r="DR270" s="432"/>
      <c r="DS270" s="432"/>
      <c r="DT270" s="432"/>
      <c r="DU270" s="432"/>
      <c r="DV270" s="432"/>
      <c r="DW270" s="432"/>
      <c r="DX270" s="432"/>
      <c r="DY270" s="432"/>
      <c r="DZ270" s="432"/>
      <c r="EA270" s="432"/>
      <c r="EB270" s="432"/>
      <c r="EC270" s="432"/>
      <c r="ED270" s="432"/>
      <c r="EE270" s="432"/>
      <c r="EF270" s="432"/>
      <c r="EG270" s="432"/>
      <c r="EH270" s="432"/>
      <c r="EI270" s="432"/>
      <c r="EJ270" s="432"/>
      <c r="EK270" s="432"/>
      <c r="EL270" s="432"/>
      <c r="EM270" s="432"/>
      <c r="EN270" s="432"/>
      <c r="EO270" s="432"/>
      <c r="EP270" s="432"/>
      <c r="EQ270" s="432"/>
      <c r="ER270" s="432"/>
      <c r="ES270" s="432"/>
      <c r="ET270" s="432"/>
      <c r="EU270" s="432"/>
      <c r="EV270" s="432"/>
      <c r="EW270" s="432"/>
      <c r="EX270" s="432"/>
      <c r="EY270" s="432"/>
      <c r="EZ270" s="432"/>
      <c r="FA270" s="432"/>
      <c r="FB270" s="432"/>
      <c r="FC270" s="432"/>
      <c r="FD270" s="432"/>
      <c r="FE270" s="432"/>
      <c r="FF270" s="432"/>
      <c r="FG270" s="432"/>
      <c r="FH270" s="432"/>
      <c r="FI270" s="432"/>
      <c r="FJ270" s="432"/>
      <c r="FK270" s="432"/>
      <c r="FL270" s="432"/>
      <c r="FM270" s="432"/>
      <c r="FN270" s="432"/>
      <c r="FO270" s="432"/>
      <c r="FP270" s="432"/>
      <c r="FQ270" s="432"/>
      <c r="FR270" s="432"/>
      <c r="FS270" s="432"/>
      <c r="FT270" s="432"/>
      <c r="FU270" s="432"/>
      <c r="FV270" s="432"/>
      <c r="FW270" s="432"/>
      <c r="FX270" s="432"/>
      <c r="FY270" s="432"/>
      <c r="FZ270" s="432"/>
      <c r="GA270" s="432"/>
      <c r="GB270" s="432"/>
      <c r="GC270" s="432"/>
      <c r="GD270" s="432"/>
      <c r="GE270" s="432"/>
      <c r="GF270" s="432"/>
      <c r="GG270" s="432"/>
      <c r="GH270" s="432"/>
      <c r="GI270" s="432"/>
      <c r="GJ270" s="432"/>
      <c r="GK270" s="432"/>
      <c r="GL270" s="432"/>
      <c r="GM270" s="432"/>
      <c r="GN270" s="432"/>
      <c r="GO270" s="432"/>
      <c r="GP270" s="432"/>
      <c r="GQ270" s="432"/>
      <c r="GR270" s="432"/>
      <c r="GS270" s="432"/>
      <c r="GT270" s="432"/>
      <c r="GU270" s="432"/>
      <c r="GV270" s="432"/>
      <c r="GW270" s="432"/>
      <c r="GX270" s="432"/>
      <c r="GY270" s="432"/>
      <c r="GZ270" s="432"/>
      <c r="HA270" s="432"/>
      <c r="HB270" s="432"/>
      <c r="HC270" s="432"/>
      <c r="HD270" s="432"/>
      <c r="HE270" s="432"/>
      <c r="HF270" s="432"/>
      <c r="HG270" s="432"/>
      <c r="HH270" s="432"/>
      <c r="HI270" s="432"/>
      <c r="HJ270" s="432"/>
      <c r="HK270" s="432"/>
      <c r="HL270" s="432"/>
      <c r="HM270" s="432"/>
      <c r="HN270" s="432"/>
      <c r="HO270" s="432"/>
      <c r="HP270" s="432"/>
      <c r="HQ270" s="432"/>
      <c r="HR270" s="432"/>
      <c r="HS270" s="432"/>
      <c r="HT270" s="432"/>
      <c r="HU270" s="432"/>
      <c r="HV270" s="432"/>
      <c r="HW270" s="432"/>
      <c r="HX270" s="432"/>
      <c r="HY270" s="432"/>
      <c r="HZ270" s="432"/>
      <c r="IA270" s="432"/>
      <c r="IB270" s="432"/>
      <c r="IC270" s="432"/>
      <c r="ID270" s="432"/>
      <c r="IE270" s="432"/>
      <c r="IF270" s="432"/>
      <c r="IG270" s="432"/>
      <c r="IH270" s="432"/>
      <c r="II270" s="432"/>
      <c r="IJ270" s="432"/>
      <c r="IK270" s="432"/>
      <c r="IL270" s="432"/>
      <c r="IM270" s="432"/>
      <c r="IN270" s="432"/>
      <c r="IO270" s="432"/>
      <c r="IP270" s="432"/>
      <c r="IQ270" s="432"/>
      <c r="IR270" s="432"/>
      <c r="IS270" s="432"/>
      <c r="IT270" s="432"/>
      <c r="IU270" s="432"/>
      <c r="IV270" s="432"/>
      <c r="IW270" s="432"/>
      <c r="IX270" s="432"/>
      <c r="IY270" s="432"/>
      <c r="IZ270" s="432"/>
      <c r="JA270" s="432"/>
      <c r="JB270" s="432"/>
      <c r="JC270" s="432"/>
      <c r="JD270" s="432"/>
      <c r="JE270" s="432"/>
      <c r="JF270" s="432"/>
      <c r="JG270" s="432"/>
      <c r="JH270" s="432"/>
      <c r="JI270" s="432"/>
      <c r="JJ270" s="432"/>
      <c r="JK270" s="432"/>
      <c r="JL270" s="432"/>
      <c r="JM270" s="432"/>
      <c r="JN270" s="432"/>
      <c r="JO270" s="432"/>
      <c r="JP270" s="432"/>
      <c r="JQ270" s="432"/>
      <c r="JR270" s="432"/>
      <c r="JS270" s="432"/>
      <c r="JT270" s="432"/>
      <c r="JU270" s="432"/>
      <c r="JV270" s="432"/>
      <c r="JW270" s="1810"/>
      <c r="JX270" s="432"/>
      <c r="JY270" s="432"/>
      <c r="JZ270" s="432"/>
      <c r="KA270" s="432"/>
      <c r="KB270" s="1810"/>
      <c r="KC270" s="432"/>
      <c r="KD270" s="432"/>
      <c r="KE270" s="432"/>
      <c r="KF270" s="432"/>
      <c r="KG270" s="1810"/>
      <c r="KH270" s="432"/>
      <c r="KI270" s="432"/>
      <c r="KJ270" s="432"/>
      <c r="KK270" s="432"/>
      <c r="KL270" s="1810"/>
      <c r="KM270" s="1810"/>
      <c r="KN270" s="1810"/>
      <c r="KO270" s="1810"/>
      <c r="KP270" s="1810"/>
      <c r="KQ270" s="1810"/>
      <c r="KR270" s="1810"/>
      <c r="KS270" s="1810"/>
      <c r="KT270" s="1810"/>
      <c r="KU270" s="1810"/>
      <c r="KV270" s="1810"/>
      <c r="KW270" s="1810"/>
      <c r="KX270" s="1810"/>
      <c r="KY270" s="1810"/>
      <c r="KZ270" s="1810"/>
      <c r="LA270" s="1810"/>
      <c r="LB270" s="1810"/>
      <c r="LC270" s="1810"/>
      <c r="LD270" s="1810"/>
      <c r="LE270" s="1810"/>
      <c r="LF270" s="1810"/>
      <c r="LG270" s="1810"/>
      <c r="LH270" s="432"/>
      <c r="LI270" s="432"/>
      <c r="LJ270" s="432"/>
      <c r="LK270" s="432"/>
      <c r="LL270" s="432"/>
      <c r="LM270" s="432"/>
      <c r="LN270" s="1811"/>
      <c r="LO270" s="432"/>
      <c r="LP270" s="432"/>
      <c r="LQ270" s="432"/>
      <c r="LR270" s="432"/>
      <c r="LS270" s="432"/>
      <c r="LT270" s="432"/>
      <c r="LU270" s="432"/>
      <c r="LV270" s="432"/>
      <c r="LW270" s="432"/>
      <c r="LX270" s="432"/>
      <c r="LY270" s="432"/>
      <c r="LZ270" s="432"/>
      <c r="MA270" s="432"/>
      <c r="MB270" s="432"/>
      <c r="MC270" s="432"/>
      <c r="MD270" s="1811"/>
      <c r="ME270" s="1811"/>
      <c r="MF270" s="432"/>
      <c r="MG270" s="432"/>
      <c r="MH270" s="432"/>
      <c r="MI270" s="432"/>
      <c r="MJ270" s="432"/>
      <c r="MK270" s="432"/>
      <c r="ML270" s="432"/>
      <c r="MM270" s="432"/>
      <c r="MN270" s="432"/>
      <c r="MO270" s="432"/>
      <c r="MP270" s="432"/>
      <c r="MQ270" s="432"/>
      <c r="MR270" s="432"/>
      <c r="MS270" s="432"/>
      <c r="MT270" s="432"/>
      <c r="MU270" s="432"/>
      <c r="MV270" s="93"/>
      <c r="MW270" s="93"/>
      <c r="MX270" s="93"/>
      <c r="MY270" s="93"/>
      <c r="MZ270" s="93"/>
      <c r="NA270" s="93"/>
      <c r="NB270" s="93"/>
      <c r="NC270" s="93"/>
      <c r="ND270" s="93"/>
      <c r="NE270" s="93"/>
      <c r="NF270" s="93"/>
      <c r="NG270" s="93"/>
      <c r="NH270" s="93"/>
      <c r="NI270" s="93"/>
      <c r="NJ270" s="93"/>
      <c r="NK270" s="93"/>
      <c r="NL270" s="93"/>
      <c r="NM270" s="93"/>
      <c r="NN270" s="93"/>
      <c r="NO270" s="93"/>
      <c r="NP270" s="2850"/>
      <c r="NQ270" s="93"/>
      <c r="NR270" s="93"/>
      <c r="NS270" s="93"/>
      <c r="NT270" s="93"/>
      <c r="NU270" s="93"/>
      <c r="NV270" s="93"/>
      <c r="NW270" s="93"/>
      <c r="NX270" s="93"/>
      <c r="NY270" s="93"/>
      <c r="NZ270" s="93"/>
      <c r="OA270" s="93"/>
      <c r="OB270" s="93"/>
      <c r="OC270" s="93"/>
      <c r="OD270" s="93"/>
      <c r="OE270" s="93"/>
      <c r="OF270" s="93"/>
      <c r="OG270" s="93"/>
      <c r="OH270" s="93"/>
      <c r="OI270" s="93"/>
      <c r="OJ270" s="93"/>
      <c r="OK270" s="93"/>
      <c r="OL270" s="93"/>
      <c r="OM270" s="93"/>
      <c r="ON270" s="93"/>
      <c r="OO270" s="93"/>
      <c r="OP270" s="93"/>
      <c r="OQ270" s="93"/>
      <c r="OR270" s="93"/>
      <c r="OS270" s="93"/>
      <c r="OT270" s="93"/>
      <c r="OU270" s="93"/>
      <c r="OV270" s="93"/>
      <c r="OW270" s="93"/>
      <c r="OX270" s="93"/>
      <c r="OY270" s="93"/>
      <c r="OZ270" s="93"/>
      <c r="PA270" s="93"/>
      <c r="PB270" s="93"/>
      <c r="PC270" s="93"/>
      <c r="PD270" s="93"/>
      <c r="PE270" s="93"/>
      <c r="PF270" s="93"/>
      <c r="PG270" s="93"/>
      <c r="PH270" s="93"/>
      <c r="PI270" s="93"/>
      <c r="PJ270" s="93"/>
      <c r="PK270" s="93"/>
      <c r="PL270" s="93"/>
      <c r="PM270" s="93"/>
      <c r="PN270" s="93"/>
      <c r="PO270" s="93"/>
      <c r="PP270" s="93"/>
      <c r="PQ270" s="93"/>
      <c r="PR270" s="93"/>
      <c r="PS270" s="93"/>
      <c r="PT270" s="93"/>
      <c r="PU270" s="93"/>
      <c r="PV270" s="93"/>
      <c r="PW270" s="93"/>
      <c r="PX270" s="93"/>
      <c r="PY270" s="93"/>
      <c r="PZ270" s="93"/>
      <c r="QA270" s="93"/>
      <c r="QB270" s="93"/>
      <c r="QC270" s="93"/>
      <c r="QD270" s="93"/>
      <c r="QE270" s="93"/>
      <c r="QF270" s="93"/>
      <c r="QG270" s="93"/>
      <c r="QH270" s="93"/>
      <c r="QI270" s="93"/>
      <c r="QJ270" s="93"/>
      <c r="QK270" s="93"/>
      <c r="QL270" s="93"/>
      <c r="QM270" s="93"/>
      <c r="QN270" s="93"/>
      <c r="QO270" s="93"/>
      <c r="QP270" s="93"/>
      <c r="QQ270" s="93"/>
      <c r="QR270" s="93"/>
      <c r="QS270" s="93"/>
      <c r="QT270" s="93"/>
      <c r="QU270" s="93"/>
      <c r="QV270" s="93"/>
      <c r="QW270" s="93"/>
      <c r="QX270" s="93"/>
      <c r="QY270" s="93"/>
      <c r="QZ270" s="93"/>
      <c r="RA270" s="93"/>
      <c r="RB270" s="93"/>
      <c r="RC270" s="93"/>
      <c r="RD270" s="93"/>
      <c r="RE270" s="93"/>
      <c r="RF270" s="93"/>
      <c r="RG270" s="93"/>
      <c r="RH270" s="93"/>
      <c r="RI270" s="93"/>
      <c r="RJ270" s="93"/>
      <c r="RK270" s="93"/>
      <c r="RL270" s="93"/>
      <c r="RM270" s="93"/>
      <c r="RN270" s="93"/>
      <c r="RO270" s="93"/>
      <c r="RP270" s="93"/>
      <c r="RQ270" s="93"/>
      <c r="RR270" s="93"/>
      <c r="RS270" s="93"/>
      <c r="RT270" s="93"/>
      <c r="RU270" s="93"/>
      <c r="RV270" s="93"/>
      <c r="RW270" s="93"/>
      <c r="RX270" s="93"/>
      <c r="RY270" s="93"/>
    </row>
    <row r="271" spans="1:493" s="90" customFormat="1" ht="14.1" customHeight="1">
      <c r="A271" s="2648"/>
      <c r="B271" s="1"/>
      <c r="C271" s="1"/>
      <c r="D271" s="1"/>
      <c r="E271" s="1"/>
      <c r="F271" s="1"/>
      <c r="G271" s="1"/>
      <c r="H271" s="1"/>
      <c r="I271" s="1"/>
      <c r="J271" s="1"/>
      <c r="K271" s="1"/>
      <c r="L271" s="1"/>
      <c r="M271" s="1"/>
      <c r="N271" s="1"/>
      <c r="O271" s="1"/>
      <c r="P271" s="1"/>
      <c r="X271" s="432"/>
      <c r="Y271" s="432"/>
      <c r="Z271" s="432"/>
      <c r="AA271" s="432"/>
      <c r="AB271" s="432"/>
      <c r="AC271" s="432"/>
      <c r="AD271" s="432"/>
      <c r="AE271" s="432"/>
      <c r="AF271" s="432"/>
      <c r="AG271" s="432"/>
      <c r="AH271" s="432"/>
      <c r="AI271" s="432"/>
      <c r="AJ271" s="432"/>
      <c r="AK271" s="432"/>
      <c r="AL271" s="432"/>
      <c r="AM271" s="432"/>
      <c r="AN271" s="432"/>
      <c r="AO271" s="432"/>
      <c r="AP271" s="432"/>
      <c r="AQ271" s="432"/>
      <c r="AR271" s="432"/>
      <c r="AS271" s="432"/>
      <c r="AT271" s="432"/>
      <c r="AU271" s="432"/>
      <c r="AV271" s="432"/>
      <c r="AW271" s="432"/>
      <c r="AX271" s="432"/>
      <c r="AY271" s="432"/>
      <c r="AZ271" s="432"/>
      <c r="BA271" s="432"/>
      <c r="BB271" s="432"/>
      <c r="BC271" s="432"/>
      <c r="BD271" s="432"/>
      <c r="BE271" s="432"/>
      <c r="BF271" s="432"/>
      <c r="BG271" s="432"/>
      <c r="BH271" s="432"/>
      <c r="BI271" s="432"/>
      <c r="BJ271" s="432"/>
      <c r="BK271" s="432"/>
      <c r="BL271" s="432"/>
      <c r="BM271" s="432"/>
      <c r="BN271" s="432"/>
      <c r="BO271" s="432"/>
      <c r="BP271" s="432"/>
      <c r="BQ271" s="432"/>
      <c r="BR271" s="432"/>
      <c r="BS271" s="432"/>
      <c r="BT271" s="432"/>
      <c r="BU271" s="432"/>
      <c r="BV271" s="432"/>
      <c r="BW271" s="432"/>
      <c r="BX271" s="432"/>
      <c r="BY271" s="432"/>
      <c r="BZ271" s="432"/>
      <c r="CA271" s="432"/>
      <c r="CB271" s="432"/>
      <c r="CC271" s="432"/>
      <c r="CD271" s="432"/>
      <c r="CE271" s="432"/>
      <c r="CF271" s="432"/>
      <c r="CG271" s="432"/>
      <c r="CH271" s="432"/>
      <c r="CI271" s="432"/>
      <c r="CJ271" s="432"/>
      <c r="CK271" s="432"/>
      <c r="CL271" s="432"/>
      <c r="CM271" s="432"/>
      <c r="CN271" s="432"/>
      <c r="CO271" s="432"/>
      <c r="CP271" s="432"/>
      <c r="CQ271" s="432"/>
      <c r="CR271" s="432"/>
      <c r="CS271" s="432"/>
      <c r="CT271" s="432"/>
      <c r="CU271" s="432"/>
      <c r="CV271" s="432"/>
      <c r="CW271" s="432"/>
      <c r="CX271" s="432"/>
      <c r="CY271" s="432"/>
      <c r="CZ271" s="432"/>
      <c r="DA271" s="432"/>
      <c r="DB271" s="432"/>
      <c r="DC271" s="432"/>
      <c r="DD271" s="432"/>
      <c r="DE271" s="432"/>
      <c r="DF271" s="432"/>
      <c r="DG271" s="432"/>
      <c r="DH271" s="432"/>
      <c r="DI271" s="432"/>
      <c r="DJ271" s="432"/>
      <c r="DK271" s="432"/>
      <c r="DL271" s="432"/>
      <c r="DM271" s="432"/>
      <c r="DN271" s="432"/>
      <c r="DO271" s="432"/>
      <c r="DP271" s="432"/>
      <c r="DQ271" s="432"/>
      <c r="DR271" s="432"/>
      <c r="DS271" s="432"/>
      <c r="DT271" s="432"/>
      <c r="DU271" s="432"/>
      <c r="DV271" s="432"/>
      <c r="DW271" s="432"/>
      <c r="DX271" s="432"/>
      <c r="DY271" s="432"/>
      <c r="DZ271" s="432"/>
      <c r="EA271" s="432"/>
      <c r="EB271" s="432"/>
      <c r="EC271" s="432"/>
      <c r="ED271" s="432"/>
      <c r="EE271" s="432"/>
      <c r="EF271" s="432"/>
      <c r="EG271" s="432"/>
      <c r="EH271" s="432"/>
      <c r="EI271" s="432"/>
      <c r="EJ271" s="432"/>
      <c r="EK271" s="432"/>
      <c r="EL271" s="432"/>
      <c r="EM271" s="432"/>
      <c r="EN271" s="432"/>
      <c r="EO271" s="432"/>
      <c r="EP271" s="432"/>
      <c r="EQ271" s="432"/>
      <c r="ER271" s="432"/>
      <c r="ES271" s="432"/>
      <c r="ET271" s="432"/>
      <c r="EU271" s="432"/>
      <c r="EV271" s="432"/>
      <c r="EW271" s="432"/>
      <c r="EX271" s="432"/>
      <c r="EY271" s="432"/>
      <c r="EZ271" s="432"/>
      <c r="FA271" s="432"/>
      <c r="FB271" s="432"/>
      <c r="FC271" s="432"/>
      <c r="FD271" s="432"/>
      <c r="FE271" s="432"/>
      <c r="FF271" s="432"/>
      <c r="FG271" s="432"/>
      <c r="FH271" s="432"/>
      <c r="FI271" s="432"/>
      <c r="FJ271" s="432"/>
      <c r="FK271" s="432"/>
      <c r="FL271" s="432"/>
      <c r="FM271" s="432"/>
      <c r="FN271" s="432"/>
      <c r="FO271" s="432"/>
      <c r="FP271" s="432"/>
      <c r="FQ271" s="432"/>
      <c r="FR271" s="432"/>
      <c r="FS271" s="432"/>
      <c r="FT271" s="432"/>
      <c r="FU271" s="432"/>
      <c r="FV271" s="432"/>
      <c r="FW271" s="432"/>
      <c r="FX271" s="432"/>
      <c r="FY271" s="432"/>
      <c r="FZ271" s="432"/>
      <c r="GA271" s="432"/>
      <c r="GB271" s="432"/>
      <c r="GC271" s="432"/>
      <c r="GD271" s="432"/>
      <c r="GE271" s="432"/>
      <c r="GF271" s="432"/>
      <c r="GG271" s="432"/>
      <c r="GH271" s="432"/>
      <c r="GI271" s="432"/>
      <c r="GJ271" s="432"/>
      <c r="GK271" s="432"/>
      <c r="GL271" s="432"/>
      <c r="GM271" s="432"/>
      <c r="GN271" s="432"/>
      <c r="GO271" s="432"/>
      <c r="GP271" s="432"/>
      <c r="GQ271" s="432"/>
      <c r="GR271" s="432"/>
      <c r="GS271" s="432"/>
      <c r="GT271" s="432"/>
      <c r="GU271" s="432"/>
      <c r="GV271" s="432"/>
      <c r="GW271" s="432"/>
      <c r="GX271" s="432"/>
      <c r="GY271" s="432"/>
      <c r="GZ271" s="432"/>
      <c r="HA271" s="432"/>
      <c r="HB271" s="432"/>
      <c r="HC271" s="432"/>
      <c r="HD271" s="432"/>
      <c r="HE271" s="432"/>
      <c r="HF271" s="432"/>
      <c r="HG271" s="432"/>
      <c r="HH271" s="432"/>
      <c r="HI271" s="432"/>
      <c r="HJ271" s="432"/>
      <c r="HK271" s="432"/>
      <c r="HL271" s="432"/>
      <c r="HM271" s="432"/>
      <c r="HN271" s="432"/>
      <c r="HO271" s="432"/>
      <c r="HP271" s="432"/>
      <c r="HQ271" s="432"/>
      <c r="HR271" s="432"/>
      <c r="HS271" s="432"/>
      <c r="HT271" s="432"/>
      <c r="HU271" s="432"/>
      <c r="HV271" s="432"/>
      <c r="HW271" s="432"/>
      <c r="HX271" s="432"/>
      <c r="HY271" s="432"/>
      <c r="HZ271" s="432"/>
      <c r="IA271" s="432"/>
      <c r="IB271" s="432"/>
      <c r="IC271" s="432"/>
      <c r="ID271" s="432"/>
      <c r="IE271" s="432"/>
      <c r="IF271" s="432"/>
      <c r="IG271" s="432"/>
      <c r="IH271" s="432"/>
      <c r="II271" s="432"/>
      <c r="IJ271" s="432"/>
      <c r="IK271" s="432"/>
      <c r="IL271" s="432"/>
      <c r="IM271" s="432"/>
      <c r="IN271" s="432"/>
      <c r="IO271" s="432"/>
      <c r="IP271" s="432"/>
      <c r="IQ271" s="432"/>
      <c r="IR271" s="432"/>
      <c r="IS271" s="432"/>
      <c r="IT271" s="432"/>
      <c r="IU271" s="432"/>
      <c r="IV271" s="432"/>
      <c r="IW271" s="432"/>
      <c r="IX271" s="432"/>
      <c r="IY271" s="432"/>
      <c r="IZ271" s="432"/>
      <c r="JA271" s="432"/>
      <c r="JB271" s="432"/>
      <c r="JC271" s="432"/>
      <c r="JD271" s="432"/>
      <c r="JE271" s="432"/>
      <c r="JF271" s="432"/>
      <c r="JG271" s="432"/>
      <c r="JH271" s="432"/>
      <c r="JI271" s="432"/>
      <c r="JJ271" s="432"/>
      <c r="JK271" s="432"/>
      <c r="JL271" s="432"/>
      <c r="JM271" s="432"/>
      <c r="JN271" s="432"/>
      <c r="JO271" s="432"/>
      <c r="JP271" s="432"/>
      <c r="JQ271" s="432"/>
      <c r="JR271" s="432"/>
      <c r="JS271" s="432"/>
      <c r="JT271" s="432"/>
      <c r="JU271" s="432"/>
      <c r="JV271" s="432"/>
      <c r="JW271" s="1810"/>
      <c r="JX271" s="432"/>
      <c r="JY271" s="432"/>
      <c r="JZ271" s="432"/>
      <c r="KA271" s="432"/>
      <c r="KB271" s="1810"/>
      <c r="KC271" s="432"/>
      <c r="KD271" s="432"/>
      <c r="KE271" s="432"/>
      <c r="KF271" s="432"/>
      <c r="KG271" s="1810"/>
      <c r="KH271" s="432"/>
      <c r="KI271" s="432"/>
      <c r="KJ271" s="432"/>
      <c r="KK271" s="432"/>
      <c r="KL271" s="1810"/>
      <c r="KM271" s="1810"/>
      <c r="KN271" s="1810"/>
      <c r="KO271" s="1810"/>
      <c r="KP271" s="1810"/>
      <c r="KQ271" s="1810"/>
      <c r="KR271" s="1810"/>
      <c r="KS271" s="1810"/>
      <c r="KT271" s="1810"/>
      <c r="KU271" s="1810"/>
      <c r="KV271" s="1810"/>
      <c r="KW271" s="1810"/>
      <c r="KX271" s="1810"/>
      <c r="KY271" s="1810"/>
      <c r="KZ271" s="1810"/>
      <c r="LA271" s="1810"/>
      <c r="LB271" s="1810"/>
      <c r="LC271" s="1810"/>
      <c r="LD271" s="1810"/>
      <c r="LE271" s="1810"/>
      <c r="LF271" s="1810"/>
      <c r="LG271" s="1810"/>
      <c r="LH271" s="432"/>
      <c r="LI271" s="432"/>
      <c r="LJ271" s="432"/>
      <c r="LK271" s="432"/>
      <c r="LL271" s="432"/>
      <c r="LM271" s="432"/>
      <c r="LN271" s="1811"/>
      <c r="LO271" s="432"/>
      <c r="LP271" s="432"/>
      <c r="LQ271" s="432"/>
      <c r="LR271" s="432"/>
      <c r="LS271" s="432"/>
      <c r="LT271" s="432"/>
      <c r="LU271" s="432"/>
      <c r="LV271" s="432"/>
      <c r="LW271" s="432"/>
      <c r="LX271" s="432"/>
      <c r="LY271" s="432"/>
      <c r="LZ271" s="432"/>
      <c r="MA271" s="432"/>
      <c r="MB271" s="432"/>
      <c r="MC271" s="432"/>
      <c r="MD271" s="1811"/>
      <c r="ME271" s="1811"/>
      <c r="MF271" s="432"/>
      <c r="MG271" s="432"/>
      <c r="MH271" s="432"/>
      <c r="MI271" s="432"/>
      <c r="MJ271" s="432"/>
      <c r="MK271" s="432"/>
      <c r="ML271" s="432"/>
      <c r="MM271" s="432"/>
      <c r="MN271" s="432"/>
      <c r="MO271" s="432"/>
      <c r="MP271" s="432"/>
      <c r="MQ271" s="432"/>
      <c r="MR271" s="432"/>
      <c r="MS271" s="432"/>
      <c r="MT271" s="432"/>
      <c r="MU271" s="432"/>
      <c r="MV271" s="93"/>
      <c r="MW271" s="93"/>
      <c r="MX271" s="93"/>
      <c r="MY271" s="93"/>
      <c r="MZ271" s="93"/>
      <c r="NA271" s="93"/>
      <c r="NB271" s="93"/>
      <c r="NC271" s="93"/>
      <c r="ND271" s="93"/>
      <c r="NE271" s="93"/>
      <c r="NF271" s="93"/>
      <c r="NG271" s="93"/>
      <c r="NH271" s="93"/>
      <c r="NI271" s="93"/>
      <c r="NJ271" s="93"/>
      <c r="NK271" s="93"/>
      <c r="NL271" s="93"/>
      <c r="NM271" s="93"/>
      <c r="NN271" s="93"/>
      <c r="NO271" s="93"/>
      <c r="NP271" s="2807"/>
      <c r="NQ271" s="93"/>
      <c r="NR271" s="93"/>
      <c r="NS271" s="93"/>
      <c r="NT271" s="93"/>
      <c r="NU271" s="93"/>
      <c r="NV271" s="93"/>
      <c r="NW271" s="93"/>
      <c r="NX271" s="93"/>
      <c r="NY271" s="93"/>
      <c r="NZ271" s="93"/>
      <c r="OA271" s="93"/>
      <c r="OB271" s="93"/>
      <c r="OC271" s="93"/>
      <c r="OD271" s="93"/>
      <c r="OE271" s="93"/>
      <c r="OF271" s="93"/>
      <c r="OG271" s="93"/>
      <c r="OH271" s="93"/>
      <c r="OI271" s="93"/>
      <c r="OJ271" s="93"/>
      <c r="OK271" s="93"/>
      <c r="OL271" s="93"/>
      <c r="OM271" s="93"/>
      <c r="ON271" s="93"/>
      <c r="OO271" s="93"/>
      <c r="OP271" s="93"/>
      <c r="OQ271" s="93"/>
      <c r="OR271" s="93"/>
      <c r="OS271" s="93"/>
      <c r="OT271" s="93"/>
      <c r="OU271" s="93"/>
      <c r="OV271" s="93"/>
      <c r="OW271" s="93"/>
      <c r="OX271" s="93"/>
      <c r="OY271" s="93"/>
      <c r="OZ271" s="93"/>
      <c r="PA271" s="93"/>
      <c r="PB271" s="93"/>
      <c r="PC271" s="93"/>
      <c r="PD271" s="93"/>
      <c r="PE271" s="93"/>
      <c r="PF271" s="93"/>
      <c r="PG271" s="93"/>
      <c r="PH271" s="93"/>
      <c r="PI271" s="93"/>
      <c r="PJ271" s="93"/>
      <c r="PK271" s="93"/>
      <c r="PL271" s="93"/>
      <c r="PM271" s="93"/>
      <c r="PN271" s="93"/>
      <c r="PO271" s="93"/>
      <c r="PP271" s="93"/>
      <c r="PQ271" s="93"/>
      <c r="PR271" s="93"/>
      <c r="PS271" s="93"/>
      <c r="PT271" s="93"/>
      <c r="PU271" s="93"/>
      <c r="PV271" s="93"/>
      <c r="PW271" s="93"/>
      <c r="PX271" s="93"/>
      <c r="PY271" s="93"/>
      <c r="PZ271" s="93"/>
      <c r="QA271" s="93"/>
      <c r="QB271" s="93"/>
      <c r="QC271" s="93"/>
      <c r="QD271" s="93"/>
      <c r="QE271" s="93"/>
      <c r="QF271" s="93"/>
      <c r="QG271" s="93"/>
      <c r="QH271" s="93"/>
      <c r="QI271" s="93"/>
      <c r="QJ271" s="93"/>
      <c r="QK271" s="93"/>
      <c r="QL271" s="93"/>
      <c r="QM271" s="93"/>
      <c r="QN271" s="93"/>
      <c r="QO271" s="93"/>
      <c r="QP271" s="93"/>
      <c r="QQ271" s="93"/>
      <c r="QR271" s="93"/>
      <c r="QS271" s="93"/>
      <c r="QT271" s="93"/>
      <c r="QU271" s="93"/>
      <c r="QV271" s="93"/>
      <c r="QW271" s="93"/>
      <c r="QX271" s="93"/>
      <c r="QY271" s="93"/>
      <c r="QZ271" s="93"/>
      <c r="RA271" s="93"/>
      <c r="RB271" s="93"/>
      <c r="RC271" s="93"/>
      <c r="RD271" s="93"/>
      <c r="RE271" s="93"/>
      <c r="RF271" s="93"/>
      <c r="RG271" s="93"/>
      <c r="RH271" s="93"/>
      <c r="RI271" s="93"/>
      <c r="RJ271" s="93"/>
      <c r="RK271" s="93"/>
      <c r="RL271" s="93"/>
      <c r="RM271" s="93"/>
      <c r="RN271" s="93"/>
      <c r="RO271" s="93"/>
      <c r="RP271" s="93"/>
      <c r="RQ271" s="93"/>
      <c r="RR271" s="93"/>
      <c r="RS271" s="93"/>
      <c r="RT271" s="93"/>
      <c r="RU271" s="93"/>
      <c r="RV271" s="93"/>
      <c r="RW271" s="93"/>
      <c r="RX271" s="93"/>
      <c r="RY271" s="93"/>
    </row>
    <row r="272" spans="1:493" s="90" customFormat="1" ht="14.1" customHeight="1">
      <c r="A272" s="1"/>
      <c r="B272" s="1"/>
      <c r="C272" s="1"/>
      <c r="D272" s="1"/>
      <c r="E272" s="1"/>
      <c r="F272" s="1"/>
      <c r="G272" s="1"/>
      <c r="H272" s="1"/>
      <c r="I272" s="1"/>
      <c r="J272" s="1"/>
      <c r="K272" s="1"/>
      <c r="L272" s="1"/>
      <c r="M272" s="1"/>
      <c r="N272" s="1"/>
      <c r="O272" s="1"/>
      <c r="P272" s="1"/>
      <c r="X272" s="432"/>
      <c r="Y272" s="432"/>
      <c r="Z272" s="432"/>
      <c r="AA272" s="432"/>
      <c r="AB272" s="432"/>
      <c r="AC272" s="432"/>
      <c r="AD272" s="432"/>
      <c r="AE272" s="432"/>
      <c r="AF272" s="432"/>
      <c r="AG272" s="432"/>
      <c r="AH272" s="432"/>
      <c r="AI272" s="432"/>
      <c r="AJ272" s="432"/>
      <c r="AK272" s="432"/>
      <c r="AL272" s="432"/>
      <c r="AM272" s="432"/>
      <c r="AN272" s="432"/>
      <c r="AO272" s="432"/>
      <c r="AP272" s="432"/>
      <c r="AQ272" s="432"/>
      <c r="AR272" s="432"/>
      <c r="AS272" s="432"/>
      <c r="AT272" s="432"/>
      <c r="AU272" s="432"/>
      <c r="AV272" s="432"/>
      <c r="AW272" s="432"/>
      <c r="AX272" s="432"/>
      <c r="AY272" s="432"/>
      <c r="AZ272" s="432"/>
      <c r="BA272" s="432"/>
      <c r="BB272" s="432"/>
      <c r="BC272" s="432"/>
      <c r="BD272" s="432"/>
      <c r="BE272" s="432"/>
      <c r="BF272" s="432"/>
      <c r="BG272" s="432"/>
      <c r="BH272" s="432"/>
      <c r="BI272" s="432"/>
      <c r="BJ272" s="432"/>
      <c r="BK272" s="432"/>
      <c r="BL272" s="432"/>
      <c r="BM272" s="432"/>
      <c r="BN272" s="432"/>
      <c r="BO272" s="432"/>
      <c r="BP272" s="432"/>
      <c r="BQ272" s="432"/>
      <c r="BR272" s="432"/>
      <c r="BS272" s="432"/>
      <c r="BT272" s="432"/>
      <c r="BU272" s="432"/>
      <c r="BV272" s="432"/>
      <c r="BW272" s="432"/>
      <c r="BX272" s="432"/>
      <c r="BY272" s="432"/>
      <c r="BZ272" s="432"/>
      <c r="CA272" s="432"/>
      <c r="CB272" s="432"/>
      <c r="CC272" s="432"/>
      <c r="CD272" s="432"/>
      <c r="CE272" s="432"/>
      <c r="CF272" s="432"/>
      <c r="CG272" s="432"/>
      <c r="CH272" s="432"/>
      <c r="CI272" s="432"/>
      <c r="CJ272" s="432"/>
      <c r="CK272" s="432"/>
      <c r="CL272" s="432"/>
      <c r="CM272" s="432"/>
      <c r="CN272" s="432"/>
      <c r="CO272" s="432"/>
      <c r="CP272" s="432"/>
      <c r="CQ272" s="432"/>
      <c r="CR272" s="432"/>
      <c r="CS272" s="432"/>
      <c r="CT272" s="432"/>
      <c r="CU272" s="432"/>
      <c r="CV272" s="432"/>
      <c r="CW272" s="432"/>
      <c r="CX272" s="432"/>
      <c r="CY272" s="432"/>
      <c r="CZ272" s="432"/>
      <c r="DA272" s="432"/>
      <c r="DB272" s="432"/>
      <c r="DC272" s="432"/>
      <c r="DD272" s="432"/>
      <c r="DE272" s="432"/>
      <c r="DF272" s="432"/>
      <c r="DG272" s="432"/>
      <c r="DH272" s="432"/>
      <c r="DI272" s="432"/>
      <c r="DJ272" s="432"/>
      <c r="DK272" s="432"/>
      <c r="DL272" s="432"/>
      <c r="DM272" s="432"/>
      <c r="DN272" s="432"/>
      <c r="DO272" s="432"/>
      <c r="DP272" s="432"/>
      <c r="DQ272" s="432"/>
      <c r="DR272" s="432"/>
      <c r="DS272" s="432"/>
      <c r="DT272" s="432"/>
      <c r="DU272" s="432"/>
      <c r="DV272" s="432"/>
      <c r="DW272" s="432"/>
      <c r="DX272" s="432"/>
      <c r="DY272" s="432"/>
      <c r="DZ272" s="432"/>
      <c r="EA272" s="432"/>
      <c r="EB272" s="432"/>
      <c r="EC272" s="432"/>
      <c r="ED272" s="432"/>
      <c r="EE272" s="432"/>
      <c r="EF272" s="432"/>
      <c r="EG272" s="432"/>
      <c r="EH272" s="432"/>
      <c r="EI272" s="432"/>
      <c r="EJ272" s="432"/>
      <c r="EK272" s="432"/>
      <c r="EL272" s="432"/>
      <c r="EM272" s="432"/>
      <c r="EN272" s="432"/>
      <c r="EO272" s="432"/>
      <c r="EP272" s="432"/>
      <c r="EQ272" s="432"/>
      <c r="ER272" s="432"/>
      <c r="ES272" s="432"/>
      <c r="ET272" s="432"/>
      <c r="EU272" s="432"/>
      <c r="EV272" s="432"/>
      <c r="EW272" s="432"/>
      <c r="EX272" s="432"/>
      <c r="EY272" s="432"/>
      <c r="EZ272" s="432"/>
      <c r="FA272" s="432"/>
      <c r="FB272" s="432"/>
      <c r="FC272" s="432"/>
      <c r="FD272" s="432"/>
      <c r="FE272" s="432"/>
      <c r="FF272" s="432"/>
      <c r="FG272" s="432"/>
      <c r="FH272" s="432"/>
      <c r="FI272" s="432"/>
      <c r="FJ272" s="432"/>
      <c r="FK272" s="432"/>
      <c r="FL272" s="432"/>
      <c r="FM272" s="432"/>
      <c r="FN272" s="432"/>
      <c r="FO272" s="432"/>
      <c r="FP272" s="432"/>
      <c r="FQ272" s="432"/>
      <c r="FR272" s="432"/>
      <c r="FS272" s="432"/>
      <c r="FT272" s="432"/>
      <c r="FU272" s="432"/>
      <c r="FV272" s="432"/>
      <c r="FW272" s="432"/>
      <c r="FX272" s="432"/>
      <c r="FY272" s="432"/>
      <c r="FZ272" s="432"/>
      <c r="GA272" s="432"/>
      <c r="GB272" s="432"/>
      <c r="GC272" s="432"/>
      <c r="GD272" s="432"/>
      <c r="GE272" s="432"/>
      <c r="GF272" s="432"/>
      <c r="GG272" s="432"/>
      <c r="GH272" s="432"/>
      <c r="GI272" s="432"/>
      <c r="GJ272" s="432"/>
      <c r="GK272" s="432"/>
      <c r="GL272" s="432"/>
      <c r="GM272" s="432"/>
      <c r="GN272" s="432"/>
      <c r="GO272" s="432"/>
      <c r="GP272" s="432"/>
      <c r="GQ272" s="432"/>
      <c r="GR272" s="432"/>
      <c r="GS272" s="432"/>
      <c r="GT272" s="432"/>
      <c r="GU272" s="432"/>
      <c r="GV272" s="432"/>
      <c r="GW272" s="432"/>
      <c r="GX272" s="432"/>
      <c r="GY272" s="432"/>
      <c r="GZ272" s="432"/>
      <c r="HA272" s="432"/>
      <c r="HB272" s="432"/>
      <c r="HC272" s="432"/>
      <c r="HD272" s="432"/>
      <c r="HE272" s="432"/>
      <c r="HF272" s="432"/>
      <c r="HG272" s="432"/>
      <c r="HH272" s="432"/>
      <c r="HI272" s="432"/>
      <c r="HJ272" s="432"/>
      <c r="HK272" s="432"/>
      <c r="HL272" s="432"/>
      <c r="HM272" s="432"/>
      <c r="HN272" s="432"/>
      <c r="HO272" s="432"/>
      <c r="HP272" s="432"/>
      <c r="HQ272" s="432"/>
      <c r="HR272" s="432"/>
      <c r="HS272" s="432"/>
      <c r="HT272" s="432"/>
      <c r="HU272" s="432"/>
      <c r="HV272" s="432"/>
      <c r="HW272" s="432"/>
      <c r="HX272" s="432"/>
      <c r="HY272" s="432"/>
      <c r="HZ272" s="432"/>
      <c r="IA272" s="432"/>
      <c r="IB272" s="432"/>
      <c r="IC272" s="432"/>
      <c r="ID272" s="432"/>
      <c r="IE272" s="432"/>
      <c r="IF272" s="432"/>
      <c r="IG272" s="432"/>
      <c r="IH272" s="432"/>
      <c r="II272" s="432"/>
      <c r="IJ272" s="432"/>
      <c r="IK272" s="432"/>
      <c r="IL272" s="432"/>
      <c r="IM272" s="432"/>
      <c r="IN272" s="432"/>
      <c r="IO272" s="432"/>
      <c r="IP272" s="432"/>
      <c r="IQ272" s="432"/>
      <c r="IR272" s="432"/>
      <c r="IS272" s="432"/>
      <c r="IT272" s="432"/>
      <c r="IU272" s="432"/>
      <c r="IV272" s="432"/>
      <c r="IW272" s="432"/>
      <c r="IX272" s="432"/>
      <c r="IY272" s="432"/>
      <c r="IZ272" s="432"/>
      <c r="JA272" s="432"/>
      <c r="JB272" s="432"/>
      <c r="JC272" s="432"/>
      <c r="JD272" s="432"/>
      <c r="JE272" s="432"/>
      <c r="JF272" s="432"/>
      <c r="JG272" s="432"/>
      <c r="JH272" s="432"/>
      <c r="JI272" s="432"/>
      <c r="JJ272" s="432"/>
      <c r="JK272" s="432"/>
      <c r="JL272" s="432"/>
      <c r="JM272" s="432"/>
      <c r="JN272" s="432"/>
      <c r="JO272" s="432"/>
      <c r="JP272" s="432"/>
      <c r="JQ272" s="432"/>
      <c r="JR272" s="432"/>
      <c r="JS272" s="432"/>
      <c r="JT272" s="432"/>
      <c r="JU272" s="432"/>
      <c r="JV272" s="432"/>
      <c r="JW272" s="1810"/>
      <c r="JX272" s="432"/>
      <c r="JY272" s="432"/>
      <c r="JZ272" s="432"/>
      <c r="KA272" s="432"/>
      <c r="KB272" s="1810"/>
      <c r="KC272" s="432"/>
      <c r="KD272" s="432"/>
      <c r="KE272" s="432"/>
      <c r="KF272" s="432"/>
      <c r="KG272" s="1810"/>
      <c r="KH272" s="432"/>
      <c r="KI272" s="432"/>
      <c r="KJ272" s="432"/>
      <c r="KK272" s="432"/>
      <c r="KL272" s="1810"/>
      <c r="KM272" s="1810"/>
      <c r="KN272" s="1810"/>
      <c r="KO272" s="1810"/>
      <c r="KP272" s="1810"/>
      <c r="KQ272" s="1810"/>
      <c r="KR272" s="1810"/>
      <c r="KS272" s="1810"/>
      <c r="KT272" s="1810"/>
      <c r="KU272" s="1810"/>
      <c r="KV272" s="1810"/>
      <c r="KW272" s="1810"/>
      <c r="KX272" s="1810"/>
      <c r="KY272" s="1810"/>
      <c r="KZ272" s="1810"/>
      <c r="LA272" s="1810"/>
      <c r="LB272" s="1810"/>
      <c r="LC272" s="1810"/>
      <c r="LD272" s="1810"/>
      <c r="LE272" s="1810"/>
      <c r="LF272" s="1810"/>
      <c r="LG272" s="1810"/>
      <c r="LH272" s="432"/>
      <c r="LI272" s="432"/>
      <c r="LJ272" s="432"/>
      <c r="LK272" s="432"/>
      <c r="LL272" s="432"/>
      <c r="LM272" s="432"/>
      <c r="LN272" s="1811"/>
      <c r="LO272" s="432"/>
      <c r="LP272" s="432"/>
      <c r="LQ272" s="432"/>
      <c r="LR272" s="432"/>
      <c r="LS272" s="432"/>
      <c r="LT272" s="432"/>
      <c r="LU272" s="432"/>
      <c r="LV272" s="432"/>
      <c r="LW272" s="432"/>
      <c r="LX272" s="432"/>
      <c r="LY272" s="432"/>
      <c r="LZ272" s="432"/>
      <c r="MA272" s="432"/>
      <c r="MB272" s="432"/>
      <c r="MC272" s="432"/>
      <c r="MD272" s="1811"/>
      <c r="ME272" s="1811"/>
      <c r="MF272" s="432"/>
      <c r="MG272" s="432"/>
      <c r="MH272" s="432"/>
      <c r="MI272" s="432"/>
      <c r="MJ272" s="432"/>
      <c r="MK272" s="432"/>
      <c r="ML272" s="432"/>
      <c r="MM272" s="432"/>
      <c r="MN272" s="432"/>
      <c r="MO272" s="432"/>
      <c r="MP272" s="432"/>
      <c r="MQ272" s="432"/>
      <c r="MR272" s="432"/>
      <c r="MS272" s="432"/>
      <c r="MT272" s="432"/>
      <c r="MU272" s="432"/>
      <c r="MV272" s="93"/>
      <c r="MW272" s="93"/>
      <c r="MX272" s="93"/>
      <c r="MY272" s="93"/>
      <c r="MZ272" s="93"/>
      <c r="NA272" s="93"/>
      <c r="NB272" s="93"/>
      <c r="NC272" s="93"/>
      <c r="ND272" s="93"/>
      <c r="NE272" s="93"/>
      <c r="NF272" s="93"/>
      <c r="NG272" s="93"/>
      <c r="NH272" s="93"/>
      <c r="NI272" s="93"/>
      <c r="NJ272" s="93"/>
      <c r="NK272" s="93"/>
      <c r="NL272" s="93"/>
      <c r="NM272" s="93"/>
      <c r="NN272" s="93"/>
      <c r="NO272" s="93"/>
      <c r="NP272" s="2807"/>
      <c r="NQ272" s="93"/>
      <c r="NR272" s="93"/>
      <c r="NS272" s="93"/>
      <c r="NT272" s="93"/>
      <c r="NU272" s="93"/>
      <c r="NV272" s="93"/>
      <c r="NW272" s="93"/>
      <c r="NX272" s="93"/>
      <c r="NY272" s="93"/>
      <c r="NZ272" s="93"/>
      <c r="OA272" s="93"/>
      <c r="OB272" s="93"/>
      <c r="OC272" s="93"/>
      <c r="OD272" s="93"/>
      <c r="OE272" s="93"/>
      <c r="OF272" s="93"/>
      <c r="OG272" s="93"/>
      <c r="OH272" s="93"/>
      <c r="OI272" s="93"/>
      <c r="OJ272" s="93"/>
      <c r="OK272" s="93"/>
      <c r="OL272" s="93"/>
      <c r="OM272" s="93"/>
      <c r="ON272" s="93"/>
      <c r="OO272" s="93"/>
      <c r="OP272" s="93"/>
      <c r="OQ272" s="93"/>
      <c r="OR272" s="93"/>
      <c r="OS272" s="93"/>
      <c r="OT272" s="93"/>
      <c r="OU272" s="93"/>
      <c r="OV272" s="93"/>
      <c r="OW272" s="93"/>
      <c r="OX272" s="93"/>
      <c r="OY272" s="93"/>
      <c r="OZ272" s="93"/>
      <c r="PA272" s="93"/>
      <c r="PB272" s="93"/>
      <c r="PC272" s="93"/>
      <c r="PD272" s="93"/>
      <c r="PE272" s="93"/>
      <c r="PF272" s="93"/>
      <c r="PG272" s="93"/>
      <c r="PH272" s="93"/>
      <c r="PI272" s="93"/>
      <c r="PJ272" s="93"/>
      <c r="PK272" s="93"/>
      <c r="PL272" s="93"/>
      <c r="PM272" s="93"/>
      <c r="PN272" s="93"/>
      <c r="PO272" s="93"/>
      <c r="PP272" s="93"/>
      <c r="PQ272" s="93"/>
      <c r="PR272" s="93"/>
      <c r="PS272" s="93"/>
      <c r="PT272" s="93"/>
      <c r="PU272" s="93"/>
      <c r="PV272" s="93"/>
      <c r="PW272" s="93"/>
      <c r="PX272" s="93"/>
      <c r="PY272" s="93"/>
      <c r="PZ272" s="93"/>
      <c r="QA272" s="93"/>
      <c r="QB272" s="93"/>
      <c r="QC272" s="93"/>
      <c r="QD272" s="93"/>
      <c r="QE272" s="93"/>
      <c r="QF272" s="93"/>
      <c r="QG272" s="93"/>
      <c r="QH272" s="93"/>
      <c r="QI272" s="93"/>
      <c r="QJ272" s="93"/>
      <c r="QK272" s="93"/>
      <c r="QL272" s="93"/>
      <c r="QM272" s="93"/>
      <c r="QN272" s="93"/>
      <c r="QO272" s="93"/>
      <c r="QP272" s="93"/>
      <c r="QQ272" s="93"/>
      <c r="QR272" s="93"/>
      <c r="QS272" s="93"/>
      <c r="QT272" s="93"/>
      <c r="QU272" s="93"/>
      <c r="QV272" s="93"/>
      <c r="QW272" s="93"/>
      <c r="QX272" s="93"/>
      <c r="QY272" s="93"/>
      <c r="QZ272" s="93"/>
      <c r="RA272" s="93"/>
      <c r="RB272" s="93"/>
      <c r="RC272" s="93"/>
      <c r="RD272" s="93"/>
      <c r="RE272" s="93"/>
      <c r="RF272" s="93"/>
      <c r="RG272" s="93"/>
      <c r="RH272" s="93"/>
      <c r="RI272" s="93"/>
      <c r="RJ272" s="93"/>
      <c r="RK272" s="93"/>
      <c r="RL272" s="93"/>
      <c r="RM272" s="93"/>
      <c r="RN272" s="93"/>
      <c r="RO272" s="93"/>
      <c r="RP272" s="93"/>
      <c r="RQ272" s="93"/>
      <c r="RR272" s="93"/>
      <c r="RS272" s="93"/>
      <c r="RT272" s="93"/>
      <c r="RU272" s="93"/>
      <c r="RV272" s="93"/>
      <c r="RW272" s="93"/>
      <c r="RX272" s="93"/>
      <c r="RY272" s="93"/>
    </row>
    <row r="273" spans="1:493" s="90" customFormat="1" ht="14.1" customHeight="1">
      <c r="A273" s="1"/>
      <c r="B273" s="1"/>
      <c r="C273" s="1"/>
      <c r="D273" s="1"/>
      <c r="E273" s="1"/>
      <c r="F273" s="1"/>
      <c r="G273" s="1"/>
      <c r="H273" s="1"/>
      <c r="I273" s="1"/>
      <c r="J273" s="1"/>
      <c r="K273" s="1"/>
      <c r="L273" s="1"/>
      <c r="M273" s="1"/>
      <c r="N273" s="1"/>
      <c r="O273" s="1"/>
      <c r="P273" s="1"/>
      <c r="X273" s="432"/>
      <c r="Y273" s="432"/>
      <c r="Z273" s="432"/>
      <c r="AA273" s="432"/>
      <c r="AB273" s="432"/>
      <c r="AC273" s="432"/>
      <c r="AD273" s="432"/>
      <c r="AE273" s="432"/>
      <c r="AF273" s="432"/>
      <c r="AG273" s="432"/>
      <c r="AH273" s="432"/>
      <c r="AI273" s="432"/>
      <c r="AJ273" s="432"/>
      <c r="AK273" s="432"/>
      <c r="AL273" s="432"/>
      <c r="AM273" s="432"/>
      <c r="AN273" s="432"/>
      <c r="AO273" s="432"/>
      <c r="AP273" s="432"/>
      <c r="AQ273" s="432"/>
      <c r="AR273" s="432"/>
      <c r="AS273" s="432"/>
      <c r="AT273" s="432"/>
      <c r="AU273" s="432"/>
      <c r="AV273" s="432"/>
      <c r="AW273" s="432"/>
      <c r="AX273" s="432"/>
      <c r="AY273" s="432"/>
      <c r="AZ273" s="432"/>
      <c r="BA273" s="432"/>
      <c r="BB273" s="432"/>
      <c r="BC273" s="432"/>
      <c r="BD273" s="432"/>
      <c r="BE273" s="432"/>
      <c r="BF273" s="432"/>
      <c r="BG273" s="432"/>
      <c r="BH273" s="432"/>
      <c r="BI273" s="432"/>
      <c r="BJ273" s="432"/>
      <c r="BK273" s="432"/>
      <c r="BL273" s="432"/>
      <c r="BM273" s="432"/>
      <c r="BN273" s="432"/>
      <c r="BO273" s="432"/>
      <c r="BP273" s="432"/>
      <c r="BQ273" s="432"/>
      <c r="BR273" s="432"/>
      <c r="BS273" s="432"/>
      <c r="BT273" s="432"/>
      <c r="BU273" s="432"/>
      <c r="BV273" s="432"/>
      <c r="BW273" s="432"/>
      <c r="BX273" s="432"/>
      <c r="BY273" s="432"/>
      <c r="BZ273" s="432"/>
      <c r="CA273" s="432"/>
      <c r="CB273" s="432"/>
      <c r="CC273" s="432"/>
      <c r="CD273" s="432"/>
      <c r="CE273" s="432"/>
      <c r="CF273" s="432"/>
      <c r="CG273" s="432"/>
      <c r="CH273" s="432"/>
      <c r="CI273" s="432"/>
      <c r="CJ273" s="432"/>
      <c r="CK273" s="432"/>
      <c r="CL273" s="432"/>
      <c r="CM273" s="432"/>
      <c r="CN273" s="432"/>
      <c r="CO273" s="432"/>
      <c r="CP273" s="432"/>
      <c r="CQ273" s="432"/>
      <c r="CR273" s="432"/>
      <c r="CS273" s="432"/>
      <c r="CT273" s="432"/>
      <c r="CU273" s="432"/>
      <c r="CV273" s="432"/>
      <c r="CW273" s="432"/>
      <c r="CX273" s="432"/>
      <c r="CY273" s="432"/>
      <c r="CZ273" s="432"/>
      <c r="DA273" s="432"/>
      <c r="DB273" s="432"/>
      <c r="DC273" s="432"/>
      <c r="DD273" s="432"/>
      <c r="DE273" s="432"/>
      <c r="DF273" s="432"/>
      <c r="DG273" s="432"/>
      <c r="DH273" s="432"/>
      <c r="DI273" s="432"/>
      <c r="DJ273" s="432"/>
      <c r="DK273" s="432"/>
      <c r="DL273" s="432"/>
      <c r="DM273" s="432"/>
      <c r="DN273" s="432"/>
      <c r="DO273" s="432"/>
      <c r="DP273" s="432"/>
      <c r="DQ273" s="432"/>
      <c r="DR273" s="432"/>
      <c r="DS273" s="432"/>
      <c r="DT273" s="432"/>
      <c r="DU273" s="432"/>
      <c r="DV273" s="432"/>
      <c r="DW273" s="432"/>
      <c r="DX273" s="432"/>
      <c r="DY273" s="432"/>
      <c r="DZ273" s="432"/>
      <c r="EA273" s="432"/>
      <c r="EB273" s="432"/>
      <c r="EC273" s="432"/>
      <c r="ED273" s="432"/>
      <c r="EE273" s="432"/>
      <c r="EF273" s="432"/>
      <c r="EG273" s="432"/>
      <c r="EH273" s="432"/>
      <c r="EI273" s="432"/>
      <c r="EJ273" s="432"/>
      <c r="EK273" s="432"/>
      <c r="EL273" s="432"/>
      <c r="EM273" s="432"/>
      <c r="EN273" s="432"/>
      <c r="EO273" s="432"/>
      <c r="EP273" s="432"/>
      <c r="EQ273" s="432"/>
      <c r="ER273" s="432"/>
      <c r="ES273" s="432"/>
      <c r="ET273" s="432"/>
      <c r="EU273" s="432"/>
      <c r="EV273" s="432"/>
      <c r="EW273" s="432"/>
      <c r="EX273" s="432"/>
      <c r="EY273" s="432"/>
      <c r="EZ273" s="432"/>
      <c r="FA273" s="432"/>
      <c r="FB273" s="432"/>
      <c r="FC273" s="432"/>
      <c r="FD273" s="432"/>
      <c r="FE273" s="432"/>
      <c r="FF273" s="432"/>
      <c r="FG273" s="432"/>
      <c r="FH273" s="432"/>
      <c r="FI273" s="432"/>
      <c r="FJ273" s="432"/>
      <c r="FK273" s="432"/>
      <c r="FL273" s="432"/>
      <c r="FM273" s="432"/>
      <c r="FN273" s="432"/>
      <c r="FO273" s="432"/>
      <c r="FP273" s="432"/>
      <c r="FQ273" s="432"/>
      <c r="FR273" s="432"/>
      <c r="FS273" s="432"/>
      <c r="FT273" s="432"/>
      <c r="FU273" s="432"/>
      <c r="FV273" s="432"/>
      <c r="FW273" s="432"/>
      <c r="FX273" s="432"/>
      <c r="FY273" s="432"/>
      <c r="FZ273" s="432"/>
      <c r="GA273" s="432"/>
      <c r="GB273" s="432"/>
      <c r="GC273" s="432"/>
      <c r="GD273" s="432"/>
      <c r="GE273" s="432"/>
      <c r="GF273" s="432"/>
      <c r="GG273" s="432"/>
      <c r="GH273" s="432"/>
      <c r="GI273" s="432"/>
      <c r="GJ273" s="432"/>
      <c r="GK273" s="432"/>
      <c r="GL273" s="432"/>
      <c r="GM273" s="432"/>
      <c r="GN273" s="432"/>
      <c r="GO273" s="432"/>
      <c r="GP273" s="432"/>
      <c r="GQ273" s="432"/>
      <c r="GR273" s="432"/>
      <c r="GS273" s="432"/>
      <c r="GT273" s="432"/>
      <c r="GU273" s="432"/>
      <c r="GV273" s="432"/>
      <c r="GW273" s="432"/>
      <c r="GX273" s="432"/>
      <c r="GY273" s="432"/>
      <c r="GZ273" s="432"/>
      <c r="HA273" s="432"/>
      <c r="HB273" s="432"/>
      <c r="HC273" s="432"/>
      <c r="HD273" s="432"/>
      <c r="HE273" s="432"/>
      <c r="HF273" s="432"/>
      <c r="HG273" s="432"/>
      <c r="HH273" s="432"/>
      <c r="HI273" s="432"/>
      <c r="HJ273" s="432"/>
      <c r="HK273" s="432"/>
      <c r="HL273" s="432"/>
      <c r="HM273" s="432"/>
      <c r="HN273" s="432"/>
      <c r="HO273" s="432"/>
      <c r="HP273" s="432"/>
      <c r="HQ273" s="432"/>
      <c r="HR273" s="432"/>
      <c r="HS273" s="432"/>
      <c r="HT273" s="432"/>
      <c r="HU273" s="432"/>
      <c r="HV273" s="432"/>
      <c r="HW273" s="432"/>
      <c r="HX273" s="432"/>
      <c r="HY273" s="432"/>
      <c r="HZ273" s="432"/>
      <c r="IA273" s="432"/>
      <c r="IB273" s="432"/>
      <c r="IC273" s="432"/>
      <c r="ID273" s="432"/>
      <c r="IE273" s="432"/>
      <c r="IF273" s="432"/>
      <c r="IG273" s="432"/>
      <c r="IH273" s="432"/>
      <c r="II273" s="432"/>
      <c r="IJ273" s="432"/>
      <c r="IK273" s="432"/>
      <c r="IL273" s="432"/>
      <c r="IM273" s="432"/>
      <c r="IN273" s="432"/>
      <c r="IO273" s="432"/>
      <c r="IP273" s="432"/>
      <c r="IQ273" s="432"/>
      <c r="IR273" s="432"/>
      <c r="IS273" s="432"/>
      <c r="IT273" s="432"/>
      <c r="IU273" s="432"/>
      <c r="IV273" s="432"/>
      <c r="IW273" s="432"/>
      <c r="IX273" s="432"/>
      <c r="IY273" s="432"/>
      <c r="IZ273" s="432"/>
      <c r="JA273" s="432"/>
      <c r="JB273" s="432"/>
      <c r="JC273" s="432"/>
      <c r="JD273" s="432"/>
      <c r="JE273" s="432"/>
      <c r="JF273" s="432"/>
      <c r="JG273" s="432"/>
      <c r="JH273" s="432"/>
      <c r="JI273" s="432"/>
      <c r="JJ273" s="432"/>
      <c r="JK273" s="432"/>
      <c r="JL273" s="432"/>
      <c r="JM273" s="432"/>
      <c r="JN273" s="432"/>
      <c r="JO273" s="432"/>
      <c r="JP273" s="432"/>
      <c r="JQ273" s="432"/>
      <c r="JR273" s="432"/>
      <c r="JS273" s="432"/>
      <c r="JT273" s="432"/>
      <c r="JU273" s="432"/>
      <c r="JV273" s="432"/>
      <c r="JW273" s="1810"/>
      <c r="JX273" s="432"/>
      <c r="JY273" s="432"/>
      <c r="JZ273" s="432"/>
      <c r="KA273" s="432"/>
      <c r="KB273" s="1810"/>
      <c r="KC273" s="432"/>
      <c r="KD273" s="432"/>
      <c r="KE273" s="432"/>
      <c r="KF273" s="432"/>
      <c r="KG273" s="1810"/>
      <c r="KH273" s="432"/>
      <c r="KI273" s="432"/>
      <c r="KJ273" s="432"/>
      <c r="KK273" s="432"/>
      <c r="KL273" s="1810"/>
      <c r="KM273" s="1810"/>
      <c r="KN273" s="1810"/>
      <c r="KO273" s="1810"/>
      <c r="KP273" s="1810"/>
      <c r="KQ273" s="1810"/>
      <c r="KR273" s="1810"/>
      <c r="KS273" s="1810"/>
      <c r="KT273" s="1810"/>
      <c r="KU273" s="1810"/>
      <c r="KV273" s="1810"/>
      <c r="KW273" s="1810"/>
      <c r="KX273" s="1810"/>
      <c r="KY273" s="1810"/>
      <c r="KZ273" s="1810"/>
      <c r="LA273" s="1810"/>
      <c r="LB273" s="1810"/>
      <c r="LC273" s="1810"/>
      <c r="LD273" s="1810"/>
      <c r="LE273" s="1810"/>
      <c r="LF273" s="1810"/>
      <c r="LG273" s="1810"/>
      <c r="LH273" s="432"/>
      <c r="LI273" s="432"/>
      <c r="LJ273" s="432"/>
      <c r="LK273" s="432"/>
      <c r="LL273" s="432"/>
      <c r="LM273" s="432"/>
      <c r="LN273" s="1811"/>
      <c r="LO273" s="432"/>
      <c r="LP273" s="432"/>
      <c r="LQ273" s="432"/>
      <c r="LR273" s="432"/>
      <c r="LS273" s="432"/>
      <c r="LT273" s="432"/>
      <c r="LU273" s="432"/>
      <c r="LV273" s="432"/>
      <c r="LW273" s="432"/>
      <c r="LX273" s="432"/>
      <c r="LY273" s="432"/>
      <c r="LZ273" s="432"/>
      <c r="MA273" s="432"/>
      <c r="MB273" s="432"/>
      <c r="MC273" s="432"/>
      <c r="MD273" s="1811"/>
      <c r="ME273" s="1811"/>
      <c r="MF273" s="432"/>
      <c r="MG273" s="432"/>
      <c r="MH273" s="432"/>
      <c r="MI273" s="432"/>
      <c r="MJ273" s="432"/>
      <c r="MK273" s="432"/>
      <c r="ML273" s="432"/>
      <c r="MM273" s="432"/>
      <c r="MN273" s="432"/>
      <c r="MO273" s="432"/>
      <c r="MP273" s="432"/>
      <c r="MQ273" s="432"/>
      <c r="MR273" s="432"/>
      <c r="MS273" s="432"/>
      <c r="MT273" s="432"/>
      <c r="MU273" s="432"/>
      <c r="MV273" s="93"/>
      <c r="MW273" s="93"/>
      <c r="MX273" s="93"/>
      <c r="MY273" s="93"/>
      <c r="MZ273" s="93"/>
      <c r="NA273" s="93"/>
      <c r="NB273" s="93"/>
      <c r="NC273" s="93"/>
      <c r="ND273" s="93"/>
      <c r="NE273" s="93"/>
      <c r="NF273" s="93"/>
      <c r="NG273" s="93"/>
      <c r="NH273" s="93"/>
      <c r="NI273" s="93"/>
      <c r="NJ273" s="93"/>
      <c r="NK273" s="93"/>
      <c r="NL273" s="93"/>
      <c r="NM273" s="93"/>
      <c r="NN273" s="93"/>
      <c r="NO273" s="93"/>
      <c r="NP273" s="2807"/>
      <c r="NQ273" s="93"/>
      <c r="NR273" s="93"/>
      <c r="NS273" s="93"/>
      <c r="NT273" s="93"/>
      <c r="NU273" s="93"/>
      <c r="NV273" s="93"/>
      <c r="NW273" s="93"/>
      <c r="NX273" s="93"/>
      <c r="NY273" s="93"/>
      <c r="NZ273" s="93"/>
      <c r="OA273" s="93"/>
      <c r="OB273" s="93"/>
      <c r="OC273" s="93"/>
      <c r="OD273" s="93"/>
      <c r="OE273" s="93"/>
      <c r="OF273" s="93"/>
      <c r="OG273" s="93"/>
      <c r="OH273" s="93"/>
      <c r="OI273" s="93"/>
      <c r="OJ273" s="93"/>
      <c r="OK273" s="93"/>
      <c r="OL273" s="93"/>
      <c r="OM273" s="93"/>
      <c r="ON273" s="93"/>
      <c r="OO273" s="93"/>
      <c r="OP273" s="93"/>
      <c r="OQ273" s="93"/>
      <c r="OR273" s="93"/>
      <c r="OS273" s="93"/>
      <c r="OT273" s="93"/>
      <c r="OU273" s="93"/>
      <c r="OV273" s="93"/>
      <c r="OW273" s="93"/>
      <c r="OX273" s="93"/>
      <c r="OY273" s="93"/>
      <c r="OZ273" s="93"/>
      <c r="PA273" s="93"/>
      <c r="PB273" s="93"/>
      <c r="PC273" s="93"/>
      <c r="PD273" s="93"/>
      <c r="PE273" s="93"/>
      <c r="PF273" s="93"/>
      <c r="PG273" s="93"/>
      <c r="PH273" s="93"/>
      <c r="PI273" s="93"/>
      <c r="PJ273" s="93"/>
      <c r="PK273" s="93"/>
      <c r="PL273" s="93"/>
      <c r="PM273" s="93"/>
      <c r="PN273" s="93"/>
      <c r="PO273" s="93"/>
      <c r="PP273" s="93"/>
      <c r="PQ273" s="93"/>
      <c r="PR273" s="93"/>
      <c r="PS273" s="93"/>
      <c r="PT273" s="93"/>
      <c r="PU273" s="93"/>
      <c r="PV273" s="93"/>
      <c r="PW273" s="93"/>
      <c r="PX273" s="93"/>
      <c r="PY273" s="93"/>
      <c r="PZ273" s="93"/>
      <c r="QA273" s="93"/>
      <c r="QB273" s="93"/>
      <c r="QC273" s="93"/>
      <c r="QD273" s="93"/>
      <c r="QE273" s="93"/>
      <c r="QF273" s="93"/>
      <c r="QG273" s="93"/>
      <c r="QH273" s="93"/>
      <c r="QI273" s="93"/>
      <c r="QJ273" s="93"/>
      <c r="QK273" s="93"/>
      <c r="QL273" s="93"/>
      <c r="QM273" s="93"/>
      <c r="QN273" s="93"/>
      <c r="QO273" s="93"/>
      <c r="QP273" s="93"/>
      <c r="QQ273" s="93"/>
      <c r="QR273" s="93"/>
      <c r="QS273" s="93"/>
      <c r="QT273" s="93"/>
      <c r="QU273" s="93"/>
      <c r="QV273" s="93"/>
      <c r="QW273" s="93"/>
      <c r="QX273" s="93"/>
      <c r="QY273" s="93"/>
      <c r="QZ273" s="93"/>
      <c r="RA273" s="93"/>
      <c r="RB273" s="93"/>
      <c r="RC273" s="93"/>
      <c r="RD273" s="93"/>
      <c r="RE273" s="93"/>
      <c r="RF273" s="93"/>
      <c r="RG273" s="93"/>
      <c r="RH273" s="93"/>
      <c r="RI273" s="93"/>
      <c r="RJ273" s="93"/>
      <c r="RK273" s="93"/>
      <c r="RL273" s="93"/>
      <c r="RM273" s="93"/>
      <c r="RN273" s="93"/>
      <c r="RO273" s="93"/>
      <c r="RP273" s="93"/>
      <c r="RQ273" s="93"/>
      <c r="RR273" s="93"/>
      <c r="RS273" s="93"/>
      <c r="RT273" s="93"/>
      <c r="RU273" s="93"/>
      <c r="RV273" s="93"/>
      <c r="RW273" s="93"/>
      <c r="RX273" s="93"/>
      <c r="RY273" s="93"/>
    </row>
    <row r="274" spans="1:493" ht="14.1" customHeight="1"/>
    <row r="275" spans="1:493" ht="14.1" customHeight="1">
      <c r="A275" s="13"/>
      <c r="NP275" s="2850"/>
    </row>
    <row r="276" spans="1:493" ht="14.1" customHeight="1">
      <c r="NP276" s="2850"/>
    </row>
    <row r="277" spans="1:493" ht="14.1" customHeight="1">
      <c r="NP277" s="2850"/>
    </row>
    <row r="278" spans="1:493" ht="14.1" customHeight="1">
      <c r="NP278" s="2850"/>
    </row>
    <row r="279" spans="1:493" ht="14.1" customHeight="1">
      <c r="NP279" s="2850"/>
    </row>
    <row r="280" spans="1:493" ht="14.1" customHeight="1"/>
    <row r="281" spans="1:493" s="90" customFormat="1" ht="14.1" customHeight="1">
      <c r="A281" s="32"/>
      <c r="B281" s="1"/>
      <c r="C281" s="1"/>
      <c r="D281" s="1"/>
      <c r="E281" s="1"/>
      <c r="F281" s="1"/>
      <c r="G281" s="1"/>
      <c r="H281" s="1"/>
      <c r="I281" s="1"/>
      <c r="J281" s="1"/>
      <c r="K281" s="1"/>
      <c r="L281" s="1"/>
      <c r="M281" s="1"/>
      <c r="N281" s="1"/>
      <c r="O281" s="1"/>
      <c r="P281" s="1"/>
      <c r="X281" s="432"/>
      <c r="Y281" s="432"/>
      <c r="Z281" s="432"/>
      <c r="AA281" s="432"/>
      <c r="AB281" s="432"/>
      <c r="AC281" s="432"/>
      <c r="AD281" s="432"/>
      <c r="AE281" s="432"/>
      <c r="AF281" s="432"/>
      <c r="AG281" s="432"/>
      <c r="AH281" s="432"/>
      <c r="AI281" s="432"/>
      <c r="AJ281" s="432"/>
      <c r="AK281" s="432"/>
      <c r="AL281" s="432"/>
      <c r="AM281" s="432"/>
      <c r="AN281" s="432"/>
      <c r="AO281" s="432"/>
      <c r="AP281" s="432"/>
      <c r="AQ281" s="432"/>
      <c r="AR281" s="432"/>
      <c r="AS281" s="432"/>
      <c r="AT281" s="432"/>
      <c r="AU281" s="432"/>
      <c r="AV281" s="432"/>
      <c r="AW281" s="432"/>
      <c r="AX281" s="432"/>
      <c r="AY281" s="432"/>
      <c r="AZ281" s="432"/>
      <c r="BA281" s="432"/>
      <c r="BB281" s="432"/>
      <c r="BC281" s="432"/>
      <c r="BD281" s="432"/>
      <c r="BE281" s="432"/>
      <c r="BF281" s="432"/>
      <c r="BG281" s="432"/>
      <c r="BH281" s="432"/>
      <c r="BI281" s="432"/>
      <c r="BJ281" s="432"/>
      <c r="BK281" s="432"/>
      <c r="BL281" s="432"/>
      <c r="BM281" s="432"/>
      <c r="BN281" s="432"/>
      <c r="BO281" s="432"/>
      <c r="BP281" s="432"/>
      <c r="BQ281" s="432"/>
      <c r="BR281" s="432"/>
      <c r="BS281" s="432"/>
      <c r="BT281" s="432"/>
      <c r="BU281" s="432"/>
      <c r="BV281" s="432"/>
      <c r="BW281" s="432"/>
      <c r="BX281" s="432"/>
      <c r="BY281" s="432"/>
      <c r="BZ281" s="432"/>
      <c r="CA281" s="432"/>
      <c r="CB281" s="432"/>
      <c r="CC281" s="432"/>
      <c r="CD281" s="432"/>
      <c r="CE281" s="432"/>
      <c r="CF281" s="432"/>
      <c r="CG281" s="432"/>
      <c r="CH281" s="432"/>
      <c r="CI281" s="432"/>
      <c r="CJ281" s="432"/>
      <c r="CK281" s="432"/>
      <c r="CL281" s="432"/>
      <c r="CM281" s="432"/>
      <c r="CN281" s="432"/>
      <c r="CO281" s="432"/>
      <c r="CP281" s="432"/>
      <c r="CQ281" s="432"/>
      <c r="CR281" s="432"/>
      <c r="CS281" s="432"/>
      <c r="CT281" s="432"/>
      <c r="CU281" s="432"/>
      <c r="CV281" s="432"/>
      <c r="CW281" s="432"/>
      <c r="CX281" s="432"/>
      <c r="CY281" s="432"/>
      <c r="CZ281" s="432"/>
      <c r="DA281" s="432"/>
      <c r="DB281" s="432"/>
      <c r="DC281" s="432"/>
      <c r="DD281" s="432"/>
      <c r="DE281" s="432"/>
      <c r="DF281" s="432"/>
      <c r="DG281" s="432"/>
      <c r="DH281" s="432"/>
      <c r="DI281" s="432"/>
      <c r="DJ281" s="432"/>
      <c r="DK281" s="432"/>
      <c r="DL281" s="432"/>
      <c r="DM281" s="432"/>
      <c r="DN281" s="432"/>
      <c r="DO281" s="432"/>
      <c r="DP281" s="432"/>
      <c r="DQ281" s="432"/>
      <c r="DR281" s="432"/>
      <c r="DS281" s="432"/>
      <c r="DT281" s="432"/>
      <c r="DU281" s="432"/>
      <c r="DV281" s="432"/>
      <c r="DW281" s="432"/>
      <c r="DX281" s="432"/>
      <c r="DY281" s="432"/>
      <c r="DZ281" s="432"/>
      <c r="EA281" s="432"/>
      <c r="EB281" s="432"/>
      <c r="EC281" s="432"/>
      <c r="ED281" s="432"/>
      <c r="EE281" s="432"/>
      <c r="EF281" s="432"/>
      <c r="EG281" s="432"/>
      <c r="EH281" s="432"/>
      <c r="EI281" s="432"/>
      <c r="EJ281" s="432"/>
      <c r="EK281" s="432"/>
      <c r="EL281" s="432"/>
      <c r="EM281" s="432"/>
      <c r="EN281" s="432"/>
      <c r="EO281" s="432"/>
      <c r="EP281" s="432"/>
      <c r="EQ281" s="432"/>
      <c r="ER281" s="432"/>
      <c r="ES281" s="432"/>
      <c r="ET281" s="432"/>
      <c r="EU281" s="432"/>
      <c r="EV281" s="432"/>
      <c r="EW281" s="432"/>
      <c r="EX281" s="432"/>
      <c r="EY281" s="432"/>
      <c r="EZ281" s="432"/>
      <c r="FA281" s="432"/>
      <c r="FB281" s="432"/>
      <c r="FC281" s="432"/>
      <c r="FD281" s="432"/>
      <c r="FE281" s="432"/>
      <c r="FF281" s="432"/>
      <c r="FG281" s="432"/>
      <c r="FH281" s="432"/>
      <c r="FI281" s="432"/>
      <c r="FJ281" s="432"/>
      <c r="FK281" s="432"/>
      <c r="FL281" s="432"/>
      <c r="FM281" s="432"/>
      <c r="FN281" s="432"/>
      <c r="FO281" s="432"/>
      <c r="FP281" s="432"/>
      <c r="FQ281" s="432"/>
      <c r="FR281" s="432"/>
      <c r="FS281" s="432"/>
      <c r="FT281" s="432"/>
      <c r="FU281" s="432"/>
      <c r="FV281" s="432"/>
      <c r="FW281" s="432"/>
      <c r="FX281" s="432"/>
      <c r="FY281" s="432"/>
      <c r="FZ281" s="432"/>
      <c r="GA281" s="432"/>
      <c r="GB281" s="432"/>
      <c r="GC281" s="432"/>
      <c r="GD281" s="432"/>
      <c r="GE281" s="432"/>
      <c r="GF281" s="432"/>
      <c r="GG281" s="432"/>
      <c r="GH281" s="432"/>
      <c r="GI281" s="432"/>
      <c r="GJ281" s="432"/>
      <c r="GK281" s="432"/>
      <c r="GL281" s="432"/>
      <c r="GM281" s="432"/>
      <c r="GN281" s="432"/>
      <c r="GO281" s="432"/>
      <c r="GP281" s="432"/>
      <c r="GQ281" s="432"/>
      <c r="GR281" s="432"/>
      <c r="GS281" s="432"/>
      <c r="GT281" s="432"/>
      <c r="GU281" s="432"/>
      <c r="GV281" s="432"/>
      <c r="GW281" s="432"/>
      <c r="GX281" s="432"/>
      <c r="GY281" s="432"/>
      <c r="GZ281" s="432"/>
      <c r="HA281" s="432"/>
      <c r="HB281" s="432"/>
      <c r="HC281" s="432"/>
      <c r="HD281" s="432"/>
      <c r="HE281" s="432"/>
      <c r="HF281" s="432"/>
      <c r="HG281" s="432"/>
      <c r="HH281" s="432"/>
      <c r="HI281" s="432"/>
      <c r="HJ281" s="432"/>
      <c r="HK281" s="432"/>
      <c r="HL281" s="432"/>
      <c r="HM281" s="432"/>
      <c r="HN281" s="432"/>
      <c r="HO281" s="432"/>
      <c r="HP281" s="432"/>
      <c r="HQ281" s="432"/>
      <c r="HR281" s="432"/>
      <c r="HS281" s="432"/>
      <c r="HT281" s="432"/>
      <c r="HU281" s="432"/>
      <c r="HV281" s="432"/>
      <c r="HW281" s="432"/>
      <c r="HX281" s="432"/>
      <c r="HY281" s="432"/>
      <c r="HZ281" s="432"/>
      <c r="IA281" s="432"/>
      <c r="IB281" s="432"/>
      <c r="IC281" s="432"/>
      <c r="ID281" s="432"/>
      <c r="IE281" s="432"/>
      <c r="IF281" s="432"/>
      <c r="IG281" s="432"/>
      <c r="IH281" s="432"/>
      <c r="II281" s="432"/>
      <c r="IJ281" s="432"/>
      <c r="IK281" s="432"/>
      <c r="IL281" s="432"/>
      <c r="IM281" s="432"/>
      <c r="IN281" s="432"/>
      <c r="IO281" s="432"/>
      <c r="IP281" s="432"/>
      <c r="IQ281" s="432"/>
      <c r="IR281" s="432"/>
      <c r="IS281" s="432"/>
      <c r="IT281" s="432"/>
      <c r="IU281" s="432"/>
      <c r="IV281" s="432"/>
      <c r="IW281" s="432"/>
      <c r="IX281" s="432"/>
      <c r="IY281" s="432"/>
      <c r="IZ281" s="432"/>
      <c r="JA281" s="432"/>
      <c r="JB281" s="432"/>
      <c r="JC281" s="432"/>
      <c r="JD281" s="432"/>
      <c r="JE281" s="432"/>
      <c r="JF281" s="432"/>
      <c r="JG281" s="432"/>
      <c r="JH281" s="432"/>
      <c r="JI281" s="432"/>
      <c r="JJ281" s="432"/>
      <c r="JK281" s="432"/>
      <c r="JL281" s="432"/>
      <c r="JM281" s="432"/>
      <c r="JN281" s="432"/>
      <c r="JO281" s="432"/>
      <c r="JP281" s="432"/>
      <c r="JQ281" s="432"/>
      <c r="JR281" s="432"/>
      <c r="JS281" s="432"/>
      <c r="JT281" s="432"/>
      <c r="JU281" s="432"/>
      <c r="JV281" s="432"/>
      <c r="JW281" s="1810"/>
      <c r="JX281" s="432"/>
      <c r="JY281" s="432"/>
      <c r="JZ281" s="432"/>
      <c r="KA281" s="432"/>
      <c r="KB281" s="1810"/>
      <c r="KC281" s="432"/>
      <c r="KD281" s="432"/>
      <c r="KE281" s="432"/>
      <c r="KF281" s="432"/>
      <c r="KG281" s="1810"/>
      <c r="KH281" s="432"/>
      <c r="KI281" s="432"/>
      <c r="KJ281" s="432"/>
      <c r="KK281" s="432"/>
      <c r="KL281" s="1810"/>
      <c r="KM281" s="1810"/>
      <c r="KN281" s="1810"/>
      <c r="KO281" s="1810"/>
      <c r="KP281" s="1810"/>
      <c r="KQ281" s="1810"/>
      <c r="KR281" s="1810"/>
      <c r="KS281" s="1810"/>
      <c r="KT281" s="1810"/>
      <c r="KU281" s="1810"/>
      <c r="KV281" s="1810"/>
      <c r="KW281" s="1810"/>
      <c r="KX281" s="1810"/>
      <c r="KY281" s="1810"/>
      <c r="KZ281" s="1810"/>
      <c r="LA281" s="1810"/>
      <c r="LB281" s="1810"/>
      <c r="LC281" s="1810"/>
      <c r="LD281" s="1810"/>
      <c r="LE281" s="1810"/>
      <c r="LF281" s="1810"/>
      <c r="LG281" s="1810"/>
      <c r="LH281" s="432"/>
      <c r="LI281" s="432"/>
      <c r="LJ281" s="432"/>
      <c r="LK281" s="432"/>
      <c r="LL281" s="432"/>
      <c r="LM281" s="432"/>
      <c r="LN281" s="1811"/>
      <c r="LO281" s="432"/>
      <c r="LP281" s="432"/>
      <c r="LQ281" s="432"/>
      <c r="LR281" s="432"/>
      <c r="LS281" s="432"/>
      <c r="LT281" s="432"/>
      <c r="LU281" s="432"/>
      <c r="LV281" s="432"/>
      <c r="LW281" s="432"/>
      <c r="LX281" s="432"/>
      <c r="LY281" s="432"/>
      <c r="LZ281" s="432"/>
      <c r="MA281" s="432"/>
      <c r="MB281" s="432"/>
      <c r="MC281" s="432"/>
      <c r="MD281" s="1811"/>
      <c r="ME281" s="1811"/>
      <c r="MF281" s="432"/>
      <c r="MG281" s="432"/>
      <c r="MH281" s="432"/>
      <c r="MI281" s="432"/>
      <c r="MJ281" s="432"/>
      <c r="MK281" s="432"/>
      <c r="ML281" s="432"/>
      <c r="MM281" s="432"/>
      <c r="MN281" s="432"/>
      <c r="MO281" s="432"/>
      <c r="MP281" s="432"/>
      <c r="MQ281" s="432"/>
      <c r="MR281" s="432"/>
      <c r="MS281" s="432"/>
      <c r="MT281" s="432"/>
      <c r="MU281" s="432"/>
      <c r="MV281" s="93"/>
      <c r="MW281" s="93"/>
      <c r="MX281" s="93"/>
      <c r="MY281" s="93"/>
      <c r="MZ281" s="93"/>
      <c r="NA281" s="93"/>
      <c r="NB281" s="93"/>
      <c r="NC281" s="93"/>
      <c r="ND281" s="93"/>
      <c r="NE281" s="93"/>
      <c r="NF281" s="93"/>
      <c r="NG281" s="93"/>
      <c r="NH281" s="93"/>
      <c r="NI281" s="93"/>
      <c r="NJ281" s="93"/>
      <c r="NK281" s="93"/>
      <c r="NL281" s="93"/>
      <c r="NM281" s="93"/>
      <c r="NN281" s="93"/>
      <c r="NO281" s="93"/>
      <c r="NP281" s="2807"/>
      <c r="NQ281" s="93"/>
      <c r="NR281" s="93"/>
      <c r="NS281" s="93"/>
      <c r="NT281" s="93"/>
      <c r="NU281" s="93"/>
      <c r="NV281" s="93"/>
      <c r="NW281" s="93"/>
      <c r="NX281" s="93"/>
      <c r="NY281" s="93"/>
      <c r="NZ281" s="93"/>
      <c r="OA281" s="93"/>
      <c r="OB281" s="93"/>
      <c r="OC281" s="93"/>
      <c r="OD281" s="93"/>
      <c r="OE281" s="93"/>
      <c r="OF281" s="93"/>
      <c r="OG281" s="93"/>
      <c r="OH281" s="93"/>
      <c r="OI281" s="93"/>
      <c r="OJ281" s="93"/>
      <c r="OK281" s="93"/>
      <c r="OL281" s="93"/>
      <c r="OM281" s="93"/>
      <c r="ON281" s="93"/>
      <c r="OO281" s="93"/>
      <c r="OP281" s="93"/>
      <c r="OQ281" s="93"/>
      <c r="OR281" s="93"/>
      <c r="OS281" s="93"/>
      <c r="OT281" s="93"/>
      <c r="OU281" s="93"/>
      <c r="OV281" s="93"/>
      <c r="OW281" s="93"/>
      <c r="OX281" s="93"/>
      <c r="OY281" s="93"/>
      <c r="OZ281" s="93"/>
      <c r="PA281" s="93"/>
      <c r="PB281" s="93"/>
      <c r="PC281" s="93"/>
      <c r="PD281" s="93"/>
      <c r="PE281" s="93"/>
      <c r="PF281" s="93"/>
      <c r="PG281" s="93"/>
      <c r="PH281" s="93"/>
      <c r="PI281" s="93"/>
      <c r="PJ281" s="93"/>
      <c r="PK281" s="93"/>
      <c r="PL281" s="93"/>
      <c r="PM281" s="93"/>
      <c r="PN281" s="93"/>
      <c r="PO281" s="93"/>
      <c r="PP281" s="93"/>
      <c r="PQ281" s="93"/>
      <c r="PR281" s="93"/>
      <c r="PS281" s="93"/>
      <c r="PT281" s="93"/>
      <c r="PU281" s="93"/>
      <c r="PV281" s="93"/>
      <c r="PW281" s="93"/>
      <c r="PX281" s="93"/>
      <c r="PY281" s="93"/>
      <c r="PZ281" s="93"/>
      <c r="QA281" s="93"/>
      <c r="QB281" s="93"/>
      <c r="QC281" s="93"/>
      <c r="QD281" s="93"/>
      <c r="QE281" s="93"/>
      <c r="QF281" s="93"/>
      <c r="QG281" s="93"/>
      <c r="QH281" s="93"/>
      <c r="QI281" s="93"/>
      <c r="QJ281" s="93"/>
      <c r="QK281" s="93"/>
      <c r="QL281" s="93"/>
      <c r="QM281" s="93"/>
      <c r="QN281" s="93"/>
      <c r="QO281" s="93"/>
      <c r="QP281" s="93"/>
      <c r="QQ281" s="93"/>
      <c r="QR281" s="93"/>
      <c r="QS281" s="93"/>
      <c r="QT281" s="93"/>
      <c r="QU281" s="93"/>
      <c r="QV281" s="93"/>
      <c r="QW281" s="93"/>
      <c r="QX281" s="93"/>
      <c r="QY281" s="93"/>
      <c r="QZ281" s="93"/>
      <c r="RA281" s="93"/>
      <c r="RB281" s="93"/>
      <c r="RC281" s="93"/>
      <c r="RD281" s="93"/>
      <c r="RE281" s="93"/>
      <c r="RF281" s="93"/>
      <c r="RG281" s="93"/>
      <c r="RH281" s="93"/>
      <c r="RI281" s="93"/>
      <c r="RJ281" s="93"/>
      <c r="RK281" s="93"/>
      <c r="RL281" s="93"/>
      <c r="RM281" s="93"/>
      <c r="RN281" s="93"/>
      <c r="RO281" s="93"/>
      <c r="RP281" s="93"/>
      <c r="RQ281" s="93"/>
      <c r="RR281" s="93"/>
      <c r="RS281" s="93"/>
      <c r="RT281" s="93"/>
      <c r="RU281" s="93"/>
      <c r="RV281" s="93"/>
      <c r="RW281" s="93"/>
      <c r="RX281" s="93"/>
      <c r="RY281" s="93"/>
    </row>
    <row r="282" spans="1:493" s="90" customFormat="1" ht="14.1" customHeight="1">
      <c r="A282" s="32"/>
      <c r="B282" s="1"/>
      <c r="C282" s="1"/>
      <c r="D282" s="1"/>
      <c r="E282" s="1"/>
      <c r="F282" s="1"/>
      <c r="G282" s="1"/>
      <c r="H282" s="1"/>
      <c r="I282" s="1"/>
      <c r="J282" s="1"/>
      <c r="K282" s="1"/>
      <c r="L282" s="1"/>
      <c r="M282" s="1"/>
      <c r="N282" s="1"/>
      <c r="O282" s="1"/>
      <c r="P282" s="1"/>
      <c r="X282" s="432"/>
      <c r="Y282" s="432"/>
      <c r="Z282" s="432"/>
      <c r="AA282" s="432"/>
      <c r="AB282" s="432"/>
      <c r="AC282" s="432"/>
      <c r="AD282" s="432"/>
      <c r="AE282" s="432"/>
      <c r="AF282" s="432"/>
      <c r="AG282" s="432"/>
      <c r="AH282" s="432"/>
      <c r="AI282" s="432"/>
      <c r="AJ282" s="432"/>
      <c r="AK282" s="432"/>
      <c r="AL282" s="432"/>
      <c r="AM282" s="432"/>
      <c r="AN282" s="432"/>
      <c r="AO282" s="432"/>
      <c r="AP282" s="432"/>
      <c r="AQ282" s="432"/>
      <c r="AR282" s="432"/>
      <c r="AS282" s="432"/>
      <c r="AT282" s="432"/>
      <c r="AU282" s="432"/>
      <c r="AV282" s="432"/>
      <c r="AW282" s="432"/>
      <c r="AX282" s="432"/>
      <c r="AY282" s="432"/>
      <c r="AZ282" s="432"/>
      <c r="BA282" s="432"/>
      <c r="BB282" s="432"/>
      <c r="BC282" s="432"/>
      <c r="BD282" s="432"/>
      <c r="BE282" s="432"/>
      <c r="BF282" s="432"/>
      <c r="BG282" s="432"/>
      <c r="BH282" s="432"/>
      <c r="BI282" s="432"/>
      <c r="BJ282" s="432"/>
      <c r="BK282" s="432"/>
      <c r="BL282" s="432"/>
      <c r="BM282" s="432"/>
      <c r="BN282" s="432"/>
      <c r="BO282" s="432"/>
      <c r="BP282" s="432"/>
      <c r="BQ282" s="432"/>
      <c r="BR282" s="432"/>
      <c r="BS282" s="432"/>
      <c r="BT282" s="432"/>
      <c r="BU282" s="432"/>
      <c r="BV282" s="432"/>
      <c r="BW282" s="432"/>
      <c r="BX282" s="432"/>
      <c r="BY282" s="432"/>
      <c r="BZ282" s="432"/>
      <c r="CA282" s="432"/>
      <c r="CB282" s="432"/>
      <c r="CC282" s="432"/>
      <c r="CD282" s="432"/>
      <c r="CE282" s="432"/>
      <c r="CF282" s="432"/>
      <c r="CG282" s="432"/>
      <c r="CH282" s="432"/>
      <c r="CI282" s="432"/>
      <c r="CJ282" s="432"/>
      <c r="CK282" s="432"/>
      <c r="CL282" s="432"/>
      <c r="CM282" s="432"/>
      <c r="CN282" s="432"/>
      <c r="CO282" s="432"/>
      <c r="CP282" s="432"/>
      <c r="CQ282" s="432"/>
      <c r="CR282" s="432"/>
      <c r="CS282" s="432"/>
      <c r="CT282" s="432"/>
      <c r="CU282" s="432"/>
      <c r="CV282" s="432"/>
      <c r="CW282" s="432"/>
      <c r="CX282" s="432"/>
      <c r="CY282" s="432"/>
      <c r="CZ282" s="432"/>
      <c r="DA282" s="432"/>
      <c r="DB282" s="432"/>
      <c r="DC282" s="432"/>
      <c r="DD282" s="432"/>
      <c r="DE282" s="432"/>
      <c r="DF282" s="432"/>
      <c r="DG282" s="432"/>
      <c r="DH282" s="432"/>
      <c r="DI282" s="432"/>
      <c r="DJ282" s="432"/>
      <c r="DK282" s="432"/>
      <c r="DL282" s="432"/>
      <c r="DM282" s="432"/>
      <c r="DN282" s="432"/>
      <c r="DO282" s="432"/>
      <c r="DP282" s="432"/>
      <c r="DQ282" s="432"/>
      <c r="DR282" s="432"/>
      <c r="DS282" s="432"/>
      <c r="DT282" s="432"/>
      <c r="DU282" s="432"/>
      <c r="DV282" s="432"/>
      <c r="DW282" s="432"/>
      <c r="DX282" s="432"/>
      <c r="DY282" s="432"/>
      <c r="DZ282" s="432"/>
      <c r="EA282" s="432"/>
      <c r="EB282" s="432"/>
      <c r="EC282" s="432"/>
      <c r="ED282" s="432"/>
      <c r="EE282" s="432"/>
      <c r="EF282" s="432"/>
      <c r="EG282" s="432"/>
      <c r="EH282" s="432"/>
      <c r="EI282" s="432"/>
      <c r="EJ282" s="432"/>
      <c r="EK282" s="432"/>
      <c r="EL282" s="432"/>
      <c r="EM282" s="432"/>
      <c r="EN282" s="432"/>
      <c r="EO282" s="432"/>
      <c r="EP282" s="432"/>
      <c r="EQ282" s="432"/>
      <c r="ER282" s="432"/>
      <c r="ES282" s="432"/>
      <c r="ET282" s="432"/>
      <c r="EU282" s="432"/>
      <c r="EV282" s="432"/>
      <c r="EW282" s="432"/>
      <c r="EX282" s="432"/>
      <c r="EY282" s="432"/>
      <c r="EZ282" s="432"/>
      <c r="FA282" s="432"/>
      <c r="FB282" s="432"/>
      <c r="FC282" s="432"/>
      <c r="FD282" s="432"/>
      <c r="FE282" s="432"/>
      <c r="FF282" s="432"/>
      <c r="FG282" s="432"/>
      <c r="FH282" s="432"/>
      <c r="FI282" s="432"/>
      <c r="FJ282" s="432"/>
      <c r="FK282" s="432"/>
      <c r="FL282" s="432"/>
      <c r="FM282" s="432"/>
      <c r="FN282" s="432"/>
      <c r="FO282" s="432"/>
      <c r="FP282" s="432"/>
      <c r="FQ282" s="432"/>
      <c r="FR282" s="432"/>
      <c r="FS282" s="432"/>
      <c r="FT282" s="432"/>
      <c r="FU282" s="432"/>
      <c r="FV282" s="432"/>
      <c r="FW282" s="432"/>
      <c r="FX282" s="432"/>
      <c r="FY282" s="432"/>
      <c r="FZ282" s="432"/>
      <c r="GA282" s="432"/>
      <c r="GB282" s="432"/>
      <c r="GC282" s="432"/>
      <c r="GD282" s="432"/>
      <c r="GE282" s="432"/>
      <c r="GF282" s="432"/>
      <c r="GG282" s="432"/>
      <c r="GH282" s="432"/>
      <c r="GI282" s="432"/>
      <c r="GJ282" s="432"/>
      <c r="GK282" s="432"/>
      <c r="GL282" s="432"/>
      <c r="GM282" s="432"/>
      <c r="GN282" s="432"/>
      <c r="GO282" s="432"/>
      <c r="GP282" s="432"/>
      <c r="GQ282" s="432"/>
      <c r="GR282" s="432"/>
      <c r="GS282" s="432"/>
      <c r="GT282" s="432"/>
      <c r="GU282" s="432"/>
      <c r="GV282" s="432"/>
      <c r="GW282" s="432"/>
      <c r="GX282" s="432"/>
      <c r="GY282" s="432"/>
      <c r="GZ282" s="432"/>
      <c r="HA282" s="432"/>
      <c r="HB282" s="432"/>
      <c r="HC282" s="432"/>
      <c r="HD282" s="432"/>
      <c r="HE282" s="432"/>
      <c r="HF282" s="432"/>
      <c r="HG282" s="432"/>
      <c r="HH282" s="432"/>
      <c r="HI282" s="432"/>
      <c r="HJ282" s="432"/>
      <c r="HK282" s="432"/>
      <c r="HL282" s="432"/>
      <c r="HM282" s="432"/>
      <c r="HN282" s="432"/>
      <c r="HO282" s="432"/>
      <c r="HP282" s="432"/>
      <c r="HQ282" s="432"/>
      <c r="HR282" s="432"/>
      <c r="HS282" s="432"/>
      <c r="HT282" s="432"/>
      <c r="HU282" s="432"/>
      <c r="HV282" s="432"/>
      <c r="HW282" s="432"/>
      <c r="HX282" s="432"/>
      <c r="HY282" s="432"/>
      <c r="HZ282" s="432"/>
      <c r="IA282" s="432"/>
      <c r="IB282" s="432"/>
      <c r="IC282" s="432"/>
      <c r="ID282" s="432"/>
      <c r="IE282" s="432"/>
      <c r="IF282" s="432"/>
      <c r="IG282" s="432"/>
      <c r="IH282" s="432"/>
      <c r="II282" s="432"/>
      <c r="IJ282" s="432"/>
      <c r="IK282" s="432"/>
      <c r="IL282" s="432"/>
      <c r="IM282" s="432"/>
      <c r="IN282" s="432"/>
      <c r="IO282" s="432"/>
      <c r="IP282" s="432"/>
      <c r="IQ282" s="432"/>
      <c r="IR282" s="432"/>
      <c r="IS282" s="432"/>
      <c r="IT282" s="432"/>
      <c r="IU282" s="432"/>
      <c r="IV282" s="432"/>
      <c r="IW282" s="432"/>
      <c r="IX282" s="432"/>
      <c r="IY282" s="432"/>
      <c r="IZ282" s="432"/>
      <c r="JA282" s="432"/>
      <c r="JB282" s="432"/>
      <c r="JC282" s="432"/>
      <c r="JD282" s="432"/>
      <c r="JE282" s="432"/>
      <c r="JF282" s="432"/>
      <c r="JG282" s="432"/>
      <c r="JH282" s="432"/>
      <c r="JI282" s="432"/>
      <c r="JJ282" s="432"/>
      <c r="JK282" s="432"/>
      <c r="JL282" s="432"/>
      <c r="JM282" s="432"/>
      <c r="JN282" s="432"/>
      <c r="JO282" s="432"/>
      <c r="JP282" s="432"/>
      <c r="JQ282" s="432"/>
      <c r="JR282" s="432"/>
      <c r="JS282" s="432"/>
      <c r="JT282" s="432"/>
      <c r="JU282" s="432"/>
      <c r="JV282" s="432"/>
      <c r="JW282" s="1810"/>
      <c r="JX282" s="432"/>
      <c r="JY282" s="432"/>
      <c r="JZ282" s="432"/>
      <c r="KA282" s="432"/>
      <c r="KB282" s="1810"/>
      <c r="KC282" s="432"/>
      <c r="KD282" s="432"/>
      <c r="KE282" s="432"/>
      <c r="KF282" s="432"/>
      <c r="KG282" s="1810"/>
      <c r="KH282" s="432"/>
      <c r="KI282" s="432"/>
      <c r="KJ282" s="432"/>
      <c r="KK282" s="432"/>
      <c r="KL282" s="1810"/>
      <c r="KM282" s="1810"/>
      <c r="KN282" s="1810"/>
      <c r="KO282" s="1810"/>
      <c r="KP282" s="1810"/>
      <c r="KQ282" s="1810"/>
      <c r="KR282" s="1810"/>
      <c r="KS282" s="1810"/>
      <c r="KT282" s="1810"/>
      <c r="KU282" s="1810"/>
      <c r="KV282" s="1810"/>
      <c r="KW282" s="1810"/>
      <c r="KX282" s="1810"/>
      <c r="KY282" s="1810"/>
      <c r="KZ282" s="1810"/>
      <c r="LA282" s="1810"/>
      <c r="LB282" s="1810"/>
      <c r="LC282" s="1810"/>
      <c r="LD282" s="1810"/>
      <c r="LE282" s="1810"/>
      <c r="LF282" s="1810"/>
      <c r="LG282" s="1810"/>
      <c r="LH282" s="432"/>
      <c r="LI282" s="432"/>
      <c r="LJ282" s="432"/>
      <c r="LK282" s="432"/>
      <c r="LL282" s="432"/>
      <c r="LM282" s="432"/>
      <c r="LN282" s="1811"/>
      <c r="LO282" s="432"/>
      <c r="LP282" s="432"/>
      <c r="LQ282" s="432"/>
      <c r="LR282" s="432"/>
      <c r="LS282" s="432"/>
      <c r="LT282" s="432"/>
      <c r="LU282" s="432"/>
      <c r="LV282" s="432"/>
      <c r="LW282" s="432"/>
      <c r="LX282" s="432"/>
      <c r="LY282" s="432"/>
      <c r="LZ282" s="432"/>
      <c r="MA282" s="432"/>
      <c r="MB282" s="432"/>
      <c r="MC282" s="432"/>
      <c r="MD282" s="1811"/>
      <c r="ME282" s="1811"/>
      <c r="MF282" s="432"/>
      <c r="MG282" s="432"/>
      <c r="MH282" s="432"/>
      <c r="MI282" s="432"/>
      <c r="MJ282" s="432"/>
      <c r="MK282" s="432"/>
      <c r="ML282" s="432"/>
      <c r="MM282" s="432"/>
      <c r="MN282" s="432"/>
      <c r="MO282" s="432"/>
      <c r="MP282" s="432"/>
      <c r="MQ282" s="432"/>
      <c r="MR282" s="432"/>
      <c r="MS282" s="432"/>
      <c r="MT282" s="432"/>
      <c r="MU282" s="432"/>
      <c r="MV282" s="93"/>
      <c r="MW282" s="93"/>
      <c r="MX282" s="93"/>
      <c r="MY282" s="93"/>
      <c r="MZ282" s="93"/>
      <c r="NA282" s="93"/>
      <c r="NB282" s="93"/>
      <c r="NC282" s="93"/>
      <c r="ND282" s="93"/>
      <c r="NE282" s="93"/>
      <c r="NF282" s="93"/>
      <c r="NG282" s="93"/>
      <c r="NH282" s="93"/>
      <c r="NI282" s="93"/>
      <c r="NJ282" s="93"/>
      <c r="NK282" s="93"/>
      <c r="NL282" s="93"/>
      <c r="NM282" s="93"/>
      <c r="NN282" s="93"/>
      <c r="NO282" s="93"/>
      <c r="NP282" s="2807"/>
      <c r="NQ282" s="93"/>
      <c r="NR282" s="93"/>
      <c r="NS282" s="93"/>
      <c r="NT282" s="93"/>
      <c r="NU282" s="93"/>
      <c r="NV282" s="93"/>
      <c r="NW282" s="93"/>
      <c r="NX282" s="93"/>
      <c r="NY282" s="93"/>
      <c r="NZ282" s="93"/>
      <c r="OA282" s="93"/>
      <c r="OB282" s="93"/>
      <c r="OC282" s="93"/>
      <c r="OD282" s="93"/>
      <c r="OE282" s="93"/>
      <c r="OF282" s="93"/>
      <c r="OG282" s="93"/>
      <c r="OH282" s="93"/>
      <c r="OI282" s="93"/>
      <c r="OJ282" s="93"/>
      <c r="OK282" s="93"/>
      <c r="OL282" s="93"/>
      <c r="OM282" s="93"/>
      <c r="ON282" s="93"/>
      <c r="OO282" s="93"/>
      <c r="OP282" s="93"/>
      <c r="OQ282" s="93"/>
      <c r="OR282" s="93"/>
      <c r="OS282" s="93"/>
      <c r="OT282" s="93"/>
      <c r="OU282" s="93"/>
      <c r="OV282" s="93"/>
      <c r="OW282" s="93"/>
      <c r="OX282" s="93"/>
      <c r="OY282" s="93"/>
      <c r="OZ282" s="93"/>
      <c r="PA282" s="93"/>
      <c r="PB282" s="93"/>
      <c r="PC282" s="93"/>
      <c r="PD282" s="93"/>
      <c r="PE282" s="93"/>
      <c r="PF282" s="93"/>
      <c r="PG282" s="93"/>
      <c r="PH282" s="93"/>
      <c r="PI282" s="93"/>
      <c r="PJ282" s="93"/>
      <c r="PK282" s="93"/>
      <c r="PL282" s="93"/>
      <c r="PM282" s="93"/>
      <c r="PN282" s="93"/>
      <c r="PO282" s="93"/>
      <c r="PP282" s="93"/>
      <c r="PQ282" s="93"/>
      <c r="PR282" s="93"/>
      <c r="PS282" s="93"/>
      <c r="PT282" s="93"/>
      <c r="PU282" s="93"/>
      <c r="PV282" s="93"/>
      <c r="PW282" s="93"/>
      <c r="PX282" s="93"/>
      <c r="PY282" s="93"/>
      <c r="PZ282" s="93"/>
      <c r="QA282" s="93"/>
      <c r="QB282" s="93"/>
      <c r="QC282" s="93"/>
      <c r="QD282" s="93"/>
      <c r="QE282" s="93"/>
      <c r="QF282" s="93"/>
      <c r="QG282" s="93"/>
      <c r="QH282" s="93"/>
      <c r="QI282" s="93"/>
      <c r="QJ282" s="93"/>
      <c r="QK282" s="93"/>
      <c r="QL282" s="93"/>
      <c r="QM282" s="93"/>
      <c r="QN282" s="93"/>
      <c r="QO282" s="93"/>
      <c r="QP282" s="93"/>
      <c r="QQ282" s="93"/>
      <c r="QR282" s="93"/>
      <c r="QS282" s="93"/>
      <c r="QT282" s="93"/>
      <c r="QU282" s="93"/>
      <c r="QV282" s="93"/>
      <c r="QW282" s="93"/>
      <c r="QX282" s="93"/>
      <c r="QY282" s="93"/>
      <c r="QZ282" s="93"/>
      <c r="RA282" s="93"/>
      <c r="RB282" s="93"/>
      <c r="RC282" s="93"/>
      <c r="RD282" s="93"/>
      <c r="RE282" s="93"/>
      <c r="RF282" s="93"/>
      <c r="RG282" s="93"/>
      <c r="RH282" s="93"/>
      <c r="RI282" s="93"/>
      <c r="RJ282" s="93"/>
      <c r="RK282" s="93"/>
      <c r="RL282" s="93"/>
      <c r="RM282" s="93"/>
      <c r="RN282" s="93"/>
      <c r="RO282" s="93"/>
      <c r="RP282" s="93"/>
      <c r="RQ282" s="93"/>
      <c r="RR282" s="93"/>
      <c r="RS282" s="93"/>
      <c r="RT282" s="93"/>
      <c r="RU282" s="93"/>
      <c r="RV282" s="93"/>
      <c r="RW282" s="93"/>
      <c r="RX282" s="93"/>
      <c r="RY282" s="93"/>
    </row>
    <row r="283" spans="1:493" s="90" customFormat="1" ht="14.1" customHeight="1">
      <c r="A283" s="2648"/>
      <c r="B283" s="1"/>
      <c r="C283" s="1"/>
      <c r="D283" s="1"/>
      <c r="E283" s="1"/>
      <c r="F283" s="1"/>
      <c r="G283" s="1"/>
      <c r="H283" s="1"/>
      <c r="I283" s="1"/>
      <c r="J283" s="1"/>
      <c r="K283" s="1"/>
      <c r="L283" s="1"/>
      <c r="M283" s="1"/>
      <c r="N283" s="1"/>
      <c r="O283" s="1"/>
      <c r="P283" s="1"/>
      <c r="X283" s="432"/>
      <c r="Y283" s="432"/>
      <c r="Z283" s="432"/>
      <c r="AA283" s="432"/>
      <c r="AB283" s="432"/>
      <c r="AC283" s="432"/>
      <c r="AD283" s="432"/>
      <c r="AE283" s="432"/>
      <c r="AF283" s="432"/>
      <c r="AG283" s="432"/>
      <c r="AH283" s="432"/>
      <c r="AI283" s="432"/>
      <c r="AJ283" s="432"/>
      <c r="AK283" s="432"/>
      <c r="AL283" s="432"/>
      <c r="AM283" s="432"/>
      <c r="AN283" s="432"/>
      <c r="AO283" s="432"/>
      <c r="AP283" s="432"/>
      <c r="AQ283" s="432"/>
      <c r="AR283" s="432"/>
      <c r="AS283" s="432"/>
      <c r="AT283" s="432"/>
      <c r="AU283" s="432"/>
      <c r="AV283" s="432"/>
      <c r="AW283" s="432"/>
      <c r="AX283" s="432"/>
      <c r="AY283" s="432"/>
      <c r="AZ283" s="432"/>
      <c r="BA283" s="432"/>
      <c r="BB283" s="432"/>
      <c r="BC283" s="432"/>
      <c r="BD283" s="432"/>
      <c r="BE283" s="432"/>
      <c r="BF283" s="432"/>
      <c r="BG283" s="432"/>
      <c r="BH283" s="432"/>
      <c r="BI283" s="432"/>
      <c r="BJ283" s="432"/>
      <c r="BK283" s="432"/>
      <c r="BL283" s="432"/>
      <c r="BM283" s="432"/>
      <c r="BN283" s="432"/>
      <c r="BO283" s="432"/>
      <c r="BP283" s="432"/>
      <c r="BQ283" s="432"/>
      <c r="BR283" s="432"/>
      <c r="BS283" s="432"/>
      <c r="BT283" s="432"/>
      <c r="BU283" s="432"/>
      <c r="BV283" s="432"/>
      <c r="BW283" s="432"/>
      <c r="BX283" s="432"/>
      <c r="BY283" s="432"/>
      <c r="BZ283" s="432"/>
      <c r="CA283" s="432"/>
      <c r="CB283" s="432"/>
      <c r="CC283" s="432"/>
      <c r="CD283" s="432"/>
      <c r="CE283" s="432"/>
      <c r="CF283" s="432"/>
      <c r="CG283" s="432"/>
      <c r="CH283" s="432"/>
      <c r="CI283" s="432"/>
      <c r="CJ283" s="432"/>
      <c r="CK283" s="432"/>
      <c r="CL283" s="432"/>
      <c r="CM283" s="432"/>
      <c r="CN283" s="432"/>
      <c r="CO283" s="432"/>
      <c r="CP283" s="432"/>
      <c r="CQ283" s="432"/>
      <c r="CR283" s="432"/>
      <c r="CS283" s="432"/>
      <c r="CT283" s="432"/>
      <c r="CU283" s="432"/>
      <c r="CV283" s="432"/>
      <c r="CW283" s="432"/>
      <c r="CX283" s="432"/>
      <c r="CY283" s="432"/>
      <c r="CZ283" s="432"/>
      <c r="DA283" s="432"/>
      <c r="DB283" s="432"/>
      <c r="DC283" s="432"/>
      <c r="DD283" s="432"/>
      <c r="DE283" s="432"/>
      <c r="DF283" s="432"/>
      <c r="DG283" s="432"/>
      <c r="DH283" s="432"/>
      <c r="DI283" s="432"/>
      <c r="DJ283" s="432"/>
      <c r="DK283" s="432"/>
      <c r="DL283" s="432"/>
      <c r="DM283" s="432"/>
      <c r="DN283" s="432"/>
      <c r="DO283" s="432"/>
      <c r="DP283" s="432"/>
      <c r="DQ283" s="432"/>
      <c r="DR283" s="432"/>
      <c r="DS283" s="432"/>
      <c r="DT283" s="432"/>
      <c r="DU283" s="432"/>
      <c r="DV283" s="432"/>
      <c r="DW283" s="432"/>
      <c r="DX283" s="432"/>
      <c r="DY283" s="432"/>
      <c r="DZ283" s="432"/>
      <c r="EA283" s="432"/>
      <c r="EB283" s="432"/>
      <c r="EC283" s="432"/>
      <c r="ED283" s="432"/>
      <c r="EE283" s="432"/>
      <c r="EF283" s="432"/>
      <c r="EG283" s="432"/>
      <c r="EH283" s="432"/>
      <c r="EI283" s="432"/>
      <c r="EJ283" s="432"/>
      <c r="EK283" s="432"/>
      <c r="EL283" s="432"/>
      <c r="EM283" s="432"/>
      <c r="EN283" s="432"/>
      <c r="EO283" s="432"/>
      <c r="EP283" s="432"/>
      <c r="EQ283" s="432"/>
      <c r="ER283" s="432"/>
      <c r="ES283" s="432"/>
      <c r="ET283" s="432"/>
      <c r="EU283" s="432"/>
      <c r="EV283" s="432"/>
      <c r="EW283" s="432"/>
      <c r="EX283" s="432"/>
      <c r="EY283" s="432"/>
      <c r="EZ283" s="432"/>
      <c r="FA283" s="432"/>
      <c r="FB283" s="432"/>
      <c r="FC283" s="432"/>
      <c r="FD283" s="432"/>
      <c r="FE283" s="432"/>
      <c r="FF283" s="432"/>
      <c r="FG283" s="432"/>
      <c r="FH283" s="432"/>
      <c r="FI283" s="432"/>
      <c r="FJ283" s="432"/>
      <c r="FK283" s="432"/>
      <c r="FL283" s="432"/>
      <c r="FM283" s="432"/>
      <c r="FN283" s="432"/>
      <c r="FO283" s="432"/>
      <c r="FP283" s="432"/>
      <c r="FQ283" s="432"/>
      <c r="FR283" s="432"/>
      <c r="FS283" s="432"/>
      <c r="FT283" s="432"/>
      <c r="FU283" s="432"/>
      <c r="FV283" s="432"/>
      <c r="FW283" s="432"/>
      <c r="FX283" s="432"/>
      <c r="FY283" s="432"/>
      <c r="FZ283" s="432"/>
      <c r="GA283" s="432"/>
      <c r="GB283" s="432"/>
      <c r="GC283" s="432"/>
      <c r="GD283" s="432"/>
      <c r="GE283" s="432"/>
      <c r="GF283" s="432"/>
      <c r="GG283" s="432"/>
      <c r="GH283" s="432"/>
      <c r="GI283" s="432"/>
      <c r="GJ283" s="432"/>
      <c r="GK283" s="432"/>
      <c r="GL283" s="432"/>
      <c r="GM283" s="432"/>
      <c r="GN283" s="432"/>
      <c r="GO283" s="432"/>
      <c r="GP283" s="432"/>
      <c r="GQ283" s="432"/>
      <c r="GR283" s="432"/>
      <c r="GS283" s="432"/>
      <c r="GT283" s="432"/>
      <c r="GU283" s="432"/>
      <c r="GV283" s="432"/>
      <c r="GW283" s="432"/>
      <c r="GX283" s="432"/>
      <c r="GY283" s="432"/>
      <c r="GZ283" s="432"/>
      <c r="HA283" s="432"/>
      <c r="HB283" s="432"/>
      <c r="HC283" s="432"/>
      <c r="HD283" s="432"/>
      <c r="HE283" s="432"/>
      <c r="HF283" s="432"/>
      <c r="HG283" s="432"/>
      <c r="HH283" s="432"/>
      <c r="HI283" s="432"/>
      <c r="HJ283" s="432"/>
      <c r="HK283" s="432"/>
      <c r="HL283" s="432"/>
      <c r="HM283" s="432"/>
      <c r="HN283" s="432"/>
      <c r="HO283" s="432"/>
      <c r="HP283" s="432"/>
      <c r="HQ283" s="432"/>
      <c r="HR283" s="432"/>
      <c r="HS283" s="432"/>
      <c r="HT283" s="432"/>
      <c r="HU283" s="432"/>
      <c r="HV283" s="432"/>
      <c r="HW283" s="432"/>
      <c r="HX283" s="432"/>
      <c r="HY283" s="432"/>
      <c r="HZ283" s="432"/>
      <c r="IA283" s="432"/>
      <c r="IB283" s="432"/>
      <c r="IC283" s="432"/>
      <c r="ID283" s="432"/>
      <c r="IE283" s="432"/>
      <c r="IF283" s="432"/>
      <c r="IG283" s="432"/>
      <c r="IH283" s="432"/>
      <c r="II283" s="432"/>
      <c r="IJ283" s="432"/>
      <c r="IK283" s="432"/>
      <c r="IL283" s="432"/>
      <c r="IM283" s="432"/>
      <c r="IN283" s="432"/>
      <c r="IO283" s="432"/>
      <c r="IP283" s="432"/>
      <c r="IQ283" s="432"/>
      <c r="IR283" s="432"/>
      <c r="IS283" s="432"/>
      <c r="IT283" s="432"/>
      <c r="IU283" s="432"/>
      <c r="IV283" s="432"/>
      <c r="IW283" s="432"/>
      <c r="IX283" s="432"/>
      <c r="IY283" s="432"/>
      <c r="IZ283" s="432"/>
      <c r="JA283" s="432"/>
      <c r="JB283" s="432"/>
      <c r="JC283" s="432"/>
      <c r="JD283" s="432"/>
      <c r="JE283" s="432"/>
      <c r="JF283" s="432"/>
      <c r="JG283" s="432"/>
      <c r="JH283" s="432"/>
      <c r="JI283" s="432"/>
      <c r="JJ283" s="432"/>
      <c r="JK283" s="432"/>
      <c r="JL283" s="432"/>
      <c r="JM283" s="432"/>
      <c r="JN283" s="432"/>
      <c r="JO283" s="432"/>
      <c r="JP283" s="432"/>
      <c r="JQ283" s="432"/>
      <c r="JR283" s="432"/>
      <c r="JS283" s="432"/>
      <c r="JT283" s="432"/>
      <c r="JU283" s="432"/>
      <c r="JV283" s="432"/>
      <c r="JW283" s="1810"/>
      <c r="JX283" s="432"/>
      <c r="JY283" s="432"/>
      <c r="JZ283" s="432"/>
      <c r="KA283" s="432"/>
      <c r="KB283" s="1810"/>
      <c r="KC283" s="432"/>
      <c r="KD283" s="432"/>
      <c r="KE283" s="432"/>
      <c r="KF283" s="432"/>
      <c r="KG283" s="1810"/>
      <c r="KH283" s="432"/>
      <c r="KI283" s="432"/>
      <c r="KJ283" s="432"/>
      <c r="KK283" s="432"/>
      <c r="KL283" s="1810"/>
      <c r="KM283" s="1810"/>
      <c r="KN283" s="1810"/>
      <c r="KO283" s="1810"/>
      <c r="KP283" s="1810"/>
      <c r="KQ283" s="1810"/>
      <c r="KR283" s="1810"/>
      <c r="KS283" s="1810"/>
      <c r="KT283" s="1810"/>
      <c r="KU283" s="1810"/>
      <c r="KV283" s="1810"/>
      <c r="KW283" s="1810"/>
      <c r="KX283" s="1810"/>
      <c r="KY283" s="1810"/>
      <c r="KZ283" s="1810"/>
      <c r="LA283" s="1810"/>
      <c r="LB283" s="1810"/>
      <c r="LC283" s="1810"/>
      <c r="LD283" s="1810"/>
      <c r="LE283" s="1810"/>
      <c r="LF283" s="1810"/>
      <c r="LG283" s="1810"/>
      <c r="LH283" s="432"/>
      <c r="LI283" s="432"/>
      <c r="LJ283" s="432"/>
      <c r="LK283" s="432"/>
      <c r="LL283" s="432"/>
      <c r="LM283" s="432"/>
      <c r="LN283" s="1811"/>
      <c r="LO283" s="432"/>
      <c r="LP283" s="432"/>
      <c r="LQ283" s="432"/>
      <c r="LR283" s="432"/>
      <c r="LS283" s="432"/>
      <c r="LT283" s="432"/>
      <c r="LU283" s="432"/>
      <c r="LV283" s="432"/>
      <c r="LW283" s="432"/>
      <c r="LX283" s="432"/>
      <c r="LY283" s="432"/>
      <c r="LZ283" s="432"/>
      <c r="MA283" s="432"/>
      <c r="MB283" s="432"/>
      <c r="MC283" s="432"/>
      <c r="MD283" s="1811"/>
      <c r="ME283" s="1811"/>
      <c r="MF283" s="432"/>
      <c r="MG283" s="432"/>
      <c r="MH283" s="432"/>
      <c r="MI283" s="432"/>
      <c r="MJ283" s="432"/>
      <c r="MK283" s="432"/>
      <c r="ML283" s="432"/>
      <c r="MM283" s="432"/>
      <c r="MN283" s="432"/>
      <c r="MO283" s="432"/>
      <c r="MP283" s="432"/>
      <c r="MQ283" s="432"/>
      <c r="MR283" s="432"/>
      <c r="MS283" s="432"/>
      <c r="MT283" s="432"/>
      <c r="MU283" s="432"/>
      <c r="MV283" s="93"/>
      <c r="MW283" s="93"/>
      <c r="MX283" s="93"/>
      <c r="MY283" s="93"/>
      <c r="MZ283" s="93"/>
      <c r="NA283" s="93"/>
      <c r="NB283" s="93"/>
      <c r="NC283" s="93"/>
      <c r="ND283" s="93"/>
      <c r="NE283" s="93"/>
      <c r="NF283" s="93"/>
      <c r="NG283" s="93"/>
      <c r="NH283" s="93"/>
      <c r="NI283" s="93"/>
      <c r="NJ283" s="93"/>
      <c r="NK283" s="93"/>
      <c r="NL283" s="93"/>
      <c r="NM283" s="93"/>
      <c r="NN283" s="93"/>
      <c r="NO283" s="93"/>
      <c r="NP283" s="2807"/>
      <c r="NQ283" s="93"/>
      <c r="NR283" s="93"/>
      <c r="NS283" s="93"/>
      <c r="NT283" s="93"/>
      <c r="NU283" s="93"/>
      <c r="NV283" s="93"/>
      <c r="NW283" s="93"/>
      <c r="NX283" s="93"/>
      <c r="NY283" s="93"/>
      <c r="NZ283" s="93"/>
      <c r="OA283" s="93"/>
      <c r="OB283" s="93"/>
      <c r="OC283" s="93"/>
      <c r="OD283" s="93"/>
      <c r="OE283" s="93"/>
      <c r="OF283" s="93"/>
      <c r="OG283" s="93"/>
      <c r="OH283" s="93"/>
      <c r="OI283" s="93"/>
      <c r="OJ283" s="93"/>
      <c r="OK283" s="93"/>
      <c r="OL283" s="93"/>
      <c r="OM283" s="93"/>
      <c r="ON283" s="93"/>
      <c r="OO283" s="93"/>
      <c r="OP283" s="93"/>
      <c r="OQ283" s="93"/>
      <c r="OR283" s="93"/>
      <c r="OS283" s="93"/>
      <c r="OT283" s="93"/>
      <c r="OU283" s="93"/>
      <c r="OV283" s="93"/>
      <c r="OW283" s="93"/>
      <c r="OX283" s="93"/>
      <c r="OY283" s="93"/>
      <c r="OZ283" s="93"/>
      <c r="PA283" s="93"/>
      <c r="PB283" s="93"/>
      <c r="PC283" s="93"/>
      <c r="PD283" s="93"/>
      <c r="PE283" s="93"/>
      <c r="PF283" s="93"/>
      <c r="PG283" s="93"/>
      <c r="PH283" s="93"/>
      <c r="PI283" s="93"/>
      <c r="PJ283" s="93"/>
      <c r="PK283" s="93"/>
      <c r="PL283" s="93"/>
      <c r="PM283" s="93"/>
      <c r="PN283" s="93"/>
      <c r="PO283" s="93"/>
      <c r="PP283" s="93"/>
      <c r="PQ283" s="93"/>
      <c r="PR283" s="93"/>
      <c r="PS283" s="93"/>
      <c r="PT283" s="93"/>
      <c r="PU283" s="93"/>
      <c r="PV283" s="93"/>
      <c r="PW283" s="93"/>
      <c r="PX283" s="93"/>
      <c r="PY283" s="93"/>
      <c r="PZ283" s="93"/>
      <c r="QA283" s="93"/>
      <c r="QB283" s="93"/>
      <c r="QC283" s="93"/>
      <c r="QD283" s="93"/>
      <c r="QE283" s="93"/>
      <c r="QF283" s="93"/>
      <c r="QG283" s="93"/>
      <c r="QH283" s="93"/>
      <c r="QI283" s="93"/>
      <c r="QJ283" s="93"/>
      <c r="QK283" s="93"/>
      <c r="QL283" s="93"/>
      <c r="QM283" s="93"/>
      <c r="QN283" s="93"/>
      <c r="QO283" s="93"/>
      <c r="QP283" s="93"/>
      <c r="QQ283" s="93"/>
      <c r="QR283" s="93"/>
      <c r="QS283" s="93"/>
      <c r="QT283" s="93"/>
      <c r="QU283" s="93"/>
      <c r="QV283" s="93"/>
      <c r="QW283" s="93"/>
      <c r="QX283" s="93"/>
      <c r="QY283" s="93"/>
      <c r="QZ283" s="93"/>
      <c r="RA283" s="93"/>
      <c r="RB283" s="93"/>
      <c r="RC283" s="93"/>
      <c r="RD283" s="93"/>
      <c r="RE283" s="93"/>
      <c r="RF283" s="93"/>
      <c r="RG283" s="93"/>
      <c r="RH283" s="93"/>
      <c r="RI283" s="93"/>
      <c r="RJ283" s="93"/>
      <c r="RK283" s="93"/>
      <c r="RL283" s="93"/>
      <c r="RM283" s="93"/>
      <c r="RN283" s="93"/>
      <c r="RO283" s="93"/>
      <c r="RP283" s="93"/>
      <c r="RQ283" s="93"/>
      <c r="RR283" s="93"/>
      <c r="RS283" s="93"/>
      <c r="RT283" s="93"/>
      <c r="RU283" s="93"/>
      <c r="RV283" s="93"/>
      <c r="RW283" s="93"/>
      <c r="RX283" s="93"/>
      <c r="RY283" s="93"/>
    </row>
    <row r="284" spans="1:493" s="90" customFormat="1" ht="14.1" customHeight="1">
      <c r="A284" s="1"/>
      <c r="B284" s="1"/>
      <c r="C284" s="1"/>
      <c r="D284" s="1"/>
      <c r="E284" s="1"/>
      <c r="F284" s="1"/>
      <c r="G284" s="1"/>
      <c r="H284" s="1"/>
      <c r="I284" s="1"/>
      <c r="J284" s="1"/>
      <c r="K284" s="1"/>
      <c r="L284" s="1"/>
      <c r="M284" s="1"/>
      <c r="N284" s="1"/>
      <c r="O284" s="1"/>
      <c r="P284" s="1"/>
      <c r="X284" s="432"/>
      <c r="Y284" s="432"/>
      <c r="Z284" s="432"/>
      <c r="AA284" s="432"/>
      <c r="AB284" s="432"/>
      <c r="AC284" s="432"/>
      <c r="AD284" s="432"/>
      <c r="AE284" s="432"/>
      <c r="AF284" s="432"/>
      <c r="AG284" s="432"/>
      <c r="AH284" s="432"/>
      <c r="AI284" s="432"/>
      <c r="AJ284" s="432"/>
      <c r="AK284" s="432"/>
      <c r="AL284" s="432"/>
      <c r="AM284" s="432"/>
      <c r="AN284" s="432"/>
      <c r="AO284" s="432"/>
      <c r="AP284" s="432"/>
      <c r="AQ284" s="432"/>
      <c r="AR284" s="432"/>
      <c r="AS284" s="432"/>
      <c r="AT284" s="432"/>
      <c r="AU284" s="432"/>
      <c r="AV284" s="432"/>
      <c r="AW284" s="432"/>
      <c r="AX284" s="432"/>
      <c r="AY284" s="432"/>
      <c r="AZ284" s="432"/>
      <c r="BA284" s="432"/>
      <c r="BB284" s="432"/>
      <c r="BC284" s="432"/>
      <c r="BD284" s="432"/>
      <c r="BE284" s="432"/>
      <c r="BF284" s="432"/>
      <c r="BG284" s="432"/>
      <c r="BH284" s="432"/>
      <c r="BI284" s="432"/>
      <c r="BJ284" s="432"/>
      <c r="BK284" s="432"/>
      <c r="BL284" s="432"/>
      <c r="BM284" s="432"/>
      <c r="BN284" s="432"/>
      <c r="BO284" s="432"/>
      <c r="BP284" s="432"/>
      <c r="BQ284" s="432"/>
      <c r="BR284" s="432"/>
      <c r="BS284" s="432"/>
      <c r="BT284" s="432"/>
      <c r="BU284" s="432"/>
      <c r="BV284" s="432"/>
      <c r="BW284" s="432"/>
      <c r="BX284" s="432"/>
      <c r="BY284" s="432"/>
      <c r="BZ284" s="432"/>
      <c r="CA284" s="432"/>
      <c r="CB284" s="432"/>
      <c r="CC284" s="432"/>
      <c r="CD284" s="432"/>
      <c r="CE284" s="432"/>
      <c r="CF284" s="432"/>
      <c r="CG284" s="432"/>
      <c r="CH284" s="432"/>
      <c r="CI284" s="432"/>
      <c r="CJ284" s="432"/>
      <c r="CK284" s="432"/>
      <c r="CL284" s="432"/>
      <c r="CM284" s="432"/>
      <c r="CN284" s="432"/>
      <c r="CO284" s="432"/>
      <c r="CP284" s="432"/>
      <c r="CQ284" s="432"/>
      <c r="CR284" s="432"/>
      <c r="CS284" s="432"/>
      <c r="CT284" s="432"/>
      <c r="CU284" s="432"/>
      <c r="CV284" s="432"/>
      <c r="CW284" s="432"/>
      <c r="CX284" s="432"/>
      <c r="CY284" s="432"/>
      <c r="CZ284" s="432"/>
      <c r="DA284" s="432"/>
      <c r="DB284" s="432"/>
      <c r="DC284" s="432"/>
      <c r="DD284" s="432"/>
      <c r="DE284" s="432"/>
      <c r="DF284" s="432"/>
      <c r="DG284" s="432"/>
      <c r="DH284" s="432"/>
      <c r="DI284" s="432"/>
      <c r="DJ284" s="432"/>
      <c r="DK284" s="432"/>
      <c r="DL284" s="432"/>
      <c r="DM284" s="432"/>
      <c r="DN284" s="432"/>
      <c r="DO284" s="432"/>
      <c r="DP284" s="432"/>
      <c r="DQ284" s="432"/>
      <c r="DR284" s="432"/>
      <c r="DS284" s="432"/>
      <c r="DT284" s="432"/>
      <c r="DU284" s="432"/>
      <c r="DV284" s="432"/>
      <c r="DW284" s="432"/>
      <c r="DX284" s="432"/>
      <c r="DY284" s="432"/>
      <c r="DZ284" s="432"/>
      <c r="EA284" s="432"/>
      <c r="EB284" s="432"/>
      <c r="EC284" s="432"/>
      <c r="ED284" s="432"/>
      <c r="EE284" s="432"/>
      <c r="EF284" s="432"/>
      <c r="EG284" s="432"/>
      <c r="EH284" s="432"/>
      <c r="EI284" s="432"/>
      <c r="EJ284" s="432"/>
      <c r="EK284" s="432"/>
      <c r="EL284" s="432"/>
      <c r="EM284" s="432"/>
      <c r="EN284" s="432"/>
      <c r="EO284" s="432"/>
      <c r="EP284" s="432"/>
      <c r="EQ284" s="432"/>
      <c r="ER284" s="432"/>
      <c r="ES284" s="432"/>
      <c r="ET284" s="432"/>
      <c r="EU284" s="432"/>
      <c r="EV284" s="432"/>
      <c r="EW284" s="432"/>
      <c r="EX284" s="432"/>
      <c r="EY284" s="432"/>
      <c r="EZ284" s="432"/>
      <c r="FA284" s="432"/>
      <c r="FB284" s="432"/>
      <c r="FC284" s="432"/>
      <c r="FD284" s="432"/>
      <c r="FE284" s="432"/>
      <c r="FF284" s="432"/>
      <c r="FG284" s="432"/>
      <c r="FH284" s="432"/>
      <c r="FI284" s="432"/>
      <c r="FJ284" s="432"/>
      <c r="FK284" s="432"/>
      <c r="FL284" s="432"/>
      <c r="FM284" s="432"/>
      <c r="FN284" s="432"/>
      <c r="FO284" s="432"/>
      <c r="FP284" s="432"/>
      <c r="FQ284" s="432"/>
      <c r="FR284" s="432"/>
      <c r="FS284" s="432"/>
      <c r="FT284" s="432"/>
      <c r="FU284" s="432"/>
      <c r="FV284" s="432"/>
      <c r="FW284" s="432"/>
      <c r="FX284" s="432"/>
      <c r="FY284" s="432"/>
      <c r="FZ284" s="432"/>
      <c r="GA284" s="432"/>
      <c r="GB284" s="432"/>
      <c r="GC284" s="432"/>
      <c r="GD284" s="432"/>
      <c r="GE284" s="432"/>
      <c r="GF284" s="432"/>
      <c r="GG284" s="432"/>
      <c r="GH284" s="432"/>
      <c r="GI284" s="432"/>
      <c r="GJ284" s="432"/>
      <c r="GK284" s="432"/>
      <c r="GL284" s="432"/>
      <c r="GM284" s="432"/>
      <c r="GN284" s="432"/>
      <c r="GO284" s="432"/>
      <c r="GP284" s="432"/>
      <c r="GQ284" s="432"/>
      <c r="GR284" s="432"/>
      <c r="GS284" s="432"/>
      <c r="GT284" s="432"/>
      <c r="GU284" s="432"/>
      <c r="GV284" s="432"/>
      <c r="GW284" s="432"/>
      <c r="GX284" s="432"/>
      <c r="GY284" s="432"/>
      <c r="GZ284" s="432"/>
      <c r="HA284" s="432"/>
      <c r="HB284" s="432"/>
      <c r="HC284" s="432"/>
      <c r="HD284" s="432"/>
      <c r="HE284" s="432"/>
      <c r="HF284" s="432"/>
      <c r="HG284" s="432"/>
      <c r="HH284" s="432"/>
      <c r="HI284" s="432"/>
      <c r="HJ284" s="432"/>
      <c r="HK284" s="432"/>
      <c r="HL284" s="432"/>
      <c r="HM284" s="432"/>
      <c r="HN284" s="432"/>
      <c r="HO284" s="432"/>
      <c r="HP284" s="432"/>
      <c r="HQ284" s="432"/>
      <c r="HR284" s="432"/>
      <c r="HS284" s="432"/>
      <c r="HT284" s="432"/>
      <c r="HU284" s="432"/>
      <c r="HV284" s="432"/>
      <c r="HW284" s="432"/>
      <c r="HX284" s="432"/>
      <c r="HY284" s="432"/>
      <c r="HZ284" s="432"/>
      <c r="IA284" s="432"/>
      <c r="IB284" s="432"/>
      <c r="IC284" s="432"/>
      <c r="ID284" s="432"/>
      <c r="IE284" s="432"/>
      <c r="IF284" s="432"/>
      <c r="IG284" s="432"/>
      <c r="IH284" s="432"/>
      <c r="II284" s="432"/>
      <c r="IJ284" s="432"/>
      <c r="IK284" s="432"/>
      <c r="IL284" s="432"/>
      <c r="IM284" s="432"/>
      <c r="IN284" s="432"/>
      <c r="IO284" s="432"/>
      <c r="IP284" s="432"/>
      <c r="IQ284" s="432"/>
      <c r="IR284" s="432"/>
      <c r="IS284" s="432"/>
      <c r="IT284" s="432"/>
      <c r="IU284" s="432"/>
      <c r="IV284" s="432"/>
      <c r="IW284" s="432"/>
      <c r="IX284" s="432"/>
      <c r="IY284" s="432"/>
      <c r="IZ284" s="432"/>
      <c r="JA284" s="432"/>
      <c r="JB284" s="432"/>
      <c r="JC284" s="432"/>
      <c r="JD284" s="432"/>
      <c r="JE284" s="432"/>
      <c r="JF284" s="432"/>
      <c r="JG284" s="432"/>
      <c r="JH284" s="432"/>
      <c r="JI284" s="432"/>
      <c r="JJ284" s="432"/>
      <c r="JK284" s="432"/>
      <c r="JL284" s="432"/>
      <c r="JM284" s="432"/>
      <c r="JN284" s="432"/>
      <c r="JO284" s="432"/>
      <c r="JP284" s="432"/>
      <c r="JQ284" s="432"/>
      <c r="JR284" s="432"/>
      <c r="JS284" s="432"/>
      <c r="JT284" s="432"/>
      <c r="JU284" s="432"/>
      <c r="JV284" s="432"/>
      <c r="JW284" s="1810"/>
      <c r="JX284" s="432"/>
      <c r="JY284" s="432"/>
      <c r="JZ284" s="432"/>
      <c r="KA284" s="432"/>
      <c r="KB284" s="1810"/>
      <c r="KC284" s="432"/>
      <c r="KD284" s="432"/>
      <c r="KE284" s="432"/>
      <c r="KF284" s="432"/>
      <c r="KG284" s="1810"/>
      <c r="KH284" s="432"/>
      <c r="KI284" s="432"/>
      <c r="KJ284" s="432"/>
      <c r="KK284" s="432"/>
      <c r="KL284" s="1810"/>
      <c r="KM284" s="1810"/>
      <c r="KN284" s="1810"/>
      <c r="KO284" s="1810"/>
      <c r="KP284" s="1810"/>
      <c r="KQ284" s="1810"/>
      <c r="KR284" s="1810"/>
      <c r="KS284" s="1810"/>
      <c r="KT284" s="1810"/>
      <c r="KU284" s="1810"/>
      <c r="KV284" s="1810"/>
      <c r="KW284" s="1810"/>
      <c r="KX284" s="1810"/>
      <c r="KY284" s="1810"/>
      <c r="KZ284" s="1810"/>
      <c r="LA284" s="1810"/>
      <c r="LB284" s="1810"/>
      <c r="LC284" s="1810"/>
      <c r="LD284" s="1810"/>
      <c r="LE284" s="1810"/>
      <c r="LF284" s="1810"/>
      <c r="LG284" s="1810"/>
      <c r="LH284" s="432"/>
      <c r="LI284" s="432"/>
      <c r="LJ284" s="432"/>
      <c r="LK284" s="432"/>
      <c r="LL284" s="432"/>
      <c r="LM284" s="432"/>
      <c r="LN284" s="1811"/>
      <c r="LO284" s="432"/>
      <c r="LP284" s="432"/>
      <c r="LQ284" s="432"/>
      <c r="LR284" s="432"/>
      <c r="LS284" s="432"/>
      <c r="LT284" s="432"/>
      <c r="LU284" s="432"/>
      <c r="LV284" s="432"/>
      <c r="LW284" s="432"/>
      <c r="LX284" s="432"/>
      <c r="LY284" s="432"/>
      <c r="LZ284" s="432"/>
      <c r="MA284" s="432"/>
      <c r="MB284" s="432"/>
      <c r="MC284" s="432"/>
      <c r="MD284" s="1811"/>
      <c r="ME284" s="1811"/>
      <c r="MF284" s="432"/>
      <c r="MG284" s="432"/>
      <c r="MH284" s="432"/>
      <c r="MI284" s="432"/>
      <c r="MJ284" s="432"/>
      <c r="MK284" s="432"/>
      <c r="ML284" s="432"/>
      <c r="MM284" s="432"/>
      <c r="MN284" s="432"/>
      <c r="MO284" s="432"/>
      <c r="MP284" s="432"/>
      <c r="MQ284" s="432"/>
      <c r="MR284" s="432"/>
      <c r="MS284" s="432"/>
      <c r="MT284" s="432"/>
      <c r="MU284" s="432"/>
      <c r="MV284" s="93"/>
      <c r="MW284" s="93"/>
      <c r="MX284" s="93"/>
      <c r="MY284" s="93"/>
      <c r="MZ284" s="93"/>
      <c r="NA284" s="93"/>
      <c r="NB284" s="93"/>
      <c r="NC284" s="93"/>
      <c r="ND284" s="93"/>
      <c r="NE284" s="93"/>
      <c r="NF284" s="93"/>
      <c r="NG284" s="93"/>
      <c r="NH284" s="93"/>
      <c r="NI284" s="93"/>
      <c r="NJ284" s="93"/>
      <c r="NK284" s="93"/>
      <c r="NL284" s="93"/>
      <c r="NM284" s="93"/>
      <c r="NN284" s="93"/>
      <c r="NO284" s="93"/>
      <c r="NP284" s="2807"/>
      <c r="NQ284" s="93"/>
      <c r="NR284" s="93"/>
      <c r="NS284" s="93"/>
      <c r="NT284" s="93"/>
      <c r="NU284" s="93"/>
      <c r="NV284" s="93"/>
      <c r="NW284" s="93"/>
      <c r="NX284" s="93"/>
      <c r="NY284" s="93"/>
      <c r="NZ284" s="93"/>
      <c r="OA284" s="93"/>
      <c r="OB284" s="93"/>
      <c r="OC284" s="93"/>
      <c r="OD284" s="93"/>
      <c r="OE284" s="93"/>
      <c r="OF284" s="93"/>
      <c r="OG284" s="93"/>
      <c r="OH284" s="93"/>
      <c r="OI284" s="93"/>
      <c r="OJ284" s="93"/>
      <c r="OK284" s="93"/>
      <c r="OL284" s="93"/>
      <c r="OM284" s="93"/>
      <c r="ON284" s="93"/>
      <c r="OO284" s="93"/>
      <c r="OP284" s="93"/>
      <c r="OQ284" s="93"/>
      <c r="OR284" s="93"/>
      <c r="OS284" s="93"/>
      <c r="OT284" s="93"/>
      <c r="OU284" s="93"/>
      <c r="OV284" s="93"/>
      <c r="OW284" s="93"/>
      <c r="OX284" s="93"/>
      <c r="OY284" s="93"/>
      <c r="OZ284" s="93"/>
      <c r="PA284" s="93"/>
      <c r="PB284" s="93"/>
      <c r="PC284" s="93"/>
      <c r="PD284" s="93"/>
      <c r="PE284" s="93"/>
      <c r="PF284" s="93"/>
      <c r="PG284" s="93"/>
      <c r="PH284" s="93"/>
      <c r="PI284" s="93"/>
      <c r="PJ284" s="93"/>
      <c r="PK284" s="93"/>
      <c r="PL284" s="93"/>
      <c r="PM284" s="93"/>
      <c r="PN284" s="93"/>
      <c r="PO284" s="93"/>
      <c r="PP284" s="93"/>
      <c r="PQ284" s="93"/>
      <c r="PR284" s="93"/>
      <c r="PS284" s="93"/>
      <c r="PT284" s="93"/>
      <c r="PU284" s="93"/>
      <c r="PV284" s="93"/>
      <c r="PW284" s="93"/>
      <c r="PX284" s="93"/>
      <c r="PY284" s="93"/>
      <c r="PZ284" s="93"/>
      <c r="QA284" s="93"/>
      <c r="QB284" s="93"/>
      <c r="QC284" s="93"/>
      <c r="QD284" s="93"/>
      <c r="QE284" s="93"/>
      <c r="QF284" s="93"/>
      <c r="QG284" s="93"/>
      <c r="QH284" s="93"/>
      <c r="QI284" s="93"/>
      <c r="QJ284" s="93"/>
      <c r="QK284" s="93"/>
      <c r="QL284" s="93"/>
      <c r="QM284" s="93"/>
      <c r="QN284" s="93"/>
      <c r="QO284" s="93"/>
      <c r="QP284" s="93"/>
      <c r="QQ284" s="93"/>
      <c r="QR284" s="93"/>
      <c r="QS284" s="93"/>
      <c r="QT284" s="93"/>
      <c r="QU284" s="93"/>
      <c r="QV284" s="93"/>
      <c r="QW284" s="93"/>
      <c r="QX284" s="93"/>
      <c r="QY284" s="93"/>
      <c r="QZ284" s="93"/>
      <c r="RA284" s="93"/>
      <c r="RB284" s="93"/>
      <c r="RC284" s="93"/>
      <c r="RD284" s="93"/>
      <c r="RE284" s="93"/>
      <c r="RF284" s="93"/>
      <c r="RG284" s="93"/>
      <c r="RH284" s="93"/>
      <c r="RI284" s="93"/>
      <c r="RJ284" s="93"/>
      <c r="RK284" s="93"/>
      <c r="RL284" s="93"/>
      <c r="RM284" s="93"/>
      <c r="RN284" s="93"/>
      <c r="RO284" s="93"/>
      <c r="RP284" s="93"/>
      <c r="RQ284" s="93"/>
      <c r="RR284" s="93"/>
      <c r="RS284" s="93"/>
      <c r="RT284" s="93"/>
      <c r="RU284" s="93"/>
      <c r="RV284" s="93"/>
      <c r="RW284" s="93"/>
      <c r="RX284" s="93"/>
      <c r="RY284" s="93"/>
    </row>
    <row r="285" spans="1:493" s="90" customFormat="1" ht="14.1" customHeight="1">
      <c r="A285" s="1"/>
      <c r="B285" s="1"/>
      <c r="C285" s="1"/>
      <c r="D285" s="1"/>
      <c r="E285" s="1"/>
      <c r="F285" s="1"/>
      <c r="G285" s="1"/>
      <c r="H285" s="1"/>
      <c r="I285" s="1"/>
      <c r="J285" s="1"/>
      <c r="K285" s="1"/>
      <c r="L285" s="1"/>
      <c r="M285" s="1"/>
      <c r="N285" s="1"/>
      <c r="O285" s="1"/>
      <c r="P285" s="1"/>
      <c r="X285" s="432"/>
      <c r="Y285" s="432"/>
      <c r="Z285" s="432"/>
      <c r="AA285" s="432"/>
      <c r="AB285" s="432"/>
      <c r="AC285" s="432"/>
      <c r="AD285" s="432"/>
      <c r="AE285" s="432"/>
      <c r="AF285" s="432"/>
      <c r="AG285" s="432"/>
      <c r="AH285" s="432"/>
      <c r="AI285" s="432"/>
      <c r="AJ285" s="432"/>
      <c r="AK285" s="432"/>
      <c r="AL285" s="432"/>
      <c r="AM285" s="432"/>
      <c r="AN285" s="432"/>
      <c r="AO285" s="432"/>
      <c r="AP285" s="432"/>
      <c r="AQ285" s="432"/>
      <c r="AR285" s="432"/>
      <c r="AS285" s="432"/>
      <c r="AT285" s="432"/>
      <c r="AU285" s="432"/>
      <c r="AV285" s="432"/>
      <c r="AW285" s="432"/>
      <c r="AX285" s="432"/>
      <c r="AY285" s="432"/>
      <c r="AZ285" s="432"/>
      <c r="BA285" s="432"/>
      <c r="BB285" s="432"/>
      <c r="BC285" s="432"/>
      <c r="BD285" s="432"/>
      <c r="BE285" s="432"/>
      <c r="BF285" s="432"/>
      <c r="BG285" s="432"/>
      <c r="BH285" s="432"/>
      <c r="BI285" s="432"/>
      <c r="BJ285" s="432"/>
      <c r="BK285" s="432"/>
      <c r="BL285" s="432"/>
      <c r="BM285" s="432"/>
      <c r="BN285" s="432"/>
      <c r="BO285" s="432"/>
      <c r="BP285" s="432"/>
      <c r="BQ285" s="432"/>
      <c r="BR285" s="432"/>
      <c r="BS285" s="432"/>
      <c r="BT285" s="432"/>
      <c r="BU285" s="432"/>
      <c r="BV285" s="432"/>
      <c r="BW285" s="432"/>
      <c r="BX285" s="432"/>
      <c r="BY285" s="432"/>
      <c r="BZ285" s="432"/>
      <c r="CA285" s="432"/>
      <c r="CB285" s="432"/>
      <c r="CC285" s="432"/>
      <c r="CD285" s="432"/>
      <c r="CE285" s="432"/>
      <c r="CF285" s="432"/>
      <c r="CG285" s="432"/>
      <c r="CH285" s="432"/>
      <c r="CI285" s="432"/>
      <c r="CJ285" s="432"/>
      <c r="CK285" s="432"/>
      <c r="CL285" s="432"/>
      <c r="CM285" s="432"/>
      <c r="CN285" s="432"/>
      <c r="CO285" s="432"/>
      <c r="CP285" s="432"/>
      <c r="CQ285" s="432"/>
      <c r="CR285" s="432"/>
      <c r="CS285" s="432"/>
      <c r="CT285" s="432"/>
      <c r="CU285" s="432"/>
      <c r="CV285" s="432"/>
      <c r="CW285" s="432"/>
      <c r="CX285" s="432"/>
      <c r="CY285" s="432"/>
      <c r="CZ285" s="432"/>
      <c r="DA285" s="432"/>
      <c r="DB285" s="432"/>
      <c r="DC285" s="432"/>
      <c r="DD285" s="432"/>
      <c r="DE285" s="432"/>
      <c r="DF285" s="432"/>
      <c r="DG285" s="432"/>
      <c r="DH285" s="432"/>
      <c r="DI285" s="432"/>
      <c r="DJ285" s="432"/>
      <c r="DK285" s="432"/>
      <c r="DL285" s="432"/>
      <c r="DM285" s="432"/>
      <c r="DN285" s="432"/>
      <c r="DO285" s="432"/>
      <c r="DP285" s="432"/>
      <c r="DQ285" s="432"/>
      <c r="DR285" s="432"/>
      <c r="DS285" s="432"/>
      <c r="DT285" s="432"/>
      <c r="DU285" s="432"/>
      <c r="DV285" s="432"/>
      <c r="DW285" s="432"/>
      <c r="DX285" s="432"/>
      <c r="DY285" s="432"/>
      <c r="DZ285" s="432"/>
      <c r="EA285" s="432"/>
      <c r="EB285" s="432"/>
      <c r="EC285" s="432"/>
      <c r="ED285" s="432"/>
      <c r="EE285" s="432"/>
      <c r="EF285" s="432"/>
      <c r="EG285" s="432"/>
      <c r="EH285" s="432"/>
      <c r="EI285" s="432"/>
      <c r="EJ285" s="432"/>
      <c r="EK285" s="432"/>
      <c r="EL285" s="432"/>
      <c r="EM285" s="432"/>
      <c r="EN285" s="432"/>
      <c r="EO285" s="432"/>
      <c r="EP285" s="432"/>
      <c r="EQ285" s="432"/>
      <c r="ER285" s="432"/>
      <c r="ES285" s="432"/>
      <c r="ET285" s="432"/>
      <c r="EU285" s="432"/>
      <c r="EV285" s="432"/>
      <c r="EW285" s="432"/>
      <c r="EX285" s="432"/>
      <c r="EY285" s="432"/>
      <c r="EZ285" s="432"/>
      <c r="FA285" s="432"/>
      <c r="FB285" s="432"/>
      <c r="FC285" s="432"/>
      <c r="FD285" s="432"/>
      <c r="FE285" s="432"/>
      <c r="FF285" s="432"/>
      <c r="FG285" s="432"/>
      <c r="FH285" s="432"/>
      <c r="FI285" s="432"/>
      <c r="FJ285" s="432"/>
      <c r="FK285" s="432"/>
      <c r="FL285" s="432"/>
      <c r="FM285" s="432"/>
      <c r="FN285" s="432"/>
      <c r="FO285" s="432"/>
      <c r="FP285" s="432"/>
      <c r="FQ285" s="432"/>
      <c r="FR285" s="432"/>
      <c r="FS285" s="432"/>
      <c r="FT285" s="432"/>
      <c r="FU285" s="432"/>
      <c r="FV285" s="432"/>
      <c r="FW285" s="432"/>
      <c r="FX285" s="432"/>
      <c r="FY285" s="432"/>
      <c r="FZ285" s="432"/>
      <c r="GA285" s="432"/>
      <c r="GB285" s="432"/>
      <c r="GC285" s="432"/>
      <c r="GD285" s="432"/>
      <c r="GE285" s="432"/>
      <c r="GF285" s="432"/>
      <c r="GG285" s="432"/>
      <c r="GH285" s="432"/>
      <c r="GI285" s="432"/>
      <c r="GJ285" s="432"/>
      <c r="GK285" s="432"/>
      <c r="GL285" s="432"/>
      <c r="GM285" s="432"/>
      <c r="GN285" s="432"/>
      <c r="GO285" s="432"/>
      <c r="GP285" s="432"/>
      <c r="GQ285" s="432"/>
      <c r="GR285" s="432"/>
      <c r="GS285" s="432"/>
      <c r="GT285" s="432"/>
      <c r="GU285" s="432"/>
      <c r="GV285" s="432"/>
      <c r="GW285" s="432"/>
      <c r="GX285" s="432"/>
      <c r="GY285" s="432"/>
      <c r="GZ285" s="432"/>
      <c r="HA285" s="432"/>
      <c r="HB285" s="432"/>
      <c r="HC285" s="432"/>
      <c r="HD285" s="432"/>
      <c r="HE285" s="432"/>
      <c r="HF285" s="432"/>
      <c r="HG285" s="432"/>
      <c r="HH285" s="432"/>
      <c r="HI285" s="432"/>
      <c r="HJ285" s="432"/>
      <c r="HK285" s="432"/>
      <c r="HL285" s="432"/>
      <c r="HM285" s="432"/>
      <c r="HN285" s="432"/>
      <c r="HO285" s="432"/>
      <c r="HP285" s="432"/>
      <c r="HQ285" s="432"/>
      <c r="HR285" s="432"/>
      <c r="HS285" s="432"/>
      <c r="HT285" s="432"/>
      <c r="HU285" s="432"/>
      <c r="HV285" s="432"/>
      <c r="HW285" s="432"/>
      <c r="HX285" s="432"/>
      <c r="HY285" s="432"/>
      <c r="HZ285" s="432"/>
      <c r="IA285" s="432"/>
      <c r="IB285" s="432"/>
      <c r="IC285" s="432"/>
      <c r="ID285" s="432"/>
      <c r="IE285" s="432"/>
      <c r="IF285" s="432"/>
      <c r="IG285" s="432"/>
      <c r="IH285" s="432"/>
      <c r="II285" s="432"/>
      <c r="IJ285" s="432"/>
      <c r="IK285" s="432"/>
      <c r="IL285" s="432"/>
      <c r="IM285" s="432"/>
      <c r="IN285" s="432"/>
      <c r="IO285" s="432"/>
      <c r="IP285" s="432"/>
      <c r="IQ285" s="432"/>
      <c r="IR285" s="432"/>
      <c r="IS285" s="432"/>
      <c r="IT285" s="432"/>
      <c r="IU285" s="432"/>
      <c r="IV285" s="432"/>
      <c r="IW285" s="432"/>
      <c r="IX285" s="432"/>
      <c r="IY285" s="432"/>
      <c r="IZ285" s="432"/>
      <c r="JA285" s="432"/>
      <c r="JB285" s="432"/>
      <c r="JC285" s="432"/>
      <c r="JD285" s="432"/>
      <c r="JE285" s="432"/>
      <c r="JF285" s="432"/>
      <c r="JG285" s="432"/>
      <c r="JH285" s="432"/>
      <c r="JI285" s="432"/>
      <c r="JJ285" s="432"/>
      <c r="JK285" s="432"/>
      <c r="JL285" s="432"/>
      <c r="JM285" s="432"/>
      <c r="JN285" s="432"/>
      <c r="JO285" s="432"/>
      <c r="JP285" s="432"/>
      <c r="JQ285" s="432"/>
      <c r="JR285" s="432"/>
      <c r="JS285" s="432"/>
      <c r="JT285" s="432"/>
      <c r="JU285" s="432"/>
      <c r="JV285" s="432"/>
      <c r="JW285" s="1810"/>
      <c r="JX285" s="432"/>
      <c r="JY285" s="432"/>
      <c r="JZ285" s="432"/>
      <c r="KA285" s="432"/>
      <c r="KB285" s="1810"/>
      <c r="KC285" s="432"/>
      <c r="KD285" s="432"/>
      <c r="KE285" s="432"/>
      <c r="KF285" s="432"/>
      <c r="KG285" s="1810"/>
      <c r="KH285" s="432"/>
      <c r="KI285" s="432"/>
      <c r="KJ285" s="432"/>
      <c r="KK285" s="432"/>
      <c r="KL285" s="1810"/>
      <c r="KM285" s="1810"/>
      <c r="KN285" s="1810"/>
      <c r="KO285" s="1810"/>
      <c r="KP285" s="1810"/>
      <c r="KQ285" s="1810"/>
      <c r="KR285" s="1810"/>
      <c r="KS285" s="1810"/>
      <c r="KT285" s="1810"/>
      <c r="KU285" s="1810"/>
      <c r="KV285" s="1810"/>
      <c r="KW285" s="1810"/>
      <c r="KX285" s="1810"/>
      <c r="KY285" s="1810"/>
      <c r="KZ285" s="1810"/>
      <c r="LA285" s="1810"/>
      <c r="LB285" s="1810"/>
      <c r="LC285" s="1810"/>
      <c r="LD285" s="1810"/>
      <c r="LE285" s="1810"/>
      <c r="LF285" s="1810"/>
      <c r="LG285" s="1810"/>
      <c r="LH285" s="432"/>
      <c r="LI285" s="432"/>
      <c r="LJ285" s="432"/>
      <c r="LK285" s="432"/>
      <c r="LL285" s="432"/>
      <c r="LM285" s="432"/>
      <c r="LN285" s="1811"/>
      <c r="LO285" s="432"/>
      <c r="LP285" s="432"/>
      <c r="LQ285" s="432"/>
      <c r="LR285" s="432"/>
      <c r="LS285" s="432"/>
      <c r="LT285" s="432"/>
      <c r="LU285" s="432"/>
      <c r="LV285" s="432"/>
      <c r="LW285" s="432"/>
      <c r="LX285" s="432"/>
      <c r="LY285" s="432"/>
      <c r="LZ285" s="432"/>
      <c r="MA285" s="432"/>
      <c r="MB285" s="432"/>
      <c r="MC285" s="432"/>
      <c r="MD285" s="1811"/>
      <c r="ME285" s="1811"/>
      <c r="MF285" s="432"/>
      <c r="MG285" s="432"/>
      <c r="MH285" s="432"/>
      <c r="MI285" s="432"/>
      <c r="MJ285" s="432"/>
      <c r="MK285" s="432"/>
      <c r="ML285" s="432"/>
      <c r="MM285" s="432"/>
      <c r="MN285" s="432"/>
      <c r="MO285" s="432"/>
      <c r="MP285" s="432"/>
      <c r="MQ285" s="432"/>
      <c r="MR285" s="432"/>
      <c r="MS285" s="432"/>
      <c r="MT285" s="432"/>
      <c r="MU285" s="432"/>
      <c r="MV285" s="93"/>
      <c r="MW285" s="93"/>
      <c r="MX285" s="93"/>
      <c r="MY285" s="93"/>
      <c r="MZ285" s="93"/>
      <c r="NA285" s="93"/>
      <c r="NB285" s="93"/>
      <c r="NC285" s="93"/>
      <c r="ND285" s="93"/>
      <c r="NE285" s="93"/>
      <c r="NF285" s="93"/>
      <c r="NG285" s="93"/>
      <c r="NH285" s="93"/>
      <c r="NI285" s="93"/>
      <c r="NJ285" s="93"/>
      <c r="NK285" s="93"/>
      <c r="NL285" s="93"/>
      <c r="NM285" s="93"/>
      <c r="NN285" s="93"/>
      <c r="NO285" s="93"/>
      <c r="NP285" s="2807"/>
      <c r="NQ285" s="93"/>
      <c r="NR285" s="93"/>
      <c r="NS285" s="93"/>
      <c r="NT285" s="93"/>
      <c r="NU285" s="93"/>
      <c r="NV285" s="93"/>
      <c r="NW285" s="93"/>
      <c r="NX285" s="93"/>
      <c r="NY285" s="93"/>
      <c r="NZ285" s="93"/>
      <c r="OA285" s="93"/>
      <c r="OB285" s="93"/>
      <c r="OC285" s="93"/>
      <c r="OD285" s="93"/>
      <c r="OE285" s="93"/>
      <c r="OF285" s="93"/>
      <c r="OG285" s="93"/>
      <c r="OH285" s="93"/>
      <c r="OI285" s="93"/>
      <c r="OJ285" s="93"/>
      <c r="OK285" s="93"/>
      <c r="OL285" s="93"/>
      <c r="OM285" s="93"/>
      <c r="ON285" s="93"/>
      <c r="OO285" s="93"/>
      <c r="OP285" s="93"/>
      <c r="OQ285" s="93"/>
      <c r="OR285" s="93"/>
      <c r="OS285" s="93"/>
      <c r="OT285" s="93"/>
      <c r="OU285" s="93"/>
      <c r="OV285" s="93"/>
      <c r="OW285" s="93"/>
      <c r="OX285" s="93"/>
      <c r="OY285" s="93"/>
      <c r="OZ285" s="93"/>
      <c r="PA285" s="93"/>
      <c r="PB285" s="93"/>
      <c r="PC285" s="93"/>
      <c r="PD285" s="93"/>
      <c r="PE285" s="93"/>
      <c r="PF285" s="93"/>
      <c r="PG285" s="93"/>
      <c r="PH285" s="93"/>
      <c r="PI285" s="93"/>
      <c r="PJ285" s="93"/>
      <c r="PK285" s="93"/>
      <c r="PL285" s="93"/>
      <c r="PM285" s="93"/>
      <c r="PN285" s="93"/>
      <c r="PO285" s="93"/>
      <c r="PP285" s="93"/>
      <c r="PQ285" s="93"/>
      <c r="PR285" s="93"/>
      <c r="PS285" s="93"/>
      <c r="PT285" s="93"/>
      <c r="PU285" s="93"/>
      <c r="PV285" s="93"/>
      <c r="PW285" s="93"/>
      <c r="PX285" s="93"/>
      <c r="PY285" s="93"/>
      <c r="PZ285" s="93"/>
      <c r="QA285" s="93"/>
      <c r="QB285" s="93"/>
      <c r="QC285" s="93"/>
      <c r="QD285" s="93"/>
      <c r="QE285" s="93"/>
      <c r="QF285" s="93"/>
      <c r="QG285" s="93"/>
      <c r="QH285" s="93"/>
      <c r="QI285" s="93"/>
      <c r="QJ285" s="93"/>
      <c r="QK285" s="93"/>
      <c r="QL285" s="93"/>
      <c r="QM285" s="93"/>
      <c r="QN285" s="93"/>
      <c r="QO285" s="93"/>
      <c r="QP285" s="93"/>
      <c r="QQ285" s="93"/>
      <c r="QR285" s="93"/>
      <c r="QS285" s="93"/>
      <c r="QT285" s="93"/>
      <c r="QU285" s="93"/>
      <c r="QV285" s="93"/>
      <c r="QW285" s="93"/>
      <c r="QX285" s="93"/>
      <c r="QY285" s="93"/>
      <c r="QZ285" s="93"/>
      <c r="RA285" s="93"/>
      <c r="RB285" s="93"/>
      <c r="RC285" s="93"/>
      <c r="RD285" s="93"/>
      <c r="RE285" s="93"/>
      <c r="RF285" s="93"/>
      <c r="RG285" s="93"/>
      <c r="RH285" s="93"/>
      <c r="RI285" s="93"/>
      <c r="RJ285" s="93"/>
      <c r="RK285" s="93"/>
      <c r="RL285" s="93"/>
      <c r="RM285" s="93"/>
      <c r="RN285" s="93"/>
      <c r="RO285" s="93"/>
      <c r="RP285" s="93"/>
      <c r="RQ285" s="93"/>
      <c r="RR285" s="93"/>
      <c r="RS285" s="93"/>
      <c r="RT285" s="93"/>
      <c r="RU285" s="93"/>
      <c r="RV285" s="93"/>
      <c r="RW285" s="93"/>
      <c r="RX285" s="93"/>
      <c r="RY285" s="93"/>
    </row>
    <row r="286" spans="1:493" ht="14.1" customHeight="1"/>
    <row r="287" spans="1:493" ht="14.1" customHeight="1">
      <c r="A287" s="13"/>
      <c r="NP287" s="2850"/>
    </row>
    <row r="288" spans="1:493" ht="14.1" customHeight="1">
      <c r="NP288" s="2850"/>
    </row>
    <row r="289" spans="380:380" ht="14.1" customHeight="1">
      <c r="NP289" s="2850"/>
    </row>
    <row r="290" spans="380:380" ht="14.1" customHeight="1">
      <c r="NP290" s="2850"/>
    </row>
    <row r="291" spans="380:380" ht="14.1" customHeight="1">
      <c r="NP291" s="2850"/>
    </row>
    <row r="292" spans="380:380" ht="14.1" customHeight="1"/>
    <row r="293" spans="380:380" ht="14.1" customHeight="1"/>
    <row r="294" spans="380:380" ht="14.1" customHeight="1"/>
    <row r="295" spans="380:380" ht="14.1" customHeight="1"/>
    <row r="296" spans="380:380" ht="14.1" customHeight="1"/>
  </sheetData>
  <sheetProtection algorithmName="SHA-512" hashValue="148JgqkgnHhKXSxGmw+d844Z44AXuo8OMO/y4XGPxk62+x/QCzfDd5HiIb0faFcgjcTS9fWuw0SUuHivkU1uyA==" saltValue="xP6iiYO/buTha2pl9nQw1Q==" spinCount="100000" sheet="1" objects="1" scenarios="1" selectLockedCells="1" selectUnlockedCells="1"/>
  <mergeCells count="595">
    <mergeCell ref="KL9:KL10"/>
    <mergeCell ref="JX9:JX10"/>
    <mergeCell ref="JY9:JY10"/>
    <mergeCell ref="JZ9:JZ10"/>
    <mergeCell ref="KA9:KA10"/>
    <mergeCell ref="KB9:KB10"/>
    <mergeCell ref="D73:F78"/>
    <mergeCell ref="L6:N7"/>
    <mergeCell ref="S130:W130"/>
    <mergeCell ref="T46:W46"/>
    <mergeCell ref="T47:W47"/>
    <mergeCell ref="AW5:AW10"/>
    <mergeCell ref="BR5:BR10"/>
    <mergeCell ref="BS5:BS10"/>
    <mergeCell ref="BT5:BT10"/>
    <mergeCell ref="DA5:DA10"/>
    <mergeCell ref="DB5:DB10"/>
    <mergeCell ref="DC5:DC10"/>
    <mergeCell ref="CD5:CD10"/>
    <mergeCell ref="CW5:CW10"/>
    <mergeCell ref="CX5:CX10"/>
    <mergeCell ref="BX5:BX10"/>
    <mergeCell ref="CQ5:CQ10"/>
    <mergeCell ref="CR5:CR10"/>
    <mergeCell ref="K248:L248"/>
    <mergeCell ref="Q154:Q156"/>
    <mergeCell ref="L53:O53"/>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S135:W135"/>
    <mergeCell ref="C127:D142"/>
    <mergeCell ref="S107:W107"/>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J5:AJ10"/>
    <mergeCell ref="AK5:AK10"/>
    <mergeCell ref="AU5:AU10"/>
    <mergeCell ref="AV5:AV10"/>
    <mergeCell ref="DZ5:DZ10"/>
    <mergeCell ref="EA5:EA10"/>
    <mergeCell ref="EB5:EB10"/>
    <mergeCell ref="EC5:EC10"/>
    <mergeCell ref="EH5:EH10"/>
    <mergeCell ref="CK5:CK10"/>
    <mergeCell ref="CL5:CL10"/>
    <mergeCell ref="CC5:CC10"/>
    <mergeCell ref="CP5:CP10"/>
    <mergeCell ref="CT5:CT10"/>
    <mergeCell ref="CZ5:CZ10"/>
    <mergeCell ref="CU5:CU10"/>
    <mergeCell ref="CV5:CV10"/>
    <mergeCell ref="CM5:CM10"/>
    <mergeCell ref="CN5:CN10"/>
    <mergeCell ref="CO5:CO10"/>
    <mergeCell ref="EV5:EV10"/>
    <mergeCell ref="AX5:AX10"/>
    <mergeCell ref="BJ5:BJ10"/>
    <mergeCell ref="BK5:BK10"/>
    <mergeCell ref="BQ5:BQ10"/>
    <mergeCell ref="DO5:DO10"/>
    <mergeCell ref="DP5:DP10"/>
    <mergeCell ref="DQ5:DQ10"/>
    <mergeCell ref="GP5:GP10"/>
    <mergeCell ref="GI5:GI10"/>
    <mergeCell ref="GJ5:GJ10"/>
    <mergeCell ref="GK5:GK10"/>
    <mergeCell ref="DD5:DD10"/>
    <mergeCell ref="DJ5:DJ10"/>
    <mergeCell ref="DK5:DK10"/>
    <mergeCell ref="DG5:DG10"/>
    <mergeCell ref="DH5:DH10"/>
    <mergeCell ref="EO5:EO10"/>
    <mergeCell ref="DR5:DR10"/>
    <mergeCell ref="DS5:DS10"/>
    <mergeCell ref="DI5:DI10"/>
    <mergeCell ref="DF5:DF10"/>
    <mergeCell ref="EL5:EL10"/>
    <mergeCell ref="EM5:EM10"/>
    <mergeCell ref="ES5:ES10"/>
    <mergeCell ref="AO5:AO10"/>
    <mergeCell ref="AP5:AP10"/>
    <mergeCell ref="AQ5:AQ10"/>
    <mergeCell ref="CY5:CY10"/>
    <mergeCell ref="DE5:DE10"/>
    <mergeCell ref="CG5:CG10"/>
    <mergeCell ref="CH5:CH10"/>
    <mergeCell ref="CI5:CI10"/>
    <mergeCell ref="ED5:ED10"/>
    <mergeCell ref="EE5:EE10"/>
    <mergeCell ref="EF5:EF10"/>
    <mergeCell ref="EG5:EG10"/>
    <mergeCell ref="DT5:DT10"/>
    <mergeCell ref="DU5:DU10"/>
    <mergeCell ref="DV5:DV10"/>
    <mergeCell ref="BC5:BC10"/>
    <mergeCell ref="BD5:BD10"/>
    <mergeCell ref="DN5:DN10"/>
    <mergeCell ref="EJ5:EJ10"/>
    <mergeCell ref="EK5:EK10"/>
    <mergeCell ref="DW5:DW10"/>
    <mergeCell ref="DX5:DX10"/>
    <mergeCell ref="DY5:DY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EP5:EP10"/>
    <mergeCell ref="EQ5:EQ10"/>
    <mergeCell ref="ER5:ER10"/>
    <mergeCell ref="EI5:EI10"/>
    <mergeCell ref="EN5:EN10"/>
    <mergeCell ref="EW5:EW10"/>
    <mergeCell ref="ET5:ET10"/>
    <mergeCell ref="EU5:EU10"/>
    <mergeCell ref="MG4:MG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IZ9:IZ10"/>
    <mergeCell ref="JA9:JA10"/>
    <mergeCell ref="JD9:JD10"/>
    <mergeCell ref="IK9:IK10"/>
    <mergeCell ref="LC9:LC10"/>
    <mergeCell ref="LD9:LD10"/>
    <mergeCell ref="LE9:LE10"/>
    <mergeCell ref="LF9:LF10"/>
    <mergeCell ref="MH4:MH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LU5:LU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IM9:IM10"/>
    <mergeCell ref="IN9:IN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HP5:HP10"/>
    <mergeCell ref="HQ5:HQ10"/>
    <mergeCell ref="HE5:HE10"/>
    <mergeCell ref="HF5:HF10"/>
    <mergeCell ref="HG5:HG10"/>
    <mergeCell ref="HH5:HH10"/>
    <mergeCell ref="HI5:HI10"/>
    <mergeCell ref="HV5:HV10"/>
    <mergeCell ref="HW5:HW10"/>
    <mergeCell ref="HR5:HR10"/>
    <mergeCell ref="HM5:HM10"/>
    <mergeCell ref="HN5:HN10"/>
    <mergeCell ref="HO5:HO10"/>
    <mergeCell ref="IJ9:IJ10"/>
    <mergeCell ref="HX5:HX10"/>
    <mergeCell ref="IF9:IF10"/>
    <mergeCell ref="IG9:IG10"/>
    <mergeCell ref="IH9:IH10"/>
    <mergeCell ref="S191:W191"/>
    <mergeCell ref="C69:F70"/>
    <mergeCell ref="T34:W34"/>
    <mergeCell ref="S105:W105"/>
    <mergeCell ref="S184:W184"/>
    <mergeCell ref="S198:W198"/>
    <mergeCell ref="S153:W153"/>
    <mergeCell ref="S204:W204"/>
    <mergeCell ref="S209:W209"/>
    <mergeCell ref="S124:W124"/>
    <mergeCell ref="S200:W200"/>
    <mergeCell ref="S167:W167"/>
    <mergeCell ref="S149:W149"/>
    <mergeCell ref="S157:W157"/>
    <mergeCell ref="S161:W161"/>
    <mergeCell ref="S162:W162"/>
    <mergeCell ref="S160:W160"/>
    <mergeCell ref="S154:W154"/>
    <mergeCell ref="B49:C49"/>
    <mergeCell ref="B50:C50"/>
    <mergeCell ref="S194:W194"/>
    <mergeCell ref="S125:W125"/>
    <mergeCell ref="S106:W106"/>
    <mergeCell ref="S151:W151"/>
    <mergeCell ref="C185:F185"/>
    <mergeCell ref="C190:F190"/>
    <mergeCell ref="C147:D153"/>
    <mergeCell ref="H176:J176"/>
    <mergeCell ref="T23:W23"/>
    <mergeCell ref="T24:W24"/>
    <mergeCell ref="S168:W168"/>
    <mergeCell ref="S182:W182"/>
    <mergeCell ref="S186:W186"/>
    <mergeCell ref="S152:W152"/>
    <mergeCell ref="S137:W137"/>
    <mergeCell ref="L145:O145"/>
    <mergeCell ref="S145:V145"/>
    <mergeCell ref="S150:W150"/>
    <mergeCell ref="S143:W143"/>
    <mergeCell ref="S129:W129"/>
    <mergeCell ref="S138:W138"/>
    <mergeCell ref="S139:W139"/>
    <mergeCell ref="S140:W140"/>
    <mergeCell ref="S136:W136"/>
    <mergeCell ref="S133:W133"/>
    <mergeCell ref="S108:W108"/>
    <mergeCell ref="S109:W109"/>
    <mergeCell ref="T25:W25"/>
    <mergeCell ref="GW5:GW10"/>
    <mergeCell ref="GL5:GL10"/>
    <mergeCell ref="GM5:GM10"/>
    <mergeCell ref="GN5:GN10"/>
    <mergeCell ref="GO5:GO10"/>
    <mergeCell ref="HS5:HS10"/>
    <mergeCell ref="HT5:HT10"/>
    <mergeCell ref="HU5:HU10"/>
    <mergeCell ref="IE9:IE10"/>
    <mergeCell ref="HC5:HC10"/>
    <mergeCell ref="GR5:GR10"/>
    <mergeCell ref="GS5:GS10"/>
    <mergeCell ref="GX5:GX10"/>
    <mergeCell ref="GY5:GY10"/>
    <mergeCell ref="GZ5:GZ10"/>
    <mergeCell ref="HA5:HA10"/>
    <mergeCell ref="HB5:HB10"/>
    <mergeCell ref="HL5:HL10"/>
    <mergeCell ref="HJ5:HJ10"/>
    <mergeCell ref="HK5:HK10"/>
    <mergeCell ref="HD5:HD10"/>
    <mergeCell ref="GQ5:GQ10"/>
    <mergeCell ref="S180:W180"/>
    <mergeCell ref="S147:W147"/>
    <mergeCell ref="S148:W148"/>
    <mergeCell ref="S181:W181"/>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Q5:Q10"/>
    <mergeCell ref="CB5:CB10"/>
    <mergeCell ref="T26:W26"/>
    <mergeCell ref="T27:W27"/>
    <mergeCell ref="T28:W28"/>
    <mergeCell ref="B232:E232"/>
    <mergeCell ref="L241:M241"/>
    <mergeCell ref="L242:M242"/>
    <mergeCell ref="L243:M243"/>
    <mergeCell ref="I227:K227"/>
    <mergeCell ref="GT5:GT10"/>
    <mergeCell ref="GU5:GU10"/>
    <mergeCell ref="GV5:GV10"/>
    <mergeCell ref="AH5:AH10"/>
    <mergeCell ref="AI5:AI10"/>
    <mergeCell ref="BW5:BW10"/>
    <mergeCell ref="C194:F194"/>
    <mergeCell ref="C181:F181"/>
    <mergeCell ref="S185:W185"/>
    <mergeCell ref="S189:W189"/>
    <mergeCell ref="S190:W190"/>
    <mergeCell ref="S141:W141"/>
    <mergeCell ref="S142:W142"/>
    <mergeCell ref="S156:U156"/>
    <mergeCell ref="C208:F208"/>
    <mergeCell ref="FM5:FM10"/>
    <mergeCell ref="FI5:FI10"/>
    <mergeCell ref="FJ5:FJ10"/>
    <mergeCell ref="F219:G219"/>
    <mergeCell ref="B243:E243"/>
    <mergeCell ref="F243:G243"/>
    <mergeCell ref="F231:G231"/>
    <mergeCell ref="F230:G230"/>
    <mergeCell ref="L227:M227"/>
    <mergeCell ref="F227:G227"/>
    <mergeCell ref="L224:M224"/>
    <mergeCell ref="L226:M226"/>
    <mergeCell ref="F220:G220"/>
    <mergeCell ref="L220:M220"/>
    <mergeCell ref="F221:G221"/>
    <mergeCell ref="F228:G228"/>
    <mergeCell ref="L225:M225"/>
    <mergeCell ref="F229:G229"/>
    <mergeCell ref="L228:M228"/>
    <mergeCell ref="B223:E223"/>
    <mergeCell ref="F223:G223"/>
    <mergeCell ref="F224:G224"/>
    <mergeCell ref="F241:G241"/>
    <mergeCell ref="L237:M237"/>
    <mergeCell ref="I243:K243"/>
    <mergeCell ref="I236:K236"/>
    <mergeCell ref="F242:G242"/>
    <mergeCell ref="F222:G222"/>
    <mergeCell ref="S193:W193"/>
    <mergeCell ref="L244:M244"/>
    <mergeCell ref="F244:G244"/>
    <mergeCell ref="N232:N238"/>
    <mergeCell ref="O233:Q233"/>
    <mergeCell ref="F232:G232"/>
    <mergeCell ref="F233:G233"/>
    <mergeCell ref="F236:G236"/>
    <mergeCell ref="L232:M232"/>
    <mergeCell ref="F237:G237"/>
    <mergeCell ref="L233:M233"/>
    <mergeCell ref="F238:G238"/>
    <mergeCell ref="L234:M234"/>
    <mergeCell ref="F239:G239"/>
    <mergeCell ref="L235:M235"/>
    <mergeCell ref="F240:G240"/>
    <mergeCell ref="L236:M236"/>
    <mergeCell ref="L219:M219"/>
    <mergeCell ref="C212:F212"/>
    <mergeCell ref="C199:F199"/>
    <mergeCell ref="C203:F203"/>
    <mergeCell ref="F218:G218"/>
    <mergeCell ref="L218:M218"/>
    <mergeCell ref="N225:N228"/>
    <mergeCell ref="S236:W236"/>
    <mergeCell ref="N253:Q253"/>
    <mergeCell ref="A253:M253"/>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3:U253"/>
    <mergeCell ref="S115:W115"/>
    <mergeCell ref="S116:W116"/>
    <mergeCell ref="S117:W117"/>
    <mergeCell ref="S118:W118"/>
    <mergeCell ref="S241:W241"/>
    <mergeCell ref="S203:W203"/>
    <mergeCell ref="S165:W165"/>
    <mergeCell ref="S166:W166"/>
    <mergeCell ref="S231:W231"/>
    <mergeCell ref="S232:W232"/>
    <mergeCell ref="S237:W237"/>
    <mergeCell ref="S227:W227"/>
    <mergeCell ref="S228:W228"/>
    <mergeCell ref="S199:W199"/>
    <mergeCell ref="S202:W202"/>
    <mergeCell ref="S195:W195"/>
    <mergeCell ref="S211:W211"/>
    <mergeCell ref="S212:W212"/>
    <mergeCell ref="S207:W207"/>
    <mergeCell ref="S208:W208"/>
    <mergeCell ref="S217:W217"/>
    <mergeCell ref="S218:W218"/>
    <mergeCell ref="S230:W230"/>
    <mergeCell ref="S220:W220"/>
    <mergeCell ref="S222:W222"/>
    <mergeCell ref="S233:W233"/>
    <mergeCell ref="S234:W234"/>
    <mergeCell ref="S235:W235"/>
    <mergeCell ref="A56:B71"/>
    <mergeCell ref="S111:W111"/>
    <mergeCell ref="S119:W119"/>
    <mergeCell ref="S121:W121"/>
    <mergeCell ref="S122:W122"/>
    <mergeCell ref="S123:W123"/>
    <mergeCell ref="S250:W250"/>
    <mergeCell ref="S248:W248"/>
    <mergeCell ref="S158:W158"/>
    <mergeCell ref="S159:W159"/>
    <mergeCell ref="S244:W244"/>
    <mergeCell ref="S219:W219"/>
    <mergeCell ref="S226:W226"/>
    <mergeCell ref="S242:W242"/>
    <mergeCell ref="S243:W243"/>
    <mergeCell ref="S238:W238"/>
    <mergeCell ref="S239:W239"/>
    <mergeCell ref="S224:W224"/>
    <mergeCell ref="S225:W225"/>
    <mergeCell ref="S221:W221"/>
    <mergeCell ref="S223:W223"/>
    <mergeCell ref="S229:W229"/>
    <mergeCell ref="S213:W213"/>
    <mergeCell ref="S240:W240"/>
    <mergeCell ref="S100:W100"/>
    <mergeCell ref="L102:O102"/>
    <mergeCell ref="S120:W120"/>
    <mergeCell ref="H49:H50"/>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S95:W95"/>
    <mergeCell ref="S96:W96"/>
    <mergeCell ref="S97:W97"/>
    <mergeCell ref="S98:W98"/>
    <mergeCell ref="C113:D118"/>
  </mergeCells>
  <conditionalFormatting sqref="H11:I11">
    <cfRule type="expression" priority="30" stopIfTrue="1">
      <formula>AND($B11="PHA", $H11&gt;0)</formula>
    </cfRule>
  </conditionalFormatting>
  <conditionalFormatting sqref="U126 U101:U103 U112 U91:U92">
    <cfRule type="cellIs" dxfId="71" priority="31" stopIfTrue="1" operator="greaterThan">
      <formula>0</formula>
    </cfRule>
  </conditionalFormatting>
  <conditionalFormatting sqref="A11:A48">
    <cfRule type="cellIs" dxfId="70" priority="32" stopIfTrue="1" operator="equal">
      <formula>1</formula>
    </cfRule>
  </conditionalFormatting>
  <conditionalFormatting sqref="J11:J48">
    <cfRule type="expression" priority="29" stopIfTrue="1">
      <formula>AND($B11="PHA", $H11&gt;0)</formula>
    </cfRule>
  </conditionalFormatting>
  <conditionalFormatting sqref="P176">
    <cfRule type="cellIs" dxfId="69" priority="28" operator="greaterThan">
      <formula>0.02</formula>
    </cfRule>
  </conditionalFormatting>
  <conditionalFormatting sqref="Q11:Q48">
    <cfRule type="expression" dxfId="68" priority="26">
      <formula>AND($P$11="New Construction",$Q$11="Yes")</formula>
    </cfRule>
  </conditionalFormatting>
  <conditionalFormatting sqref="K56:P67 K156:P168 K93:P131 K136:P154">
    <cfRule type="cellIs" dxfId="67" priority="22" operator="equal">
      <formula>0</formula>
    </cfRule>
  </conditionalFormatting>
  <conditionalFormatting sqref="B50:C50">
    <cfRule type="cellIs" dxfId="66" priority="17" operator="greaterThan">
      <formula>60.0000001</formula>
    </cfRule>
  </conditionalFormatting>
  <conditionalFormatting sqref="L53:O53">
    <cfRule type="containsText" dxfId="65" priority="16" operator="containsText" text="&lt;&lt; Select LIHTC Election &gt;&gt;">
      <formula>NOT(ISERROR(SEARCH("&lt;&lt; Select LIHTC Election &gt;&gt;",L53)))</formula>
    </cfRule>
  </conditionalFormatting>
  <conditionalFormatting sqref="U155">
    <cfRule type="cellIs" dxfId="64" priority="14" stopIfTrue="1" operator="greaterThan">
      <formula>0</formula>
    </cfRule>
  </conditionalFormatting>
  <conditionalFormatting sqref="K155:P155">
    <cfRule type="cellIs" dxfId="63" priority="13" operator="equal">
      <formula>0</formula>
    </cfRule>
  </conditionalFormatting>
  <conditionalFormatting sqref="L102:O102">
    <cfRule type="cellIs" dxfId="62" priority="7" operator="equal">
      <formula>"&lt;&lt; Select LIHTC Election &gt;&gt;"</formula>
    </cfRule>
    <cfRule type="containsText" dxfId="61" priority="11" operator="containsText" text="&lt;&lt; Select Election or Income Averaging &gt;&gt;">
      <formula>NOT(ISERROR(SEARCH("&lt;&lt; Select Election or Income Averaging &gt;&gt;",L102)))</formula>
    </cfRule>
  </conditionalFormatting>
  <conditionalFormatting sqref="L145:O145">
    <cfRule type="cellIs" dxfId="60" priority="6" operator="equal">
      <formula>"&lt;&lt; Select LIHTC Election &gt;&gt;"</formula>
    </cfRule>
    <cfRule type="containsText" dxfId="59" priority="9" operator="containsText" text="&lt;&lt; Select Election or Income Averaging &gt;&gt;">
      <formula>NOT(ISERROR(SEARCH("&lt;&lt; Select Election or Income Averaging &gt;&gt;",L145)))</formula>
    </cfRule>
  </conditionalFormatting>
  <conditionalFormatting sqref="K132:P133">
    <cfRule type="cellIs" dxfId="58" priority="5" operator="equal">
      <formula>0</formula>
    </cfRule>
  </conditionalFormatting>
  <conditionalFormatting sqref="A6:A10">
    <cfRule type="cellIs" dxfId="57" priority="4" operator="equal">
      <formula>"Finish Row!"</formula>
    </cfRule>
  </conditionalFormatting>
  <conditionalFormatting sqref="U69">
    <cfRule type="cellIs" dxfId="56" priority="3" stopIfTrue="1" operator="greaterThan">
      <formula>0</formula>
    </cfRule>
  </conditionalFormatting>
  <conditionalFormatting sqref="K130:P131">
    <cfRule type="cellIs" dxfId="55" priority="2" operator="equal">
      <formula>0</formula>
    </cfRule>
  </conditionalFormatting>
  <conditionalFormatting sqref="K134:P135">
    <cfRule type="cellIs" dxfId="54" priority="1" operator="equal">
      <formula>0</formula>
    </cfRule>
  </conditionalFormatting>
  <dataValidations count="12">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0 L250" xr:uid="{C170B24F-6E21-4B10-94B2-1D55F2AB958B}">
      <formula1>"&lt;&lt;Select&gt;&gt;,Yes, No"</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rowBreaks count="6" manualBreakCount="6">
    <brk id="52" max="16383" man="1"/>
    <brk id="100" max="16383" man="1"/>
    <brk id="143" max="16383" man="1"/>
    <brk id="173" max="16383" man="1"/>
    <brk id="213" max="16383" man="1"/>
    <brk id="251" max="16383" man="1"/>
  </rowBreaks>
  <ignoredErrors>
    <ignoredError sqref="K66:O66" formula="1"/>
    <ignoredError sqref="J18 J24:J45 J46:J48 H176"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8" zoomScaleNormal="100" workbookViewId="0">
      <selection activeCell="A8" sqref="A1:XFD1048576"/>
    </sheetView>
  </sheetViews>
  <sheetFormatPr defaultColWidth="8.85546875" defaultRowHeight="12.75"/>
  <cols>
    <col min="1" max="1" width="22.140625" style="8" customWidth="1"/>
    <col min="2" max="11" width="12" style="8" customWidth="1"/>
    <col min="12" max="13" width="2.140625" style="8" customWidth="1"/>
    <col min="14" max="14" width="19.140625" style="8" customWidth="1"/>
    <col min="15" max="15" width="83" style="8" customWidth="1"/>
    <col min="16" max="16" width="8.85546875" style="8"/>
    <col min="17" max="17" width="5.140625" style="8" customWidth="1"/>
    <col min="18" max="18" width="12.140625" style="8" customWidth="1"/>
    <col min="19" max="19" width="12.42578125" style="8" customWidth="1"/>
    <col min="20" max="25" width="8.85546875" style="8"/>
    <col min="26" max="26" width="10.85546875" style="2807" bestFit="1" customWidth="1"/>
    <col min="27" max="27" width="8.85546875" style="1788"/>
    <col min="28" max="16384" width="8.85546875" style="8"/>
  </cols>
  <sheetData>
    <row r="1" spans="1:27" s="2807" customFormat="1" hidden="1">
      <c r="B1" s="2807" t="s">
        <v>6762</v>
      </c>
      <c r="C1" s="2807" t="s">
        <v>6763</v>
      </c>
      <c r="D1" s="2807" t="s">
        <v>6764</v>
      </c>
      <c r="E1" s="2807" t="s">
        <v>6765</v>
      </c>
      <c r="F1" s="2807" t="s">
        <v>6766</v>
      </c>
      <c r="G1" s="2807" t="s">
        <v>6767</v>
      </c>
      <c r="H1" s="2807" t="s">
        <v>6768</v>
      </c>
      <c r="I1" s="2807" t="s">
        <v>6769</v>
      </c>
      <c r="J1" s="2807" t="s">
        <v>6770</v>
      </c>
      <c r="K1" s="2807" t="s">
        <v>6771</v>
      </c>
      <c r="AA1" s="1788">
        <v>1</v>
      </c>
    </row>
    <row r="2" spans="1:27" s="16" customFormat="1" ht="14.1" customHeight="1">
      <c r="A2" s="3944" t="str">
        <f>CONCATENATE("PART SEVEN - OPERATING PRO FORMA","  -  ",'Part I-Project Information'!$O$7," ",'Part I-Project Information'!$F$35,", ",'Part I-Project Information'!F39,", ",'Part I-Project Information'!J40," County")</f>
        <v>PART SEVEN - OPERATING PRO FORMA  -  2021-067 West Point Village Phase II, West Point, Troup County</v>
      </c>
      <c r="B2" s="3945"/>
      <c r="C2" s="3945"/>
      <c r="D2" s="3945"/>
      <c r="E2" s="3945"/>
      <c r="F2" s="3945"/>
      <c r="G2" s="3945"/>
      <c r="H2" s="3945"/>
      <c r="I2" s="3945"/>
      <c r="J2" s="3945"/>
      <c r="K2" s="3946"/>
      <c r="L2" s="10"/>
      <c r="M2" s="10"/>
      <c r="N2" s="3947" t="str">
        <f>A2</f>
        <v>PART SEVEN - OPERATING PRO FORMA  -  2021-067 West Point Village Phase II, West Point, Troup County</v>
      </c>
      <c r="O2" s="3947"/>
      <c r="P2" s="10"/>
      <c r="Z2" s="2807"/>
      <c r="AA2" s="1787">
        <v>2</v>
      </c>
    </row>
    <row r="3" spans="1:27" ht="13.5" customHeight="1">
      <c r="A3" s="461"/>
      <c r="B3" s="461"/>
      <c r="C3" s="461"/>
      <c r="D3" s="461"/>
      <c r="E3" s="461"/>
      <c r="F3" s="461"/>
      <c r="G3" s="461"/>
      <c r="H3" s="461"/>
      <c r="I3" s="461"/>
      <c r="J3" s="461"/>
      <c r="K3" s="461"/>
      <c r="N3" s="3948" t="s">
        <v>1759</v>
      </c>
      <c r="O3" s="3948"/>
      <c r="AA3" s="1788">
        <v>3</v>
      </c>
    </row>
    <row r="4" spans="1:27" ht="13.5" customHeight="1">
      <c r="A4" s="13" t="s">
        <v>85</v>
      </c>
      <c r="C4" s="3949" t="str">
        <f>'Part I-Project Information'!$B$7</f>
        <v>2021 Core App
May 10 Rev</v>
      </c>
      <c r="D4" s="1010" t="s">
        <v>75</v>
      </c>
      <c r="E4" s="214"/>
      <c r="F4" s="1011" t="s">
        <v>3554</v>
      </c>
      <c r="N4" s="13" t="str">
        <f>A4</f>
        <v>I.  OPERATING ASSUMPTIONS</v>
      </c>
      <c r="O4" s="31"/>
      <c r="AA4" s="1788">
        <v>4</v>
      </c>
    </row>
    <row r="5" spans="1:27" ht="2.4500000000000002" customHeight="1">
      <c r="A5" s="16"/>
      <c r="B5" s="16"/>
      <c r="C5" s="3949"/>
      <c r="H5" s="16"/>
      <c r="I5" s="16"/>
      <c r="AA5" s="1788">
        <v>5</v>
      </c>
    </row>
    <row r="6" spans="1:27" ht="13.5" customHeight="1">
      <c r="A6" s="16" t="s">
        <v>2092</v>
      </c>
      <c r="B6" s="77">
        <v>0.02</v>
      </c>
      <c r="C6" s="3949"/>
      <c r="D6" s="3904" t="s">
        <v>3555</v>
      </c>
      <c r="E6" s="3904"/>
      <c r="F6" s="3904"/>
      <c r="G6" s="2937">
        <v>0</v>
      </c>
      <c r="H6" s="95" t="s">
        <v>1817</v>
      </c>
      <c r="K6" s="100">
        <f>IF(($B$15+$B$16+$B$17+$B$18)=0,"",B31/($B$15+$B$16+$B$17+$B$18))</f>
        <v>0</v>
      </c>
      <c r="N6" s="3854"/>
      <c r="O6" s="3856"/>
      <c r="AA6" s="1788">
        <v>6</v>
      </c>
    </row>
    <row r="7" spans="1:27">
      <c r="A7" s="16" t="s">
        <v>2093</v>
      </c>
      <c r="B7" s="77">
        <v>0.03</v>
      </c>
      <c r="C7" s="3949"/>
      <c r="D7" s="3904"/>
      <c r="E7" s="3904"/>
      <c r="F7" s="3904"/>
      <c r="G7" s="1012">
        <f>IF(OR('Part III-Sources of Funds'!E6="Yes",'Part III-Sources of Funds'!I6&gt;0),'DCA Underwriting Assumptions'!$Q$101,0)</f>
        <v>0</v>
      </c>
      <c r="H7" s="16"/>
      <c r="I7" s="16"/>
      <c r="J7" s="16"/>
      <c r="K7" s="16"/>
      <c r="N7" s="3833"/>
      <c r="O7" s="3835"/>
      <c r="AA7" s="1788">
        <v>7</v>
      </c>
    </row>
    <row r="8" spans="1:27">
      <c r="A8" s="16" t="s">
        <v>2095</v>
      </c>
      <c r="B8" s="77">
        <v>0.03</v>
      </c>
      <c r="C8" s="3949"/>
      <c r="D8" s="79" t="s">
        <v>259</v>
      </c>
      <c r="G8" s="81"/>
      <c r="H8" s="95" t="s">
        <v>2268</v>
      </c>
      <c r="K8" s="100">
        <f>IF(($B$15+$B$16+$B$17+$B$18)=0,"",-B22/($B$15+$B$16+$B$17+$B$18))</f>
        <v>5.9999165492483221E-2</v>
      </c>
      <c r="N8" s="3833"/>
      <c r="O8" s="3835"/>
      <c r="AA8" s="1788">
        <v>8</v>
      </c>
    </row>
    <row r="9" spans="1:27" ht="13.35" customHeight="1">
      <c r="A9" s="16" t="s">
        <v>2094</v>
      </c>
      <c r="B9" s="2938">
        <v>7.0000000000000007E-2</v>
      </c>
      <c r="C9" s="1297" t="str">
        <f>IF(B9&lt;0.07, "Must be &gt;= 7%!","")</f>
        <v/>
      </c>
      <c r="D9" s="78" t="s">
        <v>2390</v>
      </c>
      <c r="G9" s="2939" t="s">
        <v>2771</v>
      </c>
      <c r="H9" s="161" t="s">
        <v>1389</v>
      </c>
      <c r="K9" s="2940"/>
      <c r="N9" s="3833"/>
      <c r="O9" s="3835"/>
      <c r="AA9" s="1788">
        <v>9</v>
      </c>
    </row>
    <row r="10" spans="1:27">
      <c r="A10" s="16" t="s">
        <v>1367</v>
      </c>
      <c r="B10" s="77">
        <v>0.02</v>
      </c>
      <c r="D10" s="78" t="s">
        <v>1641</v>
      </c>
      <c r="G10" s="2941" t="s">
        <v>2768</v>
      </c>
      <c r="H10" s="161" t="s">
        <v>2250</v>
      </c>
      <c r="K10" s="2942">
        <v>0.06</v>
      </c>
      <c r="N10" s="3839"/>
      <c r="O10" s="3841"/>
      <c r="AA10" s="1788">
        <v>10</v>
      </c>
    </row>
    <row r="11" spans="1:27" ht="9" customHeight="1">
      <c r="AA11" s="1787">
        <v>11</v>
      </c>
    </row>
    <row r="12" spans="1:27">
      <c r="A12" s="13" t="s">
        <v>86</v>
      </c>
      <c r="D12" s="941"/>
      <c r="N12" s="13" t="str">
        <f>A12</f>
        <v>II.  OPERATING PRO FORMA</v>
      </c>
      <c r="AA12" s="1788">
        <v>12</v>
      </c>
    </row>
    <row r="13" spans="1:27" ht="2.4500000000000002" customHeight="1">
      <c r="AA13" s="1788">
        <v>13</v>
      </c>
    </row>
    <row r="14" spans="1:27" ht="14.45" customHeight="1">
      <c r="A14" s="13" t="s">
        <v>2367</v>
      </c>
      <c r="B14" s="13">
        <v>1</v>
      </c>
      <c r="C14" s="13">
        <f t="shared" ref="C14:K14" si="0">B14+1</f>
        <v>2</v>
      </c>
      <c r="D14" s="13">
        <f t="shared" si="0"/>
        <v>3</v>
      </c>
      <c r="E14" s="13">
        <f t="shared" si="0"/>
        <v>4</v>
      </c>
      <c r="F14" s="13">
        <f t="shared" si="0"/>
        <v>5</v>
      </c>
      <c r="G14" s="13">
        <f t="shared" si="0"/>
        <v>6</v>
      </c>
      <c r="H14" s="13">
        <f t="shared" si="0"/>
        <v>7</v>
      </c>
      <c r="I14" s="13">
        <f t="shared" si="0"/>
        <v>8</v>
      </c>
      <c r="J14" s="13">
        <f t="shared" si="0"/>
        <v>9</v>
      </c>
      <c r="K14" s="13">
        <f t="shared" si="0"/>
        <v>10</v>
      </c>
      <c r="N14" s="3530" t="s">
        <v>2498</v>
      </c>
      <c r="O14" s="3530"/>
      <c r="AA14" s="1788">
        <v>14</v>
      </c>
    </row>
    <row r="15" spans="1:27" ht="13.35" customHeight="1">
      <c r="A15" s="18" t="s">
        <v>2293</v>
      </c>
      <c r="B15" s="19">
        <f>'Part VI-Revenues &amp; Expenses'!$M$50</f>
        <v>615108</v>
      </c>
      <c r="C15" s="19">
        <f t="shared" ref="C15:K15" si="1">$B$15*(1+$B$6)^(C14-1)</f>
        <v>627410.16</v>
      </c>
      <c r="D15" s="19">
        <f t="shared" si="1"/>
        <v>639958.36320000002</v>
      </c>
      <c r="E15" s="19">
        <f t="shared" si="1"/>
        <v>652757.53046399995</v>
      </c>
      <c r="F15" s="19">
        <f t="shared" si="1"/>
        <v>665812.68107327993</v>
      </c>
      <c r="G15" s="19">
        <f t="shared" si="1"/>
        <v>679128.93469474558</v>
      </c>
      <c r="H15" s="19">
        <f t="shared" si="1"/>
        <v>692711.5133886406</v>
      </c>
      <c r="I15" s="19">
        <f t="shared" si="1"/>
        <v>706565.74365641316</v>
      </c>
      <c r="J15" s="19">
        <f t="shared" si="1"/>
        <v>720697.05852954159</v>
      </c>
      <c r="K15" s="20">
        <f t="shared" si="1"/>
        <v>735110.99970013241</v>
      </c>
      <c r="N15" s="3854"/>
      <c r="O15" s="3856"/>
      <c r="S15" s="3940" t="s">
        <v>3560</v>
      </c>
      <c r="Z15" s="2807" t="s">
        <v>6772</v>
      </c>
      <c r="AA15" s="1788">
        <v>15</v>
      </c>
    </row>
    <row r="16" spans="1:27" ht="13.35" customHeight="1">
      <c r="A16" s="21" t="s">
        <v>977</v>
      </c>
      <c r="B16" s="22">
        <f>MIN(B15*B10,'Part VI-Revenues &amp; Expenses'!$H$176)</f>
        <v>12302.16</v>
      </c>
      <c r="C16" s="22">
        <f t="shared" ref="C16:K16" si="2">$B$16*(1+$B$6)^(C14-1)</f>
        <v>12548.2032</v>
      </c>
      <c r="D16" s="22">
        <f t="shared" si="2"/>
        <v>12799.167264</v>
      </c>
      <c r="E16" s="22">
        <f t="shared" si="2"/>
        <v>13055.150609279999</v>
      </c>
      <c r="F16" s="22">
        <f t="shared" si="2"/>
        <v>13316.253621465599</v>
      </c>
      <c r="G16" s="22">
        <f t="shared" si="2"/>
        <v>13582.578693894911</v>
      </c>
      <c r="H16" s="22">
        <f t="shared" si="2"/>
        <v>13854.230267772811</v>
      </c>
      <c r="I16" s="22">
        <f t="shared" si="2"/>
        <v>14131.314873128264</v>
      </c>
      <c r="J16" s="22">
        <f t="shared" si="2"/>
        <v>14413.941170590831</v>
      </c>
      <c r="K16" s="23">
        <f t="shared" si="2"/>
        <v>14702.219994002648</v>
      </c>
      <c r="N16" s="3833"/>
      <c r="O16" s="3835"/>
      <c r="S16" s="3941"/>
      <c r="Z16" s="2807" t="s">
        <v>6772</v>
      </c>
      <c r="AA16" s="1788">
        <v>16</v>
      </c>
    </row>
    <row r="17" spans="1:27" ht="13.35" customHeight="1">
      <c r="A17" s="21" t="s">
        <v>2294</v>
      </c>
      <c r="B17" s="22">
        <f t="shared" ref="B17:K17" si="3">-(B15+B16)*$B$9</f>
        <v>-43918.711200000005</v>
      </c>
      <c r="C17" s="22">
        <f t="shared" si="3"/>
        <v>-44797.085424000004</v>
      </c>
      <c r="D17" s="22">
        <f t="shared" si="3"/>
        <v>-45693.027132480012</v>
      </c>
      <c r="E17" s="22">
        <f t="shared" si="3"/>
        <v>-46606.887675129597</v>
      </c>
      <c r="F17" s="22">
        <f t="shared" si="3"/>
        <v>-47539.025428632194</v>
      </c>
      <c r="G17" s="22">
        <f t="shared" si="3"/>
        <v>-48489.805937204837</v>
      </c>
      <c r="H17" s="22">
        <f t="shared" si="3"/>
        <v>-49459.602055948941</v>
      </c>
      <c r="I17" s="22">
        <f t="shared" si="3"/>
        <v>-50448.794097067905</v>
      </c>
      <c r="J17" s="22">
        <f t="shared" si="3"/>
        <v>-51457.769979009274</v>
      </c>
      <c r="K17" s="23">
        <f t="shared" si="3"/>
        <v>-52486.925378589454</v>
      </c>
      <c r="N17" s="3833"/>
      <c r="O17" s="3835"/>
      <c r="Q17" s="3943" t="s">
        <v>3437</v>
      </c>
      <c r="R17" s="3943" t="s">
        <v>3559</v>
      </c>
      <c r="S17" s="3941"/>
      <c r="Z17" s="2807" t="s">
        <v>6772</v>
      </c>
      <c r="AA17" s="1788">
        <v>17</v>
      </c>
    </row>
    <row r="18" spans="1:27" ht="13.35" customHeight="1">
      <c r="A18" s="21" t="s">
        <v>47</v>
      </c>
      <c r="B18" s="22">
        <f>+'Part VI-Revenues &amp; Expenses'!H182</f>
        <v>0</v>
      </c>
      <c r="C18" s="22">
        <f>+'Part VI-Revenues &amp; Expenses'!I182</f>
        <v>0</v>
      </c>
      <c r="D18" s="22">
        <f>+'Part VI-Revenues &amp; Expenses'!J182</f>
        <v>0</v>
      </c>
      <c r="E18" s="22">
        <f>+'Part VI-Revenues &amp; Expenses'!K182</f>
        <v>0</v>
      </c>
      <c r="F18" s="22">
        <f>+'Part VI-Revenues &amp; Expenses'!L182</f>
        <v>0</v>
      </c>
      <c r="G18" s="22">
        <f>+'Part VI-Revenues &amp; Expenses'!M182</f>
        <v>0</v>
      </c>
      <c r="H18" s="22">
        <f>+'Part VI-Revenues &amp; Expenses'!N182</f>
        <v>0</v>
      </c>
      <c r="I18" s="22">
        <f>+'Part VI-Revenues &amp; Expenses'!O182</f>
        <v>0</v>
      </c>
      <c r="J18" s="22">
        <f>+'Part VI-Revenues &amp; Expenses'!P182</f>
        <v>0</v>
      </c>
      <c r="K18" s="23">
        <f>+'Part VI-Revenues &amp; Expenses'!Q182</f>
        <v>0</v>
      </c>
      <c r="N18" s="3833"/>
      <c r="O18" s="3835"/>
      <c r="Q18" s="3943"/>
      <c r="R18" s="3943"/>
      <c r="S18" s="3942"/>
      <c r="Z18" s="2807" t="s">
        <v>6772</v>
      </c>
      <c r="AA18" s="1788">
        <v>18</v>
      </c>
    </row>
    <row r="19" spans="1:27" ht="13.35" customHeight="1">
      <c r="A19" s="21" t="s">
        <v>48</v>
      </c>
      <c r="B19" s="22">
        <f>'Part VI-Revenues &amp; Expenses'!H186</f>
        <v>0</v>
      </c>
      <c r="C19" s="22">
        <f>'Part VI-Revenues &amp; Expenses'!I186</f>
        <v>0</v>
      </c>
      <c r="D19" s="22">
        <f>'Part VI-Revenues &amp; Expenses'!J186</f>
        <v>0</v>
      </c>
      <c r="E19" s="22">
        <f>'Part VI-Revenues &amp; Expenses'!K186</f>
        <v>0</v>
      </c>
      <c r="F19" s="22">
        <f>'Part VI-Revenues &amp; Expenses'!L186</f>
        <v>0</v>
      </c>
      <c r="G19" s="22">
        <f>'Part VI-Revenues &amp; Expenses'!M186</f>
        <v>0</v>
      </c>
      <c r="H19" s="22">
        <f>'Part VI-Revenues &amp; Expenses'!N186</f>
        <v>0</v>
      </c>
      <c r="I19" s="22">
        <f>'Part VI-Revenues &amp; Expenses'!O186</f>
        <v>0</v>
      </c>
      <c r="J19" s="22">
        <f>'Part VI-Revenues &amp; Expenses'!P186</f>
        <v>0</v>
      </c>
      <c r="K19" s="23">
        <f>'Part VI-Revenues &amp; Expenses'!Q186</f>
        <v>0</v>
      </c>
      <c r="N19" s="3833"/>
      <c r="O19" s="3835"/>
      <c r="Z19" s="2807" t="s">
        <v>6772</v>
      </c>
      <c r="AA19" s="1788">
        <v>19</v>
      </c>
    </row>
    <row r="20" spans="1:27" ht="13.35" customHeight="1">
      <c r="A20" s="409" t="s">
        <v>4013</v>
      </c>
      <c r="B20" s="22">
        <f>SUM(B15:B19)</f>
        <v>583491.44880000001</v>
      </c>
      <c r="C20" s="22">
        <f t="shared" ref="C20:K20" si="4">SUM(C15:C19)</f>
        <v>595161.27777599997</v>
      </c>
      <c r="D20" s="22">
        <f t="shared" si="4"/>
        <v>607064.50333152001</v>
      </c>
      <c r="E20" s="22">
        <f t="shared" si="4"/>
        <v>619205.79339815036</v>
      </c>
      <c r="F20" s="22">
        <f t="shared" si="4"/>
        <v>631589.90926611342</v>
      </c>
      <c r="G20" s="22">
        <f t="shared" si="4"/>
        <v>644221.70745143562</v>
      </c>
      <c r="H20" s="22">
        <f t="shared" si="4"/>
        <v>657106.14160046447</v>
      </c>
      <c r="I20" s="22">
        <f t="shared" si="4"/>
        <v>670248.26443247357</v>
      </c>
      <c r="J20" s="22">
        <f t="shared" si="4"/>
        <v>683653.22972112312</v>
      </c>
      <c r="K20" s="23">
        <f t="shared" si="4"/>
        <v>697326.29431554559</v>
      </c>
      <c r="N20" s="3833"/>
      <c r="O20" s="3835"/>
      <c r="Z20" s="2807" t="s">
        <v>6772</v>
      </c>
      <c r="AA20" s="1787">
        <v>20</v>
      </c>
    </row>
    <row r="21" spans="1:27" ht="13.35" customHeight="1">
      <c r="A21" s="21" t="s">
        <v>585</v>
      </c>
      <c r="B21" s="22">
        <f>-('Part VI-Revenues &amp; Expenses'!$Q$225-'Part VI-Revenues &amp; Expenses'!$Q$217)</f>
        <v>-357393</v>
      </c>
      <c r="C21" s="22">
        <f t="shared" ref="C21:K21" si="5">$B$21*(1+$B$7)^(C14-1)</f>
        <v>-368114.79000000004</v>
      </c>
      <c r="D21" s="22">
        <f t="shared" si="5"/>
        <v>-379158.23369999998</v>
      </c>
      <c r="E21" s="22">
        <f t="shared" si="5"/>
        <v>-390532.98071099998</v>
      </c>
      <c r="F21" s="22">
        <f t="shared" si="5"/>
        <v>-402248.97013232997</v>
      </c>
      <c r="G21" s="22">
        <f t="shared" si="5"/>
        <v>-414316.43923629983</v>
      </c>
      <c r="H21" s="22">
        <f t="shared" si="5"/>
        <v>-426745.93241338886</v>
      </c>
      <c r="I21" s="22">
        <f t="shared" si="5"/>
        <v>-439548.31038579054</v>
      </c>
      <c r="J21" s="22">
        <f t="shared" si="5"/>
        <v>-452734.75969736424</v>
      </c>
      <c r="K21" s="23">
        <f t="shared" si="5"/>
        <v>-466316.80248828518</v>
      </c>
      <c r="N21" s="3833"/>
      <c r="O21" s="3835"/>
      <c r="Q21" s="62">
        <v>1</v>
      </c>
      <c r="R21" s="945">
        <f>-B32</f>
        <v>47283.010123295724</v>
      </c>
      <c r="S21" s="945">
        <f>B33+R21</f>
        <v>47283.010123295724</v>
      </c>
      <c r="Z21" s="2807" t="s">
        <v>6772</v>
      </c>
      <c r="AA21" s="1788">
        <v>21</v>
      </c>
    </row>
    <row r="22" spans="1:27" ht="13.35" customHeight="1">
      <c r="A22" s="21" t="s">
        <v>1075</v>
      </c>
      <c r="B22" s="22">
        <f>IF(AND('Part VII-Pro Forma'!$G$9="Yes",'Part VII-Pro Forma'!$G$10="Yes"),"Choose One!",IF('Part VII-Pro Forma'!$G$9="Yes",ROUND((-$K$9*(1+'Part VII-Pro Forma'!$B$7)^('Part VII-Pro Forma'!B14-1)),),IF('Part VII-Pro Forma'!$G$10="Yes",ROUND((-(SUM(B15:B18)*'Part VII-Pro Forma'!$K$10)),),"Choose mgt fee")))</f>
        <v>-35009</v>
      </c>
      <c r="C22" s="22">
        <f>IF(AND('Part VII-Pro Forma'!$G$9="Yes",'Part VII-Pro Forma'!$G$10="Yes"),"Choose One!",IF('Part VII-Pro Forma'!$G$9="Yes",ROUND((-$K$9*(1+'Part VII-Pro Forma'!$B$7)^('Part VII-Pro Forma'!C14-1)),),IF('Part VII-Pro Forma'!$G$10="Yes",ROUND((-(SUM(C15:C18)*'Part VII-Pro Forma'!$K$10)),),"Choose mgt fee")))</f>
        <v>-35710</v>
      </c>
      <c r="D22" s="22">
        <f>IF(AND('Part VII-Pro Forma'!$G$9="Yes",'Part VII-Pro Forma'!$G$10="Yes"),"Choose One!",IF('Part VII-Pro Forma'!$G$9="Yes",ROUND((-$K$9*(1+'Part VII-Pro Forma'!$B$7)^('Part VII-Pro Forma'!D14-1)),),IF('Part VII-Pro Forma'!$G$10="Yes",ROUND((-(SUM(D15:D18)*'Part VII-Pro Forma'!$K$10)),),"Choose mgt fee")))</f>
        <v>-36424</v>
      </c>
      <c r="E22" s="22">
        <f>IF(AND('Part VII-Pro Forma'!$G$9="Yes",'Part VII-Pro Forma'!$G$10="Yes"),"Choose One!",IF('Part VII-Pro Forma'!$G$9="Yes",ROUND((-$K$9*(1+'Part VII-Pro Forma'!$B$7)^('Part VII-Pro Forma'!E14-1)),),IF('Part VII-Pro Forma'!$G$10="Yes",ROUND((-(SUM(E15:E18)*'Part VII-Pro Forma'!$K$10)),),"Choose mgt fee")))</f>
        <v>-37152</v>
      </c>
      <c r="F22" s="22">
        <f>IF(AND('Part VII-Pro Forma'!$G$9="Yes",'Part VII-Pro Forma'!$G$10="Yes"),"Choose One!",IF('Part VII-Pro Forma'!$G$9="Yes",ROUND((-$K$9*(1+'Part VII-Pro Forma'!$B$7)^('Part VII-Pro Forma'!F14-1)),),IF('Part VII-Pro Forma'!$G$10="Yes",ROUND((-(SUM(F15:F18)*'Part VII-Pro Forma'!$K$10)),),"Choose mgt fee")))</f>
        <v>-37895</v>
      </c>
      <c r="G22" s="22">
        <f>IF(AND('Part VII-Pro Forma'!$G$9="Yes",'Part VII-Pro Forma'!$G$10="Yes"),"Choose One!",IF('Part VII-Pro Forma'!$G$9="Yes",ROUND((-$K$9*(1+'Part VII-Pro Forma'!$B$7)^('Part VII-Pro Forma'!G14-1)),),IF('Part VII-Pro Forma'!$G$10="Yes",ROUND((-(SUM(G15:G18)*'Part VII-Pro Forma'!$K$10)),),"Choose mgt fee")))</f>
        <v>-38653</v>
      </c>
      <c r="H22" s="22">
        <f>IF(AND('Part VII-Pro Forma'!$G$9="Yes",'Part VII-Pro Forma'!$G$10="Yes"),"Choose One!",IF('Part VII-Pro Forma'!$G$9="Yes",ROUND((-$K$9*(1+'Part VII-Pro Forma'!$B$7)^('Part VII-Pro Forma'!H14-1)),),IF('Part VII-Pro Forma'!$G$10="Yes",ROUND((-(SUM(H15:H18)*'Part VII-Pro Forma'!$K$10)),),"Choose mgt fee")))</f>
        <v>-39426</v>
      </c>
      <c r="I22" s="22">
        <f>IF(AND('Part VII-Pro Forma'!$G$9="Yes",'Part VII-Pro Forma'!$G$10="Yes"),"Choose One!",IF('Part VII-Pro Forma'!$G$9="Yes",ROUND((-$K$9*(1+'Part VII-Pro Forma'!$B$7)^('Part VII-Pro Forma'!I14-1)),),IF('Part VII-Pro Forma'!$G$10="Yes",ROUND((-(SUM(I15:I18)*'Part VII-Pro Forma'!$K$10)),),"Choose mgt fee")))</f>
        <v>-40215</v>
      </c>
      <c r="J22" s="22">
        <f>IF(AND('Part VII-Pro Forma'!$G$9="Yes",'Part VII-Pro Forma'!$G$10="Yes"),"Choose One!",IF('Part VII-Pro Forma'!$G$9="Yes",ROUND((-$K$9*(1+'Part VII-Pro Forma'!$B$7)^('Part VII-Pro Forma'!J14-1)),),IF('Part VII-Pro Forma'!$G$10="Yes",ROUND((-(SUM(J15:J18)*'Part VII-Pro Forma'!$K$10)),),"Choose mgt fee")))</f>
        <v>-41019</v>
      </c>
      <c r="K22" s="23">
        <f>IF(AND('Part VII-Pro Forma'!$G$9="Yes",'Part VII-Pro Forma'!$G$10="Yes"),"Choose One!",IF('Part VII-Pro Forma'!$G$9="Yes",ROUND((-$K$9*(1+'Part VII-Pro Forma'!$B$7)^('Part VII-Pro Forma'!K14-1)),),IF('Part VII-Pro Forma'!$G$10="Yes",ROUND((-(SUM(K15:K18)*'Part VII-Pro Forma'!$K$10)),),"Choose mgt fee")))</f>
        <v>-41840</v>
      </c>
      <c r="N22" s="3833"/>
      <c r="O22" s="3835"/>
      <c r="Q22" s="62">
        <v>2</v>
      </c>
      <c r="R22" s="945">
        <f>-SUM(B32:C32)</f>
        <v>94273.059222591372</v>
      </c>
      <c r="S22" s="945">
        <f>SUM(B33:C33)+R22</f>
        <v>94273.059222591372</v>
      </c>
      <c r="Z22" s="2807" t="s">
        <v>6772</v>
      </c>
      <c r="AA22" s="1788">
        <v>22</v>
      </c>
    </row>
    <row r="23" spans="1:27" ht="13.35" customHeight="1">
      <c r="A23" s="21" t="s">
        <v>1156</v>
      </c>
      <c r="B23" s="22">
        <f>-('Part VI-Revenues &amp; Expenses'!$Q$231)</f>
        <v>-18000</v>
      </c>
      <c r="C23" s="22">
        <f t="shared" ref="C23:K23" si="6">$B$23*(1+$B$8)^(C14-1)</f>
        <v>-18540</v>
      </c>
      <c r="D23" s="22">
        <f t="shared" si="6"/>
        <v>-19096.2</v>
      </c>
      <c r="E23" s="22">
        <f t="shared" si="6"/>
        <v>-19669.085999999999</v>
      </c>
      <c r="F23" s="22">
        <f t="shared" si="6"/>
        <v>-20259.158579999999</v>
      </c>
      <c r="G23" s="22">
        <f t="shared" si="6"/>
        <v>-20866.933337399998</v>
      </c>
      <c r="H23" s="22">
        <f t="shared" si="6"/>
        <v>-21492.941337521999</v>
      </c>
      <c r="I23" s="22">
        <f t="shared" si="6"/>
        <v>-22137.72957764766</v>
      </c>
      <c r="J23" s="22">
        <f t="shared" si="6"/>
        <v>-22801.861464977086</v>
      </c>
      <c r="K23" s="23">
        <f t="shared" si="6"/>
        <v>-23485.9173089264</v>
      </c>
      <c r="N23" s="3833"/>
      <c r="O23" s="3835"/>
      <c r="Q23" s="62">
        <v>3</v>
      </c>
      <c r="R23" s="945">
        <f>-SUM(B32:D32)</f>
        <v>140852.69017740712</v>
      </c>
      <c r="S23" s="945">
        <f>SUM(B33:D33)+R23</f>
        <v>140852.69017740712</v>
      </c>
      <c r="Z23" s="2807" t="s">
        <v>6772</v>
      </c>
      <c r="AA23" s="1788">
        <v>23</v>
      </c>
    </row>
    <row r="24" spans="1:27" ht="13.35" customHeight="1">
      <c r="A24" s="409" t="s">
        <v>4012</v>
      </c>
      <c r="B24" s="2943">
        <v>-10</v>
      </c>
      <c r="C24" s="2943">
        <v>-10</v>
      </c>
      <c r="D24" s="2943">
        <v>-10</v>
      </c>
      <c r="E24" s="2943">
        <v>-10</v>
      </c>
      <c r="F24" s="2943">
        <v>-10</v>
      </c>
      <c r="G24" s="2943">
        <v>-10</v>
      </c>
      <c r="H24" s="2943">
        <v>-10</v>
      </c>
      <c r="I24" s="2943">
        <v>-10</v>
      </c>
      <c r="J24" s="2943">
        <v>-10</v>
      </c>
      <c r="K24" s="2943">
        <v>-10</v>
      </c>
      <c r="N24" s="3833"/>
      <c r="O24" s="3835"/>
      <c r="Q24" s="847">
        <v>4</v>
      </c>
      <c r="R24" s="945">
        <f>-SUM(B32:E32)</f>
        <v>186897.97818785318</v>
      </c>
      <c r="S24" s="945">
        <f>SUM(B33:E33)+R24</f>
        <v>186897.97818785318</v>
      </c>
      <c r="Z24" s="2807" t="s">
        <v>6772</v>
      </c>
      <c r="AA24" s="1788">
        <v>24</v>
      </c>
    </row>
    <row r="25" spans="1:27" ht="13.35" customHeight="1">
      <c r="A25" s="21" t="s">
        <v>1157</v>
      </c>
      <c r="B25" s="22">
        <f>SUM(B20:B24)</f>
        <v>173079.44880000001</v>
      </c>
      <c r="C25" s="22">
        <f t="shared" ref="C25:J25" si="7">SUM(C20:C24)</f>
        <v>172786.48777599994</v>
      </c>
      <c r="D25" s="22">
        <f t="shared" si="7"/>
        <v>172376.06963152002</v>
      </c>
      <c r="E25" s="22">
        <f t="shared" si="7"/>
        <v>171841.72668715037</v>
      </c>
      <c r="F25" s="22">
        <f t="shared" si="7"/>
        <v>171176.78055378346</v>
      </c>
      <c r="G25" s="22">
        <f t="shared" si="7"/>
        <v>170375.33487773579</v>
      </c>
      <c r="H25" s="22">
        <f t="shared" si="7"/>
        <v>169431.26784955361</v>
      </c>
      <c r="I25" s="22">
        <f t="shared" si="7"/>
        <v>168337.22446903537</v>
      </c>
      <c r="J25" s="22">
        <f t="shared" si="7"/>
        <v>167087.60855878179</v>
      </c>
      <c r="K25" s="1299">
        <f>SUM(K20:K24)</f>
        <v>165673.574518334</v>
      </c>
      <c r="N25" s="3833"/>
      <c r="O25" s="3835"/>
      <c r="Q25" s="847">
        <v>5</v>
      </c>
      <c r="R25" s="945">
        <f>-SUM(B32:F32)</f>
        <v>232278.32006493234</v>
      </c>
      <c r="S25" s="945">
        <f>SUM(B33:F33)+R25</f>
        <v>232278.32006493234</v>
      </c>
      <c r="Z25" s="2807" t="s">
        <v>6772</v>
      </c>
      <c r="AA25" s="1787">
        <v>25</v>
      </c>
    </row>
    <row r="26" spans="1:27" ht="13.35" customHeight="1">
      <c r="A26" s="409" t="s">
        <v>1525</v>
      </c>
      <c r="B26" s="2944">
        <f>IF('Part III-Sources of Funds'!$P$40="", 0,-'Part III-Sources of Funds'!$P$40)</f>
        <v>-125796.43867670429</v>
      </c>
      <c r="C26" s="2944">
        <f>IF('Part III-Sources of Funds'!$P$40="", 0,-'Part III-Sources of Funds'!$P$40)</f>
        <v>-125796.43867670429</v>
      </c>
      <c r="D26" s="2944">
        <f>IF('Part III-Sources of Funds'!$P$40="", 0,-'Part III-Sources of Funds'!$P$40)</f>
        <v>-125796.43867670429</v>
      </c>
      <c r="E26" s="2944">
        <f>IF('Part III-Sources of Funds'!$P$40="", 0,-'Part III-Sources of Funds'!$P$40)</f>
        <v>-125796.43867670429</v>
      </c>
      <c r="F26" s="2944">
        <f>IF('Part III-Sources of Funds'!$P$40="", 0,-'Part III-Sources of Funds'!$P$40)</f>
        <v>-125796.43867670429</v>
      </c>
      <c r="G26" s="2944">
        <f>IF('Part III-Sources of Funds'!$P$40="", 0,-'Part III-Sources of Funds'!$P$40)</f>
        <v>-125796.43867670429</v>
      </c>
      <c r="H26" s="2944">
        <f>IF('Part III-Sources of Funds'!$P$40="", 0,-'Part III-Sources of Funds'!$P$40)</f>
        <v>-125796.43867670429</v>
      </c>
      <c r="I26" s="2944">
        <f>IF('Part III-Sources of Funds'!$P$40="", 0,-'Part III-Sources of Funds'!$P$40)</f>
        <v>-125796.43867670429</v>
      </c>
      <c r="J26" s="2944">
        <f>IF('Part III-Sources of Funds'!$P$40="", 0,-'Part III-Sources of Funds'!$P$40)</f>
        <v>-125796.43867670429</v>
      </c>
      <c r="K26" s="2944">
        <f>IF('Part III-Sources of Funds'!$P$40="", 0,-'Part III-Sources of Funds'!$P$40)</f>
        <v>-125796.43867670429</v>
      </c>
      <c r="N26" s="3833"/>
      <c r="O26" s="3835"/>
      <c r="Q26" s="847">
        <v>6</v>
      </c>
      <c r="R26" s="945">
        <f>-SUM(B32:G32)</f>
        <v>276857.21626596386</v>
      </c>
      <c r="S26" s="945">
        <f>SUM(B33:G33)+R26</f>
        <v>276857.21626596386</v>
      </c>
      <c r="Z26" s="2807" t="s">
        <v>6772</v>
      </c>
      <c r="AA26" s="1788">
        <v>26</v>
      </c>
    </row>
    <row r="27" spans="1:27" ht="13.35" customHeight="1">
      <c r="A27" s="409" t="s">
        <v>1526</v>
      </c>
      <c r="B27" s="2945">
        <f>IF('Part III-Sources of Funds'!$P$41="", 0,-'Part III-Sources of Funds'!$P$41)</f>
        <v>0</v>
      </c>
      <c r="C27" s="2945">
        <f>IF('Part III-Sources of Funds'!$P$41="", 0,-'Part III-Sources of Funds'!$P$41)</f>
        <v>0</v>
      </c>
      <c r="D27" s="2945">
        <f>IF('Part III-Sources of Funds'!$P$41="", 0,-'Part III-Sources of Funds'!$P$41)</f>
        <v>0</v>
      </c>
      <c r="E27" s="2945">
        <f>IF('Part III-Sources of Funds'!$P$41="", 0,-'Part III-Sources of Funds'!$P$41)</f>
        <v>0</v>
      </c>
      <c r="F27" s="2945">
        <f>IF('Part III-Sources of Funds'!$P$41="", 0,-'Part III-Sources of Funds'!$P$41)</f>
        <v>0</v>
      </c>
      <c r="G27" s="2945">
        <f>IF('Part III-Sources of Funds'!$P$41="", 0,-'Part III-Sources of Funds'!$P$41)</f>
        <v>0</v>
      </c>
      <c r="H27" s="2945">
        <f>IF('Part III-Sources of Funds'!$P$41="", 0,-'Part III-Sources of Funds'!$P$41)</f>
        <v>0</v>
      </c>
      <c r="I27" s="2945">
        <f>IF('Part III-Sources of Funds'!$P$41="", 0,-'Part III-Sources of Funds'!$P$41)</f>
        <v>0</v>
      </c>
      <c r="J27" s="2945">
        <f>IF('Part III-Sources of Funds'!$P$41="", 0,-'Part III-Sources of Funds'!$P$41)</f>
        <v>0</v>
      </c>
      <c r="K27" s="2945">
        <f>IF('Part III-Sources of Funds'!$P$41="", 0,-'Part III-Sources of Funds'!$P$41)</f>
        <v>0</v>
      </c>
      <c r="N27" s="3833"/>
      <c r="O27" s="3835"/>
      <c r="Q27" s="847">
        <v>7</v>
      </c>
      <c r="R27" s="945">
        <f>-SUM(B32:H32)</f>
        <v>320492.04543881316</v>
      </c>
      <c r="S27" s="945">
        <f>SUM(B33:H33)+R27</f>
        <v>320492.04543881316</v>
      </c>
      <c r="Z27" s="2807" t="s">
        <v>6772</v>
      </c>
      <c r="AA27" s="1788">
        <v>27</v>
      </c>
    </row>
    <row r="28" spans="1:27" ht="13.35" customHeight="1">
      <c r="A28" s="409" t="s">
        <v>1527</v>
      </c>
      <c r="B28" s="2945">
        <f>IF('Part III-Sources of Funds'!$P$42="", 0,-'Part III-Sources of Funds'!$P$42)</f>
        <v>0</v>
      </c>
      <c r="C28" s="2945">
        <f>IF('Part III-Sources of Funds'!$P$42="", 0,-'Part III-Sources of Funds'!$P$42)</f>
        <v>0</v>
      </c>
      <c r="D28" s="2945">
        <f>IF('Part III-Sources of Funds'!$P$42="", 0,-'Part III-Sources of Funds'!$P$42)</f>
        <v>0</v>
      </c>
      <c r="E28" s="2945">
        <f>IF('Part III-Sources of Funds'!$P$42="", 0,-'Part III-Sources of Funds'!$P$42)</f>
        <v>0</v>
      </c>
      <c r="F28" s="2945">
        <f>IF('Part III-Sources of Funds'!$P$42="", 0,-'Part III-Sources of Funds'!$P$42)</f>
        <v>0</v>
      </c>
      <c r="G28" s="2945">
        <f>IF('Part III-Sources of Funds'!$P$42="", 0,-'Part III-Sources of Funds'!$P$42)</f>
        <v>0</v>
      </c>
      <c r="H28" s="2945">
        <f>IF('Part III-Sources of Funds'!$P$42="", 0,-'Part III-Sources of Funds'!$P$42)</f>
        <v>0</v>
      </c>
      <c r="I28" s="2945">
        <f>IF('Part III-Sources of Funds'!$P$42="", 0,-'Part III-Sources of Funds'!$P$42)</f>
        <v>0</v>
      </c>
      <c r="J28" s="2945">
        <f>IF('Part III-Sources of Funds'!$P$42="", 0,-'Part III-Sources of Funds'!$P$42)</f>
        <v>0</v>
      </c>
      <c r="K28" s="2945">
        <f>IF('Part III-Sources of Funds'!$P$42="", 0,-'Part III-Sources of Funds'!$P$42)</f>
        <v>0</v>
      </c>
      <c r="N28" s="3833"/>
      <c r="O28" s="3835"/>
      <c r="Q28" s="847">
        <v>8</v>
      </c>
      <c r="R28" s="945">
        <f>-SUM(B32:I32)</f>
        <v>355139.27999999939</v>
      </c>
      <c r="S28" s="945">
        <f>SUM(B33:I33)+R28</f>
        <v>363032.83123114426</v>
      </c>
      <c r="Z28" s="2807" t="s">
        <v>6772</v>
      </c>
      <c r="AA28" s="1788">
        <v>28</v>
      </c>
    </row>
    <row r="29" spans="1:27" ht="13.35" customHeight="1">
      <c r="A29" s="409" t="s">
        <v>3421</v>
      </c>
      <c r="B29" s="2945">
        <f>IF('Part III-Sources of Funds'!$P$43="", 0,-'Part III-Sources of Funds'!$P$43)</f>
        <v>0</v>
      </c>
      <c r="C29" s="2945">
        <f>IF('Part III-Sources of Funds'!$P$43="", 0,-'Part III-Sources of Funds'!$P$43)</f>
        <v>0</v>
      </c>
      <c r="D29" s="2945">
        <f>IF('Part III-Sources of Funds'!$P$43="", 0,-'Part III-Sources of Funds'!$P$43)</f>
        <v>0</v>
      </c>
      <c r="E29" s="2945">
        <f>IF('Part III-Sources of Funds'!$P$43="", 0,-'Part III-Sources of Funds'!$P$43)</f>
        <v>0</v>
      </c>
      <c r="F29" s="2945">
        <f>IF('Part III-Sources of Funds'!$P$43="", 0,-'Part III-Sources of Funds'!$P$43)</f>
        <v>0</v>
      </c>
      <c r="G29" s="2945">
        <f>IF('Part III-Sources of Funds'!$P$43="", 0,-'Part III-Sources of Funds'!$P$43)</f>
        <v>0</v>
      </c>
      <c r="H29" s="2945">
        <f>IF('Part III-Sources of Funds'!$P$43="", 0,-'Part III-Sources of Funds'!$P$43)</f>
        <v>0</v>
      </c>
      <c r="I29" s="2945">
        <f>IF('Part III-Sources of Funds'!$P$43="", 0,-'Part III-Sources of Funds'!$P$43)</f>
        <v>0</v>
      </c>
      <c r="J29" s="2945">
        <f>IF('Part III-Sources of Funds'!$P$43="", 0,-'Part III-Sources of Funds'!$P$43)</f>
        <v>0</v>
      </c>
      <c r="K29" s="2945">
        <f>IF('Part III-Sources of Funds'!$P$43="", 0,-'Part III-Sources of Funds'!$P$43)</f>
        <v>0</v>
      </c>
      <c r="N29" s="3833"/>
      <c r="O29" s="3835"/>
      <c r="Q29" s="847">
        <v>9</v>
      </c>
      <c r="R29" s="945">
        <f>-SUM(B32:J32)</f>
        <v>355139.27999999939</v>
      </c>
      <c r="S29" s="945">
        <f>SUM(B33:J33)+R29</f>
        <v>404324.00111322175</v>
      </c>
      <c r="Z29" s="2807" t="s">
        <v>6772</v>
      </c>
      <c r="AA29" s="1788">
        <v>29</v>
      </c>
    </row>
    <row r="30" spans="1:27" ht="13.35" customHeight="1">
      <c r="A30" s="21" t="s">
        <v>733</v>
      </c>
      <c r="B30" s="2946"/>
      <c r="C30" s="2946"/>
      <c r="D30" s="2946"/>
      <c r="E30" s="2946"/>
      <c r="F30" s="2946"/>
      <c r="G30" s="2946"/>
      <c r="H30" s="2946"/>
      <c r="I30" s="2946"/>
      <c r="J30" s="2946"/>
      <c r="K30" s="2946"/>
      <c r="N30" s="3833"/>
      <c r="O30" s="3835"/>
      <c r="Q30" s="847">
        <v>10</v>
      </c>
      <c r="R30" s="945">
        <f>-SUM(B32:K32)</f>
        <v>355139.27999999939</v>
      </c>
      <c r="S30" s="945">
        <f>SUM(B33:K33)+R30</f>
        <v>444201.13695485145</v>
      </c>
      <c r="Z30" s="2807" t="s">
        <v>6772</v>
      </c>
      <c r="AA30" s="1788">
        <v>30</v>
      </c>
    </row>
    <row r="31" spans="1:27" ht="13.35" customHeight="1">
      <c r="A31" s="409" t="s">
        <v>1121</v>
      </c>
      <c r="B31" s="2947">
        <f>-$G$6</f>
        <v>0</v>
      </c>
      <c r="C31" s="2947">
        <f t="shared" ref="C31:K31" si="8">+B31</f>
        <v>0</v>
      </c>
      <c r="D31" s="2947">
        <f t="shared" si="8"/>
        <v>0</v>
      </c>
      <c r="E31" s="2947">
        <f>+D31</f>
        <v>0</v>
      </c>
      <c r="F31" s="2947">
        <f t="shared" si="8"/>
        <v>0</v>
      </c>
      <c r="G31" s="2947">
        <f t="shared" si="8"/>
        <v>0</v>
      </c>
      <c r="H31" s="2947">
        <f t="shared" si="8"/>
        <v>0</v>
      </c>
      <c r="I31" s="2947">
        <f t="shared" si="8"/>
        <v>0</v>
      </c>
      <c r="J31" s="2947">
        <f t="shared" si="8"/>
        <v>0</v>
      </c>
      <c r="K31" s="2947">
        <f t="shared" si="8"/>
        <v>0</v>
      </c>
      <c r="N31" s="3833"/>
      <c r="O31" s="3835"/>
      <c r="Q31" s="847">
        <v>11</v>
      </c>
      <c r="R31" s="945">
        <f>-SUM(B32:K32)-B64</f>
        <v>355139.27999999939</v>
      </c>
      <c r="S31" s="945">
        <f>SUM(B33:K33)+B65+R31</f>
        <v>482494.71708887571</v>
      </c>
      <c r="Z31" s="2807" t="s">
        <v>6772</v>
      </c>
      <c r="AA31" s="1788">
        <v>31</v>
      </c>
    </row>
    <row r="32" spans="1:27" ht="13.35" customHeight="1">
      <c r="A32" s="409" t="s">
        <v>3508</v>
      </c>
      <c r="B32" s="2948">
        <f>-MAX(0,MIN(SUM(B25:B31),'Part III-Sources of Funds'!I45))</f>
        <v>-47283.010123295724</v>
      </c>
      <c r="C32" s="2948">
        <f>-MAX(0,MIN(SUM(C25:C31),B44))</f>
        <v>-46990.049099295647</v>
      </c>
      <c r="D32" s="2948">
        <f t="shared" ref="D32:I32" si="9">-MAX(0,MIN(SUM(D25:D31),C44))</f>
        <v>-46579.63095481573</v>
      </c>
      <c r="E32" s="2948">
        <f t="shared" si="9"/>
        <v>-46045.288010446078</v>
      </c>
      <c r="F32" s="2948">
        <f t="shared" si="9"/>
        <v>-45380.341877079176</v>
      </c>
      <c r="G32" s="2948">
        <f t="shared" si="9"/>
        <v>-44578.896201031501</v>
      </c>
      <c r="H32" s="2948">
        <f t="shared" si="9"/>
        <v>-43634.82917284932</v>
      </c>
      <c r="I32" s="2948">
        <f t="shared" si="9"/>
        <v>-34647.234561186211</v>
      </c>
      <c r="J32" s="2948">
        <f>-MAX(0,MIN(SUM(J25:J31),I44))</f>
        <v>0</v>
      </c>
      <c r="K32" s="2948">
        <f t="shared" ref="K32" si="10">-MAX(0,MIN(SUM(K25:K31),J44))</f>
        <v>0</v>
      </c>
      <c r="N32" s="3833"/>
      <c r="O32" s="3835"/>
      <c r="Q32" s="847">
        <v>12</v>
      </c>
      <c r="R32" s="945">
        <f>-SUM(B32:K32) - SUM(B64:C64)</f>
        <v>355139.27999999939</v>
      </c>
      <c r="S32" s="945">
        <f>SUM(B33:K33) + SUM(B65:C65)+R32</f>
        <v>519024.84958520316</v>
      </c>
      <c r="Z32" s="2807" t="s">
        <v>6772</v>
      </c>
      <c r="AA32" s="1788">
        <v>32</v>
      </c>
    </row>
    <row r="33" spans="1:27" ht="13.35" customHeight="1">
      <c r="A33" s="21" t="s">
        <v>1122</v>
      </c>
      <c r="B33" s="22">
        <f t="shared" ref="B33:K33" si="11">SUM(B25:B32)</f>
        <v>0</v>
      </c>
      <c r="C33" s="22">
        <f t="shared" si="11"/>
        <v>0</v>
      </c>
      <c r="D33" s="22">
        <f t="shared" si="11"/>
        <v>0</v>
      </c>
      <c r="E33" s="22">
        <f t="shared" si="11"/>
        <v>0</v>
      </c>
      <c r="F33" s="22">
        <f t="shared" si="11"/>
        <v>0</v>
      </c>
      <c r="G33" s="22">
        <f t="shared" si="11"/>
        <v>0</v>
      </c>
      <c r="H33" s="22">
        <f t="shared" si="11"/>
        <v>0</v>
      </c>
      <c r="I33" s="22">
        <f t="shared" si="11"/>
        <v>7893.5512311448692</v>
      </c>
      <c r="J33" s="22">
        <f t="shared" si="11"/>
        <v>41291.169882077505</v>
      </c>
      <c r="K33" s="23">
        <f t="shared" si="11"/>
        <v>39877.135841629715</v>
      </c>
      <c r="N33" s="3833"/>
      <c r="O33" s="3835"/>
      <c r="Q33" s="847">
        <v>13</v>
      </c>
      <c r="R33" s="945">
        <f>-SUM(B32:K32) - SUM(B64:D64)</f>
        <v>355139.27999999939</v>
      </c>
      <c r="S33" s="945">
        <f>SUM(B33:K33) + SUM(B65:D65)+R33</f>
        <v>553605.99645066285</v>
      </c>
      <c r="Z33" s="2807" t="s">
        <v>6772</v>
      </c>
      <c r="AA33" s="1788">
        <v>33</v>
      </c>
    </row>
    <row r="34" spans="1:27" ht="13.35" customHeight="1">
      <c r="A34" s="21" t="str">
        <f>IF('Part III-Sources of Funds'!$E$40 = "Neither", "", "DCR Mortgage A")</f>
        <v>DCR Mortgage A</v>
      </c>
      <c r="B34" s="24">
        <f t="shared" ref="B34:K34" si="12">IF(B26=0,"",-B25/B26)</f>
        <v>1.3758692266703403</v>
      </c>
      <c r="C34" s="24">
        <f t="shared" si="12"/>
        <v>1.373540376767419</v>
      </c>
      <c r="D34" s="24">
        <f t="shared" si="12"/>
        <v>1.3702778190289231</v>
      </c>
      <c r="E34" s="24">
        <f t="shared" si="12"/>
        <v>1.3660301396034116</v>
      </c>
      <c r="F34" s="24">
        <f t="shared" si="12"/>
        <v>1.3607442496341748</v>
      </c>
      <c r="G34" s="24">
        <f t="shared" si="12"/>
        <v>1.3543732769382992</v>
      </c>
      <c r="H34" s="24">
        <f t="shared" si="12"/>
        <v>1.3468685571059005</v>
      </c>
      <c r="I34" s="24">
        <f t="shared" si="12"/>
        <v>1.3381716226614373</v>
      </c>
      <c r="J34" s="24">
        <f t="shared" si="12"/>
        <v>1.3282379876285324</v>
      </c>
      <c r="K34" s="25">
        <f t="shared" si="12"/>
        <v>1.3169973352275384</v>
      </c>
      <c r="N34" s="3833"/>
      <c r="O34" s="3835"/>
      <c r="Q34" s="847">
        <v>14</v>
      </c>
      <c r="R34" s="945">
        <f>-SUM(B32:K32) - SUM(B64:E64)</f>
        <v>355139.27999999939</v>
      </c>
      <c r="S34" s="945">
        <f>SUM(B33:K33) + SUM(B65:E65)+R34</f>
        <v>586041.68846100732</v>
      </c>
      <c r="Z34" s="2807" t="s">
        <v>6772</v>
      </c>
      <c r="AA34" s="1787">
        <v>34</v>
      </c>
    </row>
    <row r="35" spans="1:27" ht="13.35" customHeight="1">
      <c r="A35" s="21" t="str">
        <f>IF('Part III-Sources of Funds'!$E$40 = "Neither", "", "DCR Mortgage B")</f>
        <v>DCR Mortgage B</v>
      </c>
      <c r="B35" s="24" t="str">
        <f t="shared" ref="B35:K35" si="13">IF(B27=0,"",-(B25+B26)/B27)</f>
        <v/>
      </c>
      <c r="C35" s="24" t="str">
        <f t="shared" si="13"/>
        <v/>
      </c>
      <c r="D35" s="24" t="str">
        <f t="shared" si="13"/>
        <v/>
      </c>
      <c r="E35" s="24" t="str">
        <f t="shared" si="13"/>
        <v/>
      </c>
      <c r="F35" s="24" t="str">
        <f t="shared" si="13"/>
        <v/>
      </c>
      <c r="G35" s="24" t="str">
        <f t="shared" si="13"/>
        <v/>
      </c>
      <c r="H35" s="24" t="str">
        <f t="shared" si="13"/>
        <v/>
      </c>
      <c r="I35" s="24" t="str">
        <f t="shared" si="13"/>
        <v/>
      </c>
      <c r="J35" s="24" t="str">
        <f t="shared" si="13"/>
        <v/>
      </c>
      <c r="K35" s="25" t="str">
        <f t="shared" si="13"/>
        <v/>
      </c>
      <c r="N35" s="3833"/>
      <c r="O35" s="3835"/>
      <c r="Q35" s="847">
        <v>15</v>
      </c>
      <c r="R35" s="945">
        <f>-SUM(B32:K32) - SUM(B64:F64)</f>
        <v>355139.27999999939</v>
      </c>
      <c r="S35" s="945">
        <f>SUM(B33:K33) + SUM(B65:F65)+R35</f>
        <v>616130.23032215552</v>
      </c>
      <c r="Z35" s="2807" t="s">
        <v>6772</v>
      </c>
      <c r="AA35" s="1788">
        <v>35</v>
      </c>
    </row>
    <row r="36" spans="1:27" ht="13.35" customHeight="1">
      <c r="A36" s="21" t="str">
        <f>IF('Part III-Sources of Funds'!$E$40 = "Neither", "DCR First Mortgage", "DCR Mortgage C")</f>
        <v>DCR Mortgage C</v>
      </c>
      <c r="B36" s="24" t="str">
        <f t="shared" ref="B36:K36" si="14">IF(B28=0,"",-(B25+B26+B27)/B28)</f>
        <v/>
      </c>
      <c r="C36" s="24" t="str">
        <f t="shared" si="14"/>
        <v/>
      </c>
      <c r="D36" s="24" t="str">
        <f t="shared" si="14"/>
        <v/>
      </c>
      <c r="E36" s="24" t="str">
        <f t="shared" si="14"/>
        <v/>
      </c>
      <c r="F36" s="24" t="str">
        <f t="shared" si="14"/>
        <v/>
      </c>
      <c r="G36" s="24" t="str">
        <f t="shared" si="14"/>
        <v/>
      </c>
      <c r="H36" s="24" t="str">
        <f t="shared" si="14"/>
        <v/>
      </c>
      <c r="I36" s="24" t="str">
        <f t="shared" si="14"/>
        <v/>
      </c>
      <c r="J36" s="24" t="str">
        <f t="shared" si="14"/>
        <v/>
      </c>
      <c r="K36" s="25" t="str">
        <f t="shared" si="14"/>
        <v/>
      </c>
      <c r="N36" s="3833"/>
      <c r="O36" s="3835"/>
      <c r="Q36" s="62">
        <v>16</v>
      </c>
      <c r="R36" s="945">
        <f>-SUM(B32:K32) - SUM(B64:G64)</f>
        <v>355139.27999999939</v>
      </c>
      <c r="S36" s="945">
        <f>SUM(B33:K33) + SUM(B65:G65)+R36</f>
        <v>643658.39584823512</v>
      </c>
      <c r="Z36" s="2807" t="s">
        <v>6772</v>
      </c>
      <c r="AA36" s="1788">
        <v>36</v>
      </c>
    </row>
    <row r="37" spans="1:27" ht="13.35" customHeight="1">
      <c r="A37" s="21" t="s">
        <v>751</v>
      </c>
      <c r="B37" s="24" t="str">
        <f t="shared" ref="B37:K37" si="15">IF(B29=0,"",-(B25+B26+B27+B28)/B29)</f>
        <v/>
      </c>
      <c r="C37" s="24" t="str">
        <f t="shared" si="15"/>
        <v/>
      </c>
      <c r="D37" s="24" t="str">
        <f t="shared" si="15"/>
        <v/>
      </c>
      <c r="E37" s="24" t="str">
        <f t="shared" si="15"/>
        <v/>
      </c>
      <c r="F37" s="24" t="str">
        <f t="shared" si="15"/>
        <v/>
      </c>
      <c r="G37" s="24" t="str">
        <f t="shared" si="15"/>
        <v/>
      </c>
      <c r="H37" s="24" t="str">
        <f t="shared" si="15"/>
        <v/>
      </c>
      <c r="I37" s="24" t="str">
        <f t="shared" si="15"/>
        <v/>
      </c>
      <c r="J37" s="24" t="str">
        <f t="shared" si="15"/>
        <v/>
      </c>
      <c r="K37" s="25" t="str">
        <f t="shared" si="15"/>
        <v/>
      </c>
      <c r="N37" s="3833"/>
      <c r="O37" s="3835"/>
      <c r="Q37" s="62">
        <v>17</v>
      </c>
      <c r="R37" s="945">
        <f>-SUM(B32:K32) - SUM(B64:H64)</f>
        <v>355139.27999999939</v>
      </c>
      <c r="S37" s="945">
        <f>SUM(B33:K33) + SUM(B65:H65)+R37</f>
        <v>668404.11283417046</v>
      </c>
      <c r="Z37" s="2807" t="s">
        <v>6772</v>
      </c>
      <c r="AA37" s="1788">
        <v>37</v>
      </c>
    </row>
    <row r="38" spans="1:27" ht="13.35" customHeight="1">
      <c r="A38" s="409" t="s">
        <v>3343</v>
      </c>
      <c r="B38" s="24">
        <f t="shared" ref="B38:K38" si="16">IF(AND(B26=0,B27=0,B28=0,B29=0),"",-B25/(B26+B27+B28+B29))</f>
        <v>1.3758692266703403</v>
      </c>
      <c r="C38" s="24">
        <f t="shared" si="16"/>
        <v>1.373540376767419</v>
      </c>
      <c r="D38" s="24">
        <f t="shared" si="16"/>
        <v>1.3702778190289231</v>
      </c>
      <c r="E38" s="24">
        <f t="shared" si="16"/>
        <v>1.3660301396034116</v>
      </c>
      <c r="F38" s="24">
        <f t="shared" si="16"/>
        <v>1.3607442496341748</v>
      </c>
      <c r="G38" s="24">
        <f t="shared" si="16"/>
        <v>1.3543732769382992</v>
      </c>
      <c r="H38" s="24">
        <f t="shared" si="16"/>
        <v>1.3468685571059005</v>
      </c>
      <c r="I38" s="24">
        <f t="shared" si="16"/>
        <v>1.3381716226614373</v>
      </c>
      <c r="J38" s="24">
        <f t="shared" si="16"/>
        <v>1.3282379876285324</v>
      </c>
      <c r="K38" s="25">
        <f t="shared" si="16"/>
        <v>1.3169973352275384</v>
      </c>
      <c r="N38" s="3833"/>
      <c r="O38" s="3835"/>
      <c r="Q38" s="62">
        <v>18</v>
      </c>
      <c r="R38" s="945">
        <f>-SUM(B32:K32) - SUM(B64:I64)</f>
        <v>355139.27999999939</v>
      </c>
      <c r="S38" s="945">
        <f>SUM(B33:K33) + SUM(B65:I65)+R38</f>
        <v>690137.13729043282</v>
      </c>
      <c r="Z38" s="2807" t="s">
        <v>6772</v>
      </c>
      <c r="AA38" s="1788">
        <v>38</v>
      </c>
    </row>
    <row r="39" spans="1:27" ht="13.35" customHeight="1">
      <c r="A39" s="21" t="s">
        <v>740</v>
      </c>
      <c r="B39" s="263">
        <f t="shared" ref="B39:K39" si="17">IF(OR(B22="Choose mgt fee",B22="Choose One!"),"",(B15+B16+B17+B18+B19) / -(B21+B22+B23))</f>
        <v>1.4217558608388847</v>
      </c>
      <c r="C39" s="263">
        <f t="shared" si="17"/>
        <v>1.4091166969102702</v>
      </c>
      <c r="D39" s="263">
        <f t="shared" si="17"/>
        <v>1.3965829824225762</v>
      </c>
      <c r="E39" s="263">
        <f t="shared" si="17"/>
        <v>1.3841514797230403</v>
      </c>
      <c r="F39" s="263">
        <f t="shared" si="17"/>
        <v>1.371819325017543</v>
      </c>
      <c r="G39" s="263">
        <f t="shared" si="17"/>
        <v>1.3595868631871106</v>
      </c>
      <c r="H39" s="263">
        <f t="shared" si="17"/>
        <v>1.3474543215431602</v>
      </c>
      <c r="I39" s="263">
        <f t="shared" si="17"/>
        <v>1.335419158488492</v>
      </c>
      <c r="J39" s="263">
        <f t="shared" si="17"/>
        <v>1.3234842516722258</v>
      </c>
      <c r="K39" s="264">
        <f t="shared" si="17"/>
        <v>1.3116445845088067</v>
      </c>
      <c r="N39" s="3833"/>
      <c r="O39" s="3835"/>
      <c r="Q39" s="847">
        <v>19</v>
      </c>
      <c r="R39" s="945">
        <f>-SUM(B32:K32) - SUM(B64:J64)</f>
        <v>355139.27999999939</v>
      </c>
      <c r="S39" s="945">
        <f>SUM(B33:K33) + SUM(B65:J65)+R39</f>
        <v>708616.71669714036</v>
      </c>
      <c r="Z39" s="2807" t="s">
        <v>6772</v>
      </c>
      <c r="AA39" s="1788">
        <v>39</v>
      </c>
    </row>
    <row r="40" spans="1:27" ht="13.35" customHeight="1">
      <c r="A40" s="409" t="s">
        <v>2492</v>
      </c>
      <c r="B40" s="2949">
        <f>IF('Part III-Sources of Funds'!$I$40="","",-FV('Part III-Sources of Funds'!$K$40/12,12,B26/12,'Part III-Sources of Funds'!$I$40))</f>
        <v>1992491.8894277953</v>
      </c>
      <c r="C40" s="2949">
        <f>IF('Part III-Sources of Funds'!$I$40="","",-FV('Part III-Sources of Funds'!$K$40/12,12,C26/12,B40))</f>
        <v>1970783.8660422231</v>
      </c>
      <c r="D40" s="2949">
        <f>IF('Part III-Sources of Funds'!$I$40="","",-FV('Part III-Sources of Funds'!$K$40/12,12,D26/12,C40))</f>
        <v>1947908.3442018512</v>
      </c>
      <c r="E40" s="2949">
        <f>IF('Part III-Sources of Funds'!$I$40="","",-FV('Part III-Sources of Funds'!$K$40/12,12,E26/12,D40))</f>
        <v>1923802.5336370287</v>
      </c>
      <c r="F40" s="2949">
        <f>IF('Part III-Sources of Funds'!$I$40="","",-FV('Part III-Sources of Funds'!$K$40/12,12,F26/12,E40))</f>
        <v>1898400.2670989353</v>
      </c>
      <c r="G40" s="2949">
        <f>IF('Part III-Sources of Funds'!$I$40="","",-FV('Part III-Sources of Funds'!$K$40/12,12,G26/12,F40))</f>
        <v>1871631.8187392694</v>
      </c>
      <c r="H40" s="2949">
        <f>IF('Part III-Sources of Funds'!$I$40="","",-FV('Part III-Sources of Funds'!$K$40/12,12,H26/12,G40))</f>
        <v>1843423.712722054</v>
      </c>
      <c r="I40" s="2949">
        <f>IF('Part III-Sources of Funds'!$I$40="","",-FV('Part III-Sources of Funds'!$K$40/12,12,I26/12,H40))</f>
        <v>1813698.5215422243</v>
      </c>
      <c r="J40" s="2949">
        <f>IF('Part III-Sources of Funds'!$I$40="","",-FV('Part III-Sources of Funds'!$K$40/12,12,J26/12,I40))</f>
        <v>1782374.6534974091</v>
      </c>
      <c r="K40" s="2949">
        <f>IF('Part III-Sources of Funds'!$I$40="","",-FV('Part III-Sources of Funds'!$K$40/12,12,K26/12,J40))</f>
        <v>1749366.1287295416</v>
      </c>
      <c r="N40" s="3833"/>
      <c r="O40" s="3835"/>
      <c r="Q40" s="847">
        <v>20</v>
      </c>
      <c r="R40" s="945">
        <f>-SUM(B32:K32) - SUM(B64:K64)</f>
        <v>355139.27999999939</v>
      </c>
      <c r="S40" s="945">
        <f>SUM(B33:K33) + SUM(B65:K65)+R40</f>
        <v>723591.24192393571</v>
      </c>
      <c r="Z40" s="2807" t="s">
        <v>6772</v>
      </c>
      <c r="AA40" s="1788">
        <v>40</v>
      </c>
    </row>
    <row r="41" spans="1:27" ht="13.35" customHeight="1">
      <c r="A41" s="409" t="s">
        <v>2493</v>
      </c>
      <c r="B41" s="2945" t="str">
        <f>IF('Part III-Sources of Funds'!$I$41="","",-FV('Part III-Sources of Funds'!$K$41/12,12,B27/12,'Part III-Sources of Funds'!$I$41))</f>
        <v/>
      </c>
      <c r="C41" s="2945" t="str">
        <f>IF('Part III-Sources of Funds'!$I$41="","",-FV('Part III-Sources of Funds'!$K$41/12,12,C27/12,B41))</f>
        <v/>
      </c>
      <c r="D41" s="2945" t="str">
        <f>IF('Part III-Sources of Funds'!$I$41="","",-FV('Part III-Sources of Funds'!$K$41/12,12,D27/12,C41))</f>
        <v/>
      </c>
      <c r="E41" s="2945" t="str">
        <f>IF('Part III-Sources of Funds'!$I$41="","",-FV('Part III-Sources of Funds'!$K$41/12,12,E27/12,D41))</f>
        <v/>
      </c>
      <c r="F41" s="2945" t="str">
        <f>IF('Part III-Sources of Funds'!$I$41="","",-FV('Part III-Sources of Funds'!$K$41/12,12,F27/12,E41))</f>
        <v/>
      </c>
      <c r="G41" s="2945" t="str">
        <f>IF('Part III-Sources of Funds'!$I$41="","",-FV('Part III-Sources of Funds'!$K$41/12,12,G27/12,F41))</f>
        <v/>
      </c>
      <c r="H41" s="2945" t="str">
        <f>IF('Part III-Sources of Funds'!$I$41="","",-FV('Part III-Sources of Funds'!$K$41/12,12,H27/12,G41))</f>
        <v/>
      </c>
      <c r="I41" s="2945" t="str">
        <f>IF('Part III-Sources of Funds'!$I$41="","",-FV('Part III-Sources of Funds'!$K$41/12,12,I27/12,H41))</f>
        <v/>
      </c>
      <c r="J41" s="2945" t="str">
        <f>IF('Part III-Sources of Funds'!$I$41="","",-FV('Part III-Sources of Funds'!$K$41/12,12,J27/12,I41))</f>
        <v/>
      </c>
      <c r="K41" s="2945" t="str">
        <f>IF('Part III-Sources of Funds'!$I$41="","",-FV('Part III-Sources of Funds'!$K$41/12,12,K27/12,J41))</f>
        <v/>
      </c>
      <c r="N41" s="3833"/>
      <c r="O41" s="3835"/>
      <c r="Z41" s="2807" t="s">
        <v>6772</v>
      </c>
      <c r="AA41" s="1788">
        <v>41</v>
      </c>
    </row>
    <row r="42" spans="1:27" ht="13.35" customHeight="1">
      <c r="A42" s="409" t="s">
        <v>2494</v>
      </c>
      <c r="B42" s="2945" t="str">
        <f>IF('Part III-Sources of Funds'!$I$42="","",-FV('Part III-Sources of Funds'!$K$42/12,12,B28/12,'Part III-Sources of Funds'!$I$42))</f>
        <v/>
      </c>
      <c r="C42" s="2945" t="str">
        <f>IF('Part III-Sources of Funds'!$I$42="","",-FV('Part III-Sources of Funds'!$K$42/12,12,C28/12,B42))</f>
        <v/>
      </c>
      <c r="D42" s="2945" t="str">
        <f>IF('Part III-Sources of Funds'!$I$42="","",-FV('Part III-Sources of Funds'!$K$42/12,12,D28/12,C42))</f>
        <v/>
      </c>
      <c r="E42" s="2945" t="str">
        <f>IF('Part III-Sources of Funds'!$I$42="","",-FV('Part III-Sources of Funds'!$K$42/12,12,E28/12,D42))</f>
        <v/>
      </c>
      <c r="F42" s="2945" t="str">
        <f>IF('Part III-Sources of Funds'!$I$42="","",-FV('Part III-Sources of Funds'!$K$42/12,12,F28/12,E42))</f>
        <v/>
      </c>
      <c r="G42" s="2945" t="str">
        <f>IF('Part III-Sources of Funds'!$I$42="","",-FV('Part III-Sources of Funds'!$K$42/12,12,G28/12,F42))</f>
        <v/>
      </c>
      <c r="H42" s="2945" t="str">
        <f>IF('Part III-Sources of Funds'!$I$42="","",-FV('Part III-Sources of Funds'!$K$42/12,12,H28/12,G42))</f>
        <v/>
      </c>
      <c r="I42" s="2945" t="str">
        <f>IF('Part III-Sources of Funds'!$I$42="","",-FV('Part III-Sources of Funds'!$K$42/12,12,I28/12,H42))</f>
        <v/>
      </c>
      <c r="J42" s="2945" t="str">
        <f>IF('Part III-Sources of Funds'!$I$42="","",-FV('Part III-Sources of Funds'!$K$42/12,12,J28/12,I42))</f>
        <v/>
      </c>
      <c r="K42" s="2945" t="str">
        <f>IF('Part III-Sources of Funds'!$I$42="","",-FV('Part III-Sources of Funds'!$K$42/12,12,K28/12,J42))</f>
        <v/>
      </c>
      <c r="N42" s="3833"/>
      <c r="O42" s="3835"/>
      <c r="Z42" s="2807" t="s">
        <v>6772</v>
      </c>
      <c r="AA42" s="1788">
        <v>42</v>
      </c>
    </row>
    <row r="43" spans="1:27" ht="13.35" customHeight="1">
      <c r="A43" s="21" t="s">
        <v>752</v>
      </c>
      <c r="B43" s="2945" t="str">
        <f>IF('Part III-Sources of Funds'!$I$43="","",-FV('Part III-Sources of Funds'!$K$43/12,12,B29/12,'Part III-Sources of Funds'!$I$43))</f>
        <v/>
      </c>
      <c r="C43" s="2945" t="str">
        <f>IF('Part III-Sources of Funds'!$I$43="","",-FV('Part III-Sources of Funds'!$K$43/12,12,C29/12,B43))</f>
        <v/>
      </c>
      <c r="D43" s="2945" t="str">
        <f>IF('Part III-Sources of Funds'!$I$43="","",-FV('Part III-Sources of Funds'!$K$43/12,12,D29/12,C43))</f>
        <v/>
      </c>
      <c r="E43" s="2945" t="str">
        <f>IF('Part III-Sources of Funds'!$I$43="","",-FV('Part III-Sources of Funds'!$K$43/12,12,E29/12,D43))</f>
        <v/>
      </c>
      <c r="F43" s="2945" t="str">
        <f>IF('Part III-Sources of Funds'!$I$43="","",-FV('Part III-Sources of Funds'!$K$43/12,12,F29/12,E43))</f>
        <v/>
      </c>
      <c r="G43" s="2945" t="str">
        <f>IF('Part III-Sources of Funds'!$I$43="","",-FV('Part III-Sources of Funds'!$K$43/12,12,G29/12,F43))</f>
        <v/>
      </c>
      <c r="H43" s="2945" t="str">
        <f>IF('Part III-Sources of Funds'!$I$43="","",-FV('Part III-Sources of Funds'!$K$43/12,12,H29/12,G43))</f>
        <v/>
      </c>
      <c r="I43" s="2945" t="str">
        <f>IF('Part III-Sources of Funds'!$I$43="","",-FV('Part III-Sources of Funds'!$K$43/12,12,I29/12,H43))</f>
        <v/>
      </c>
      <c r="J43" s="2945" t="str">
        <f>IF('Part III-Sources of Funds'!$I$43="","",-FV('Part III-Sources of Funds'!$K$43/12,12,J29/12,I43))</f>
        <v/>
      </c>
      <c r="K43" s="2945" t="str">
        <f>IF('Part III-Sources of Funds'!$I$43="","",-FV('Part III-Sources of Funds'!$K$43/12,12,K29/12,J43))</f>
        <v/>
      </c>
      <c r="N43" s="3833"/>
      <c r="O43" s="3835"/>
      <c r="Z43" s="2807" t="s">
        <v>6772</v>
      </c>
      <c r="AA43" s="1787">
        <v>43</v>
      </c>
    </row>
    <row r="44" spans="1:27" ht="13.35" customHeight="1">
      <c r="A44" s="409" t="s">
        <v>3509</v>
      </c>
      <c r="B44" s="2948">
        <f>IF('Part III-Sources of Funds'!$I$45="","",-FV('Part III-Sources of Funds'!$K$45/12,12,B32/12,'Part III-Sources of Funds'!$I$45))</f>
        <v>307856.26987670362</v>
      </c>
      <c r="C44" s="2948">
        <f>IF('Part III-Sources of Funds'!$I$45="","",IF(-FV('Part III-Sources of Funds'!$K$45/12,12,C32/12,B44)&gt;0,-FV('Part III-Sources of Funds'!$K$45/12,12,C32/12,B44),0))</f>
        <v>260866.22077740799</v>
      </c>
      <c r="D44" s="2948">
        <f>IF('Part III-Sources of Funds'!$I$45="","",IF(-FV('Part III-Sources of Funds'!$K$45/12,12,D32/12,C44)&gt;0,-FV('Part III-Sources of Funds'!$K$45/12,12,D32/12,C44),0))</f>
        <v>214286.58982259227</v>
      </c>
      <c r="E44" s="2948">
        <f>IF('Part III-Sources of Funds'!$I$45="","",IF(-FV('Part III-Sources of Funds'!$K$45/12,12,E32/12,D44)&gt;0,-FV('Part III-Sources of Funds'!$K$45/12,12,E32/12,D44),0))</f>
        <v>168241.30181214621</v>
      </c>
      <c r="F44" s="2948">
        <f>IF('Part III-Sources of Funds'!$I$45="","",IF(-FV('Part III-Sources of Funds'!$K$45/12,12,F32/12,E44)&gt;0,-FV('Part III-Sources of Funds'!$K$45/12,12,F32/12,E44),0))</f>
        <v>122860.95993506703</v>
      </c>
      <c r="G44" s="2948">
        <f>IF('Part III-Sources of Funds'!$I$45="","",IF(-FV('Part III-Sources of Funds'!$K$45/12,12,G32/12,F44)&gt;0,-FV('Part III-Sources of Funds'!$K$45/12,12,G32/12,F44),0))</f>
        <v>78282.063734035532</v>
      </c>
      <c r="H44" s="2948">
        <f>IF('Part III-Sources of Funds'!$I$45="","",IF(-FV('Part III-Sources of Funds'!$K$45/12,12,H32/12,G44)&gt;0,-FV('Part III-Sources of Funds'!$K$45/12,12,H32/12,G44),0))</f>
        <v>34647.234561186211</v>
      </c>
      <c r="I44" s="2948">
        <f>IF('Part III-Sources of Funds'!$I$45="","",IF(-FV('Part III-Sources of Funds'!$K$45/12,12,I32/12,H44)&gt;0,-FV('Part III-Sources of Funds'!$K$45/12,12,I32/12,H44),0))</f>
        <v>0</v>
      </c>
      <c r="J44" s="2948">
        <f>IF('Part III-Sources of Funds'!$I$45="","",IF(-FV('Part III-Sources of Funds'!$K$45/12,12,J32/12,I44)&gt;0,-FV('Part III-Sources of Funds'!$K$45/12,12,J32/12,I44),0))</f>
        <v>0</v>
      </c>
      <c r="K44" s="2948">
        <f>IF('Part III-Sources of Funds'!$I$45="","",IF(-FV('Part III-Sources of Funds'!$K$45/12,12,K32/12,J44)&gt;0,-FV('Part III-Sources of Funds'!$K$45/12,12,K32/12,J44),0))</f>
        <v>0</v>
      </c>
      <c r="N44" s="3839"/>
      <c r="O44" s="3841"/>
      <c r="Z44" s="2807" t="s">
        <v>6772</v>
      </c>
      <c r="AA44" s="1788">
        <v>44</v>
      </c>
    </row>
    <row r="45" spans="1:27" ht="4.3499999999999996" customHeight="1">
      <c r="B45" s="17"/>
      <c r="C45" s="17"/>
      <c r="D45" s="17"/>
      <c r="E45" s="17"/>
      <c r="F45" s="17"/>
      <c r="G45" s="17"/>
      <c r="H45" s="17"/>
      <c r="I45" s="17"/>
      <c r="J45" s="17"/>
      <c r="K45" s="17"/>
      <c r="AA45" s="1788">
        <v>45</v>
      </c>
    </row>
    <row r="46" spans="1:27" ht="14.45" customHeight="1">
      <c r="A46" s="13" t="s">
        <v>2367</v>
      </c>
      <c r="B46" s="15">
        <f>K14+1</f>
        <v>11</v>
      </c>
      <c r="C46" s="15">
        <f t="shared" ref="C46:K46" si="18">B46+1</f>
        <v>12</v>
      </c>
      <c r="D46" s="15">
        <f t="shared" si="18"/>
        <v>13</v>
      </c>
      <c r="E46" s="15">
        <f t="shared" si="18"/>
        <v>14</v>
      </c>
      <c r="F46" s="15">
        <f t="shared" si="18"/>
        <v>15</v>
      </c>
      <c r="G46" s="15">
        <f t="shared" si="18"/>
        <v>16</v>
      </c>
      <c r="H46" s="15">
        <f t="shared" si="18"/>
        <v>17</v>
      </c>
      <c r="I46" s="15">
        <f t="shared" si="18"/>
        <v>18</v>
      </c>
      <c r="J46" s="15">
        <f t="shared" si="18"/>
        <v>19</v>
      </c>
      <c r="K46" s="15">
        <f t="shared" si="18"/>
        <v>20</v>
      </c>
      <c r="N46" s="3530" t="s">
        <v>2496</v>
      </c>
      <c r="O46" s="3530"/>
      <c r="AA46" s="1788">
        <v>46</v>
      </c>
    </row>
    <row r="47" spans="1:27" ht="13.35" customHeight="1">
      <c r="A47" s="18" t="s">
        <v>2293</v>
      </c>
      <c r="B47" s="19">
        <f t="shared" ref="B47:K47" si="19">$B$15*(1+$B$6)^(B46-1)</f>
        <v>749813.21969413501</v>
      </c>
      <c r="C47" s="19">
        <f t="shared" si="19"/>
        <v>764809.48408801761</v>
      </c>
      <c r="D47" s="19">
        <f t="shared" si="19"/>
        <v>780105.67376977811</v>
      </c>
      <c r="E47" s="19">
        <f t="shared" si="19"/>
        <v>795707.78724517359</v>
      </c>
      <c r="F47" s="19">
        <f t="shared" si="19"/>
        <v>811621.94299007719</v>
      </c>
      <c r="G47" s="19">
        <f t="shared" si="19"/>
        <v>827854.38184987847</v>
      </c>
      <c r="H47" s="19">
        <f t="shared" si="19"/>
        <v>844411.46948687616</v>
      </c>
      <c r="I47" s="19">
        <f t="shared" si="19"/>
        <v>861299.69887661375</v>
      </c>
      <c r="J47" s="19">
        <f t="shared" si="19"/>
        <v>878525.69285414601</v>
      </c>
      <c r="K47" s="20">
        <f t="shared" si="19"/>
        <v>896096.20671122882</v>
      </c>
      <c r="N47" s="3854"/>
      <c r="O47" s="3856"/>
      <c r="Z47" s="2807" t="s">
        <v>6773</v>
      </c>
      <c r="AA47" s="1788">
        <v>47</v>
      </c>
    </row>
    <row r="48" spans="1:27" ht="13.35" customHeight="1">
      <c r="A48" s="21" t="s">
        <v>977</v>
      </c>
      <c r="B48" s="22">
        <f t="shared" ref="B48:K48" si="20">$B$16*(1+$B$6)^(B46-1)</f>
        <v>14996.2643938827</v>
      </c>
      <c r="C48" s="22">
        <f t="shared" si="20"/>
        <v>15296.189681760352</v>
      </c>
      <c r="D48" s="22">
        <f t="shared" si="20"/>
        <v>15602.113475395561</v>
      </c>
      <c r="E48" s="22">
        <f t="shared" si="20"/>
        <v>15914.155744903472</v>
      </c>
      <c r="F48" s="22">
        <f t="shared" si="20"/>
        <v>16232.438859801543</v>
      </c>
      <c r="G48" s="22">
        <f t="shared" si="20"/>
        <v>16557.08763699757</v>
      </c>
      <c r="H48" s="22">
        <f t="shared" si="20"/>
        <v>16888.229389737524</v>
      </c>
      <c r="I48" s="22">
        <f t="shared" si="20"/>
        <v>17225.993977532275</v>
      </c>
      <c r="J48" s="22">
        <f t="shared" si="20"/>
        <v>17570.513857082919</v>
      </c>
      <c r="K48" s="23">
        <f t="shared" si="20"/>
        <v>17921.924134224577</v>
      </c>
      <c r="N48" s="3833"/>
      <c r="O48" s="3835"/>
      <c r="Z48" s="2807" t="s">
        <v>6773</v>
      </c>
      <c r="AA48" s="1787">
        <v>48</v>
      </c>
    </row>
    <row r="49" spans="1:27" ht="13.35" customHeight="1">
      <c r="A49" s="21" t="s">
        <v>2294</v>
      </c>
      <c r="B49" s="22">
        <f t="shared" ref="B49:K49" si="21">-(B47+B48)*$B$9</f>
        <v>-53536.663886161245</v>
      </c>
      <c r="C49" s="22">
        <f t="shared" si="21"/>
        <v>-54607.397163884467</v>
      </c>
      <c r="D49" s="22">
        <f t="shared" si="21"/>
        <v>-55699.545107162165</v>
      </c>
      <c r="E49" s="22">
        <f t="shared" si="21"/>
        <v>-56813.536009305404</v>
      </c>
      <c r="F49" s="22">
        <f t="shared" si="21"/>
        <v>-57949.806729491516</v>
      </c>
      <c r="G49" s="22">
        <f t="shared" si="21"/>
        <v>-59108.802864081328</v>
      </c>
      <c r="H49" s="22">
        <f t="shared" si="21"/>
        <v>-60290.978921362963</v>
      </c>
      <c r="I49" s="22">
        <f t="shared" si="21"/>
        <v>-61496.798499790224</v>
      </c>
      <c r="J49" s="22">
        <f t="shared" si="21"/>
        <v>-62726.734469786032</v>
      </c>
      <c r="K49" s="23">
        <f t="shared" si="21"/>
        <v>-63981.269159181742</v>
      </c>
      <c r="N49" s="3833"/>
      <c r="O49" s="3835"/>
      <c r="Z49" s="2807" t="s">
        <v>6773</v>
      </c>
      <c r="AA49" s="1788">
        <v>49</v>
      </c>
    </row>
    <row r="50" spans="1:27" ht="13.35" customHeight="1">
      <c r="A50" s="21" t="s">
        <v>47</v>
      </c>
      <c r="B50" s="22">
        <f>'Part VI-Revenues &amp; Expenses'!H191</f>
        <v>0</v>
      </c>
      <c r="C50" s="22">
        <f>'Part VI-Revenues &amp; Expenses'!I191</f>
        <v>0</v>
      </c>
      <c r="D50" s="22">
        <f>'Part VI-Revenues &amp; Expenses'!J191</f>
        <v>0</v>
      </c>
      <c r="E50" s="22">
        <f>'Part VI-Revenues &amp; Expenses'!K191</f>
        <v>0</v>
      </c>
      <c r="F50" s="22">
        <f>'Part VI-Revenues &amp; Expenses'!L191</f>
        <v>0</v>
      </c>
      <c r="G50" s="22">
        <f>'Part VI-Revenues &amp; Expenses'!M191</f>
        <v>0</v>
      </c>
      <c r="H50" s="22">
        <f>'Part VI-Revenues &amp; Expenses'!N191</f>
        <v>0</v>
      </c>
      <c r="I50" s="22">
        <f>'Part VI-Revenues &amp; Expenses'!O191</f>
        <v>0</v>
      </c>
      <c r="J50" s="22">
        <f>'Part VI-Revenues &amp; Expenses'!P191</f>
        <v>0</v>
      </c>
      <c r="K50" s="23">
        <f>'Part VI-Revenues &amp; Expenses'!Q191</f>
        <v>0</v>
      </c>
      <c r="N50" s="3833"/>
      <c r="O50" s="3835"/>
      <c r="Z50" s="2807" t="s">
        <v>6773</v>
      </c>
      <c r="AA50" s="1788">
        <v>50</v>
      </c>
    </row>
    <row r="51" spans="1:27" ht="13.35" customHeight="1">
      <c r="A51" s="21" t="s">
        <v>48</v>
      </c>
      <c r="B51" s="22">
        <f>'Part VI-Revenues &amp; Expenses'!H195</f>
        <v>0</v>
      </c>
      <c r="C51" s="22">
        <f>'Part VI-Revenues &amp; Expenses'!I195</f>
        <v>0</v>
      </c>
      <c r="D51" s="22">
        <f>'Part VI-Revenues &amp; Expenses'!J195</f>
        <v>0</v>
      </c>
      <c r="E51" s="22">
        <f>'Part VI-Revenues &amp; Expenses'!K195</f>
        <v>0</v>
      </c>
      <c r="F51" s="22">
        <f>'Part VI-Revenues &amp; Expenses'!L195</f>
        <v>0</v>
      </c>
      <c r="G51" s="22">
        <f>'Part VI-Revenues &amp; Expenses'!M195</f>
        <v>0</v>
      </c>
      <c r="H51" s="22">
        <f>'Part VI-Revenues &amp; Expenses'!N195</f>
        <v>0</v>
      </c>
      <c r="I51" s="22">
        <f>'Part VI-Revenues &amp; Expenses'!O195</f>
        <v>0</v>
      </c>
      <c r="J51" s="22">
        <f>'Part VI-Revenues &amp; Expenses'!P195</f>
        <v>0</v>
      </c>
      <c r="K51" s="23">
        <f>'Part VI-Revenues &amp; Expenses'!Q195</f>
        <v>0</v>
      </c>
      <c r="N51" s="3833"/>
      <c r="O51" s="3835"/>
      <c r="Z51" s="2807" t="s">
        <v>6773</v>
      </c>
      <c r="AA51" s="1787">
        <v>51</v>
      </c>
    </row>
    <row r="52" spans="1:27" ht="13.35" customHeight="1">
      <c r="A52" s="409" t="s">
        <v>4013</v>
      </c>
      <c r="B52" s="22">
        <f t="shared" ref="B52:K52" si="22">SUM(B47:B51)</f>
        <v>711272.82020185643</v>
      </c>
      <c r="C52" s="22">
        <f t="shared" si="22"/>
        <v>725498.27660589351</v>
      </c>
      <c r="D52" s="22">
        <f t="shared" si="22"/>
        <v>740008.2421380115</v>
      </c>
      <c r="E52" s="22">
        <f t="shared" si="22"/>
        <v>754808.40698077169</v>
      </c>
      <c r="F52" s="22">
        <f t="shared" si="22"/>
        <v>769904.57512038713</v>
      </c>
      <c r="G52" s="22">
        <f t="shared" si="22"/>
        <v>785302.6666227947</v>
      </c>
      <c r="H52" s="22">
        <f t="shared" si="22"/>
        <v>801008.71995525062</v>
      </c>
      <c r="I52" s="22">
        <f t="shared" si="22"/>
        <v>817028.89435435575</v>
      </c>
      <c r="J52" s="22">
        <f t="shared" si="22"/>
        <v>833369.47224144288</v>
      </c>
      <c r="K52" s="23">
        <f t="shared" si="22"/>
        <v>850036.86168627162</v>
      </c>
      <c r="N52" s="3833"/>
      <c r="O52" s="3835"/>
      <c r="Z52" s="2807" t="s">
        <v>6773</v>
      </c>
      <c r="AA52" s="1788">
        <v>52</v>
      </c>
    </row>
    <row r="53" spans="1:27" ht="13.35" customHeight="1">
      <c r="A53" s="21" t="s">
        <v>585</v>
      </c>
      <c r="B53" s="22">
        <f t="shared" ref="B53:K53" si="23">$B$21*(1+$B$7)^(B46-1)</f>
        <v>-480306.30656293372</v>
      </c>
      <c r="C53" s="22">
        <f t="shared" si="23"/>
        <v>-494715.49575982173</v>
      </c>
      <c r="D53" s="22">
        <f t="shared" si="23"/>
        <v>-509556.9606326163</v>
      </c>
      <c r="E53" s="22">
        <f t="shared" si="23"/>
        <v>-524843.66945159482</v>
      </c>
      <c r="F53" s="22">
        <f t="shared" si="23"/>
        <v>-540588.97953514266</v>
      </c>
      <c r="G53" s="22">
        <f t="shared" si="23"/>
        <v>-556806.64892119705</v>
      </c>
      <c r="H53" s="22">
        <f t="shared" si="23"/>
        <v>-573510.84838883276</v>
      </c>
      <c r="I53" s="22">
        <f t="shared" si="23"/>
        <v>-590716.17384049774</v>
      </c>
      <c r="J53" s="22">
        <f t="shared" si="23"/>
        <v>-608437.65905571275</v>
      </c>
      <c r="K53" s="23">
        <f t="shared" si="23"/>
        <v>-626690.78882738412</v>
      </c>
      <c r="N53" s="3833"/>
      <c r="O53" s="3835"/>
      <c r="Z53" s="2807" t="s">
        <v>6773</v>
      </c>
      <c r="AA53" s="1788">
        <v>53</v>
      </c>
    </row>
    <row r="54" spans="1:27" ht="13.35" customHeight="1">
      <c r="A54" s="21" t="s">
        <v>1075</v>
      </c>
      <c r="B54" s="22">
        <f>IF(AND('Part VII-Pro Forma'!$G$9="Yes",'Part VII-Pro Forma'!$G$10="Yes"),"Choose One!",IF('Part VII-Pro Forma'!$G$9="Yes",ROUND((-$K$9*(1+'Part VII-Pro Forma'!$B$7)^('Part VII-Pro Forma'!B46-1)),),IF('Part VII-Pro Forma'!$G$10="Yes",ROUND((-(SUM(B47:B50)*'Part VII-Pro Forma'!$K$10)),),"Choose mgt fee")))</f>
        <v>-42676</v>
      </c>
      <c r="C54" s="22">
        <f>IF(AND('Part VII-Pro Forma'!$G$9="Yes",'Part VII-Pro Forma'!$G$10="Yes"),"Choose One!",IF('Part VII-Pro Forma'!$G$9="Yes",ROUND((-$K$9*(1+'Part VII-Pro Forma'!$B$7)^('Part VII-Pro Forma'!C46-1)),),IF('Part VII-Pro Forma'!$G$10="Yes",ROUND((-(SUM(C47:C50)*'Part VII-Pro Forma'!$K$10)),),"Choose mgt fee")))</f>
        <v>-43530</v>
      </c>
      <c r="D54" s="22">
        <f>IF(AND('Part VII-Pro Forma'!$G$9="Yes",'Part VII-Pro Forma'!$G$10="Yes"),"Choose One!",IF('Part VII-Pro Forma'!$G$9="Yes",ROUND((-$K$9*(1+'Part VII-Pro Forma'!$B$7)^('Part VII-Pro Forma'!D46-1)),),IF('Part VII-Pro Forma'!$G$10="Yes",ROUND((-(SUM(D47:D50)*'Part VII-Pro Forma'!$K$10)),),"Choose mgt fee")))</f>
        <v>-44400</v>
      </c>
      <c r="E54" s="22">
        <f>IF(AND('Part VII-Pro Forma'!$G$9="Yes",'Part VII-Pro Forma'!$G$10="Yes"),"Choose One!",IF('Part VII-Pro Forma'!$G$9="Yes",ROUND((-$K$9*(1+'Part VII-Pro Forma'!$B$7)^('Part VII-Pro Forma'!E46-1)),),IF('Part VII-Pro Forma'!$G$10="Yes",ROUND((-(SUM(E47:E50)*'Part VII-Pro Forma'!$K$10)),),"Choose mgt fee")))</f>
        <v>-45289</v>
      </c>
      <c r="F54" s="22">
        <f>IF(AND('Part VII-Pro Forma'!$G$9="Yes",'Part VII-Pro Forma'!$G$10="Yes"),"Choose One!",IF('Part VII-Pro Forma'!$G$9="Yes",ROUND((-$K$9*(1+'Part VII-Pro Forma'!$B$7)^('Part VII-Pro Forma'!F46-1)),),IF('Part VII-Pro Forma'!$G$10="Yes",ROUND((-(SUM(F47:F50)*'Part VII-Pro Forma'!$K$10)),),"Choose mgt fee")))</f>
        <v>-46194</v>
      </c>
      <c r="G54" s="22">
        <f>IF(AND('Part VII-Pro Forma'!$G$9="Yes",'Part VII-Pro Forma'!$G$10="Yes"),"Choose One!",IF('Part VII-Pro Forma'!$G$9="Yes",ROUND((-$K$9*(1+'Part VII-Pro Forma'!$B$7)^('Part VII-Pro Forma'!G46-1)),),IF('Part VII-Pro Forma'!$G$10="Yes",ROUND((-(SUM(G47:G50)*'Part VII-Pro Forma'!$K$10)),),"Choose mgt fee")))</f>
        <v>-47118</v>
      </c>
      <c r="H54" s="22">
        <f>IF(AND('Part VII-Pro Forma'!$G$9="Yes",'Part VII-Pro Forma'!$G$10="Yes"),"Choose One!",IF('Part VII-Pro Forma'!$G$9="Yes",ROUND((-$K$9*(1+'Part VII-Pro Forma'!$B$7)^('Part VII-Pro Forma'!H46-1)),),IF('Part VII-Pro Forma'!$G$10="Yes",ROUND((-(SUM(H47:H50)*'Part VII-Pro Forma'!$K$10)),),"Choose mgt fee")))</f>
        <v>-48061</v>
      </c>
      <c r="I54" s="22">
        <f>IF(AND('Part VII-Pro Forma'!$G$9="Yes",'Part VII-Pro Forma'!$G$10="Yes"),"Choose One!",IF('Part VII-Pro Forma'!$G$9="Yes",ROUND((-$K$9*(1+'Part VII-Pro Forma'!$B$7)^('Part VII-Pro Forma'!I46-1)),),IF('Part VII-Pro Forma'!$G$10="Yes",ROUND((-(SUM(I47:I50)*'Part VII-Pro Forma'!$K$10)),),"Choose mgt fee")))</f>
        <v>-49022</v>
      </c>
      <c r="J54" s="22">
        <f>IF(AND('Part VII-Pro Forma'!$G$9="Yes",'Part VII-Pro Forma'!$G$10="Yes"),"Choose One!",IF('Part VII-Pro Forma'!$G$9="Yes",ROUND((-$K$9*(1+'Part VII-Pro Forma'!$B$7)^('Part VII-Pro Forma'!J46-1)),),IF('Part VII-Pro Forma'!$G$10="Yes",ROUND((-(SUM(J47:J50)*'Part VII-Pro Forma'!$K$10)),),"Choose mgt fee")))</f>
        <v>-50002</v>
      </c>
      <c r="K54" s="23">
        <f>IF(AND('Part VII-Pro Forma'!$G$9="Yes",'Part VII-Pro Forma'!$G$10="Yes"),"Choose One!",IF('Part VII-Pro Forma'!$G$9="Yes",ROUND((-$K$9*(1+'Part VII-Pro Forma'!$B$7)^('Part VII-Pro Forma'!K46-1)),),IF('Part VII-Pro Forma'!$G$10="Yes",ROUND((-(SUM(K47:K50)*'Part VII-Pro Forma'!$K$10)),),"Choose mgt fee")))</f>
        <v>-51002</v>
      </c>
      <c r="N54" s="3833"/>
      <c r="O54" s="3835"/>
      <c r="Z54" s="2807" t="s">
        <v>6773</v>
      </c>
      <c r="AA54" s="1788">
        <v>54</v>
      </c>
    </row>
    <row r="55" spans="1:27" ht="13.35" customHeight="1">
      <c r="A55" s="21" t="s">
        <v>1156</v>
      </c>
      <c r="B55" s="22">
        <f t="shared" ref="B55:K55" si="24">$B$23*(1+$B$8)^(B46-1)</f>
        <v>-24190.494828194191</v>
      </c>
      <c r="C55" s="22">
        <f t="shared" si="24"/>
        <v>-24916.209673040019</v>
      </c>
      <c r="D55" s="22">
        <f t="shared" si="24"/>
        <v>-25663.695963231214</v>
      </c>
      <c r="E55" s="22">
        <f t="shared" si="24"/>
        <v>-26433.606842128149</v>
      </c>
      <c r="F55" s="22">
        <f t="shared" si="24"/>
        <v>-27226.615047391999</v>
      </c>
      <c r="G55" s="22">
        <f t="shared" si="24"/>
        <v>-28043.413498813759</v>
      </c>
      <c r="H55" s="22">
        <f t="shared" si="24"/>
        <v>-28884.715903778168</v>
      </c>
      <c r="I55" s="22">
        <f t="shared" si="24"/>
        <v>-29751.257380891511</v>
      </c>
      <c r="J55" s="22">
        <f t="shared" si="24"/>
        <v>-30643.795102318258</v>
      </c>
      <c r="K55" s="23">
        <f t="shared" si="24"/>
        <v>-31563.108955387805</v>
      </c>
      <c r="N55" s="3833"/>
      <c r="O55" s="3835"/>
      <c r="Q55" s="847">
        <v>10</v>
      </c>
      <c r="R55" s="945">
        <f>-SUM(B61:K61)</f>
        <v>0</v>
      </c>
      <c r="S55" s="945">
        <f>SUM(B62:K62)+R55</f>
        <v>0</v>
      </c>
      <c r="Z55" s="2807" t="s">
        <v>6773</v>
      </c>
      <c r="AA55" s="1788">
        <v>55</v>
      </c>
    </row>
    <row r="56" spans="1:27" ht="13.35" customHeight="1">
      <c r="A56" s="409" t="s">
        <v>4012</v>
      </c>
      <c r="B56" s="2943">
        <v>-10</v>
      </c>
      <c r="C56" s="2943">
        <v>-10</v>
      </c>
      <c r="D56" s="2943">
        <v>-10</v>
      </c>
      <c r="E56" s="2943">
        <v>-10</v>
      </c>
      <c r="F56" s="2943">
        <v>-10</v>
      </c>
      <c r="G56" s="2943">
        <v>-10</v>
      </c>
      <c r="H56" s="2943">
        <v>-10</v>
      </c>
      <c r="I56" s="2943">
        <v>-10</v>
      </c>
      <c r="J56" s="2943">
        <v>-10</v>
      </c>
      <c r="K56" s="2943">
        <v>-10</v>
      </c>
      <c r="N56" s="3833"/>
      <c r="O56" s="3835"/>
      <c r="Z56" s="2807" t="s">
        <v>6773</v>
      </c>
      <c r="AA56" s="1788">
        <v>56</v>
      </c>
    </row>
    <row r="57" spans="1:27" ht="13.35" customHeight="1">
      <c r="A57" s="21" t="s">
        <v>1157</v>
      </c>
      <c r="B57" s="22">
        <f t="shared" ref="B57:K57" si="25">SUM(B52:B56)</f>
        <v>164090.01881072851</v>
      </c>
      <c r="C57" s="22">
        <f t="shared" si="25"/>
        <v>162326.57117303176</v>
      </c>
      <c r="D57" s="22">
        <f t="shared" si="25"/>
        <v>160377.58554216399</v>
      </c>
      <c r="E57" s="22">
        <f t="shared" si="25"/>
        <v>158232.13068704872</v>
      </c>
      <c r="F57" s="22">
        <f t="shared" si="25"/>
        <v>155884.98053785248</v>
      </c>
      <c r="G57" s="22">
        <f t="shared" si="25"/>
        <v>153324.6042027839</v>
      </c>
      <c r="H57" s="22">
        <f t="shared" si="25"/>
        <v>150542.15566263971</v>
      </c>
      <c r="I57" s="22">
        <f t="shared" si="25"/>
        <v>147529.46313296651</v>
      </c>
      <c r="J57" s="22">
        <f t="shared" si="25"/>
        <v>144276.01808341188</v>
      </c>
      <c r="K57" s="1299">
        <f t="shared" si="25"/>
        <v>140770.96390349968</v>
      </c>
      <c r="N57" s="3833"/>
      <c r="O57" s="3835"/>
      <c r="Z57" s="2807" t="s">
        <v>6773</v>
      </c>
      <c r="AA57" s="1788">
        <v>57</v>
      </c>
    </row>
    <row r="58" spans="1:27" ht="13.35" customHeight="1">
      <c r="A58" s="21" t="str">
        <f>$A26</f>
        <v>Mortgage A</v>
      </c>
      <c r="B58" s="2944">
        <f>IF('Part III-Sources of Funds'!$P$40="", 0,-'Part III-Sources of Funds'!$P$40)</f>
        <v>-125796.43867670429</v>
      </c>
      <c r="C58" s="2944">
        <f>IF('Part III-Sources of Funds'!$P$40="", 0,-'Part III-Sources of Funds'!$P$40)</f>
        <v>-125796.43867670429</v>
      </c>
      <c r="D58" s="2944">
        <f>IF('Part III-Sources of Funds'!$P$40="", 0,-'Part III-Sources of Funds'!$P$40)</f>
        <v>-125796.43867670429</v>
      </c>
      <c r="E58" s="2944">
        <f>IF('Part III-Sources of Funds'!$P$40="", 0,-'Part III-Sources of Funds'!$P$40)</f>
        <v>-125796.43867670429</v>
      </c>
      <c r="F58" s="2944">
        <f>IF('Part III-Sources of Funds'!$P$40="", 0,-'Part III-Sources of Funds'!$P$40)</f>
        <v>-125796.43867670429</v>
      </c>
      <c r="G58" s="2944">
        <f>IF('Part III-Sources of Funds'!$P$40="", 0,-'Part III-Sources of Funds'!$P$40)</f>
        <v>-125796.43867670429</v>
      </c>
      <c r="H58" s="2944">
        <f>IF('Part III-Sources of Funds'!$P$40="", 0,-'Part III-Sources of Funds'!$P$40)</f>
        <v>-125796.43867670429</v>
      </c>
      <c r="I58" s="2944">
        <f>IF('Part III-Sources of Funds'!$P$40="", 0,-'Part III-Sources of Funds'!$P$40)</f>
        <v>-125796.43867670429</v>
      </c>
      <c r="J58" s="2944">
        <f>IF('Part III-Sources of Funds'!$P$40="", 0,-'Part III-Sources of Funds'!$P$40)</f>
        <v>-125796.43867670429</v>
      </c>
      <c r="K58" s="2944">
        <f>IF('Part III-Sources of Funds'!$P$40="", 0,-'Part III-Sources of Funds'!$P$40)</f>
        <v>-125796.43867670429</v>
      </c>
      <c r="N58" s="3833"/>
      <c r="O58" s="3835"/>
      <c r="Z58" s="2807" t="s">
        <v>6773</v>
      </c>
      <c r="AA58" s="1788">
        <v>58</v>
      </c>
    </row>
    <row r="59" spans="1:27" ht="13.35" customHeight="1">
      <c r="A59" s="21" t="str">
        <f>$A27</f>
        <v>Mortgage B</v>
      </c>
      <c r="B59" s="2945">
        <f>IF('Part III-Sources of Funds'!$P$41="", 0,-'Part III-Sources of Funds'!$P$41)</f>
        <v>0</v>
      </c>
      <c r="C59" s="2945">
        <f>IF('Part III-Sources of Funds'!$P$41="", 0,-'Part III-Sources of Funds'!$P$41)</f>
        <v>0</v>
      </c>
      <c r="D59" s="2945">
        <f>IF('Part III-Sources of Funds'!$P$41="", 0,-'Part III-Sources of Funds'!$P$41)</f>
        <v>0</v>
      </c>
      <c r="E59" s="2945">
        <f>IF('Part III-Sources of Funds'!$P$41="", 0,-'Part III-Sources of Funds'!$P$41)</f>
        <v>0</v>
      </c>
      <c r="F59" s="2945">
        <f>IF('Part III-Sources of Funds'!$P$41="", 0,-'Part III-Sources of Funds'!$P$41)</f>
        <v>0</v>
      </c>
      <c r="G59" s="2945">
        <f>IF('Part III-Sources of Funds'!$P$41="", 0,-'Part III-Sources of Funds'!$P$41)</f>
        <v>0</v>
      </c>
      <c r="H59" s="2945">
        <f>IF('Part III-Sources of Funds'!$P$41="", 0,-'Part III-Sources of Funds'!$P$41)</f>
        <v>0</v>
      </c>
      <c r="I59" s="2945">
        <f>IF('Part III-Sources of Funds'!$P$41="", 0,-'Part III-Sources of Funds'!$P$41)</f>
        <v>0</v>
      </c>
      <c r="J59" s="2945">
        <f>IF('Part III-Sources of Funds'!$P$41="", 0,-'Part III-Sources of Funds'!$P$41)</f>
        <v>0</v>
      </c>
      <c r="K59" s="2945">
        <f>IF('Part III-Sources of Funds'!$P$41="", 0,-'Part III-Sources of Funds'!$P$41)</f>
        <v>0</v>
      </c>
      <c r="N59" s="3833"/>
      <c r="O59" s="3835"/>
      <c r="Z59" s="2807" t="s">
        <v>6773</v>
      </c>
      <c r="AA59" s="1788">
        <v>59</v>
      </c>
    </row>
    <row r="60" spans="1:27" ht="13.35" customHeight="1">
      <c r="A60" s="21" t="str">
        <f>$A28</f>
        <v>Mortgage C</v>
      </c>
      <c r="B60" s="2945">
        <f>IF('Part III-Sources of Funds'!$P$42="", 0,-'Part III-Sources of Funds'!$P$42)</f>
        <v>0</v>
      </c>
      <c r="C60" s="2945">
        <f>IF('Part III-Sources of Funds'!$P$42="", 0,-'Part III-Sources of Funds'!$P$42)</f>
        <v>0</v>
      </c>
      <c r="D60" s="2945">
        <f>IF('Part III-Sources of Funds'!$P$42="", 0,-'Part III-Sources of Funds'!$P$42)</f>
        <v>0</v>
      </c>
      <c r="E60" s="2945">
        <f>IF('Part III-Sources of Funds'!$P$42="", 0,-'Part III-Sources of Funds'!$P$42)</f>
        <v>0</v>
      </c>
      <c r="F60" s="2945">
        <f>IF('Part III-Sources of Funds'!$P$42="", 0,-'Part III-Sources of Funds'!$P$42)</f>
        <v>0</v>
      </c>
      <c r="G60" s="2945">
        <f>IF('Part III-Sources of Funds'!$P$42="", 0,-'Part III-Sources of Funds'!$P$42)</f>
        <v>0</v>
      </c>
      <c r="H60" s="2945">
        <f>IF('Part III-Sources of Funds'!$P$42="", 0,-'Part III-Sources of Funds'!$P$42)</f>
        <v>0</v>
      </c>
      <c r="I60" s="2945">
        <f>IF('Part III-Sources of Funds'!$P$42="", 0,-'Part III-Sources of Funds'!$P$42)</f>
        <v>0</v>
      </c>
      <c r="J60" s="2945">
        <f>IF('Part III-Sources of Funds'!$P$42="", 0,-'Part III-Sources of Funds'!$P$42)</f>
        <v>0</v>
      </c>
      <c r="K60" s="2945">
        <f>IF('Part III-Sources of Funds'!$P$42="", 0,-'Part III-Sources of Funds'!$P$42)</f>
        <v>0</v>
      </c>
      <c r="N60" s="3833"/>
      <c r="O60" s="3835"/>
      <c r="Z60" s="2807" t="s">
        <v>6773</v>
      </c>
      <c r="AA60" s="1787">
        <v>60</v>
      </c>
    </row>
    <row r="61" spans="1:27" ht="13.35" customHeight="1">
      <c r="A61" s="21" t="str">
        <f>$A29</f>
        <v>D/S Other Source,not DDF</v>
      </c>
      <c r="B61" s="2945">
        <f>IF('Part III-Sources of Funds'!$P$43="", 0,-'Part III-Sources of Funds'!$P$43)</f>
        <v>0</v>
      </c>
      <c r="C61" s="2945">
        <f>IF('Part III-Sources of Funds'!$P$43="", 0,-'Part III-Sources of Funds'!$P$43)</f>
        <v>0</v>
      </c>
      <c r="D61" s="2945">
        <f>IF('Part III-Sources of Funds'!$P$43="", 0,-'Part III-Sources of Funds'!$P$43)</f>
        <v>0</v>
      </c>
      <c r="E61" s="2945">
        <f>IF('Part III-Sources of Funds'!$P$43="", 0,-'Part III-Sources of Funds'!$P$43)</f>
        <v>0</v>
      </c>
      <c r="F61" s="2945">
        <f>IF('Part III-Sources of Funds'!$P$43="", 0,-'Part III-Sources of Funds'!$P$43)</f>
        <v>0</v>
      </c>
      <c r="G61" s="2945">
        <f>IF('Part III-Sources of Funds'!$P$43="", 0,-'Part III-Sources of Funds'!$P$43)</f>
        <v>0</v>
      </c>
      <c r="H61" s="2945">
        <f>IF('Part III-Sources of Funds'!$P$43="", 0,-'Part III-Sources of Funds'!$P$43)</f>
        <v>0</v>
      </c>
      <c r="I61" s="2945">
        <f>IF('Part III-Sources of Funds'!$P$43="", 0,-'Part III-Sources of Funds'!$P$43)</f>
        <v>0</v>
      </c>
      <c r="J61" s="2945">
        <f>IF('Part III-Sources of Funds'!$P$43="", 0,-'Part III-Sources of Funds'!$P$43)</f>
        <v>0</v>
      </c>
      <c r="K61" s="2945">
        <f>IF('Part III-Sources of Funds'!$P$43="", 0,-'Part III-Sources of Funds'!$P$43)</f>
        <v>0</v>
      </c>
      <c r="N61" s="3833"/>
      <c r="O61" s="3835"/>
      <c r="Z61" s="2807" t="s">
        <v>6773</v>
      </c>
      <c r="AA61" s="1788">
        <v>61</v>
      </c>
    </row>
    <row r="62" spans="1:27" ht="13.35" customHeight="1">
      <c r="A62" s="21" t="s">
        <v>733</v>
      </c>
      <c r="B62" s="2946"/>
      <c r="C62" s="2946"/>
      <c r="D62" s="2946"/>
      <c r="E62" s="2946"/>
      <c r="F62" s="2946"/>
      <c r="G62" s="2946"/>
      <c r="H62" s="2946"/>
      <c r="I62" s="2946"/>
      <c r="J62" s="2946"/>
      <c r="K62" s="2946"/>
      <c r="N62" s="3833"/>
      <c r="O62" s="3835"/>
      <c r="Q62" s="847"/>
      <c r="R62" s="945"/>
      <c r="Z62" s="2807" t="s">
        <v>6773</v>
      </c>
      <c r="AA62" s="1788">
        <v>62</v>
      </c>
    </row>
    <row r="63" spans="1:27" ht="13.35" customHeight="1">
      <c r="A63" s="409" t="s">
        <v>1121</v>
      </c>
      <c r="B63" s="2945">
        <f>+K31</f>
        <v>0</v>
      </c>
      <c r="C63" s="2945">
        <f t="shared" ref="C63:K63" si="26">+B63</f>
        <v>0</v>
      </c>
      <c r="D63" s="2945">
        <f t="shared" si="26"/>
        <v>0</v>
      </c>
      <c r="E63" s="2945">
        <f t="shared" si="26"/>
        <v>0</v>
      </c>
      <c r="F63" s="2945">
        <f t="shared" si="26"/>
        <v>0</v>
      </c>
      <c r="G63" s="2945">
        <f t="shared" si="26"/>
        <v>0</v>
      </c>
      <c r="H63" s="2945">
        <f t="shared" si="26"/>
        <v>0</v>
      </c>
      <c r="I63" s="2945">
        <f t="shared" si="26"/>
        <v>0</v>
      </c>
      <c r="J63" s="2945">
        <f t="shared" si="26"/>
        <v>0</v>
      </c>
      <c r="K63" s="2945">
        <f t="shared" si="26"/>
        <v>0</v>
      </c>
      <c r="N63" s="3833"/>
      <c r="O63" s="3835"/>
      <c r="Z63" s="2807" t="s">
        <v>6773</v>
      </c>
      <c r="AA63" s="1788">
        <v>63</v>
      </c>
    </row>
    <row r="64" spans="1:27" ht="13.35" customHeight="1">
      <c r="A64" s="409" t="s">
        <v>3508</v>
      </c>
      <c r="B64" s="2948">
        <f>IF('Part III-Sources of Funds'!$P$45="", 0,-'Part III-Sources of Funds'!$P$45)</f>
        <v>0</v>
      </c>
      <c r="C64" s="2948">
        <f>IF('Part III-Sources of Funds'!$P$45="", 0,-'Part III-Sources of Funds'!$P$45)</f>
        <v>0</v>
      </c>
      <c r="D64" s="2948">
        <f>IF('Part III-Sources of Funds'!$P$45="", 0,-'Part III-Sources of Funds'!$P$45)</f>
        <v>0</v>
      </c>
      <c r="E64" s="2948">
        <f>IF('Part III-Sources of Funds'!$P$45="", 0,-'Part III-Sources of Funds'!$P$45)</f>
        <v>0</v>
      </c>
      <c r="F64" s="2948">
        <f>IF('Part III-Sources of Funds'!$P$45="", 0,-'Part III-Sources of Funds'!$P$45)</f>
        <v>0</v>
      </c>
      <c r="G64" s="2948"/>
      <c r="H64" s="2948"/>
      <c r="I64" s="2948"/>
      <c r="J64" s="2948"/>
      <c r="K64" s="2948"/>
      <c r="N64" s="3833"/>
      <c r="O64" s="3835"/>
      <c r="Z64" s="2807" t="s">
        <v>6773</v>
      </c>
      <c r="AA64" s="1788">
        <v>64</v>
      </c>
    </row>
    <row r="65" spans="1:27" ht="13.35" customHeight="1">
      <c r="A65" s="21" t="s">
        <v>1122</v>
      </c>
      <c r="B65" s="22">
        <f t="shared" ref="B65:K65" si="27">SUM(B57:B64)</f>
        <v>38293.580134024218</v>
      </c>
      <c r="C65" s="22">
        <f t="shared" si="27"/>
        <v>36530.132496327467</v>
      </c>
      <c r="D65" s="22">
        <f t="shared" si="27"/>
        <v>34581.146865459697</v>
      </c>
      <c r="E65" s="22">
        <f t="shared" si="27"/>
        <v>32435.692010344428</v>
      </c>
      <c r="F65" s="22">
        <f t="shared" si="27"/>
        <v>30088.541861148187</v>
      </c>
      <c r="G65" s="22">
        <f t="shared" si="27"/>
        <v>27528.165526079611</v>
      </c>
      <c r="H65" s="22">
        <f t="shared" si="27"/>
        <v>24745.716985935418</v>
      </c>
      <c r="I65" s="22">
        <f t="shared" si="27"/>
        <v>21733.024456262225</v>
      </c>
      <c r="J65" s="22">
        <f t="shared" si="27"/>
        <v>18479.579406707591</v>
      </c>
      <c r="K65" s="566">
        <f t="shared" si="27"/>
        <v>14974.525226795391</v>
      </c>
      <c r="N65" s="3833"/>
      <c r="O65" s="3835"/>
      <c r="Z65" s="2807" t="s">
        <v>6773</v>
      </c>
      <c r="AA65" s="1788">
        <v>65</v>
      </c>
    </row>
    <row r="66" spans="1:27" ht="13.35" customHeight="1">
      <c r="A66" s="21" t="str">
        <f>$A34</f>
        <v>DCR Mortgage A</v>
      </c>
      <c r="B66" s="24">
        <f t="shared" ref="B66:K66" si="28">IF(B58=0,"",-B57/B58)</f>
        <v>1.3044090956536407</v>
      </c>
      <c r="C66" s="24">
        <f t="shared" si="28"/>
        <v>1.2903908320505764</v>
      </c>
      <c r="D66" s="24">
        <f t="shared" si="28"/>
        <v>1.2748976618832026</v>
      </c>
      <c r="E66" s="24">
        <f t="shared" si="28"/>
        <v>1.2578426889627923</v>
      </c>
      <c r="F66" s="24">
        <f t="shared" si="28"/>
        <v>1.2391843694277822</v>
      </c>
      <c r="G66" s="24">
        <f t="shared" si="28"/>
        <v>1.2188310401761591</v>
      </c>
      <c r="H66" s="24">
        <f t="shared" si="28"/>
        <v>1.1967123810995293</v>
      </c>
      <c r="I66" s="24">
        <f t="shared" si="28"/>
        <v>1.1727634318179381</v>
      </c>
      <c r="J66" s="24">
        <f t="shared" si="28"/>
        <v>1.1469006563389281</v>
      </c>
      <c r="K66" s="25">
        <f t="shared" si="28"/>
        <v>1.1190377516590895</v>
      </c>
      <c r="N66" s="3833"/>
      <c r="O66" s="3835"/>
      <c r="Z66" s="2807" t="s">
        <v>6773</v>
      </c>
      <c r="AA66" s="1788">
        <v>66</v>
      </c>
    </row>
    <row r="67" spans="1:27" ht="13.35" customHeight="1">
      <c r="A67" s="21" t="str">
        <f>$A35</f>
        <v>DCR Mortgage B</v>
      </c>
      <c r="B67" s="24" t="str">
        <f t="shared" ref="B67:K67" si="29">IF(B59=0,"",-(B57+B58)/B59)</f>
        <v/>
      </c>
      <c r="C67" s="24" t="str">
        <f t="shared" si="29"/>
        <v/>
      </c>
      <c r="D67" s="24" t="str">
        <f t="shared" si="29"/>
        <v/>
      </c>
      <c r="E67" s="24" t="str">
        <f t="shared" si="29"/>
        <v/>
      </c>
      <c r="F67" s="24" t="str">
        <f t="shared" si="29"/>
        <v/>
      </c>
      <c r="G67" s="24" t="str">
        <f t="shared" si="29"/>
        <v/>
      </c>
      <c r="H67" s="24" t="str">
        <f t="shared" si="29"/>
        <v/>
      </c>
      <c r="I67" s="24" t="str">
        <f t="shared" si="29"/>
        <v/>
      </c>
      <c r="J67" s="24" t="str">
        <f t="shared" si="29"/>
        <v/>
      </c>
      <c r="K67" s="25" t="str">
        <f t="shared" si="29"/>
        <v/>
      </c>
      <c r="N67" s="3833"/>
      <c r="O67" s="3835"/>
      <c r="Z67" s="2807" t="s">
        <v>6773</v>
      </c>
      <c r="AA67" s="1788">
        <v>67</v>
      </c>
    </row>
    <row r="68" spans="1:27" ht="13.35" customHeight="1">
      <c r="A68" s="21" t="str">
        <f>$A36</f>
        <v>DCR Mortgage C</v>
      </c>
      <c r="B68" s="24" t="str">
        <f t="shared" ref="B68:K68" si="30">IF(B60=0,"",-(B57+B58+B59)/B60)</f>
        <v/>
      </c>
      <c r="C68" s="24" t="str">
        <f t="shared" si="30"/>
        <v/>
      </c>
      <c r="D68" s="24" t="str">
        <f t="shared" si="30"/>
        <v/>
      </c>
      <c r="E68" s="24" t="str">
        <f t="shared" si="30"/>
        <v/>
      </c>
      <c r="F68" s="24" t="str">
        <f t="shared" si="30"/>
        <v/>
      </c>
      <c r="G68" s="24" t="str">
        <f t="shared" si="30"/>
        <v/>
      </c>
      <c r="H68" s="24" t="str">
        <f t="shared" si="30"/>
        <v/>
      </c>
      <c r="I68" s="24" t="str">
        <f t="shared" si="30"/>
        <v/>
      </c>
      <c r="J68" s="24" t="str">
        <f t="shared" si="30"/>
        <v/>
      </c>
      <c r="K68" s="25" t="str">
        <f t="shared" si="30"/>
        <v/>
      </c>
      <c r="N68" s="3833"/>
      <c r="O68" s="3835"/>
      <c r="Z68" s="2807" t="s">
        <v>6773</v>
      </c>
      <c r="AA68" s="1788">
        <v>68</v>
      </c>
    </row>
    <row r="69" spans="1:27" ht="13.35" customHeight="1">
      <c r="A69" s="21" t="str">
        <f>$A37</f>
        <v>DCR Other Source</v>
      </c>
      <c r="B69" s="24" t="str">
        <f t="shared" ref="B69:K69" si="31">IF(B61=0,"",-(B57+B58+B59+B60)/B61)</f>
        <v/>
      </c>
      <c r="C69" s="24" t="str">
        <f t="shared" si="31"/>
        <v/>
      </c>
      <c r="D69" s="24" t="str">
        <f t="shared" si="31"/>
        <v/>
      </c>
      <c r="E69" s="24" t="str">
        <f t="shared" si="31"/>
        <v/>
      </c>
      <c r="F69" s="24" t="str">
        <f t="shared" si="31"/>
        <v/>
      </c>
      <c r="G69" s="24" t="str">
        <f t="shared" si="31"/>
        <v/>
      </c>
      <c r="H69" s="24" t="str">
        <f t="shared" si="31"/>
        <v/>
      </c>
      <c r="I69" s="24" t="str">
        <f t="shared" si="31"/>
        <v/>
      </c>
      <c r="J69" s="24" t="str">
        <f t="shared" si="31"/>
        <v/>
      </c>
      <c r="K69" s="25" t="str">
        <f t="shared" si="31"/>
        <v/>
      </c>
      <c r="N69" s="3833"/>
      <c r="O69" s="3835"/>
      <c r="Z69" s="2807" t="s">
        <v>6773</v>
      </c>
      <c r="AA69" s="1787">
        <v>69</v>
      </c>
    </row>
    <row r="70" spans="1:27" ht="13.35" customHeight="1">
      <c r="A70" s="409" t="s">
        <v>3343</v>
      </c>
      <c r="B70" s="24">
        <f t="shared" ref="B70:K70" si="32">IF(AND(B58=0,B59=0,B60=0,B61=0),"",-B57/(B58+B59+B60+B61))</f>
        <v>1.3044090956536407</v>
      </c>
      <c r="C70" s="24">
        <f t="shared" si="32"/>
        <v>1.2903908320505764</v>
      </c>
      <c r="D70" s="24">
        <f t="shared" si="32"/>
        <v>1.2748976618832026</v>
      </c>
      <c r="E70" s="24">
        <f t="shared" si="32"/>
        <v>1.2578426889627923</v>
      </c>
      <c r="F70" s="24">
        <f t="shared" si="32"/>
        <v>1.2391843694277822</v>
      </c>
      <c r="G70" s="24">
        <f t="shared" si="32"/>
        <v>1.2188310401761591</v>
      </c>
      <c r="H70" s="24">
        <f t="shared" si="32"/>
        <v>1.1967123810995293</v>
      </c>
      <c r="I70" s="24">
        <f t="shared" si="32"/>
        <v>1.1727634318179381</v>
      </c>
      <c r="J70" s="24">
        <f t="shared" si="32"/>
        <v>1.1469006563389281</v>
      </c>
      <c r="K70" s="25">
        <f t="shared" si="32"/>
        <v>1.1190377516590895</v>
      </c>
      <c r="N70" s="3833"/>
      <c r="O70" s="3835"/>
      <c r="Z70" s="2807" t="s">
        <v>6773</v>
      </c>
      <c r="AA70" s="1788">
        <v>70</v>
      </c>
    </row>
    <row r="71" spans="1:27" ht="13.35" customHeight="1">
      <c r="A71" s="21" t="s">
        <v>740</v>
      </c>
      <c r="B71" s="263">
        <f t="shared" ref="B71:K71" si="33">IF(OR(B54="Choose mgt fee",B54="Choose One!"),"",(B47+B48+B49+B50+B51) / -(B53+B54+B55))</f>
        <v>1.2999052920640828</v>
      </c>
      <c r="C71" s="263">
        <f t="shared" si="33"/>
        <v>1.2882592505970474</v>
      </c>
      <c r="D71" s="263">
        <f t="shared" si="33"/>
        <v>1.2767113002565011</v>
      </c>
      <c r="E71" s="263">
        <f t="shared" si="33"/>
        <v>1.2652549045684529</v>
      </c>
      <c r="F71" s="263">
        <f t="shared" si="33"/>
        <v>1.253896652289034</v>
      </c>
      <c r="G71" s="263">
        <f t="shared" si="33"/>
        <v>1.2426303057398438</v>
      </c>
      <c r="H71" s="263">
        <f t="shared" si="33"/>
        <v>1.23145612470891</v>
      </c>
      <c r="I71" s="263">
        <f t="shared" si="33"/>
        <v>1.2203760899762099</v>
      </c>
      <c r="J71" s="263">
        <f t="shared" si="33"/>
        <v>1.2093883073418303</v>
      </c>
      <c r="K71" s="264">
        <f t="shared" si="33"/>
        <v>1.1984910726066567</v>
      </c>
      <c r="N71" s="3833"/>
      <c r="O71" s="3835"/>
      <c r="Z71" s="2807" t="s">
        <v>6773</v>
      </c>
      <c r="AA71" s="1788">
        <v>71</v>
      </c>
    </row>
    <row r="72" spans="1:27" ht="13.35" customHeight="1">
      <c r="A72" s="409" t="s">
        <v>2492</v>
      </c>
      <c r="B72" s="2949">
        <f>IF('Part III-Sources of Funds'!$I$40="","",-FV('Part III-Sources of Funds'!$K$40/12,12,B58/12,K40))</f>
        <v>1714582.343221568</v>
      </c>
      <c r="C72" s="2949">
        <f>IF('Part III-Sources of Funds'!$I$40="","",-FV('Part III-Sources of Funds'!$K$40/12,12,C58/12,B72))</f>
        <v>1677927.8201014523</v>
      </c>
      <c r="D72" s="2949">
        <f>IF('Part III-Sources of Funds'!$I$40="","",-FV('Part III-Sources of Funds'!$K$40/12,12,D58/12,C72))</f>
        <v>1639301.9475708413</v>
      </c>
      <c r="E72" s="2949">
        <f>IF('Part III-Sources of Funds'!$I$40="","",-FV('Part III-Sources of Funds'!$K$40/12,12,E58/12,D72))</f>
        <v>1598598.7027390397</v>
      </c>
      <c r="F72" s="2949">
        <f>IF('Part III-Sources of Funds'!$I$40="","",-FV('Part III-Sources of Funds'!$K$40/12,12,F58/12,E72))</f>
        <v>1555706.3606042538</v>
      </c>
      <c r="G72" s="2949">
        <f>IF('Part III-Sources of Funds'!$I$40="","",-FV('Part III-Sources of Funds'!$K$40/12,12,G58/12,F72))</f>
        <v>1510507.1873832995</v>
      </c>
      <c r="H72" s="2949">
        <f>IF('Part III-Sources of Funds'!$I$40="","",-FV('Part III-Sources of Funds'!$K$40/12,12,H58/12,G72))</f>
        <v>1462877.1173480006</v>
      </c>
      <c r="I72" s="2949">
        <f>IF('Part III-Sources of Funds'!$I$40="","",-FV('Part III-Sources of Funds'!$K$40/12,12,I58/12,H72))</f>
        <v>1412685.4122812424</v>
      </c>
      <c r="J72" s="2949">
        <f>IF('Part III-Sources of Funds'!$I$40="","",-FV('Part III-Sources of Funds'!$K$40/12,12,J58/12,I72))</f>
        <v>1359794.3026179257</v>
      </c>
      <c r="K72" s="2949">
        <f>IF('Part III-Sources of Funds'!$I$40="","",-FV('Part III-Sources of Funds'!$K$40/12,12,K58/12,J72))</f>
        <v>1304058.6092858065</v>
      </c>
      <c r="N72" s="3833"/>
      <c r="O72" s="3835"/>
      <c r="Z72" s="2807" t="s">
        <v>6773</v>
      </c>
      <c r="AA72" s="1788">
        <v>72</v>
      </c>
    </row>
    <row r="73" spans="1:27" ht="13.35" customHeight="1">
      <c r="A73" s="409" t="s">
        <v>2493</v>
      </c>
      <c r="B73" s="2945" t="str">
        <f>IF('Part III-Sources of Funds'!$I$41="","",-FV('Part III-Sources of Funds'!$K$41/12,12,B59/12,K41))</f>
        <v/>
      </c>
      <c r="C73" s="2945" t="str">
        <f>IF('Part III-Sources of Funds'!$I$41="","",-FV('Part III-Sources of Funds'!$K$41/12,12,C59/12,B73))</f>
        <v/>
      </c>
      <c r="D73" s="2945" t="str">
        <f>IF('Part III-Sources of Funds'!$I$41="","",-FV('Part III-Sources of Funds'!$K$41/12,12,D59/12,C73))</f>
        <v/>
      </c>
      <c r="E73" s="2945" t="str">
        <f>IF('Part III-Sources of Funds'!$I$41="","",-FV('Part III-Sources of Funds'!$K$41/12,12,E59/12,D73))</f>
        <v/>
      </c>
      <c r="F73" s="2945" t="str">
        <f>IF('Part III-Sources of Funds'!$I$41="","",-FV('Part III-Sources of Funds'!$K$41/12,12,F59/12,E73))</f>
        <v/>
      </c>
      <c r="G73" s="2945" t="str">
        <f>IF('Part III-Sources of Funds'!$I$41="","",-FV('Part III-Sources of Funds'!$K$41/12,12,G59/12,F73))</f>
        <v/>
      </c>
      <c r="H73" s="2945" t="str">
        <f>IF('Part III-Sources of Funds'!$I$41="","",-FV('Part III-Sources of Funds'!$K$41/12,12,H59/12,G73))</f>
        <v/>
      </c>
      <c r="I73" s="2945" t="str">
        <f>IF('Part III-Sources of Funds'!$I$41="","",-FV('Part III-Sources of Funds'!$K$41/12,12,I59/12,H73))</f>
        <v/>
      </c>
      <c r="J73" s="2945" t="str">
        <f>IF('Part III-Sources of Funds'!$I$41="","",-FV('Part III-Sources of Funds'!$K$41/12,12,J59/12,I73))</f>
        <v/>
      </c>
      <c r="K73" s="2945" t="str">
        <f>IF('Part III-Sources of Funds'!$I$41="","",-FV('Part III-Sources of Funds'!$K$41/12,12,K59/12,J73))</f>
        <v/>
      </c>
      <c r="N73" s="3833"/>
      <c r="O73" s="3835"/>
      <c r="Z73" s="2807" t="s">
        <v>6773</v>
      </c>
      <c r="AA73" s="1788">
        <v>73</v>
      </c>
    </row>
    <row r="74" spans="1:27" ht="13.35" customHeight="1">
      <c r="A74" s="409" t="s">
        <v>2494</v>
      </c>
      <c r="B74" s="2945" t="str">
        <f>IF('Part III-Sources of Funds'!$I$42="","",-FV('Part III-Sources of Funds'!$K$42/12,12,B60/12,K42))</f>
        <v/>
      </c>
      <c r="C74" s="2945" t="str">
        <f>IF('Part III-Sources of Funds'!$I$42="","",-FV('Part III-Sources of Funds'!$K$42/12,12,C60/12,B74))</f>
        <v/>
      </c>
      <c r="D74" s="2945" t="str">
        <f>IF('Part III-Sources of Funds'!$I$42="","",-FV('Part III-Sources of Funds'!$K$42/12,12,D60/12,C74))</f>
        <v/>
      </c>
      <c r="E74" s="2945" t="str">
        <f>IF('Part III-Sources of Funds'!$I$42="","",-FV('Part III-Sources of Funds'!$K$42/12,12,E60/12,D74))</f>
        <v/>
      </c>
      <c r="F74" s="2945" t="str">
        <f>IF('Part III-Sources of Funds'!$I$42="","",-FV('Part III-Sources of Funds'!$K$42/12,12,F60/12,E74))</f>
        <v/>
      </c>
      <c r="G74" s="2945" t="str">
        <f>IF('Part III-Sources of Funds'!$I$42="","",-FV('Part III-Sources of Funds'!$K$42/12,12,G60/12,F74))</f>
        <v/>
      </c>
      <c r="H74" s="2945" t="str">
        <f>IF('Part III-Sources of Funds'!$I$42="","",-FV('Part III-Sources of Funds'!$K$42/12,12,H60/12,G74))</f>
        <v/>
      </c>
      <c r="I74" s="2945" t="str">
        <f>IF('Part III-Sources of Funds'!$I$42="","",-FV('Part III-Sources of Funds'!$K$42/12,12,I60/12,H74))</f>
        <v/>
      </c>
      <c r="J74" s="2945" t="str">
        <f>IF('Part III-Sources of Funds'!$I$42="","",-FV('Part III-Sources of Funds'!$K$42/12,12,J60/12,I74))</f>
        <v/>
      </c>
      <c r="K74" s="2945" t="str">
        <f>IF('Part III-Sources of Funds'!$I$42="","",-FV('Part III-Sources of Funds'!$K$42/12,12,K60/12,J74))</f>
        <v/>
      </c>
      <c r="N74" s="3833"/>
      <c r="O74" s="3835"/>
      <c r="Z74" s="2807" t="s">
        <v>6773</v>
      </c>
      <c r="AA74" s="1787">
        <v>74</v>
      </c>
    </row>
    <row r="75" spans="1:27" ht="13.35" customHeight="1">
      <c r="A75" s="21" t="s">
        <v>752</v>
      </c>
      <c r="B75" s="2945" t="str">
        <f>IF('Part III-Sources of Funds'!$I$43="","",-FV('Part III-Sources of Funds'!$K$43/12,12,B61/12,K43))</f>
        <v/>
      </c>
      <c r="C75" s="2945" t="str">
        <f>IF('Part III-Sources of Funds'!$I$43="","",-FV('Part III-Sources of Funds'!$K$43/12,12,C61/12,B75))</f>
        <v/>
      </c>
      <c r="D75" s="2945" t="str">
        <f>IF('Part III-Sources of Funds'!$I$43="","",-FV('Part III-Sources of Funds'!$K$43/12,12,D61/12,C75))</f>
        <v/>
      </c>
      <c r="E75" s="2945" t="str">
        <f>IF('Part III-Sources of Funds'!$I$43="","",-FV('Part III-Sources of Funds'!$K$43/12,12,E61/12,D75))</f>
        <v/>
      </c>
      <c r="F75" s="2945" t="str">
        <f>IF('Part III-Sources of Funds'!$I$43="","",-FV('Part III-Sources of Funds'!$K$43/12,12,F61/12,E75))</f>
        <v/>
      </c>
      <c r="G75" s="2945" t="str">
        <f>IF('Part III-Sources of Funds'!$I$43="","",-FV('Part III-Sources of Funds'!$K$43/12,12,G61/12,F75))</f>
        <v/>
      </c>
      <c r="H75" s="2945" t="str">
        <f>IF('Part III-Sources of Funds'!$I$43="","",-FV('Part III-Sources of Funds'!$K$43/12,12,H61/12,G75))</f>
        <v/>
      </c>
      <c r="I75" s="2945" t="str">
        <f>IF('Part III-Sources of Funds'!$I$43="","",-FV('Part III-Sources of Funds'!$K$43/12,12,I61/12,H75))</f>
        <v/>
      </c>
      <c r="J75" s="2945" t="str">
        <f>IF('Part III-Sources of Funds'!$I$43="","",-FV('Part III-Sources of Funds'!$K$43/12,12,J61/12,I75))</f>
        <v/>
      </c>
      <c r="K75" s="2945" t="str">
        <f>IF('Part III-Sources of Funds'!$I$43="","",-FV('Part III-Sources of Funds'!$K$43/12,12,K61/12,J75))</f>
        <v/>
      </c>
      <c r="N75" s="3833"/>
      <c r="O75" s="3835"/>
      <c r="Z75" s="2807" t="s">
        <v>6773</v>
      </c>
      <c r="AA75" s="1788">
        <v>75</v>
      </c>
    </row>
    <row r="76" spans="1:27" ht="13.35" customHeight="1">
      <c r="A76" s="409" t="s">
        <v>3509</v>
      </c>
      <c r="B76" s="2948">
        <f>IF('Part III-Sources of Funds'!$I$45="","",IF(-FV('Part III-Sources of Funds'!$K$45/12,12,B64/12,K44)&gt;0,-FV('Part III-Sources of Funds'!$K$45/12,12,B64/12,K44),0))</f>
        <v>0</v>
      </c>
      <c r="C76" s="2948">
        <f>IF('Part III-Sources of Funds'!$I$45="","",IF(-FV('Part III-Sources of Funds'!$K$45/12,12,C64/12,B76)&gt;0,-FV('Part III-Sources of Funds'!$K$45/12,12,C64/12,B76),0))</f>
        <v>0</v>
      </c>
      <c r="D76" s="2948">
        <f>IF('Part III-Sources of Funds'!$I$45="","",IF(-FV('Part III-Sources of Funds'!$K$45/12,12,D64/12,C76)&gt;0,-FV('Part III-Sources of Funds'!$K$45/12,12,D64/12,C76),0))</f>
        <v>0</v>
      </c>
      <c r="E76" s="2948">
        <f>IF('Part III-Sources of Funds'!$I$45="","",IF(-FV('Part III-Sources of Funds'!$K$45/12,12,E64/12,D76)&gt;0,-FV('Part III-Sources of Funds'!$K$45/12,12,E64/12,D76),0))</f>
        <v>0</v>
      </c>
      <c r="F76" s="2948">
        <f>IF('Part III-Sources of Funds'!$I$45="","",IF(-FV('Part III-Sources of Funds'!$K$45/12,12,F64/12,E76)&gt;0,-FV('Part III-Sources of Funds'!$K$45/12,12,F64/12,E76),0))</f>
        <v>0</v>
      </c>
      <c r="G76" s="2948">
        <f>IF('Part III-Sources of Funds'!$I$45="","",IF(-FV('Part III-Sources of Funds'!$K$45/12,12,G64/12,F76)&gt;0,-FV('Part III-Sources of Funds'!$K$45/12,12,G64/12,F76),0))</f>
        <v>0</v>
      </c>
      <c r="H76" s="2948" t="str">
        <f>IF('Part III-Sources of Funds'!$I$43="","",-FV('Part III-Sources of Funds'!$K$43/12,12,H62/12,G76))</f>
        <v/>
      </c>
      <c r="I76" s="2948" t="str">
        <f>IF('Part III-Sources of Funds'!$I$43="","",-FV('Part III-Sources of Funds'!$K$43/12,12,I62/12,H76))</f>
        <v/>
      </c>
      <c r="J76" s="2948" t="str">
        <f>IF('Part III-Sources of Funds'!$I$43="","",-FV('Part III-Sources of Funds'!$K$43/12,12,J62/12,I76))</f>
        <v/>
      </c>
      <c r="K76" s="2948" t="str">
        <f>IF('Part III-Sources of Funds'!$I$43="","",-FV('Part III-Sources of Funds'!$K$43/12,12,K62/12,J76))</f>
        <v/>
      </c>
      <c r="N76" s="3839"/>
      <c r="O76" s="3841"/>
      <c r="Z76" s="2807" t="s">
        <v>6773</v>
      </c>
      <c r="AA76" s="1788">
        <v>76</v>
      </c>
    </row>
    <row r="77" spans="1:27" ht="4.3499999999999996" customHeight="1">
      <c r="B77" s="17"/>
      <c r="C77" s="17"/>
      <c r="D77" s="17"/>
      <c r="E77" s="17"/>
      <c r="F77" s="17"/>
      <c r="G77" s="17"/>
      <c r="H77" s="17"/>
      <c r="I77" s="17"/>
      <c r="J77" s="17"/>
      <c r="K77" s="17"/>
      <c r="AA77" s="1788">
        <v>77</v>
      </c>
    </row>
    <row r="78" spans="1:27" ht="14.45" customHeight="1">
      <c r="A78" s="13" t="s">
        <v>2367</v>
      </c>
      <c r="B78" s="15">
        <f>K46+1</f>
        <v>21</v>
      </c>
      <c r="C78" s="15">
        <f t="shared" ref="C78:K78" si="34">B78+1</f>
        <v>22</v>
      </c>
      <c r="D78" s="15">
        <f t="shared" si="34"/>
        <v>23</v>
      </c>
      <c r="E78" s="15">
        <f t="shared" si="34"/>
        <v>24</v>
      </c>
      <c r="F78" s="15">
        <f t="shared" si="34"/>
        <v>25</v>
      </c>
      <c r="G78" s="15">
        <f t="shared" si="34"/>
        <v>26</v>
      </c>
      <c r="H78" s="15">
        <f t="shared" si="34"/>
        <v>27</v>
      </c>
      <c r="I78" s="15">
        <f t="shared" si="34"/>
        <v>28</v>
      </c>
      <c r="J78" s="15">
        <f t="shared" si="34"/>
        <v>29</v>
      </c>
      <c r="K78" s="15">
        <f t="shared" si="34"/>
        <v>30</v>
      </c>
      <c r="N78" s="3530" t="s">
        <v>2497</v>
      </c>
      <c r="O78" s="3530"/>
      <c r="AA78" s="1788">
        <v>78</v>
      </c>
    </row>
    <row r="79" spans="1:27" ht="13.35" customHeight="1">
      <c r="A79" s="18" t="s">
        <v>2293</v>
      </c>
      <c r="B79" s="19">
        <f t="shared" ref="B79:K79" si="35">$B$15*(1+$B$6)^(B78-1)</f>
        <v>914018.13084545347</v>
      </c>
      <c r="C79" s="19">
        <f t="shared" si="35"/>
        <v>932298.49346236256</v>
      </c>
      <c r="D79" s="19">
        <f t="shared" si="35"/>
        <v>950944.46333160985</v>
      </c>
      <c r="E79" s="19">
        <f t="shared" si="35"/>
        <v>969963.35259824188</v>
      </c>
      <c r="F79" s="19">
        <f t="shared" si="35"/>
        <v>989362.61965020676</v>
      </c>
      <c r="G79" s="19">
        <f t="shared" si="35"/>
        <v>1009149.8720432109</v>
      </c>
      <c r="H79" s="19">
        <f t="shared" si="35"/>
        <v>1029332.8694840752</v>
      </c>
      <c r="I79" s="19">
        <f t="shared" si="35"/>
        <v>1049919.5268737564</v>
      </c>
      <c r="J79" s="19">
        <f t="shared" si="35"/>
        <v>1070917.9174112319</v>
      </c>
      <c r="K79" s="20">
        <f t="shared" si="35"/>
        <v>1092336.2757594562</v>
      </c>
      <c r="N79" s="3854"/>
      <c r="O79" s="3856"/>
      <c r="Z79" s="2807" t="s">
        <v>6774</v>
      </c>
      <c r="AA79" s="1788">
        <v>79</v>
      </c>
    </row>
    <row r="80" spans="1:27" ht="13.35" customHeight="1">
      <c r="A80" s="21" t="s">
        <v>977</v>
      </c>
      <c r="B80" s="22">
        <f t="shared" ref="B80:K80" si="36">$B$16*(1+$B$6)^(B78-1)</f>
        <v>18280.362616909071</v>
      </c>
      <c r="C80" s="22">
        <f t="shared" si="36"/>
        <v>18645.969869247248</v>
      </c>
      <c r="D80" s="22">
        <f t="shared" si="36"/>
        <v>19018.889266632195</v>
      </c>
      <c r="E80" s="22">
        <f t="shared" si="36"/>
        <v>19399.267051964838</v>
      </c>
      <c r="F80" s="22">
        <f t="shared" si="36"/>
        <v>19787.252393004135</v>
      </c>
      <c r="G80" s="22">
        <f t="shared" si="36"/>
        <v>20182.997440864216</v>
      </c>
      <c r="H80" s="22">
        <f t="shared" si="36"/>
        <v>20586.657389681503</v>
      </c>
      <c r="I80" s="22">
        <f t="shared" si="36"/>
        <v>20998.39053747513</v>
      </c>
      <c r="J80" s="22">
        <f t="shared" si="36"/>
        <v>21418.358348224636</v>
      </c>
      <c r="K80" s="23">
        <f t="shared" si="36"/>
        <v>21846.725515189126</v>
      </c>
      <c r="N80" s="3833"/>
      <c r="O80" s="3835"/>
      <c r="Z80" s="2807" t="s">
        <v>6774</v>
      </c>
      <c r="AA80" s="1788">
        <v>80</v>
      </c>
    </row>
    <row r="81" spans="1:27" ht="13.35" customHeight="1">
      <c r="A81" s="21" t="s">
        <v>2294</v>
      </c>
      <c r="B81" s="22">
        <f t="shared" ref="B81:K81" si="37">-(B79+B80)*$B$9</f>
        <v>-65260.894542365386</v>
      </c>
      <c r="C81" s="22">
        <f t="shared" si="37"/>
        <v>-66566.112433212693</v>
      </c>
      <c r="D81" s="22">
        <f t="shared" si="37"/>
        <v>-67897.434681876941</v>
      </c>
      <c r="E81" s="22">
        <f t="shared" si="37"/>
        <v>-69255.383375514473</v>
      </c>
      <c r="F81" s="22">
        <f t="shared" si="37"/>
        <v>-70640.491043024769</v>
      </c>
      <c r="G81" s="22">
        <f t="shared" si="37"/>
        <v>-72053.300863885263</v>
      </c>
      <c r="H81" s="22">
        <f t="shared" si="37"/>
        <v>-73494.366881162976</v>
      </c>
      <c r="I81" s="22">
        <f t="shared" si="37"/>
        <v>-74964.254218786227</v>
      </c>
      <c r="J81" s="22">
        <f t="shared" si="37"/>
        <v>-76463.539303161961</v>
      </c>
      <c r="K81" s="23">
        <f t="shared" si="37"/>
        <v>-77992.810089225182</v>
      </c>
      <c r="N81" s="3833"/>
      <c r="O81" s="3835"/>
      <c r="Z81" s="2807" t="s">
        <v>6774</v>
      </c>
      <c r="AA81" s="1788">
        <v>81</v>
      </c>
    </row>
    <row r="82" spans="1:27" ht="13.35" customHeight="1">
      <c r="A82" s="21" t="s">
        <v>47</v>
      </c>
      <c r="B82" s="22">
        <f>'Part VI-Revenues &amp; Expenses'!H200</f>
        <v>0</v>
      </c>
      <c r="C82" s="22">
        <f>'Part VI-Revenues &amp; Expenses'!I200</f>
        <v>0</v>
      </c>
      <c r="D82" s="22">
        <f>'Part VI-Revenues &amp; Expenses'!J200</f>
        <v>0</v>
      </c>
      <c r="E82" s="22">
        <f>'Part VI-Revenues &amp; Expenses'!K200</f>
        <v>0</v>
      </c>
      <c r="F82" s="22">
        <f>'Part VI-Revenues &amp; Expenses'!L200</f>
        <v>0</v>
      </c>
      <c r="G82" s="22">
        <f>'Part VI-Revenues &amp; Expenses'!M200</f>
        <v>0</v>
      </c>
      <c r="H82" s="22">
        <f>'Part VI-Revenues &amp; Expenses'!N200</f>
        <v>0</v>
      </c>
      <c r="I82" s="22">
        <f>'Part VI-Revenues &amp; Expenses'!O200</f>
        <v>0</v>
      </c>
      <c r="J82" s="22">
        <f>'Part VI-Revenues &amp; Expenses'!P200</f>
        <v>0</v>
      </c>
      <c r="K82" s="23">
        <f>'Part VI-Revenues &amp; Expenses'!Q200</f>
        <v>0</v>
      </c>
      <c r="N82" s="3833"/>
      <c r="O82" s="3835"/>
      <c r="Z82" s="2807" t="s">
        <v>6774</v>
      </c>
      <c r="AA82" s="1788">
        <v>82</v>
      </c>
    </row>
    <row r="83" spans="1:27" ht="13.35" customHeight="1">
      <c r="A83" s="21" t="s">
        <v>48</v>
      </c>
      <c r="B83" s="22">
        <f>'Part VI-Revenues &amp; Expenses'!H204</f>
        <v>0</v>
      </c>
      <c r="C83" s="22">
        <f>'Part VI-Revenues &amp; Expenses'!I204</f>
        <v>0</v>
      </c>
      <c r="D83" s="22">
        <f>'Part VI-Revenues &amp; Expenses'!J204</f>
        <v>0</v>
      </c>
      <c r="E83" s="22">
        <f>'Part VI-Revenues &amp; Expenses'!K204</f>
        <v>0</v>
      </c>
      <c r="F83" s="22">
        <f>'Part VI-Revenues &amp; Expenses'!L204</f>
        <v>0</v>
      </c>
      <c r="G83" s="22">
        <f>'Part VI-Revenues &amp; Expenses'!M204</f>
        <v>0</v>
      </c>
      <c r="H83" s="22">
        <f>'Part VI-Revenues &amp; Expenses'!N204</f>
        <v>0</v>
      </c>
      <c r="I83" s="22">
        <f>'Part VI-Revenues &amp; Expenses'!O204</f>
        <v>0</v>
      </c>
      <c r="J83" s="22">
        <f>'Part VI-Revenues &amp; Expenses'!P204</f>
        <v>0</v>
      </c>
      <c r="K83" s="23">
        <f>'Part VI-Revenues &amp; Expenses'!Q204</f>
        <v>0</v>
      </c>
      <c r="N83" s="3833"/>
      <c r="O83" s="3835"/>
      <c r="Z83" s="2807" t="s">
        <v>6774</v>
      </c>
      <c r="AA83" s="1787">
        <v>83</v>
      </c>
    </row>
    <row r="84" spans="1:27" ht="13.35" customHeight="1">
      <c r="A84" s="409" t="s">
        <v>4013</v>
      </c>
      <c r="B84" s="22">
        <f t="shared" ref="B84:K84" si="38">SUM(B79:B83)</f>
        <v>867037.59891999722</v>
      </c>
      <c r="C84" s="22">
        <f t="shared" si="38"/>
        <v>884378.35089839716</v>
      </c>
      <c r="D84" s="22">
        <f t="shared" si="38"/>
        <v>902065.91791636508</v>
      </c>
      <c r="E84" s="22">
        <f t="shared" si="38"/>
        <v>920107.23627469223</v>
      </c>
      <c r="F84" s="22">
        <f t="shared" si="38"/>
        <v>938509.38100018608</v>
      </c>
      <c r="G84" s="22">
        <f t="shared" si="38"/>
        <v>957279.56862018979</v>
      </c>
      <c r="H84" s="22">
        <f t="shared" si="38"/>
        <v>976425.15999259369</v>
      </c>
      <c r="I84" s="22">
        <f t="shared" si="38"/>
        <v>995953.66319244541</v>
      </c>
      <c r="J84" s="22">
        <f t="shared" si="38"/>
        <v>1015872.7364562945</v>
      </c>
      <c r="K84" s="23">
        <f t="shared" si="38"/>
        <v>1036190.1911854201</v>
      </c>
      <c r="N84" s="3833"/>
      <c r="O84" s="3835"/>
      <c r="Z84" s="2807" t="s">
        <v>6774</v>
      </c>
      <c r="AA84" s="1788">
        <v>84</v>
      </c>
    </row>
    <row r="85" spans="1:27" ht="13.35" customHeight="1">
      <c r="A85" s="21" t="s">
        <v>585</v>
      </c>
      <c r="B85" s="22">
        <f t="shared" ref="B85:K85" si="39">$B$21*(1+$B$7)^(B78-1)</f>
        <v>-645491.5124922056</v>
      </c>
      <c r="C85" s="22">
        <f t="shared" si="39"/>
        <v>-664856.25786697166</v>
      </c>
      <c r="D85" s="22">
        <f t="shared" si="39"/>
        <v>-684801.94560298091</v>
      </c>
      <c r="E85" s="22">
        <f t="shared" si="39"/>
        <v>-705346.0039710704</v>
      </c>
      <c r="F85" s="22">
        <f t="shared" si="39"/>
        <v>-726506.38409020239</v>
      </c>
      <c r="G85" s="22">
        <f t="shared" si="39"/>
        <v>-748301.57561290846</v>
      </c>
      <c r="H85" s="22">
        <f t="shared" si="39"/>
        <v>-770750.62288129586</v>
      </c>
      <c r="I85" s="22">
        <f t="shared" si="39"/>
        <v>-793873.14156773454</v>
      </c>
      <c r="J85" s="22">
        <f t="shared" si="39"/>
        <v>-817689.33581476659</v>
      </c>
      <c r="K85" s="23">
        <f t="shared" si="39"/>
        <v>-842220.01588920958</v>
      </c>
      <c r="N85" s="3833"/>
      <c r="O85" s="3835"/>
      <c r="Z85" s="2807" t="s">
        <v>6774</v>
      </c>
      <c r="AA85" s="1788">
        <v>85</v>
      </c>
    </row>
    <row r="86" spans="1:27" ht="13.35" customHeight="1">
      <c r="A86" s="21" t="s">
        <v>1075</v>
      </c>
      <c r="B86" s="22">
        <f>IF(AND('Part VII-Pro Forma'!$G$9="Yes",'Part VII-Pro Forma'!$G$10="Yes"),"Choose One!",IF('Part VII-Pro Forma'!$G$9="Yes",ROUND((-$K$9*(1+'Part VII-Pro Forma'!$B$7)^('Part VII-Pro Forma'!B78-1)),),IF('Part VII-Pro Forma'!$G$10="Yes",ROUND((-(SUM(B79:B82)*'Part VII-Pro Forma'!$K$10)),),"Choose mgt fee")))</f>
        <v>-52022</v>
      </c>
      <c r="C86" s="22">
        <f>IF(AND('Part VII-Pro Forma'!$G$9="Yes",'Part VII-Pro Forma'!$G$10="Yes"),"Choose One!",IF('Part VII-Pro Forma'!$G$9="Yes",ROUND((-$K$9*(1+'Part VII-Pro Forma'!$B$7)^('Part VII-Pro Forma'!C78-1)),),IF('Part VII-Pro Forma'!$G$10="Yes",ROUND((-(SUM(C79:C82)*'Part VII-Pro Forma'!$K$10)),),"Choose mgt fee")))</f>
        <v>-53063</v>
      </c>
      <c r="D86" s="22">
        <f>IF(AND('Part VII-Pro Forma'!$G$9="Yes",'Part VII-Pro Forma'!$G$10="Yes"),"Choose One!",IF('Part VII-Pro Forma'!$G$9="Yes",ROUND((-$K$9*(1+'Part VII-Pro Forma'!$B$7)^('Part VII-Pro Forma'!D78-1)),),IF('Part VII-Pro Forma'!$G$10="Yes",ROUND((-(SUM(D79:D82)*'Part VII-Pro Forma'!$K$10)),),"Choose mgt fee")))</f>
        <v>-54124</v>
      </c>
      <c r="E86" s="22">
        <f>IF(AND('Part VII-Pro Forma'!$G$9="Yes",'Part VII-Pro Forma'!$G$10="Yes"),"Choose One!",IF('Part VII-Pro Forma'!$G$9="Yes",ROUND((-$K$9*(1+'Part VII-Pro Forma'!$B$7)^('Part VII-Pro Forma'!E78-1)),),IF('Part VII-Pro Forma'!$G$10="Yes",ROUND((-(SUM(E79:E82)*'Part VII-Pro Forma'!$K$10)),),"Choose mgt fee")))</f>
        <v>-55206</v>
      </c>
      <c r="F86" s="22">
        <f>IF(AND('Part VII-Pro Forma'!$G$9="Yes",'Part VII-Pro Forma'!$G$10="Yes"),"Choose One!",IF('Part VII-Pro Forma'!$G$9="Yes",ROUND((-$K$9*(1+'Part VII-Pro Forma'!$B$7)^('Part VII-Pro Forma'!F78-1)),),IF('Part VII-Pro Forma'!$G$10="Yes",ROUND((-(SUM(F79:F82)*'Part VII-Pro Forma'!$K$10)),),"Choose mgt fee")))</f>
        <v>-56311</v>
      </c>
      <c r="G86" s="22">
        <f>IF(AND('Part VII-Pro Forma'!$G$9="Yes",'Part VII-Pro Forma'!$G$10="Yes"),"Choose One!",IF('Part VII-Pro Forma'!$G$9="Yes",ROUND((-$K$9*(1+'Part VII-Pro Forma'!$B$7)^('Part VII-Pro Forma'!G78-1)),),IF('Part VII-Pro Forma'!$G$10="Yes",ROUND((-(SUM(G79:G82)*'Part VII-Pro Forma'!$K$10)),),"Choose mgt fee")))</f>
        <v>-57437</v>
      </c>
      <c r="H86" s="22">
        <f>IF(AND('Part VII-Pro Forma'!$G$9="Yes",'Part VII-Pro Forma'!$G$10="Yes"),"Choose One!",IF('Part VII-Pro Forma'!$G$9="Yes",ROUND((-$K$9*(1+'Part VII-Pro Forma'!$B$7)^('Part VII-Pro Forma'!H78-1)),),IF('Part VII-Pro Forma'!$G$10="Yes",ROUND((-(SUM(H79:H82)*'Part VII-Pro Forma'!$K$10)),),"Choose mgt fee")))</f>
        <v>-58586</v>
      </c>
      <c r="I86" s="22">
        <f>IF(AND('Part VII-Pro Forma'!$G$9="Yes",'Part VII-Pro Forma'!$G$10="Yes"),"Choose One!",IF('Part VII-Pro Forma'!$G$9="Yes",ROUND((-$K$9*(1+'Part VII-Pro Forma'!$B$7)^('Part VII-Pro Forma'!I78-1)),),IF('Part VII-Pro Forma'!$G$10="Yes",ROUND((-(SUM(I79:I82)*'Part VII-Pro Forma'!$K$10)),),"Choose mgt fee")))</f>
        <v>-59757</v>
      </c>
      <c r="J86" s="22">
        <f>IF(AND('Part VII-Pro Forma'!$G$9="Yes",'Part VII-Pro Forma'!$G$10="Yes"),"Choose One!",IF('Part VII-Pro Forma'!$G$9="Yes",ROUND((-$K$9*(1+'Part VII-Pro Forma'!$B$7)^('Part VII-Pro Forma'!J78-1)),),IF('Part VII-Pro Forma'!$G$10="Yes",ROUND((-(SUM(J79:J82)*'Part VII-Pro Forma'!$K$10)),),"Choose mgt fee")))</f>
        <v>-60952</v>
      </c>
      <c r="K86" s="23">
        <f>IF(AND('Part VII-Pro Forma'!$G$9="Yes",'Part VII-Pro Forma'!$G$10="Yes"),"Choose One!",IF('Part VII-Pro Forma'!$G$9="Yes",ROUND((-$K$9*(1+'Part VII-Pro Forma'!$B$7)^('Part VII-Pro Forma'!K78-1)),),IF('Part VII-Pro Forma'!$G$10="Yes",ROUND((-(SUM(K79:K82)*'Part VII-Pro Forma'!$K$10)),),"Choose mgt fee")))</f>
        <v>-62171</v>
      </c>
      <c r="N86" s="3833"/>
      <c r="O86" s="3835"/>
      <c r="Z86" s="2807" t="s">
        <v>6774</v>
      </c>
      <c r="AA86" s="1788">
        <v>86</v>
      </c>
    </row>
    <row r="87" spans="1:27" ht="13.35" customHeight="1">
      <c r="A87" s="21" t="s">
        <v>1156</v>
      </c>
      <c r="B87" s="22">
        <f t="shared" ref="B87:K87" si="40">$B$23*(1+$B$8)^(B78-1)</f>
        <v>-32510.00222404944</v>
      </c>
      <c r="C87" s="22">
        <f t="shared" si="40"/>
        <v>-33485.302290770916</v>
      </c>
      <c r="D87" s="22">
        <f t="shared" si="40"/>
        <v>-34489.861359494047</v>
      </c>
      <c r="E87" s="22">
        <f t="shared" si="40"/>
        <v>-35524.557200278869</v>
      </c>
      <c r="F87" s="22">
        <f t="shared" si="40"/>
        <v>-36590.293916287235</v>
      </c>
      <c r="G87" s="22">
        <f t="shared" si="40"/>
        <v>-37688.002733775851</v>
      </c>
      <c r="H87" s="22">
        <f t="shared" si="40"/>
        <v>-38818.642815789128</v>
      </c>
      <c r="I87" s="22">
        <f t="shared" si="40"/>
        <v>-39983.202100262803</v>
      </c>
      <c r="J87" s="22">
        <f t="shared" si="40"/>
        <v>-41182.698163270681</v>
      </c>
      <c r="K87" s="23">
        <f t="shared" si="40"/>
        <v>-42418.179108168799</v>
      </c>
      <c r="N87" s="3833"/>
      <c r="O87" s="3835"/>
      <c r="Q87" s="847">
        <v>10</v>
      </c>
      <c r="R87" s="945">
        <f>-SUM(B93:K93)</f>
        <v>0</v>
      </c>
      <c r="S87" s="945">
        <f>SUM(B94:K94)+R87</f>
        <v>0</v>
      </c>
      <c r="Z87" s="2807" t="s">
        <v>6774</v>
      </c>
      <c r="AA87" s="1788">
        <v>87</v>
      </c>
    </row>
    <row r="88" spans="1:27" ht="13.35" customHeight="1">
      <c r="A88" s="409" t="s">
        <v>4012</v>
      </c>
      <c r="B88" s="2943">
        <v>-10</v>
      </c>
      <c r="C88" s="2943">
        <v>-10</v>
      </c>
      <c r="D88" s="2943">
        <v>-10</v>
      </c>
      <c r="E88" s="2943">
        <v>-10</v>
      </c>
      <c r="F88" s="2943">
        <v>-10</v>
      </c>
      <c r="G88" s="2943">
        <v>-10</v>
      </c>
      <c r="H88" s="2943">
        <v>-10</v>
      </c>
      <c r="I88" s="2943">
        <v>-10</v>
      </c>
      <c r="J88" s="2943">
        <v>-10</v>
      </c>
      <c r="K88" s="2943">
        <v>-10</v>
      </c>
      <c r="N88" s="3833"/>
      <c r="O88" s="3835"/>
      <c r="Z88" s="2807" t="s">
        <v>6774</v>
      </c>
      <c r="AA88" s="1788">
        <v>88</v>
      </c>
    </row>
    <row r="89" spans="1:27" ht="13.35" customHeight="1">
      <c r="A89" s="21" t="s">
        <v>1157</v>
      </c>
      <c r="B89" s="22">
        <f t="shared" ref="B89:K89" si="41">SUM(B84:B88)</f>
        <v>137004.08420374218</v>
      </c>
      <c r="C89" s="22">
        <f t="shared" si="41"/>
        <v>132963.79074065457</v>
      </c>
      <c r="D89" s="22">
        <f t="shared" si="41"/>
        <v>128640.11095389014</v>
      </c>
      <c r="E89" s="22">
        <f t="shared" si="41"/>
        <v>124020.67510334296</v>
      </c>
      <c r="F89" s="22">
        <f t="shared" si="41"/>
        <v>119091.70299369645</v>
      </c>
      <c r="G89" s="22">
        <f t="shared" si="41"/>
        <v>113842.99027350548</v>
      </c>
      <c r="H89" s="22">
        <f t="shared" si="41"/>
        <v>108259.89429550871</v>
      </c>
      <c r="I89" s="22">
        <f t="shared" si="41"/>
        <v>102330.31952444807</v>
      </c>
      <c r="J89" s="22">
        <f t="shared" si="41"/>
        <v>96038.70247825727</v>
      </c>
      <c r="K89" s="1299">
        <f t="shared" si="41"/>
        <v>89370.996188041769</v>
      </c>
      <c r="N89" s="3833"/>
      <c r="O89" s="3835"/>
      <c r="Z89" s="2807" t="s">
        <v>6774</v>
      </c>
      <c r="AA89" s="1788">
        <v>89</v>
      </c>
    </row>
    <row r="90" spans="1:27" ht="13.35" customHeight="1">
      <c r="A90" s="21" t="str">
        <f>$A58</f>
        <v>Mortgage A</v>
      </c>
      <c r="B90" s="2944">
        <f>IF('Part III-Sources of Funds'!$P$40="", 0,-'Part III-Sources of Funds'!$P$40)</f>
        <v>-125796.43867670429</v>
      </c>
      <c r="C90" s="2944">
        <f>IF('Part III-Sources of Funds'!$P$40="", 0,-'Part III-Sources of Funds'!$P$40)</f>
        <v>-125796.43867670429</v>
      </c>
      <c r="D90" s="2944">
        <f>IF('Part III-Sources of Funds'!$P$40="", 0,-'Part III-Sources of Funds'!$P$40)</f>
        <v>-125796.43867670429</v>
      </c>
      <c r="E90" s="2944">
        <f>IF('Part III-Sources of Funds'!$P$40="", 0,-'Part III-Sources of Funds'!$P$40)</f>
        <v>-125796.43867670429</v>
      </c>
      <c r="F90" s="2944">
        <f>IF('Part III-Sources of Funds'!$P$40="", 0,-'Part III-Sources of Funds'!$P$40)</f>
        <v>-125796.43867670429</v>
      </c>
      <c r="G90" s="2944">
        <f>IF('Part III-Sources of Funds'!$P$40="", 0,-'Part III-Sources of Funds'!$P$40)</f>
        <v>-125796.43867670429</v>
      </c>
      <c r="H90" s="2944">
        <f>IF('Part III-Sources of Funds'!$P$40="", 0,-'Part III-Sources of Funds'!$P$40)</f>
        <v>-125796.43867670429</v>
      </c>
      <c r="I90" s="2944">
        <f>IF('Part III-Sources of Funds'!$P$40="", 0,-'Part III-Sources of Funds'!$P$40)</f>
        <v>-125796.43867670429</v>
      </c>
      <c r="J90" s="2944">
        <f>IF('Part III-Sources of Funds'!$P$40="", 0,-'Part III-Sources of Funds'!$P$40)</f>
        <v>-125796.43867670429</v>
      </c>
      <c r="K90" s="2944">
        <f>IF('Part III-Sources of Funds'!$P$40="", 0,-'Part III-Sources of Funds'!$P$40)</f>
        <v>-125796.43867670429</v>
      </c>
      <c r="N90" s="3833"/>
      <c r="O90" s="3835"/>
      <c r="Z90" s="2807" t="s">
        <v>6774</v>
      </c>
      <c r="AA90" s="1788">
        <v>90</v>
      </c>
    </row>
    <row r="91" spans="1:27" ht="13.35" customHeight="1">
      <c r="A91" s="21" t="str">
        <f>$A59</f>
        <v>Mortgage B</v>
      </c>
      <c r="B91" s="2945">
        <f>IF('Part III-Sources of Funds'!$P$41="", 0,-'Part III-Sources of Funds'!$P$41)</f>
        <v>0</v>
      </c>
      <c r="C91" s="2945">
        <f>IF('Part III-Sources of Funds'!$P$41="", 0,-'Part III-Sources of Funds'!$P$41)</f>
        <v>0</v>
      </c>
      <c r="D91" s="2945">
        <f>IF('Part III-Sources of Funds'!$P$41="", 0,-'Part III-Sources of Funds'!$P$41)</f>
        <v>0</v>
      </c>
      <c r="E91" s="2945">
        <f>IF('Part III-Sources of Funds'!$P$41="", 0,-'Part III-Sources of Funds'!$P$41)</f>
        <v>0</v>
      </c>
      <c r="F91" s="2945">
        <f>IF('Part III-Sources of Funds'!$P$41="", 0,-'Part III-Sources of Funds'!$P$41)</f>
        <v>0</v>
      </c>
      <c r="G91" s="2945">
        <f>IF('Part III-Sources of Funds'!$P$41="", 0,-'Part III-Sources of Funds'!$P$41)</f>
        <v>0</v>
      </c>
      <c r="H91" s="2945">
        <f>IF('Part III-Sources of Funds'!$P$41="", 0,-'Part III-Sources of Funds'!$P$41)</f>
        <v>0</v>
      </c>
      <c r="I91" s="2945">
        <f>IF('Part III-Sources of Funds'!$P$41="", 0,-'Part III-Sources of Funds'!$P$41)</f>
        <v>0</v>
      </c>
      <c r="J91" s="2945">
        <f>IF('Part III-Sources of Funds'!$P$41="", 0,-'Part III-Sources of Funds'!$P$41)</f>
        <v>0</v>
      </c>
      <c r="K91" s="2945">
        <f>IF('Part III-Sources of Funds'!$P$41="", 0,-'Part III-Sources of Funds'!$P$41)</f>
        <v>0</v>
      </c>
      <c r="N91" s="3833"/>
      <c r="O91" s="3835"/>
      <c r="Z91" s="2807" t="s">
        <v>6774</v>
      </c>
      <c r="AA91" s="1788">
        <v>91</v>
      </c>
    </row>
    <row r="92" spans="1:27" ht="13.35" customHeight="1">
      <c r="A92" s="21" t="str">
        <f>$A60</f>
        <v>Mortgage C</v>
      </c>
      <c r="B92" s="2945">
        <f>IF('Part III-Sources of Funds'!$P$42="", 0,-'Part III-Sources of Funds'!$P$42)</f>
        <v>0</v>
      </c>
      <c r="C92" s="2945">
        <f>IF('Part III-Sources of Funds'!$P$42="", 0,-'Part III-Sources of Funds'!$P$42)</f>
        <v>0</v>
      </c>
      <c r="D92" s="2945">
        <f>IF('Part III-Sources of Funds'!$P$42="", 0,-'Part III-Sources of Funds'!$P$42)</f>
        <v>0</v>
      </c>
      <c r="E92" s="2945">
        <f>IF('Part III-Sources of Funds'!$P$42="", 0,-'Part III-Sources of Funds'!$P$42)</f>
        <v>0</v>
      </c>
      <c r="F92" s="2945">
        <f>IF('Part III-Sources of Funds'!$P$42="", 0,-'Part III-Sources of Funds'!$P$42)</f>
        <v>0</v>
      </c>
      <c r="G92" s="2945">
        <f>IF('Part III-Sources of Funds'!$P$42="", 0,-'Part III-Sources of Funds'!$P$42)</f>
        <v>0</v>
      </c>
      <c r="H92" s="2945">
        <f>IF('Part III-Sources of Funds'!$P$42="", 0,-'Part III-Sources of Funds'!$P$42)</f>
        <v>0</v>
      </c>
      <c r="I92" s="2945">
        <f>IF('Part III-Sources of Funds'!$P$42="", 0,-'Part III-Sources of Funds'!$P$42)</f>
        <v>0</v>
      </c>
      <c r="J92" s="2945">
        <f>IF('Part III-Sources of Funds'!$P$42="", 0,-'Part III-Sources of Funds'!$P$42)</f>
        <v>0</v>
      </c>
      <c r="K92" s="2945">
        <f>IF('Part III-Sources of Funds'!$P$42="", 0,-'Part III-Sources of Funds'!$P$42)</f>
        <v>0</v>
      </c>
      <c r="N92" s="3833"/>
      <c r="O92" s="3835"/>
      <c r="Z92" s="2807" t="s">
        <v>6774</v>
      </c>
      <c r="AA92" s="1787">
        <v>92</v>
      </c>
    </row>
    <row r="93" spans="1:27" ht="13.35" customHeight="1">
      <c r="A93" s="21" t="str">
        <f>$A61</f>
        <v>D/S Other Source,not DDF</v>
      </c>
      <c r="B93" s="2945">
        <f>IF('Part III-Sources of Funds'!$P$43="", 0,-'Part III-Sources of Funds'!$P$43)</f>
        <v>0</v>
      </c>
      <c r="C93" s="2945">
        <f>IF('Part III-Sources of Funds'!$P$43="", 0,-'Part III-Sources of Funds'!$P$43)</f>
        <v>0</v>
      </c>
      <c r="D93" s="2945">
        <f>IF('Part III-Sources of Funds'!$P$43="", 0,-'Part III-Sources of Funds'!$P$43)</f>
        <v>0</v>
      </c>
      <c r="E93" s="2945">
        <f>IF('Part III-Sources of Funds'!$P$43="", 0,-'Part III-Sources of Funds'!$P$43)</f>
        <v>0</v>
      </c>
      <c r="F93" s="2945">
        <f>IF('Part III-Sources of Funds'!$P$43="", 0,-'Part III-Sources of Funds'!$P$43)</f>
        <v>0</v>
      </c>
      <c r="G93" s="2945">
        <f>IF('Part III-Sources of Funds'!$P$43="", 0,-'Part III-Sources of Funds'!$P$43)</f>
        <v>0</v>
      </c>
      <c r="H93" s="2945">
        <f>IF('Part III-Sources of Funds'!$P$43="", 0,-'Part III-Sources of Funds'!$P$43)</f>
        <v>0</v>
      </c>
      <c r="I93" s="2945">
        <f>IF('Part III-Sources of Funds'!$P$43="", 0,-'Part III-Sources of Funds'!$P$43)</f>
        <v>0</v>
      </c>
      <c r="J93" s="2945">
        <f>IF('Part III-Sources of Funds'!$P$43="", 0,-'Part III-Sources of Funds'!$P$43)</f>
        <v>0</v>
      </c>
      <c r="K93" s="2945">
        <f>IF('Part III-Sources of Funds'!$P$43="", 0,-'Part III-Sources of Funds'!$P$43)</f>
        <v>0</v>
      </c>
      <c r="N93" s="3833"/>
      <c r="O93" s="3835"/>
      <c r="Z93" s="2807" t="s">
        <v>6774</v>
      </c>
      <c r="AA93" s="1788">
        <v>93</v>
      </c>
    </row>
    <row r="94" spans="1:27" ht="13.35" customHeight="1">
      <c r="A94" s="21" t="s">
        <v>733</v>
      </c>
      <c r="B94" s="2946"/>
      <c r="C94" s="2946"/>
      <c r="D94" s="2946"/>
      <c r="E94" s="2946"/>
      <c r="F94" s="2946"/>
      <c r="G94" s="2946"/>
      <c r="H94" s="2946"/>
      <c r="I94" s="2946"/>
      <c r="J94" s="2946"/>
      <c r="K94" s="2946"/>
      <c r="N94" s="3833"/>
      <c r="O94" s="3835"/>
      <c r="Z94" s="2807" t="s">
        <v>6774</v>
      </c>
      <c r="AA94" s="1788">
        <v>94</v>
      </c>
    </row>
    <row r="95" spans="1:27" ht="13.35" customHeight="1">
      <c r="A95" s="409" t="s">
        <v>1121</v>
      </c>
      <c r="B95" s="2948">
        <f>+K63</f>
        <v>0</v>
      </c>
      <c r="C95" s="2948">
        <f t="shared" ref="C95:K95" si="42">+B95</f>
        <v>0</v>
      </c>
      <c r="D95" s="2948">
        <f t="shared" si="42"/>
        <v>0</v>
      </c>
      <c r="E95" s="2948">
        <f t="shared" si="42"/>
        <v>0</v>
      </c>
      <c r="F95" s="2948">
        <f t="shared" si="42"/>
        <v>0</v>
      </c>
      <c r="G95" s="2948">
        <f t="shared" si="42"/>
        <v>0</v>
      </c>
      <c r="H95" s="2948">
        <f t="shared" si="42"/>
        <v>0</v>
      </c>
      <c r="I95" s="2948">
        <f t="shared" si="42"/>
        <v>0</v>
      </c>
      <c r="J95" s="2948">
        <f t="shared" si="42"/>
        <v>0</v>
      </c>
      <c r="K95" s="2948">
        <f t="shared" si="42"/>
        <v>0</v>
      </c>
      <c r="N95" s="3833"/>
      <c r="O95" s="3835"/>
      <c r="Z95" s="2807" t="s">
        <v>6774</v>
      </c>
      <c r="AA95" s="1788">
        <v>95</v>
      </c>
    </row>
    <row r="96" spans="1:27" ht="13.35" customHeight="1">
      <c r="A96" s="21" t="s">
        <v>1122</v>
      </c>
      <c r="B96" s="22">
        <f t="shared" ref="B96:K96" si="43">SUM(B89:B95)</f>
        <v>11207.645527037894</v>
      </c>
      <c r="C96" s="22">
        <f t="shared" si="43"/>
        <v>7167.3520639502822</v>
      </c>
      <c r="D96" s="22">
        <f t="shared" si="43"/>
        <v>2843.6722771858476</v>
      </c>
      <c r="E96" s="22">
        <f t="shared" si="43"/>
        <v>-1775.7635733613279</v>
      </c>
      <c r="F96" s="22">
        <f t="shared" si="43"/>
        <v>-6704.7356830078352</v>
      </c>
      <c r="G96" s="22">
        <f t="shared" si="43"/>
        <v>-11953.44840319881</v>
      </c>
      <c r="H96" s="22">
        <f t="shared" si="43"/>
        <v>-17536.544381195577</v>
      </c>
      <c r="I96" s="22">
        <f t="shared" si="43"/>
        <v>-23466.119152256215</v>
      </c>
      <c r="J96" s="22">
        <f t="shared" si="43"/>
        <v>-29757.736198447019</v>
      </c>
      <c r="K96" s="23">
        <f t="shared" si="43"/>
        <v>-36425.44248866252</v>
      </c>
      <c r="N96" s="3833"/>
      <c r="O96" s="3835"/>
      <c r="Z96" s="2807" t="s">
        <v>6774</v>
      </c>
      <c r="AA96" s="1788">
        <v>96</v>
      </c>
    </row>
    <row r="97" spans="1:27" ht="13.35" customHeight="1">
      <c r="A97" s="21" t="str">
        <f>$A66</f>
        <v>DCR Mortgage A</v>
      </c>
      <c r="B97" s="24">
        <f t="shared" ref="B97:K97" si="44">IF(B90=0,"",-B89/B90)</f>
        <v>1.0890935041161336</v>
      </c>
      <c r="C97" s="24">
        <f t="shared" si="44"/>
        <v>1.0569757946993261</v>
      </c>
      <c r="D97" s="24">
        <f t="shared" si="44"/>
        <v>1.022605348029717</v>
      </c>
      <c r="E97" s="24">
        <f t="shared" si="44"/>
        <v>0.98588383270590807</v>
      </c>
      <c r="F97" s="24">
        <f t="shared" si="44"/>
        <v>0.94670170512347374</v>
      </c>
      <c r="G97" s="24">
        <f t="shared" si="44"/>
        <v>0.9049778473147474</v>
      </c>
      <c r="H97" s="24">
        <f t="shared" si="44"/>
        <v>0.86059585974238639</v>
      </c>
      <c r="I97" s="24">
        <f t="shared" si="44"/>
        <v>0.81345959075547492</v>
      </c>
      <c r="J97" s="24">
        <f t="shared" si="44"/>
        <v>0.76344532077792648</v>
      </c>
      <c r="K97" s="25">
        <f t="shared" si="44"/>
        <v>0.71044138552860325</v>
      </c>
      <c r="N97" s="3833"/>
      <c r="O97" s="3835"/>
      <c r="Z97" s="2807" t="s">
        <v>6774</v>
      </c>
      <c r="AA97" s="1787">
        <v>97</v>
      </c>
    </row>
    <row r="98" spans="1:27" ht="13.35" customHeight="1">
      <c r="A98" s="21" t="str">
        <f>$A67</f>
        <v>DCR Mortgage B</v>
      </c>
      <c r="B98" s="24" t="str">
        <f t="shared" ref="B98:K98" si="45">IF(B91=0,"",-(B89+B90)/B91)</f>
        <v/>
      </c>
      <c r="C98" s="24" t="str">
        <f t="shared" si="45"/>
        <v/>
      </c>
      <c r="D98" s="24" t="str">
        <f t="shared" si="45"/>
        <v/>
      </c>
      <c r="E98" s="24" t="str">
        <f t="shared" si="45"/>
        <v/>
      </c>
      <c r="F98" s="24" t="str">
        <f t="shared" si="45"/>
        <v/>
      </c>
      <c r="G98" s="24" t="str">
        <f t="shared" si="45"/>
        <v/>
      </c>
      <c r="H98" s="24" t="str">
        <f t="shared" si="45"/>
        <v/>
      </c>
      <c r="I98" s="24" t="str">
        <f t="shared" si="45"/>
        <v/>
      </c>
      <c r="J98" s="24" t="str">
        <f t="shared" si="45"/>
        <v/>
      </c>
      <c r="K98" s="25" t="str">
        <f t="shared" si="45"/>
        <v/>
      </c>
      <c r="N98" s="3833"/>
      <c r="O98" s="3835"/>
      <c r="Z98" s="2807" t="s">
        <v>6774</v>
      </c>
      <c r="AA98" s="1788">
        <v>98</v>
      </c>
    </row>
    <row r="99" spans="1:27" ht="13.35" customHeight="1">
      <c r="A99" s="21" t="str">
        <f>$A68</f>
        <v>DCR Mortgage C</v>
      </c>
      <c r="B99" s="24" t="str">
        <f t="shared" ref="B99:K99" si="46">IF(B92=0,"",-(B89+B90+B91)/B92)</f>
        <v/>
      </c>
      <c r="C99" s="24" t="str">
        <f t="shared" si="46"/>
        <v/>
      </c>
      <c r="D99" s="24" t="str">
        <f t="shared" si="46"/>
        <v/>
      </c>
      <c r="E99" s="24" t="str">
        <f t="shared" si="46"/>
        <v/>
      </c>
      <c r="F99" s="24" t="str">
        <f t="shared" si="46"/>
        <v/>
      </c>
      <c r="G99" s="24" t="str">
        <f t="shared" si="46"/>
        <v/>
      </c>
      <c r="H99" s="24" t="str">
        <f t="shared" si="46"/>
        <v/>
      </c>
      <c r="I99" s="24" t="str">
        <f t="shared" si="46"/>
        <v/>
      </c>
      <c r="J99" s="24" t="str">
        <f t="shared" si="46"/>
        <v/>
      </c>
      <c r="K99" s="25" t="str">
        <f t="shared" si="46"/>
        <v/>
      </c>
      <c r="N99" s="3833"/>
      <c r="O99" s="3835"/>
      <c r="Z99" s="2807" t="s">
        <v>6774</v>
      </c>
      <c r="AA99" s="1788">
        <v>99</v>
      </c>
    </row>
    <row r="100" spans="1:27" ht="13.35" customHeight="1">
      <c r="A100" s="21" t="str">
        <f>$A69</f>
        <v>DCR Other Source</v>
      </c>
      <c r="B100" s="24" t="str">
        <f t="shared" ref="B100:K100" si="47">IF(B93=0,"",-(B89+B90+B91+B92)/B93)</f>
        <v/>
      </c>
      <c r="C100" s="24" t="str">
        <f t="shared" si="47"/>
        <v/>
      </c>
      <c r="D100" s="24" t="str">
        <f t="shared" si="47"/>
        <v/>
      </c>
      <c r="E100" s="24" t="str">
        <f t="shared" si="47"/>
        <v/>
      </c>
      <c r="F100" s="24" t="str">
        <f t="shared" si="47"/>
        <v/>
      </c>
      <c r="G100" s="24" t="str">
        <f t="shared" si="47"/>
        <v/>
      </c>
      <c r="H100" s="24" t="str">
        <f t="shared" si="47"/>
        <v/>
      </c>
      <c r="I100" s="24" t="str">
        <f t="shared" si="47"/>
        <v/>
      </c>
      <c r="J100" s="24" t="str">
        <f t="shared" si="47"/>
        <v/>
      </c>
      <c r="K100" s="25" t="str">
        <f t="shared" si="47"/>
        <v/>
      </c>
      <c r="N100" s="3833"/>
      <c r="O100" s="3835"/>
      <c r="Z100" s="2807" t="s">
        <v>6774</v>
      </c>
      <c r="AA100" s="1787">
        <v>100</v>
      </c>
    </row>
    <row r="101" spans="1:27" ht="13.35" customHeight="1">
      <c r="A101" s="409" t="s">
        <v>3343</v>
      </c>
      <c r="B101" s="24">
        <f t="shared" ref="B101:K101" si="48">IF(AND(B90=0,B91=0,B92=0,B93=0),"",-B89/(B90+B91+B92+B93))</f>
        <v>1.0890935041161336</v>
      </c>
      <c r="C101" s="24">
        <f t="shared" si="48"/>
        <v>1.0569757946993261</v>
      </c>
      <c r="D101" s="24">
        <f t="shared" si="48"/>
        <v>1.022605348029717</v>
      </c>
      <c r="E101" s="24">
        <f t="shared" si="48"/>
        <v>0.98588383270590807</v>
      </c>
      <c r="F101" s="24">
        <f t="shared" si="48"/>
        <v>0.94670170512347374</v>
      </c>
      <c r="G101" s="24">
        <f t="shared" si="48"/>
        <v>0.9049778473147474</v>
      </c>
      <c r="H101" s="24">
        <f t="shared" si="48"/>
        <v>0.86059585974238639</v>
      </c>
      <c r="I101" s="24">
        <f t="shared" si="48"/>
        <v>0.81345959075547492</v>
      </c>
      <c r="J101" s="24">
        <f t="shared" si="48"/>
        <v>0.76344532077792648</v>
      </c>
      <c r="K101" s="25">
        <f t="shared" si="48"/>
        <v>0.71044138552860325</v>
      </c>
      <c r="N101" s="3833"/>
      <c r="O101" s="3835"/>
      <c r="Z101" s="2807" t="s">
        <v>6774</v>
      </c>
      <c r="AA101" s="1788">
        <v>101</v>
      </c>
    </row>
    <row r="102" spans="1:27" ht="13.35" customHeight="1">
      <c r="A102" s="21" t="s">
        <v>740</v>
      </c>
      <c r="B102" s="263">
        <f>IF(OR(B86="Choose mgt fee",B86="Choose One!"),"",(B79+B80+B81+B82+B83) / -(B85+B86+B87))</f>
        <v>1.1876844806252531</v>
      </c>
      <c r="C102" s="263">
        <f t="shared" ref="C102:K102" si="49">IF(OR(C86="Choose mgt fee",C86="Choose One!"),"",(C79+C80+C81+C82+C83) / -(C85+C86+C87))</f>
        <v>1.1769669733076138</v>
      </c>
      <c r="D102" s="263">
        <f t="shared" si="49"/>
        <v>1.1663401624271845</v>
      </c>
      <c r="E102" s="263">
        <f t="shared" si="49"/>
        <v>1.1558024455849372</v>
      </c>
      <c r="F102" s="263">
        <f t="shared" si="49"/>
        <v>1.1453509726482611</v>
      </c>
      <c r="G102" s="263">
        <f t="shared" si="49"/>
        <v>1.1349886204637802</v>
      </c>
      <c r="H102" s="263">
        <f t="shared" si="49"/>
        <v>1.1247125929813644</v>
      </c>
      <c r="I102" s="263">
        <f t="shared" si="49"/>
        <v>1.114524162211336</v>
      </c>
      <c r="J102" s="263">
        <f t="shared" si="49"/>
        <v>1.1044207358475595</v>
      </c>
      <c r="K102" s="264">
        <f t="shared" si="49"/>
        <v>1.094402332233676</v>
      </c>
      <c r="N102" s="3833"/>
      <c r="O102" s="3835"/>
      <c r="Z102" s="2807" t="s">
        <v>6774</v>
      </c>
      <c r="AA102" s="1788">
        <v>102</v>
      </c>
    </row>
    <row r="103" spans="1:27" ht="13.35" customHeight="1">
      <c r="A103" s="409" t="s">
        <v>2492</v>
      </c>
      <c r="B103" s="2949">
        <f>IF('Part III-Sources of Funds'!$I$40="","",-FV('Part III-Sources of Funds'!$K$40/12,12,B90/12,K72))</f>
        <v>1245325.3452082227</v>
      </c>
      <c r="C103" s="2949">
        <f>IF('Part III-Sources of Funds'!$I$40="","",-FV('Part III-Sources of Funds'!$K$40/12,12,C90/12,B103))</f>
        <v>1183433.2953748843</v>
      </c>
      <c r="D103" s="2949">
        <f>IF('Part III-Sources of Funds'!$I$40="","",-FV('Part III-Sources of Funds'!$K$40/12,12,D90/12,C103))</f>
        <v>1118212.5743280787</v>
      </c>
      <c r="E103" s="2949">
        <f>IF('Part III-Sources of Funds'!$I$40="","",-FV('Part III-Sources of Funds'!$K$40/12,12,E90/12,D103))</f>
        <v>1049484.1598496505</v>
      </c>
      <c r="F103" s="2949">
        <f>IF('Part III-Sources of Funds'!$I$40="","",-FV('Part III-Sources of Funds'!$K$40/12,12,F90/12,E103))</f>
        <v>977059.40156878531</v>
      </c>
      <c r="G103" s="2949">
        <f>IF('Part III-Sources of Funds'!$I$40="","",-FV('Part III-Sources of Funds'!$K$40/12,12,G90/12,F103))</f>
        <v>900739.50314179482</v>
      </c>
      <c r="H103" s="2949">
        <f>IF('Part III-Sources of Funds'!$I$40="","",-FV('Part III-Sources of Funds'!$K$40/12,12,H90/12,G103))</f>
        <v>820314.97658255254</v>
      </c>
      <c r="I103" s="2949">
        <f>IF('Part III-Sources of Funds'!$I$40="","",-FV('Part III-Sources of Funds'!$K$40/12,12,I90/12,H103))</f>
        <v>735565.06724579132</v>
      </c>
      <c r="J103" s="2949">
        <f>IF('Part III-Sources of Funds'!$I$40="","",-FV('Part III-Sources of Funds'!$K$40/12,12,J90/12,I103))</f>
        <v>646257.14788491768</v>
      </c>
      <c r="K103" s="2949">
        <f>IF('Part III-Sources of Funds'!$I$40="","",-FV('Part III-Sources of Funds'!$K$40/12,12,K90/12,J103))</f>
        <v>552146.08012111229</v>
      </c>
      <c r="N103" s="3833"/>
      <c r="O103" s="3835"/>
      <c r="Z103" s="2807" t="s">
        <v>6774</v>
      </c>
      <c r="AA103" s="1788">
        <v>103</v>
      </c>
    </row>
    <row r="104" spans="1:27" ht="13.35" customHeight="1">
      <c r="A104" s="409" t="s">
        <v>2493</v>
      </c>
      <c r="B104" s="2945" t="str">
        <f>IF('Part III-Sources of Funds'!$I$41="","",-FV('Part III-Sources of Funds'!$K$41/12,12,B91/12,K73))</f>
        <v/>
      </c>
      <c r="C104" s="2945" t="str">
        <f>IF('Part III-Sources of Funds'!$I$41="","",-FV('Part III-Sources of Funds'!$K$41/12,12,C91/12,B104))</f>
        <v/>
      </c>
      <c r="D104" s="2945" t="str">
        <f>IF('Part III-Sources of Funds'!$I$41="","",-FV('Part III-Sources of Funds'!$K$41/12,12,D91/12,C104))</f>
        <v/>
      </c>
      <c r="E104" s="2945" t="str">
        <f>IF('Part III-Sources of Funds'!$I$41="","",-FV('Part III-Sources of Funds'!$K$41/12,12,E91/12,D104))</f>
        <v/>
      </c>
      <c r="F104" s="2945" t="str">
        <f>IF('Part III-Sources of Funds'!$I$41="","",-FV('Part III-Sources of Funds'!$K$41/12,12,F91/12,E104))</f>
        <v/>
      </c>
      <c r="G104" s="2945" t="str">
        <f>IF('Part III-Sources of Funds'!$I$41="","",-FV('Part III-Sources of Funds'!$K$41/12,12,G91/12,F104))</f>
        <v/>
      </c>
      <c r="H104" s="2945" t="str">
        <f>IF('Part III-Sources of Funds'!$I$41="","",-FV('Part III-Sources of Funds'!$K$41/12,12,H91/12,G104))</f>
        <v/>
      </c>
      <c r="I104" s="2945" t="str">
        <f>IF('Part III-Sources of Funds'!$I$41="","",-FV('Part III-Sources of Funds'!$K$41/12,12,I91/12,H104))</f>
        <v/>
      </c>
      <c r="J104" s="2945" t="str">
        <f>IF('Part III-Sources of Funds'!$I$41="","",-FV('Part III-Sources of Funds'!$K$41/12,12,J91/12,I104))</f>
        <v/>
      </c>
      <c r="K104" s="2945" t="str">
        <f>IF('Part III-Sources of Funds'!$I$41="","",-FV('Part III-Sources of Funds'!$K$41/12,12,K91/12,J104))</f>
        <v/>
      </c>
      <c r="N104" s="3833"/>
      <c r="O104" s="3835"/>
      <c r="Z104" s="2807" t="s">
        <v>6774</v>
      </c>
      <c r="AA104" s="1788">
        <v>104</v>
      </c>
    </row>
    <row r="105" spans="1:27" ht="13.35" customHeight="1">
      <c r="A105" s="409" t="s">
        <v>2494</v>
      </c>
      <c r="B105" s="2945" t="str">
        <f>IF('Part III-Sources of Funds'!$I$42="","",-FV('Part III-Sources of Funds'!$K$42/12,12,B92/12,K74))</f>
        <v/>
      </c>
      <c r="C105" s="2945" t="str">
        <f>IF('Part III-Sources of Funds'!$I$42="","",-FV('Part III-Sources of Funds'!$K$42/12,12,C92/12,B105))</f>
        <v/>
      </c>
      <c r="D105" s="2945" t="str">
        <f>IF('Part III-Sources of Funds'!$I$42="","",-FV('Part III-Sources of Funds'!$K$42/12,12,D92/12,C105))</f>
        <v/>
      </c>
      <c r="E105" s="2945" t="str">
        <f>IF('Part III-Sources of Funds'!$I$42="","",-FV('Part III-Sources of Funds'!$K$42/12,12,E92/12,D105))</f>
        <v/>
      </c>
      <c r="F105" s="2945" t="str">
        <f>IF('Part III-Sources of Funds'!$I$42="","",-FV('Part III-Sources of Funds'!$K$42/12,12,F92/12,E105))</f>
        <v/>
      </c>
      <c r="G105" s="2945" t="str">
        <f>IF('Part III-Sources of Funds'!$I$42="","",-FV('Part III-Sources of Funds'!$K$42/12,12,G92/12,F105))</f>
        <v/>
      </c>
      <c r="H105" s="2945" t="str">
        <f>IF('Part III-Sources of Funds'!$I$42="","",-FV('Part III-Sources of Funds'!$K$42/12,12,H92/12,G105))</f>
        <v/>
      </c>
      <c r="I105" s="2945" t="str">
        <f>IF('Part III-Sources of Funds'!$I$42="","",-FV('Part III-Sources of Funds'!$K$42/12,12,I92/12,H105))</f>
        <v/>
      </c>
      <c r="J105" s="2945" t="str">
        <f>IF('Part III-Sources of Funds'!$I$42="","",-FV('Part III-Sources of Funds'!$K$42/12,12,J92/12,I105))</f>
        <v/>
      </c>
      <c r="K105" s="2945" t="str">
        <f>IF('Part III-Sources of Funds'!$I$42="","",-FV('Part III-Sources of Funds'!$K$42/12,12,K92/12,J105))</f>
        <v/>
      </c>
      <c r="N105" s="3833"/>
      <c r="O105" s="3835"/>
      <c r="Z105" s="2807" t="s">
        <v>6774</v>
      </c>
      <c r="AA105" s="1788">
        <v>105</v>
      </c>
    </row>
    <row r="106" spans="1:27" ht="13.35" customHeight="1">
      <c r="A106" s="21" t="s">
        <v>752</v>
      </c>
      <c r="B106" s="2948" t="str">
        <f>IF('Part III-Sources of Funds'!$I$43="","",-FV('Part III-Sources of Funds'!$K$43/12,12,B93/12,K75))</f>
        <v/>
      </c>
      <c r="C106" s="2948" t="str">
        <f>IF('Part III-Sources of Funds'!$I$43="","",-FV('Part III-Sources of Funds'!$K$43/12,12,C93/12,B106))</f>
        <v/>
      </c>
      <c r="D106" s="2948" t="str">
        <f>IF('Part III-Sources of Funds'!$I$43="","",-FV('Part III-Sources of Funds'!$K$43/12,12,D93/12,C106))</f>
        <v/>
      </c>
      <c r="E106" s="2948" t="str">
        <f>IF('Part III-Sources of Funds'!$I$43="","",-FV('Part III-Sources of Funds'!$K$43/12,12,E93/12,D106))</f>
        <v/>
      </c>
      <c r="F106" s="2948" t="str">
        <f>IF('Part III-Sources of Funds'!$I$43="","",-FV('Part III-Sources of Funds'!$K$43/12,12,F93/12,E106))</f>
        <v/>
      </c>
      <c r="G106" s="2948" t="str">
        <f>IF('Part III-Sources of Funds'!$I$43="","",-FV('Part III-Sources of Funds'!$K$43/12,12,G93/12,F106))</f>
        <v/>
      </c>
      <c r="H106" s="2948" t="str">
        <f>IF('Part III-Sources of Funds'!$I$43="","",-FV('Part III-Sources of Funds'!$K$43/12,12,H93/12,G106))</f>
        <v/>
      </c>
      <c r="I106" s="2948" t="str">
        <f>IF('Part III-Sources of Funds'!$I$43="","",-FV('Part III-Sources of Funds'!$K$43/12,12,I93/12,H106))</f>
        <v/>
      </c>
      <c r="J106" s="2948" t="str">
        <f>IF('Part III-Sources of Funds'!$I$43="","",-FV('Part III-Sources of Funds'!$K$43/12,12,J93/12,I106))</f>
        <v/>
      </c>
      <c r="K106" s="2948" t="str">
        <f>IF('Part III-Sources of Funds'!$I$43="","",-FV('Part III-Sources of Funds'!$K$43/12,12,K93/12,J106))</f>
        <v/>
      </c>
      <c r="N106" s="3839"/>
      <c r="O106" s="3841"/>
      <c r="Z106" s="2807" t="s">
        <v>6774</v>
      </c>
      <c r="AA106" s="1788">
        <v>106</v>
      </c>
    </row>
    <row r="107" spans="1:27" ht="4.3499999999999996" customHeight="1">
      <c r="B107" s="17"/>
      <c r="C107" s="17"/>
      <c r="D107" s="17"/>
      <c r="E107" s="17"/>
      <c r="F107" s="17"/>
      <c r="G107" s="17"/>
      <c r="H107" s="17"/>
      <c r="I107" s="17"/>
      <c r="J107" s="17"/>
      <c r="K107" s="17"/>
      <c r="AA107" s="1788">
        <v>107</v>
      </c>
    </row>
    <row r="108" spans="1:27" ht="14.45" customHeight="1">
      <c r="A108" s="13" t="s">
        <v>2367</v>
      </c>
      <c r="B108" s="15">
        <f>K78+1</f>
        <v>31</v>
      </c>
      <c r="C108" s="15">
        <f>B108+1</f>
        <v>32</v>
      </c>
      <c r="D108" s="15">
        <f>C108+1</f>
        <v>33</v>
      </c>
      <c r="E108" s="15">
        <f>D108+1</f>
        <v>34</v>
      </c>
      <c r="F108" s="15">
        <f>E108+1</f>
        <v>35</v>
      </c>
      <c r="G108" s="17"/>
      <c r="H108" s="17"/>
      <c r="I108" s="17"/>
      <c r="J108" s="17"/>
      <c r="K108" s="17"/>
      <c r="N108" s="3530" t="s">
        <v>3334</v>
      </c>
      <c r="O108" s="3530"/>
      <c r="AA108" s="1788">
        <v>108</v>
      </c>
    </row>
    <row r="109" spans="1:27" ht="13.35" customHeight="1">
      <c r="A109" s="18" t="s">
        <v>2293</v>
      </c>
      <c r="B109" s="19">
        <f>$B$15*(1+$B$6)^(B108-1)</f>
        <v>1114183.0012746456</v>
      </c>
      <c r="C109" s="19">
        <f>$B$15*(1+$B$6)^(C108-1)</f>
        <v>1136466.6613001381</v>
      </c>
      <c r="D109" s="19">
        <f>$B$15*(1+$B$6)^(D108-1)</f>
        <v>1159195.9945261411</v>
      </c>
      <c r="E109" s="19">
        <f>$B$15*(1+$B$6)^(E108-1)</f>
        <v>1182379.914416664</v>
      </c>
      <c r="F109" s="566">
        <f>$B$15*(1+$B$6)^(F108-1)</f>
        <v>1206027.5127049973</v>
      </c>
      <c r="G109" s="17"/>
      <c r="H109" s="17"/>
      <c r="I109" s="17"/>
      <c r="J109" s="17"/>
      <c r="K109" s="17"/>
      <c r="N109" s="3854"/>
      <c r="O109" s="3856"/>
      <c r="Z109" s="2807" t="s">
        <v>6775</v>
      </c>
      <c r="AA109" s="1787">
        <v>109</v>
      </c>
    </row>
    <row r="110" spans="1:27" ht="13.35" customHeight="1">
      <c r="A110" s="21" t="s">
        <v>977</v>
      </c>
      <c r="B110" s="22">
        <f>$B$16*(1+$B$6)^(B108-1)</f>
        <v>22283.660025492911</v>
      </c>
      <c r="C110" s="22">
        <f>$B$16*(1+$B$6)^(C108-1)</f>
        <v>22729.333226002764</v>
      </c>
      <c r="D110" s="22">
        <f>$B$16*(1+$B$6)^(D108-1)</f>
        <v>23183.919890522822</v>
      </c>
      <c r="E110" s="22">
        <f>$B$16*(1+$B$6)^(E108-1)</f>
        <v>23647.598288333284</v>
      </c>
      <c r="F110" s="23">
        <f>$B$16*(1+$B$6)^(F108-1)</f>
        <v>24120.550254099944</v>
      </c>
      <c r="G110" s="17"/>
      <c r="H110" s="17"/>
      <c r="I110" s="17"/>
      <c r="J110" s="17"/>
      <c r="K110" s="17"/>
      <c r="N110" s="3833"/>
      <c r="O110" s="3835"/>
      <c r="Z110" s="2807" t="s">
        <v>6775</v>
      </c>
      <c r="AA110" s="1788">
        <v>110</v>
      </c>
    </row>
    <row r="111" spans="1:27" ht="13.35" customHeight="1">
      <c r="A111" s="21" t="s">
        <v>2294</v>
      </c>
      <c r="B111" s="22">
        <f>-(B109+B110)*$B$9</f>
        <v>-79552.666291009707</v>
      </c>
      <c r="C111" s="22">
        <f>-(C109+C110)*$B$9</f>
        <v>-81143.719616829869</v>
      </c>
      <c r="D111" s="22">
        <f>-(D109+D110)*$B$9</f>
        <v>-82766.594009166482</v>
      </c>
      <c r="E111" s="22">
        <f>-(E109+E110)*$B$9</f>
        <v>-84421.925889349819</v>
      </c>
      <c r="F111" s="23">
        <f>-(F109+F110)*$B$9</f>
        <v>-86110.364407136818</v>
      </c>
      <c r="G111" s="17"/>
      <c r="H111" s="17"/>
      <c r="I111" s="17"/>
      <c r="J111" s="17"/>
      <c r="K111" s="17"/>
      <c r="N111" s="3833"/>
      <c r="O111" s="3835"/>
      <c r="Z111" s="2807" t="s">
        <v>6775</v>
      </c>
      <c r="AA111" s="1788">
        <v>111</v>
      </c>
    </row>
    <row r="112" spans="1:27" ht="13.35" customHeight="1">
      <c r="A112" s="21" t="s">
        <v>47</v>
      </c>
      <c r="B112" s="22">
        <f>'Part VI-Revenues &amp; Expenses'!H209</f>
        <v>0</v>
      </c>
      <c r="C112" s="22">
        <f>'Part VI-Revenues &amp; Expenses'!I209</f>
        <v>0</v>
      </c>
      <c r="D112" s="22">
        <f>'Part VI-Revenues &amp; Expenses'!J209</f>
        <v>0</v>
      </c>
      <c r="E112" s="22">
        <f>'Part VI-Revenues &amp; Expenses'!K209</f>
        <v>0</v>
      </c>
      <c r="F112" s="23">
        <f>'Part VI-Revenues &amp; Expenses'!L209</f>
        <v>0</v>
      </c>
      <c r="G112" s="17"/>
      <c r="H112" s="17"/>
      <c r="I112" s="17"/>
      <c r="J112" s="17"/>
      <c r="K112" s="17"/>
      <c r="N112" s="3833"/>
      <c r="O112" s="3835"/>
      <c r="Z112" s="2807" t="s">
        <v>6775</v>
      </c>
      <c r="AA112" s="1788">
        <v>112</v>
      </c>
    </row>
    <row r="113" spans="1:27" ht="13.35" customHeight="1">
      <c r="A113" s="21" t="s">
        <v>48</v>
      </c>
      <c r="B113" s="22">
        <f>'Part VI-Revenues &amp; Expenses'!H213</f>
        <v>0</v>
      </c>
      <c r="C113" s="22">
        <f>'Part VI-Revenues &amp; Expenses'!I213</f>
        <v>0</v>
      </c>
      <c r="D113" s="22">
        <f>'Part VI-Revenues &amp; Expenses'!J213</f>
        <v>0</v>
      </c>
      <c r="E113" s="22">
        <f>'Part VI-Revenues &amp; Expenses'!K213</f>
        <v>0</v>
      </c>
      <c r="F113" s="23">
        <f>'Part VI-Revenues &amp; Expenses'!L213</f>
        <v>0</v>
      </c>
      <c r="G113" s="17"/>
      <c r="H113" s="17"/>
      <c r="I113" s="17"/>
      <c r="J113" s="17"/>
      <c r="K113" s="17"/>
      <c r="N113" s="3833"/>
      <c r="O113" s="3835"/>
      <c r="Z113" s="2807" t="s">
        <v>6775</v>
      </c>
      <c r="AA113" s="1788">
        <v>113</v>
      </c>
    </row>
    <row r="114" spans="1:27" ht="13.35" customHeight="1">
      <c r="A114" s="409" t="s">
        <v>4013</v>
      </c>
      <c r="B114" s="22">
        <f>SUM(B109:B113)</f>
        <v>1056913.9950091289</v>
      </c>
      <c r="C114" s="22">
        <f>SUM(C109:C113)</f>
        <v>1078052.274909311</v>
      </c>
      <c r="D114" s="22">
        <f>SUM(D109:D113)</f>
        <v>1099613.3204074972</v>
      </c>
      <c r="E114" s="22">
        <f>SUM(E109:E113)</f>
        <v>1121605.5868156475</v>
      </c>
      <c r="F114" s="23">
        <f>SUM(F109:F113)</f>
        <v>1144037.6985519605</v>
      </c>
      <c r="G114" s="17"/>
      <c r="H114" s="17"/>
      <c r="I114" s="17"/>
      <c r="J114" s="17"/>
      <c r="K114" s="17"/>
      <c r="N114" s="3833"/>
      <c r="O114" s="3835"/>
      <c r="Z114" s="2807" t="s">
        <v>6775</v>
      </c>
      <c r="AA114" s="1788">
        <v>114</v>
      </c>
    </row>
    <row r="115" spans="1:27" ht="13.35" customHeight="1">
      <c r="A115" s="21" t="s">
        <v>585</v>
      </c>
      <c r="B115" s="22">
        <f>$B$21*(1+$B$7)^(B108-1)</f>
        <v>-867486.61636588583</v>
      </c>
      <c r="C115" s="22">
        <f>$B$21*(1+$B$7)^(C108-1)</f>
        <v>-893511.21485686256</v>
      </c>
      <c r="D115" s="22">
        <f>$B$21*(1+$B$7)^(D108-1)</f>
        <v>-920316.55130256829</v>
      </c>
      <c r="E115" s="22">
        <f>$B$21*(1+$B$7)^(E108-1)</f>
        <v>-947926.04784164531</v>
      </c>
      <c r="F115" s="23">
        <f>$B$21*(1+$B$7)^(F108-1)</f>
        <v>-976363.82927689457</v>
      </c>
      <c r="G115" s="17"/>
      <c r="H115" s="17"/>
      <c r="I115" s="17"/>
      <c r="J115" s="17"/>
      <c r="K115" s="17"/>
      <c r="N115" s="3833"/>
      <c r="O115" s="3835"/>
      <c r="Z115" s="2807" t="s">
        <v>6775</v>
      </c>
      <c r="AA115" s="1788">
        <v>115</v>
      </c>
    </row>
    <row r="116" spans="1:27" ht="13.35" customHeight="1">
      <c r="A116" s="21" t="s">
        <v>1075</v>
      </c>
      <c r="B116" s="22">
        <f>IF(AND('Part VII-Pro Forma'!$G$9="Yes",'Part VII-Pro Forma'!$G$10="Yes"),"Choose One!",IF('Part VII-Pro Forma'!$G$9="Yes",ROUND((-$K$9*(1+'Part VII-Pro Forma'!$B$7)^('Part VII-Pro Forma'!B108-1)),),IF('Part VII-Pro Forma'!$G$10="Yes",ROUND((-(SUM(B109:B112)*'Part VII-Pro Forma'!$K$10)),),"Choose mgt fee")))</f>
        <v>-63415</v>
      </c>
      <c r="C116" s="22">
        <f>IF(AND('Part VII-Pro Forma'!$G$9="Yes",'Part VII-Pro Forma'!$G$10="Yes"),"Choose One!",IF('Part VII-Pro Forma'!$G$9="Yes",ROUND((-$K$9*(1+'Part VII-Pro Forma'!$B$7)^('Part VII-Pro Forma'!C108-1)),),IF('Part VII-Pro Forma'!$G$10="Yes",ROUND((-(SUM(C109:C112)*'Part VII-Pro Forma'!$K$10)),),"Choose mgt fee")))</f>
        <v>-64683</v>
      </c>
      <c r="D116" s="22">
        <f>IF(AND('Part VII-Pro Forma'!$G$9="Yes",'Part VII-Pro Forma'!$G$10="Yes"),"Choose One!",IF('Part VII-Pro Forma'!$G$9="Yes",ROUND((-$K$9*(1+'Part VII-Pro Forma'!$B$7)^('Part VII-Pro Forma'!D108-1)),),IF('Part VII-Pro Forma'!$G$10="Yes",ROUND((-(SUM(D109:D112)*'Part VII-Pro Forma'!$K$10)),),"Choose mgt fee")))</f>
        <v>-65977</v>
      </c>
      <c r="E116" s="22">
        <f>IF(AND('Part VII-Pro Forma'!$G$9="Yes",'Part VII-Pro Forma'!$G$10="Yes"),"Choose One!",IF('Part VII-Pro Forma'!$G$9="Yes",ROUND((-$K$9*(1+'Part VII-Pro Forma'!$B$7)^('Part VII-Pro Forma'!E108-1)),),IF('Part VII-Pro Forma'!$G$10="Yes",ROUND((-(SUM(E109:E112)*'Part VII-Pro Forma'!$K$10)),),"Choose mgt fee")))</f>
        <v>-67296</v>
      </c>
      <c r="F116" s="23">
        <f>IF(AND('Part VII-Pro Forma'!$G$9="Yes",'Part VII-Pro Forma'!$G$10="Yes"),"Choose One!",IF('Part VII-Pro Forma'!$G$9="Yes",ROUND((-$K$9*(1+'Part VII-Pro Forma'!$B$7)^('Part VII-Pro Forma'!F108-1)),),IF('Part VII-Pro Forma'!$G$10="Yes",ROUND((-(SUM(F109:F112)*'Part VII-Pro Forma'!$K$10)),),"Choose mgt fee")))</f>
        <v>-68642</v>
      </c>
      <c r="G116" s="17"/>
      <c r="H116" s="17"/>
      <c r="I116" s="17"/>
      <c r="J116" s="17"/>
      <c r="K116" s="17"/>
      <c r="N116" s="3833"/>
      <c r="O116" s="3835"/>
      <c r="Z116" s="2807" t="s">
        <v>6775</v>
      </c>
      <c r="AA116" s="1788">
        <v>116</v>
      </c>
    </row>
    <row r="117" spans="1:27" ht="13.35" customHeight="1">
      <c r="A117" s="21" t="s">
        <v>1156</v>
      </c>
      <c r="B117" s="22">
        <f>$B$23*(1+$B$8)^(B108-1)</f>
        <v>-43690.724481413861</v>
      </c>
      <c r="C117" s="22">
        <f>$B$23*(1+$B$8)^(C108-1)</f>
        <v>-45001.446215856289</v>
      </c>
      <c r="D117" s="22">
        <f>$B$23*(1+$B$8)^(D108-1)</f>
        <v>-46351.489602331967</v>
      </c>
      <c r="E117" s="22">
        <f>$B$23*(1+$B$8)^(E108-1)</f>
        <v>-47742.034290401927</v>
      </c>
      <c r="F117" s="23">
        <f>$B$23*(1+$B$8)^(F108-1)</f>
        <v>-49174.295319113975</v>
      </c>
      <c r="G117" s="17"/>
      <c r="H117" s="17"/>
      <c r="I117" s="17"/>
      <c r="J117" s="17"/>
      <c r="K117" s="17"/>
      <c r="N117" s="3833"/>
      <c r="O117" s="3835"/>
      <c r="Q117" s="847">
        <v>10</v>
      </c>
      <c r="R117" s="945">
        <f>-SUM(B123:K123)</f>
        <v>0</v>
      </c>
      <c r="S117" s="945">
        <f>SUM(B124:K124)+R117</f>
        <v>0</v>
      </c>
      <c r="Z117" s="2807" t="s">
        <v>6775</v>
      </c>
      <c r="AA117" s="1788">
        <v>117</v>
      </c>
    </row>
    <row r="118" spans="1:27" ht="13.35" customHeight="1">
      <c r="A118" s="409" t="s">
        <v>4012</v>
      </c>
      <c r="B118" s="2943">
        <v>-10</v>
      </c>
      <c r="C118" s="2943">
        <v>-10</v>
      </c>
      <c r="D118" s="2943">
        <v>-10</v>
      </c>
      <c r="E118" s="2943">
        <v>-10</v>
      </c>
      <c r="F118" s="2943">
        <v>-10</v>
      </c>
      <c r="G118" s="17"/>
      <c r="H118" s="17"/>
      <c r="I118" s="17"/>
      <c r="J118" s="17"/>
      <c r="K118" s="17"/>
      <c r="N118" s="3833"/>
      <c r="O118" s="3835"/>
      <c r="Z118" s="2807" t="s">
        <v>6775</v>
      </c>
      <c r="AA118" s="1787">
        <v>118</v>
      </c>
    </row>
    <row r="119" spans="1:27" ht="13.35" customHeight="1">
      <c r="A119" s="21" t="s">
        <v>1157</v>
      </c>
      <c r="B119" s="22">
        <f>SUM(B114:B118)</f>
        <v>82311.654161829239</v>
      </c>
      <c r="C119" s="22">
        <f>SUM(C114:C118)</f>
        <v>74846.613836592122</v>
      </c>
      <c r="D119" s="22">
        <f>SUM(D114:D118)</f>
        <v>66958.279502596968</v>
      </c>
      <c r="E119" s="22">
        <f>SUM(E114:E118)</f>
        <v>58631.504683600309</v>
      </c>
      <c r="F119" s="1299">
        <f>SUM(F114:F118)</f>
        <v>49847.573955951979</v>
      </c>
      <c r="G119" s="17"/>
      <c r="H119" s="17"/>
      <c r="I119" s="17"/>
      <c r="J119" s="17"/>
      <c r="K119" s="17"/>
      <c r="N119" s="3833"/>
      <c r="O119" s="3835"/>
      <c r="Z119" s="2807" t="s">
        <v>6775</v>
      </c>
      <c r="AA119" s="1788">
        <v>119</v>
      </c>
    </row>
    <row r="120" spans="1:27" ht="13.35" customHeight="1">
      <c r="A120" s="21" t="str">
        <f>$A90</f>
        <v>Mortgage A</v>
      </c>
      <c r="B120" s="2944">
        <f>IF('Part III-Sources of Funds'!$P$40="", 0,-'Part III-Sources of Funds'!$P$40)</f>
        <v>-125796.43867670429</v>
      </c>
      <c r="C120" s="2944">
        <f>IF('Part III-Sources of Funds'!$P$40="", 0,-'Part III-Sources of Funds'!$P$40)</f>
        <v>-125796.43867670429</v>
      </c>
      <c r="D120" s="2944">
        <f>IF('Part III-Sources of Funds'!$P$40="", 0,-'Part III-Sources of Funds'!$P$40)</f>
        <v>-125796.43867670429</v>
      </c>
      <c r="E120" s="2944">
        <f>IF('Part III-Sources of Funds'!$P$40="", 0,-'Part III-Sources of Funds'!$P$40)</f>
        <v>-125796.43867670429</v>
      </c>
      <c r="F120" s="2944">
        <f>IF('Part III-Sources of Funds'!$P$40="", 0,-'Part III-Sources of Funds'!$P$40)</f>
        <v>-125796.43867670429</v>
      </c>
      <c r="G120" s="17"/>
      <c r="H120" s="17"/>
      <c r="I120" s="17"/>
      <c r="J120" s="17"/>
      <c r="K120" s="17"/>
      <c r="N120" s="3833"/>
      <c r="O120" s="3835"/>
      <c r="Z120" s="2807" t="s">
        <v>6775</v>
      </c>
      <c r="AA120" s="1788">
        <v>120</v>
      </c>
    </row>
    <row r="121" spans="1:27" ht="13.35" customHeight="1">
      <c r="A121" s="21" t="str">
        <f>$A91</f>
        <v>Mortgage B</v>
      </c>
      <c r="B121" s="2945">
        <f>IF('Part III-Sources of Funds'!$P$41="", 0,-'Part III-Sources of Funds'!$P$41)</f>
        <v>0</v>
      </c>
      <c r="C121" s="2945">
        <f>IF('Part III-Sources of Funds'!$P$41="", 0,-'Part III-Sources of Funds'!$P$41)</f>
        <v>0</v>
      </c>
      <c r="D121" s="2945">
        <f>IF('Part III-Sources of Funds'!$P$41="", 0,-'Part III-Sources of Funds'!$P$41)</f>
        <v>0</v>
      </c>
      <c r="E121" s="2945">
        <f>IF('Part III-Sources of Funds'!$P$41="", 0,-'Part III-Sources of Funds'!$P$41)</f>
        <v>0</v>
      </c>
      <c r="F121" s="2945">
        <f>IF('Part III-Sources of Funds'!$P$41="", 0,-'Part III-Sources of Funds'!$P$41)</f>
        <v>0</v>
      </c>
      <c r="G121" s="17"/>
      <c r="H121" s="17"/>
      <c r="I121" s="17"/>
      <c r="J121" s="17"/>
      <c r="K121" s="17"/>
      <c r="N121" s="3833"/>
      <c r="O121" s="3835"/>
      <c r="Z121" s="2807" t="s">
        <v>6775</v>
      </c>
      <c r="AA121" s="1788">
        <v>121</v>
      </c>
    </row>
    <row r="122" spans="1:27" ht="13.35" customHeight="1">
      <c r="A122" s="21" t="str">
        <f>$A92</f>
        <v>Mortgage C</v>
      </c>
      <c r="B122" s="2945">
        <f>IF('Part III-Sources of Funds'!$P$42="", 0,-'Part III-Sources of Funds'!$P$42)</f>
        <v>0</v>
      </c>
      <c r="C122" s="2945">
        <f>IF('Part III-Sources of Funds'!$P$42="", 0,-'Part III-Sources of Funds'!$P$42)</f>
        <v>0</v>
      </c>
      <c r="D122" s="2945">
        <f>IF('Part III-Sources of Funds'!$P$42="", 0,-'Part III-Sources of Funds'!$P$42)</f>
        <v>0</v>
      </c>
      <c r="E122" s="2945">
        <f>IF('Part III-Sources of Funds'!$P$42="", 0,-'Part III-Sources of Funds'!$P$42)</f>
        <v>0</v>
      </c>
      <c r="F122" s="2945">
        <f>IF('Part III-Sources of Funds'!$P$42="", 0,-'Part III-Sources of Funds'!$P$42)</f>
        <v>0</v>
      </c>
      <c r="G122" s="17"/>
      <c r="H122" s="17"/>
      <c r="I122" s="17"/>
      <c r="J122" s="17"/>
      <c r="K122" s="17"/>
      <c r="N122" s="3833"/>
      <c r="O122" s="3835"/>
      <c r="Z122" s="2807" t="s">
        <v>6775</v>
      </c>
      <c r="AA122" s="1788">
        <v>122</v>
      </c>
    </row>
    <row r="123" spans="1:27" ht="13.35" customHeight="1">
      <c r="A123" s="21" t="str">
        <f>$A93</f>
        <v>D/S Other Source,not DDF</v>
      </c>
      <c r="B123" s="2945">
        <f>IF('Part III-Sources of Funds'!$P$43="", 0,-'Part III-Sources of Funds'!$P$43)</f>
        <v>0</v>
      </c>
      <c r="C123" s="2945">
        <f>IF('Part III-Sources of Funds'!$P$43="", 0,-'Part III-Sources of Funds'!$P$43)</f>
        <v>0</v>
      </c>
      <c r="D123" s="2945">
        <f>IF('Part III-Sources of Funds'!$P$43="", 0,-'Part III-Sources of Funds'!$P$43)</f>
        <v>0</v>
      </c>
      <c r="E123" s="2945">
        <f>IF('Part III-Sources of Funds'!$P$43="", 0,-'Part III-Sources of Funds'!$P$43)</f>
        <v>0</v>
      </c>
      <c r="F123" s="2945">
        <f>IF('Part III-Sources of Funds'!$P$43="", 0,-'Part III-Sources of Funds'!$P$43)</f>
        <v>0</v>
      </c>
      <c r="G123" s="17"/>
      <c r="H123" s="17"/>
      <c r="I123" s="17"/>
      <c r="J123" s="17"/>
      <c r="K123" s="17"/>
      <c r="N123" s="3833"/>
      <c r="O123" s="3835"/>
      <c r="Z123" s="2807" t="s">
        <v>6775</v>
      </c>
      <c r="AA123" s="1787">
        <v>123</v>
      </c>
    </row>
    <row r="124" spans="1:27" ht="13.35" customHeight="1">
      <c r="A124" s="21" t="s">
        <v>733</v>
      </c>
      <c r="B124" s="2946"/>
      <c r="C124" s="2946"/>
      <c r="D124" s="2946"/>
      <c r="E124" s="2946"/>
      <c r="F124" s="2946"/>
      <c r="G124" s="17"/>
      <c r="H124" s="17"/>
      <c r="I124" s="17"/>
      <c r="J124" s="17"/>
      <c r="K124" s="17"/>
      <c r="N124" s="3833"/>
      <c r="O124" s="3835"/>
      <c r="Z124" s="2807" t="s">
        <v>6775</v>
      </c>
      <c r="AA124" s="1788">
        <v>124</v>
      </c>
    </row>
    <row r="125" spans="1:27" ht="13.35" customHeight="1">
      <c r="A125" s="21" t="s">
        <v>1121</v>
      </c>
      <c r="B125" s="2948">
        <f>+K95</f>
        <v>0</v>
      </c>
      <c r="C125" s="2948">
        <f>+B125</f>
        <v>0</v>
      </c>
      <c r="D125" s="2948">
        <f>+C125</f>
        <v>0</v>
      </c>
      <c r="E125" s="2948">
        <f>+D125</f>
        <v>0</v>
      </c>
      <c r="F125" s="2948">
        <f>+E125</f>
        <v>0</v>
      </c>
      <c r="G125" s="17"/>
      <c r="H125" s="17"/>
      <c r="I125" s="17"/>
      <c r="J125" s="17"/>
      <c r="K125" s="17"/>
      <c r="N125" s="3833"/>
      <c r="O125" s="3835"/>
      <c r="Z125" s="2807" t="s">
        <v>6775</v>
      </c>
      <c r="AA125" s="1788">
        <v>125</v>
      </c>
    </row>
    <row r="126" spans="1:27" ht="13.35" customHeight="1">
      <c r="A126" s="21" t="s">
        <v>1122</v>
      </c>
      <c r="B126" s="22">
        <f>SUM(B119:B125)</f>
        <v>-43484.784514875049</v>
      </c>
      <c r="C126" s="22">
        <f>SUM(C119:C125)</f>
        <v>-50949.824840112167</v>
      </c>
      <c r="D126" s="22">
        <f>SUM(D119:D125)</f>
        <v>-58838.159174107321</v>
      </c>
      <c r="E126" s="22">
        <f>SUM(E119:E125)</f>
        <v>-67164.933993103972</v>
      </c>
      <c r="F126" s="23">
        <f>SUM(F119:F125)</f>
        <v>-75948.864720752317</v>
      </c>
      <c r="G126" s="17"/>
      <c r="H126" s="17"/>
      <c r="I126" s="17"/>
      <c r="J126" s="17"/>
      <c r="K126" s="17"/>
      <c r="N126" s="3833"/>
      <c r="O126" s="3835"/>
      <c r="Z126" s="2807" t="s">
        <v>6775</v>
      </c>
      <c r="AA126" s="1788">
        <v>126</v>
      </c>
    </row>
    <row r="127" spans="1:27" ht="13.35" customHeight="1">
      <c r="A127" s="21" t="str">
        <f>$A97</f>
        <v>DCR Mortgage A</v>
      </c>
      <c r="B127" s="24">
        <f>IF(B120=0,"",-B119/B120)</f>
        <v>0.65432420049163276</v>
      </c>
      <c r="C127" s="24">
        <f>IF(C120=0,"",-C119/C120)</f>
        <v>0.5949819774226458</v>
      </c>
      <c r="D127" s="24">
        <f>IF(D120=0,"",-D119/D120)</f>
        <v>0.53227484185525431</v>
      </c>
      <c r="E127" s="24">
        <f>IF(E120=0,"",-E119/E120)</f>
        <v>0.46608238913887495</v>
      </c>
      <c r="F127" s="25">
        <f>IF(F120=0,"",-F119/F120)</f>
        <v>0.39625584380858186</v>
      </c>
      <c r="G127" s="17"/>
      <c r="H127" s="17"/>
      <c r="I127" s="17"/>
      <c r="J127" s="17"/>
      <c r="K127" s="17"/>
      <c r="N127" s="3833"/>
      <c r="O127" s="3835"/>
      <c r="Z127" s="2807" t="s">
        <v>6775</v>
      </c>
      <c r="AA127" s="1788">
        <v>127</v>
      </c>
    </row>
    <row r="128" spans="1:27" ht="13.35" customHeight="1">
      <c r="A128" s="21" t="str">
        <f>$A98</f>
        <v>DCR Mortgage B</v>
      </c>
      <c r="B128" s="24" t="str">
        <f>IF(B121=0,"",-(B119+B120)/B121)</f>
        <v/>
      </c>
      <c r="C128" s="24" t="str">
        <f>IF(C121=0,"",-(C119+C120)/C121)</f>
        <v/>
      </c>
      <c r="D128" s="24" t="str">
        <f>IF(D121=0,"",-(D119+D120)/D121)</f>
        <v/>
      </c>
      <c r="E128" s="24" t="str">
        <f>IF(E121=0,"",-(E119+E120)/E121)</f>
        <v/>
      </c>
      <c r="F128" s="25" t="str">
        <f>IF(F121=0,"",-(F119+F120)/F121)</f>
        <v/>
      </c>
      <c r="G128" s="17"/>
      <c r="H128" s="17"/>
      <c r="I128" s="17"/>
      <c r="J128" s="17"/>
      <c r="K128" s="17"/>
      <c r="N128" s="3833"/>
      <c r="O128" s="3835"/>
      <c r="Z128" s="2807" t="s">
        <v>6775</v>
      </c>
      <c r="AA128" s="1788">
        <v>128</v>
      </c>
    </row>
    <row r="129" spans="1:27" ht="13.35" customHeight="1">
      <c r="A129" s="21" t="str">
        <f>$A99</f>
        <v>DCR Mortgage C</v>
      </c>
      <c r="B129" s="24" t="str">
        <f>IF(B122=0,"",-(B119+B120+B121)/B122)</f>
        <v/>
      </c>
      <c r="C129" s="24" t="str">
        <f>IF(C122=0,"",-(C119+C120+C121)/C122)</f>
        <v/>
      </c>
      <c r="D129" s="24" t="str">
        <f>IF(D122=0,"",-(D119+D120+D121)/D122)</f>
        <v/>
      </c>
      <c r="E129" s="24" t="str">
        <f>IF(E122=0,"",-(E119+E120+E121)/E122)</f>
        <v/>
      </c>
      <c r="F129" s="25" t="str">
        <f>IF(F122=0,"",-(F119+F120+F121)/F122)</f>
        <v/>
      </c>
      <c r="G129" s="17"/>
      <c r="H129" s="17"/>
      <c r="I129" s="17"/>
      <c r="J129" s="17"/>
      <c r="K129" s="17"/>
      <c r="N129" s="3833"/>
      <c r="O129" s="3835"/>
      <c r="Z129" s="2807" t="s">
        <v>6775</v>
      </c>
      <c r="AA129" s="1788">
        <v>129</v>
      </c>
    </row>
    <row r="130" spans="1:27" ht="13.35" customHeight="1">
      <c r="A130" s="21" t="str">
        <f>$A100</f>
        <v>DCR Other Source</v>
      </c>
      <c r="B130" s="24" t="str">
        <f>IF(B123=0,"",-(B119+B120+B121+B122)/B123)</f>
        <v/>
      </c>
      <c r="C130" s="24" t="str">
        <f>IF(C123=0,"",-(C119+C120+C121+C122)/C123)</f>
        <v/>
      </c>
      <c r="D130" s="24" t="str">
        <f>IF(D123=0,"",-(D119+D120+D121+D122)/D123)</f>
        <v/>
      </c>
      <c r="E130" s="24" t="str">
        <f>IF(E123=0,"",-(E119+E120+E121+E122)/E123)</f>
        <v/>
      </c>
      <c r="F130" s="25" t="str">
        <f>IF(F123=0,"",-(F119+F120+F121+F122)/F123)</f>
        <v/>
      </c>
      <c r="G130" s="17"/>
      <c r="H130" s="17"/>
      <c r="I130" s="17"/>
      <c r="J130" s="17"/>
      <c r="K130" s="17"/>
      <c r="N130" s="3833"/>
      <c r="O130" s="3835"/>
      <c r="Z130" s="2807" t="s">
        <v>6775</v>
      </c>
      <c r="AA130" s="1788">
        <v>130</v>
      </c>
    </row>
    <row r="131" spans="1:27" ht="13.35" customHeight="1">
      <c r="A131" s="409" t="s">
        <v>3343</v>
      </c>
      <c r="B131" s="24">
        <f>IF(AND(B120=0,B121=0,B122=0,B123=0),"",-B119/(B120+B121+B122+B123))</f>
        <v>0.65432420049163276</v>
      </c>
      <c r="C131" s="24">
        <f>IF(AND(C120=0,C121=0,C122=0,C123=0),"",-C119/(C120+C121+C122+C123))</f>
        <v>0.5949819774226458</v>
      </c>
      <c r="D131" s="24">
        <f>IF(AND(D120=0,D121=0,D122=0,D123=0),"",-D119/(D120+D121+D122+D123))</f>
        <v>0.53227484185525431</v>
      </c>
      <c r="E131" s="24">
        <f>IF(AND(E120=0,E121=0,E122=0,E123=0),"",-E119/(E120+E121+E122+E123))</f>
        <v>0.46608238913887495</v>
      </c>
      <c r="F131" s="25">
        <f>IF(AND(F120=0,F121=0,F122=0,F123=0),"",-F119/(F120+F121+F122+F123))</f>
        <v>0.39625584380858186</v>
      </c>
      <c r="G131" s="17"/>
      <c r="H131" s="17"/>
      <c r="I131" s="17"/>
      <c r="J131" s="17"/>
      <c r="K131" s="17"/>
      <c r="N131" s="3833"/>
      <c r="O131" s="3835"/>
      <c r="Z131" s="2807" t="s">
        <v>6775</v>
      </c>
      <c r="AA131" s="1788">
        <v>131</v>
      </c>
    </row>
    <row r="132" spans="1:27" ht="13.35" customHeight="1">
      <c r="A132" s="21" t="s">
        <v>740</v>
      </c>
      <c r="B132" s="263">
        <f>IF(OR(B116="Choose mgt fee",B116="Choose One!"),"",(B109+B110+B111+B112+B113) / -(B115+B116+B117))</f>
        <v>1.0844677827965072</v>
      </c>
      <c r="C132" s="263">
        <f>IF(OR(C116="Choose mgt fee",C116="Choose One!"),"",(C109+C110+C111+C112+C113) / -(C115+C116+C117))</f>
        <v>1.0746181594889952</v>
      </c>
      <c r="D132" s="263">
        <f>IF(OR(D116="Choose mgt fee",D116="Choose One!"),"",(D109+D110+D111+D112+D113) / -(D115+D116+D117))</f>
        <v>1.064851209127885</v>
      </c>
      <c r="E132" s="263">
        <f>IF(OR(E116="Choose mgt fee",E116="Choose One!"),"",(E109+E110+E111+E112+E113) / -(E115+E116+E117))</f>
        <v>1.0551679079936358</v>
      </c>
      <c r="F132" s="567">
        <f>IF(OR(F116="Choose mgt fee",F116="Choose One!"),"",(F109+F110+F111+F112+F113) / -(F115+F116+F117))</f>
        <v>1.045566148420362</v>
      </c>
      <c r="G132" s="17"/>
      <c r="H132" s="17"/>
      <c r="I132" s="17"/>
      <c r="J132" s="17"/>
      <c r="K132" s="17"/>
      <c r="N132" s="3833"/>
      <c r="O132" s="3835"/>
      <c r="Z132" s="2807" t="s">
        <v>6775</v>
      </c>
      <c r="AA132" s="1787">
        <v>132</v>
      </c>
    </row>
    <row r="133" spans="1:27" ht="13.35" customHeight="1">
      <c r="A133" s="409" t="s">
        <v>2492</v>
      </c>
      <c r="B133" s="2949">
        <f>IF('Part III-Sources of Funds'!$I$40="","",-FV('Part III-Sources of Funds'!$K$40/12,12,B120/12,K103))</f>
        <v>452973.5415710333</v>
      </c>
      <c r="C133" s="2949">
        <f>IF('Part III-Sources of Funds'!$I$40="","",-FV('Part III-Sources of Funds'!$K$40/12,12,C120/12,B133))</f>
        <v>348467.31678617914</v>
      </c>
      <c r="D133" s="2949">
        <f>IF('Part III-Sources of Funds'!$I$40="","",-FV('Part III-Sources of Funds'!$K$40/12,12,D120/12,C133))</f>
        <v>238340.55005763122</v>
      </c>
      <c r="E133" s="2949">
        <f>IF('Part III-Sources of Funds'!$I$40="","",-FV('Part III-Sources of Funds'!$K$40/12,12,E120/12,D133))</f>
        <v>122290.95803522693</v>
      </c>
      <c r="F133" s="2949">
        <f>IF('Part III-Sources of Funds'!$I$40="","",-FV('Part III-Sources of Funds'!$K$40/12,12,F120/12,E133))</f>
        <v>-9.4529241323471069E-8</v>
      </c>
      <c r="G133" s="17"/>
      <c r="H133" s="17"/>
      <c r="I133" s="17"/>
      <c r="J133" s="17"/>
      <c r="K133" s="17"/>
      <c r="N133" s="3833"/>
      <c r="O133" s="3835"/>
      <c r="Z133" s="2807" t="s">
        <v>6775</v>
      </c>
      <c r="AA133" s="1788">
        <v>133</v>
      </c>
    </row>
    <row r="134" spans="1:27" ht="13.35" customHeight="1">
      <c r="A134" s="409" t="s">
        <v>2493</v>
      </c>
      <c r="B134" s="2945" t="str">
        <f>IF('Part III-Sources of Funds'!$I$41="","",-FV('Part III-Sources of Funds'!$K$41/12,12,B121/12,K104))</f>
        <v/>
      </c>
      <c r="C134" s="2945" t="str">
        <f>IF('Part III-Sources of Funds'!$I$41="","",-FV('Part III-Sources of Funds'!$K$41/12,12,C121/12,B134))</f>
        <v/>
      </c>
      <c r="D134" s="2945" t="str">
        <f>IF('Part III-Sources of Funds'!$I$41="","",-FV('Part III-Sources of Funds'!$K$41/12,12,D121/12,C134))</f>
        <v/>
      </c>
      <c r="E134" s="2945" t="str">
        <f>IF('Part III-Sources of Funds'!$I$41="","",-FV('Part III-Sources of Funds'!$K$41/12,12,E121/12,D134))</f>
        <v/>
      </c>
      <c r="F134" s="2945" t="str">
        <f>IF('Part III-Sources of Funds'!$I$41="","",-FV('Part III-Sources of Funds'!$K$41/12,12,F121/12,E134))</f>
        <v/>
      </c>
      <c r="G134" s="17"/>
      <c r="H134" s="17"/>
      <c r="I134" s="17"/>
      <c r="J134" s="17"/>
      <c r="K134" s="17"/>
      <c r="N134" s="3833"/>
      <c r="O134" s="3835"/>
      <c r="Z134" s="2807" t="s">
        <v>6775</v>
      </c>
      <c r="AA134" s="1788">
        <v>134</v>
      </c>
    </row>
    <row r="135" spans="1:27" ht="13.35" customHeight="1">
      <c r="A135" s="409" t="s">
        <v>2494</v>
      </c>
      <c r="B135" s="2945" t="str">
        <f>IF('Part III-Sources of Funds'!$I$42="","",-FV('Part III-Sources of Funds'!$K$42/12,12,B122/12,K105))</f>
        <v/>
      </c>
      <c r="C135" s="2945" t="str">
        <f>IF('Part III-Sources of Funds'!$I$42="","",-FV('Part III-Sources of Funds'!$K$42/12,12,C122/12,B135))</f>
        <v/>
      </c>
      <c r="D135" s="2945" t="str">
        <f>IF('Part III-Sources of Funds'!$I$42="","",-FV('Part III-Sources of Funds'!$K$42/12,12,D122/12,C135))</f>
        <v/>
      </c>
      <c r="E135" s="2945" t="str">
        <f>IF('Part III-Sources of Funds'!$I$42="","",-FV('Part III-Sources of Funds'!$K$42/12,12,E122/12,D135))</f>
        <v/>
      </c>
      <c r="F135" s="2945" t="str">
        <f>IF('Part III-Sources of Funds'!$I$42="","",-FV('Part III-Sources of Funds'!$K$42/12,12,F122/12,E135))</f>
        <v/>
      </c>
      <c r="G135" s="17"/>
      <c r="H135" s="17"/>
      <c r="I135" s="17"/>
      <c r="J135" s="17"/>
      <c r="K135" s="17"/>
      <c r="N135" s="3833"/>
      <c r="O135" s="3835"/>
      <c r="Z135" s="2807" t="s">
        <v>6775</v>
      </c>
      <c r="AA135" s="1788">
        <v>135</v>
      </c>
    </row>
    <row r="136" spans="1:27" ht="13.35" customHeight="1">
      <c r="A136" s="26" t="s">
        <v>752</v>
      </c>
      <c r="B136" s="2948" t="str">
        <f>IF('Part III-Sources of Funds'!$I$43="","",-FV('Part III-Sources of Funds'!$K$43/12,12,B123/12,K106))</f>
        <v/>
      </c>
      <c r="C136" s="2948" t="str">
        <f>IF('Part III-Sources of Funds'!$I$43="","",-FV('Part III-Sources of Funds'!$K$43/12,12,C123/12,B136))</f>
        <v/>
      </c>
      <c r="D136" s="2948" t="str">
        <f>IF('Part III-Sources of Funds'!$I$43="","",-FV('Part III-Sources of Funds'!$K$43/12,12,D123/12,C136))</f>
        <v/>
      </c>
      <c r="E136" s="2948" t="str">
        <f>IF('Part III-Sources of Funds'!$I$43="","",-FV('Part III-Sources of Funds'!$K$43/12,12,E123/12,D136))</f>
        <v/>
      </c>
      <c r="F136" s="2948" t="str">
        <f>IF('Part III-Sources of Funds'!$I$43="","",-FV('Part III-Sources of Funds'!$K$43/12,12,F123/12,E136))</f>
        <v/>
      </c>
      <c r="G136" s="17"/>
      <c r="H136" s="17"/>
      <c r="I136" s="17"/>
      <c r="J136" s="17"/>
      <c r="K136" s="17"/>
      <c r="N136" s="3839"/>
      <c r="O136" s="3841"/>
      <c r="Z136" s="2807" t="s">
        <v>6775</v>
      </c>
      <c r="AA136" s="1788">
        <v>136</v>
      </c>
    </row>
    <row r="137" spans="1:27" ht="4.3499999999999996" customHeight="1"/>
    <row r="138" spans="1:27" ht="12" customHeight="1">
      <c r="A138" s="13" t="s">
        <v>542</v>
      </c>
      <c r="B138" s="13"/>
      <c r="G138" s="13" t="s">
        <v>992</v>
      </c>
    </row>
    <row r="139" spans="1:27" ht="12" customHeight="1">
      <c r="B139" s="31"/>
    </row>
    <row r="140" spans="1:27" ht="409.5" customHeight="1">
      <c r="A140" s="3196" t="s">
        <v>3207</v>
      </c>
      <c r="B140" s="3935"/>
      <c r="C140" s="3935"/>
      <c r="D140" s="3935"/>
      <c r="E140" s="3935"/>
      <c r="F140" s="3936"/>
      <c r="G140" s="3937"/>
      <c r="H140" s="3938"/>
      <c r="I140" s="3938"/>
      <c r="J140" s="3938"/>
      <c r="K140" s="3939"/>
      <c r="N140" s="3467" t="s">
        <v>2541</v>
      </c>
      <c r="O140" s="3467"/>
    </row>
    <row r="141" spans="1:27" ht="11.25" customHeight="1"/>
    <row r="142" spans="1:27" ht="12" customHeight="1">
      <c r="B142" s="13"/>
    </row>
    <row r="143" spans="1:27" ht="12" customHeight="1">
      <c r="B143" s="31"/>
      <c r="Q143" s="1"/>
      <c r="R143" s="1"/>
    </row>
    <row r="144" spans="1:27" ht="12" customHeight="1">
      <c r="Q144" s="1"/>
      <c r="R144" s="1"/>
      <c r="S144" s="1"/>
    </row>
    <row r="145" spans="12:27" s="1" customFormat="1" ht="12" customHeight="1">
      <c r="L145" s="8"/>
      <c r="M145" s="8"/>
      <c r="N145" s="8"/>
      <c r="O145" s="8"/>
      <c r="Z145" s="2850"/>
      <c r="AA145" s="1789"/>
    </row>
    <row r="146" spans="12:27" s="1" customFormat="1" ht="12" customHeight="1">
      <c r="L146" s="8"/>
      <c r="M146" s="8"/>
      <c r="N146" s="8"/>
      <c r="O146" s="8"/>
      <c r="Z146" s="2850"/>
      <c r="AA146" s="1789"/>
    </row>
    <row r="147" spans="12:27" s="1" customFormat="1" ht="12" customHeight="1">
      <c r="L147" s="8"/>
      <c r="M147" s="8"/>
      <c r="N147" s="8"/>
      <c r="O147" s="8"/>
      <c r="Q147" s="8"/>
      <c r="R147" s="8"/>
      <c r="Z147" s="2850"/>
      <c r="AA147" s="1789"/>
    </row>
    <row r="148" spans="12:27" s="1" customFormat="1" ht="12" customHeight="1">
      <c r="L148" s="8"/>
      <c r="M148" s="8"/>
      <c r="N148" s="8"/>
      <c r="O148" s="8"/>
      <c r="S148" s="8"/>
      <c r="Z148" s="2850"/>
      <c r="AA148" s="1789"/>
    </row>
    <row r="149" spans="12:27" ht="12" customHeight="1">
      <c r="Q149" s="1"/>
      <c r="R149" s="1"/>
      <c r="S149" s="1"/>
    </row>
    <row r="150" spans="12:27" s="1" customFormat="1" ht="12" customHeight="1">
      <c r="L150" s="8"/>
      <c r="M150" s="8"/>
      <c r="N150" s="8"/>
      <c r="O150" s="8"/>
      <c r="Q150" s="8"/>
      <c r="R150" s="8"/>
      <c r="Z150" s="2850"/>
      <c r="AA150" s="1789"/>
    </row>
    <row r="151" spans="12:27" s="1" customFormat="1" ht="12" customHeight="1">
      <c r="L151" s="8"/>
      <c r="M151" s="8"/>
      <c r="N151" s="8"/>
      <c r="O151" s="8"/>
      <c r="S151" s="8"/>
      <c r="Z151" s="2850"/>
      <c r="AA151" s="1789"/>
    </row>
    <row r="152" spans="12:27" ht="12" customHeight="1">
      <c r="Q152" s="1"/>
      <c r="R152" s="1"/>
      <c r="S152" s="1"/>
    </row>
    <row r="153" spans="12:27" s="1" customFormat="1" ht="12" customHeight="1">
      <c r="L153" s="8"/>
      <c r="M153" s="8"/>
      <c r="N153" s="8"/>
      <c r="O153" s="8"/>
      <c r="Z153" s="2850"/>
      <c r="AA153" s="1789"/>
    </row>
    <row r="154" spans="12:27" s="1" customFormat="1" ht="12" customHeight="1">
      <c r="L154" s="8"/>
      <c r="M154" s="8"/>
      <c r="N154" s="8"/>
      <c r="O154" s="8"/>
      <c r="Z154" s="2850"/>
      <c r="AA154" s="1789"/>
    </row>
    <row r="155" spans="12:27" s="1" customFormat="1" ht="12" customHeight="1">
      <c r="L155" s="8"/>
      <c r="M155" s="8"/>
      <c r="N155" s="8"/>
      <c r="O155" s="8"/>
      <c r="Z155" s="2850"/>
      <c r="AA155" s="1789"/>
    </row>
    <row r="156" spans="12:27" s="1" customFormat="1" ht="12" customHeight="1">
      <c r="L156" s="8"/>
      <c r="M156" s="8"/>
      <c r="N156" s="8"/>
      <c r="O156" s="8"/>
      <c r="Z156" s="2850"/>
      <c r="AA156" s="1789"/>
    </row>
    <row r="157" spans="12:27" s="1" customFormat="1" ht="12" customHeight="1">
      <c r="L157" s="8"/>
      <c r="M157" s="8"/>
      <c r="N157" s="8"/>
      <c r="O157" s="8"/>
      <c r="Z157" s="2850"/>
      <c r="AA157" s="1789"/>
    </row>
    <row r="158" spans="12:27" s="1" customFormat="1" ht="12" customHeight="1">
      <c r="L158" s="8"/>
      <c r="M158" s="8"/>
      <c r="N158" s="8"/>
      <c r="O158" s="8"/>
      <c r="Q158" s="8"/>
      <c r="R158" s="8"/>
      <c r="Z158" s="2850"/>
      <c r="AA158" s="1789"/>
    </row>
    <row r="159" spans="12:27" s="1" customFormat="1" ht="12" customHeight="1">
      <c r="L159" s="8"/>
      <c r="M159" s="8"/>
      <c r="N159" s="8"/>
      <c r="O159" s="8"/>
      <c r="S159" s="8"/>
      <c r="Z159" s="2850"/>
      <c r="AA159" s="1789"/>
    </row>
    <row r="160" spans="12:27" ht="12" customHeight="1">
      <c r="Q160" s="1"/>
      <c r="R160" s="1"/>
      <c r="S160" s="1"/>
    </row>
    <row r="161" spans="12:27" s="1" customFormat="1" ht="12" customHeight="1">
      <c r="L161" s="8"/>
      <c r="M161" s="8"/>
      <c r="N161" s="8"/>
      <c r="O161" s="8"/>
      <c r="Z161" s="2850"/>
      <c r="AA161" s="1789"/>
    </row>
    <row r="162" spans="12:27" s="1" customFormat="1" ht="12" customHeight="1">
      <c r="L162" s="8"/>
      <c r="M162" s="8"/>
      <c r="N162" s="8"/>
      <c r="O162" s="8"/>
      <c r="Z162" s="2850"/>
      <c r="AA162" s="1789"/>
    </row>
    <row r="163" spans="12:27" s="1" customFormat="1" ht="12" customHeight="1">
      <c r="L163" s="8"/>
      <c r="M163" s="8"/>
      <c r="N163" s="8"/>
      <c r="O163" s="8"/>
      <c r="Z163" s="2850"/>
      <c r="AA163" s="1789"/>
    </row>
    <row r="164" spans="12:27" s="1" customFormat="1" ht="12" customHeight="1">
      <c r="L164" s="8"/>
      <c r="M164" s="8"/>
      <c r="N164" s="8"/>
      <c r="O164" s="8"/>
      <c r="Z164" s="2850"/>
      <c r="AA164" s="1789"/>
    </row>
    <row r="165" spans="12:27" s="1" customFormat="1" ht="12" customHeight="1">
      <c r="L165" s="8"/>
      <c r="M165" s="8"/>
      <c r="N165" s="8"/>
      <c r="O165" s="8"/>
      <c r="Z165" s="2850"/>
      <c r="AA165" s="1789"/>
    </row>
    <row r="166" spans="12:27" s="1" customFormat="1" ht="12" customHeight="1">
      <c r="L166" s="8"/>
      <c r="M166" s="8"/>
      <c r="N166" s="8"/>
      <c r="O166" s="8"/>
      <c r="Z166" s="2850"/>
      <c r="AA166" s="1789"/>
    </row>
    <row r="167" spans="12:27" s="1" customFormat="1" ht="12" customHeight="1">
      <c r="L167" s="8"/>
      <c r="M167" s="8"/>
      <c r="N167" s="8"/>
      <c r="O167" s="8"/>
      <c r="Z167" s="2850"/>
      <c r="AA167" s="1789"/>
    </row>
    <row r="168" spans="12:27" s="1" customFormat="1" ht="12" customHeight="1">
      <c r="L168" s="8"/>
      <c r="M168" s="8"/>
      <c r="N168" s="8"/>
      <c r="O168" s="8"/>
      <c r="Z168" s="2850"/>
      <c r="AA168" s="1789"/>
    </row>
    <row r="169" spans="12:27" s="1" customFormat="1" ht="12" customHeight="1">
      <c r="L169" s="8"/>
      <c r="M169" s="8"/>
      <c r="N169" s="8"/>
      <c r="O169" s="8"/>
      <c r="Z169" s="2850"/>
      <c r="AA169" s="1789"/>
    </row>
    <row r="170" spans="12:27" s="1" customFormat="1" ht="12" customHeight="1">
      <c r="L170" s="8"/>
      <c r="M170" s="8"/>
      <c r="N170" s="8"/>
      <c r="O170" s="8"/>
      <c r="Q170" s="8"/>
      <c r="R170" s="8"/>
      <c r="Z170" s="2850"/>
      <c r="AA170" s="1789"/>
    </row>
    <row r="171" spans="12:27" s="1" customFormat="1" ht="12" customHeight="1">
      <c r="L171" s="8"/>
      <c r="M171" s="8"/>
      <c r="N171" s="8"/>
      <c r="O171" s="8"/>
      <c r="Q171" s="8"/>
      <c r="R171" s="8"/>
      <c r="S171" s="8"/>
      <c r="Z171" s="2850"/>
      <c r="AA171" s="1789"/>
    </row>
    <row r="172" spans="12:27" ht="12" customHeight="1"/>
    <row r="173" spans="12:27" ht="12" customHeight="1"/>
    <row r="174" spans="12:27" ht="12" customHeight="1"/>
    <row r="175" spans="12:27" ht="12" customHeight="1"/>
  </sheetData>
  <sheetProtection algorithmName="SHA-512" hashValue="TmuSd46pz7uwPeOSSJvkV/eHi3Sf6BbiQL6lHRSroIR0VxPeL1Tz6ozfHlGIiiM6nUb0ELSOa4II2K4hvgTmLw==" saltValue="zJ1PCTaRIXF2HnOElQQ2cw==" spinCount="100000" sheet="1" objects="1" scenarios="1" selectLockedCells="1" selectUnlockedCells="1"/>
  <mergeCells count="136">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30:O30"/>
    <mergeCell ref="N31:O31"/>
    <mergeCell ref="N33:O33"/>
    <mergeCell ref="N32:O32"/>
    <mergeCell ref="N24:O24"/>
    <mergeCell ref="N42:O42"/>
    <mergeCell ref="N61:O61"/>
    <mergeCell ref="N62:O62"/>
    <mergeCell ref="N63:O63"/>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81:O81"/>
    <mergeCell ref="N82:O82"/>
    <mergeCell ref="N83:O83"/>
    <mergeCell ref="N67:O67"/>
    <mergeCell ref="N68:O68"/>
    <mergeCell ref="N69:O69"/>
    <mergeCell ref="N70:O70"/>
    <mergeCell ref="N71:O71"/>
    <mergeCell ref="N74:O74"/>
    <mergeCell ref="N75:O75"/>
    <mergeCell ref="N72:O72"/>
    <mergeCell ref="N73:O73"/>
    <mergeCell ref="N76:O76"/>
    <mergeCell ref="N91:O91"/>
    <mergeCell ref="N92:O92"/>
    <mergeCell ref="N93:O93"/>
    <mergeCell ref="N94:O94"/>
    <mergeCell ref="N95:O95"/>
    <mergeCell ref="N85:O85"/>
    <mergeCell ref="N86:O86"/>
    <mergeCell ref="N87:O87"/>
    <mergeCell ref="N89:O89"/>
    <mergeCell ref="N90:O90"/>
    <mergeCell ref="N88:O8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134:O134"/>
    <mergeCell ref="N129:O129"/>
    <mergeCell ref="N130:O130"/>
    <mergeCell ref="N131:O131"/>
    <mergeCell ref="N132:O132"/>
    <mergeCell ref="N133:O133"/>
    <mergeCell ref="N124:O124"/>
    <mergeCell ref="N125:O125"/>
    <mergeCell ref="N126:O126"/>
    <mergeCell ref="N127:O127"/>
    <mergeCell ref="N128:O128"/>
    <mergeCell ref="N119:O119"/>
    <mergeCell ref="N120:O120"/>
    <mergeCell ref="N121:O121"/>
    <mergeCell ref="N122:O122"/>
    <mergeCell ref="N123:O123"/>
    <mergeCell ref="N112:O112"/>
    <mergeCell ref="N113:O113"/>
    <mergeCell ref="N115:O115"/>
    <mergeCell ref="N116:O116"/>
    <mergeCell ref="N117:O117"/>
    <mergeCell ref="N118:O118"/>
  </mergeCells>
  <conditionalFormatting sqref="G7">
    <cfRule type="expression" dxfId="53" priority="11">
      <formula>$G$7&lt;$G$6</formula>
    </cfRule>
  </conditionalFormatting>
  <conditionalFormatting sqref="A31">
    <cfRule type="expression" dxfId="52" priority="10">
      <formula>"or(B28&lt;$G$6,C28&lt;$G$6,D28&lt;$G$6,E28&lt;$G$6,F28&lt;$G$6,G28&lt;$G$6,H28&lt;$G$6,I28&lt;$G$6,J28&lt;$G$6,K28&lt;$G$6,)"</formula>
    </cfRule>
  </conditionalFormatting>
  <conditionalFormatting sqref="A63">
    <cfRule type="expression" dxfId="51" priority="7">
      <formula>"or(B28&lt;$G$6,C28&lt;$G$6,D28&lt;$G$6,E28&lt;$G$6,F28&lt;$G$6,G28&lt;$G$6,H28&lt;$G$6,I28&lt;$G$6,J28&lt;$G$6,K28&lt;$G$6,)"</formula>
    </cfRule>
  </conditionalFormatting>
  <conditionalFormatting sqref="A95">
    <cfRule type="expression" dxfId="50" priority="6">
      <formula>"or(B28&lt;$G$6,C28&lt;$G$6,D28&lt;$G$6,E28&lt;$G$6,F28&lt;$G$6,G28&lt;$G$6,H28&lt;$G$6,I28&lt;$G$6,J28&lt;$G$6,K28&lt;$G$6,)"</formula>
    </cfRule>
  </conditionalFormatting>
  <conditionalFormatting sqref="A24">
    <cfRule type="expression" dxfId="49" priority="5">
      <formula>"or(B28&lt;$G$6,C28&lt;$G$6,D28&lt;$G$6,E28&lt;$G$6,F28&lt;$G$6,G28&lt;$G$6,H28&lt;$G$6,I28&lt;$G$6,J28&lt;$G$6,K28&lt;$G$6,)"</formula>
    </cfRule>
  </conditionalFormatting>
  <conditionalFormatting sqref="A56">
    <cfRule type="expression" dxfId="48" priority="4">
      <formula>"or(B28&lt;$G$6,C28&lt;$G$6,D28&lt;$G$6,E28&lt;$G$6,F28&lt;$G$6,G28&lt;$G$6,H28&lt;$G$6,I28&lt;$G$6,J28&lt;$G$6,K28&lt;$G$6,)"</formula>
    </cfRule>
  </conditionalFormatting>
  <conditionalFormatting sqref="A88">
    <cfRule type="expression" dxfId="47" priority="3">
      <formula>"or(B28&lt;$G$6,C28&lt;$G$6,D28&lt;$G$6,E28&lt;$G$6,F28&lt;$G$6,G28&lt;$G$6,H28&lt;$G$6,I28&lt;$G$6,J28&lt;$G$6,K28&lt;$G$6,)"</formula>
    </cfRule>
  </conditionalFormatting>
  <conditionalFormatting sqref="A118">
    <cfRule type="expression" dxfId="46" priority="2">
      <formula>"or(B28&lt;$G$6,C28&lt;$G$6,D28&lt;$G$6,E28&lt;$G$6,F28&lt;$G$6,G28&lt;$G$6,H28&lt;$G$6,I28&lt;$G$6,J28&lt;$G$6,K28&lt;$G$6,)"</formula>
    </cfRule>
  </conditionalFormatting>
  <conditionalFormatting sqref="C9">
    <cfRule type="containsText" dxfId="45" priority="1" operator="containsText" text="Must be &gt;= 7%!">
      <formula>NOT(ISERROR(SEARCH("Must be &gt;= 7%!",C9)))</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Affairs&amp;C2021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ignoredErrors>
    <ignoredError sqref="B25:K31 B40:K44 B57:K87 B89:K117 B119:K137 G118:K118" unlockedFormula="1"/>
  </ignoredError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82"/>
  <sheetViews>
    <sheetView showGridLines="0" topLeftCell="A455" zoomScale="60" zoomScaleNormal="60" workbookViewId="0">
      <selection activeCell="A455" sqref="A1:XFD1048576"/>
    </sheetView>
  </sheetViews>
  <sheetFormatPr defaultColWidth="9.140625" defaultRowHeight="12.75"/>
  <cols>
    <col min="1" max="1" width="5.140625" style="35" customWidth="1"/>
    <col min="2" max="2" width="2.5703125" style="35" customWidth="1"/>
    <col min="3" max="3" width="2.140625" style="35" customWidth="1"/>
    <col min="4" max="10" width="8.85546875" style="35" customWidth="1"/>
    <col min="11" max="11" width="7.5703125" style="35" customWidth="1"/>
    <col min="12" max="15" width="9.140625" style="35" customWidth="1"/>
    <col min="16" max="16" width="8.85546875" style="35" customWidth="1"/>
    <col min="17" max="17" width="9.140625" style="35" customWidth="1"/>
    <col min="18" max="30" width="9.140625" style="35"/>
    <col min="31" max="32" width="9.140625" style="126"/>
    <col min="33" max="16384" width="9.140625" style="35"/>
  </cols>
  <sheetData>
    <row r="1" spans="1:32" ht="14.1" customHeight="1">
      <c r="A1" s="3592" t="str">
        <f>CONCATENATE("PART EIGHT - THRESHOLD CRITERIA","  -  ",'Part I-Project Information'!$O$7," ",'Part I-Project Information'!$F$35,", ",'Part I-Project Information'!F39,", ",'Part I-Project Information'!J40," County")</f>
        <v>PART EIGHT - THRESHOLD CRITERIA  -  2021-067 West Point Village Phase II, West Point, Troup County</v>
      </c>
      <c r="B1" s="3593"/>
      <c r="C1" s="3593"/>
      <c r="D1" s="3593"/>
      <c r="E1" s="3593"/>
      <c r="F1" s="3593"/>
      <c r="G1" s="3593"/>
      <c r="H1" s="3593"/>
      <c r="I1" s="3593"/>
      <c r="J1" s="3593"/>
      <c r="K1" s="3593"/>
      <c r="L1" s="3593"/>
      <c r="M1" s="3593"/>
      <c r="N1" s="3593"/>
      <c r="O1" s="3593"/>
      <c r="P1" s="3593"/>
      <c r="Q1" s="3593"/>
      <c r="R1" s="4063" t="str">
        <f>'Part I-Project Information'!$B$7</f>
        <v>2021 Core App
May 10 Rev</v>
      </c>
      <c r="S1" s="4063"/>
    </row>
    <row r="2" spans="1:32" s="27" customFormat="1" ht="3" customHeight="1">
      <c r="R2" s="4063"/>
      <c r="S2" s="4063"/>
      <c r="AE2" s="115"/>
      <c r="AF2" s="115"/>
    </row>
    <row r="3" spans="1:32" ht="13.5" customHeight="1">
      <c r="A3" s="4046" t="str">
        <f>IF(OR(P29="Fail",P36="Fail",P73="Fail",P79="Fail",P95="Fail",P114="Fail",P132="Fail",P162="Fail",P173="Fail",P183="Fail",P201="Fail",P210="Fail",P221="Fail",P248="Fail",P267="Fail",P287="Fail",P299="Fail",P312="Fail",P338="Fail",P357="Fail",P369="Fail",P379="Fail",P396="Fail",P405="Fail",P416="Fail",P454="Fail",P471="Fail"),"Preliminary Rating: FAIL",IF(OR(P29="",P36="",P73="",P79="",P95="",P114="",P132="",P162="",P173="",P183="",P201="",P210="",P221="",P248="",P267="",P287="",P299="",P312="",P338="",P357="",P369="",P379="",P396="",P405="",P416="",P454="",P471=""),"Preliminary Rating: Incomplete",IF(OR(P29="TBD",P36="TBD",P73="TBD",P79="TBD",P95="TBD",P114="TBD",P132="TBD",P162="TBD",P173="TBD",P183="TBD",P201="TBD",P210="TBD",P221="TBD",P248="TBD",P267="TBD",P287="TBD",P299="TBD",P312="TBD",P338="TBD",P357="TBD",P369="TBD",P379="TBD",P396="TBD",P405="TBD",P416="TBD",P454="TBD",P471="TBD"),"Preliminary Rating: TBD","")))</f>
        <v>Preliminary Rating: Incomplete</v>
      </c>
      <c r="B3" s="4046"/>
      <c r="C3" s="4046"/>
      <c r="D3" s="4046"/>
      <c r="E3" s="4046"/>
      <c r="F3" s="4046"/>
      <c r="G3" s="4046"/>
      <c r="H3" s="4046" t="str">
        <f>IF(AND(NOT(A3="Preliminary Rating: Fail"),NOT(A3="Preliminary Rating: Incomplete"),NOT(A3="Preliminary Rating: TBD"),OR(P29="Conditional Pass",P36="Conditional Pass",P73="Conditional Pass",P79="Conditional Pass",P95="Conditional Pass",P114="Conditional Pass",P132="Conditional Pass",P162="Conditional Pass",P173="Conditional Pass",P183="Conditional Pass",P201="Conditional Pass",P210="Conditional Pass",P221="Conditional Pass",P248="Conditional Pass",P267="Conditional Pass",P287="Conditional Pass",P299="Conditional Pass",P312="Conditional Pass",P338="Conditional Pass",P357="Conditional Pass",P369="Conditional Pass",P379="Conditional Pass",P396="Conditional Pass",P405="Conditional Pass",P416="Conditional Pass",P454="Conditional Pass",P471="Conditional Pass")),"Preliminary Rating: Conditional Pass","")</f>
        <v/>
      </c>
      <c r="I3" s="4046"/>
      <c r="J3" s="4046"/>
      <c r="K3" s="4046"/>
      <c r="L3" s="4046"/>
      <c r="M3" s="4046"/>
      <c r="N3" s="4047"/>
      <c r="O3" s="4048" t="s">
        <v>900</v>
      </c>
      <c r="P3" s="4049"/>
      <c r="Q3" s="2950" t="s">
        <v>1757</v>
      </c>
      <c r="R3" s="4063"/>
      <c r="S3" s="4063"/>
    </row>
    <row r="4" spans="1:32" ht="3" customHeight="1">
      <c r="A4" s="1401"/>
      <c r="B4" s="4050"/>
      <c r="C4" s="4050"/>
      <c r="D4" s="4050"/>
      <c r="E4" s="1401"/>
      <c r="F4" s="1401"/>
      <c r="G4" s="1401"/>
      <c r="H4" s="1401"/>
      <c r="I4" s="1401"/>
      <c r="J4" s="1401"/>
      <c r="K4" s="1401"/>
      <c r="L4" s="1401"/>
      <c r="M4" s="1401"/>
      <c r="N4" s="1401"/>
      <c r="P4" s="1401"/>
      <c r="Q4" s="1401"/>
      <c r="R4" s="4063"/>
      <c r="S4" s="4063"/>
    </row>
    <row r="5" spans="1:32" ht="11.1" hidden="1" customHeight="1">
      <c r="A5" s="1401"/>
      <c r="B5" s="1401"/>
      <c r="C5" s="1401"/>
      <c r="D5" s="1401"/>
      <c r="E5" s="1401"/>
      <c r="F5" s="1401"/>
      <c r="G5" s="1401"/>
      <c r="H5" s="1401"/>
      <c r="I5" s="1401"/>
      <c r="J5" s="1401"/>
      <c r="K5" s="1401"/>
      <c r="L5" s="1401"/>
      <c r="M5" s="1401"/>
      <c r="N5" s="1401"/>
      <c r="P5" s="1401"/>
      <c r="Q5" s="1401"/>
      <c r="R5" s="4063"/>
      <c r="S5" s="4063"/>
    </row>
    <row r="6" spans="1:32" ht="17.25" customHeight="1">
      <c r="A6" s="124" t="s">
        <v>538</v>
      </c>
      <c r="J6" s="4053" t="s">
        <v>3417</v>
      </c>
      <c r="K6" s="4053"/>
      <c r="L6" s="4053"/>
      <c r="M6" s="4053"/>
      <c r="N6" s="4053"/>
      <c r="O6" s="4054"/>
      <c r="P6" s="4051"/>
      <c r="Q6" s="4052"/>
      <c r="R6" s="4063"/>
      <c r="S6" s="4063"/>
    </row>
    <row r="7" spans="1:32" ht="12.6" customHeight="1">
      <c r="A7" s="125" t="s">
        <v>3186</v>
      </c>
      <c r="C7" s="126"/>
      <c r="D7" s="126"/>
      <c r="H7" s="1069"/>
      <c r="I7" s="1069"/>
      <c r="J7" s="1069"/>
      <c r="K7" s="1069"/>
      <c r="L7" s="1069"/>
      <c r="M7" s="1401"/>
      <c r="N7" s="1401"/>
    </row>
    <row r="8" spans="1:32" ht="24.6" customHeight="1">
      <c r="A8" s="4055" t="s">
        <v>1358</v>
      </c>
      <c r="B8" s="4056"/>
      <c r="C8" s="4056"/>
      <c r="D8" s="4056"/>
      <c r="E8" s="4056"/>
      <c r="F8" s="4056"/>
      <c r="G8" s="4056"/>
      <c r="H8" s="4056"/>
      <c r="I8" s="4056"/>
      <c r="J8" s="4056"/>
      <c r="K8" s="4056"/>
      <c r="L8" s="4056"/>
      <c r="M8" s="4056"/>
      <c r="N8" s="4056"/>
      <c r="O8" s="4056"/>
      <c r="P8" s="4056"/>
      <c r="Q8" s="4057"/>
      <c r="R8" s="3858" t="s">
        <v>1939</v>
      </c>
      <c r="S8" s="3132"/>
    </row>
    <row r="9" spans="1:32" ht="24.6" customHeight="1">
      <c r="A9" s="4011" t="s">
        <v>217</v>
      </c>
      <c r="B9" s="4012"/>
      <c r="C9" s="4012"/>
      <c r="D9" s="4012"/>
      <c r="E9" s="4012"/>
      <c r="F9" s="4012"/>
      <c r="G9" s="4012"/>
      <c r="H9" s="4012"/>
      <c r="I9" s="4012"/>
      <c r="J9" s="4012"/>
      <c r="K9" s="4012"/>
      <c r="L9" s="4012"/>
      <c r="M9" s="4012"/>
      <c r="N9" s="4012"/>
      <c r="O9" s="4012"/>
      <c r="P9" s="4012"/>
      <c r="Q9" s="4013"/>
      <c r="R9" s="3858"/>
      <c r="S9" s="3132"/>
    </row>
    <row r="10" spans="1:32" ht="24.6" customHeight="1">
      <c r="A10" s="4011" t="s">
        <v>1354</v>
      </c>
      <c r="B10" s="4012"/>
      <c r="C10" s="4012"/>
      <c r="D10" s="4012"/>
      <c r="E10" s="4012"/>
      <c r="F10" s="4012"/>
      <c r="G10" s="4012"/>
      <c r="H10" s="4012"/>
      <c r="I10" s="4012"/>
      <c r="J10" s="4012"/>
      <c r="K10" s="4012"/>
      <c r="L10" s="4012"/>
      <c r="M10" s="4012"/>
      <c r="N10" s="4012"/>
      <c r="O10" s="4012"/>
      <c r="P10" s="4012"/>
      <c r="Q10" s="4013"/>
      <c r="R10" s="3858"/>
      <c r="S10" s="3132"/>
    </row>
    <row r="11" spans="1:32" ht="24.6" customHeight="1">
      <c r="A11" s="4011" t="s">
        <v>1355</v>
      </c>
      <c r="B11" s="4012"/>
      <c r="C11" s="4012"/>
      <c r="D11" s="4012"/>
      <c r="E11" s="4012"/>
      <c r="F11" s="4012"/>
      <c r="G11" s="4012"/>
      <c r="H11" s="4012"/>
      <c r="I11" s="4012"/>
      <c r="J11" s="4012"/>
      <c r="K11" s="4012"/>
      <c r="L11" s="4012"/>
      <c r="M11" s="4012"/>
      <c r="N11" s="4012"/>
      <c r="O11" s="4012"/>
      <c r="P11" s="4012"/>
      <c r="Q11" s="4013"/>
      <c r="R11" s="3858"/>
      <c r="S11" s="3132"/>
    </row>
    <row r="12" spans="1:32" ht="24" customHeight="1">
      <c r="A12" s="4011" t="s">
        <v>1356</v>
      </c>
      <c r="B12" s="4012"/>
      <c r="C12" s="4012"/>
      <c r="D12" s="4012"/>
      <c r="E12" s="4012"/>
      <c r="F12" s="4012"/>
      <c r="G12" s="4012"/>
      <c r="H12" s="4012"/>
      <c r="I12" s="4012"/>
      <c r="J12" s="4012"/>
      <c r="K12" s="4012"/>
      <c r="L12" s="4012"/>
      <c r="M12" s="4012"/>
      <c r="N12" s="4012"/>
      <c r="O12" s="4012"/>
      <c r="P12" s="4012"/>
      <c r="Q12" s="4013"/>
      <c r="R12" s="2617"/>
      <c r="S12" s="2617"/>
    </row>
    <row r="13" spans="1:32" ht="11.25" customHeight="1">
      <c r="A13" s="4011" t="s">
        <v>1357</v>
      </c>
      <c r="B13" s="4012"/>
      <c r="C13" s="4012"/>
      <c r="D13" s="4012"/>
      <c r="E13" s="4012"/>
      <c r="F13" s="4012"/>
      <c r="G13" s="4012"/>
      <c r="H13" s="4012"/>
      <c r="I13" s="4012"/>
      <c r="J13" s="4012"/>
      <c r="K13" s="4012"/>
      <c r="L13" s="4012"/>
      <c r="M13" s="4012"/>
      <c r="N13" s="4012"/>
      <c r="O13" s="4012"/>
      <c r="P13" s="4012"/>
      <c r="Q13" s="4013"/>
      <c r="R13" s="2617"/>
      <c r="S13" s="2617"/>
    </row>
    <row r="14" spans="1:32" ht="11.25" customHeight="1">
      <c r="A14" s="4011" t="s">
        <v>1359</v>
      </c>
      <c r="B14" s="4012"/>
      <c r="C14" s="4012"/>
      <c r="D14" s="4012"/>
      <c r="E14" s="4012"/>
      <c r="F14" s="4012"/>
      <c r="G14" s="4012"/>
      <c r="H14" s="4012"/>
      <c r="I14" s="4012"/>
      <c r="J14" s="4012"/>
      <c r="K14" s="4012"/>
      <c r="L14" s="4012"/>
      <c r="M14" s="4012"/>
      <c r="N14" s="4012"/>
      <c r="O14" s="4012"/>
      <c r="P14" s="4012"/>
      <c r="Q14" s="4013"/>
    </row>
    <row r="15" spans="1:32" ht="11.25" customHeight="1">
      <c r="A15" s="4011" t="s">
        <v>1926</v>
      </c>
      <c r="B15" s="4012"/>
      <c r="C15" s="4012"/>
      <c r="D15" s="4012"/>
      <c r="E15" s="4012"/>
      <c r="F15" s="4012"/>
      <c r="G15" s="4012"/>
      <c r="H15" s="4012"/>
      <c r="I15" s="4012"/>
      <c r="J15" s="4012"/>
      <c r="K15" s="4012"/>
      <c r="L15" s="4012"/>
      <c r="M15" s="4012"/>
      <c r="N15" s="4012"/>
      <c r="O15" s="4012"/>
      <c r="P15" s="4012"/>
      <c r="Q15" s="4013"/>
      <c r="R15" s="3858"/>
      <c r="S15" s="3453"/>
    </row>
    <row r="16" spans="1:32" ht="11.25" customHeight="1">
      <c r="A16" s="4011" t="s">
        <v>1927</v>
      </c>
      <c r="B16" s="4012"/>
      <c r="C16" s="4012"/>
      <c r="D16" s="4012"/>
      <c r="E16" s="4012"/>
      <c r="F16" s="4012"/>
      <c r="G16" s="4012"/>
      <c r="H16" s="4012"/>
      <c r="I16" s="4012"/>
      <c r="J16" s="4012"/>
      <c r="K16" s="4012"/>
      <c r="L16" s="4012"/>
      <c r="M16" s="4012"/>
      <c r="N16" s="4012"/>
      <c r="O16" s="4012"/>
      <c r="P16" s="4012"/>
      <c r="Q16" s="4013"/>
      <c r="R16" s="3858"/>
      <c r="S16" s="3453"/>
    </row>
    <row r="17" spans="1:31" ht="11.25" customHeight="1">
      <c r="A17" s="4011" t="s">
        <v>1928</v>
      </c>
      <c r="B17" s="4012"/>
      <c r="C17" s="4012"/>
      <c r="D17" s="4012"/>
      <c r="E17" s="4012"/>
      <c r="F17" s="4012"/>
      <c r="G17" s="4012"/>
      <c r="H17" s="4012"/>
      <c r="I17" s="4012"/>
      <c r="J17" s="4012"/>
      <c r="K17" s="4012"/>
      <c r="L17" s="4012"/>
      <c r="M17" s="4012"/>
      <c r="N17" s="4012"/>
      <c r="O17" s="4012"/>
      <c r="P17" s="4012"/>
      <c r="Q17" s="4013"/>
      <c r="R17" s="3858"/>
      <c r="S17" s="3453"/>
    </row>
    <row r="18" spans="1:31" ht="11.25" customHeight="1">
      <c r="A18" s="4011" t="s">
        <v>1929</v>
      </c>
      <c r="B18" s="4012"/>
      <c r="C18" s="4012"/>
      <c r="D18" s="4012"/>
      <c r="E18" s="4012"/>
      <c r="F18" s="4012"/>
      <c r="G18" s="4012"/>
      <c r="H18" s="4012"/>
      <c r="I18" s="4012"/>
      <c r="J18" s="4012"/>
      <c r="K18" s="4012"/>
      <c r="L18" s="4012"/>
      <c r="M18" s="4012"/>
      <c r="N18" s="4012"/>
      <c r="O18" s="4012"/>
      <c r="P18" s="4012"/>
      <c r="Q18" s="4013"/>
      <c r="R18" s="3858"/>
      <c r="S18" s="3453"/>
    </row>
    <row r="19" spans="1:31" ht="11.25" customHeight="1">
      <c r="A19" s="4011" t="s">
        <v>1930</v>
      </c>
      <c r="B19" s="4012"/>
      <c r="C19" s="4012"/>
      <c r="D19" s="4012"/>
      <c r="E19" s="4012"/>
      <c r="F19" s="4012"/>
      <c r="G19" s="4012"/>
      <c r="H19" s="4012"/>
      <c r="I19" s="4012"/>
      <c r="J19" s="4012"/>
      <c r="K19" s="4012"/>
      <c r="L19" s="4012"/>
      <c r="M19" s="4012"/>
      <c r="N19" s="4012"/>
      <c r="O19" s="4012"/>
      <c r="P19" s="4012"/>
      <c r="Q19" s="4013"/>
      <c r="R19" s="3858"/>
      <c r="S19" s="3453"/>
    </row>
    <row r="20" spans="1:31" ht="11.25" customHeight="1">
      <c r="A20" s="4011" t="s">
        <v>1931</v>
      </c>
      <c r="B20" s="4012"/>
      <c r="C20" s="4012"/>
      <c r="D20" s="4012"/>
      <c r="E20" s="4012"/>
      <c r="F20" s="4012"/>
      <c r="G20" s="4012"/>
      <c r="H20" s="4012"/>
      <c r="I20" s="4012"/>
      <c r="J20" s="4012"/>
      <c r="K20" s="4012"/>
      <c r="L20" s="4012"/>
      <c r="M20" s="4012"/>
      <c r="N20" s="4012"/>
      <c r="O20" s="4012"/>
      <c r="P20" s="4012"/>
      <c r="Q20" s="4013"/>
      <c r="R20" s="3858"/>
      <c r="S20" s="3453"/>
    </row>
    <row r="21" spans="1:31" ht="11.25" customHeight="1">
      <c r="A21" s="4011" t="s">
        <v>1932</v>
      </c>
      <c r="B21" s="4012"/>
      <c r="C21" s="4012"/>
      <c r="D21" s="4012"/>
      <c r="E21" s="4012"/>
      <c r="F21" s="4012"/>
      <c r="G21" s="4012"/>
      <c r="H21" s="4012"/>
      <c r="I21" s="4012"/>
      <c r="J21" s="4012"/>
      <c r="K21" s="4012"/>
      <c r="L21" s="4012"/>
      <c r="M21" s="4012"/>
      <c r="N21" s="4012"/>
      <c r="O21" s="4012"/>
      <c r="P21" s="4012"/>
      <c r="Q21" s="4013"/>
    </row>
    <row r="22" spans="1:31" ht="11.25" customHeight="1">
      <c r="A22" s="4011" t="s">
        <v>1933</v>
      </c>
      <c r="B22" s="4012"/>
      <c r="C22" s="4012"/>
      <c r="D22" s="4012"/>
      <c r="E22" s="4012"/>
      <c r="F22" s="4012"/>
      <c r="G22" s="4012"/>
      <c r="H22" s="4012"/>
      <c r="I22" s="4012"/>
      <c r="J22" s="4012"/>
      <c r="K22" s="4012"/>
      <c r="L22" s="4012"/>
      <c r="M22" s="4012"/>
      <c r="N22" s="4012"/>
      <c r="O22" s="4012"/>
      <c r="P22" s="4012"/>
      <c r="Q22" s="4013"/>
      <c r="R22" s="3858"/>
      <c r="S22" s="3453"/>
    </row>
    <row r="23" spans="1:31" ht="11.25" customHeight="1">
      <c r="A23" s="4011" t="s">
        <v>1934</v>
      </c>
      <c r="B23" s="4012"/>
      <c r="C23" s="4012"/>
      <c r="D23" s="4012"/>
      <c r="E23" s="4012"/>
      <c r="F23" s="4012"/>
      <c r="G23" s="4012"/>
      <c r="H23" s="4012"/>
      <c r="I23" s="4012"/>
      <c r="J23" s="4012"/>
      <c r="K23" s="4012"/>
      <c r="L23" s="4012"/>
      <c r="M23" s="4012"/>
      <c r="N23" s="4012"/>
      <c r="O23" s="4012"/>
      <c r="P23" s="4012"/>
      <c r="Q23" s="4013"/>
      <c r="R23" s="3858"/>
      <c r="S23" s="3453"/>
    </row>
    <row r="24" spans="1:31" ht="11.25" customHeight="1">
      <c r="A24" s="4011" t="s">
        <v>1935</v>
      </c>
      <c r="B24" s="4012"/>
      <c r="C24" s="4012"/>
      <c r="D24" s="4012"/>
      <c r="E24" s="4012"/>
      <c r="F24" s="4012"/>
      <c r="G24" s="4012"/>
      <c r="H24" s="4012"/>
      <c r="I24" s="4012"/>
      <c r="J24" s="4012"/>
      <c r="K24" s="4012"/>
      <c r="L24" s="4012"/>
      <c r="M24" s="4012"/>
      <c r="N24" s="4012"/>
      <c r="O24" s="4012"/>
      <c r="P24" s="4012"/>
      <c r="Q24" s="4013"/>
      <c r="R24" s="3858"/>
      <c r="S24" s="3453"/>
    </row>
    <row r="25" spans="1:31" ht="11.25" customHeight="1">
      <c r="A25" s="4011" t="s">
        <v>1936</v>
      </c>
      <c r="B25" s="4012"/>
      <c r="C25" s="4012"/>
      <c r="D25" s="4012"/>
      <c r="E25" s="4012"/>
      <c r="F25" s="4012"/>
      <c r="G25" s="4012"/>
      <c r="H25" s="4012"/>
      <c r="I25" s="4012"/>
      <c r="J25" s="4012"/>
      <c r="K25" s="4012"/>
      <c r="L25" s="4012"/>
      <c r="M25" s="4012"/>
      <c r="N25" s="4012"/>
      <c r="O25" s="4012"/>
      <c r="P25" s="4012"/>
      <c r="Q25" s="4013"/>
      <c r="R25" s="3858"/>
      <c r="S25" s="3453"/>
    </row>
    <row r="26" spans="1:31" ht="11.25" customHeight="1">
      <c r="A26" s="4011" t="s">
        <v>1937</v>
      </c>
      <c r="B26" s="4012"/>
      <c r="C26" s="4012"/>
      <c r="D26" s="4012"/>
      <c r="E26" s="4012"/>
      <c r="F26" s="4012"/>
      <c r="G26" s="4012"/>
      <c r="H26" s="4012"/>
      <c r="I26" s="4012"/>
      <c r="J26" s="4012"/>
      <c r="K26" s="4012"/>
      <c r="L26" s="4012"/>
      <c r="M26" s="4012"/>
      <c r="N26" s="4012"/>
      <c r="O26" s="4012"/>
      <c r="P26" s="4012"/>
      <c r="Q26" s="4013"/>
      <c r="R26" s="3858"/>
      <c r="S26" s="3453"/>
    </row>
    <row r="27" spans="1:31" ht="11.25" customHeight="1">
      <c r="A27" s="4065" t="s">
        <v>1938</v>
      </c>
      <c r="B27" s="4066"/>
      <c r="C27" s="4066"/>
      <c r="D27" s="4066"/>
      <c r="E27" s="4066"/>
      <c r="F27" s="4066"/>
      <c r="G27" s="4066"/>
      <c r="H27" s="4066"/>
      <c r="I27" s="4066"/>
      <c r="J27" s="4066"/>
      <c r="K27" s="4066"/>
      <c r="L27" s="4066"/>
      <c r="M27" s="4066"/>
      <c r="N27" s="4066"/>
      <c r="O27" s="4066"/>
      <c r="P27" s="4066"/>
      <c r="Q27" s="4067"/>
      <c r="R27" s="3858"/>
      <c r="S27" s="3453"/>
    </row>
    <row r="28" spans="1:31" ht="6" customHeight="1"/>
    <row r="29" spans="1:31" ht="14.1" customHeight="1">
      <c r="A29" s="127" t="s">
        <v>586</v>
      </c>
      <c r="B29" s="128" t="s">
        <v>2509</v>
      </c>
      <c r="C29" s="129"/>
      <c r="D29" s="86"/>
      <c r="E29" s="86"/>
      <c r="F29" s="86"/>
      <c r="G29" s="86"/>
      <c r="I29" s="2672"/>
      <c r="J29" s="2672"/>
      <c r="K29" s="2672"/>
      <c r="L29" s="1401"/>
      <c r="M29" s="1401"/>
      <c r="O29" s="130" t="s">
        <v>1780</v>
      </c>
      <c r="P29" s="3959"/>
      <c r="Q29" s="3960"/>
    </row>
    <row r="30" spans="1:31" ht="3" customHeight="1"/>
    <row r="31" spans="1:31" ht="11.25" customHeight="1">
      <c r="B31" s="66" t="s">
        <v>3372</v>
      </c>
      <c r="C31" s="66"/>
      <c r="D31" s="66"/>
      <c r="E31" s="66"/>
      <c r="F31" s="66"/>
      <c r="G31" s="2672"/>
      <c r="H31" s="2672"/>
      <c r="I31" s="2672"/>
      <c r="J31" s="2672"/>
      <c r="K31" s="1401"/>
      <c r="L31" s="1401"/>
      <c r="M31" s="1401"/>
      <c r="N31" s="1401"/>
      <c r="O31" s="1401"/>
      <c r="P31" s="782"/>
      <c r="S31" s="156"/>
      <c r="T31" s="156"/>
    </row>
    <row r="32" spans="1:31" ht="75.75" customHeight="1">
      <c r="A32" s="3961" t="s">
        <v>7040</v>
      </c>
      <c r="B32" s="3962"/>
      <c r="C32" s="3962"/>
      <c r="D32" s="3962"/>
      <c r="E32" s="3962"/>
      <c r="F32" s="3962"/>
      <c r="G32" s="3962"/>
      <c r="H32" s="3962"/>
      <c r="I32" s="3962"/>
      <c r="J32" s="3962"/>
      <c r="K32" s="3962"/>
      <c r="L32" s="3962"/>
      <c r="M32" s="3962"/>
      <c r="N32" s="3962"/>
      <c r="O32" s="3962"/>
      <c r="P32" s="3962"/>
      <c r="Q32" s="3963"/>
      <c r="R32" s="427" t="s">
        <v>1208</v>
      </c>
      <c r="S32" s="428"/>
      <c r="T32" s="156"/>
      <c r="U32" s="134"/>
      <c r="V32" s="134"/>
      <c r="W32" s="134"/>
      <c r="X32" s="134"/>
      <c r="Y32" s="134"/>
      <c r="Z32" s="134"/>
      <c r="AA32" s="134"/>
      <c r="AB32" s="134"/>
      <c r="AC32" s="134"/>
      <c r="AD32" s="134"/>
      <c r="AE32" s="441"/>
    </row>
    <row r="33" spans="1:295" ht="11.25" customHeight="1">
      <c r="B33" s="135" t="s">
        <v>1779</v>
      </c>
      <c r="C33" s="136"/>
      <c r="D33" s="2655"/>
      <c r="E33" s="2655"/>
      <c r="F33" s="2655"/>
      <c r="G33" s="2655"/>
      <c r="H33" s="2655"/>
      <c r="I33" s="2655"/>
      <c r="J33" s="2655"/>
      <c r="K33" s="2655"/>
      <c r="L33" s="2655"/>
      <c r="M33" s="2655"/>
      <c r="N33" s="2655"/>
      <c r="O33" s="2655"/>
      <c r="P33" s="2655"/>
    </row>
    <row r="34" spans="1:295" ht="36" customHeight="1">
      <c r="A34" s="4068"/>
      <c r="B34" s="4068"/>
      <c r="C34" s="4068"/>
      <c r="D34" s="4068"/>
      <c r="E34" s="4068"/>
      <c r="F34" s="4068"/>
      <c r="G34" s="4068"/>
      <c r="H34" s="4068"/>
      <c r="I34" s="4068"/>
      <c r="J34" s="4068"/>
      <c r="K34" s="4068"/>
      <c r="L34" s="4068"/>
      <c r="M34" s="4068"/>
      <c r="N34" s="4068"/>
      <c r="O34" s="4068"/>
      <c r="P34" s="4068"/>
      <c r="Q34" s="4068"/>
      <c r="R34" s="427" t="s">
        <v>1208</v>
      </c>
      <c r="S34" s="428"/>
    </row>
    <row r="35" spans="1:295" ht="3" customHeight="1">
      <c r="B35" s="2672"/>
      <c r="C35" s="2655"/>
      <c r="D35" s="2655"/>
      <c r="E35" s="2655"/>
      <c r="F35" s="2655"/>
      <c r="G35" s="2655"/>
      <c r="H35" s="2655"/>
      <c r="I35" s="2655"/>
      <c r="J35" s="2655"/>
      <c r="K35" s="2655"/>
      <c r="L35" s="2655"/>
      <c r="M35" s="2655"/>
      <c r="N35" s="2655"/>
      <c r="O35" s="2655"/>
      <c r="P35" s="2655"/>
      <c r="Q35" s="1401"/>
    </row>
    <row r="36" spans="1:295" ht="12.75" customHeight="1">
      <c r="A36" s="2650" t="s">
        <v>710</v>
      </c>
      <c r="B36" s="4" t="s">
        <v>2557</v>
      </c>
      <c r="C36" s="4"/>
      <c r="D36" s="4"/>
      <c r="E36" s="2655"/>
      <c r="G36" s="555"/>
      <c r="H36" s="555"/>
      <c r="I36" s="555"/>
      <c r="J36" s="42"/>
      <c r="L36" s="556"/>
      <c r="M36" s="556"/>
      <c r="N36" s="556"/>
      <c r="O36" s="130" t="s">
        <v>1780</v>
      </c>
      <c r="P36" s="3959"/>
      <c r="Q36" s="3960"/>
    </row>
    <row r="37" spans="1:295" ht="11.25" customHeight="1">
      <c r="A37" s="4081"/>
      <c r="B37" s="4081"/>
      <c r="C37" s="4081"/>
      <c r="D37" s="4081"/>
      <c r="E37" s="4081"/>
      <c r="F37" s="1324"/>
      <c r="G37" s="4069" t="s">
        <v>2561</v>
      </c>
      <c r="H37" s="4070"/>
      <c r="I37" s="559"/>
      <c r="J37" s="42"/>
      <c r="K37" s="4071" t="s">
        <v>3285</v>
      </c>
      <c r="L37" s="4072"/>
      <c r="M37" s="4072"/>
      <c r="N37" s="4073"/>
    </row>
    <row r="38" spans="1:295" ht="11.25" customHeight="1">
      <c r="A38" s="4081"/>
      <c r="B38" s="4081"/>
      <c r="C38" s="4081"/>
      <c r="D38" s="4081"/>
      <c r="E38" s="4081"/>
      <c r="F38" s="1324"/>
      <c r="G38" s="4074" t="s">
        <v>335</v>
      </c>
      <c r="H38" s="4075"/>
      <c r="I38" s="559"/>
      <c r="J38" s="42"/>
      <c r="K38" s="4032" t="s">
        <v>3286</v>
      </c>
      <c r="L38" s="4033"/>
      <c r="M38" s="4033"/>
      <c r="N38" s="4034"/>
      <c r="P38" s="488" t="s">
        <v>2572</v>
      </c>
      <c r="Q38" s="2489" t="s">
        <v>2768</v>
      </c>
    </row>
    <row r="39" spans="1:295" ht="4.5" customHeight="1">
      <c r="A39" s="1324"/>
      <c r="B39" s="1324"/>
      <c r="C39" s="1324"/>
      <c r="D39" s="1324"/>
      <c r="E39" s="1324"/>
      <c r="F39" s="1324"/>
      <c r="G39" s="211"/>
      <c r="H39" s="211"/>
      <c r="I39" s="211"/>
      <c r="J39" s="42"/>
      <c r="K39" s="4035"/>
      <c r="L39" s="4035"/>
      <c r="M39" s="4035"/>
      <c r="N39" s="4035"/>
      <c r="P39" s="4078" t="s">
        <v>4133</v>
      </c>
      <c r="Q39" s="4078"/>
    </row>
    <row r="40" spans="1:295" s="82" customFormat="1" ht="10.5" customHeight="1">
      <c r="D40" s="560" t="s">
        <v>2560</v>
      </c>
      <c r="E40" s="35"/>
      <c r="F40" s="561" t="s">
        <v>3187</v>
      </c>
      <c r="G40" s="4036" t="s">
        <v>4077</v>
      </c>
      <c r="H40" s="4036"/>
      <c r="I40" s="4036"/>
      <c r="J40" s="35"/>
      <c r="K40" s="561" t="s">
        <v>3187</v>
      </c>
      <c r="L40" s="4036" t="s">
        <v>4076</v>
      </c>
      <c r="M40" s="4036"/>
      <c r="N40" s="4036"/>
      <c r="O40" s="35"/>
      <c r="P40" s="4078"/>
      <c r="Q40" s="4078"/>
      <c r="R40" s="396"/>
      <c r="U40" s="35"/>
      <c r="V40" s="432"/>
      <c r="W40" s="432"/>
      <c r="X40" s="433"/>
      <c r="Y40" s="432"/>
      <c r="Z40" s="435"/>
      <c r="AA40" s="436"/>
      <c r="AB40" s="436"/>
      <c r="AC40" s="436"/>
      <c r="AD40" s="436"/>
      <c r="AE40" s="436"/>
      <c r="AF40" s="436"/>
      <c r="AG40" s="577"/>
      <c r="AH40" s="430"/>
      <c r="AI40" s="430"/>
      <c r="AJ40" s="430"/>
      <c r="AK40" s="430"/>
      <c r="AL40" s="430"/>
      <c r="AM40" s="430"/>
      <c r="AN40" s="430"/>
      <c r="AO40" s="430"/>
      <c r="AP40" s="430"/>
      <c r="AQ40" s="430"/>
      <c r="AR40" s="430"/>
      <c r="AS40" s="430"/>
      <c r="AT40" s="430"/>
      <c r="AU40" s="430"/>
      <c r="AV40" s="430"/>
      <c r="AW40" s="430"/>
      <c r="AX40" s="430"/>
      <c r="AY40" s="430"/>
      <c r="AZ40" s="430"/>
      <c r="BA40" s="430"/>
      <c r="BB40" s="430"/>
      <c r="BC40" s="430"/>
      <c r="BD40" s="430"/>
      <c r="BE40" s="430"/>
      <c r="BF40" s="430"/>
      <c r="BG40" s="430"/>
      <c r="BH40" s="430"/>
      <c r="BI40" s="430"/>
      <c r="BJ40" s="430"/>
      <c r="BK40" s="430"/>
      <c r="BL40" s="430"/>
      <c r="BM40" s="430"/>
      <c r="BN40" s="430"/>
      <c r="BO40" s="430"/>
      <c r="BP40" s="430"/>
      <c r="BQ40" s="430"/>
      <c r="BR40" s="430"/>
      <c r="BS40" s="430"/>
      <c r="BT40" s="430"/>
      <c r="BU40" s="430"/>
      <c r="BV40" s="430"/>
      <c r="BW40" s="430"/>
      <c r="BX40" s="430"/>
      <c r="BY40" s="430"/>
      <c r="BZ40" s="430"/>
      <c r="CA40" s="430"/>
      <c r="CB40" s="430"/>
      <c r="CC40" s="430"/>
      <c r="CD40" s="430"/>
      <c r="CE40" s="430"/>
      <c r="CF40" s="430"/>
      <c r="CG40" s="430"/>
      <c r="CH40" s="430"/>
      <c r="CI40" s="430"/>
      <c r="CJ40" s="430"/>
      <c r="CK40" s="430"/>
      <c r="CL40" s="430"/>
      <c r="CM40" s="430"/>
      <c r="CN40" s="430"/>
      <c r="CO40" s="430"/>
      <c r="CP40" s="430"/>
      <c r="CQ40" s="430"/>
      <c r="CR40" s="430"/>
      <c r="CS40" s="430"/>
      <c r="CT40" s="430"/>
      <c r="CU40" s="430"/>
      <c r="CV40" s="430"/>
      <c r="CW40" s="430"/>
      <c r="CX40" s="430"/>
      <c r="CY40" s="430"/>
      <c r="CZ40" s="430"/>
      <c r="DA40" s="430"/>
      <c r="DB40" s="430"/>
      <c r="DC40" s="430"/>
      <c r="DD40" s="430"/>
      <c r="DE40" s="430"/>
      <c r="DF40" s="430"/>
      <c r="DG40" s="430"/>
      <c r="DH40" s="430"/>
      <c r="DI40" s="430"/>
      <c r="DJ40" s="430"/>
      <c r="DK40" s="430"/>
      <c r="DL40" s="430"/>
      <c r="DM40" s="430"/>
      <c r="DN40" s="430"/>
      <c r="DO40" s="430"/>
      <c r="DP40" s="430"/>
      <c r="DQ40" s="430"/>
      <c r="DR40" s="430"/>
      <c r="DS40" s="430"/>
      <c r="DT40" s="430"/>
      <c r="DU40" s="430"/>
      <c r="DV40" s="430"/>
      <c r="DW40" s="430"/>
      <c r="DX40" s="430"/>
      <c r="DY40" s="430"/>
      <c r="DZ40" s="430"/>
      <c r="EA40" s="430"/>
      <c r="EB40" s="430"/>
      <c r="EC40" s="430"/>
      <c r="ED40" s="430"/>
      <c r="EE40" s="430"/>
      <c r="EF40" s="430"/>
      <c r="EG40" s="430"/>
      <c r="EH40" s="430"/>
      <c r="EI40" s="430"/>
      <c r="EJ40" s="430"/>
      <c r="EK40" s="430"/>
      <c r="EL40" s="430"/>
      <c r="EM40" s="430"/>
      <c r="EN40" s="430"/>
      <c r="EO40" s="430"/>
      <c r="EP40" s="430"/>
      <c r="EQ40" s="430"/>
      <c r="ER40" s="430"/>
      <c r="ES40" s="430"/>
      <c r="ET40" s="430"/>
      <c r="EU40" s="430"/>
      <c r="EV40" s="430"/>
      <c r="EW40" s="430"/>
      <c r="EX40" s="430"/>
      <c r="EY40" s="430"/>
      <c r="EZ40" s="430"/>
      <c r="FA40" s="430"/>
      <c r="FB40" s="430"/>
      <c r="FC40" s="430"/>
      <c r="FD40" s="430"/>
      <c r="FE40" s="430"/>
      <c r="FF40" s="430"/>
      <c r="FG40" s="430"/>
      <c r="FH40" s="430"/>
      <c r="FI40" s="430"/>
      <c r="FJ40" s="430"/>
      <c r="FK40" s="430"/>
      <c r="FL40" s="430"/>
      <c r="FM40" s="430"/>
      <c r="FN40" s="430"/>
      <c r="FO40" s="430"/>
      <c r="FP40" s="430"/>
      <c r="FQ40" s="430"/>
      <c r="FR40" s="430"/>
      <c r="FS40" s="430"/>
      <c r="FT40" s="430"/>
      <c r="FU40" s="430"/>
      <c r="FV40" s="430"/>
      <c r="FW40" s="430"/>
      <c r="FX40" s="430"/>
      <c r="FY40" s="430"/>
      <c r="FZ40" s="430"/>
      <c r="GA40" s="430"/>
      <c r="GB40" s="430"/>
      <c r="GC40" s="430"/>
      <c r="GD40" s="430"/>
      <c r="GE40" s="430"/>
      <c r="GF40" s="430"/>
      <c r="GG40" s="430"/>
      <c r="GH40" s="430"/>
      <c r="GI40" s="430"/>
      <c r="GJ40" s="430"/>
      <c r="GK40" s="430"/>
      <c r="GL40" s="430"/>
      <c r="GM40" s="430"/>
      <c r="GN40" s="430"/>
      <c r="GO40" s="430"/>
      <c r="GP40" s="430"/>
      <c r="GQ40" s="430"/>
      <c r="GR40" s="430"/>
      <c r="GS40" s="430"/>
      <c r="GT40" s="430"/>
      <c r="GU40" s="430"/>
      <c r="GV40" s="430"/>
      <c r="GW40" s="430"/>
      <c r="GX40" s="430"/>
      <c r="GY40" s="430"/>
      <c r="GZ40" s="430"/>
      <c r="HA40" s="430"/>
      <c r="HB40" s="430"/>
      <c r="HC40" s="430"/>
      <c r="HD40" s="430"/>
      <c r="HE40" s="430"/>
      <c r="HF40" s="430"/>
      <c r="HG40" s="430"/>
      <c r="HH40" s="430"/>
      <c r="HI40" s="430"/>
      <c r="HJ40" s="430"/>
      <c r="HK40" s="430"/>
      <c r="HL40" s="430"/>
      <c r="HM40" s="430"/>
      <c r="HN40" s="430"/>
      <c r="HO40" s="430"/>
      <c r="HP40" s="430"/>
      <c r="HQ40" s="430"/>
      <c r="HR40" s="430"/>
      <c r="HS40" s="430"/>
      <c r="HT40" s="430"/>
      <c r="HU40" s="430"/>
      <c r="HV40" s="430"/>
      <c r="HW40" s="430"/>
      <c r="HX40" s="430"/>
      <c r="HY40" s="430"/>
      <c r="HZ40" s="430"/>
      <c r="IA40" s="430"/>
      <c r="IB40" s="430"/>
      <c r="IC40" s="430"/>
      <c r="ID40" s="430"/>
      <c r="IE40" s="430"/>
      <c r="IF40" s="430"/>
      <c r="IG40" s="430"/>
      <c r="IH40" s="430"/>
      <c r="II40" s="430"/>
      <c r="IJ40" s="434"/>
      <c r="IK40" s="434"/>
      <c r="IL40" s="430"/>
      <c r="IM40" s="430"/>
      <c r="IN40" s="430"/>
      <c r="IO40" s="430"/>
      <c r="IP40" s="430"/>
      <c r="IQ40" s="430"/>
      <c r="IR40" s="430"/>
      <c r="IS40" s="430"/>
      <c r="IT40" s="430"/>
      <c r="IU40" s="430"/>
      <c r="IV40" s="430"/>
      <c r="IW40" s="430"/>
      <c r="IX40" s="430"/>
      <c r="IY40" s="430"/>
      <c r="IZ40" s="430"/>
      <c r="JA40" s="434"/>
      <c r="JB40" s="430"/>
      <c r="JC40" s="430"/>
      <c r="JD40" s="146"/>
      <c r="JE40" s="146"/>
      <c r="JF40" s="146"/>
      <c r="JG40" s="146"/>
      <c r="JH40" s="146"/>
      <c r="JI40" s="146"/>
      <c r="JJ40" s="146"/>
      <c r="JK40" s="146"/>
      <c r="JL40" s="146"/>
      <c r="JM40" s="146"/>
      <c r="JN40" s="146"/>
      <c r="JO40" s="146"/>
      <c r="JP40" s="146"/>
      <c r="JQ40" s="146"/>
      <c r="JR40" s="146"/>
      <c r="JS40" s="146"/>
      <c r="JT40" s="146"/>
      <c r="JU40" s="146"/>
      <c r="JV40" s="146"/>
      <c r="JW40" s="146"/>
      <c r="JX40" s="146"/>
      <c r="JY40" s="146"/>
      <c r="JZ40" s="146"/>
      <c r="KA40" s="146"/>
      <c r="KB40" s="146"/>
      <c r="KC40" s="146"/>
      <c r="KD40" s="146"/>
      <c r="KE40" s="146"/>
      <c r="KF40" s="146"/>
      <c r="KG40" s="146"/>
      <c r="KH40" s="146"/>
      <c r="KI40" s="146"/>
    </row>
    <row r="41" spans="1:295" s="82" customFormat="1" ht="12" customHeight="1">
      <c r="A41" s="4045" t="s">
        <v>3117</v>
      </c>
      <c r="B41" s="4045"/>
      <c r="C41" s="4045"/>
      <c r="D41" s="754" t="s">
        <v>539</v>
      </c>
      <c r="E41" s="755">
        <v>0</v>
      </c>
      <c r="F41" s="1322" t="str">
        <f>IF('Part VI-Revenues &amp; Expenses'!$K$147 =0,"",'Part VI-Revenues &amp; Expenses'!$K$147)</f>
        <v/>
      </c>
      <c r="G41" s="756">
        <f>IF('Part IX Scoring Criteria'!$O$108='Part IX Scoring Criteria'!$M$108,$L41,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186824.4</v>
      </c>
      <c r="H41" s="40" t="str">
        <f>CONCATENATE("x ", F41," units = ")</f>
        <v xml:space="preserve">x  units = </v>
      </c>
      <c r="I41" s="1323" t="str">
        <f>IF(F41="","",F41*G41)</f>
        <v/>
      </c>
      <c r="J41" s="42"/>
      <c r="K41" s="1322" t="str">
        <f>IF('Part VI-Revenues &amp; Expenses'!$K$148 =0,"",'Part VI-Revenues &amp; Expenses'!$K$148)</f>
        <v/>
      </c>
      <c r="L41" s="756">
        <f>G41*(1+'DCA Underwriting Assumptions'!$Q$12)</f>
        <v>205506.84</v>
      </c>
      <c r="M41" s="40" t="str">
        <f>CONCATENATE("x ", K41," units = ")</f>
        <v xml:space="preserve">x  units = </v>
      </c>
      <c r="N41" s="1323" t="str">
        <f>IF(K41="","",K41*L41)</f>
        <v/>
      </c>
      <c r="O41" s="2655"/>
      <c r="P41" s="4079"/>
      <c r="Q41" s="4079"/>
      <c r="R41" s="396"/>
      <c r="U41" s="35"/>
      <c r="V41" s="432"/>
      <c r="W41" s="432"/>
      <c r="X41" s="433"/>
      <c r="Y41" s="432"/>
      <c r="Z41" s="435"/>
      <c r="AA41" s="436"/>
      <c r="AB41" s="436"/>
      <c r="AC41" s="436"/>
      <c r="AD41" s="436"/>
      <c r="AE41" s="436"/>
      <c r="AF41" s="436"/>
      <c r="AG41" s="577"/>
      <c r="AH41" s="430"/>
      <c r="AI41" s="430"/>
      <c r="AJ41" s="430"/>
      <c r="AK41" s="430"/>
      <c r="AL41" s="430"/>
      <c r="AM41" s="430"/>
      <c r="AN41" s="430"/>
      <c r="AO41" s="430"/>
      <c r="AP41" s="430"/>
      <c r="AQ41" s="430"/>
      <c r="AR41" s="430"/>
      <c r="AS41" s="430"/>
      <c r="AT41" s="430"/>
      <c r="AU41" s="430"/>
      <c r="AV41" s="430"/>
      <c r="AW41" s="430"/>
      <c r="AX41" s="430"/>
      <c r="AY41" s="430"/>
      <c r="AZ41" s="430"/>
      <c r="BA41" s="430"/>
      <c r="BB41" s="430"/>
      <c r="BC41" s="430"/>
      <c r="BD41" s="430"/>
      <c r="BE41" s="430"/>
      <c r="BF41" s="430"/>
      <c r="BG41" s="430"/>
      <c r="BH41" s="430"/>
      <c r="BI41" s="430"/>
      <c r="BJ41" s="430"/>
      <c r="BK41" s="430"/>
      <c r="BL41" s="430"/>
      <c r="BM41" s="430"/>
      <c r="BN41" s="430"/>
      <c r="BO41" s="430"/>
      <c r="BP41" s="430"/>
      <c r="BQ41" s="430"/>
      <c r="BR41" s="430"/>
      <c r="BS41" s="430"/>
      <c r="BT41" s="430"/>
      <c r="BU41" s="430"/>
      <c r="BV41" s="430"/>
      <c r="BW41" s="430"/>
      <c r="BX41" s="430"/>
      <c r="BY41" s="430"/>
      <c r="BZ41" s="430"/>
      <c r="CA41" s="430"/>
      <c r="CB41" s="430"/>
      <c r="CC41" s="430"/>
      <c r="CD41" s="430"/>
      <c r="CE41" s="430"/>
      <c r="CF41" s="430"/>
      <c r="CG41" s="430"/>
      <c r="CH41" s="430"/>
      <c r="CI41" s="430"/>
      <c r="CJ41" s="430"/>
      <c r="CK41" s="430"/>
      <c r="CL41" s="430"/>
      <c r="CM41" s="430"/>
      <c r="CN41" s="430"/>
      <c r="CO41" s="430"/>
      <c r="CP41" s="430"/>
      <c r="CQ41" s="430"/>
      <c r="CR41" s="430"/>
      <c r="CS41" s="430"/>
      <c r="CT41" s="430"/>
      <c r="CU41" s="430"/>
      <c r="CV41" s="430"/>
      <c r="CW41" s="430"/>
      <c r="CX41" s="430"/>
      <c r="CY41" s="430"/>
      <c r="CZ41" s="430"/>
      <c r="DA41" s="430"/>
      <c r="DB41" s="430"/>
      <c r="DC41" s="430"/>
      <c r="DD41" s="430"/>
      <c r="DE41" s="430"/>
      <c r="DF41" s="430"/>
      <c r="DG41" s="430"/>
      <c r="DH41" s="430"/>
      <c r="DI41" s="430"/>
      <c r="DJ41" s="430"/>
      <c r="DK41" s="430"/>
      <c r="DL41" s="430"/>
      <c r="DM41" s="430"/>
      <c r="DN41" s="430"/>
      <c r="DO41" s="430"/>
      <c r="DP41" s="430"/>
      <c r="DQ41" s="430"/>
      <c r="DR41" s="430"/>
      <c r="DS41" s="430"/>
      <c r="DT41" s="430"/>
      <c r="DU41" s="430"/>
      <c r="DV41" s="430"/>
      <c r="DW41" s="430"/>
      <c r="DX41" s="430"/>
      <c r="DY41" s="430"/>
      <c r="DZ41" s="430"/>
      <c r="EA41" s="430"/>
      <c r="EB41" s="430"/>
      <c r="EC41" s="430"/>
      <c r="ED41" s="430"/>
      <c r="EE41" s="430"/>
      <c r="EF41" s="430"/>
      <c r="EG41" s="430"/>
      <c r="EH41" s="430"/>
      <c r="EI41" s="430"/>
      <c r="EJ41" s="430"/>
      <c r="EK41" s="430"/>
      <c r="EL41" s="430"/>
      <c r="EM41" s="430"/>
      <c r="EN41" s="430"/>
      <c r="EO41" s="430"/>
      <c r="EP41" s="430"/>
      <c r="EQ41" s="430"/>
      <c r="ER41" s="430"/>
      <c r="ES41" s="430"/>
      <c r="ET41" s="430"/>
      <c r="EU41" s="430"/>
      <c r="EV41" s="430"/>
      <c r="EW41" s="430"/>
      <c r="EX41" s="430"/>
      <c r="EY41" s="430"/>
      <c r="EZ41" s="430"/>
      <c r="FA41" s="430"/>
      <c r="FB41" s="430"/>
      <c r="FC41" s="430"/>
      <c r="FD41" s="430"/>
      <c r="FE41" s="430"/>
      <c r="FF41" s="430"/>
      <c r="FG41" s="430"/>
      <c r="FH41" s="430"/>
      <c r="FI41" s="430"/>
      <c r="FJ41" s="430"/>
      <c r="FK41" s="430"/>
      <c r="FL41" s="430"/>
      <c r="FM41" s="430"/>
      <c r="FN41" s="430"/>
      <c r="FO41" s="430"/>
      <c r="FP41" s="430"/>
      <c r="FQ41" s="430"/>
      <c r="FR41" s="430"/>
      <c r="FS41" s="430"/>
      <c r="FT41" s="430"/>
      <c r="FU41" s="430"/>
      <c r="FV41" s="430"/>
      <c r="FW41" s="430"/>
      <c r="FX41" s="430"/>
      <c r="FY41" s="430"/>
      <c r="FZ41" s="430"/>
      <c r="GA41" s="430"/>
      <c r="GB41" s="430"/>
      <c r="GC41" s="430"/>
      <c r="GD41" s="430"/>
      <c r="GE41" s="430"/>
      <c r="GF41" s="430"/>
      <c r="GG41" s="430"/>
      <c r="GH41" s="430"/>
      <c r="GI41" s="430"/>
      <c r="GJ41" s="430"/>
      <c r="GK41" s="430"/>
      <c r="GL41" s="430"/>
      <c r="GM41" s="430"/>
      <c r="GN41" s="430"/>
      <c r="GO41" s="430"/>
      <c r="GP41" s="430"/>
      <c r="GQ41" s="430"/>
      <c r="GR41" s="430"/>
      <c r="GS41" s="430"/>
      <c r="GT41" s="430"/>
      <c r="GU41" s="430"/>
      <c r="GV41" s="430"/>
      <c r="GW41" s="430"/>
      <c r="GX41" s="430"/>
      <c r="GY41" s="430"/>
      <c r="GZ41" s="430"/>
      <c r="HA41" s="430"/>
      <c r="HB41" s="430"/>
      <c r="HC41" s="430"/>
      <c r="HD41" s="430"/>
      <c r="HE41" s="430"/>
      <c r="HF41" s="430"/>
      <c r="HG41" s="430"/>
      <c r="HH41" s="430"/>
      <c r="HI41" s="430"/>
      <c r="HJ41" s="430"/>
      <c r="HK41" s="430"/>
      <c r="HL41" s="430"/>
      <c r="HM41" s="430"/>
      <c r="HN41" s="430"/>
      <c r="HO41" s="430"/>
      <c r="HP41" s="430"/>
      <c r="HQ41" s="430"/>
      <c r="HR41" s="430"/>
      <c r="HS41" s="430"/>
      <c r="HT41" s="430"/>
      <c r="HU41" s="430"/>
      <c r="HV41" s="430"/>
      <c r="HW41" s="430"/>
      <c r="HX41" s="430"/>
      <c r="HY41" s="430"/>
      <c r="HZ41" s="430"/>
      <c r="IA41" s="430"/>
      <c r="IB41" s="430"/>
      <c r="IC41" s="430"/>
      <c r="ID41" s="430"/>
      <c r="IE41" s="430"/>
      <c r="IF41" s="430"/>
      <c r="IG41" s="430"/>
      <c r="IH41" s="430"/>
      <c r="II41" s="430"/>
      <c r="IJ41" s="434"/>
      <c r="IK41" s="434"/>
      <c r="IL41" s="430"/>
      <c r="IM41" s="430"/>
      <c r="IN41" s="430"/>
      <c r="IO41" s="430"/>
      <c r="IP41" s="430"/>
      <c r="IQ41" s="430"/>
      <c r="IR41" s="430"/>
      <c r="IS41" s="430"/>
      <c r="IT41" s="430"/>
      <c r="IU41" s="430"/>
      <c r="IV41" s="430"/>
      <c r="IW41" s="430"/>
      <c r="IX41" s="430"/>
      <c r="IY41" s="430"/>
      <c r="IZ41" s="430"/>
      <c r="JA41" s="434"/>
      <c r="JB41" s="430"/>
      <c r="JC41" s="430"/>
      <c r="JD41" s="146"/>
      <c r="JE41" s="146"/>
      <c r="JF41" s="146"/>
      <c r="JG41" s="146"/>
      <c r="JH41" s="146"/>
      <c r="JI41" s="146"/>
      <c r="JJ41" s="146"/>
      <c r="JK41" s="146"/>
      <c r="JL41" s="146"/>
      <c r="JM41" s="146"/>
      <c r="JN41" s="146"/>
      <c r="JO41" s="146"/>
      <c r="JP41" s="146"/>
      <c r="JQ41" s="146"/>
      <c r="JR41" s="146"/>
      <c r="JS41" s="146"/>
      <c r="JT41" s="146"/>
      <c r="JU41" s="146"/>
      <c r="JV41" s="146"/>
      <c r="JW41" s="146"/>
      <c r="JX41" s="146"/>
      <c r="JY41" s="146"/>
      <c r="JZ41" s="146"/>
      <c r="KA41" s="146"/>
      <c r="KB41" s="146"/>
      <c r="KC41" s="146"/>
      <c r="KD41" s="146"/>
      <c r="KE41" s="146"/>
      <c r="KF41" s="146"/>
      <c r="KG41" s="146"/>
      <c r="KH41" s="146"/>
      <c r="KI41" s="146"/>
    </row>
    <row r="42" spans="1:295" s="82" customFormat="1" ht="12" customHeight="1">
      <c r="A42" s="4045"/>
      <c r="B42" s="4045"/>
      <c r="C42" s="4045"/>
      <c r="D42" s="754" t="s">
        <v>2328</v>
      </c>
      <c r="E42" s="755">
        <v>1</v>
      </c>
      <c r="F42" s="1322" t="str">
        <f>IF('Part VI-Revenues &amp; Expenses'!$L$147 =0,"",'Part VI-Revenues &amp; Expenses'!$L$147)</f>
        <v/>
      </c>
      <c r="G42" s="756">
        <f>IF('Part IX Scoring Criteria'!$O$108='Part IX Scoring Criteria'!$M$108,$L42,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231653.69999999998</v>
      </c>
      <c r="H42" s="40" t="str">
        <f>CONCATENATE("x ", F42," units = ")</f>
        <v xml:space="preserve">x  units = </v>
      </c>
      <c r="I42" s="1323" t="str">
        <f>IF(F42="","",F42*G42)</f>
        <v/>
      </c>
      <c r="J42" s="42"/>
      <c r="K42" s="1322" t="str">
        <f>IF('Part VI-Revenues &amp; Expenses'!$L$148 =0,"",'Part VI-Revenues &amp; Expenses'!$L$148)</f>
        <v/>
      </c>
      <c r="L42" s="756">
        <f>G42*(1+'DCA Underwriting Assumptions'!$Q$12)</f>
        <v>254819.07</v>
      </c>
      <c r="M42" s="40" t="str">
        <f>CONCATENATE("x ", K42," units = ")</f>
        <v xml:space="preserve">x  units = </v>
      </c>
      <c r="N42" s="1323" t="str">
        <f>IF(K42="","",K42*L42)</f>
        <v/>
      </c>
      <c r="O42" s="2655"/>
      <c r="P42" s="4002" t="str">
        <f>IF('Part I-Project Information'!$F$39="","",VLOOKUP('Part I-Project Information'!$J$40,'DCA Underwriting Assumptions'!$G$174:$N$333,8,FALSE))</f>
        <v>Atlanta</v>
      </c>
      <c r="Q42" s="4003"/>
      <c r="R42" s="396"/>
      <c r="W42" s="432"/>
      <c r="X42" s="433"/>
      <c r="Y42" s="432"/>
      <c r="Z42" s="435"/>
      <c r="AA42" s="436"/>
      <c r="AB42" s="436"/>
      <c r="AC42" s="436"/>
      <c r="AD42" s="436"/>
      <c r="AE42" s="436"/>
      <c r="AF42" s="436"/>
      <c r="AG42" s="577"/>
      <c r="AH42" s="430"/>
      <c r="AI42" s="430"/>
      <c r="AJ42" s="430"/>
      <c r="AK42" s="430"/>
      <c r="AL42" s="430"/>
      <c r="AM42" s="430"/>
      <c r="AN42" s="430"/>
      <c r="AO42" s="430"/>
      <c r="AP42" s="430"/>
      <c r="AQ42" s="430"/>
      <c r="AR42" s="430"/>
      <c r="AS42" s="430"/>
      <c r="AT42" s="430"/>
      <c r="AU42" s="430"/>
      <c r="AV42" s="430"/>
      <c r="AW42" s="430"/>
      <c r="AX42" s="430"/>
      <c r="AY42" s="430"/>
      <c r="AZ42" s="430"/>
      <c r="BA42" s="430"/>
      <c r="BB42" s="430"/>
      <c r="BC42" s="430"/>
      <c r="BD42" s="430"/>
      <c r="BE42" s="430"/>
      <c r="BF42" s="430"/>
      <c r="BG42" s="430"/>
      <c r="BH42" s="430"/>
      <c r="BI42" s="430"/>
      <c r="BJ42" s="430"/>
      <c r="BK42" s="430"/>
      <c r="BL42" s="430"/>
      <c r="BM42" s="430"/>
      <c r="BN42" s="430"/>
      <c r="BO42" s="430"/>
      <c r="BP42" s="430"/>
      <c r="BQ42" s="430"/>
      <c r="BR42" s="430"/>
      <c r="BS42" s="430"/>
      <c r="BT42" s="430"/>
      <c r="BU42" s="430"/>
      <c r="BV42" s="430"/>
      <c r="BW42" s="430"/>
      <c r="BX42" s="430"/>
      <c r="BY42" s="430"/>
      <c r="BZ42" s="430"/>
      <c r="CA42" s="430"/>
      <c r="CB42" s="430"/>
      <c r="CC42" s="430"/>
      <c r="CD42" s="430"/>
      <c r="CE42" s="430"/>
      <c r="CF42" s="430"/>
      <c r="CG42" s="430"/>
      <c r="CH42" s="430"/>
      <c r="CI42" s="430"/>
      <c r="CJ42" s="430"/>
      <c r="CK42" s="430"/>
      <c r="CL42" s="430"/>
      <c r="CM42" s="430"/>
      <c r="CN42" s="430"/>
      <c r="CO42" s="430"/>
      <c r="CP42" s="430"/>
      <c r="CQ42" s="430"/>
      <c r="CR42" s="430"/>
      <c r="CS42" s="430"/>
      <c r="CT42" s="430"/>
      <c r="CU42" s="430"/>
      <c r="CV42" s="430"/>
      <c r="CW42" s="430"/>
      <c r="CX42" s="430"/>
      <c r="CY42" s="430"/>
      <c r="CZ42" s="430"/>
      <c r="DA42" s="430"/>
      <c r="DB42" s="430"/>
      <c r="DC42" s="430"/>
      <c r="DD42" s="430"/>
      <c r="DE42" s="430"/>
      <c r="DF42" s="430"/>
      <c r="DG42" s="430"/>
      <c r="DH42" s="430"/>
      <c r="DI42" s="430"/>
      <c r="DJ42" s="430"/>
      <c r="DK42" s="430"/>
      <c r="DL42" s="430"/>
      <c r="DM42" s="430"/>
      <c r="DN42" s="430"/>
      <c r="DO42" s="430"/>
      <c r="DP42" s="430"/>
      <c r="DQ42" s="430"/>
      <c r="DR42" s="430"/>
      <c r="DS42" s="430"/>
      <c r="DT42" s="430"/>
      <c r="DU42" s="430"/>
      <c r="DV42" s="430"/>
      <c r="DW42" s="430"/>
      <c r="DX42" s="430"/>
      <c r="DY42" s="430"/>
      <c r="DZ42" s="430"/>
      <c r="EA42" s="430"/>
      <c r="EB42" s="430"/>
      <c r="EC42" s="430"/>
      <c r="ED42" s="430"/>
      <c r="EE42" s="430"/>
      <c r="EF42" s="430"/>
      <c r="EG42" s="430"/>
      <c r="EH42" s="430"/>
      <c r="EI42" s="430"/>
      <c r="EJ42" s="430"/>
      <c r="EK42" s="430"/>
      <c r="EL42" s="430"/>
      <c r="EM42" s="430"/>
      <c r="EN42" s="430"/>
      <c r="EO42" s="430"/>
      <c r="EP42" s="430"/>
      <c r="EQ42" s="430"/>
      <c r="ER42" s="430"/>
      <c r="ES42" s="430"/>
      <c r="ET42" s="430"/>
      <c r="EU42" s="430"/>
      <c r="EV42" s="430"/>
      <c r="EW42" s="430"/>
      <c r="EX42" s="430"/>
      <c r="EY42" s="430"/>
      <c r="EZ42" s="430"/>
      <c r="FA42" s="430"/>
      <c r="FB42" s="430"/>
      <c r="FC42" s="430"/>
      <c r="FD42" s="430"/>
      <c r="FE42" s="430"/>
      <c r="FF42" s="430"/>
      <c r="FG42" s="430"/>
      <c r="FH42" s="430"/>
      <c r="FI42" s="430"/>
      <c r="FJ42" s="430"/>
      <c r="FK42" s="430"/>
      <c r="FL42" s="430"/>
      <c r="FM42" s="430"/>
      <c r="FN42" s="430"/>
      <c r="FO42" s="430"/>
      <c r="FP42" s="430"/>
      <c r="FQ42" s="430"/>
      <c r="FR42" s="430"/>
      <c r="FS42" s="430"/>
      <c r="FT42" s="430"/>
      <c r="FU42" s="430"/>
      <c r="FV42" s="430"/>
      <c r="FW42" s="430"/>
      <c r="FX42" s="430"/>
      <c r="FY42" s="430"/>
      <c r="FZ42" s="430"/>
      <c r="GA42" s="430"/>
      <c r="GB42" s="430"/>
      <c r="GC42" s="430"/>
      <c r="GD42" s="430"/>
      <c r="GE42" s="430"/>
      <c r="GF42" s="430"/>
      <c r="GG42" s="430"/>
      <c r="GH42" s="430"/>
      <c r="GI42" s="430"/>
      <c r="GJ42" s="430"/>
      <c r="GK42" s="430"/>
      <c r="GL42" s="430"/>
      <c r="GM42" s="430"/>
      <c r="GN42" s="430"/>
      <c r="GO42" s="430"/>
      <c r="GP42" s="430"/>
      <c r="GQ42" s="430"/>
      <c r="GR42" s="430"/>
      <c r="GS42" s="430"/>
      <c r="GT42" s="430"/>
      <c r="GU42" s="430"/>
      <c r="GV42" s="430"/>
      <c r="GW42" s="430"/>
      <c r="GX42" s="430"/>
      <c r="GY42" s="430"/>
      <c r="GZ42" s="430"/>
      <c r="HA42" s="430"/>
      <c r="HB42" s="430"/>
      <c r="HC42" s="430"/>
      <c r="HD42" s="430"/>
      <c r="HE42" s="430"/>
      <c r="HF42" s="430"/>
      <c r="HG42" s="430"/>
      <c r="HH42" s="430"/>
      <c r="HI42" s="430"/>
      <c r="HJ42" s="430"/>
      <c r="HK42" s="430"/>
      <c r="HL42" s="430"/>
      <c r="HM42" s="430"/>
      <c r="HN42" s="430"/>
      <c r="HO42" s="430"/>
      <c r="HP42" s="430"/>
      <c r="HQ42" s="430"/>
      <c r="HR42" s="430"/>
      <c r="HS42" s="430"/>
      <c r="HT42" s="430"/>
      <c r="HU42" s="430"/>
      <c r="HV42" s="430"/>
      <c r="HW42" s="430"/>
      <c r="HX42" s="430"/>
      <c r="HY42" s="430"/>
      <c r="HZ42" s="430"/>
      <c r="IA42" s="430"/>
      <c r="IB42" s="430"/>
      <c r="IC42" s="430"/>
      <c r="ID42" s="430"/>
      <c r="IE42" s="430"/>
      <c r="IF42" s="430"/>
      <c r="IG42" s="430"/>
      <c r="IH42" s="430"/>
      <c r="II42" s="430"/>
      <c r="IJ42" s="434"/>
      <c r="IK42" s="434"/>
      <c r="IL42" s="430"/>
      <c r="IM42" s="430"/>
      <c r="IN42" s="430"/>
      <c r="IO42" s="430"/>
      <c r="IP42" s="430"/>
      <c r="IQ42" s="430"/>
      <c r="IR42" s="430"/>
      <c r="IS42" s="430"/>
      <c r="IT42" s="430"/>
      <c r="IU42" s="430"/>
      <c r="IV42" s="430"/>
      <c r="IW42" s="430"/>
      <c r="IX42" s="430"/>
      <c r="IY42" s="430"/>
      <c r="IZ42" s="430"/>
      <c r="JA42" s="434"/>
      <c r="JB42" s="430"/>
      <c r="JC42" s="430"/>
      <c r="JD42" s="146"/>
      <c r="JE42" s="146"/>
      <c r="JF42" s="146"/>
      <c r="JG42" s="146"/>
      <c r="JH42" s="146"/>
      <c r="JI42" s="146"/>
      <c r="JJ42" s="146"/>
      <c r="JK42" s="146"/>
      <c r="JL42" s="146"/>
      <c r="JM42" s="146"/>
      <c r="JN42" s="146"/>
      <c r="JO42" s="146"/>
      <c r="JP42" s="146"/>
      <c r="JQ42" s="146"/>
      <c r="JR42" s="146"/>
      <c r="JS42" s="146"/>
      <c r="JT42" s="146"/>
      <c r="JU42" s="146"/>
      <c r="JV42" s="146"/>
      <c r="JW42" s="146"/>
      <c r="JX42" s="146"/>
      <c r="JY42" s="146"/>
      <c r="JZ42" s="146"/>
      <c r="KA42" s="146"/>
      <c r="KB42" s="146"/>
      <c r="KC42" s="146"/>
      <c r="KD42" s="146"/>
      <c r="KE42" s="146"/>
      <c r="KF42" s="146"/>
      <c r="KG42" s="146"/>
      <c r="KH42" s="146"/>
      <c r="KI42" s="146"/>
    </row>
    <row r="43" spans="1:295" s="82" customFormat="1" ht="12" customHeight="1">
      <c r="A43" s="4045"/>
      <c r="B43" s="4045"/>
      <c r="C43" s="4045"/>
      <c r="D43" s="754" t="s">
        <v>2329</v>
      </c>
      <c r="E43" s="755">
        <v>2</v>
      </c>
      <c r="F43" s="1322" t="str">
        <f>IF('Part VI-Revenues &amp; Expenses'!$M$147 =0,"",'Part VI-Revenues &amp; Expenses'!$M$147)</f>
        <v/>
      </c>
      <c r="G43" s="756">
        <f>IF('Part IX Scoring Criteria'!$O$108='Part IX Scoring Criteria'!$M$108,$L43,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277175.3</v>
      </c>
      <c r="H43" s="40" t="str">
        <f>CONCATENATE("x ", F43," units = ")</f>
        <v xml:space="preserve">x  units = </v>
      </c>
      <c r="I43" s="1323" t="str">
        <f>IF(F43="","",F43*G43)</f>
        <v/>
      </c>
      <c r="J43" s="42"/>
      <c r="K43" s="1322" t="str">
        <f>IF('Part VI-Revenues &amp; Expenses'!$M$148 =0,"",'Part VI-Revenues &amp; Expenses'!$M$148)</f>
        <v/>
      </c>
      <c r="L43" s="756">
        <f>G43*(1+'DCA Underwriting Assumptions'!$Q$12)</f>
        <v>304892.83</v>
      </c>
      <c r="M43" s="40" t="str">
        <f>CONCATENATE("x ", K43," units = ")</f>
        <v xml:space="preserve">x  units = </v>
      </c>
      <c r="N43" s="1323" t="str">
        <f>IF(K43="","",K43*L43)</f>
        <v/>
      </c>
      <c r="O43" s="2655"/>
      <c r="P43" s="4004"/>
      <c r="Q43" s="4005"/>
      <c r="W43" s="432"/>
      <c r="X43" s="433"/>
      <c r="Y43" s="432"/>
      <c r="Z43" s="435"/>
      <c r="AA43" s="436"/>
      <c r="AB43" s="436"/>
      <c r="AC43" s="436"/>
      <c r="AD43" s="436"/>
      <c r="AE43" s="436"/>
      <c r="AF43" s="436"/>
      <c r="AG43" s="577"/>
      <c r="AH43" s="430"/>
      <c r="AI43" s="430"/>
      <c r="AJ43" s="430"/>
      <c r="AK43" s="430"/>
      <c r="AL43" s="430"/>
      <c r="AM43" s="430"/>
      <c r="AN43" s="430"/>
      <c r="AO43" s="430"/>
      <c r="AP43" s="430"/>
      <c r="AQ43" s="430"/>
      <c r="AR43" s="430"/>
      <c r="AS43" s="430"/>
      <c r="AT43" s="430"/>
      <c r="AU43" s="430"/>
      <c r="AV43" s="430"/>
      <c r="AW43" s="430"/>
      <c r="AX43" s="430"/>
      <c r="AY43" s="430"/>
      <c r="AZ43" s="430"/>
      <c r="BA43" s="430"/>
      <c r="BB43" s="430"/>
      <c r="BC43" s="430"/>
      <c r="BD43" s="430"/>
      <c r="BE43" s="430"/>
      <c r="BF43" s="430"/>
      <c r="BG43" s="430"/>
      <c r="BH43" s="430"/>
      <c r="BI43" s="430"/>
      <c r="BJ43" s="430"/>
      <c r="BK43" s="430"/>
      <c r="BL43" s="430"/>
      <c r="BM43" s="430"/>
      <c r="BN43" s="430"/>
      <c r="BO43" s="430"/>
      <c r="BP43" s="430"/>
      <c r="BQ43" s="430"/>
      <c r="BR43" s="430"/>
      <c r="BS43" s="430"/>
      <c r="BT43" s="430"/>
      <c r="BU43" s="430"/>
      <c r="BV43" s="430"/>
      <c r="BW43" s="430"/>
      <c r="BX43" s="430"/>
      <c r="BY43" s="430"/>
      <c r="BZ43" s="430"/>
      <c r="CA43" s="430"/>
      <c r="CB43" s="430"/>
      <c r="CC43" s="430"/>
      <c r="CD43" s="430"/>
      <c r="CE43" s="430"/>
      <c r="CF43" s="430"/>
      <c r="CG43" s="430"/>
      <c r="CH43" s="430"/>
      <c r="CI43" s="430"/>
      <c r="CJ43" s="430"/>
      <c r="CK43" s="430"/>
      <c r="CL43" s="430"/>
      <c r="CM43" s="430"/>
      <c r="CN43" s="430"/>
      <c r="CO43" s="430"/>
      <c r="CP43" s="430"/>
      <c r="CQ43" s="430"/>
      <c r="CR43" s="430"/>
      <c r="CS43" s="430"/>
      <c r="CT43" s="430"/>
      <c r="CU43" s="430"/>
      <c r="CV43" s="430"/>
      <c r="CW43" s="430"/>
      <c r="CX43" s="430"/>
      <c r="CY43" s="430"/>
      <c r="CZ43" s="430"/>
      <c r="DA43" s="430"/>
      <c r="DB43" s="430"/>
      <c r="DC43" s="430"/>
      <c r="DD43" s="430"/>
      <c r="DE43" s="430"/>
      <c r="DF43" s="430"/>
      <c r="DG43" s="430"/>
      <c r="DH43" s="430"/>
      <c r="DI43" s="430"/>
      <c r="DJ43" s="430"/>
      <c r="DK43" s="430"/>
      <c r="DL43" s="430"/>
      <c r="DM43" s="430"/>
      <c r="DN43" s="430"/>
      <c r="DO43" s="430"/>
      <c r="DP43" s="430"/>
      <c r="DQ43" s="430"/>
      <c r="DR43" s="430"/>
      <c r="DS43" s="430"/>
      <c r="DT43" s="430"/>
      <c r="DU43" s="430"/>
      <c r="DV43" s="430"/>
      <c r="DW43" s="430"/>
      <c r="DX43" s="430"/>
      <c r="DY43" s="430"/>
      <c r="DZ43" s="430"/>
      <c r="EA43" s="430"/>
      <c r="EB43" s="430"/>
      <c r="EC43" s="430"/>
      <c r="ED43" s="430"/>
      <c r="EE43" s="430"/>
      <c r="EF43" s="430"/>
      <c r="EG43" s="430"/>
      <c r="EH43" s="430"/>
      <c r="EI43" s="430"/>
      <c r="EJ43" s="430"/>
      <c r="EK43" s="430"/>
      <c r="EL43" s="430"/>
      <c r="EM43" s="430"/>
      <c r="EN43" s="430"/>
      <c r="EO43" s="430"/>
      <c r="EP43" s="430"/>
      <c r="EQ43" s="430"/>
      <c r="ER43" s="430"/>
      <c r="ES43" s="430"/>
      <c r="ET43" s="430"/>
      <c r="EU43" s="430"/>
      <c r="EV43" s="430"/>
      <c r="EW43" s="430"/>
      <c r="EX43" s="430"/>
      <c r="EY43" s="430"/>
      <c r="EZ43" s="430"/>
      <c r="FA43" s="430"/>
      <c r="FB43" s="430"/>
      <c r="FC43" s="430"/>
      <c r="FD43" s="430"/>
      <c r="FE43" s="430"/>
      <c r="FF43" s="430"/>
      <c r="FG43" s="430"/>
      <c r="FH43" s="430"/>
      <c r="FI43" s="430"/>
      <c r="FJ43" s="430"/>
      <c r="FK43" s="430"/>
      <c r="FL43" s="430"/>
      <c r="FM43" s="430"/>
      <c r="FN43" s="430"/>
      <c r="FO43" s="430"/>
      <c r="FP43" s="430"/>
      <c r="FQ43" s="430"/>
      <c r="FR43" s="430"/>
      <c r="FS43" s="430"/>
      <c r="FT43" s="430"/>
      <c r="FU43" s="430"/>
      <c r="FV43" s="430"/>
      <c r="FW43" s="430"/>
      <c r="FX43" s="430"/>
      <c r="FY43" s="430"/>
      <c r="FZ43" s="430"/>
      <c r="GA43" s="430"/>
      <c r="GB43" s="430"/>
      <c r="GC43" s="430"/>
      <c r="GD43" s="430"/>
      <c r="GE43" s="430"/>
      <c r="GF43" s="430"/>
      <c r="GG43" s="430"/>
      <c r="GH43" s="430"/>
      <c r="GI43" s="430"/>
      <c r="GJ43" s="430"/>
      <c r="GK43" s="430"/>
      <c r="GL43" s="430"/>
      <c r="GM43" s="430"/>
      <c r="GN43" s="430"/>
      <c r="GO43" s="430"/>
      <c r="GP43" s="430"/>
      <c r="GQ43" s="430"/>
      <c r="GR43" s="430"/>
      <c r="GS43" s="430"/>
      <c r="GT43" s="430"/>
      <c r="GU43" s="430"/>
      <c r="GV43" s="430"/>
      <c r="GW43" s="430"/>
      <c r="GX43" s="430"/>
      <c r="GY43" s="430"/>
      <c r="GZ43" s="430"/>
      <c r="HA43" s="430"/>
      <c r="HB43" s="430"/>
      <c r="HC43" s="430"/>
      <c r="HD43" s="430"/>
      <c r="HE43" s="430"/>
      <c r="HF43" s="430"/>
      <c r="HG43" s="430"/>
      <c r="HH43" s="430"/>
      <c r="HI43" s="430"/>
      <c r="HJ43" s="430"/>
      <c r="HK43" s="430"/>
      <c r="HL43" s="430"/>
      <c r="HM43" s="430"/>
      <c r="HN43" s="430"/>
      <c r="HO43" s="430"/>
      <c r="HP43" s="430"/>
      <c r="HQ43" s="430"/>
      <c r="HR43" s="430"/>
      <c r="HS43" s="430"/>
      <c r="HT43" s="430"/>
      <c r="HU43" s="430"/>
      <c r="HV43" s="430"/>
      <c r="HW43" s="430"/>
      <c r="HX43" s="430"/>
      <c r="HY43" s="430"/>
      <c r="HZ43" s="430"/>
      <c r="IA43" s="430"/>
      <c r="IB43" s="430"/>
      <c r="IC43" s="430"/>
      <c r="ID43" s="430"/>
      <c r="IE43" s="430"/>
      <c r="IF43" s="430"/>
      <c r="IG43" s="430"/>
      <c r="IH43" s="430"/>
      <c r="II43" s="430"/>
      <c r="IJ43" s="434"/>
      <c r="IK43" s="434"/>
      <c r="IL43" s="430"/>
      <c r="IM43" s="430"/>
      <c r="IN43" s="430"/>
      <c r="IO43" s="430"/>
      <c r="IP43" s="430"/>
      <c r="IQ43" s="430"/>
      <c r="IR43" s="430"/>
      <c r="IS43" s="430"/>
      <c r="IT43" s="430"/>
      <c r="IU43" s="430"/>
      <c r="IV43" s="430"/>
      <c r="IW43" s="430"/>
      <c r="IX43" s="430"/>
      <c r="IY43" s="430"/>
      <c r="IZ43" s="430"/>
      <c r="JA43" s="434"/>
      <c r="JB43" s="430"/>
      <c r="JC43" s="430"/>
      <c r="JD43" s="146"/>
      <c r="JE43" s="146"/>
      <c r="JF43" s="146"/>
      <c r="JG43" s="146"/>
      <c r="JH43" s="146"/>
      <c r="JI43" s="146"/>
      <c r="JJ43" s="146"/>
      <c r="JK43" s="146"/>
      <c r="JL43" s="146"/>
      <c r="JM43" s="146"/>
      <c r="JN43" s="146"/>
      <c r="JO43" s="146"/>
      <c r="JP43" s="146"/>
      <c r="JQ43" s="146"/>
      <c r="JR43" s="146"/>
      <c r="JS43" s="146"/>
      <c r="JT43" s="146"/>
      <c r="JU43" s="146"/>
      <c r="JV43" s="146"/>
      <c r="JW43" s="146"/>
      <c r="JX43" s="146"/>
      <c r="JY43" s="146"/>
      <c r="JZ43" s="146"/>
      <c r="KA43" s="146"/>
      <c r="KB43" s="146"/>
      <c r="KC43" s="146"/>
      <c r="KD43" s="146"/>
      <c r="KE43" s="146"/>
      <c r="KF43" s="146"/>
      <c r="KG43" s="146"/>
      <c r="KH43" s="146"/>
      <c r="KI43" s="146"/>
    </row>
    <row r="44" spans="1:295" s="82" customFormat="1" ht="12" customHeight="1">
      <c r="A44" s="4045"/>
      <c r="B44" s="4045"/>
      <c r="C44" s="4045"/>
      <c r="D44" s="754" t="s">
        <v>2330</v>
      </c>
      <c r="E44" s="755">
        <v>3</v>
      </c>
      <c r="F44" s="1322" t="str">
        <f>IF('Part VI-Revenues &amp; Expenses'!$N$147 =0,"",'Part VI-Revenues &amp; Expenses'!$N$147)</f>
        <v/>
      </c>
      <c r="G44" s="756">
        <f>IF('Part IX Scoring Criteria'!$O$108='Part IX Scoring Criteria'!$M$108,$L44,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316111.40000000002</v>
      </c>
      <c r="H44" s="40" t="str">
        <f>CONCATENATE("x ", F44," units = ")</f>
        <v xml:space="preserve">x  units = </v>
      </c>
      <c r="I44" s="1323" t="str">
        <f>IF(F44="","",F44*G44)</f>
        <v/>
      </c>
      <c r="J44" s="42"/>
      <c r="K44" s="1322" t="str">
        <f>IF('Part VI-Revenues &amp; Expenses'!$N$148 =0,"",'Part VI-Revenues &amp; Expenses'!$N$148)</f>
        <v/>
      </c>
      <c r="L44" s="756">
        <f>G44*(1+'DCA Underwriting Assumptions'!$Q$12)</f>
        <v>347722.54000000004</v>
      </c>
      <c r="M44" s="40" t="str">
        <f>CONCATENATE("x ", K44," units = ")</f>
        <v xml:space="preserve">x  units = </v>
      </c>
      <c r="N44" s="1323" t="str">
        <f>IF(K44="","",K44*L44)</f>
        <v/>
      </c>
      <c r="O44" s="2655"/>
      <c r="P44" s="4064" t="s">
        <v>4134</v>
      </c>
      <c r="Q44" s="4064"/>
      <c r="W44" s="432"/>
      <c r="X44" s="433"/>
      <c r="AC44" s="436"/>
      <c r="AD44" s="436"/>
      <c r="AE44" s="436"/>
      <c r="AF44" s="436"/>
      <c r="AG44" s="577"/>
      <c r="AH44" s="430"/>
      <c r="AI44" s="430"/>
      <c r="AJ44" s="430"/>
      <c r="AK44" s="430"/>
      <c r="AL44" s="430"/>
      <c r="AM44" s="430"/>
      <c r="AN44" s="430"/>
      <c r="AO44" s="430"/>
      <c r="AP44" s="430"/>
      <c r="AQ44" s="430"/>
      <c r="AR44" s="430"/>
      <c r="AS44" s="430"/>
      <c r="AT44" s="430"/>
      <c r="AU44" s="430"/>
      <c r="AV44" s="430"/>
      <c r="AW44" s="430"/>
      <c r="AX44" s="430"/>
      <c r="AY44" s="430"/>
      <c r="AZ44" s="430"/>
      <c r="BA44" s="430"/>
      <c r="BB44" s="430"/>
      <c r="BC44" s="430"/>
      <c r="BD44" s="430"/>
      <c r="BE44" s="430"/>
      <c r="BF44" s="430"/>
      <c r="BG44" s="430"/>
      <c r="BH44" s="430"/>
      <c r="BI44" s="430"/>
      <c r="BJ44" s="430"/>
      <c r="BK44" s="430"/>
      <c r="BL44" s="430"/>
      <c r="BM44" s="430"/>
      <c r="BN44" s="430"/>
      <c r="BO44" s="430"/>
      <c r="BP44" s="430"/>
      <c r="BQ44" s="430"/>
      <c r="BR44" s="430"/>
      <c r="BS44" s="430"/>
      <c r="BT44" s="430"/>
      <c r="BU44" s="430"/>
      <c r="BV44" s="430"/>
      <c r="BW44" s="430"/>
      <c r="BX44" s="430"/>
      <c r="BY44" s="430"/>
      <c r="BZ44" s="430"/>
      <c r="CA44" s="430"/>
      <c r="CB44" s="430"/>
      <c r="CC44" s="430"/>
      <c r="CD44" s="430"/>
      <c r="CE44" s="430"/>
      <c r="CF44" s="430"/>
      <c r="CG44" s="430"/>
      <c r="CH44" s="430"/>
      <c r="CI44" s="430"/>
      <c r="CJ44" s="430"/>
      <c r="CK44" s="430"/>
      <c r="CL44" s="430"/>
      <c r="CM44" s="430"/>
      <c r="CN44" s="430"/>
      <c r="CO44" s="430"/>
      <c r="CP44" s="430"/>
      <c r="CQ44" s="430"/>
      <c r="CR44" s="430"/>
      <c r="CS44" s="430"/>
      <c r="CT44" s="430"/>
      <c r="CU44" s="430"/>
      <c r="CV44" s="430"/>
      <c r="CW44" s="430"/>
      <c r="CX44" s="430"/>
      <c r="CY44" s="430"/>
      <c r="CZ44" s="430"/>
      <c r="DA44" s="430"/>
      <c r="DB44" s="430"/>
      <c r="DC44" s="430"/>
      <c r="DD44" s="430"/>
      <c r="DE44" s="430"/>
      <c r="DF44" s="430"/>
      <c r="DG44" s="430"/>
      <c r="DH44" s="430"/>
      <c r="DI44" s="430"/>
      <c r="DJ44" s="430"/>
      <c r="DK44" s="430"/>
      <c r="DL44" s="430"/>
      <c r="DM44" s="430"/>
      <c r="DN44" s="430"/>
      <c r="DO44" s="430"/>
      <c r="DP44" s="430"/>
      <c r="DQ44" s="430"/>
      <c r="DR44" s="430"/>
      <c r="DS44" s="430"/>
      <c r="DT44" s="430"/>
      <c r="DU44" s="430"/>
      <c r="DV44" s="430"/>
      <c r="DW44" s="430"/>
      <c r="DX44" s="430"/>
      <c r="DY44" s="430"/>
      <c r="DZ44" s="430"/>
      <c r="EA44" s="430"/>
      <c r="EB44" s="430"/>
      <c r="EC44" s="430"/>
      <c r="ED44" s="430"/>
      <c r="EE44" s="430"/>
      <c r="EF44" s="430"/>
      <c r="EG44" s="430"/>
      <c r="EH44" s="430"/>
      <c r="EI44" s="430"/>
      <c r="EJ44" s="430"/>
      <c r="EK44" s="430"/>
      <c r="EL44" s="430"/>
      <c r="EM44" s="430"/>
      <c r="EN44" s="430"/>
      <c r="EO44" s="430"/>
      <c r="EP44" s="430"/>
      <c r="EQ44" s="430"/>
      <c r="ER44" s="430"/>
      <c r="ES44" s="430"/>
      <c r="ET44" s="430"/>
      <c r="EU44" s="430"/>
      <c r="EV44" s="430"/>
      <c r="EW44" s="430"/>
      <c r="EX44" s="430"/>
      <c r="EY44" s="430"/>
      <c r="EZ44" s="430"/>
      <c r="FA44" s="430"/>
      <c r="FB44" s="430"/>
      <c r="FC44" s="430"/>
      <c r="FD44" s="430"/>
      <c r="FE44" s="430"/>
      <c r="FF44" s="430"/>
      <c r="FG44" s="430"/>
      <c r="FH44" s="430"/>
      <c r="FI44" s="430"/>
      <c r="FJ44" s="430"/>
      <c r="FK44" s="430"/>
      <c r="FL44" s="430"/>
      <c r="FM44" s="430"/>
      <c r="FN44" s="430"/>
      <c r="FO44" s="430"/>
      <c r="FP44" s="430"/>
      <c r="FQ44" s="430"/>
      <c r="FR44" s="430"/>
      <c r="FS44" s="430"/>
      <c r="FT44" s="430"/>
      <c r="FU44" s="430"/>
      <c r="FV44" s="430"/>
      <c r="FW44" s="430"/>
      <c r="FX44" s="430"/>
      <c r="FY44" s="430"/>
      <c r="FZ44" s="430"/>
      <c r="GA44" s="430"/>
      <c r="GB44" s="430"/>
      <c r="GC44" s="430"/>
      <c r="GD44" s="430"/>
      <c r="GE44" s="430"/>
      <c r="GF44" s="430"/>
      <c r="GG44" s="430"/>
      <c r="GH44" s="430"/>
      <c r="GI44" s="430"/>
      <c r="GJ44" s="430"/>
      <c r="GK44" s="430"/>
      <c r="GL44" s="430"/>
      <c r="GM44" s="430"/>
      <c r="GN44" s="430"/>
      <c r="GO44" s="430"/>
      <c r="GP44" s="430"/>
      <c r="GQ44" s="430"/>
      <c r="GR44" s="430"/>
      <c r="GS44" s="430"/>
      <c r="GT44" s="430"/>
      <c r="GU44" s="430"/>
      <c r="GV44" s="430"/>
      <c r="GW44" s="430"/>
      <c r="GX44" s="430"/>
      <c r="GY44" s="430"/>
      <c r="GZ44" s="430"/>
      <c r="HA44" s="430"/>
      <c r="HB44" s="430"/>
      <c r="HC44" s="430"/>
      <c r="HD44" s="430"/>
      <c r="HE44" s="430"/>
      <c r="HF44" s="430"/>
      <c r="HG44" s="430"/>
      <c r="HH44" s="430"/>
      <c r="HI44" s="430"/>
      <c r="HJ44" s="430"/>
      <c r="HK44" s="430"/>
      <c r="HL44" s="430"/>
      <c r="HM44" s="430"/>
      <c r="HN44" s="430"/>
      <c r="HO44" s="430"/>
      <c r="HP44" s="430"/>
      <c r="HQ44" s="430"/>
      <c r="HR44" s="430"/>
      <c r="HS44" s="430"/>
      <c r="HT44" s="430"/>
      <c r="HU44" s="430"/>
      <c r="HV44" s="430"/>
      <c r="HW44" s="430"/>
      <c r="HX44" s="430"/>
      <c r="HY44" s="430"/>
      <c r="HZ44" s="430"/>
      <c r="IA44" s="430"/>
      <c r="IB44" s="430"/>
      <c r="IC44" s="430"/>
      <c r="ID44" s="430"/>
      <c r="IE44" s="430"/>
      <c r="IF44" s="430"/>
      <c r="IG44" s="430"/>
      <c r="IH44" s="430"/>
      <c r="II44" s="430"/>
      <c r="IJ44" s="434"/>
      <c r="IK44" s="434"/>
      <c r="IL44" s="430"/>
      <c r="IM44" s="430"/>
      <c r="IN44" s="430"/>
      <c r="IO44" s="430"/>
      <c r="IP44" s="430"/>
      <c r="IQ44" s="430"/>
      <c r="IR44" s="430"/>
      <c r="IS44" s="430"/>
      <c r="IT44" s="430"/>
      <c r="IU44" s="430"/>
      <c r="IV44" s="430"/>
      <c r="IW44" s="430"/>
      <c r="IX44" s="430"/>
      <c r="IY44" s="430"/>
      <c r="IZ44" s="430"/>
      <c r="JA44" s="434"/>
      <c r="JB44" s="430"/>
      <c r="JC44" s="430"/>
      <c r="JD44" s="146"/>
      <c r="JE44" s="146"/>
      <c r="JF44" s="146"/>
      <c r="JG44" s="146"/>
      <c r="JH44" s="146"/>
      <c r="JI44" s="146"/>
      <c r="JJ44" s="146"/>
      <c r="JK44" s="146"/>
      <c r="JL44" s="146"/>
      <c r="JM44" s="146"/>
      <c r="JN44" s="146"/>
      <c r="JO44" s="146"/>
      <c r="JP44" s="146"/>
      <c r="JQ44" s="146"/>
      <c r="JR44" s="146"/>
      <c r="JS44" s="146"/>
      <c r="JT44" s="146"/>
      <c r="JU44" s="146"/>
      <c r="JV44" s="146"/>
      <c r="JW44" s="146"/>
      <c r="JX44" s="146"/>
      <c r="JY44" s="146"/>
      <c r="JZ44" s="146"/>
      <c r="KA44" s="146"/>
      <c r="KB44" s="146"/>
      <c r="KC44" s="146"/>
      <c r="KD44" s="146"/>
      <c r="KE44" s="146"/>
      <c r="KF44" s="146"/>
      <c r="KG44" s="146"/>
      <c r="KH44" s="146"/>
      <c r="KI44" s="146"/>
    </row>
    <row r="45" spans="1:295" s="82" customFormat="1" ht="12" customHeight="1">
      <c r="A45" s="8"/>
      <c r="B45" s="8"/>
      <c r="C45" s="1"/>
      <c r="D45" s="758" t="s">
        <v>2331</v>
      </c>
      <c r="E45" s="755">
        <v>4</v>
      </c>
      <c r="F45" s="1322" t="str">
        <f>IF('Part VI-Revenues &amp; Expenses'!$O$147 =0,"",'Part VI-Revenues &amp; Expenses'!$O$147)</f>
        <v/>
      </c>
      <c r="G45" s="756">
        <f>IF('Part IX Scoring Criteria'!$O$108='Part IX Scoring Criteria'!$M$108,$L45,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372487.50000000006</v>
      </c>
      <c r="H45" s="40" t="str">
        <f>CONCATENATE("x ", F45," units = ")</f>
        <v xml:space="preserve">x  units = </v>
      </c>
      <c r="I45" s="1323" t="str">
        <f>IF(F45="","",F45*G45)</f>
        <v/>
      </c>
      <c r="J45" s="42"/>
      <c r="K45" s="1322" t="str">
        <f>IF('Part VI-Revenues &amp; Expenses'!$O$148 =0,"",'Part VI-Revenues &amp; Expenses'!$O$148)</f>
        <v/>
      </c>
      <c r="L45" s="756">
        <f>G45*(1+'DCA Underwriting Assumptions'!$Q$12)</f>
        <v>409736.25000000012</v>
      </c>
      <c r="M45" s="40" t="str">
        <f>CONCATENATE("x ", K45," units = ")</f>
        <v xml:space="preserve">x  units = </v>
      </c>
      <c r="N45" s="1323" t="str">
        <f>IF(K45="","",K45*L45)</f>
        <v/>
      </c>
      <c r="O45" s="2655"/>
      <c r="P45" s="4076">
        <f>'Part IV-A-Uses of Funds'!$G$146</f>
        <v>15238231.279999999</v>
      </c>
      <c r="Q45" s="4077"/>
      <c r="AC45" s="436"/>
      <c r="AD45" s="436"/>
      <c r="AE45" s="436"/>
      <c r="AF45" s="436"/>
      <c r="AG45" s="577"/>
      <c r="AH45" s="430"/>
      <c r="AI45" s="430"/>
      <c r="AJ45" s="430"/>
      <c r="AK45" s="430"/>
      <c r="AL45" s="430"/>
      <c r="AM45" s="430"/>
      <c r="AN45" s="430"/>
      <c r="AO45" s="430"/>
      <c r="AP45" s="430"/>
      <c r="AQ45" s="430"/>
      <c r="AR45" s="430"/>
      <c r="AS45" s="430"/>
      <c r="AT45" s="430"/>
      <c r="AU45" s="430"/>
      <c r="AV45" s="430"/>
      <c r="AW45" s="430"/>
      <c r="AX45" s="430"/>
      <c r="AY45" s="430"/>
      <c r="AZ45" s="430"/>
      <c r="BA45" s="430"/>
      <c r="BB45" s="430"/>
      <c r="BC45" s="430"/>
      <c r="BD45" s="430"/>
      <c r="BE45" s="430"/>
      <c r="BF45" s="430"/>
      <c r="BG45" s="430"/>
      <c r="BH45" s="430"/>
      <c r="BI45" s="430"/>
      <c r="BJ45" s="430"/>
      <c r="BK45" s="430"/>
      <c r="BL45" s="430"/>
      <c r="BM45" s="430"/>
      <c r="BN45" s="430"/>
      <c r="BO45" s="430"/>
      <c r="BP45" s="430"/>
      <c r="BQ45" s="430"/>
      <c r="BR45" s="430"/>
      <c r="BS45" s="430"/>
      <c r="BT45" s="430"/>
      <c r="BU45" s="430"/>
      <c r="BV45" s="430"/>
      <c r="BW45" s="430"/>
      <c r="BX45" s="430"/>
      <c r="BY45" s="430"/>
      <c r="BZ45" s="430"/>
      <c r="CA45" s="430"/>
      <c r="CB45" s="430"/>
      <c r="CC45" s="430"/>
      <c r="CD45" s="430"/>
      <c r="CE45" s="430"/>
      <c r="CF45" s="430"/>
      <c r="CG45" s="430"/>
      <c r="CH45" s="430"/>
      <c r="CI45" s="430"/>
      <c r="CJ45" s="430"/>
      <c r="CK45" s="430"/>
      <c r="CL45" s="430"/>
      <c r="CM45" s="430"/>
      <c r="CN45" s="430"/>
      <c r="CO45" s="430"/>
      <c r="CP45" s="430"/>
      <c r="CQ45" s="430"/>
      <c r="CR45" s="430"/>
      <c r="CS45" s="430"/>
      <c r="CT45" s="430"/>
      <c r="CU45" s="430"/>
      <c r="CV45" s="430"/>
      <c r="CW45" s="430"/>
      <c r="CX45" s="430"/>
      <c r="CY45" s="430"/>
      <c r="CZ45" s="430"/>
      <c r="DA45" s="430"/>
      <c r="DB45" s="430"/>
      <c r="DC45" s="430"/>
      <c r="DD45" s="430"/>
      <c r="DE45" s="430"/>
      <c r="DF45" s="430"/>
      <c r="DG45" s="430"/>
      <c r="DH45" s="430"/>
      <c r="DI45" s="430"/>
      <c r="DJ45" s="430"/>
      <c r="DK45" s="430"/>
      <c r="DL45" s="430"/>
      <c r="DM45" s="430"/>
      <c r="DN45" s="430"/>
      <c r="DO45" s="430"/>
      <c r="DP45" s="430"/>
      <c r="DQ45" s="430"/>
      <c r="DR45" s="430"/>
      <c r="DS45" s="430"/>
      <c r="DT45" s="430"/>
      <c r="DU45" s="430"/>
      <c r="DV45" s="430"/>
      <c r="DW45" s="430"/>
      <c r="DX45" s="430"/>
      <c r="DY45" s="430"/>
      <c r="DZ45" s="430"/>
      <c r="EA45" s="430"/>
      <c r="EB45" s="430"/>
      <c r="EC45" s="430"/>
      <c r="ED45" s="430"/>
      <c r="EE45" s="430"/>
      <c r="EF45" s="430"/>
      <c r="EG45" s="430"/>
      <c r="EH45" s="430"/>
      <c r="EI45" s="430"/>
      <c r="EJ45" s="430"/>
      <c r="EK45" s="430"/>
      <c r="EL45" s="430"/>
      <c r="EM45" s="430"/>
      <c r="EN45" s="430"/>
      <c r="EO45" s="430"/>
      <c r="EP45" s="430"/>
      <c r="EQ45" s="430"/>
      <c r="ER45" s="430"/>
      <c r="ES45" s="430"/>
      <c r="ET45" s="430"/>
      <c r="EU45" s="430"/>
      <c r="EV45" s="430"/>
      <c r="EW45" s="430"/>
      <c r="EX45" s="430"/>
      <c r="EY45" s="430"/>
      <c r="EZ45" s="430"/>
      <c r="FA45" s="430"/>
      <c r="FB45" s="430"/>
      <c r="FC45" s="430"/>
      <c r="FD45" s="430"/>
      <c r="FE45" s="430"/>
      <c r="FF45" s="430"/>
      <c r="FG45" s="430"/>
      <c r="FH45" s="430"/>
      <c r="FI45" s="430"/>
      <c r="FJ45" s="430"/>
      <c r="FK45" s="430"/>
      <c r="FL45" s="430"/>
      <c r="FM45" s="430"/>
      <c r="FN45" s="430"/>
      <c r="FO45" s="430"/>
      <c r="FP45" s="430"/>
      <c r="FQ45" s="430"/>
      <c r="FR45" s="430"/>
      <c r="FS45" s="430"/>
      <c r="FT45" s="430"/>
      <c r="FU45" s="430"/>
      <c r="FV45" s="430"/>
      <c r="FW45" s="430"/>
      <c r="FX45" s="430"/>
      <c r="FY45" s="430"/>
      <c r="FZ45" s="430"/>
      <c r="GA45" s="430"/>
      <c r="GB45" s="430"/>
      <c r="GC45" s="430"/>
      <c r="GD45" s="430"/>
      <c r="GE45" s="430"/>
      <c r="GF45" s="430"/>
      <c r="GG45" s="430"/>
      <c r="GH45" s="430"/>
      <c r="GI45" s="430"/>
      <c r="GJ45" s="430"/>
      <c r="GK45" s="430"/>
      <c r="GL45" s="430"/>
      <c r="GM45" s="430"/>
      <c r="GN45" s="430"/>
      <c r="GO45" s="430"/>
      <c r="GP45" s="430"/>
      <c r="GQ45" s="430"/>
      <c r="GR45" s="430"/>
      <c r="GS45" s="430"/>
      <c r="GT45" s="430"/>
      <c r="GU45" s="430"/>
      <c r="GV45" s="430"/>
      <c r="GW45" s="430"/>
      <c r="GX45" s="430"/>
      <c r="GY45" s="430"/>
      <c r="GZ45" s="430"/>
      <c r="HA45" s="430"/>
      <c r="HB45" s="430"/>
      <c r="HC45" s="430"/>
      <c r="HD45" s="430"/>
      <c r="HE45" s="430"/>
      <c r="HF45" s="430"/>
      <c r="HG45" s="430"/>
      <c r="HH45" s="430"/>
      <c r="HI45" s="430"/>
      <c r="HJ45" s="430"/>
      <c r="HK45" s="430"/>
      <c r="HL45" s="430"/>
      <c r="HM45" s="430"/>
      <c r="HN45" s="430"/>
      <c r="HO45" s="430"/>
      <c r="HP45" s="430"/>
      <c r="HQ45" s="430"/>
      <c r="HR45" s="430"/>
      <c r="HS45" s="430"/>
      <c r="HT45" s="430"/>
      <c r="HU45" s="430"/>
      <c r="HV45" s="430"/>
      <c r="HW45" s="430"/>
      <c r="HX45" s="430"/>
      <c r="HY45" s="430"/>
      <c r="HZ45" s="430"/>
      <c r="IA45" s="430"/>
      <c r="IB45" s="430"/>
      <c r="IC45" s="430"/>
      <c r="ID45" s="430"/>
      <c r="IE45" s="430"/>
      <c r="IF45" s="430"/>
      <c r="IG45" s="430"/>
      <c r="IH45" s="430"/>
      <c r="II45" s="430"/>
      <c r="IJ45" s="434"/>
      <c r="IK45" s="434"/>
      <c r="IL45" s="430"/>
      <c r="IM45" s="430"/>
      <c r="IN45" s="430"/>
      <c r="IO45" s="430"/>
      <c r="IP45" s="430"/>
      <c r="IQ45" s="430"/>
      <c r="IR45" s="430"/>
      <c r="IS45" s="430"/>
      <c r="IT45" s="430"/>
      <c r="IU45" s="430"/>
      <c r="IV45" s="430"/>
      <c r="IW45" s="430"/>
      <c r="IX45" s="430"/>
      <c r="IY45" s="430"/>
      <c r="IZ45" s="430"/>
      <c r="JA45" s="434"/>
      <c r="JB45" s="430"/>
      <c r="JC45" s="430"/>
      <c r="JD45" s="146"/>
      <c r="JE45" s="146"/>
      <c r="JF45" s="146"/>
      <c r="JG45" s="146"/>
      <c r="JH45" s="146"/>
      <c r="JI45" s="146"/>
      <c r="JJ45" s="146"/>
      <c r="JK45" s="146"/>
      <c r="JL45" s="146"/>
      <c r="JM45" s="146"/>
      <c r="JN45" s="146"/>
      <c r="JO45" s="146"/>
      <c r="JP45" s="146"/>
      <c r="JQ45" s="146"/>
      <c r="JR45" s="146"/>
      <c r="JS45" s="146"/>
      <c r="JT45" s="146"/>
      <c r="JU45" s="146"/>
      <c r="JV45" s="146"/>
      <c r="JW45" s="146"/>
      <c r="JX45" s="146"/>
      <c r="JY45" s="146"/>
      <c r="JZ45" s="146"/>
      <c r="KA45" s="146"/>
      <c r="KB45" s="146"/>
      <c r="KC45" s="146"/>
      <c r="KD45" s="146"/>
      <c r="KE45" s="146"/>
      <c r="KF45" s="146"/>
      <c r="KG45" s="146"/>
      <c r="KH45" s="146"/>
      <c r="KI45" s="146"/>
    </row>
    <row r="46" spans="1:295" s="82" customFormat="1" ht="12" customHeight="1">
      <c r="A46" s="8"/>
      <c r="B46" s="8"/>
      <c r="C46" s="1"/>
      <c r="D46" s="527" t="s">
        <v>3121</v>
      </c>
      <c r="E46" s="131"/>
      <c r="F46" s="946">
        <f>SUM(F41:F45)</f>
        <v>0</v>
      </c>
      <c r="G46" s="562"/>
      <c r="H46" s="947"/>
      <c r="I46" s="948">
        <f>SUM(I41:I45)</f>
        <v>0</v>
      </c>
      <c r="J46" s="949"/>
      <c r="K46" s="946">
        <f>SUM(K41:K45)</f>
        <v>0</v>
      </c>
      <c r="L46" s="949"/>
      <c r="M46" s="947"/>
      <c r="N46" s="948">
        <f>SUM(N41:N45)</f>
        <v>0</v>
      </c>
      <c r="O46" s="2655"/>
      <c r="P46" s="4064" t="s">
        <v>4120</v>
      </c>
      <c r="Q46" s="4064"/>
      <c r="R46" s="4080" t="s">
        <v>6610</v>
      </c>
      <c r="S46" s="4080"/>
      <c r="T46" s="4080"/>
      <c r="V46" s="2490"/>
      <c r="W46" s="2490"/>
      <c r="AC46" s="436"/>
      <c r="AD46" s="436"/>
      <c r="AE46" s="436"/>
      <c r="AF46" s="436"/>
      <c r="AG46" s="577"/>
      <c r="AH46" s="430"/>
      <c r="AI46" s="430"/>
      <c r="AJ46" s="430"/>
      <c r="AK46" s="430"/>
      <c r="AL46" s="430"/>
      <c r="AM46" s="430"/>
      <c r="AN46" s="430"/>
      <c r="AO46" s="430"/>
      <c r="AP46" s="430"/>
      <c r="AQ46" s="430"/>
      <c r="AR46" s="430"/>
      <c r="AS46" s="430"/>
      <c r="AT46" s="430"/>
      <c r="AU46" s="430"/>
      <c r="AV46" s="430"/>
      <c r="AW46" s="430"/>
      <c r="AX46" s="430"/>
      <c r="AY46" s="430"/>
      <c r="AZ46" s="430"/>
      <c r="BA46" s="430"/>
      <c r="BB46" s="430"/>
      <c r="BC46" s="430"/>
      <c r="BD46" s="430"/>
      <c r="BE46" s="430"/>
      <c r="BF46" s="430"/>
      <c r="BG46" s="430"/>
      <c r="BH46" s="430"/>
      <c r="BI46" s="430"/>
      <c r="BJ46" s="430"/>
      <c r="BK46" s="430"/>
      <c r="BL46" s="430"/>
      <c r="BM46" s="430"/>
      <c r="BN46" s="430"/>
      <c r="BO46" s="430"/>
      <c r="BP46" s="430"/>
      <c r="BQ46" s="430"/>
      <c r="BR46" s="430"/>
      <c r="BS46" s="430"/>
      <c r="BT46" s="430"/>
      <c r="BU46" s="430"/>
      <c r="BV46" s="430"/>
      <c r="BW46" s="430"/>
      <c r="BX46" s="430"/>
      <c r="BY46" s="430"/>
      <c r="BZ46" s="430"/>
      <c r="CA46" s="430"/>
      <c r="CB46" s="430"/>
      <c r="CC46" s="430"/>
      <c r="CD46" s="430"/>
      <c r="CE46" s="430"/>
      <c r="CF46" s="430"/>
      <c r="CG46" s="430"/>
      <c r="CH46" s="430"/>
      <c r="CI46" s="430"/>
      <c r="CJ46" s="430"/>
      <c r="CK46" s="430"/>
      <c r="CL46" s="430"/>
      <c r="CM46" s="430"/>
      <c r="CN46" s="430"/>
      <c r="CO46" s="430"/>
      <c r="CP46" s="430"/>
      <c r="CQ46" s="430"/>
      <c r="CR46" s="430"/>
      <c r="CS46" s="430"/>
      <c r="CT46" s="430"/>
      <c r="CU46" s="430"/>
      <c r="CV46" s="430"/>
      <c r="CW46" s="430"/>
      <c r="CX46" s="430"/>
      <c r="CY46" s="430"/>
      <c r="CZ46" s="430"/>
      <c r="DA46" s="430"/>
      <c r="DB46" s="430"/>
      <c r="DC46" s="430"/>
      <c r="DD46" s="430"/>
      <c r="DE46" s="430"/>
      <c r="DF46" s="430"/>
      <c r="DG46" s="430"/>
      <c r="DH46" s="430"/>
      <c r="DI46" s="430"/>
      <c r="DJ46" s="430"/>
      <c r="DK46" s="430"/>
      <c r="DL46" s="430"/>
      <c r="DM46" s="430"/>
      <c r="DN46" s="430"/>
      <c r="DO46" s="430"/>
      <c r="DP46" s="430"/>
      <c r="DQ46" s="430"/>
      <c r="DR46" s="430"/>
      <c r="DS46" s="430"/>
      <c r="DT46" s="430"/>
      <c r="DU46" s="430"/>
      <c r="DV46" s="430"/>
      <c r="DW46" s="430"/>
      <c r="DX46" s="430"/>
      <c r="DY46" s="430"/>
      <c r="DZ46" s="430"/>
      <c r="EA46" s="430"/>
      <c r="EB46" s="430"/>
      <c r="EC46" s="430"/>
      <c r="ED46" s="430"/>
      <c r="EE46" s="430"/>
      <c r="EF46" s="430"/>
      <c r="EG46" s="430"/>
      <c r="EH46" s="430"/>
      <c r="EI46" s="430"/>
      <c r="EJ46" s="430"/>
      <c r="EK46" s="430"/>
      <c r="EL46" s="430"/>
      <c r="EM46" s="430"/>
      <c r="EN46" s="430"/>
      <c r="EO46" s="430"/>
      <c r="EP46" s="430"/>
      <c r="EQ46" s="430"/>
      <c r="ER46" s="430"/>
      <c r="ES46" s="430"/>
      <c r="ET46" s="430"/>
      <c r="EU46" s="430"/>
      <c r="EV46" s="430"/>
      <c r="EW46" s="430"/>
      <c r="EX46" s="430"/>
      <c r="EY46" s="430"/>
      <c r="EZ46" s="430"/>
      <c r="FA46" s="430"/>
      <c r="FB46" s="430"/>
      <c r="FC46" s="430"/>
      <c r="FD46" s="430"/>
      <c r="FE46" s="430"/>
      <c r="FF46" s="430"/>
      <c r="FG46" s="430"/>
      <c r="FH46" s="430"/>
      <c r="FI46" s="430"/>
      <c r="FJ46" s="430"/>
      <c r="FK46" s="430"/>
      <c r="FL46" s="430"/>
      <c r="FM46" s="430"/>
      <c r="FN46" s="430"/>
      <c r="FO46" s="430"/>
      <c r="FP46" s="430"/>
      <c r="FQ46" s="430"/>
      <c r="FR46" s="430"/>
      <c r="FS46" s="430"/>
      <c r="FT46" s="430"/>
      <c r="FU46" s="430"/>
      <c r="FV46" s="430"/>
      <c r="FW46" s="430"/>
      <c r="FX46" s="430"/>
      <c r="FY46" s="430"/>
      <c r="FZ46" s="430"/>
      <c r="GA46" s="430"/>
      <c r="GB46" s="430"/>
      <c r="GC46" s="430"/>
      <c r="GD46" s="430"/>
      <c r="GE46" s="430"/>
      <c r="GF46" s="430"/>
      <c r="GG46" s="430"/>
      <c r="GH46" s="430"/>
      <c r="GI46" s="430"/>
      <c r="GJ46" s="430"/>
      <c r="GK46" s="430"/>
      <c r="GL46" s="430"/>
      <c r="GM46" s="430"/>
      <c r="GN46" s="430"/>
      <c r="GO46" s="430"/>
      <c r="GP46" s="430"/>
      <c r="GQ46" s="430"/>
      <c r="GR46" s="430"/>
      <c r="GS46" s="430"/>
      <c r="GT46" s="430"/>
      <c r="GU46" s="430"/>
      <c r="GV46" s="430"/>
      <c r="GW46" s="430"/>
      <c r="GX46" s="430"/>
      <c r="GY46" s="430"/>
      <c r="GZ46" s="430"/>
      <c r="HA46" s="430"/>
      <c r="HB46" s="430"/>
      <c r="HC46" s="430"/>
      <c r="HD46" s="430"/>
      <c r="HE46" s="430"/>
      <c r="HF46" s="430"/>
      <c r="HG46" s="430"/>
      <c r="HH46" s="430"/>
      <c r="HI46" s="430"/>
      <c r="HJ46" s="430"/>
      <c r="HK46" s="430"/>
      <c r="HL46" s="430"/>
      <c r="HM46" s="430"/>
      <c r="HN46" s="430"/>
      <c r="HO46" s="430"/>
      <c r="HP46" s="430"/>
      <c r="HQ46" s="430"/>
      <c r="HR46" s="430"/>
      <c r="HS46" s="430"/>
      <c r="HT46" s="430"/>
      <c r="HU46" s="430"/>
      <c r="HV46" s="430"/>
      <c r="HW46" s="430"/>
      <c r="HX46" s="430"/>
      <c r="HY46" s="430"/>
      <c r="HZ46" s="430"/>
      <c r="IA46" s="430"/>
      <c r="IB46" s="430"/>
      <c r="IC46" s="430"/>
      <c r="ID46" s="430"/>
      <c r="IE46" s="430"/>
      <c r="IF46" s="430"/>
      <c r="IG46" s="430"/>
      <c r="IH46" s="430"/>
      <c r="II46" s="430"/>
      <c r="IJ46" s="434"/>
      <c r="IK46" s="434"/>
      <c r="IL46" s="430"/>
      <c r="IM46" s="430"/>
      <c r="IN46" s="430"/>
      <c r="IO46" s="430"/>
      <c r="IP46" s="430"/>
      <c r="IQ46" s="430"/>
      <c r="IR46" s="430"/>
      <c r="IS46" s="430"/>
      <c r="IT46" s="430"/>
      <c r="IU46" s="430"/>
      <c r="IV46" s="430"/>
      <c r="IW46" s="430"/>
      <c r="IX46" s="430"/>
      <c r="IY46" s="430"/>
      <c r="IZ46" s="430"/>
      <c r="JA46" s="434"/>
      <c r="JB46" s="430"/>
      <c r="JC46" s="430"/>
      <c r="JD46" s="146"/>
      <c r="JE46" s="146"/>
      <c r="JF46" s="146"/>
      <c r="JG46" s="146"/>
      <c r="JH46" s="146"/>
      <c r="JI46" s="146"/>
      <c r="JJ46" s="146"/>
      <c r="JK46" s="146"/>
      <c r="JL46" s="146"/>
      <c r="JM46" s="146"/>
      <c r="JN46" s="146"/>
      <c r="JO46" s="146"/>
      <c r="JP46" s="146"/>
      <c r="JQ46" s="146"/>
      <c r="JR46" s="146"/>
      <c r="JS46" s="146"/>
      <c r="JT46" s="146"/>
      <c r="JU46" s="146"/>
      <c r="JV46" s="146"/>
      <c r="JW46" s="146"/>
      <c r="JX46" s="146"/>
      <c r="JY46" s="146"/>
      <c r="JZ46" s="146"/>
      <c r="KA46" s="146"/>
      <c r="KB46" s="146"/>
      <c r="KC46" s="146"/>
      <c r="KD46" s="146"/>
      <c r="KE46" s="146"/>
      <c r="KF46" s="146"/>
      <c r="KG46" s="146"/>
      <c r="KH46" s="146"/>
      <c r="KI46" s="146"/>
    </row>
    <row r="47" spans="1:295" s="82" customFormat="1" ht="12" customHeight="1">
      <c r="A47" s="8"/>
      <c r="C47" s="1"/>
      <c r="D47" s="495"/>
      <c r="E47" s="495"/>
      <c r="F47" s="563"/>
      <c r="G47" s="138"/>
      <c r="H47" s="126"/>
      <c r="I47" s="2654"/>
      <c r="J47" s="126"/>
      <c r="K47" s="563"/>
      <c r="L47" s="126"/>
      <c r="M47" s="2655"/>
      <c r="N47" s="2654"/>
      <c r="O47" s="2655"/>
      <c r="R47" s="396"/>
      <c r="AC47" s="436"/>
      <c r="AD47" s="436"/>
      <c r="AE47" s="436"/>
      <c r="AF47" s="436"/>
      <c r="AG47" s="577"/>
      <c r="AH47" s="430"/>
      <c r="AI47" s="430"/>
      <c r="AJ47" s="430"/>
      <c r="AK47" s="430"/>
      <c r="AL47" s="430"/>
      <c r="AM47" s="430"/>
      <c r="AN47" s="430"/>
      <c r="AO47" s="430"/>
      <c r="AP47" s="430"/>
      <c r="AQ47" s="430"/>
      <c r="AR47" s="430"/>
      <c r="AS47" s="430"/>
      <c r="AT47" s="430"/>
      <c r="AU47" s="430"/>
      <c r="AV47" s="430"/>
      <c r="AW47" s="430"/>
      <c r="AX47" s="430"/>
      <c r="AY47" s="430"/>
      <c r="AZ47" s="430"/>
      <c r="BA47" s="430"/>
      <c r="BB47" s="430"/>
      <c r="BC47" s="430"/>
      <c r="BD47" s="430"/>
      <c r="BE47" s="430"/>
      <c r="BF47" s="430"/>
      <c r="BG47" s="430"/>
      <c r="BH47" s="430"/>
      <c r="BI47" s="430"/>
      <c r="BJ47" s="430"/>
      <c r="BK47" s="430"/>
      <c r="BL47" s="430"/>
      <c r="BM47" s="430"/>
      <c r="BN47" s="430"/>
      <c r="BO47" s="430"/>
      <c r="BP47" s="430"/>
      <c r="BQ47" s="430"/>
      <c r="BR47" s="430"/>
      <c r="BS47" s="430"/>
      <c r="BT47" s="430"/>
      <c r="BU47" s="430"/>
      <c r="BV47" s="430"/>
      <c r="BW47" s="430"/>
      <c r="BX47" s="430"/>
      <c r="BY47" s="430"/>
      <c r="BZ47" s="430"/>
      <c r="CA47" s="430"/>
      <c r="CB47" s="430"/>
      <c r="CC47" s="430"/>
      <c r="CD47" s="430"/>
      <c r="CE47" s="430"/>
      <c r="CF47" s="430"/>
      <c r="CG47" s="430"/>
      <c r="CH47" s="430"/>
      <c r="CI47" s="430"/>
      <c r="CJ47" s="430"/>
      <c r="CK47" s="430"/>
      <c r="CL47" s="430"/>
      <c r="CM47" s="430"/>
      <c r="CN47" s="430"/>
      <c r="CO47" s="430"/>
      <c r="CP47" s="430"/>
      <c r="CQ47" s="430"/>
      <c r="CR47" s="430"/>
      <c r="CS47" s="430"/>
      <c r="CT47" s="430"/>
      <c r="CU47" s="430"/>
      <c r="CV47" s="430"/>
      <c r="CW47" s="430"/>
      <c r="CX47" s="430"/>
      <c r="CY47" s="430"/>
      <c r="CZ47" s="430"/>
      <c r="DA47" s="430"/>
      <c r="DB47" s="430"/>
      <c r="DC47" s="430"/>
      <c r="DD47" s="430"/>
      <c r="DE47" s="430"/>
      <c r="DF47" s="430"/>
      <c r="DG47" s="430"/>
      <c r="DH47" s="430"/>
      <c r="DI47" s="430"/>
      <c r="DJ47" s="430"/>
      <c r="DK47" s="430"/>
      <c r="DL47" s="430"/>
      <c r="DM47" s="430"/>
      <c r="DN47" s="430"/>
      <c r="DO47" s="430"/>
      <c r="DP47" s="430"/>
      <c r="DQ47" s="430"/>
      <c r="DR47" s="430"/>
      <c r="DS47" s="430"/>
      <c r="DT47" s="430"/>
      <c r="DU47" s="430"/>
      <c r="DV47" s="430"/>
      <c r="DW47" s="430"/>
      <c r="DX47" s="430"/>
      <c r="DY47" s="430"/>
      <c r="DZ47" s="430"/>
      <c r="EA47" s="430"/>
      <c r="EB47" s="430"/>
      <c r="EC47" s="430"/>
      <c r="ED47" s="430"/>
      <c r="EE47" s="430"/>
      <c r="EF47" s="430"/>
      <c r="EG47" s="430"/>
      <c r="EH47" s="430"/>
      <c r="EI47" s="430"/>
      <c r="EJ47" s="430"/>
      <c r="EK47" s="430"/>
      <c r="EL47" s="430"/>
      <c r="EM47" s="430"/>
      <c r="EN47" s="430"/>
      <c r="EO47" s="430"/>
      <c r="EP47" s="430"/>
      <c r="EQ47" s="430"/>
      <c r="ER47" s="430"/>
      <c r="ES47" s="430"/>
      <c r="ET47" s="430"/>
      <c r="EU47" s="430"/>
      <c r="EV47" s="430"/>
      <c r="EW47" s="430"/>
      <c r="EX47" s="430"/>
      <c r="EY47" s="430"/>
      <c r="EZ47" s="430"/>
      <c r="FA47" s="430"/>
      <c r="FB47" s="430"/>
      <c r="FC47" s="430"/>
      <c r="FD47" s="430"/>
      <c r="FE47" s="430"/>
      <c r="FF47" s="430"/>
      <c r="FG47" s="430"/>
      <c r="FH47" s="430"/>
      <c r="FI47" s="430"/>
      <c r="FJ47" s="430"/>
      <c r="FK47" s="430"/>
      <c r="FL47" s="430"/>
      <c r="FM47" s="430"/>
      <c r="FN47" s="430"/>
      <c r="FO47" s="430"/>
      <c r="FP47" s="430"/>
      <c r="FQ47" s="430"/>
      <c r="FR47" s="430"/>
      <c r="FS47" s="430"/>
      <c r="FT47" s="430"/>
      <c r="FU47" s="430"/>
      <c r="FV47" s="430"/>
      <c r="FW47" s="430"/>
      <c r="FX47" s="430"/>
      <c r="FY47" s="430"/>
      <c r="FZ47" s="430"/>
      <c r="GA47" s="430"/>
      <c r="GB47" s="430"/>
      <c r="GC47" s="430"/>
      <c r="GD47" s="430"/>
      <c r="GE47" s="430"/>
      <c r="GF47" s="430"/>
      <c r="GG47" s="430"/>
      <c r="GH47" s="430"/>
      <c r="GI47" s="430"/>
      <c r="GJ47" s="430"/>
      <c r="GK47" s="430"/>
      <c r="GL47" s="430"/>
      <c r="GM47" s="430"/>
      <c r="GN47" s="430"/>
      <c r="GO47" s="430"/>
      <c r="GP47" s="430"/>
      <c r="GQ47" s="430"/>
      <c r="GR47" s="430"/>
      <c r="GS47" s="430"/>
      <c r="GT47" s="430"/>
      <c r="GU47" s="430"/>
      <c r="GV47" s="430"/>
      <c r="GW47" s="430"/>
      <c r="GX47" s="430"/>
      <c r="GY47" s="430"/>
      <c r="GZ47" s="430"/>
      <c r="HA47" s="430"/>
      <c r="HB47" s="430"/>
      <c r="HC47" s="430"/>
      <c r="HD47" s="430"/>
      <c r="HE47" s="430"/>
      <c r="HF47" s="430"/>
      <c r="HG47" s="430"/>
      <c r="HH47" s="430"/>
      <c r="HI47" s="430"/>
      <c r="HJ47" s="430"/>
      <c r="HK47" s="430"/>
      <c r="HL47" s="430"/>
      <c r="HM47" s="430"/>
      <c r="HN47" s="430"/>
      <c r="HO47" s="430"/>
      <c r="HP47" s="430"/>
      <c r="HQ47" s="430"/>
      <c r="HR47" s="430"/>
      <c r="HS47" s="430"/>
      <c r="HT47" s="430"/>
      <c r="HU47" s="430"/>
      <c r="HV47" s="430"/>
      <c r="HW47" s="430"/>
      <c r="HX47" s="430"/>
      <c r="HY47" s="430"/>
      <c r="HZ47" s="430"/>
      <c r="IA47" s="430"/>
      <c r="IB47" s="430"/>
      <c r="IC47" s="430"/>
      <c r="ID47" s="430"/>
      <c r="IE47" s="430"/>
      <c r="IF47" s="430"/>
      <c r="IG47" s="430"/>
      <c r="IH47" s="430"/>
      <c r="II47" s="430"/>
      <c r="IJ47" s="434"/>
      <c r="IK47" s="434"/>
      <c r="IL47" s="430"/>
      <c r="IM47" s="430"/>
      <c r="IN47" s="430"/>
      <c r="IO47" s="430"/>
      <c r="IP47" s="430"/>
      <c r="IQ47" s="430"/>
      <c r="IR47" s="430"/>
      <c r="IS47" s="430"/>
      <c r="IT47" s="430"/>
      <c r="IU47" s="430"/>
      <c r="IV47" s="430"/>
      <c r="IW47" s="430"/>
      <c r="IX47" s="430"/>
      <c r="IY47" s="430"/>
      <c r="IZ47" s="430"/>
      <c r="JA47" s="434"/>
      <c r="JB47" s="430"/>
      <c r="JC47" s="430"/>
      <c r="JD47" s="146"/>
      <c r="JE47" s="146"/>
      <c r="JF47" s="146"/>
      <c r="JG47" s="146"/>
      <c r="JH47" s="146"/>
      <c r="JI47" s="146"/>
      <c r="JJ47" s="146"/>
      <c r="JK47" s="146"/>
      <c r="JL47" s="146"/>
      <c r="JM47" s="146"/>
      <c r="JN47" s="146"/>
      <c r="JO47" s="146"/>
      <c r="JP47" s="146"/>
      <c r="JQ47" s="146"/>
      <c r="JR47" s="146"/>
      <c r="JS47" s="146"/>
      <c r="JT47" s="146"/>
      <c r="JU47" s="146"/>
      <c r="JV47" s="146"/>
      <c r="JW47" s="146"/>
      <c r="JX47" s="146"/>
      <c r="JY47" s="146"/>
      <c r="JZ47" s="146"/>
      <c r="KA47" s="146"/>
      <c r="KB47" s="146"/>
      <c r="KC47" s="146"/>
      <c r="KD47" s="146"/>
      <c r="KE47" s="146"/>
      <c r="KF47" s="146"/>
      <c r="KG47" s="146"/>
      <c r="KH47" s="146"/>
      <c r="KI47" s="146"/>
    </row>
    <row r="48" spans="1:295" s="82" customFormat="1" ht="12" customHeight="1">
      <c r="A48" s="4045" t="s">
        <v>3112</v>
      </c>
      <c r="B48" s="4045"/>
      <c r="C48" s="4045"/>
      <c r="D48" s="754" t="s">
        <v>539</v>
      </c>
      <c r="E48" s="759">
        <v>0</v>
      </c>
      <c r="F48" s="1322" t="str">
        <f>IF('Part VI-Revenues &amp; Expenses'!$K$149 =0,"",'Part VI-Revenues &amp; Expenses'!$K$149)</f>
        <v/>
      </c>
      <c r="G48" s="756">
        <f>IF('Part IX Scoring Criteria'!$O$108='Part IX Scoring Criteria'!$M$108,$L48,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160610.4</v>
      </c>
      <c r="H48" s="40" t="str">
        <f>CONCATENATE("x ", F48," units = ")</f>
        <v xml:space="preserve">x  units = </v>
      </c>
      <c r="I48" s="1323" t="str">
        <f>IF(F48="","",F48*G48)</f>
        <v/>
      </c>
      <c r="J48" s="42"/>
      <c r="K48" s="1322" t="str">
        <f>IF('Part VI-Revenues &amp; Expenses'!$K$150 =0,"",'Part VI-Revenues &amp; Expenses'!$K$150)</f>
        <v/>
      </c>
      <c r="L48" s="756">
        <f>G48*(1+'DCA Underwriting Assumptions'!$Q$12)</f>
        <v>176671.44</v>
      </c>
      <c r="M48" s="40" t="str">
        <f>CONCATENATE("x ", K48," units = ")</f>
        <v xml:space="preserve">x  units = </v>
      </c>
      <c r="N48" s="1323" t="str">
        <f>IF(K48="","",K48*L48)</f>
        <v/>
      </c>
      <c r="P48" s="4076">
        <f>'Part IV-A-Uses of Funds'!$G$146-'Part IV-A-Uses of Funds'!$G$92-'Part IV-A-Uses of Funds'!$G$114-'Part IV-A-Uses of Funds'!$G$130-'Part IV-A-Uses of Funds'!$G$131-'Part IV-A-Uses of Funds'!$G$132</f>
        <v>14581357.279999999</v>
      </c>
      <c r="Q48" s="4077"/>
      <c r="AC48" s="436"/>
      <c r="AD48" s="436"/>
      <c r="AE48" s="436"/>
      <c r="AF48" s="436"/>
      <c r="AG48" s="577"/>
      <c r="AH48" s="430"/>
      <c r="AI48" s="430"/>
      <c r="AJ48" s="430"/>
      <c r="AK48" s="430"/>
      <c r="AL48" s="430"/>
      <c r="AM48" s="430"/>
      <c r="AN48" s="430"/>
      <c r="AO48" s="430"/>
      <c r="AP48" s="430"/>
      <c r="AQ48" s="430"/>
      <c r="AR48" s="430"/>
      <c r="AS48" s="430"/>
      <c r="AT48" s="430"/>
      <c r="AU48" s="430"/>
      <c r="AV48" s="430"/>
      <c r="AW48" s="430"/>
      <c r="AX48" s="430"/>
      <c r="AY48" s="430"/>
      <c r="AZ48" s="430"/>
      <c r="BA48" s="430"/>
      <c r="BB48" s="430"/>
      <c r="BC48" s="430"/>
      <c r="BD48" s="430"/>
      <c r="BE48" s="430"/>
      <c r="BF48" s="430"/>
      <c r="BG48" s="430"/>
      <c r="BH48" s="430"/>
      <c r="BI48" s="430"/>
      <c r="BJ48" s="430"/>
      <c r="BK48" s="430"/>
      <c r="BL48" s="430"/>
      <c r="BM48" s="430"/>
      <c r="BN48" s="430"/>
      <c r="BO48" s="430"/>
      <c r="BP48" s="430"/>
      <c r="BQ48" s="430"/>
      <c r="BR48" s="430"/>
      <c r="BS48" s="430"/>
      <c r="BT48" s="430"/>
      <c r="BU48" s="430"/>
      <c r="BV48" s="430"/>
      <c r="BW48" s="430"/>
      <c r="BX48" s="430"/>
      <c r="BY48" s="430"/>
      <c r="BZ48" s="430"/>
      <c r="CA48" s="430"/>
      <c r="CB48" s="430"/>
      <c r="CC48" s="430"/>
      <c r="CD48" s="430"/>
      <c r="CE48" s="430"/>
      <c r="CF48" s="430"/>
      <c r="CG48" s="430"/>
      <c r="CH48" s="430"/>
      <c r="CI48" s="430"/>
      <c r="CJ48" s="430"/>
      <c r="CK48" s="430"/>
      <c r="CL48" s="430"/>
      <c r="CM48" s="430"/>
      <c r="CN48" s="430"/>
      <c r="CO48" s="430"/>
      <c r="CP48" s="430"/>
      <c r="CQ48" s="430"/>
      <c r="CR48" s="430"/>
      <c r="CS48" s="430"/>
      <c r="CT48" s="430"/>
      <c r="CU48" s="430"/>
      <c r="CV48" s="430"/>
      <c r="CW48" s="430"/>
      <c r="CX48" s="430"/>
      <c r="CY48" s="430"/>
      <c r="CZ48" s="430"/>
      <c r="DA48" s="430"/>
      <c r="DB48" s="430"/>
      <c r="DC48" s="430"/>
      <c r="DD48" s="430"/>
      <c r="DE48" s="430"/>
      <c r="DF48" s="430"/>
      <c r="DG48" s="430"/>
      <c r="DH48" s="430"/>
      <c r="DI48" s="430"/>
      <c r="DJ48" s="430"/>
      <c r="DK48" s="430"/>
      <c r="DL48" s="430"/>
      <c r="DM48" s="430"/>
      <c r="DN48" s="430"/>
      <c r="DO48" s="430"/>
      <c r="DP48" s="430"/>
      <c r="DQ48" s="430"/>
      <c r="DR48" s="430"/>
      <c r="DS48" s="430"/>
      <c r="DT48" s="430"/>
      <c r="DU48" s="430"/>
      <c r="DV48" s="430"/>
      <c r="DW48" s="430"/>
      <c r="DX48" s="430"/>
      <c r="DY48" s="430"/>
      <c r="DZ48" s="430"/>
      <c r="EA48" s="430"/>
      <c r="EB48" s="430"/>
      <c r="EC48" s="430"/>
      <c r="ED48" s="430"/>
      <c r="EE48" s="430"/>
      <c r="EF48" s="430"/>
      <c r="EG48" s="430"/>
      <c r="EH48" s="430"/>
      <c r="EI48" s="430"/>
      <c r="EJ48" s="430"/>
      <c r="EK48" s="430"/>
      <c r="EL48" s="430"/>
      <c r="EM48" s="430"/>
      <c r="EN48" s="430"/>
      <c r="EO48" s="430"/>
      <c r="EP48" s="430"/>
      <c r="EQ48" s="430"/>
      <c r="ER48" s="430"/>
      <c r="ES48" s="430"/>
      <c r="ET48" s="430"/>
      <c r="EU48" s="430"/>
      <c r="EV48" s="430"/>
      <c r="EW48" s="430"/>
      <c r="EX48" s="430"/>
      <c r="EY48" s="430"/>
      <c r="EZ48" s="430"/>
      <c r="FA48" s="430"/>
      <c r="FB48" s="430"/>
      <c r="FC48" s="430"/>
      <c r="FD48" s="430"/>
      <c r="FE48" s="430"/>
      <c r="FF48" s="430"/>
      <c r="FG48" s="430"/>
      <c r="FH48" s="430"/>
      <c r="FI48" s="430"/>
      <c r="FJ48" s="430"/>
      <c r="FK48" s="430"/>
      <c r="FL48" s="430"/>
      <c r="FM48" s="430"/>
      <c r="FN48" s="430"/>
      <c r="FO48" s="430"/>
      <c r="FP48" s="430"/>
      <c r="FQ48" s="430"/>
      <c r="FR48" s="430"/>
      <c r="FS48" s="430"/>
      <c r="FT48" s="430"/>
      <c r="FU48" s="430"/>
      <c r="FV48" s="430"/>
      <c r="FW48" s="430"/>
      <c r="FX48" s="430"/>
      <c r="FY48" s="430"/>
      <c r="FZ48" s="430"/>
      <c r="GA48" s="430"/>
      <c r="GB48" s="430"/>
      <c r="GC48" s="430"/>
      <c r="GD48" s="430"/>
      <c r="GE48" s="430"/>
      <c r="GF48" s="430"/>
      <c r="GG48" s="430"/>
      <c r="GH48" s="430"/>
      <c r="GI48" s="430"/>
      <c r="GJ48" s="430"/>
      <c r="GK48" s="430"/>
      <c r="GL48" s="430"/>
      <c r="GM48" s="430"/>
      <c r="GN48" s="430"/>
      <c r="GO48" s="430"/>
      <c r="GP48" s="430"/>
      <c r="GQ48" s="430"/>
      <c r="GR48" s="430"/>
      <c r="GS48" s="430"/>
      <c r="GT48" s="430"/>
      <c r="GU48" s="430"/>
      <c r="GV48" s="430"/>
      <c r="GW48" s="430"/>
      <c r="GX48" s="430"/>
      <c r="GY48" s="430"/>
      <c r="GZ48" s="430"/>
      <c r="HA48" s="430"/>
      <c r="HB48" s="430"/>
      <c r="HC48" s="430"/>
      <c r="HD48" s="430"/>
      <c r="HE48" s="430"/>
      <c r="HF48" s="430"/>
      <c r="HG48" s="430"/>
      <c r="HH48" s="430"/>
      <c r="HI48" s="430"/>
      <c r="HJ48" s="430"/>
      <c r="HK48" s="430"/>
      <c r="HL48" s="430"/>
      <c r="HM48" s="430"/>
      <c r="HN48" s="430"/>
      <c r="HO48" s="430"/>
      <c r="HP48" s="430"/>
      <c r="HQ48" s="430"/>
      <c r="HR48" s="430"/>
      <c r="HS48" s="430"/>
      <c r="HT48" s="430"/>
      <c r="HU48" s="430"/>
      <c r="HV48" s="430"/>
      <c r="HW48" s="430"/>
      <c r="HX48" s="430"/>
      <c r="HY48" s="430"/>
      <c r="HZ48" s="430"/>
      <c r="IA48" s="430"/>
      <c r="IB48" s="430"/>
      <c r="IC48" s="430"/>
      <c r="ID48" s="430"/>
      <c r="IE48" s="430"/>
      <c r="IF48" s="430"/>
      <c r="IG48" s="430"/>
      <c r="IH48" s="430"/>
      <c r="II48" s="430"/>
      <c r="IJ48" s="434"/>
      <c r="IK48" s="434"/>
      <c r="IL48" s="430"/>
      <c r="IM48" s="430"/>
      <c r="IN48" s="430"/>
      <c r="IO48" s="430"/>
      <c r="IP48" s="430"/>
      <c r="IQ48" s="430"/>
      <c r="IR48" s="430"/>
      <c r="IS48" s="430"/>
      <c r="IT48" s="430"/>
      <c r="IU48" s="430"/>
      <c r="IV48" s="430"/>
      <c r="IW48" s="430"/>
      <c r="IX48" s="430"/>
      <c r="IY48" s="430"/>
      <c r="IZ48" s="430"/>
      <c r="JA48" s="434"/>
      <c r="JB48" s="430"/>
      <c r="JC48" s="430"/>
      <c r="JD48" s="146"/>
      <c r="JE48" s="146"/>
      <c r="JF48" s="146"/>
      <c r="JG48" s="146"/>
      <c r="JH48" s="146"/>
      <c r="JI48" s="146"/>
      <c r="JJ48" s="146"/>
      <c r="JK48" s="146"/>
      <c r="JL48" s="146"/>
      <c r="JM48" s="146"/>
      <c r="JN48" s="146"/>
      <c r="JO48" s="146"/>
      <c r="JP48" s="146"/>
      <c r="JQ48" s="146"/>
      <c r="JR48" s="146"/>
      <c r="JS48" s="146"/>
      <c r="JT48" s="146"/>
      <c r="JU48" s="146"/>
      <c r="JV48" s="146"/>
      <c r="JW48" s="146"/>
      <c r="JX48" s="146"/>
      <c r="JY48" s="146"/>
      <c r="JZ48" s="146"/>
      <c r="KA48" s="146"/>
      <c r="KB48" s="146"/>
      <c r="KC48" s="146"/>
      <c r="KD48" s="146"/>
      <c r="KE48" s="146"/>
      <c r="KF48" s="146"/>
      <c r="KG48" s="146"/>
      <c r="KH48" s="146"/>
      <c r="KI48" s="146"/>
    </row>
    <row r="49" spans="1:295" s="82" customFormat="1" ht="12" customHeight="1" thickBot="1">
      <c r="A49" s="4045"/>
      <c r="B49" s="4045"/>
      <c r="C49" s="4045"/>
      <c r="D49" s="754" t="s">
        <v>2328</v>
      </c>
      <c r="E49" s="755">
        <v>1</v>
      </c>
      <c r="F49" s="1322" t="str">
        <f>IF('Part VI-Revenues &amp; Expenses'!$L$149 =0,"",'Part VI-Revenues &amp; Expenses'!$L$149)</f>
        <v/>
      </c>
      <c r="G49" s="756">
        <f>IF('Part IX Scoring Criteria'!$O$108='Part IX Scoring Criteria'!$M$108,$L49,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201024.59999999998</v>
      </c>
      <c r="H49" s="40" t="str">
        <f>CONCATENATE("x ", F49," units = ")</f>
        <v xml:space="preserve">x  units = </v>
      </c>
      <c r="I49" s="1323" t="str">
        <f>IF(F49="","",F49*G49)</f>
        <v/>
      </c>
      <c r="J49" s="42"/>
      <c r="K49" s="1322" t="str">
        <f>IF('Part VI-Revenues &amp; Expenses'!$L$150 =0,"",'Part VI-Revenues &amp; Expenses'!$L$150)</f>
        <v/>
      </c>
      <c r="L49" s="756">
        <f>G49*(1+'DCA Underwriting Assumptions'!$Q$12)</f>
        <v>221127.06</v>
      </c>
      <c r="M49" s="40" t="str">
        <f>CONCATENATE("x ", K49," units = ")</f>
        <v xml:space="preserve">x  units = </v>
      </c>
      <c r="N49" s="1323" t="str">
        <f>IF(K49="","",K49*L49)</f>
        <v/>
      </c>
      <c r="P49" s="4006" t="s">
        <v>3511</v>
      </c>
      <c r="Q49" s="4006"/>
      <c r="AC49" s="436"/>
      <c r="AD49" s="436"/>
      <c r="AE49" s="436"/>
      <c r="AF49" s="436"/>
      <c r="AG49" s="577"/>
      <c r="AH49" s="430"/>
      <c r="AI49" s="430"/>
      <c r="AJ49" s="430"/>
      <c r="AK49" s="430"/>
      <c r="AL49" s="430"/>
      <c r="AM49" s="430"/>
      <c r="AN49" s="430"/>
      <c r="AO49" s="430"/>
      <c r="AP49" s="430"/>
      <c r="AQ49" s="430"/>
      <c r="AR49" s="430"/>
      <c r="AS49" s="430"/>
      <c r="AT49" s="430"/>
      <c r="AU49" s="430"/>
      <c r="AV49" s="430"/>
      <c r="AW49" s="430"/>
      <c r="AX49" s="430"/>
      <c r="AY49" s="430"/>
      <c r="AZ49" s="430"/>
      <c r="BA49" s="430"/>
      <c r="BB49" s="430"/>
      <c r="BC49" s="430"/>
      <c r="BD49" s="430"/>
      <c r="BE49" s="430"/>
      <c r="BF49" s="430"/>
      <c r="BG49" s="430"/>
      <c r="BH49" s="430"/>
      <c r="BI49" s="430"/>
      <c r="BJ49" s="430"/>
      <c r="BK49" s="430"/>
      <c r="BL49" s="430"/>
      <c r="BM49" s="430"/>
      <c r="BN49" s="430"/>
      <c r="BO49" s="430"/>
      <c r="BP49" s="430"/>
      <c r="BQ49" s="430"/>
      <c r="BR49" s="430"/>
      <c r="BS49" s="430"/>
      <c r="BT49" s="430"/>
      <c r="BU49" s="430"/>
      <c r="BV49" s="430"/>
      <c r="BW49" s="430"/>
      <c r="BX49" s="430"/>
      <c r="BY49" s="430"/>
      <c r="BZ49" s="430"/>
      <c r="CA49" s="430"/>
      <c r="CB49" s="430"/>
      <c r="CC49" s="430"/>
      <c r="CD49" s="430"/>
      <c r="CE49" s="430"/>
      <c r="CF49" s="430"/>
      <c r="CG49" s="430"/>
      <c r="CH49" s="430"/>
      <c r="CI49" s="430"/>
      <c r="CJ49" s="430"/>
      <c r="CK49" s="430"/>
      <c r="CL49" s="430"/>
      <c r="CM49" s="430"/>
      <c r="CN49" s="430"/>
      <c r="CO49" s="430"/>
      <c r="CP49" s="430"/>
      <c r="CQ49" s="430"/>
      <c r="CR49" s="430"/>
      <c r="CS49" s="430"/>
      <c r="CT49" s="430"/>
      <c r="CU49" s="430"/>
      <c r="CV49" s="430"/>
      <c r="CW49" s="430"/>
      <c r="CX49" s="430"/>
      <c r="CY49" s="430"/>
      <c r="CZ49" s="430"/>
      <c r="DA49" s="430"/>
      <c r="DB49" s="430"/>
      <c r="DC49" s="430"/>
      <c r="DD49" s="430"/>
      <c r="DE49" s="430"/>
      <c r="DF49" s="430"/>
      <c r="DG49" s="430"/>
      <c r="DH49" s="430"/>
      <c r="DI49" s="430"/>
      <c r="DJ49" s="430"/>
      <c r="DK49" s="430"/>
      <c r="DL49" s="430"/>
      <c r="DM49" s="430"/>
      <c r="DN49" s="430"/>
      <c r="DO49" s="430"/>
      <c r="DP49" s="430"/>
      <c r="DQ49" s="430"/>
      <c r="DR49" s="430"/>
      <c r="DS49" s="430"/>
      <c r="DT49" s="430"/>
      <c r="DU49" s="430"/>
      <c r="DV49" s="430"/>
      <c r="DW49" s="430"/>
      <c r="DX49" s="430"/>
      <c r="DY49" s="430"/>
      <c r="DZ49" s="430"/>
      <c r="EA49" s="430"/>
      <c r="EB49" s="430"/>
      <c r="EC49" s="430"/>
      <c r="ED49" s="430"/>
      <c r="EE49" s="430"/>
      <c r="EF49" s="430"/>
      <c r="EG49" s="430"/>
      <c r="EH49" s="430"/>
      <c r="EI49" s="430"/>
      <c r="EJ49" s="430"/>
      <c r="EK49" s="430"/>
      <c r="EL49" s="430"/>
      <c r="EM49" s="430"/>
      <c r="EN49" s="430"/>
      <c r="EO49" s="430"/>
      <c r="EP49" s="430"/>
      <c r="EQ49" s="430"/>
      <c r="ER49" s="430"/>
      <c r="ES49" s="430"/>
      <c r="ET49" s="430"/>
      <c r="EU49" s="430"/>
      <c r="EV49" s="430"/>
      <c r="EW49" s="430"/>
      <c r="EX49" s="430"/>
      <c r="EY49" s="430"/>
      <c r="EZ49" s="430"/>
      <c r="FA49" s="430"/>
      <c r="FB49" s="430"/>
      <c r="FC49" s="430"/>
      <c r="FD49" s="430"/>
      <c r="FE49" s="430"/>
      <c r="FF49" s="430"/>
      <c r="FG49" s="430"/>
      <c r="FH49" s="430"/>
      <c r="FI49" s="430"/>
      <c r="FJ49" s="430"/>
      <c r="FK49" s="430"/>
      <c r="FL49" s="430"/>
      <c r="FM49" s="430"/>
      <c r="FN49" s="430"/>
      <c r="FO49" s="430"/>
      <c r="FP49" s="430"/>
      <c r="FQ49" s="430"/>
      <c r="FR49" s="430"/>
      <c r="FS49" s="430"/>
      <c r="FT49" s="430"/>
      <c r="FU49" s="430"/>
      <c r="FV49" s="430"/>
      <c r="FW49" s="430"/>
      <c r="FX49" s="430"/>
      <c r="FY49" s="430"/>
      <c r="FZ49" s="430"/>
      <c r="GA49" s="430"/>
      <c r="GB49" s="430"/>
      <c r="GC49" s="430"/>
      <c r="GD49" s="430"/>
      <c r="GE49" s="430"/>
      <c r="GF49" s="430"/>
      <c r="GG49" s="430"/>
      <c r="GH49" s="430"/>
      <c r="GI49" s="430"/>
      <c r="GJ49" s="430"/>
      <c r="GK49" s="430"/>
      <c r="GL49" s="430"/>
      <c r="GM49" s="430"/>
      <c r="GN49" s="430"/>
      <c r="GO49" s="430"/>
      <c r="GP49" s="430"/>
      <c r="GQ49" s="430"/>
      <c r="GR49" s="430"/>
      <c r="GS49" s="430"/>
      <c r="GT49" s="430"/>
      <c r="GU49" s="430"/>
      <c r="GV49" s="430"/>
      <c r="GW49" s="430"/>
      <c r="GX49" s="430"/>
      <c r="GY49" s="430"/>
      <c r="GZ49" s="430"/>
      <c r="HA49" s="430"/>
      <c r="HB49" s="430"/>
      <c r="HC49" s="430"/>
      <c r="HD49" s="430"/>
      <c r="HE49" s="430"/>
      <c r="HF49" s="430"/>
      <c r="HG49" s="430"/>
      <c r="HH49" s="430"/>
      <c r="HI49" s="430"/>
      <c r="HJ49" s="430"/>
      <c r="HK49" s="430"/>
      <c r="HL49" s="430"/>
      <c r="HM49" s="430"/>
      <c r="HN49" s="430"/>
      <c r="HO49" s="430"/>
      <c r="HP49" s="430"/>
      <c r="HQ49" s="430"/>
      <c r="HR49" s="430"/>
      <c r="HS49" s="430"/>
      <c r="HT49" s="430"/>
      <c r="HU49" s="430"/>
      <c r="HV49" s="430"/>
      <c r="HW49" s="430"/>
      <c r="HX49" s="430"/>
      <c r="HY49" s="430"/>
      <c r="HZ49" s="430"/>
      <c r="IA49" s="430"/>
      <c r="IB49" s="430"/>
      <c r="IC49" s="430"/>
      <c r="ID49" s="430"/>
      <c r="IE49" s="430"/>
      <c r="IF49" s="430"/>
      <c r="IG49" s="430"/>
      <c r="IH49" s="430"/>
      <c r="II49" s="430"/>
      <c r="IJ49" s="434"/>
      <c r="IK49" s="434"/>
      <c r="IL49" s="430"/>
      <c r="IM49" s="430"/>
      <c r="IN49" s="430"/>
      <c r="IO49" s="430"/>
      <c r="IP49" s="430"/>
      <c r="IQ49" s="430"/>
      <c r="IR49" s="430"/>
      <c r="IS49" s="430"/>
      <c r="IT49" s="430"/>
      <c r="IU49" s="430"/>
      <c r="IV49" s="430"/>
      <c r="IW49" s="430"/>
      <c r="IX49" s="430"/>
      <c r="IY49" s="430"/>
      <c r="IZ49" s="430"/>
      <c r="JA49" s="434"/>
      <c r="JB49" s="430"/>
      <c r="JC49" s="430"/>
      <c r="JD49" s="146"/>
      <c r="JE49" s="146"/>
      <c r="JF49" s="146"/>
      <c r="JG49" s="146"/>
      <c r="JH49" s="146"/>
      <c r="JI49" s="146"/>
      <c r="JJ49" s="146"/>
      <c r="JK49" s="146"/>
      <c r="JL49" s="146"/>
      <c r="JM49" s="146"/>
      <c r="JN49" s="146"/>
      <c r="JO49" s="146"/>
      <c r="JP49" s="146"/>
      <c r="JQ49" s="146"/>
      <c r="JR49" s="146"/>
      <c r="JS49" s="146"/>
      <c r="JT49" s="146"/>
      <c r="JU49" s="146"/>
      <c r="JV49" s="146"/>
      <c r="JW49" s="146"/>
      <c r="JX49" s="146"/>
      <c r="JY49" s="146"/>
      <c r="JZ49" s="146"/>
      <c r="KA49" s="146"/>
      <c r="KB49" s="146"/>
      <c r="KC49" s="146"/>
      <c r="KD49" s="146"/>
      <c r="KE49" s="146"/>
      <c r="KF49" s="146"/>
      <c r="KG49" s="146"/>
      <c r="KH49" s="146"/>
      <c r="KI49" s="146"/>
    </row>
    <row r="50" spans="1:295" s="82" customFormat="1" ht="12" customHeight="1">
      <c r="A50" s="4045"/>
      <c r="B50" s="4045"/>
      <c r="C50" s="4045"/>
      <c r="D50" s="754" t="s">
        <v>2329</v>
      </c>
      <c r="E50" s="755">
        <v>2</v>
      </c>
      <c r="F50" s="1322" t="str">
        <f>IF('Part VI-Revenues &amp; Expenses'!$M$149 =0,"",'Part VI-Revenues &amp; Expenses'!$M$149)</f>
        <v/>
      </c>
      <c r="G50" s="756">
        <f>IF('Part IX Scoring Criteria'!$O$108='Part IX Scoring Criteria'!$M$108,$L50,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243632.09999999998</v>
      </c>
      <c r="H50" s="40" t="str">
        <f>CONCATENATE("x ", F50," units = ")</f>
        <v xml:space="preserve">x  units = </v>
      </c>
      <c r="I50" s="1323" t="str">
        <f>IF(F50="","",F50*G50)</f>
        <v/>
      </c>
      <c r="J50" s="42"/>
      <c r="K50" s="1322" t="str">
        <f>IF('Part VI-Revenues &amp; Expenses'!$M$150 =0,"",'Part VI-Revenues &amp; Expenses'!$M$150)</f>
        <v/>
      </c>
      <c r="L50" s="756">
        <f>G50*(1+'DCA Underwriting Assumptions'!$Q$12)</f>
        <v>267995.31</v>
      </c>
      <c r="M50" s="40" t="str">
        <f>CONCATENATE("x ", K50," units = ")</f>
        <v xml:space="preserve">x  units = </v>
      </c>
      <c r="N50" s="1323" t="str">
        <f>IF(K50="","",K50*L50)</f>
        <v/>
      </c>
      <c r="O50" s="514"/>
      <c r="P50" s="4007"/>
      <c r="Q50" s="4008"/>
      <c r="R50" s="396"/>
      <c r="S50" s="3973" t="s">
        <v>4123</v>
      </c>
      <c r="T50" s="3974"/>
      <c r="U50" s="3974"/>
      <c r="V50" s="3975"/>
      <c r="AC50" s="436"/>
      <c r="AD50" s="436"/>
      <c r="AE50" s="436"/>
      <c r="AF50" s="436"/>
      <c r="AG50" s="577"/>
      <c r="AH50" s="430"/>
      <c r="AI50" s="430"/>
      <c r="AJ50" s="430"/>
      <c r="AK50" s="430"/>
      <c r="AL50" s="430"/>
      <c r="AM50" s="430"/>
      <c r="AN50" s="430"/>
      <c r="AO50" s="430"/>
      <c r="AP50" s="430"/>
      <c r="AQ50" s="430"/>
      <c r="AR50" s="430"/>
      <c r="AS50" s="430"/>
      <c r="AT50" s="430"/>
      <c r="AU50" s="430"/>
      <c r="AV50" s="430"/>
      <c r="AW50" s="430"/>
      <c r="AX50" s="430"/>
      <c r="AY50" s="430"/>
      <c r="AZ50" s="430"/>
      <c r="BA50" s="430"/>
      <c r="BB50" s="430"/>
      <c r="BC50" s="430"/>
      <c r="BD50" s="430"/>
      <c r="BE50" s="430"/>
      <c r="BF50" s="430"/>
      <c r="BG50" s="430"/>
      <c r="BH50" s="430"/>
      <c r="BI50" s="430"/>
      <c r="BJ50" s="430"/>
      <c r="BK50" s="430"/>
      <c r="BL50" s="430"/>
      <c r="BM50" s="430"/>
      <c r="BN50" s="430"/>
      <c r="BO50" s="430"/>
      <c r="BP50" s="430"/>
      <c r="BQ50" s="430"/>
      <c r="BR50" s="430"/>
      <c r="BS50" s="430"/>
      <c r="BT50" s="430"/>
      <c r="BU50" s="430"/>
      <c r="BV50" s="430"/>
      <c r="BW50" s="430"/>
      <c r="BX50" s="430"/>
      <c r="BY50" s="430"/>
      <c r="BZ50" s="430"/>
      <c r="CA50" s="430"/>
      <c r="CB50" s="430"/>
      <c r="CC50" s="430"/>
      <c r="CD50" s="430"/>
      <c r="CE50" s="430"/>
      <c r="CF50" s="430"/>
      <c r="CG50" s="430"/>
      <c r="CH50" s="430"/>
      <c r="CI50" s="430"/>
      <c r="CJ50" s="430"/>
      <c r="CK50" s="430"/>
      <c r="CL50" s="430"/>
      <c r="CM50" s="430"/>
      <c r="CN50" s="430"/>
      <c r="CO50" s="430"/>
      <c r="CP50" s="430"/>
      <c r="CQ50" s="430"/>
      <c r="CR50" s="430"/>
      <c r="CS50" s="430"/>
      <c r="CT50" s="430"/>
      <c r="CU50" s="430"/>
      <c r="CV50" s="430"/>
      <c r="CW50" s="430"/>
      <c r="CX50" s="430"/>
      <c r="CY50" s="430"/>
      <c r="CZ50" s="430"/>
      <c r="DA50" s="430"/>
      <c r="DB50" s="430"/>
      <c r="DC50" s="430"/>
      <c r="DD50" s="430"/>
      <c r="DE50" s="430"/>
      <c r="DF50" s="430"/>
      <c r="DG50" s="430"/>
      <c r="DH50" s="430"/>
      <c r="DI50" s="430"/>
      <c r="DJ50" s="430"/>
      <c r="DK50" s="430"/>
      <c r="DL50" s="430"/>
      <c r="DM50" s="430"/>
      <c r="DN50" s="430"/>
      <c r="DO50" s="430"/>
      <c r="DP50" s="430"/>
      <c r="DQ50" s="430"/>
      <c r="DR50" s="430"/>
      <c r="DS50" s="430"/>
      <c r="DT50" s="430"/>
      <c r="DU50" s="430"/>
      <c r="DV50" s="430"/>
      <c r="DW50" s="430"/>
      <c r="DX50" s="430"/>
      <c r="DY50" s="430"/>
      <c r="DZ50" s="430"/>
      <c r="EA50" s="430"/>
      <c r="EB50" s="430"/>
      <c r="EC50" s="430"/>
      <c r="ED50" s="430"/>
      <c r="EE50" s="430"/>
      <c r="EF50" s="430"/>
      <c r="EG50" s="430"/>
      <c r="EH50" s="430"/>
      <c r="EI50" s="430"/>
      <c r="EJ50" s="430"/>
      <c r="EK50" s="430"/>
      <c r="EL50" s="430"/>
      <c r="EM50" s="430"/>
      <c r="EN50" s="430"/>
      <c r="EO50" s="430"/>
      <c r="EP50" s="430"/>
      <c r="EQ50" s="430"/>
      <c r="ER50" s="430"/>
      <c r="ES50" s="430"/>
      <c r="ET50" s="430"/>
      <c r="EU50" s="430"/>
      <c r="EV50" s="430"/>
      <c r="EW50" s="430"/>
      <c r="EX50" s="430"/>
      <c r="EY50" s="430"/>
      <c r="EZ50" s="430"/>
      <c r="FA50" s="430"/>
      <c r="FB50" s="430"/>
      <c r="FC50" s="430"/>
      <c r="FD50" s="430"/>
      <c r="FE50" s="430"/>
      <c r="FF50" s="430"/>
      <c r="FG50" s="430"/>
      <c r="FH50" s="430"/>
      <c r="FI50" s="430"/>
      <c r="FJ50" s="430"/>
      <c r="FK50" s="430"/>
      <c r="FL50" s="430"/>
      <c r="FM50" s="430"/>
      <c r="FN50" s="430"/>
      <c r="FO50" s="430"/>
      <c r="FP50" s="430"/>
      <c r="FQ50" s="430"/>
      <c r="FR50" s="430"/>
      <c r="FS50" s="430"/>
      <c r="FT50" s="430"/>
      <c r="FU50" s="430"/>
      <c r="FV50" s="430"/>
      <c r="FW50" s="430"/>
      <c r="FX50" s="430"/>
      <c r="FY50" s="430"/>
      <c r="FZ50" s="430"/>
      <c r="GA50" s="430"/>
      <c r="GB50" s="430"/>
      <c r="GC50" s="430"/>
      <c r="GD50" s="430"/>
      <c r="GE50" s="430"/>
      <c r="GF50" s="430"/>
      <c r="GG50" s="430"/>
      <c r="GH50" s="430"/>
      <c r="GI50" s="430"/>
      <c r="GJ50" s="430"/>
      <c r="GK50" s="430"/>
      <c r="GL50" s="430"/>
      <c r="GM50" s="430"/>
      <c r="GN50" s="430"/>
      <c r="GO50" s="430"/>
      <c r="GP50" s="430"/>
      <c r="GQ50" s="430"/>
      <c r="GR50" s="430"/>
      <c r="GS50" s="430"/>
      <c r="GT50" s="430"/>
      <c r="GU50" s="430"/>
      <c r="GV50" s="430"/>
      <c r="GW50" s="430"/>
      <c r="GX50" s="430"/>
      <c r="GY50" s="430"/>
      <c r="GZ50" s="430"/>
      <c r="HA50" s="430"/>
      <c r="HB50" s="430"/>
      <c r="HC50" s="430"/>
      <c r="HD50" s="430"/>
      <c r="HE50" s="430"/>
      <c r="HF50" s="430"/>
      <c r="HG50" s="430"/>
      <c r="HH50" s="430"/>
      <c r="HI50" s="430"/>
      <c r="HJ50" s="430"/>
      <c r="HK50" s="430"/>
      <c r="HL50" s="430"/>
      <c r="HM50" s="430"/>
      <c r="HN50" s="430"/>
      <c r="HO50" s="430"/>
      <c r="HP50" s="430"/>
      <c r="HQ50" s="430"/>
      <c r="HR50" s="430"/>
      <c r="HS50" s="430"/>
      <c r="HT50" s="430"/>
      <c r="HU50" s="430"/>
      <c r="HV50" s="430"/>
      <c r="HW50" s="430"/>
      <c r="HX50" s="430"/>
      <c r="HY50" s="430"/>
      <c r="HZ50" s="430"/>
      <c r="IA50" s="430"/>
      <c r="IB50" s="430"/>
      <c r="IC50" s="430"/>
      <c r="ID50" s="430"/>
      <c r="IE50" s="430"/>
      <c r="IF50" s="430"/>
      <c r="IG50" s="430"/>
      <c r="IH50" s="430"/>
      <c r="II50" s="430"/>
      <c r="IJ50" s="434"/>
      <c r="IK50" s="434"/>
      <c r="IL50" s="430"/>
      <c r="IM50" s="430"/>
      <c r="IN50" s="430"/>
      <c r="IO50" s="430"/>
      <c r="IP50" s="430"/>
      <c r="IQ50" s="430"/>
      <c r="IR50" s="430"/>
      <c r="IS50" s="430"/>
      <c r="IT50" s="430"/>
      <c r="IU50" s="430"/>
      <c r="IV50" s="430"/>
      <c r="IW50" s="430"/>
      <c r="IX50" s="430"/>
      <c r="IY50" s="430"/>
      <c r="IZ50" s="430"/>
      <c r="JA50" s="434"/>
      <c r="JB50" s="430"/>
      <c r="JC50" s="430"/>
      <c r="JD50" s="146"/>
      <c r="JE50" s="146"/>
      <c r="JF50" s="146"/>
      <c r="JG50" s="146"/>
      <c r="JH50" s="146"/>
      <c r="JI50" s="146"/>
      <c r="JJ50" s="146"/>
      <c r="JK50" s="146"/>
      <c r="JL50" s="146"/>
      <c r="JM50" s="146"/>
      <c r="JN50" s="146"/>
      <c r="JO50" s="146"/>
      <c r="JP50" s="146"/>
      <c r="JQ50" s="146"/>
      <c r="JR50" s="146"/>
      <c r="JS50" s="146"/>
      <c r="JT50" s="146"/>
      <c r="JU50" s="146"/>
      <c r="JV50" s="146"/>
      <c r="JW50" s="146"/>
      <c r="JX50" s="146"/>
      <c r="JY50" s="146"/>
      <c r="JZ50" s="146"/>
      <c r="KA50" s="146"/>
      <c r="KB50" s="146"/>
      <c r="KC50" s="146"/>
      <c r="KD50" s="146"/>
      <c r="KE50" s="146"/>
      <c r="KF50" s="146"/>
      <c r="KG50" s="146"/>
      <c r="KH50" s="146"/>
      <c r="KI50" s="146"/>
    </row>
    <row r="51" spans="1:295" s="82" customFormat="1" ht="12" customHeight="1">
      <c r="A51" s="8"/>
      <c r="B51" s="8"/>
      <c r="C51" s="1"/>
      <c r="D51" s="754" t="s">
        <v>2330</v>
      </c>
      <c r="E51" s="755">
        <v>3</v>
      </c>
      <c r="F51" s="1322" t="str">
        <f>IF('Part VI-Revenues &amp; Expenses'!$N$149 =0,"",'Part VI-Revenues &amp; Expenses'!$N$149)</f>
        <v/>
      </c>
      <c r="G51" s="756">
        <f>IF('Part IX Scoring Criteria'!$O$108='Part IX Scoring Criteria'!$M$108,$L51,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284506.2</v>
      </c>
      <c r="H51" s="40" t="str">
        <f>CONCATENATE("x ", F51," units = ")</f>
        <v xml:space="preserve">x  units = </v>
      </c>
      <c r="I51" s="1323" t="str">
        <f>IF(F51="","",F51*G51)</f>
        <v/>
      </c>
      <c r="J51" s="42"/>
      <c r="K51" s="1322" t="str">
        <f>IF('Part VI-Revenues &amp; Expenses'!$N$150 =0,"",'Part VI-Revenues &amp; Expenses'!$N$150)</f>
        <v/>
      </c>
      <c r="L51" s="756">
        <f>G51*(1+'DCA Underwriting Assumptions'!$Q$12)</f>
        <v>312956.82000000007</v>
      </c>
      <c r="M51" s="40" t="str">
        <f>CONCATENATE("x ", K51," units = ")</f>
        <v xml:space="preserve">x  units = </v>
      </c>
      <c r="N51" s="1323" t="str">
        <f>IF(K51="","",K51*L51)</f>
        <v/>
      </c>
      <c r="O51" s="514"/>
      <c r="P51" s="4009"/>
      <c r="Q51" s="4010"/>
      <c r="S51" s="3976"/>
      <c r="T51" s="3977"/>
      <c r="U51" s="3977"/>
      <c r="V51" s="3978"/>
      <c r="AC51" s="436"/>
      <c r="AD51" s="436"/>
      <c r="AE51" s="436"/>
      <c r="AF51" s="436"/>
      <c r="AG51" s="577"/>
      <c r="AH51" s="430"/>
      <c r="AI51" s="430"/>
      <c r="AJ51" s="430"/>
      <c r="AK51" s="430"/>
      <c r="AL51" s="430"/>
      <c r="AM51" s="430"/>
      <c r="AN51" s="430"/>
      <c r="AO51" s="430"/>
      <c r="AP51" s="430"/>
      <c r="AQ51" s="430"/>
      <c r="AR51" s="430"/>
      <c r="AS51" s="430"/>
      <c r="AT51" s="430"/>
      <c r="AU51" s="430"/>
      <c r="AV51" s="430"/>
      <c r="AW51" s="430"/>
      <c r="AX51" s="430"/>
      <c r="AY51" s="430"/>
      <c r="AZ51" s="430"/>
      <c r="BA51" s="430"/>
      <c r="BB51" s="430"/>
      <c r="BC51" s="430"/>
      <c r="BD51" s="430"/>
      <c r="BE51" s="430"/>
      <c r="BF51" s="430"/>
      <c r="BG51" s="430"/>
      <c r="BH51" s="430"/>
      <c r="BI51" s="430"/>
      <c r="BJ51" s="430"/>
      <c r="BK51" s="430"/>
      <c r="BL51" s="430"/>
      <c r="BM51" s="430"/>
      <c r="BN51" s="430"/>
      <c r="BO51" s="430"/>
      <c r="BP51" s="430"/>
      <c r="BQ51" s="430"/>
      <c r="BR51" s="430"/>
      <c r="BS51" s="430"/>
      <c r="BT51" s="430"/>
      <c r="BU51" s="430"/>
      <c r="BV51" s="430"/>
      <c r="BW51" s="430"/>
      <c r="BX51" s="430"/>
      <c r="BY51" s="430"/>
      <c r="BZ51" s="430"/>
      <c r="CA51" s="430"/>
      <c r="CB51" s="430"/>
      <c r="CC51" s="430"/>
      <c r="CD51" s="430"/>
      <c r="CE51" s="430"/>
      <c r="CF51" s="430"/>
      <c r="CG51" s="430"/>
      <c r="CH51" s="430"/>
      <c r="CI51" s="430"/>
      <c r="CJ51" s="430"/>
      <c r="CK51" s="430"/>
      <c r="CL51" s="430"/>
      <c r="CM51" s="430"/>
      <c r="CN51" s="430"/>
      <c r="CO51" s="430"/>
      <c r="CP51" s="430"/>
      <c r="CQ51" s="430"/>
      <c r="CR51" s="430"/>
      <c r="CS51" s="430"/>
      <c r="CT51" s="430"/>
      <c r="CU51" s="430"/>
      <c r="CV51" s="430"/>
      <c r="CW51" s="430"/>
      <c r="CX51" s="430"/>
      <c r="CY51" s="430"/>
      <c r="CZ51" s="430"/>
      <c r="DA51" s="430"/>
      <c r="DB51" s="430"/>
      <c r="DC51" s="430"/>
      <c r="DD51" s="430"/>
      <c r="DE51" s="430"/>
      <c r="DF51" s="430"/>
      <c r="DG51" s="430"/>
      <c r="DH51" s="430"/>
      <c r="DI51" s="430"/>
      <c r="DJ51" s="430"/>
      <c r="DK51" s="430"/>
      <c r="DL51" s="430"/>
      <c r="DM51" s="430"/>
      <c r="DN51" s="430"/>
      <c r="DO51" s="430"/>
      <c r="DP51" s="430"/>
      <c r="DQ51" s="430"/>
      <c r="DR51" s="430"/>
      <c r="DS51" s="430"/>
      <c r="DT51" s="430"/>
      <c r="DU51" s="430"/>
      <c r="DV51" s="430"/>
      <c r="DW51" s="430"/>
      <c r="DX51" s="430"/>
      <c r="DY51" s="430"/>
      <c r="DZ51" s="430"/>
      <c r="EA51" s="430"/>
      <c r="EB51" s="430"/>
      <c r="EC51" s="430"/>
      <c r="ED51" s="430"/>
      <c r="EE51" s="430"/>
      <c r="EF51" s="430"/>
      <c r="EG51" s="430"/>
      <c r="EH51" s="430"/>
      <c r="EI51" s="430"/>
      <c r="EJ51" s="430"/>
      <c r="EK51" s="430"/>
      <c r="EL51" s="430"/>
      <c r="EM51" s="430"/>
      <c r="EN51" s="430"/>
      <c r="EO51" s="430"/>
      <c r="EP51" s="430"/>
      <c r="EQ51" s="430"/>
      <c r="ER51" s="430"/>
      <c r="ES51" s="430"/>
      <c r="ET51" s="430"/>
      <c r="EU51" s="430"/>
      <c r="EV51" s="430"/>
      <c r="EW51" s="430"/>
      <c r="EX51" s="430"/>
      <c r="EY51" s="430"/>
      <c r="EZ51" s="430"/>
      <c r="FA51" s="430"/>
      <c r="FB51" s="430"/>
      <c r="FC51" s="430"/>
      <c r="FD51" s="430"/>
      <c r="FE51" s="430"/>
      <c r="FF51" s="430"/>
      <c r="FG51" s="430"/>
      <c r="FH51" s="430"/>
      <c r="FI51" s="430"/>
      <c r="FJ51" s="430"/>
      <c r="FK51" s="430"/>
      <c r="FL51" s="430"/>
      <c r="FM51" s="430"/>
      <c r="FN51" s="430"/>
      <c r="FO51" s="430"/>
      <c r="FP51" s="430"/>
      <c r="FQ51" s="430"/>
      <c r="FR51" s="430"/>
      <c r="FS51" s="430"/>
      <c r="FT51" s="430"/>
      <c r="FU51" s="430"/>
      <c r="FV51" s="430"/>
      <c r="FW51" s="430"/>
      <c r="FX51" s="430"/>
      <c r="FY51" s="430"/>
      <c r="FZ51" s="430"/>
      <c r="GA51" s="430"/>
      <c r="GB51" s="430"/>
      <c r="GC51" s="430"/>
      <c r="GD51" s="430"/>
      <c r="GE51" s="430"/>
      <c r="GF51" s="430"/>
      <c r="GG51" s="430"/>
      <c r="GH51" s="430"/>
      <c r="GI51" s="430"/>
      <c r="GJ51" s="430"/>
      <c r="GK51" s="430"/>
      <c r="GL51" s="430"/>
      <c r="GM51" s="430"/>
      <c r="GN51" s="430"/>
      <c r="GO51" s="430"/>
      <c r="GP51" s="430"/>
      <c r="GQ51" s="430"/>
      <c r="GR51" s="430"/>
      <c r="GS51" s="430"/>
      <c r="GT51" s="430"/>
      <c r="GU51" s="430"/>
      <c r="GV51" s="430"/>
      <c r="GW51" s="430"/>
      <c r="GX51" s="430"/>
      <c r="GY51" s="430"/>
      <c r="GZ51" s="430"/>
      <c r="HA51" s="430"/>
      <c r="HB51" s="430"/>
      <c r="HC51" s="430"/>
      <c r="HD51" s="430"/>
      <c r="HE51" s="430"/>
      <c r="HF51" s="430"/>
      <c r="HG51" s="430"/>
      <c r="HH51" s="430"/>
      <c r="HI51" s="430"/>
      <c r="HJ51" s="430"/>
      <c r="HK51" s="430"/>
      <c r="HL51" s="430"/>
      <c r="HM51" s="430"/>
      <c r="HN51" s="430"/>
      <c r="HO51" s="430"/>
      <c r="HP51" s="430"/>
      <c r="HQ51" s="430"/>
      <c r="HR51" s="430"/>
      <c r="HS51" s="430"/>
      <c r="HT51" s="430"/>
      <c r="HU51" s="430"/>
      <c r="HV51" s="430"/>
      <c r="HW51" s="430"/>
      <c r="HX51" s="430"/>
      <c r="HY51" s="430"/>
      <c r="HZ51" s="430"/>
      <c r="IA51" s="430"/>
      <c r="IB51" s="430"/>
      <c r="IC51" s="430"/>
      <c r="ID51" s="430"/>
      <c r="IE51" s="430"/>
      <c r="IF51" s="430"/>
      <c r="IG51" s="430"/>
      <c r="IH51" s="430"/>
      <c r="II51" s="430"/>
      <c r="IJ51" s="434"/>
      <c r="IK51" s="434"/>
      <c r="IL51" s="430"/>
      <c r="IM51" s="430"/>
      <c r="IN51" s="430"/>
      <c r="IO51" s="430"/>
      <c r="IP51" s="430"/>
      <c r="IQ51" s="430"/>
      <c r="IR51" s="430"/>
      <c r="IS51" s="430"/>
      <c r="IT51" s="430"/>
      <c r="IU51" s="430"/>
      <c r="IV51" s="430"/>
      <c r="IW51" s="430"/>
      <c r="IX51" s="430"/>
      <c r="IY51" s="430"/>
      <c r="IZ51" s="430"/>
      <c r="JA51" s="434"/>
      <c r="JB51" s="430"/>
      <c r="JC51" s="430"/>
      <c r="JD51" s="146"/>
      <c r="JE51" s="146"/>
      <c r="JF51" s="146"/>
      <c r="JG51" s="146"/>
      <c r="JH51" s="146"/>
      <c r="JI51" s="146"/>
      <c r="JJ51" s="146"/>
      <c r="JK51" s="146"/>
      <c r="JL51" s="146"/>
      <c r="JM51" s="146"/>
      <c r="JN51" s="146"/>
      <c r="JO51" s="146"/>
      <c r="JP51" s="146"/>
      <c r="JQ51" s="146"/>
      <c r="JR51" s="146"/>
      <c r="JS51" s="146"/>
      <c r="JT51" s="146"/>
      <c r="JU51" s="146"/>
      <c r="JV51" s="146"/>
      <c r="JW51" s="146"/>
      <c r="JX51" s="146"/>
      <c r="JY51" s="146"/>
      <c r="JZ51" s="146"/>
      <c r="KA51" s="146"/>
      <c r="KB51" s="146"/>
      <c r="KC51" s="146"/>
      <c r="KD51" s="146"/>
      <c r="KE51" s="146"/>
      <c r="KF51" s="146"/>
      <c r="KG51" s="146"/>
      <c r="KH51" s="146"/>
      <c r="KI51" s="146"/>
    </row>
    <row r="52" spans="1:295" s="82" customFormat="1" ht="12" customHeight="1">
      <c r="A52" s="8"/>
      <c r="B52" s="8"/>
      <c r="C52" s="1"/>
      <c r="D52" s="758" t="s">
        <v>2331</v>
      </c>
      <c r="E52" s="755">
        <v>4</v>
      </c>
      <c r="F52" s="1322" t="str">
        <f>IF('Part VI-Revenues &amp; Expenses'!$O$149 =0,"",'Part VI-Revenues &amp; Expenses'!$O$149)</f>
        <v/>
      </c>
      <c r="G52" s="756">
        <f>IF('Part IX Scoring Criteria'!$O$108='Part IX Scoring Criteria'!$M$108,$L52,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337178.60000000003</v>
      </c>
      <c r="H52" s="40" t="str">
        <f>CONCATENATE("x ", F52," units = ")</f>
        <v xml:space="preserve">x  units = </v>
      </c>
      <c r="I52" s="1323" t="str">
        <f>IF(F52="","",F52*G52)</f>
        <v/>
      </c>
      <c r="J52" s="42"/>
      <c r="K52" s="1322" t="str">
        <f>IF('Part VI-Revenues &amp; Expenses'!$O$150 =0,"",'Part VI-Revenues &amp; Expenses'!$O$150)</f>
        <v/>
      </c>
      <c r="L52" s="756">
        <f>G52*(1+'DCA Underwriting Assumptions'!$Q$12)</f>
        <v>370896.46000000008</v>
      </c>
      <c r="M52" s="40" t="str">
        <f>CONCATENATE("x ", K52," units = ")</f>
        <v xml:space="preserve">x  units = </v>
      </c>
      <c r="N52" s="1323" t="str">
        <f>IF(K52="","",K52*L52)</f>
        <v/>
      </c>
      <c r="O52" s="514"/>
      <c r="P52" s="4037" t="s">
        <v>3281</v>
      </c>
      <c r="Q52" s="4037"/>
      <c r="S52" s="3976"/>
      <c r="T52" s="3977"/>
      <c r="U52" s="3977"/>
      <c r="V52" s="3978"/>
      <c r="AC52" s="436"/>
      <c r="AD52" s="436"/>
      <c r="AE52" s="436"/>
      <c r="AF52" s="436"/>
      <c r="AG52" s="577"/>
      <c r="AH52" s="430"/>
      <c r="AI52" s="430"/>
      <c r="AJ52" s="430"/>
      <c r="AK52" s="430"/>
      <c r="AL52" s="430"/>
      <c r="AM52" s="430"/>
      <c r="AN52" s="430"/>
      <c r="AO52" s="430"/>
      <c r="AP52" s="430"/>
      <c r="AQ52" s="430"/>
      <c r="AR52" s="430"/>
      <c r="AS52" s="430"/>
      <c r="AT52" s="430"/>
      <c r="AU52" s="430"/>
      <c r="AV52" s="430"/>
      <c r="AW52" s="430"/>
      <c r="AX52" s="430"/>
      <c r="AY52" s="430"/>
      <c r="AZ52" s="430"/>
      <c r="BA52" s="430"/>
      <c r="BB52" s="430"/>
      <c r="BC52" s="430"/>
      <c r="BD52" s="430"/>
      <c r="BE52" s="430"/>
      <c r="BF52" s="430"/>
      <c r="BG52" s="430"/>
      <c r="BH52" s="430"/>
      <c r="BI52" s="430"/>
      <c r="BJ52" s="430"/>
      <c r="BK52" s="430"/>
      <c r="BL52" s="430"/>
      <c r="BM52" s="430"/>
      <c r="BN52" s="430"/>
      <c r="BO52" s="430"/>
      <c r="BP52" s="430"/>
      <c r="BQ52" s="430"/>
      <c r="BR52" s="430"/>
      <c r="BS52" s="430"/>
      <c r="BT52" s="430"/>
      <c r="BU52" s="430"/>
      <c r="BV52" s="430"/>
      <c r="BW52" s="430"/>
      <c r="BX52" s="430"/>
      <c r="BY52" s="430"/>
      <c r="BZ52" s="430"/>
      <c r="CA52" s="430"/>
      <c r="CB52" s="430"/>
      <c r="CC52" s="430"/>
      <c r="CD52" s="430"/>
      <c r="CE52" s="430"/>
      <c r="CF52" s="430"/>
      <c r="CG52" s="430"/>
      <c r="CH52" s="430"/>
      <c r="CI52" s="430"/>
      <c r="CJ52" s="430"/>
      <c r="CK52" s="430"/>
      <c r="CL52" s="430"/>
      <c r="CM52" s="430"/>
      <c r="CN52" s="430"/>
      <c r="CO52" s="430"/>
      <c r="CP52" s="430"/>
      <c r="CQ52" s="430"/>
      <c r="CR52" s="430"/>
      <c r="CS52" s="430"/>
      <c r="CT52" s="430"/>
      <c r="CU52" s="430"/>
      <c r="CV52" s="430"/>
      <c r="CW52" s="430"/>
      <c r="CX52" s="430"/>
      <c r="CY52" s="430"/>
      <c r="CZ52" s="430"/>
      <c r="DA52" s="430"/>
      <c r="DB52" s="430"/>
      <c r="DC52" s="430"/>
      <c r="DD52" s="430"/>
      <c r="DE52" s="430"/>
      <c r="DF52" s="430"/>
      <c r="DG52" s="430"/>
      <c r="DH52" s="430"/>
      <c r="DI52" s="430"/>
      <c r="DJ52" s="430"/>
      <c r="DK52" s="430"/>
      <c r="DL52" s="430"/>
      <c r="DM52" s="430"/>
      <c r="DN52" s="430"/>
      <c r="DO52" s="430"/>
      <c r="DP52" s="430"/>
      <c r="DQ52" s="430"/>
      <c r="DR52" s="430"/>
      <c r="DS52" s="430"/>
      <c r="DT52" s="430"/>
      <c r="DU52" s="430"/>
      <c r="DV52" s="430"/>
      <c r="DW52" s="430"/>
      <c r="DX52" s="430"/>
      <c r="DY52" s="430"/>
      <c r="DZ52" s="430"/>
      <c r="EA52" s="430"/>
      <c r="EB52" s="430"/>
      <c r="EC52" s="430"/>
      <c r="ED52" s="430"/>
      <c r="EE52" s="430"/>
      <c r="EF52" s="430"/>
      <c r="EG52" s="430"/>
      <c r="EH52" s="430"/>
      <c r="EI52" s="430"/>
      <c r="EJ52" s="430"/>
      <c r="EK52" s="430"/>
      <c r="EL52" s="430"/>
      <c r="EM52" s="430"/>
      <c r="EN52" s="430"/>
      <c r="EO52" s="430"/>
      <c r="EP52" s="430"/>
      <c r="EQ52" s="430"/>
      <c r="ER52" s="430"/>
      <c r="ES52" s="430"/>
      <c r="ET52" s="430"/>
      <c r="EU52" s="430"/>
      <c r="EV52" s="430"/>
      <c r="EW52" s="430"/>
      <c r="EX52" s="430"/>
      <c r="EY52" s="430"/>
      <c r="EZ52" s="430"/>
      <c r="FA52" s="430"/>
      <c r="FB52" s="430"/>
      <c r="FC52" s="430"/>
      <c r="FD52" s="430"/>
      <c r="FE52" s="430"/>
      <c r="FF52" s="430"/>
      <c r="FG52" s="430"/>
      <c r="FH52" s="430"/>
      <c r="FI52" s="430"/>
      <c r="FJ52" s="430"/>
      <c r="FK52" s="430"/>
      <c r="FL52" s="430"/>
      <c r="FM52" s="430"/>
      <c r="FN52" s="430"/>
      <c r="FO52" s="430"/>
      <c r="FP52" s="430"/>
      <c r="FQ52" s="430"/>
      <c r="FR52" s="430"/>
      <c r="FS52" s="430"/>
      <c r="FT52" s="430"/>
      <c r="FU52" s="430"/>
      <c r="FV52" s="430"/>
      <c r="FW52" s="430"/>
      <c r="FX52" s="430"/>
      <c r="FY52" s="430"/>
      <c r="FZ52" s="430"/>
      <c r="GA52" s="430"/>
      <c r="GB52" s="430"/>
      <c r="GC52" s="430"/>
      <c r="GD52" s="430"/>
      <c r="GE52" s="430"/>
      <c r="GF52" s="430"/>
      <c r="GG52" s="430"/>
      <c r="GH52" s="430"/>
      <c r="GI52" s="430"/>
      <c r="GJ52" s="430"/>
      <c r="GK52" s="430"/>
      <c r="GL52" s="430"/>
      <c r="GM52" s="430"/>
      <c r="GN52" s="430"/>
      <c r="GO52" s="430"/>
      <c r="GP52" s="430"/>
      <c r="GQ52" s="430"/>
      <c r="GR52" s="430"/>
      <c r="GS52" s="430"/>
      <c r="GT52" s="430"/>
      <c r="GU52" s="430"/>
      <c r="GV52" s="430"/>
      <c r="GW52" s="430"/>
      <c r="GX52" s="430"/>
      <c r="GY52" s="430"/>
      <c r="GZ52" s="430"/>
      <c r="HA52" s="430"/>
      <c r="HB52" s="430"/>
      <c r="HC52" s="430"/>
      <c r="HD52" s="430"/>
      <c r="HE52" s="430"/>
      <c r="HF52" s="430"/>
      <c r="HG52" s="430"/>
      <c r="HH52" s="430"/>
      <c r="HI52" s="430"/>
      <c r="HJ52" s="430"/>
      <c r="HK52" s="430"/>
      <c r="HL52" s="430"/>
      <c r="HM52" s="430"/>
      <c r="HN52" s="430"/>
      <c r="HO52" s="430"/>
      <c r="HP52" s="430"/>
      <c r="HQ52" s="430"/>
      <c r="HR52" s="430"/>
      <c r="HS52" s="430"/>
      <c r="HT52" s="430"/>
      <c r="HU52" s="430"/>
      <c r="HV52" s="430"/>
      <c r="HW52" s="430"/>
      <c r="HX52" s="430"/>
      <c r="HY52" s="430"/>
      <c r="HZ52" s="430"/>
      <c r="IA52" s="430"/>
      <c r="IB52" s="430"/>
      <c r="IC52" s="430"/>
      <c r="ID52" s="430"/>
      <c r="IE52" s="430"/>
      <c r="IF52" s="430"/>
      <c r="IG52" s="430"/>
      <c r="IH52" s="430"/>
      <c r="II52" s="430"/>
      <c r="IJ52" s="434"/>
      <c r="IK52" s="434"/>
      <c r="IL52" s="430"/>
      <c r="IM52" s="430"/>
      <c r="IN52" s="430"/>
      <c r="IO52" s="430"/>
      <c r="IP52" s="430"/>
      <c r="IQ52" s="430"/>
      <c r="IR52" s="430"/>
      <c r="IS52" s="430"/>
      <c r="IT52" s="430"/>
      <c r="IU52" s="430"/>
      <c r="IV52" s="430"/>
      <c r="IW52" s="430"/>
      <c r="IX52" s="430"/>
      <c r="IY52" s="430"/>
      <c r="IZ52" s="430"/>
      <c r="JA52" s="434"/>
      <c r="JB52" s="430"/>
      <c r="JC52" s="430"/>
      <c r="JD52" s="146"/>
      <c r="JE52" s="146"/>
      <c r="JF52" s="146"/>
      <c r="JG52" s="146"/>
      <c r="JH52" s="146"/>
      <c r="JI52" s="146"/>
      <c r="JJ52" s="146"/>
      <c r="JK52" s="146"/>
      <c r="JL52" s="146"/>
      <c r="JM52" s="146"/>
      <c r="JN52" s="146"/>
      <c r="JO52" s="146"/>
      <c r="JP52" s="146"/>
      <c r="JQ52" s="146"/>
      <c r="JR52" s="146"/>
      <c r="JS52" s="146"/>
      <c r="JT52" s="146"/>
      <c r="JU52" s="146"/>
      <c r="JV52" s="146"/>
      <c r="JW52" s="146"/>
      <c r="JX52" s="146"/>
      <c r="JY52" s="146"/>
      <c r="JZ52" s="146"/>
      <c r="KA52" s="146"/>
      <c r="KB52" s="146"/>
      <c r="KC52" s="146"/>
      <c r="KD52" s="146"/>
      <c r="KE52" s="146"/>
      <c r="KF52" s="146"/>
      <c r="KG52" s="146"/>
      <c r="KH52" s="146"/>
      <c r="KI52" s="146"/>
    </row>
    <row r="53" spans="1:295" s="82" customFormat="1" ht="12" customHeight="1">
      <c r="A53" s="8"/>
      <c r="B53" s="8"/>
      <c r="C53" s="1"/>
      <c r="D53" s="527" t="s">
        <v>3121</v>
      </c>
      <c r="E53" s="131"/>
      <c r="F53" s="946">
        <f>SUM(F48:F52)</f>
        <v>0</v>
      </c>
      <c r="G53" s="562"/>
      <c r="H53" s="947"/>
      <c r="I53" s="948">
        <f>SUM(I48:I52)</f>
        <v>0</v>
      </c>
      <c r="J53" s="949"/>
      <c r="K53" s="946">
        <f>SUM(K48:K52)</f>
        <v>0</v>
      </c>
      <c r="L53" s="949"/>
      <c r="M53" s="947"/>
      <c r="N53" s="948">
        <f>SUM(N48:N52)</f>
        <v>0</v>
      </c>
      <c r="O53" s="514"/>
      <c r="P53" s="954" t="s">
        <v>3008</v>
      </c>
      <c r="Q53" s="954" t="s">
        <v>245</v>
      </c>
      <c r="R53" s="396"/>
      <c r="S53" s="3976"/>
      <c r="T53" s="3977"/>
      <c r="U53" s="3977"/>
      <c r="V53" s="3978"/>
      <c r="AB53" s="436"/>
      <c r="AC53" s="436"/>
      <c r="AD53" s="436"/>
      <c r="AE53" s="436"/>
      <c r="AF53" s="436"/>
      <c r="AG53" s="577"/>
      <c r="AH53" s="430"/>
      <c r="AI53" s="430"/>
      <c r="AJ53" s="430"/>
      <c r="AK53" s="430"/>
      <c r="AL53" s="430"/>
      <c r="AM53" s="430"/>
      <c r="AN53" s="430"/>
      <c r="AO53" s="430"/>
      <c r="AP53" s="430"/>
      <c r="AQ53" s="430"/>
      <c r="AR53" s="430"/>
      <c r="AS53" s="430"/>
      <c r="AT53" s="430"/>
      <c r="AU53" s="430"/>
      <c r="AV53" s="430"/>
      <c r="AW53" s="430"/>
      <c r="AX53" s="430"/>
      <c r="AY53" s="430"/>
      <c r="AZ53" s="430"/>
      <c r="BA53" s="430"/>
      <c r="BB53" s="430"/>
      <c r="BC53" s="430"/>
      <c r="BD53" s="430"/>
      <c r="BE53" s="430"/>
      <c r="BF53" s="430"/>
      <c r="BG53" s="430"/>
      <c r="BH53" s="430"/>
      <c r="BI53" s="430"/>
      <c r="BJ53" s="430"/>
      <c r="BK53" s="430"/>
      <c r="BL53" s="430"/>
      <c r="BM53" s="430"/>
      <c r="BN53" s="430"/>
      <c r="BO53" s="430"/>
      <c r="BP53" s="430"/>
      <c r="BQ53" s="430"/>
      <c r="BR53" s="430"/>
      <c r="BS53" s="430"/>
      <c r="BT53" s="430"/>
      <c r="BU53" s="430"/>
      <c r="BV53" s="430"/>
      <c r="BW53" s="430"/>
      <c r="BX53" s="430"/>
      <c r="BY53" s="430"/>
      <c r="BZ53" s="430"/>
      <c r="CA53" s="430"/>
      <c r="CB53" s="430"/>
      <c r="CC53" s="430"/>
      <c r="CD53" s="430"/>
      <c r="CE53" s="430"/>
      <c r="CF53" s="430"/>
      <c r="CG53" s="430"/>
      <c r="CH53" s="430"/>
      <c r="CI53" s="430"/>
      <c r="CJ53" s="430"/>
      <c r="CK53" s="430"/>
      <c r="CL53" s="430"/>
      <c r="CM53" s="430"/>
      <c r="CN53" s="430"/>
      <c r="CO53" s="430"/>
      <c r="CP53" s="430"/>
      <c r="CQ53" s="430"/>
      <c r="CR53" s="430"/>
      <c r="CS53" s="430"/>
      <c r="CT53" s="430"/>
      <c r="CU53" s="430"/>
      <c r="CV53" s="430"/>
      <c r="CW53" s="430"/>
      <c r="CX53" s="430"/>
      <c r="CY53" s="430"/>
      <c r="CZ53" s="430"/>
      <c r="DA53" s="430"/>
      <c r="DB53" s="430"/>
      <c r="DC53" s="430"/>
      <c r="DD53" s="430"/>
      <c r="DE53" s="430"/>
      <c r="DF53" s="430"/>
      <c r="DG53" s="430"/>
      <c r="DH53" s="430"/>
      <c r="DI53" s="430"/>
      <c r="DJ53" s="430"/>
      <c r="DK53" s="430"/>
      <c r="DL53" s="430"/>
      <c r="DM53" s="430"/>
      <c r="DN53" s="430"/>
      <c r="DO53" s="430"/>
      <c r="DP53" s="430"/>
      <c r="DQ53" s="430"/>
      <c r="DR53" s="430"/>
      <c r="DS53" s="430"/>
      <c r="DT53" s="430"/>
      <c r="DU53" s="430"/>
      <c r="DV53" s="430"/>
      <c r="DW53" s="430"/>
      <c r="DX53" s="430"/>
      <c r="DY53" s="430"/>
      <c r="DZ53" s="430"/>
      <c r="EA53" s="430"/>
      <c r="EB53" s="430"/>
      <c r="EC53" s="430"/>
      <c r="ED53" s="430"/>
      <c r="EE53" s="430"/>
      <c r="EF53" s="430"/>
      <c r="EG53" s="430"/>
      <c r="EH53" s="430"/>
      <c r="EI53" s="430"/>
      <c r="EJ53" s="430"/>
      <c r="EK53" s="430"/>
      <c r="EL53" s="430"/>
      <c r="EM53" s="430"/>
      <c r="EN53" s="430"/>
      <c r="EO53" s="430"/>
      <c r="EP53" s="430"/>
      <c r="EQ53" s="430"/>
      <c r="ER53" s="430"/>
      <c r="ES53" s="430"/>
      <c r="ET53" s="430"/>
      <c r="EU53" s="430"/>
      <c r="EV53" s="430"/>
      <c r="EW53" s="430"/>
      <c r="EX53" s="430"/>
      <c r="EY53" s="430"/>
      <c r="EZ53" s="430"/>
      <c r="FA53" s="430"/>
      <c r="FB53" s="430"/>
      <c r="FC53" s="430"/>
      <c r="FD53" s="430"/>
      <c r="FE53" s="430"/>
      <c r="FF53" s="430"/>
      <c r="FG53" s="430"/>
      <c r="FH53" s="430"/>
      <c r="FI53" s="430"/>
      <c r="FJ53" s="430"/>
      <c r="FK53" s="430"/>
      <c r="FL53" s="430"/>
      <c r="FM53" s="430"/>
      <c r="FN53" s="430"/>
      <c r="FO53" s="430"/>
      <c r="FP53" s="430"/>
      <c r="FQ53" s="430"/>
      <c r="FR53" s="430"/>
      <c r="FS53" s="430"/>
      <c r="FT53" s="430"/>
      <c r="FU53" s="430"/>
      <c r="FV53" s="430"/>
      <c r="FW53" s="430"/>
      <c r="FX53" s="430"/>
      <c r="FY53" s="430"/>
      <c r="FZ53" s="430"/>
      <c r="GA53" s="430"/>
      <c r="GB53" s="430"/>
      <c r="GC53" s="430"/>
      <c r="GD53" s="430"/>
      <c r="GE53" s="430"/>
      <c r="GF53" s="430"/>
      <c r="GG53" s="430"/>
      <c r="GH53" s="430"/>
      <c r="GI53" s="430"/>
      <c r="GJ53" s="430"/>
      <c r="GK53" s="430"/>
      <c r="GL53" s="430"/>
      <c r="GM53" s="430"/>
      <c r="GN53" s="430"/>
      <c r="GO53" s="430"/>
      <c r="GP53" s="430"/>
      <c r="GQ53" s="430"/>
      <c r="GR53" s="430"/>
      <c r="GS53" s="430"/>
      <c r="GT53" s="430"/>
      <c r="GU53" s="430"/>
      <c r="GV53" s="430"/>
      <c r="GW53" s="430"/>
      <c r="GX53" s="430"/>
      <c r="GY53" s="430"/>
      <c r="GZ53" s="430"/>
      <c r="HA53" s="430"/>
      <c r="HB53" s="430"/>
      <c r="HC53" s="430"/>
      <c r="HD53" s="430"/>
      <c r="HE53" s="430"/>
      <c r="HF53" s="430"/>
      <c r="HG53" s="430"/>
      <c r="HH53" s="430"/>
      <c r="HI53" s="430"/>
      <c r="HJ53" s="430"/>
      <c r="HK53" s="430"/>
      <c r="HL53" s="430"/>
      <c r="HM53" s="430"/>
      <c r="HN53" s="430"/>
      <c r="HO53" s="430"/>
      <c r="HP53" s="430"/>
      <c r="HQ53" s="430"/>
      <c r="HR53" s="430"/>
      <c r="HS53" s="430"/>
      <c r="HT53" s="430"/>
      <c r="HU53" s="430"/>
      <c r="HV53" s="430"/>
      <c r="HW53" s="430"/>
      <c r="HX53" s="430"/>
      <c r="HY53" s="430"/>
      <c r="HZ53" s="430"/>
      <c r="IA53" s="430"/>
      <c r="IB53" s="430"/>
      <c r="IC53" s="430"/>
      <c r="ID53" s="430"/>
      <c r="IE53" s="430"/>
      <c r="IF53" s="430"/>
      <c r="IG53" s="430"/>
      <c r="IH53" s="430"/>
      <c r="II53" s="430"/>
      <c r="IJ53" s="434"/>
      <c r="IK53" s="434"/>
      <c r="IL53" s="430"/>
      <c r="IM53" s="430"/>
      <c r="IN53" s="430"/>
      <c r="IO53" s="430"/>
      <c r="IP53" s="430"/>
      <c r="IQ53" s="430"/>
      <c r="IR53" s="430"/>
      <c r="IS53" s="430"/>
      <c r="IT53" s="430"/>
      <c r="IU53" s="430"/>
      <c r="IV53" s="430"/>
      <c r="IW53" s="430"/>
      <c r="IX53" s="430"/>
      <c r="IY53" s="430"/>
      <c r="IZ53" s="430"/>
      <c r="JA53" s="434"/>
      <c r="JB53" s="430"/>
      <c r="JC53" s="430"/>
      <c r="JD53" s="146"/>
      <c r="JE53" s="146"/>
      <c r="JF53" s="146"/>
      <c r="JG53" s="146"/>
      <c r="JH53" s="146"/>
      <c r="JI53" s="146"/>
      <c r="JJ53" s="146"/>
      <c r="JK53" s="146"/>
      <c r="JL53" s="146"/>
      <c r="JM53" s="146"/>
      <c r="JN53" s="146"/>
      <c r="JO53" s="146"/>
      <c r="JP53" s="146"/>
      <c r="JQ53" s="146"/>
      <c r="JR53" s="146"/>
      <c r="JS53" s="146"/>
      <c r="JT53" s="146"/>
      <c r="JU53" s="146"/>
      <c r="JV53" s="146"/>
      <c r="JW53" s="146"/>
      <c r="JX53" s="146"/>
      <c r="JY53" s="146"/>
      <c r="JZ53" s="146"/>
      <c r="KA53" s="146"/>
      <c r="KB53" s="146"/>
      <c r="KC53" s="146"/>
      <c r="KD53" s="146"/>
      <c r="KE53" s="146"/>
      <c r="KF53" s="146"/>
      <c r="KG53" s="146"/>
      <c r="KH53" s="146"/>
      <c r="KI53" s="146"/>
    </row>
    <row r="54" spans="1:295" s="82" customFormat="1" ht="12" customHeight="1">
      <c r="A54" s="8"/>
      <c r="C54" s="1"/>
      <c r="D54" s="495"/>
      <c r="E54" s="495"/>
      <c r="F54" s="563"/>
      <c r="G54" s="138"/>
      <c r="H54" s="35"/>
      <c r="I54" s="2654"/>
      <c r="J54" s="35"/>
      <c r="K54" s="563"/>
      <c r="L54" s="35"/>
      <c r="M54" s="2655"/>
      <c r="N54" s="2654"/>
      <c r="O54" s="514"/>
      <c r="R54" s="396"/>
      <c r="S54" s="3976"/>
      <c r="T54" s="3977"/>
      <c r="U54" s="3977"/>
      <c r="V54" s="3978"/>
      <c r="W54" s="432"/>
      <c r="AB54" s="436"/>
      <c r="AC54" s="436"/>
      <c r="AD54" s="436"/>
      <c r="AE54" s="436"/>
      <c r="AF54" s="436"/>
      <c r="AG54" s="577"/>
      <c r="AH54" s="430"/>
      <c r="AI54" s="430"/>
      <c r="AJ54" s="430"/>
      <c r="AK54" s="430"/>
      <c r="AL54" s="430"/>
      <c r="AM54" s="430"/>
      <c r="AN54" s="430"/>
      <c r="AO54" s="430"/>
      <c r="AP54" s="430"/>
      <c r="AQ54" s="430"/>
      <c r="AR54" s="430"/>
      <c r="AS54" s="430"/>
      <c r="AT54" s="430"/>
      <c r="AU54" s="430"/>
      <c r="AV54" s="430"/>
      <c r="AW54" s="430"/>
      <c r="AX54" s="430"/>
      <c r="AY54" s="430"/>
      <c r="AZ54" s="430"/>
      <c r="BA54" s="430"/>
      <c r="BB54" s="430"/>
      <c r="BC54" s="430"/>
      <c r="BD54" s="430"/>
      <c r="BE54" s="430"/>
      <c r="BF54" s="430"/>
      <c r="BG54" s="430"/>
      <c r="BH54" s="430"/>
      <c r="BI54" s="430"/>
      <c r="BJ54" s="430"/>
      <c r="BK54" s="430"/>
      <c r="BL54" s="430"/>
      <c r="BM54" s="430"/>
      <c r="BN54" s="430"/>
      <c r="BO54" s="430"/>
      <c r="BP54" s="430"/>
      <c r="BQ54" s="430"/>
      <c r="BR54" s="430"/>
      <c r="BS54" s="430"/>
      <c r="BT54" s="430"/>
      <c r="BU54" s="430"/>
      <c r="BV54" s="430"/>
      <c r="BW54" s="430"/>
      <c r="BX54" s="430"/>
      <c r="BY54" s="430"/>
      <c r="BZ54" s="430"/>
      <c r="CA54" s="430"/>
      <c r="CB54" s="430"/>
      <c r="CC54" s="430"/>
      <c r="CD54" s="430"/>
      <c r="CE54" s="430"/>
      <c r="CF54" s="430"/>
      <c r="CG54" s="430"/>
      <c r="CH54" s="430"/>
      <c r="CI54" s="430"/>
      <c r="CJ54" s="430"/>
      <c r="CK54" s="430"/>
      <c r="CL54" s="430"/>
      <c r="CM54" s="430"/>
      <c r="CN54" s="430"/>
      <c r="CO54" s="430"/>
      <c r="CP54" s="430"/>
      <c r="CQ54" s="430"/>
      <c r="CR54" s="430"/>
      <c r="CS54" s="430"/>
      <c r="CT54" s="430"/>
      <c r="CU54" s="430"/>
      <c r="CV54" s="430"/>
      <c r="CW54" s="430"/>
      <c r="CX54" s="430"/>
      <c r="CY54" s="430"/>
      <c r="CZ54" s="430"/>
      <c r="DA54" s="430"/>
      <c r="DB54" s="430"/>
      <c r="DC54" s="430"/>
      <c r="DD54" s="430"/>
      <c r="DE54" s="430"/>
      <c r="DF54" s="430"/>
      <c r="DG54" s="430"/>
      <c r="DH54" s="430"/>
      <c r="DI54" s="430"/>
      <c r="DJ54" s="430"/>
      <c r="DK54" s="430"/>
      <c r="DL54" s="430"/>
      <c r="DM54" s="430"/>
      <c r="DN54" s="430"/>
      <c r="DO54" s="430"/>
      <c r="DP54" s="430"/>
      <c r="DQ54" s="430"/>
      <c r="DR54" s="430"/>
      <c r="DS54" s="430"/>
      <c r="DT54" s="430"/>
      <c r="DU54" s="430"/>
      <c r="DV54" s="430"/>
      <c r="DW54" s="430"/>
      <c r="DX54" s="430"/>
      <c r="DY54" s="430"/>
      <c r="DZ54" s="430"/>
      <c r="EA54" s="430"/>
      <c r="EB54" s="430"/>
      <c r="EC54" s="430"/>
      <c r="ED54" s="430"/>
      <c r="EE54" s="430"/>
      <c r="EF54" s="430"/>
      <c r="EG54" s="430"/>
      <c r="EH54" s="430"/>
      <c r="EI54" s="430"/>
      <c r="EJ54" s="430"/>
      <c r="EK54" s="430"/>
      <c r="EL54" s="430"/>
      <c r="EM54" s="430"/>
      <c r="EN54" s="430"/>
      <c r="EO54" s="430"/>
      <c r="EP54" s="430"/>
      <c r="EQ54" s="430"/>
      <c r="ER54" s="430"/>
      <c r="ES54" s="430"/>
      <c r="ET54" s="430"/>
      <c r="EU54" s="430"/>
      <c r="EV54" s="430"/>
      <c r="EW54" s="430"/>
      <c r="EX54" s="430"/>
      <c r="EY54" s="430"/>
      <c r="EZ54" s="430"/>
      <c r="FA54" s="430"/>
      <c r="FB54" s="430"/>
      <c r="FC54" s="430"/>
      <c r="FD54" s="430"/>
      <c r="FE54" s="430"/>
      <c r="FF54" s="430"/>
      <c r="FG54" s="430"/>
      <c r="FH54" s="430"/>
      <c r="FI54" s="430"/>
      <c r="FJ54" s="430"/>
      <c r="FK54" s="430"/>
      <c r="FL54" s="430"/>
      <c r="FM54" s="430"/>
      <c r="FN54" s="430"/>
      <c r="FO54" s="430"/>
      <c r="FP54" s="430"/>
      <c r="FQ54" s="430"/>
      <c r="FR54" s="430"/>
      <c r="FS54" s="430"/>
      <c r="FT54" s="430"/>
      <c r="FU54" s="430"/>
      <c r="FV54" s="430"/>
      <c r="FW54" s="430"/>
      <c r="FX54" s="430"/>
      <c r="FY54" s="430"/>
      <c r="FZ54" s="430"/>
      <c r="GA54" s="430"/>
      <c r="GB54" s="430"/>
      <c r="GC54" s="430"/>
      <c r="GD54" s="430"/>
      <c r="GE54" s="430"/>
      <c r="GF54" s="430"/>
      <c r="GG54" s="430"/>
      <c r="GH54" s="430"/>
      <c r="GI54" s="430"/>
      <c r="GJ54" s="430"/>
      <c r="GK54" s="430"/>
      <c r="GL54" s="430"/>
      <c r="GM54" s="430"/>
      <c r="GN54" s="430"/>
      <c r="GO54" s="430"/>
      <c r="GP54" s="430"/>
      <c r="GQ54" s="430"/>
      <c r="GR54" s="430"/>
      <c r="GS54" s="430"/>
      <c r="GT54" s="430"/>
      <c r="GU54" s="430"/>
      <c r="GV54" s="430"/>
      <c r="GW54" s="430"/>
      <c r="GX54" s="430"/>
      <c r="GY54" s="430"/>
      <c r="GZ54" s="430"/>
      <c r="HA54" s="430"/>
      <c r="HB54" s="430"/>
      <c r="HC54" s="430"/>
      <c r="HD54" s="430"/>
      <c r="HE54" s="430"/>
      <c r="HF54" s="430"/>
      <c r="HG54" s="430"/>
      <c r="HH54" s="430"/>
      <c r="HI54" s="430"/>
      <c r="HJ54" s="430"/>
      <c r="HK54" s="430"/>
      <c r="HL54" s="430"/>
      <c r="HM54" s="430"/>
      <c r="HN54" s="430"/>
      <c r="HO54" s="430"/>
      <c r="HP54" s="430"/>
      <c r="HQ54" s="430"/>
      <c r="HR54" s="430"/>
      <c r="HS54" s="430"/>
      <c r="HT54" s="430"/>
      <c r="HU54" s="430"/>
      <c r="HV54" s="430"/>
      <c r="HW54" s="430"/>
      <c r="HX54" s="430"/>
      <c r="HY54" s="430"/>
      <c r="HZ54" s="430"/>
      <c r="IA54" s="430"/>
      <c r="IB54" s="430"/>
      <c r="IC54" s="430"/>
      <c r="ID54" s="430"/>
      <c r="IE54" s="430"/>
      <c r="IF54" s="430"/>
      <c r="IG54" s="430"/>
      <c r="IH54" s="430"/>
      <c r="II54" s="430"/>
      <c r="IJ54" s="434"/>
      <c r="IK54" s="434"/>
      <c r="IL54" s="430"/>
      <c r="IM54" s="430"/>
      <c r="IN54" s="430"/>
      <c r="IO54" s="430"/>
      <c r="IP54" s="430"/>
      <c r="IQ54" s="430"/>
      <c r="IR54" s="430"/>
      <c r="IS54" s="430"/>
      <c r="IT54" s="430"/>
      <c r="IU54" s="430"/>
      <c r="IV54" s="430"/>
      <c r="IW54" s="430"/>
      <c r="IX54" s="430"/>
      <c r="IY54" s="430"/>
      <c r="IZ54" s="430"/>
      <c r="JA54" s="434"/>
      <c r="JB54" s="430"/>
      <c r="JC54" s="430"/>
      <c r="JD54" s="146"/>
      <c r="JE54" s="146"/>
      <c r="JF54" s="146"/>
      <c r="JG54" s="146"/>
      <c r="JH54" s="146"/>
      <c r="JI54" s="146"/>
      <c r="JJ54" s="146"/>
      <c r="JK54" s="146"/>
      <c r="JL54" s="146"/>
      <c r="JM54" s="146"/>
      <c r="JN54" s="146"/>
      <c r="JO54" s="146"/>
      <c r="JP54" s="146"/>
      <c r="JQ54" s="146"/>
      <c r="JR54" s="146"/>
      <c r="JS54" s="146"/>
      <c r="JT54" s="146"/>
      <c r="JU54" s="146"/>
      <c r="JV54" s="146"/>
      <c r="JW54" s="146"/>
      <c r="JX54" s="146"/>
      <c r="JY54" s="146"/>
      <c r="JZ54" s="146"/>
      <c r="KA54" s="146"/>
      <c r="KB54" s="146"/>
      <c r="KC54" s="146"/>
      <c r="KD54" s="146"/>
      <c r="KE54" s="146"/>
      <c r="KF54" s="146"/>
      <c r="KG54" s="146"/>
      <c r="KH54" s="146"/>
      <c r="KI54" s="146"/>
    </row>
    <row r="55" spans="1:295" s="82" customFormat="1" ht="12" customHeight="1">
      <c r="A55" s="526" t="s">
        <v>3113</v>
      </c>
      <c r="B55" s="525"/>
      <c r="C55" s="1"/>
      <c r="D55" s="754" t="s">
        <v>539</v>
      </c>
      <c r="E55" s="755">
        <v>0</v>
      </c>
      <c r="F55" s="1322" t="str">
        <f>IF('Part VI-Revenues &amp; Expenses'!$K$151 =0,"",'Part VI-Revenues &amp; Expenses'!$K$151)</f>
        <v/>
      </c>
      <c r="G55" s="756">
        <f>IF('Part IX Scoring Criteria'!$O$108='Part IX Scoring Criteria'!$M$108,$L55,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143578.79999999999</v>
      </c>
      <c r="H55" s="40" t="str">
        <f>CONCATENATE("x ", F55," units = ")</f>
        <v xml:space="preserve">x  units = </v>
      </c>
      <c r="I55" s="1323" t="str">
        <f>IF(F55="","",F55*G55)</f>
        <v/>
      </c>
      <c r="J55" s="42"/>
      <c r="K55" s="1322" t="str">
        <f>IF('Part VI-Revenues &amp; Expenses'!$K$152 =0,"",'Part VI-Revenues &amp; Expenses'!$K$152)</f>
        <v/>
      </c>
      <c r="L55" s="756">
        <f>G55*(1+'DCA Underwriting Assumptions'!$Q$12)</f>
        <v>157936.68</v>
      </c>
      <c r="M55" s="40" t="str">
        <f>CONCATENATE("x ", K55," units = ")</f>
        <v xml:space="preserve">x  units = </v>
      </c>
      <c r="N55" s="1323" t="str">
        <f>IF(K55="","",K55*L55)</f>
        <v/>
      </c>
      <c r="O55" s="514"/>
      <c r="P55" s="953">
        <f>'Part IX Scoring Criteria'!O330</f>
        <v>0</v>
      </c>
      <c r="Q55" s="953">
        <f>'Part IX Scoring Criteria'!P330</f>
        <v>0</v>
      </c>
      <c r="R55" s="396"/>
      <c r="S55" s="3976"/>
      <c r="T55" s="3977"/>
      <c r="U55" s="3977"/>
      <c r="V55" s="3978"/>
      <c r="W55" s="432"/>
      <c r="AB55" s="436"/>
      <c r="AC55" s="436"/>
      <c r="AD55" s="436"/>
      <c r="AE55" s="436"/>
      <c r="AF55" s="436"/>
      <c r="AG55" s="577"/>
      <c r="AH55" s="430"/>
      <c r="AI55" s="430"/>
      <c r="AJ55" s="430"/>
      <c r="AK55" s="430"/>
      <c r="AL55" s="430"/>
      <c r="AM55" s="430"/>
      <c r="AN55" s="430"/>
      <c r="AO55" s="430"/>
      <c r="AP55" s="430"/>
      <c r="AQ55" s="430"/>
      <c r="AR55" s="430"/>
      <c r="AS55" s="430"/>
      <c r="AT55" s="430"/>
      <c r="AU55" s="430"/>
      <c r="AV55" s="430"/>
      <c r="AW55" s="430"/>
      <c r="AX55" s="430"/>
      <c r="AY55" s="430"/>
      <c r="AZ55" s="430"/>
      <c r="BA55" s="430"/>
      <c r="BB55" s="430"/>
      <c r="BC55" s="430"/>
      <c r="BD55" s="430"/>
      <c r="BE55" s="430"/>
      <c r="BF55" s="430"/>
      <c r="BG55" s="430"/>
      <c r="BH55" s="430"/>
      <c r="BI55" s="430"/>
      <c r="BJ55" s="430"/>
      <c r="BK55" s="430"/>
      <c r="BL55" s="430"/>
      <c r="BM55" s="430"/>
      <c r="BN55" s="430"/>
      <c r="BO55" s="430"/>
      <c r="BP55" s="430"/>
      <c r="BQ55" s="430"/>
      <c r="BR55" s="430"/>
      <c r="BS55" s="430"/>
      <c r="BT55" s="430"/>
      <c r="BU55" s="430"/>
      <c r="BV55" s="430"/>
      <c r="BW55" s="430"/>
      <c r="BX55" s="430"/>
      <c r="BY55" s="430"/>
      <c r="BZ55" s="430"/>
      <c r="CA55" s="430"/>
      <c r="CB55" s="430"/>
      <c r="CC55" s="430"/>
      <c r="CD55" s="430"/>
      <c r="CE55" s="430"/>
      <c r="CF55" s="430"/>
      <c r="CG55" s="430"/>
      <c r="CH55" s="430"/>
      <c r="CI55" s="430"/>
      <c r="CJ55" s="430"/>
      <c r="CK55" s="430"/>
      <c r="CL55" s="430"/>
      <c r="CM55" s="430"/>
      <c r="CN55" s="430"/>
      <c r="CO55" s="430"/>
      <c r="CP55" s="430"/>
      <c r="CQ55" s="430"/>
      <c r="CR55" s="430"/>
      <c r="CS55" s="430"/>
      <c r="CT55" s="430"/>
      <c r="CU55" s="430"/>
      <c r="CV55" s="430"/>
      <c r="CW55" s="430"/>
      <c r="CX55" s="430"/>
      <c r="CY55" s="430"/>
      <c r="CZ55" s="430"/>
      <c r="DA55" s="430"/>
      <c r="DB55" s="430"/>
      <c r="DC55" s="430"/>
      <c r="DD55" s="430"/>
      <c r="DE55" s="430"/>
      <c r="DF55" s="430"/>
      <c r="DG55" s="430"/>
      <c r="DH55" s="430"/>
      <c r="DI55" s="430"/>
      <c r="DJ55" s="430"/>
      <c r="DK55" s="430"/>
      <c r="DL55" s="430"/>
      <c r="DM55" s="430"/>
      <c r="DN55" s="430"/>
      <c r="DO55" s="430"/>
      <c r="DP55" s="430"/>
      <c r="DQ55" s="430"/>
      <c r="DR55" s="430"/>
      <c r="DS55" s="430"/>
      <c r="DT55" s="430"/>
      <c r="DU55" s="430"/>
      <c r="DV55" s="430"/>
      <c r="DW55" s="430"/>
      <c r="DX55" s="430"/>
      <c r="DY55" s="430"/>
      <c r="DZ55" s="430"/>
      <c r="EA55" s="430"/>
      <c r="EB55" s="430"/>
      <c r="EC55" s="430"/>
      <c r="ED55" s="430"/>
      <c r="EE55" s="430"/>
      <c r="EF55" s="430"/>
      <c r="EG55" s="430"/>
      <c r="EH55" s="430"/>
      <c r="EI55" s="430"/>
      <c r="EJ55" s="430"/>
      <c r="EK55" s="430"/>
      <c r="EL55" s="430"/>
      <c r="EM55" s="430"/>
      <c r="EN55" s="430"/>
      <c r="EO55" s="430"/>
      <c r="EP55" s="430"/>
      <c r="EQ55" s="430"/>
      <c r="ER55" s="430"/>
      <c r="ES55" s="430"/>
      <c r="ET55" s="430"/>
      <c r="EU55" s="430"/>
      <c r="EV55" s="430"/>
      <c r="EW55" s="430"/>
      <c r="EX55" s="430"/>
      <c r="EY55" s="430"/>
      <c r="EZ55" s="430"/>
      <c r="FA55" s="430"/>
      <c r="FB55" s="430"/>
      <c r="FC55" s="430"/>
      <c r="FD55" s="430"/>
      <c r="FE55" s="430"/>
      <c r="FF55" s="430"/>
      <c r="FG55" s="430"/>
      <c r="FH55" s="430"/>
      <c r="FI55" s="430"/>
      <c r="FJ55" s="430"/>
      <c r="FK55" s="430"/>
      <c r="FL55" s="430"/>
      <c r="FM55" s="430"/>
      <c r="FN55" s="430"/>
      <c r="FO55" s="430"/>
      <c r="FP55" s="430"/>
      <c r="FQ55" s="430"/>
      <c r="FR55" s="430"/>
      <c r="FS55" s="430"/>
      <c r="FT55" s="430"/>
      <c r="FU55" s="430"/>
      <c r="FV55" s="430"/>
      <c r="FW55" s="430"/>
      <c r="FX55" s="430"/>
      <c r="FY55" s="430"/>
      <c r="FZ55" s="430"/>
      <c r="GA55" s="430"/>
      <c r="GB55" s="430"/>
      <c r="GC55" s="430"/>
      <c r="GD55" s="430"/>
      <c r="GE55" s="430"/>
      <c r="GF55" s="430"/>
      <c r="GG55" s="430"/>
      <c r="GH55" s="430"/>
      <c r="GI55" s="430"/>
      <c r="GJ55" s="430"/>
      <c r="GK55" s="430"/>
      <c r="GL55" s="430"/>
      <c r="GM55" s="430"/>
      <c r="GN55" s="430"/>
      <c r="GO55" s="430"/>
      <c r="GP55" s="430"/>
      <c r="GQ55" s="430"/>
      <c r="GR55" s="430"/>
      <c r="GS55" s="430"/>
      <c r="GT55" s="430"/>
      <c r="GU55" s="430"/>
      <c r="GV55" s="430"/>
      <c r="GW55" s="430"/>
      <c r="GX55" s="430"/>
      <c r="GY55" s="430"/>
      <c r="GZ55" s="430"/>
      <c r="HA55" s="430"/>
      <c r="HB55" s="430"/>
      <c r="HC55" s="430"/>
      <c r="HD55" s="430"/>
      <c r="HE55" s="430"/>
      <c r="HF55" s="430"/>
      <c r="HG55" s="430"/>
      <c r="HH55" s="430"/>
      <c r="HI55" s="430"/>
      <c r="HJ55" s="430"/>
      <c r="HK55" s="430"/>
      <c r="HL55" s="430"/>
      <c r="HM55" s="430"/>
      <c r="HN55" s="430"/>
      <c r="HO55" s="430"/>
      <c r="HP55" s="430"/>
      <c r="HQ55" s="430"/>
      <c r="HR55" s="430"/>
      <c r="HS55" s="430"/>
      <c r="HT55" s="430"/>
      <c r="HU55" s="430"/>
      <c r="HV55" s="430"/>
      <c r="HW55" s="430"/>
      <c r="HX55" s="430"/>
      <c r="HY55" s="430"/>
      <c r="HZ55" s="430"/>
      <c r="IA55" s="430"/>
      <c r="IB55" s="430"/>
      <c r="IC55" s="430"/>
      <c r="ID55" s="430"/>
      <c r="IE55" s="430"/>
      <c r="IF55" s="430"/>
      <c r="IG55" s="430"/>
      <c r="IH55" s="430"/>
      <c r="II55" s="430"/>
      <c r="IJ55" s="434"/>
      <c r="IK55" s="434"/>
      <c r="IL55" s="430"/>
      <c r="IM55" s="430"/>
      <c r="IN55" s="430"/>
      <c r="IO55" s="430"/>
      <c r="IP55" s="430"/>
      <c r="IQ55" s="430"/>
      <c r="IR55" s="430"/>
      <c r="IS55" s="430"/>
      <c r="IT55" s="430"/>
      <c r="IU55" s="430"/>
      <c r="IV55" s="430"/>
      <c r="IW55" s="430"/>
      <c r="IX55" s="430"/>
      <c r="IY55" s="430"/>
      <c r="IZ55" s="430"/>
      <c r="JA55" s="434"/>
      <c r="JB55" s="430"/>
      <c r="JC55" s="430"/>
      <c r="JD55" s="146"/>
      <c r="JE55" s="146"/>
      <c r="JF55" s="146"/>
      <c r="JG55" s="146"/>
      <c r="JH55" s="146"/>
      <c r="JI55" s="146"/>
      <c r="JJ55" s="146"/>
      <c r="JK55" s="146"/>
      <c r="JL55" s="146"/>
      <c r="JM55" s="146"/>
      <c r="JN55" s="146"/>
      <c r="JO55" s="146"/>
      <c r="JP55" s="146"/>
      <c r="JQ55" s="146"/>
      <c r="JR55" s="146"/>
      <c r="JS55" s="146"/>
      <c r="JT55" s="146"/>
      <c r="JU55" s="146"/>
      <c r="JV55" s="146"/>
      <c r="JW55" s="146"/>
      <c r="JX55" s="146"/>
      <c r="JY55" s="146"/>
      <c r="JZ55" s="146"/>
      <c r="KA55" s="146"/>
      <c r="KB55" s="146"/>
      <c r="KC55" s="146"/>
      <c r="KD55" s="146"/>
      <c r="KE55" s="146"/>
      <c r="KF55" s="146"/>
      <c r="KG55" s="146"/>
      <c r="KH55" s="146"/>
      <c r="KI55" s="146"/>
    </row>
    <row r="56" spans="1:295" s="82" customFormat="1" ht="12" customHeight="1">
      <c r="A56" s="8"/>
      <c r="B56" s="8"/>
      <c r="C56" s="1"/>
      <c r="D56" s="754" t="s">
        <v>2328</v>
      </c>
      <c r="E56" s="755">
        <v>1</v>
      </c>
      <c r="F56" s="1322">
        <f>IF('Part VI-Revenues &amp; Expenses'!$L$151 =0,"",'Part VI-Revenues &amp; Expenses'!$L$151)</f>
        <v>16</v>
      </c>
      <c r="G56" s="756">
        <f>IF('Part IX Scoring Criteria'!$O$108='Part IX Scoring Criteria'!$M$108,$L56,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187459.19999999998</v>
      </c>
      <c r="H56" s="40" t="str">
        <f>CONCATENATE("x ", F56," units = ")</f>
        <v xml:space="preserve">x 16 units = </v>
      </c>
      <c r="I56" s="1323">
        <f>IF(F56="","",F56*G56)</f>
        <v>2999347.1999999997</v>
      </c>
      <c r="J56" s="42"/>
      <c r="K56" s="1322" t="str">
        <f>IF('Part VI-Revenues &amp; Expenses'!$L$152 =0,"",'Part VI-Revenues &amp; Expenses'!$L$152)</f>
        <v/>
      </c>
      <c r="L56" s="756">
        <f>G56*(1+'DCA Underwriting Assumptions'!$Q$12)</f>
        <v>206205.12</v>
      </c>
      <c r="M56" s="40" t="str">
        <f>CONCATENATE("x ", K56," units = ")</f>
        <v xml:space="preserve">x  units = </v>
      </c>
      <c r="N56" s="1323" t="str">
        <f>IF(K56="","",K56*L56)</f>
        <v/>
      </c>
      <c r="P56" s="4037" t="s">
        <v>3282</v>
      </c>
      <c r="Q56" s="4037"/>
      <c r="S56" s="3976"/>
      <c r="T56" s="3977"/>
      <c r="U56" s="3977"/>
      <c r="V56" s="3978"/>
      <c r="W56" s="432"/>
      <c r="AB56" s="436"/>
      <c r="AC56" s="436"/>
      <c r="AD56" s="436"/>
      <c r="AE56" s="436"/>
      <c r="AF56" s="436"/>
      <c r="AG56" s="577"/>
      <c r="AH56" s="430"/>
      <c r="AI56" s="430"/>
      <c r="AJ56" s="430"/>
      <c r="AK56" s="430"/>
      <c r="AL56" s="430"/>
      <c r="AM56" s="430"/>
      <c r="AN56" s="430"/>
      <c r="AO56" s="430"/>
      <c r="AP56" s="430"/>
      <c r="AQ56" s="430"/>
      <c r="AR56" s="430"/>
      <c r="AS56" s="430"/>
      <c r="AT56" s="430"/>
      <c r="AU56" s="430"/>
      <c r="AV56" s="430"/>
      <c r="AW56" s="430"/>
      <c r="AX56" s="430"/>
      <c r="AY56" s="430"/>
      <c r="AZ56" s="430"/>
      <c r="BA56" s="430"/>
      <c r="BB56" s="430"/>
      <c r="BC56" s="430"/>
      <c r="BD56" s="430"/>
      <c r="BE56" s="430"/>
      <c r="BF56" s="430"/>
      <c r="BG56" s="430"/>
      <c r="BH56" s="430"/>
      <c r="BI56" s="430"/>
      <c r="BJ56" s="430"/>
      <c r="BK56" s="430"/>
      <c r="BL56" s="430"/>
      <c r="BM56" s="430"/>
      <c r="BN56" s="430"/>
      <c r="BO56" s="430"/>
      <c r="BP56" s="430"/>
      <c r="BQ56" s="430"/>
      <c r="BR56" s="430"/>
      <c r="BS56" s="430"/>
      <c r="BT56" s="430"/>
      <c r="BU56" s="430"/>
      <c r="BV56" s="430"/>
      <c r="BW56" s="430"/>
      <c r="BX56" s="430"/>
      <c r="BY56" s="430"/>
      <c r="BZ56" s="430"/>
      <c r="CA56" s="430"/>
      <c r="CB56" s="430"/>
      <c r="CC56" s="430"/>
      <c r="CD56" s="430"/>
      <c r="CE56" s="430"/>
      <c r="CF56" s="430"/>
      <c r="CG56" s="430"/>
      <c r="CH56" s="430"/>
      <c r="CI56" s="430"/>
      <c r="CJ56" s="430"/>
      <c r="CK56" s="430"/>
      <c r="CL56" s="430"/>
      <c r="CM56" s="430"/>
      <c r="CN56" s="430"/>
      <c r="CO56" s="430"/>
      <c r="CP56" s="430"/>
      <c r="CQ56" s="430"/>
      <c r="CR56" s="430"/>
      <c r="CS56" s="430"/>
      <c r="CT56" s="430"/>
      <c r="CU56" s="430"/>
      <c r="CV56" s="430"/>
      <c r="CW56" s="430"/>
      <c r="CX56" s="430"/>
      <c r="CY56" s="430"/>
      <c r="CZ56" s="430"/>
      <c r="DA56" s="430"/>
      <c r="DB56" s="430"/>
      <c r="DC56" s="430"/>
      <c r="DD56" s="430"/>
      <c r="DE56" s="430"/>
      <c r="DF56" s="430"/>
      <c r="DG56" s="430"/>
      <c r="DH56" s="430"/>
      <c r="DI56" s="430"/>
      <c r="DJ56" s="430"/>
      <c r="DK56" s="430"/>
      <c r="DL56" s="430"/>
      <c r="DM56" s="430"/>
      <c r="DN56" s="430"/>
      <c r="DO56" s="430"/>
      <c r="DP56" s="430"/>
      <c r="DQ56" s="430"/>
      <c r="DR56" s="430"/>
      <c r="DS56" s="430"/>
      <c r="DT56" s="430"/>
      <c r="DU56" s="430"/>
      <c r="DV56" s="430"/>
      <c r="DW56" s="430"/>
      <c r="DX56" s="430"/>
      <c r="DY56" s="430"/>
      <c r="DZ56" s="430"/>
      <c r="EA56" s="430"/>
      <c r="EB56" s="430"/>
      <c r="EC56" s="430"/>
      <c r="ED56" s="430"/>
      <c r="EE56" s="430"/>
      <c r="EF56" s="430"/>
      <c r="EG56" s="430"/>
      <c r="EH56" s="430"/>
      <c r="EI56" s="430"/>
      <c r="EJ56" s="430"/>
      <c r="EK56" s="430"/>
      <c r="EL56" s="430"/>
      <c r="EM56" s="430"/>
      <c r="EN56" s="430"/>
      <c r="EO56" s="430"/>
      <c r="EP56" s="430"/>
      <c r="EQ56" s="430"/>
      <c r="ER56" s="430"/>
      <c r="ES56" s="430"/>
      <c r="ET56" s="430"/>
      <c r="EU56" s="430"/>
      <c r="EV56" s="430"/>
      <c r="EW56" s="430"/>
      <c r="EX56" s="430"/>
      <c r="EY56" s="430"/>
      <c r="EZ56" s="430"/>
      <c r="FA56" s="430"/>
      <c r="FB56" s="430"/>
      <c r="FC56" s="430"/>
      <c r="FD56" s="430"/>
      <c r="FE56" s="430"/>
      <c r="FF56" s="430"/>
      <c r="FG56" s="430"/>
      <c r="FH56" s="430"/>
      <c r="FI56" s="430"/>
      <c r="FJ56" s="430"/>
      <c r="FK56" s="430"/>
      <c r="FL56" s="430"/>
      <c r="FM56" s="430"/>
      <c r="FN56" s="430"/>
      <c r="FO56" s="430"/>
      <c r="FP56" s="430"/>
      <c r="FQ56" s="430"/>
      <c r="FR56" s="430"/>
      <c r="FS56" s="430"/>
      <c r="FT56" s="430"/>
      <c r="FU56" s="430"/>
      <c r="FV56" s="430"/>
      <c r="FW56" s="430"/>
      <c r="FX56" s="430"/>
      <c r="FY56" s="430"/>
      <c r="FZ56" s="430"/>
      <c r="GA56" s="430"/>
      <c r="GB56" s="430"/>
      <c r="GC56" s="430"/>
      <c r="GD56" s="430"/>
      <c r="GE56" s="430"/>
      <c r="GF56" s="430"/>
      <c r="GG56" s="430"/>
      <c r="GH56" s="430"/>
      <c r="GI56" s="430"/>
      <c r="GJ56" s="430"/>
      <c r="GK56" s="430"/>
      <c r="GL56" s="430"/>
      <c r="GM56" s="430"/>
      <c r="GN56" s="430"/>
      <c r="GO56" s="430"/>
      <c r="GP56" s="430"/>
      <c r="GQ56" s="430"/>
      <c r="GR56" s="430"/>
      <c r="GS56" s="430"/>
      <c r="GT56" s="430"/>
      <c r="GU56" s="430"/>
      <c r="GV56" s="430"/>
      <c r="GW56" s="430"/>
      <c r="GX56" s="430"/>
      <c r="GY56" s="430"/>
      <c r="GZ56" s="430"/>
      <c r="HA56" s="430"/>
      <c r="HB56" s="430"/>
      <c r="HC56" s="430"/>
      <c r="HD56" s="430"/>
      <c r="HE56" s="430"/>
      <c r="HF56" s="430"/>
      <c r="HG56" s="430"/>
      <c r="HH56" s="430"/>
      <c r="HI56" s="430"/>
      <c r="HJ56" s="430"/>
      <c r="HK56" s="430"/>
      <c r="HL56" s="430"/>
      <c r="HM56" s="430"/>
      <c r="HN56" s="430"/>
      <c r="HO56" s="430"/>
      <c r="HP56" s="430"/>
      <c r="HQ56" s="430"/>
      <c r="HR56" s="430"/>
      <c r="HS56" s="430"/>
      <c r="HT56" s="430"/>
      <c r="HU56" s="430"/>
      <c r="HV56" s="430"/>
      <c r="HW56" s="430"/>
      <c r="HX56" s="430"/>
      <c r="HY56" s="430"/>
      <c r="HZ56" s="430"/>
      <c r="IA56" s="430"/>
      <c r="IB56" s="430"/>
      <c r="IC56" s="430"/>
      <c r="ID56" s="430"/>
      <c r="IE56" s="430"/>
      <c r="IF56" s="430"/>
      <c r="IG56" s="430"/>
      <c r="IH56" s="430"/>
      <c r="II56" s="430"/>
      <c r="IJ56" s="434"/>
      <c r="IK56" s="434"/>
      <c r="IL56" s="430"/>
      <c r="IM56" s="430"/>
      <c r="IN56" s="430"/>
      <c r="IO56" s="430"/>
      <c r="IP56" s="430"/>
      <c r="IQ56" s="430"/>
      <c r="IR56" s="430"/>
      <c r="IS56" s="430"/>
      <c r="IT56" s="430"/>
      <c r="IU56" s="430"/>
      <c r="IV56" s="430"/>
      <c r="IW56" s="430"/>
      <c r="IX56" s="430"/>
      <c r="IY56" s="430"/>
      <c r="IZ56" s="430"/>
      <c r="JA56" s="434"/>
      <c r="JB56" s="430"/>
      <c r="JC56" s="430"/>
      <c r="JD56" s="146"/>
      <c r="JE56" s="146"/>
      <c r="JF56" s="146"/>
      <c r="JG56" s="146"/>
      <c r="JH56" s="146"/>
      <c r="JI56" s="146"/>
      <c r="JJ56" s="146"/>
      <c r="JK56" s="146"/>
      <c r="JL56" s="146"/>
      <c r="JM56" s="146"/>
      <c r="JN56" s="146"/>
      <c r="JO56" s="146"/>
      <c r="JP56" s="146"/>
      <c r="JQ56" s="146"/>
      <c r="JR56" s="146"/>
      <c r="JS56" s="146"/>
      <c r="JT56" s="146"/>
      <c r="JU56" s="146"/>
      <c r="JV56" s="146"/>
      <c r="JW56" s="146"/>
      <c r="JX56" s="146"/>
      <c r="JY56" s="146"/>
      <c r="JZ56" s="146"/>
      <c r="KA56" s="146"/>
      <c r="KB56" s="146"/>
      <c r="KC56" s="146"/>
      <c r="KD56" s="146"/>
      <c r="KE56" s="146"/>
      <c r="KF56" s="146"/>
      <c r="KG56" s="146"/>
      <c r="KH56" s="146"/>
      <c r="KI56" s="146"/>
    </row>
    <row r="57" spans="1:295" s="82" customFormat="1" ht="12" customHeight="1">
      <c r="A57" s="8"/>
      <c r="B57" s="8"/>
      <c r="C57" s="1"/>
      <c r="D57" s="754" t="s">
        <v>2329</v>
      </c>
      <c r="E57" s="755">
        <v>2</v>
      </c>
      <c r="F57" s="1322">
        <f>IF('Part VI-Revenues &amp; Expenses'!$M$151 =0,"",'Part VI-Revenues &amp; Expenses'!$M$151)</f>
        <v>36</v>
      </c>
      <c r="G57" s="756">
        <f>IF('Part IX Scoring Criteria'!$O$108='Part IX Scoring Criteria'!$M$108,$L57,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237149.55</v>
      </c>
      <c r="H57" s="40" t="str">
        <f>CONCATENATE("x ", F57," units = ")</f>
        <v xml:space="preserve">x 36 units = </v>
      </c>
      <c r="I57" s="1323">
        <f>IF(F57="","",F57*G57)</f>
        <v>8537383.7999999989</v>
      </c>
      <c r="J57" s="42"/>
      <c r="K57" s="1322" t="str">
        <f>IF('Part VI-Revenues &amp; Expenses'!$M$152 =0,"",'Part VI-Revenues &amp; Expenses'!$M$152)</f>
        <v/>
      </c>
      <c r="L57" s="756">
        <f>G57*(1+'DCA Underwriting Assumptions'!$Q$12)</f>
        <v>260864.505</v>
      </c>
      <c r="M57" s="40" t="str">
        <f>CONCATENATE("x ", K57," units = ")</f>
        <v xml:space="preserve">x  units = </v>
      </c>
      <c r="N57" s="1323" t="str">
        <f>IF(K57="","",K57*L57)</f>
        <v/>
      </c>
      <c r="P57" s="954" t="s">
        <v>3008</v>
      </c>
      <c r="Q57" s="954" t="s">
        <v>245</v>
      </c>
      <c r="S57" s="3976"/>
      <c r="T57" s="3977"/>
      <c r="U57" s="3977"/>
      <c r="V57" s="3978"/>
      <c r="W57" s="432"/>
      <c r="AB57" s="436"/>
      <c r="AC57" s="436"/>
      <c r="AD57" s="436"/>
      <c r="AE57" s="436"/>
      <c r="AF57" s="436"/>
      <c r="AG57" s="577"/>
      <c r="AH57" s="430"/>
      <c r="AI57" s="430"/>
      <c r="AJ57" s="430"/>
      <c r="AK57" s="430"/>
      <c r="AL57" s="430"/>
      <c r="AM57" s="430"/>
      <c r="AN57" s="430"/>
      <c r="AO57" s="430"/>
      <c r="AP57" s="430"/>
      <c r="AQ57" s="430"/>
      <c r="AR57" s="430"/>
      <c r="AS57" s="430"/>
      <c r="AT57" s="430"/>
      <c r="AU57" s="430"/>
      <c r="AV57" s="430"/>
      <c r="AW57" s="430"/>
      <c r="AX57" s="430"/>
      <c r="AY57" s="430"/>
      <c r="AZ57" s="430"/>
      <c r="BA57" s="430"/>
      <c r="BB57" s="430"/>
      <c r="BC57" s="430"/>
      <c r="BD57" s="430"/>
      <c r="BE57" s="430"/>
      <c r="BF57" s="430"/>
      <c r="BG57" s="430"/>
      <c r="BH57" s="430"/>
      <c r="BI57" s="430"/>
      <c r="BJ57" s="430"/>
      <c r="BK57" s="430"/>
      <c r="BL57" s="430"/>
      <c r="BM57" s="430"/>
      <c r="BN57" s="430"/>
      <c r="BO57" s="430"/>
      <c r="BP57" s="430"/>
      <c r="BQ57" s="430"/>
      <c r="BR57" s="430"/>
      <c r="BS57" s="430"/>
      <c r="BT57" s="430"/>
      <c r="BU57" s="430"/>
      <c r="BV57" s="430"/>
      <c r="BW57" s="430"/>
      <c r="BX57" s="430"/>
      <c r="BY57" s="430"/>
      <c r="BZ57" s="430"/>
      <c r="CA57" s="430"/>
      <c r="CB57" s="430"/>
      <c r="CC57" s="430"/>
      <c r="CD57" s="430"/>
      <c r="CE57" s="430"/>
      <c r="CF57" s="430"/>
      <c r="CG57" s="430"/>
      <c r="CH57" s="430"/>
      <c r="CI57" s="430"/>
      <c r="CJ57" s="430"/>
      <c r="CK57" s="430"/>
      <c r="CL57" s="430"/>
      <c r="CM57" s="430"/>
      <c r="CN57" s="430"/>
      <c r="CO57" s="430"/>
      <c r="CP57" s="430"/>
      <c r="CQ57" s="430"/>
      <c r="CR57" s="430"/>
      <c r="CS57" s="430"/>
      <c r="CT57" s="430"/>
      <c r="CU57" s="430"/>
      <c r="CV57" s="430"/>
      <c r="CW57" s="430"/>
      <c r="CX57" s="430"/>
      <c r="CY57" s="430"/>
      <c r="CZ57" s="430"/>
      <c r="DA57" s="430"/>
      <c r="DB57" s="430"/>
      <c r="DC57" s="430"/>
      <c r="DD57" s="430"/>
      <c r="DE57" s="430"/>
      <c r="DF57" s="430"/>
      <c r="DG57" s="430"/>
      <c r="DH57" s="430"/>
      <c r="DI57" s="430"/>
      <c r="DJ57" s="430"/>
      <c r="DK57" s="430"/>
      <c r="DL57" s="430"/>
      <c r="DM57" s="430"/>
      <c r="DN57" s="430"/>
      <c r="DO57" s="430"/>
      <c r="DP57" s="430"/>
      <c r="DQ57" s="430"/>
      <c r="DR57" s="430"/>
      <c r="DS57" s="430"/>
      <c r="DT57" s="430"/>
      <c r="DU57" s="430"/>
      <c r="DV57" s="430"/>
      <c r="DW57" s="430"/>
      <c r="DX57" s="430"/>
      <c r="DY57" s="430"/>
      <c r="DZ57" s="430"/>
      <c r="EA57" s="430"/>
      <c r="EB57" s="430"/>
      <c r="EC57" s="430"/>
      <c r="ED57" s="430"/>
      <c r="EE57" s="430"/>
      <c r="EF57" s="430"/>
      <c r="EG57" s="430"/>
      <c r="EH57" s="430"/>
      <c r="EI57" s="430"/>
      <c r="EJ57" s="430"/>
      <c r="EK57" s="430"/>
      <c r="EL57" s="430"/>
      <c r="EM57" s="430"/>
      <c r="EN57" s="430"/>
      <c r="EO57" s="430"/>
      <c r="EP57" s="430"/>
      <c r="EQ57" s="430"/>
      <c r="ER57" s="430"/>
      <c r="ES57" s="430"/>
      <c r="ET57" s="430"/>
      <c r="EU57" s="430"/>
      <c r="EV57" s="430"/>
      <c r="EW57" s="430"/>
      <c r="EX57" s="430"/>
      <c r="EY57" s="430"/>
      <c r="EZ57" s="430"/>
      <c r="FA57" s="430"/>
      <c r="FB57" s="430"/>
      <c r="FC57" s="430"/>
      <c r="FD57" s="430"/>
      <c r="FE57" s="430"/>
      <c r="FF57" s="430"/>
      <c r="FG57" s="430"/>
      <c r="FH57" s="430"/>
      <c r="FI57" s="430"/>
      <c r="FJ57" s="430"/>
      <c r="FK57" s="430"/>
      <c r="FL57" s="430"/>
      <c r="FM57" s="430"/>
      <c r="FN57" s="430"/>
      <c r="FO57" s="430"/>
      <c r="FP57" s="430"/>
      <c r="FQ57" s="430"/>
      <c r="FR57" s="430"/>
      <c r="FS57" s="430"/>
      <c r="FT57" s="430"/>
      <c r="FU57" s="430"/>
      <c r="FV57" s="430"/>
      <c r="FW57" s="430"/>
      <c r="FX57" s="430"/>
      <c r="FY57" s="430"/>
      <c r="FZ57" s="430"/>
      <c r="GA57" s="430"/>
      <c r="GB57" s="430"/>
      <c r="GC57" s="430"/>
      <c r="GD57" s="430"/>
      <c r="GE57" s="430"/>
      <c r="GF57" s="430"/>
      <c r="GG57" s="430"/>
      <c r="GH57" s="430"/>
      <c r="GI57" s="430"/>
      <c r="GJ57" s="430"/>
      <c r="GK57" s="430"/>
      <c r="GL57" s="430"/>
      <c r="GM57" s="430"/>
      <c r="GN57" s="430"/>
      <c r="GO57" s="430"/>
      <c r="GP57" s="430"/>
      <c r="GQ57" s="430"/>
      <c r="GR57" s="430"/>
      <c r="GS57" s="430"/>
      <c r="GT57" s="430"/>
      <c r="GU57" s="430"/>
      <c r="GV57" s="430"/>
      <c r="GW57" s="430"/>
      <c r="GX57" s="430"/>
      <c r="GY57" s="430"/>
      <c r="GZ57" s="430"/>
      <c r="HA57" s="430"/>
      <c r="HB57" s="430"/>
      <c r="HC57" s="430"/>
      <c r="HD57" s="430"/>
      <c r="HE57" s="430"/>
      <c r="HF57" s="430"/>
      <c r="HG57" s="430"/>
      <c r="HH57" s="430"/>
      <c r="HI57" s="430"/>
      <c r="HJ57" s="430"/>
      <c r="HK57" s="430"/>
      <c r="HL57" s="430"/>
      <c r="HM57" s="430"/>
      <c r="HN57" s="430"/>
      <c r="HO57" s="430"/>
      <c r="HP57" s="430"/>
      <c r="HQ57" s="430"/>
      <c r="HR57" s="430"/>
      <c r="HS57" s="430"/>
      <c r="HT57" s="430"/>
      <c r="HU57" s="430"/>
      <c r="HV57" s="430"/>
      <c r="HW57" s="430"/>
      <c r="HX57" s="430"/>
      <c r="HY57" s="430"/>
      <c r="HZ57" s="430"/>
      <c r="IA57" s="430"/>
      <c r="IB57" s="430"/>
      <c r="IC57" s="430"/>
      <c r="ID57" s="430"/>
      <c r="IE57" s="430"/>
      <c r="IF57" s="430"/>
      <c r="IG57" s="430"/>
      <c r="IH57" s="430"/>
      <c r="II57" s="430"/>
      <c r="IJ57" s="434"/>
      <c r="IK57" s="434"/>
      <c r="IL57" s="430"/>
      <c r="IM57" s="430"/>
      <c r="IN57" s="430"/>
      <c r="IO57" s="430"/>
      <c r="IP57" s="430"/>
      <c r="IQ57" s="430"/>
      <c r="IR57" s="430"/>
      <c r="IS57" s="430"/>
      <c r="IT57" s="430"/>
      <c r="IU57" s="430"/>
      <c r="IV57" s="430"/>
      <c r="IW57" s="430"/>
      <c r="IX57" s="430"/>
      <c r="IY57" s="430"/>
      <c r="IZ57" s="430"/>
      <c r="JA57" s="434"/>
      <c r="JB57" s="430"/>
      <c r="JC57" s="430"/>
      <c r="JD57" s="146"/>
      <c r="JE57" s="146"/>
      <c r="JF57" s="146"/>
      <c r="JG57" s="146"/>
      <c r="JH57" s="146"/>
      <c r="JI57" s="146"/>
      <c r="JJ57" s="146"/>
      <c r="JK57" s="146"/>
      <c r="JL57" s="146"/>
      <c r="JM57" s="146"/>
      <c r="JN57" s="146"/>
      <c r="JO57" s="146"/>
      <c r="JP57" s="146"/>
      <c r="JQ57" s="146"/>
      <c r="JR57" s="146"/>
      <c r="JS57" s="146"/>
      <c r="JT57" s="146"/>
      <c r="JU57" s="146"/>
      <c r="JV57" s="146"/>
      <c r="JW57" s="146"/>
      <c r="JX57" s="146"/>
      <c r="JY57" s="146"/>
      <c r="JZ57" s="146"/>
      <c r="KA57" s="146"/>
      <c r="KB57" s="146"/>
      <c r="KC57" s="146"/>
      <c r="KD57" s="146"/>
      <c r="KE57" s="146"/>
      <c r="KF57" s="146"/>
      <c r="KG57" s="146"/>
      <c r="KH57" s="146"/>
      <c r="KI57" s="146"/>
    </row>
    <row r="58" spans="1:295" s="82" customFormat="1" ht="12" customHeight="1">
      <c r="A58" s="8"/>
      <c r="B58" s="8"/>
      <c r="C58" s="1"/>
      <c r="D58" s="754" t="s">
        <v>2330</v>
      </c>
      <c r="E58" s="755">
        <v>3</v>
      </c>
      <c r="F58" s="1322">
        <f>IF('Part VI-Revenues &amp; Expenses'!$N$151 =0,"",'Part VI-Revenues &amp; Expenses'!$N$151)</f>
        <v>20</v>
      </c>
      <c r="G58" s="756">
        <f>IF('Part IX Scoring Criteria'!$O$108='Part IX Scoring Criteria'!$M$108,$L58,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298701.7</v>
      </c>
      <c r="H58" s="40" t="str">
        <f>CONCATENATE("x ", F58," units = ")</f>
        <v xml:space="preserve">x 20 units = </v>
      </c>
      <c r="I58" s="1323">
        <f>IF(F58="","",F58*G58)</f>
        <v>5974034</v>
      </c>
      <c r="J58" s="42"/>
      <c r="K58" s="1322" t="str">
        <f>IF('Part VI-Revenues &amp; Expenses'!$N$152 =0,"",'Part VI-Revenues &amp; Expenses'!$N$152)</f>
        <v/>
      </c>
      <c r="L58" s="756">
        <f>G58*(1+'DCA Underwriting Assumptions'!$Q$12)</f>
        <v>328571.87000000005</v>
      </c>
      <c r="M58" s="40" t="str">
        <f>CONCATENATE("x ", K58," units = ")</f>
        <v xml:space="preserve">x  units = </v>
      </c>
      <c r="N58" s="1323" t="str">
        <f>IF(K58="","",K58*L58)</f>
        <v/>
      </c>
      <c r="O58" s="514"/>
      <c r="P58" s="953">
        <f>'Part IX Scoring Criteria'!O108</f>
        <v>2</v>
      </c>
      <c r="Q58" s="953">
        <f>'Part IX Scoring Criteria'!P108</f>
        <v>0</v>
      </c>
      <c r="S58" s="3976"/>
      <c r="T58" s="3977"/>
      <c r="U58" s="3977"/>
      <c r="V58" s="3978"/>
      <c r="W58" s="432"/>
      <c r="AB58" s="436"/>
      <c r="AC58" s="436"/>
      <c r="AD58" s="436"/>
      <c r="AE58" s="436"/>
      <c r="AF58" s="436"/>
      <c r="AG58" s="577"/>
      <c r="AH58" s="430"/>
      <c r="AI58" s="430"/>
      <c r="AJ58" s="430"/>
      <c r="AK58" s="430"/>
      <c r="AL58" s="430"/>
      <c r="AM58" s="430"/>
      <c r="AN58" s="430"/>
      <c r="AO58" s="430"/>
      <c r="AP58" s="430"/>
      <c r="AQ58" s="430"/>
      <c r="AR58" s="430"/>
      <c r="AS58" s="430"/>
      <c r="AT58" s="430"/>
      <c r="AU58" s="430"/>
      <c r="AV58" s="430"/>
      <c r="AW58" s="430"/>
      <c r="AX58" s="430"/>
      <c r="AY58" s="430"/>
      <c r="AZ58" s="430"/>
      <c r="BA58" s="430"/>
      <c r="BB58" s="430"/>
      <c r="BC58" s="430"/>
      <c r="BD58" s="430"/>
      <c r="BE58" s="430"/>
      <c r="BF58" s="430"/>
      <c r="BG58" s="430"/>
      <c r="BH58" s="430"/>
      <c r="BI58" s="430"/>
      <c r="BJ58" s="430"/>
      <c r="BK58" s="430"/>
      <c r="BL58" s="430"/>
      <c r="BM58" s="430"/>
      <c r="BN58" s="430"/>
      <c r="BO58" s="430"/>
      <c r="BP58" s="430"/>
      <c r="BQ58" s="430"/>
      <c r="BR58" s="430"/>
      <c r="BS58" s="430"/>
      <c r="BT58" s="430"/>
      <c r="BU58" s="430"/>
      <c r="BV58" s="430"/>
      <c r="BW58" s="430"/>
      <c r="BX58" s="430"/>
      <c r="BY58" s="430"/>
      <c r="BZ58" s="430"/>
      <c r="CA58" s="430"/>
      <c r="CB58" s="430"/>
      <c r="CC58" s="430"/>
      <c r="CD58" s="430"/>
      <c r="CE58" s="430"/>
      <c r="CF58" s="430"/>
      <c r="CG58" s="430"/>
      <c r="CH58" s="430"/>
      <c r="CI58" s="430"/>
      <c r="CJ58" s="430"/>
      <c r="CK58" s="430"/>
      <c r="CL58" s="430"/>
      <c r="CM58" s="430"/>
      <c r="CN58" s="430"/>
      <c r="CO58" s="430"/>
      <c r="CP58" s="430"/>
      <c r="CQ58" s="430"/>
      <c r="CR58" s="430"/>
      <c r="CS58" s="430"/>
      <c r="CT58" s="430"/>
      <c r="CU58" s="430"/>
      <c r="CV58" s="430"/>
      <c r="CW58" s="430"/>
      <c r="CX58" s="430"/>
      <c r="CY58" s="430"/>
      <c r="CZ58" s="430"/>
      <c r="DA58" s="430"/>
      <c r="DB58" s="430"/>
      <c r="DC58" s="430"/>
      <c r="DD58" s="430"/>
      <c r="DE58" s="430"/>
      <c r="DF58" s="430"/>
      <c r="DG58" s="430"/>
      <c r="DH58" s="430"/>
      <c r="DI58" s="430"/>
      <c r="DJ58" s="430"/>
      <c r="DK58" s="430"/>
      <c r="DL58" s="430"/>
      <c r="DM58" s="430"/>
      <c r="DN58" s="430"/>
      <c r="DO58" s="430"/>
      <c r="DP58" s="430"/>
      <c r="DQ58" s="430"/>
      <c r="DR58" s="430"/>
      <c r="DS58" s="430"/>
      <c r="DT58" s="430"/>
      <c r="DU58" s="430"/>
      <c r="DV58" s="430"/>
      <c r="DW58" s="430"/>
      <c r="DX58" s="430"/>
      <c r="DY58" s="430"/>
      <c r="DZ58" s="430"/>
      <c r="EA58" s="430"/>
      <c r="EB58" s="430"/>
      <c r="EC58" s="430"/>
      <c r="ED58" s="430"/>
      <c r="EE58" s="430"/>
      <c r="EF58" s="430"/>
      <c r="EG58" s="430"/>
      <c r="EH58" s="430"/>
      <c r="EI58" s="430"/>
      <c r="EJ58" s="430"/>
      <c r="EK58" s="430"/>
      <c r="EL58" s="430"/>
      <c r="EM58" s="430"/>
      <c r="EN58" s="430"/>
      <c r="EO58" s="430"/>
      <c r="EP58" s="430"/>
      <c r="EQ58" s="430"/>
      <c r="ER58" s="430"/>
      <c r="ES58" s="430"/>
      <c r="ET58" s="430"/>
      <c r="EU58" s="430"/>
      <c r="EV58" s="430"/>
      <c r="EW58" s="430"/>
      <c r="EX58" s="430"/>
      <c r="EY58" s="430"/>
      <c r="EZ58" s="430"/>
      <c r="FA58" s="430"/>
      <c r="FB58" s="430"/>
      <c r="FC58" s="430"/>
      <c r="FD58" s="430"/>
      <c r="FE58" s="430"/>
      <c r="FF58" s="430"/>
      <c r="FG58" s="430"/>
      <c r="FH58" s="430"/>
      <c r="FI58" s="430"/>
      <c r="FJ58" s="430"/>
      <c r="FK58" s="430"/>
      <c r="FL58" s="430"/>
      <c r="FM58" s="430"/>
      <c r="FN58" s="430"/>
      <c r="FO58" s="430"/>
      <c r="FP58" s="430"/>
      <c r="FQ58" s="430"/>
      <c r="FR58" s="430"/>
      <c r="FS58" s="430"/>
      <c r="FT58" s="430"/>
      <c r="FU58" s="430"/>
      <c r="FV58" s="430"/>
      <c r="FW58" s="430"/>
      <c r="FX58" s="430"/>
      <c r="FY58" s="430"/>
      <c r="FZ58" s="430"/>
      <c r="GA58" s="430"/>
      <c r="GB58" s="430"/>
      <c r="GC58" s="430"/>
      <c r="GD58" s="430"/>
      <c r="GE58" s="430"/>
      <c r="GF58" s="430"/>
      <c r="GG58" s="430"/>
      <c r="GH58" s="430"/>
      <c r="GI58" s="430"/>
      <c r="GJ58" s="430"/>
      <c r="GK58" s="430"/>
      <c r="GL58" s="430"/>
      <c r="GM58" s="430"/>
      <c r="GN58" s="430"/>
      <c r="GO58" s="430"/>
      <c r="GP58" s="430"/>
      <c r="GQ58" s="430"/>
      <c r="GR58" s="430"/>
      <c r="GS58" s="430"/>
      <c r="GT58" s="430"/>
      <c r="GU58" s="430"/>
      <c r="GV58" s="430"/>
      <c r="GW58" s="430"/>
      <c r="GX58" s="430"/>
      <c r="GY58" s="430"/>
      <c r="GZ58" s="430"/>
      <c r="HA58" s="430"/>
      <c r="HB58" s="430"/>
      <c r="HC58" s="430"/>
      <c r="HD58" s="430"/>
      <c r="HE58" s="430"/>
      <c r="HF58" s="430"/>
      <c r="HG58" s="430"/>
      <c r="HH58" s="430"/>
      <c r="HI58" s="430"/>
      <c r="HJ58" s="430"/>
      <c r="HK58" s="430"/>
      <c r="HL58" s="430"/>
      <c r="HM58" s="430"/>
      <c r="HN58" s="430"/>
      <c r="HO58" s="430"/>
      <c r="HP58" s="430"/>
      <c r="HQ58" s="430"/>
      <c r="HR58" s="430"/>
      <c r="HS58" s="430"/>
      <c r="HT58" s="430"/>
      <c r="HU58" s="430"/>
      <c r="HV58" s="430"/>
      <c r="HW58" s="430"/>
      <c r="HX58" s="430"/>
      <c r="HY58" s="430"/>
      <c r="HZ58" s="430"/>
      <c r="IA58" s="430"/>
      <c r="IB58" s="430"/>
      <c r="IC58" s="430"/>
      <c r="ID58" s="430"/>
      <c r="IE58" s="430"/>
      <c r="IF58" s="430"/>
      <c r="IG58" s="430"/>
      <c r="IH58" s="430"/>
      <c r="II58" s="430"/>
      <c r="IJ58" s="434"/>
      <c r="IK58" s="434"/>
      <c r="IL58" s="430"/>
      <c r="IM58" s="430"/>
      <c r="IN58" s="430"/>
      <c r="IO58" s="430"/>
      <c r="IP58" s="430"/>
      <c r="IQ58" s="430"/>
      <c r="IR58" s="430"/>
      <c r="IS58" s="430"/>
      <c r="IT58" s="430"/>
      <c r="IU58" s="430"/>
      <c r="IV58" s="430"/>
      <c r="IW58" s="430"/>
      <c r="IX58" s="430"/>
      <c r="IY58" s="430"/>
      <c r="IZ58" s="430"/>
      <c r="JA58" s="434"/>
      <c r="JB58" s="430"/>
      <c r="JC58" s="430"/>
      <c r="JD58" s="146"/>
      <c r="JE58" s="146"/>
      <c r="JF58" s="146"/>
      <c r="JG58" s="146"/>
      <c r="JH58" s="146"/>
      <c r="JI58" s="146"/>
      <c r="JJ58" s="146"/>
      <c r="JK58" s="146"/>
      <c r="JL58" s="146"/>
      <c r="JM58" s="146"/>
      <c r="JN58" s="146"/>
      <c r="JO58" s="146"/>
      <c r="JP58" s="146"/>
      <c r="JQ58" s="146"/>
      <c r="JR58" s="146"/>
      <c r="JS58" s="146"/>
      <c r="JT58" s="146"/>
      <c r="JU58" s="146"/>
      <c r="JV58" s="146"/>
      <c r="JW58" s="146"/>
      <c r="JX58" s="146"/>
      <c r="JY58" s="146"/>
      <c r="JZ58" s="146"/>
      <c r="KA58" s="146"/>
      <c r="KB58" s="146"/>
      <c r="KC58" s="146"/>
      <c r="KD58" s="146"/>
      <c r="KE58" s="146"/>
      <c r="KF58" s="146"/>
      <c r="KG58" s="146"/>
      <c r="KH58" s="146"/>
      <c r="KI58" s="146"/>
    </row>
    <row r="59" spans="1:295" s="82" customFormat="1" ht="12" customHeight="1">
      <c r="A59" s="8"/>
      <c r="B59" s="8"/>
      <c r="C59" s="1"/>
      <c r="D59" s="758" t="s">
        <v>2331</v>
      </c>
      <c r="E59" s="755">
        <v>4</v>
      </c>
      <c r="F59" s="1322" t="str">
        <f>IF('Part VI-Revenues &amp; Expenses'!$O$151 =0,"",'Part VI-Revenues &amp; Expenses'!$O$151)</f>
        <v/>
      </c>
      <c r="G59" s="756">
        <f>IF('Part IX Scoring Criteria'!$O$108='Part IX Scoring Criteria'!$M$108,$L59,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369862.9</v>
      </c>
      <c r="H59" s="40" t="str">
        <f>CONCATENATE("x ", F59," units = ")</f>
        <v xml:space="preserve">x  units = </v>
      </c>
      <c r="I59" s="1323" t="str">
        <f>IF(F59="","",F59*G59)</f>
        <v/>
      </c>
      <c r="J59" s="42"/>
      <c r="K59" s="1322" t="str">
        <f>IF('Part VI-Revenues &amp; Expenses'!$O$152 =0,"",'Part VI-Revenues &amp; Expenses'!$O$152)</f>
        <v/>
      </c>
      <c r="L59" s="756">
        <f>G59*(1+'DCA Underwriting Assumptions'!$Q$12)</f>
        <v>406849.19000000006</v>
      </c>
      <c r="M59" s="40" t="str">
        <f>CONCATENATE("x ", K59," units = ")</f>
        <v xml:space="preserve">x  units = </v>
      </c>
      <c r="N59" s="1323" t="str">
        <f>IF(K59="","",K59*L59)</f>
        <v/>
      </c>
      <c r="O59" s="514"/>
      <c r="P59" s="4038" t="s">
        <v>2596</v>
      </c>
      <c r="Q59" s="4038"/>
      <c r="S59" s="3976"/>
      <c r="T59" s="3977"/>
      <c r="U59" s="3977"/>
      <c r="V59" s="3978"/>
      <c r="W59" s="432"/>
      <c r="AB59" s="436"/>
      <c r="AC59" s="436"/>
      <c r="AD59" s="436"/>
      <c r="AE59" s="436"/>
      <c r="AF59" s="436"/>
      <c r="AG59" s="577"/>
      <c r="AH59" s="430"/>
      <c r="AI59" s="430"/>
      <c r="AJ59" s="430"/>
      <c r="AK59" s="430"/>
      <c r="AL59" s="430"/>
      <c r="AM59" s="430"/>
      <c r="AN59" s="430"/>
      <c r="AO59" s="430"/>
      <c r="AP59" s="430"/>
      <c r="AQ59" s="430"/>
      <c r="AR59" s="430"/>
      <c r="AS59" s="430"/>
      <c r="AT59" s="430"/>
      <c r="AU59" s="430"/>
      <c r="AV59" s="430"/>
      <c r="AW59" s="430"/>
      <c r="AX59" s="430"/>
      <c r="AY59" s="430"/>
      <c r="AZ59" s="430"/>
      <c r="BA59" s="430"/>
      <c r="BB59" s="430"/>
      <c r="BC59" s="430"/>
      <c r="BD59" s="430"/>
      <c r="BE59" s="430"/>
      <c r="BF59" s="430"/>
      <c r="BG59" s="430"/>
      <c r="BH59" s="430"/>
      <c r="BI59" s="430"/>
      <c r="BJ59" s="430"/>
      <c r="BK59" s="430"/>
      <c r="BL59" s="430"/>
      <c r="BM59" s="430"/>
      <c r="BN59" s="430"/>
      <c r="BO59" s="430"/>
      <c r="BP59" s="430"/>
      <c r="BQ59" s="430"/>
      <c r="BR59" s="430"/>
      <c r="BS59" s="430"/>
      <c r="BT59" s="430"/>
      <c r="BU59" s="430"/>
      <c r="BV59" s="430"/>
      <c r="BW59" s="430"/>
      <c r="BX59" s="430"/>
      <c r="BY59" s="430"/>
      <c r="BZ59" s="430"/>
      <c r="CA59" s="430"/>
      <c r="CB59" s="430"/>
      <c r="CC59" s="430"/>
      <c r="CD59" s="430"/>
      <c r="CE59" s="430"/>
      <c r="CF59" s="430"/>
      <c r="CG59" s="430"/>
      <c r="CH59" s="430"/>
      <c r="CI59" s="430"/>
      <c r="CJ59" s="430"/>
      <c r="CK59" s="430"/>
      <c r="CL59" s="430"/>
      <c r="CM59" s="430"/>
      <c r="CN59" s="430"/>
      <c r="CO59" s="430"/>
      <c r="CP59" s="430"/>
      <c r="CQ59" s="430"/>
      <c r="CR59" s="430"/>
      <c r="CS59" s="430"/>
      <c r="CT59" s="430"/>
      <c r="CU59" s="430"/>
      <c r="CV59" s="430"/>
      <c r="CW59" s="430"/>
      <c r="CX59" s="430"/>
      <c r="CY59" s="430"/>
      <c r="CZ59" s="430"/>
      <c r="DA59" s="430"/>
      <c r="DB59" s="430"/>
      <c r="DC59" s="430"/>
      <c r="DD59" s="430"/>
      <c r="DE59" s="430"/>
      <c r="DF59" s="430"/>
      <c r="DG59" s="430"/>
      <c r="DH59" s="430"/>
      <c r="DI59" s="430"/>
      <c r="DJ59" s="430"/>
      <c r="DK59" s="430"/>
      <c r="DL59" s="430"/>
      <c r="DM59" s="430"/>
      <c r="DN59" s="430"/>
      <c r="DO59" s="430"/>
      <c r="DP59" s="430"/>
      <c r="DQ59" s="430"/>
      <c r="DR59" s="430"/>
      <c r="DS59" s="430"/>
      <c r="DT59" s="430"/>
      <c r="DU59" s="430"/>
      <c r="DV59" s="430"/>
      <c r="DW59" s="430"/>
      <c r="DX59" s="430"/>
      <c r="DY59" s="430"/>
      <c r="DZ59" s="430"/>
      <c r="EA59" s="430"/>
      <c r="EB59" s="430"/>
      <c r="EC59" s="430"/>
      <c r="ED59" s="430"/>
      <c r="EE59" s="430"/>
      <c r="EF59" s="430"/>
      <c r="EG59" s="430"/>
      <c r="EH59" s="430"/>
      <c r="EI59" s="430"/>
      <c r="EJ59" s="430"/>
      <c r="EK59" s="430"/>
      <c r="EL59" s="430"/>
      <c r="EM59" s="430"/>
      <c r="EN59" s="430"/>
      <c r="EO59" s="430"/>
      <c r="EP59" s="430"/>
      <c r="EQ59" s="430"/>
      <c r="ER59" s="430"/>
      <c r="ES59" s="430"/>
      <c r="ET59" s="430"/>
      <c r="EU59" s="430"/>
      <c r="EV59" s="430"/>
      <c r="EW59" s="430"/>
      <c r="EX59" s="430"/>
      <c r="EY59" s="430"/>
      <c r="EZ59" s="430"/>
      <c r="FA59" s="430"/>
      <c r="FB59" s="430"/>
      <c r="FC59" s="430"/>
      <c r="FD59" s="430"/>
      <c r="FE59" s="430"/>
      <c r="FF59" s="430"/>
      <c r="FG59" s="430"/>
      <c r="FH59" s="430"/>
      <c r="FI59" s="430"/>
      <c r="FJ59" s="430"/>
      <c r="FK59" s="430"/>
      <c r="FL59" s="430"/>
      <c r="FM59" s="430"/>
      <c r="FN59" s="430"/>
      <c r="FO59" s="430"/>
      <c r="FP59" s="430"/>
      <c r="FQ59" s="430"/>
      <c r="FR59" s="430"/>
      <c r="FS59" s="430"/>
      <c r="FT59" s="430"/>
      <c r="FU59" s="430"/>
      <c r="FV59" s="430"/>
      <c r="FW59" s="430"/>
      <c r="FX59" s="430"/>
      <c r="FY59" s="430"/>
      <c r="FZ59" s="430"/>
      <c r="GA59" s="430"/>
      <c r="GB59" s="430"/>
      <c r="GC59" s="430"/>
      <c r="GD59" s="430"/>
      <c r="GE59" s="430"/>
      <c r="GF59" s="430"/>
      <c r="GG59" s="430"/>
      <c r="GH59" s="430"/>
      <c r="GI59" s="430"/>
      <c r="GJ59" s="430"/>
      <c r="GK59" s="430"/>
      <c r="GL59" s="430"/>
      <c r="GM59" s="430"/>
      <c r="GN59" s="430"/>
      <c r="GO59" s="430"/>
      <c r="GP59" s="430"/>
      <c r="GQ59" s="430"/>
      <c r="GR59" s="430"/>
      <c r="GS59" s="430"/>
      <c r="GT59" s="430"/>
      <c r="GU59" s="430"/>
      <c r="GV59" s="430"/>
      <c r="GW59" s="430"/>
      <c r="GX59" s="430"/>
      <c r="GY59" s="430"/>
      <c r="GZ59" s="430"/>
      <c r="HA59" s="430"/>
      <c r="HB59" s="430"/>
      <c r="HC59" s="430"/>
      <c r="HD59" s="430"/>
      <c r="HE59" s="430"/>
      <c r="HF59" s="430"/>
      <c r="HG59" s="430"/>
      <c r="HH59" s="430"/>
      <c r="HI59" s="430"/>
      <c r="HJ59" s="430"/>
      <c r="HK59" s="430"/>
      <c r="HL59" s="430"/>
      <c r="HM59" s="430"/>
      <c r="HN59" s="430"/>
      <c r="HO59" s="430"/>
      <c r="HP59" s="430"/>
      <c r="HQ59" s="430"/>
      <c r="HR59" s="430"/>
      <c r="HS59" s="430"/>
      <c r="HT59" s="430"/>
      <c r="HU59" s="430"/>
      <c r="HV59" s="430"/>
      <c r="HW59" s="430"/>
      <c r="HX59" s="430"/>
      <c r="HY59" s="430"/>
      <c r="HZ59" s="430"/>
      <c r="IA59" s="430"/>
      <c r="IB59" s="430"/>
      <c r="IC59" s="430"/>
      <c r="ID59" s="430"/>
      <c r="IE59" s="430"/>
      <c r="IF59" s="430"/>
      <c r="IG59" s="430"/>
      <c r="IH59" s="430"/>
      <c r="II59" s="430"/>
      <c r="IJ59" s="434"/>
      <c r="IK59" s="434"/>
      <c r="IL59" s="430"/>
      <c r="IM59" s="430"/>
      <c r="IN59" s="430"/>
      <c r="IO59" s="430"/>
      <c r="IP59" s="430"/>
      <c r="IQ59" s="430"/>
      <c r="IR59" s="430"/>
      <c r="IS59" s="430"/>
      <c r="IT59" s="430"/>
      <c r="IU59" s="430"/>
      <c r="IV59" s="430"/>
      <c r="IW59" s="430"/>
      <c r="IX59" s="430"/>
      <c r="IY59" s="430"/>
      <c r="IZ59" s="430"/>
      <c r="JA59" s="434"/>
      <c r="JB59" s="430"/>
      <c r="JC59" s="430"/>
      <c r="JD59" s="146"/>
      <c r="JE59" s="146"/>
      <c r="JF59" s="146"/>
      <c r="JG59" s="146"/>
      <c r="JH59" s="146"/>
      <c r="JI59" s="146"/>
      <c r="JJ59" s="146"/>
      <c r="JK59" s="146"/>
      <c r="JL59" s="146"/>
      <c r="JM59" s="146"/>
      <c r="JN59" s="146"/>
      <c r="JO59" s="146"/>
      <c r="JP59" s="146"/>
      <c r="JQ59" s="146"/>
      <c r="JR59" s="146"/>
      <c r="JS59" s="146"/>
      <c r="JT59" s="146"/>
      <c r="JU59" s="146"/>
      <c r="JV59" s="146"/>
      <c r="JW59" s="146"/>
      <c r="JX59" s="146"/>
      <c r="JY59" s="146"/>
      <c r="JZ59" s="146"/>
      <c r="KA59" s="146"/>
      <c r="KB59" s="146"/>
      <c r="KC59" s="146"/>
      <c r="KD59" s="146"/>
      <c r="KE59" s="146"/>
      <c r="KF59" s="146"/>
      <c r="KG59" s="146"/>
      <c r="KH59" s="146"/>
      <c r="KI59" s="146"/>
    </row>
    <row r="60" spans="1:295" s="82" customFormat="1" ht="12" customHeight="1">
      <c r="A60" s="8"/>
      <c r="B60" s="8"/>
      <c r="C60" s="1"/>
      <c r="D60" s="527" t="s">
        <v>3121</v>
      </c>
      <c r="E60" s="131"/>
      <c r="F60" s="946">
        <f>SUM(F55:F59)</f>
        <v>72</v>
      </c>
      <c r="G60" s="562"/>
      <c r="H60" s="947"/>
      <c r="I60" s="948">
        <f>SUM(I55:I59)</f>
        <v>17510765</v>
      </c>
      <c r="J60" s="949"/>
      <c r="K60" s="946">
        <f>SUM(K55:K59)</f>
        <v>0</v>
      </c>
      <c r="L60" s="949"/>
      <c r="M60" s="947"/>
      <c r="N60" s="948">
        <f>SUM(N55:N59)</f>
        <v>0</v>
      </c>
      <c r="O60" s="514"/>
      <c r="P60" s="4038"/>
      <c r="Q60" s="4038"/>
      <c r="S60" s="3976"/>
      <c r="T60" s="3977"/>
      <c r="U60" s="3977"/>
      <c r="V60" s="3978"/>
      <c r="W60" s="432"/>
      <c r="AB60" s="436"/>
      <c r="AC60" s="436"/>
      <c r="AD60" s="436"/>
      <c r="AE60" s="436"/>
      <c r="AF60" s="436"/>
      <c r="AG60" s="577"/>
      <c r="AH60" s="430"/>
      <c r="AI60" s="430"/>
      <c r="AJ60" s="430"/>
      <c r="AK60" s="430"/>
      <c r="AL60" s="430"/>
      <c r="AM60" s="430"/>
      <c r="AN60" s="430"/>
      <c r="AO60" s="430"/>
      <c r="AP60" s="430"/>
      <c r="AQ60" s="430"/>
      <c r="AR60" s="430"/>
      <c r="AS60" s="430"/>
      <c r="AT60" s="430"/>
      <c r="AU60" s="430"/>
      <c r="AV60" s="430"/>
      <c r="AW60" s="430"/>
      <c r="AX60" s="430"/>
      <c r="AY60" s="430"/>
      <c r="AZ60" s="430"/>
      <c r="BA60" s="430"/>
      <c r="BB60" s="430"/>
      <c r="BC60" s="430"/>
      <c r="BD60" s="430"/>
      <c r="BE60" s="430"/>
      <c r="BF60" s="430"/>
      <c r="BG60" s="430"/>
      <c r="BH60" s="430"/>
      <c r="BI60" s="430"/>
      <c r="BJ60" s="430"/>
      <c r="BK60" s="430"/>
      <c r="BL60" s="430"/>
      <c r="BM60" s="430"/>
      <c r="BN60" s="430"/>
      <c r="BO60" s="430"/>
      <c r="BP60" s="430"/>
      <c r="BQ60" s="430"/>
      <c r="BR60" s="430"/>
      <c r="BS60" s="430"/>
      <c r="BT60" s="430"/>
      <c r="BU60" s="430"/>
      <c r="BV60" s="430"/>
      <c r="BW60" s="430"/>
      <c r="BX60" s="430"/>
      <c r="BY60" s="430"/>
      <c r="BZ60" s="430"/>
      <c r="CA60" s="430"/>
      <c r="CB60" s="430"/>
      <c r="CC60" s="430"/>
      <c r="CD60" s="430"/>
      <c r="CE60" s="430"/>
      <c r="CF60" s="430"/>
      <c r="CG60" s="430"/>
      <c r="CH60" s="430"/>
      <c r="CI60" s="430"/>
      <c r="CJ60" s="430"/>
      <c r="CK60" s="430"/>
      <c r="CL60" s="430"/>
      <c r="CM60" s="430"/>
      <c r="CN60" s="430"/>
      <c r="CO60" s="430"/>
      <c r="CP60" s="430"/>
      <c r="CQ60" s="430"/>
      <c r="CR60" s="430"/>
      <c r="CS60" s="430"/>
      <c r="CT60" s="430"/>
      <c r="CU60" s="430"/>
      <c r="CV60" s="430"/>
      <c r="CW60" s="430"/>
      <c r="CX60" s="430"/>
      <c r="CY60" s="430"/>
      <c r="CZ60" s="430"/>
      <c r="DA60" s="430"/>
      <c r="DB60" s="430"/>
      <c r="DC60" s="430"/>
      <c r="DD60" s="430"/>
      <c r="DE60" s="430"/>
      <c r="DF60" s="430"/>
      <c r="DG60" s="430"/>
      <c r="DH60" s="430"/>
      <c r="DI60" s="430"/>
      <c r="DJ60" s="430"/>
      <c r="DK60" s="430"/>
      <c r="DL60" s="430"/>
      <c r="DM60" s="430"/>
      <c r="DN60" s="430"/>
      <c r="DO60" s="430"/>
      <c r="DP60" s="430"/>
      <c r="DQ60" s="430"/>
      <c r="DR60" s="430"/>
      <c r="DS60" s="430"/>
      <c r="DT60" s="430"/>
      <c r="DU60" s="430"/>
      <c r="DV60" s="430"/>
      <c r="DW60" s="430"/>
      <c r="DX60" s="430"/>
      <c r="DY60" s="430"/>
      <c r="DZ60" s="430"/>
      <c r="EA60" s="430"/>
      <c r="EB60" s="430"/>
      <c r="EC60" s="430"/>
      <c r="ED60" s="430"/>
      <c r="EE60" s="430"/>
      <c r="EF60" s="430"/>
      <c r="EG60" s="430"/>
      <c r="EH60" s="430"/>
      <c r="EI60" s="430"/>
      <c r="EJ60" s="430"/>
      <c r="EK60" s="430"/>
      <c r="EL60" s="430"/>
      <c r="EM60" s="430"/>
      <c r="EN60" s="430"/>
      <c r="EO60" s="430"/>
      <c r="EP60" s="430"/>
      <c r="EQ60" s="430"/>
      <c r="ER60" s="430"/>
      <c r="ES60" s="430"/>
      <c r="ET60" s="430"/>
      <c r="EU60" s="430"/>
      <c r="EV60" s="430"/>
      <c r="EW60" s="430"/>
      <c r="EX60" s="430"/>
      <c r="EY60" s="430"/>
      <c r="EZ60" s="430"/>
      <c r="FA60" s="430"/>
      <c r="FB60" s="430"/>
      <c r="FC60" s="430"/>
      <c r="FD60" s="430"/>
      <c r="FE60" s="430"/>
      <c r="FF60" s="430"/>
      <c r="FG60" s="430"/>
      <c r="FH60" s="430"/>
      <c r="FI60" s="430"/>
      <c r="FJ60" s="430"/>
      <c r="FK60" s="430"/>
      <c r="FL60" s="430"/>
      <c r="FM60" s="430"/>
      <c r="FN60" s="430"/>
      <c r="FO60" s="430"/>
      <c r="FP60" s="430"/>
      <c r="FQ60" s="430"/>
      <c r="FR60" s="430"/>
      <c r="FS60" s="430"/>
      <c r="FT60" s="430"/>
      <c r="FU60" s="430"/>
      <c r="FV60" s="430"/>
      <c r="FW60" s="430"/>
      <c r="FX60" s="430"/>
      <c r="FY60" s="430"/>
      <c r="FZ60" s="430"/>
      <c r="GA60" s="430"/>
      <c r="GB60" s="430"/>
      <c r="GC60" s="430"/>
      <c r="GD60" s="430"/>
      <c r="GE60" s="430"/>
      <c r="GF60" s="430"/>
      <c r="GG60" s="430"/>
      <c r="GH60" s="430"/>
      <c r="GI60" s="430"/>
      <c r="GJ60" s="430"/>
      <c r="GK60" s="430"/>
      <c r="GL60" s="430"/>
      <c r="GM60" s="430"/>
      <c r="GN60" s="430"/>
      <c r="GO60" s="430"/>
      <c r="GP60" s="430"/>
      <c r="GQ60" s="430"/>
      <c r="GR60" s="430"/>
      <c r="GS60" s="430"/>
      <c r="GT60" s="430"/>
      <c r="GU60" s="430"/>
      <c r="GV60" s="430"/>
      <c r="GW60" s="430"/>
      <c r="GX60" s="430"/>
      <c r="GY60" s="430"/>
      <c r="GZ60" s="430"/>
      <c r="HA60" s="430"/>
      <c r="HB60" s="430"/>
      <c r="HC60" s="430"/>
      <c r="HD60" s="430"/>
      <c r="HE60" s="430"/>
      <c r="HF60" s="430"/>
      <c r="HG60" s="430"/>
      <c r="HH60" s="430"/>
      <c r="HI60" s="430"/>
      <c r="HJ60" s="430"/>
      <c r="HK60" s="430"/>
      <c r="HL60" s="430"/>
      <c r="HM60" s="430"/>
      <c r="HN60" s="430"/>
      <c r="HO60" s="430"/>
      <c r="HP60" s="430"/>
      <c r="HQ60" s="430"/>
      <c r="HR60" s="430"/>
      <c r="HS60" s="430"/>
      <c r="HT60" s="430"/>
      <c r="HU60" s="430"/>
      <c r="HV60" s="430"/>
      <c r="HW60" s="430"/>
      <c r="HX60" s="430"/>
      <c r="HY60" s="430"/>
      <c r="HZ60" s="430"/>
      <c r="IA60" s="430"/>
      <c r="IB60" s="430"/>
      <c r="IC60" s="430"/>
      <c r="ID60" s="430"/>
      <c r="IE60" s="430"/>
      <c r="IF60" s="430"/>
      <c r="IG60" s="430"/>
      <c r="IH60" s="430"/>
      <c r="II60" s="430"/>
      <c r="IJ60" s="434"/>
      <c r="IK60" s="434"/>
      <c r="IL60" s="430"/>
      <c r="IM60" s="430"/>
      <c r="IN60" s="430"/>
      <c r="IO60" s="430"/>
      <c r="IP60" s="430"/>
      <c r="IQ60" s="430"/>
      <c r="IR60" s="430"/>
      <c r="IS60" s="430"/>
      <c r="IT60" s="430"/>
      <c r="IU60" s="430"/>
      <c r="IV60" s="430"/>
      <c r="IW60" s="430"/>
      <c r="IX60" s="430"/>
      <c r="IY60" s="430"/>
      <c r="IZ60" s="430"/>
      <c r="JA60" s="434"/>
      <c r="JB60" s="430"/>
      <c r="JC60" s="430"/>
      <c r="JD60" s="146"/>
      <c r="JE60" s="146"/>
      <c r="JF60" s="146"/>
      <c r="JG60" s="146"/>
      <c r="JH60" s="146"/>
      <c r="JI60" s="146"/>
      <c r="JJ60" s="146"/>
      <c r="JK60" s="146"/>
      <c r="JL60" s="146"/>
      <c r="JM60" s="146"/>
      <c r="JN60" s="146"/>
      <c r="JO60" s="146"/>
      <c r="JP60" s="146"/>
      <c r="JQ60" s="146"/>
      <c r="JR60" s="146"/>
      <c r="JS60" s="146"/>
      <c r="JT60" s="146"/>
      <c r="JU60" s="146"/>
      <c r="JV60" s="146"/>
      <c r="JW60" s="146"/>
      <c r="JX60" s="146"/>
      <c r="JY60" s="146"/>
      <c r="JZ60" s="146"/>
      <c r="KA60" s="146"/>
      <c r="KB60" s="146"/>
      <c r="KC60" s="146"/>
      <c r="KD60" s="146"/>
      <c r="KE60" s="146"/>
      <c r="KF60" s="146"/>
      <c r="KG60" s="146"/>
      <c r="KH60" s="146"/>
      <c r="KI60" s="146"/>
    </row>
    <row r="61" spans="1:295" s="82" customFormat="1" ht="12" customHeight="1">
      <c r="A61" s="8"/>
      <c r="C61" s="1"/>
      <c r="D61" s="495"/>
      <c r="E61" s="495"/>
      <c r="F61" s="563"/>
      <c r="G61" s="138"/>
      <c r="H61" s="35"/>
      <c r="I61" s="2654"/>
      <c r="J61" s="35"/>
      <c r="K61" s="563"/>
      <c r="L61" s="35"/>
      <c r="M61" s="2655"/>
      <c r="N61" s="2654"/>
      <c r="O61" s="514"/>
      <c r="P61" s="4038"/>
      <c r="Q61" s="4038"/>
      <c r="R61" s="396"/>
      <c r="S61" s="3976"/>
      <c r="T61" s="3977"/>
      <c r="U61" s="3977"/>
      <c r="V61" s="3978"/>
      <c r="W61" s="432"/>
      <c r="AB61" s="436"/>
      <c r="AC61" s="436"/>
      <c r="AD61" s="436"/>
      <c r="AE61" s="436"/>
      <c r="AF61" s="436"/>
      <c r="AG61" s="577"/>
      <c r="AH61" s="430"/>
      <c r="AI61" s="430"/>
      <c r="AJ61" s="430"/>
      <c r="AK61" s="430"/>
      <c r="AL61" s="430"/>
      <c r="AM61" s="430"/>
      <c r="AN61" s="430"/>
      <c r="AO61" s="430"/>
      <c r="AP61" s="430"/>
      <c r="AQ61" s="430"/>
      <c r="AR61" s="430"/>
      <c r="AS61" s="430"/>
      <c r="AT61" s="430"/>
      <c r="AU61" s="430"/>
      <c r="AV61" s="430"/>
      <c r="AW61" s="430"/>
      <c r="AX61" s="430"/>
      <c r="AY61" s="430"/>
      <c r="AZ61" s="430"/>
      <c r="BA61" s="430"/>
      <c r="BB61" s="430"/>
      <c r="BC61" s="430"/>
      <c r="BD61" s="430"/>
      <c r="BE61" s="430"/>
      <c r="BF61" s="430"/>
      <c r="BG61" s="430"/>
      <c r="BH61" s="430"/>
      <c r="BI61" s="430"/>
      <c r="BJ61" s="430"/>
      <c r="BK61" s="430"/>
      <c r="BL61" s="430"/>
      <c r="BM61" s="430"/>
      <c r="BN61" s="430"/>
      <c r="BO61" s="430"/>
      <c r="BP61" s="430"/>
      <c r="BQ61" s="430"/>
      <c r="BR61" s="430"/>
      <c r="BS61" s="430"/>
      <c r="BT61" s="430"/>
      <c r="BU61" s="430"/>
      <c r="BV61" s="430"/>
      <c r="BW61" s="430"/>
      <c r="BX61" s="430"/>
      <c r="BY61" s="430"/>
      <c r="BZ61" s="430"/>
      <c r="CA61" s="430"/>
      <c r="CB61" s="430"/>
      <c r="CC61" s="430"/>
      <c r="CD61" s="430"/>
      <c r="CE61" s="430"/>
      <c r="CF61" s="430"/>
      <c r="CG61" s="430"/>
      <c r="CH61" s="430"/>
      <c r="CI61" s="430"/>
      <c r="CJ61" s="430"/>
      <c r="CK61" s="430"/>
      <c r="CL61" s="430"/>
      <c r="CM61" s="430"/>
      <c r="CN61" s="430"/>
      <c r="CO61" s="430"/>
      <c r="CP61" s="430"/>
      <c r="CQ61" s="430"/>
      <c r="CR61" s="430"/>
      <c r="CS61" s="430"/>
      <c r="CT61" s="430"/>
      <c r="CU61" s="430"/>
      <c r="CV61" s="430"/>
      <c r="CW61" s="430"/>
      <c r="CX61" s="430"/>
      <c r="CY61" s="430"/>
      <c r="CZ61" s="430"/>
      <c r="DA61" s="430"/>
      <c r="DB61" s="430"/>
      <c r="DC61" s="430"/>
      <c r="DD61" s="430"/>
      <c r="DE61" s="430"/>
      <c r="DF61" s="430"/>
      <c r="DG61" s="430"/>
      <c r="DH61" s="430"/>
      <c r="DI61" s="430"/>
      <c r="DJ61" s="430"/>
      <c r="DK61" s="430"/>
      <c r="DL61" s="430"/>
      <c r="DM61" s="430"/>
      <c r="DN61" s="430"/>
      <c r="DO61" s="430"/>
      <c r="DP61" s="430"/>
      <c r="DQ61" s="430"/>
      <c r="DR61" s="430"/>
      <c r="DS61" s="430"/>
      <c r="DT61" s="430"/>
      <c r="DU61" s="430"/>
      <c r="DV61" s="430"/>
      <c r="DW61" s="430"/>
      <c r="DX61" s="430"/>
      <c r="DY61" s="430"/>
      <c r="DZ61" s="430"/>
      <c r="EA61" s="430"/>
      <c r="EB61" s="430"/>
      <c r="EC61" s="430"/>
      <c r="ED61" s="430"/>
      <c r="EE61" s="430"/>
      <c r="EF61" s="430"/>
      <c r="EG61" s="430"/>
      <c r="EH61" s="430"/>
      <c r="EI61" s="430"/>
      <c r="EJ61" s="430"/>
      <c r="EK61" s="430"/>
      <c r="EL61" s="430"/>
      <c r="EM61" s="430"/>
      <c r="EN61" s="430"/>
      <c r="EO61" s="430"/>
      <c r="EP61" s="430"/>
      <c r="EQ61" s="430"/>
      <c r="ER61" s="430"/>
      <c r="ES61" s="430"/>
      <c r="ET61" s="430"/>
      <c r="EU61" s="430"/>
      <c r="EV61" s="430"/>
      <c r="EW61" s="430"/>
      <c r="EX61" s="430"/>
      <c r="EY61" s="430"/>
      <c r="EZ61" s="430"/>
      <c r="FA61" s="430"/>
      <c r="FB61" s="430"/>
      <c r="FC61" s="430"/>
      <c r="FD61" s="430"/>
      <c r="FE61" s="430"/>
      <c r="FF61" s="430"/>
      <c r="FG61" s="430"/>
      <c r="FH61" s="430"/>
      <c r="FI61" s="430"/>
      <c r="FJ61" s="430"/>
      <c r="FK61" s="430"/>
      <c r="FL61" s="430"/>
      <c r="FM61" s="430"/>
      <c r="FN61" s="430"/>
      <c r="FO61" s="430"/>
      <c r="FP61" s="430"/>
      <c r="FQ61" s="430"/>
      <c r="FR61" s="430"/>
      <c r="FS61" s="430"/>
      <c r="FT61" s="430"/>
      <c r="FU61" s="430"/>
      <c r="FV61" s="430"/>
      <c r="FW61" s="430"/>
      <c r="FX61" s="430"/>
      <c r="FY61" s="430"/>
      <c r="FZ61" s="430"/>
      <c r="GA61" s="430"/>
      <c r="GB61" s="430"/>
      <c r="GC61" s="430"/>
      <c r="GD61" s="430"/>
      <c r="GE61" s="430"/>
      <c r="GF61" s="430"/>
      <c r="GG61" s="430"/>
      <c r="GH61" s="430"/>
      <c r="GI61" s="430"/>
      <c r="GJ61" s="430"/>
      <c r="GK61" s="430"/>
      <c r="GL61" s="430"/>
      <c r="GM61" s="430"/>
      <c r="GN61" s="430"/>
      <c r="GO61" s="430"/>
      <c r="GP61" s="430"/>
      <c r="GQ61" s="430"/>
      <c r="GR61" s="430"/>
      <c r="GS61" s="430"/>
      <c r="GT61" s="430"/>
      <c r="GU61" s="430"/>
      <c r="GV61" s="430"/>
      <c r="GW61" s="430"/>
      <c r="GX61" s="430"/>
      <c r="GY61" s="430"/>
      <c r="GZ61" s="430"/>
      <c r="HA61" s="430"/>
      <c r="HB61" s="430"/>
      <c r="HC61" s="430"/>
      <c r="HD61" s="430"/>
      <c r="HE61" s="430"/>
      <c r="HF61" s="430"/>
      <c r="HG61" s="430"/>
      <c r="HH61" s="430"/>
      <c r="HI61" s="430"/>
      <c r="HJ61" s="430"/>
      <c r="HK61" s="430"/>
      <c r="HL61" s="430"/>
      <c r="HM61" s="430"/>
      <c r="HN61" s="430"/>
      <c r="HO61" s="430"/>
      <c r="HP61" s="430"/>
      <c r="HQ61" s="430"/>
      <c r="HR61" s="430"/>
      <c r="HS61" s="430"/>
      <c r="HT61" s="430"/>
      <c r="HU61" s="430"/>
      <c r="HV61" s="430"/>
      <c r="HW61" s="430"/>
      <c r="HX61" s="430"/>
      <c r="HY61" s="430"/>
      <c r="HZ61" s="430"/>
      <c r="IA61" s="430"/>
      <c r="IB61" s="430"/>
      <c r="IC61" s="430"/>
      <c r="ID61" s="430"/>
      <c r="IE61" s="430"/>
      <c r="IF61" s="430"/>
      <c r="IG61" s="430"/>
      <c r="IH61" s="430"/>
      <c r="II61" s="430"/>
      <c r="IJ61" s="434"/>
      <c r="IK61" s="434"/>
      <c r="IL61" s="430"/>
      <c r="IM61" s="430"/>
      <c r="IN61" s="430"/>
      <c r="IO61" s="430"/>
      <c r="IP61" s="430"/>
      <c r="IQ61" s="430"/>
      <c r="IR61" s="430"/>
      <c r="IS61" s="430"/>
      <c r="IT61" s="430"/>
      <c r="IU61" s="430"/>
      <c r="IV61" s="430"/>
      <c r="IW61" s="430"/>
      <c r="IX61" s="430"/>
      <c r="IY61" s="430"/>
      <c r="IZ61" s="430"/>
      <c r="JA61" s="434"/>
      <c r="JB61" s="430"/>
      <c r="JC61" s="430"/>
      <c r="JD61" s="146"/>
      <c r="JE61" s="146"/>
      <c r="JF61" s="146"/>
      <c r="JG61" s="146"/>
      <c r="JH61" s="146"/>
      <c r="JI61" s="146"/>
      <c r="JJ61" s="146"/>
      <c r="JK61" s="146"/>
      <c r="JL61" s="146"/>
      <c r="JM61" s="146"/>
      <c r="JN61" s="146"/>
      <c r="JO61" s="146"/>
      <c r="JP61" s="146"/>
      <c r="JQ61" s="146"/>
      <c r="JR61" s="146"/>
      <c r="JS61" s="146"/>
      <c r="JT61" s="146"/>
      <c r="JU61" s="146"/>
      <c r="JV61" s="146"/>
      <c r="JW61" s="146"/>
      <c r="JX61" s="146"/>
      <c r="JY61" s="146"/>
      <c r="JZ61" s="146"/>
      <c r="KA61" s="146"/>
      <c r="KB61" s="146"/>
      <c r="KC61" s="146"/>
      <c r="KD61" s="146"/>
      <c r="KE61" s="146"/>
      <c r="KF61" s="146"/>
      <c r="KG61" s="146"/>
      <c r="KH61" s="146"/>
      <c r="KI61" s="146"/>
    </row>
    <row r="62" spans="1:295" s="82" customFormat="1" ht="12" customHeight="1" thickBot="1">
      <c r="A62" s="526" t="s">
        <v>3114</v>
      </c>
      <c r="B62" s="8"/>
      <c r="C62" s="1"/>
      <c r="D62" s="754" t="s">
        <v>539</v>
      </c>
      <c r="E62" s="755">
        <v>0</v>
      </c>
      <c r="F62" s="1322" t="str">
        <f>IF('Part VI-Revenues &amp; Expenses'!$K$153 =0,"",'Part VI-Revenues &amp; Expenses'!$K$153)</f>
        <v/>
      </c>
      <c r="G62" s="756">
        <f>IF('Part IX Scoring Criteria'!$O$108='Part IX Scoring Criteria'!$M$108,$L62,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145604.4</v>
      </c>
      <c r="H62" s="40" t="str">
        <f>CONCATENATE("x ", F62," units = ")</f>
        <v xml:space="preserve">x  units = </v>
      </c>
      <c r="I62" s="1323" t="str">
        <f>IF(F62="","",F62*G62)</f>
        <v/>
      </c>
      <c r="J62" s="42"/>
      <c r="K62" s="1322" t="str">
        <f>IF('Part VI-Revenues &amp; Expenses'!$K$154 =0,"",'Part VI-Revenues &amp; Expenses'!$K$154)</f>
        <v/>
      </c>
      <c r="L62" s="756">
        <f>G62*(1+'DCA Underwriting Assumptions'!$Q$12)</f>
        <v>160164.84</v>
      </c>
      <c r="M62" s="40" t="str">
        <f>CONCATENATE("x ", K62," units = ")</f>
        <v xml:space="preserve">x  units = </v>
      </c>
      <c r="N62" s="1323" t="str">
        <f>IF(K62="","",K62*L62)</f>
        <v/>
      </c>
      <c r="O62" s="514"/>
      <c r="P62" s="4039"/>
      <c r="Q62" s="4039"/>
      <c r="R62" s="396"/>
      <c r="S62" s="3979"/>
      <c r="T62" s="3980"/>
      <c r="U62" s="3980"/>
      <c r="V62" s="3981"/>
      <c r="W62" s="432"/>
      <c r="X62" s="433"/>
      <c r="Y62" s="432"/>
      <c r="Z62" s="435"/>
      <c r="AA62" s="436"/>
      <c r="AB62" s="436"/>
      <c r="AC62" s="436"/>
      <c r="AD62" s="436"/>
      <c r="AE62" s="436"/>
      <c r="AF62" s="436"/>
      <c r="AG62" s="577"/>
      <c r="AH62" s="430"/>
      <c r="AI62" s="430"/>
      <c r="AJ62" s="430"/>
      <c r="AK62" s="430"/>
      <c r="AL62" s="430"/>
      <c r="AM62" s="430"/>
      <c r="AN62" s="430"/>
      <c r="AO62" s="430"/>
      <c r="AP62" s="430"/>
      <c r="AQ62" s="430"/>
      <c r="AR62" s="430"/>
      <c r="AS62" s="430"/>
      <c r="AT62" s="430"/>
      <c r="AU62" s="430"/>
      <c r="AV62" s="430"/>
      <c r="AW62" s="430"/>
      <c r="AX62" s="430"/>
      <c r="AY62" s="430"/>
      <c r="AZ62" s="430"/>
      <c r="BA62" s="430"/>
      <c r="BB62" s="430"/>
      <c r="BC62" s="430"/>
      <c r="BD62" s="430"/>
      <c r="BE62" s="430"/>
      <c r="BF62" s="430"/>
      <c r="BG62" s="430"/>
      <c r="BH62" s="430"/>
      <c r="BI62" s="430"/>
      <c r="BJ62" s="430"/>
      <c r="BK62" s="430"/>
      <c r="BL62" s="430"/>
      <c r="BM62" s="430"/>
      <c r="BN62" s="430"/>
      <c r="BO62" s="430"/>
      <c r="BP62" s="430"/>
      <c r="BQ62" s="430"/>
      <c r="BR62" s="430"/>
      <c r="BS62" s="430"/>
      <c r="BT62" s="430"/>
      <c r="BU62" s="430"/>
      <c r="BV62" s="430"/>
      <c r="BW62" s="430"/>
      <c r="BX62" s="430"/>
      <c r="BY62" s="430"/>
      <c r="BZ62" s="430"/>
      <c r="CA62" s="430"/>
      <c r="CB62" s="430"/>
      <c r="CC62" s="430"/>
      <c r="CD62" s="430"/>
      <c r="CE62" s="430"/>
      <c r="CF62" s="430"/>
      <c r="CG62" s="430"/>
      <c r="CH62" s="430"/>
      <c r="CI62" s="430"/>
      <c r="CJ62" s="430"/>
      <c r="CK62" s="430"/>
      <c r="CL62" s="430"/>
      <c r="CM62" s="430"/>
      <c r="CN62" s="430"/>
      <c r="CO62" s="430"/>
      <c r="CP62" s="430"/>
      <c r="CQ62" s="430"/>
      <c r="CR62" s="430"/>
      <c r="CS62" s="430"/>
      <c r="CT62" s="430"/>
      <c r="CU62" s="430"/>
      <c r="CV62" s="430"/>
      <c r="CW62" s="430"/>
      <c r="CX62" s="430"/>
      <c r="CY62" s="430"/>
      <c r="CZ62" s="430"/>
      <c r="DA62" s="430"/>
      <c r="DB62" s="430"/>
      <c r="DC62" s="430"/>
      <c r="DD62" s="430"/>
      <c r="DE62" s="430"/>
      <c r="DF62" s="430"/>
      <c r="DG62" s="430"/>
      <c r="DH62" s="430"/>
      <c r="DI62" s="430"/>
      <c r="DJ62" s="430"/>
      <c r="DK62" s="430"/>
      <c r="DL62" s="430"/>
      <c r="DM62" s="430"/>
      <c r="DN62" s="430"/>
      <c r="DO62" s="430"/>
      <c r="DP62" s="430"/>
      <c r="DQ62" s="430"/>
      <c r="DR62" s="430"/>
      <c r="DS62" s="430"/>
      <c r="DT62" s="430"/>
      <c r="DU62" s="430"/>
      <c r="DV62" s="430"/>
      <c r="DW62" s="430"/>
      <c r="DX62" s="430"/>
      <c r="DY62" s="430"/>
      <c r="DZ62" s="430"/>
      <c r="EA62" s="430"/>
      <c r="EB62" s="430"/>
      <c r="EC62" s="430"/>
      <c r="ED62" s="430"/>
      <c r="EE62" s="430"/>
      <c r="EF62" s="430"/>
      <c r="EG62" s="430"/>
      <c r="EH62" s="430"/>
      <c r="EI62" s="430"/>
      <c r="EJ62" s="430"/>
      <c r="EK62" s="430"/>
      <c r="EL62" s="430"/>
      <c r="EM62" s="430"/>
      <c r="EN62" s="430"/>
      <c r="EO62" s="430"/>
      <c r="EP62" s="430"/>
      <c r="EQ62" s="430"/>
      <c r="ER62" s="430"/>
      <c r="ES62" s="430"/>
      <c r="ET62" s="430"/>
      <c r="EU62" s="430"/>
      <c r="EV62" s="430"/>
      <c r="EW62" s="430"/>
      <c r="EX62" s="430"/>
      <c r="EY62" s="430"/>
      <c r="EZ62" s="430"/>
      <c r="FA62" s="430"/>
      <c r="FB62" s="430"/>
      <c r="FC62" s="430"/>
      <c r="FD62" s="430"/>
      <c r="FE62" s="430"/>
      <c r="FF62" s="430"/>
      <c r="FG62" s="430"/>
      <c r="FH62" s="430"/>
      <c r="FI62" s="430"/>
      <c r="FJ62" s="430"/>
      <c r="FK62" s="430"/>
      <c r="FL62" s="430"/>
      <c r="FM62" s="430"/>
      <c r="FN62" s="430"/>
      <c r="FO62" s="430"/>
      <c r="FP62" s="430"/>
      <c r="FQ62" s="430"/>
      <c r="FR62" s="430"/>
      <c r="FS62" s="430"/>
      <c r="FT62" s="430"/>
      <c r="FU62" s="430"/>
      <c r="FV62" s="430"/>
      <c r="FW62" s="430"/>
      <c r="FX62" s="430"/>
      <c r="FY62" s="430"/>
      <c r="FZ62" s="430"/>
      <c r="GA62" s="430"/>
      <c r="GB62" s="430"/>
      <c r="GC62" s="430"/>
      <c r="GD62" s="430"/>
      <c r="GE62" s="430"/>
      <c r="GF62" s="430"/>
      <c r="GG62" s="430"/>
      <c r="GH62" s="430"/>
      <c r="GI62" s="430"/>
      <c r="GJ62" s="430"/>
      <c r="GK62" s="430"/>
      <c r="GL62" s="430"/>
      <c r="GM62" s="430"/>
      <c r="GN62" s="430"/>
      <c r="GO62" s="430"/>
      <c r="GP62" s="430"/>
      <c r="GQ62" s="430"/>
      <c r="GR62" s="430"/>
      <c r="GS62" s="430"/>
      <c r="GT62" s="430"/>
      <c r="GU62" s="430"/>
      <c r="GV62" s="430"/>
      <c r="GW62" s="430"/>
      <c r="GX62" s="430"/>
      <c r="GY62" s="430"/>
      <c r="GZ62" s="430"/>
      <c r="HA62" s="430"/>
      <c r="HB62" s="430"/>
      <c r="HC62" s="430"/>
      <c r="HD62" s="430"/>
      <c r="HE62" s="430"/>
      <c r="HF62" s="430"/>
      <c r="HG62" s="430"/>
      <c r="HH62" s="430"/>
      <c r="HI62" s="430"/>
      <c r="HJ62" s="430"/>
      <c r="HK62" s="430"/>
      <c r="HL62" s="430"/>
      <c r="HM62" s="430"/>
      <c r="HN62" s="430"/>
      <c r="HO62" s="430"/>
      <c r="HP62" s="430"/>
      <c r="HQ62" s="430"/>
      <c r="HR62" s="430"/>
      <c r="HS62" s="430"/>
      <c r="HT62" s="430"/>
      <c r="HU62" s="430"/>
      <c r="HV62" s="430"/>
      <c r="HW62" s="430"/>
      <c r="HX62" s="430"/>
      <c r="HY62" s="430"/>
      <c r="HZ62" s="430"/>
      <c r="IA62" s="430"/>
      <c r="IB62" s="430"/>
      <c r="IC62" s="430"/>
      <c r="ID62" s="430"/>
      <c r="IE62" s="430"/>
      <c r="IF62" s="430"/>
      <c r="IG62" s="430"/>
      <c r="IH62" s="430"/>
      <c r="II62" s="430"/>
      <c r="IJ62" s="434"/>
      <c r="IK62" s="434"/>
      <c r="IL62" s="430"/>
      <c r="IM62" s="430"/>
      <c r="IN62" s="430"/>
      <c r="IO62" s="430"/>
      <c r="IP62" s="430"/>
      <c r="IQ62" s="430"/>
      <c r="IR62" s="430"/>
      <c r="IS62" s="430"/>
      <c r="IT62" s="430"/>
      <c r="IU62" s="430"/>
      <c r="IV62" s="430"/>
      <c r="IW62" s="430"/>
      <c r="IX62" s="430"/>
      <c r="IY62" s="430"/>
      <c r="IZ62" s="430"/>
      <c r="JA62" s="434"/>
      <c r="JB62" s="430"/>
      <c r="JC62" s="430"/>
      <c r="JD62" s="146"/>
      <c r="JE62" s="146"/>
      <c r="JF62" s="146"/>
      <c r="JG62" s="146"/>
      <c r="JH62" s="146"/>
      <c r="JI62" s="146"/>
      <c r="JJ62" s="146"/>
      <c r="JK62" s="146"/>
      <c r="JL62" s="146"/>
      <c r="JM62" s="146"/>
      <c r="JN62" s="146"/>
      <c r="JO62" s="146"/>
      <c r="JP62" s="146"/>
      <c r="JQ62" s="146"/>
      <c r="JR62" s="146"/>
      <c r="JS62" s="146"/>
      <c r="JT62" s="146"/>
      <c r="JU62" s="146"/>
      <c r="JV62" s="146"/>
      <c r="JW62" s="146"/>
      <c r="JX62" s="146"/>
      <c r="JY62" s="146"/>
      <c r="JZ62" s="146"/>
      <c r="KA62" s="146"/>
      <c r="KB62" s="146"/>
      <c r="KC62" s="146"/>
      <c r="KD62" s="146"/>
      <c r="KE62" s="146"/>
      <c r="KF62" s="146"/>
      <c r="KG62" s="146"/>
      <c r="KH62" s="146"/>
      <c r="KI62" s="146"/>
    </row>
    <row r="63" spans="1:295" s="82" customFormat="1" ht="12" customHeight="1">
      <c r="A63" s="8"/>
      <c r="B63" s="8"/>
      <c r="C63" s="1"/>
      <c r="D63" s="754" t="s">
        <v>2328</v>
      </c>
      <c r="E63" s="755">
        <v>1</v>
      </c>
      <c r="F63" s="1322" t="str">
        <f>IF('Part VI-Revenues &amp; Expenses'!$L$153 =0,"",'Part VI-Revenues &amp; Expenses'!$L$153)</f>
        <v/>
      </c>
      <c r="G63" s="756">
        <f>IF('Part IX Scoring Criteria'!$O$108='Part IX Scoring Criteria'!$M$108,$L63,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195351.65</v>
      </c>
      <c r="H63" s="40" t="str">
        <f>CONCATENATE("x ", F63," units = ")</f>
        <v xml:space="preserve">x  units = </v>
      </c>
      <c r="I63" s="1323" t="str">
        <f>IF(F63="","",F63*G63)</f>
        <v/>
      </c>
      <c r="J63" s="42"/>
      <c r="K63" s="1322" t="str">
        <f>IF('Part VI-Revenues &amp; Expenses'!$L$154 =0,"",'Part VI-Revenues &amp; Expenses'!$L$154)</f>
        <v/>
      </c>
      <c r="L63" s="756">
        <f>G63*(1+'DCA Underwriting Assumptions'!$Q$12)</f>
        <v>214886.815</v>
      </c>
      <c r="M63" s="40" t="str">
        <f>CONCATENATE("x ", K63," units = ")</f>
        <v xml:space="preserve">x  units = </v>
      </c>
      <c r="N63" s="1323" t="str">
        <f>IF(K63="","",K63*L63)</f>
        <v/>
      </c>
      <c r="O63" s="514"/>
      <c r="P63" s="4040">
        <f>IF(P50&gt;1,P50, IF(OR('Part IX Scoring Criteria'!$O$108='Part IX Scoring Criteria'!$M$108,AND('Part IV-A-Uses of Funds'!$T$185="Yes",'Part IX Scoring Criteria'!$O$330&gt;0)),H69+M69,H69))</f>
        <v>17510765</v>
      </c>
      <c r="Q63" s="4041"/>
      <c r="R63" s="1396"/>
      <c r="S63" s="1397"/>
      <c r="U63" s="35"/>
      <c r="V63" s="432"/>
      <c r="W63" s="432"/>
      <c r="X63" s="433"/>
      <c r="Y63" s="432"/>
      <c r="Z63" s="435"/>
      <c r="AA63" s="436"/>
      <c r="AB63" s="436"/>
      <c r="AC63" s="436"/>
      <c r="AD63" s="436"/>
      <c r="AE63" s="436"/>
      <c r="AF63" s="436"/>
      <c r="AG63" s="577"/>
      <c r="AH63" s="430"/>
      <c r="AI63" s="430"/>
      <c r="AJ63" s="430"/>
      <c r="AK63" s="430"/>
      <c r="AL63" s="430"/>
      <c r="AM63" s="430"/>
      <c r="AN63" s="430"/>
      <c r="AO63" s="430"/>
      <c r="AP63" s="430"/>
      <c r="AQ63" s="430"/>
      <c r="AR63" s="430"/>
      <c r="AS63" s="430"/>
      <c r="AT63" s="430"/>
      <c r="AU63" s="430"/>
      <c r="AV63" s="430"/>
      <c r="AW63" s="430"/>
      <c r="AX63" s="430"/>
      <c r="AY63" s="430"/>
      <c r="AZ63" s="430"/>
      <c r="BA63" s="430"/>
      <c r="BB63" s="430"/>
      <c r="BC63" s="430"/>
      <c r="BD63" s="430"/>
      <c r="BE63" s="430"/>
      <c r="BF63" s="430"/>
      <c r="BG63" s="430"/>
      <c r="BH63" s="430"/>
      <c r="BI63" s="430"/>
      <c r="BJ63" s="430"/>
      <c r="BK63" s="430"/>
      <c r="BL63" s="430"/>
      <c r="BM63" s="430"/>
      <c r="BN63" s="430"/>
      <c r="BO63" s="430"/>
      <c r="BP63" s="430"/>
      <c r="BQ63" s="430"/>
      <c r="BR63" s="430"/>
      <c r="BS63" s="430"/>
      <c r="BT63" s="430"/>
      <c r="BU63" s="430"/>
      <c r="BV63" s="430"/>
      <c r="BW63" s="430"/>
      <c r="BX63" s="430"/>
      <c r="BY63" s="430"/>
      <c r="BZ63" s="430"/>
      <c r="CA63" s="430"/>
      <c r="CB63" s="430"/>
      <c r="CC63" s="430"/>
      <c r="CD63" s="430"/>
      <c r="CE63" s="430"/>
      <c r="CF63" s="430"/>
      <c r="CG63" s="430"/>
      <c r="CH63" s="430"/>
      <c r="CI63" s="430"/>
      <c r="CJ63" s="430"/>
      <c r="CK63" s="430"/>
      <c r="CL63" s="430"/>
      <c r="CM63" s="430"/>
      <c r="CN63" s="430"/>
      <c r="CO63" s="430"/>
      <c r="CP63" s="430"/>
      <c r="CQ63" s="430"/>
      <c r="CR63" s="430"/>
      <c r="CS63" s="430"/>
      <c r="CT63" s="430"/>
      <c r="CU63" s="430"/>
      <c r="CV63" s="430"/>
      <c r="CW63" s="430"/>
      <c r="CX63" s="430"/>
      <c r="CY63" s="430"/>
      <c r="CZ63" s="430"/>
      <c r="DA63" s="430"/>
      <c r="DB63" s="430"/>
      <c r="DC63" s="430"/>
      <c r="DD63" s="430"/>
      <c r="DE63" s="430"/>
      <c r="DF63" s="430"/>
      <c r="DG63" s="430"/>
      <c r="DH63" s="430"/>
      <c r="DI63" s="430"/>
      <c r="DJ63" s="430"/>
      <c r="DK63" s="430"/>
      <c r="DL63" s="430"/>
      <c r="DM63" s="430"/>
      <c r="DN63" s="430"/>
      <c r="DO63" s="430"/>
      <c r="DP63" s="430"/>
      <c r="DQ63" s="430"/>
      <c r="DR63" s="430"/>
      <c r="DS63" s="430"/>
      <c r="DT63" s="430"/>
      <c r="DU63" s="430"/>
      <c r="DV63" s="430"/>
      <c r="DW63" s="430"/>
      <c r="DX63" s="430"/>
      <c r="DY63" s="430"/>
      <c r="DZ63" s="430"/>
      <c r="EA63" s="430"/>
      <c r="EB63" s="430"/>
      <c r="EC63" s="430"/>
      <c r="ED63" s="430"/>
      <c r="EE63" s="430"/>
      <c r="EF63" s="430"/>
      <c r="EG63" s="430"/>
      <c r="EH63" s="430"/>
      <c r="EI63" s="430"/>
      <c r="EJ63" s="430"/>
      <c r="EK63" s="430"/>
      <c r="EL63" s="430"/>
      <c r="EM63" s="430"/>
      <c r="EN63" s="430"/>
      <c r="EO63" s="430"/>
      <c r="EP63" s="430"/>
      <c r="EQ63" s="430"/>
      <c r="ER63" s="430"/>
      <c r="ES63" s="430"/>
      <c r="ET63" s="430"/>
      <c r="EU63" s="430"/>
      <c r="EV63" s="430"/>
      <c r="EW63" s="430"/>
      <c r="EX63" s="430"/>
      <c r="EY63" s="430"/>
      <c r="EZ63" s="430"/>
      <c r="FA63" s="430"/>
      <c r="FB63" s="430"/>
      <c r="FC63" s="430"/>
      <c r="FD63" s="430"/>
      <c r="FE63" s="430"/>
      <c r="FF63" s="430"/>
      <c r="FG63" s="430"/>
      <c r="FH63" s="430"/>
      <c r="FI63" s="430"/>
      <c r="FJ63" s="430"/>
      <c r="FK63" s="430"/>
      <c r="FL63" s="430"/>
      <c r="FM63" s="430"/>
      <c r="FN63" s="430"/>
      <c r="FO63" s="430"/>
      <c r="FP63" s="430"/>
      <c r="FQ63" s="430"/>
      <c r="FR63" s="430"/>
      <c r="FS63" s="430"/>
      <c r="FT63" s="430"/>
      <c r="FU63" s="430"/>
      <c r="FV63" s="430"/>
      <c r="FW63" s="430"/>
      <c r="FX63" s="430"/>
      <c r="FY63" s="430"/>
      <c r="FZ63" s="430"/>
      <c r="GA63" s="430"/>
      <c r="GB63" s="430"/>
      <c r="GC63" s="430"/>
      <c r="GD63" s="430"/>
      <c r="GE63" s="430"/>
      <c r="GF63" s="430"/>
      <c r="GG63" s="430"/>
      <c r="GH63" s="430"/>
      <c r="GI63" s="430"/>
      <c r="GJ63" s="430"/>
      <c r="GK63" s="430"/>
      <c r="GL63" s="430"/>
      <c r="GM63" s="430"/>
      <c r="GN63" s="430"/>
      <c r="GO63" s="430"/>
      <c r="GP63" s="430"/>
      <c r="GQ63" s="430"/>
      <c r="GR63" s="430"/>
      <c r="GS63" s="430"/>
      <c r="GT63" s="430"/>
      <c r="GU63" s="430"/>
      <c r="GV63" s="430"/>
      <c r="GW63" s="430"/>
      <c r="GX63" s="430"/>
      <c r="GY63" s="430"/>
      <c r="GZ63" s="430"/>
      <c r="HA63" s="430"/>
      <c r="HB63" s="430"/>
      <c r="HC63" s="430"/>
      <c r="HD63" s="430"/>
      <c r="HE63" s="430"/>
      <c r="HF63" s="430"/>
      <c r="HG63" s="430"/>
      <c r="HH63" s="430"/>
      <c r="HI63" s="430"/>
      <c r="HJ63" s="430"/>
      <c r="HK63" s="430"/>
      <c r="HL63" s="430"/>
      <c r="HM63" s="430"/>
      <c r="HN63" s="430"/>
      <c r="HO63" s="430"/>
      <c r="HP63" s="430"/>
      <c r="HQ63" s="430"/>
      <c r="HR63" s="430"/>
      <c r="HS63" s="430"/>
      <c r="HT63" s="430"/>
      <c r="HU63" s="430"/>
      <c r="HV63" s="430"/>
      <c r="HW63" s="430"/>
      <c r="HX63" s="430"/>
      <c r="HY63" s="430"/>
      <c r="HZ63" s="430"/>
      <c r="IA63" s="430"/>
      <c r="IB63" s="430"/>
      <c r="IC63" s="430"/>
      <c r="ID63" s="430"/>
      <c r="IE63" s="430"/>
      <c r="IF63" s="430"/>
      <c r="IG63" s="430"/>
      <c r="IH63" s="430"/>
      <c r="II63" s="430"/>
      <c r="IJ63" s="434"/>
      <c r="IK63" s="434"/>
      <c r="IL63" s="430"/>
      <c r="IM63" s="430"/>
      <c r="IN63" s="430"/>
      <c r="IO63" s="430"/>
      <c r="IP63" s="430"/>
      <c r="IQ63" s="430"/>
      <c r="IR63" s="430"/>
      <c r="IS63" s="430"/>
      <c r="IT63" s="430"/>
      <c r="IU63" s="430"/>
      <c r="IV63" s="430"/>
      <c r="IW63" s="430"/>
      <c r="IX63" s="430"/>
      <c r="IY63" s="430"/>
      <c r="IZ63" s="430"/>
      <c r="JA63" s="434"/>
      <c r="JB63" s="430"/>
      <c r="JC63" s="430"/>
      <c r="JD63" s="146"/>
      <c r="JE63" s="146"/>
      <c r="JF63" s="146"/>
      <c r="JG63" s="146"/>
      <c r="JH63" s="146"/>
      <c r="JI63" s="146"/>
      <c r="JJ63" s="146"/>
      <c r="JK63" s="146"/>
      <c r="JL63" s="146"/>
      <c r="JM63" s="146"/>
      <c r="JN63" s="146"/>
      <c r="JO63" s="146"/>
      <c r="JP63" s="146"/>
      <c r="JQ63" s="146"/>
      <c r="JR63" s="146"/>
      <c r="JS63" s="146"/>
      <c r="JT63" s="146"/>
      <c r="JU63" s="146"/>
      <c r="JV63" s="146"/>
      <c r="JW63" s="146"/>
      <c r="JX63" s="146"/>
      <c r="JY63" s="146"/>
      <c r="JZ63" s="146"/>
      <c r="KA63" s="146"/>
      <c r="KB63" s="146"/>
      <c r="KC63" s="146"/>
      <c r="KD63" s="146"/>
      <c r="KE63" s="146"/>
      <c r="KF63" s="146"/>
      <c r="KG63" s="146"/>
      <c r="KH63" s="146"/>
      <c r="KI63" s="146"/>
    </row>
    <row r="64" spans="1:295" s="82" customFormat="1" ht="12" customHeight="1">
      <c r="A64" s="8"/>
      <c r="B64" s="8"/>
      <c r="C64" s="1"/>
      <c r="D64" s="754" t="s">
        <v>2329</v>
      </c>
      <c r="E64" s="755">
        <v>2</v>
      </c>
      <c r="F64" s="1322" t="str">
        <f>IF('Part VI-Revenues &amp; Expenses'!$M$153 =0,"",'Part VI-Revenues &amp; Expenses'!$M$153)</f>
        <v/>
      </c>
      <c r="G64" s="756">
        <f>IF('Part IX Scoring Criteria'!$O$108='Part IX Scoring Criteria'!$M$108,$L64,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251166.9</v>
      </c>
      <c r="H64" s="40" t="str">
        <f>CONCATENATE("x ", F64," units = ")</f>
        <v xml:space="preserve">x  units = </v>
      </c>
      <c r="I64" s="1323" t="str">
        <f>IF(F64="","",F64*G64)</f>
        <v/>
      </c>
      <c r="J64" s="42"/>
      <c r="K64" s="1322" t="str">
        <f>IF('Part VI-Revenues &amp; Expenses'!$M$154 =0,"",'Part VI-Revenues &amp; Expenses'!$M$154)</f>
        <v/>
      </c>
      <c r="L64" s="756">
        <f>G64*(1+'DCA Underwriting Assumptions'!$Q$12)</f>
        <v>276283.59000000003</v>
      </c>
      <c r="M64" s="40" t="str">
        <f>CONCATENATE("x ", K64," units = ")</f>
        <v xml:space="preserve">x  units = </v>
      </c>
      <c r="N64" s="1323" t="str">
        <f>IF(K64="","",K64*L64)</f>
        <v/>
      </c>
      <c r="P64" s="4042"/>
      <c r="Q64" s="4043"/>
      <c r="R64" s="1396"/>
      <c r="S64" s="1397"/>
      <c r="U64" s="35"/>
      <c r="V64" s="432"/>
      <c r="W64" s="432"/>
      <c r="X64" s="433"/>
      <c r="Y64" s="432"/>
      <c r="Z64" s="435"/>
      <c r="AA64" s="436"/>
      <c r="AB64" s="436"/>
      <c r="AC64" s="436"/>
      <c r="AD64" s="436"/>
      <c r="AE64" s="436"/>
      <c r="AF64" s="436"/>
      <c r="AG64" s="577"/>
      <c r="AH64" s="430"/>
      <c r="AI64" s="430"/>
      <c r="AJ64" s="430"/>
      <c r="AK64" s="430"/>
      <c r="AL64" s="430"/>
      <c r="AM64" s="430"/>
      <c r="AN64" s="430"/>
      <c r="AO64" s="430"/>
      <c r="AP64" s="430"/>
      <c r="AQ64" s="430"/>
      <c r="AR64" s="430"/>
      <c r="AS64" s="430"/>
      <c r="AT64" s="430"/>
      <c r="AU64" s="430"/>
      <c r="AV64" s="430"/>
      <c r="AW64" s="430"/>
      <c r="AX64" s="430"/>
      <c r="AY64" s="430"/>
      <c r="AZ64" s="430"/>
      <c r="BA64" s="430"/>
      <c r="BB64" s="430"/>
      <c r="BC64" s="430"/>
      <c r="BD64" s="430"/>
      <c r="BE64" s="430"/>
      <c r="BF64" s="430"/>
      <c r="BG64" s="430"/>
      <c r="BH64" s="430"/>
      <c r="BI64" s="430"/>
      <c r="BJ64" s="430"/>
      <c r="BK64" s="430"/>
      <c r="BL64" s="430"/>
      <c r="BM64" s="430"/>
      <c r="BN64" s="430"/>
      <c r="BO64" s="430"/>
      <c r="BP64" s="430"/>
      <c r="BQ64" s="430"/>
      <c r="BR64" s="430"/>
      <c r="BS64" s="430"/>
      <c r="BT64" s="430"/>
      <c r="BU64" s="430"/>
      <c r="BV64" s="430"/>
      <c r="BW64" s="430"/>
      <c r="BX64" s="430"/>
      <c r="BY64" s="430"/>
      <c r="BZ64" s="430"/>
      <c r="CA64" s="430"/>
      <c r="CB64" s="430"/>
      <c r="CC64" s="430"/>
      <c r="CD64" s="430"/>
      <c r="CE64" s="430"/>
      <c r="CF64" s="430"/>
      <c r="CG64" s="430"/>
      <c r="CH64" s="430"/>
      <c r="CI64" s="430"/>
      <c r="CJ64" s="430"/>
      <c r="CK64" s="430"/>
      <c r="CL64" s="430"/>
      <c r="CM64" s="430"/>
      <c r="CN64" s="430"/>
      <c r="CO64" s="430"/>
      <c r="CP64" s="430"/>
      <c r="CQ64" s="430"/>
      <c r="CR64" s="430"/>
      <c r="CS64" s="430"/>
      <c r="CT64" s="430"/>
      <c r="CU64" s="430"/>
      <c r="CV64" s="430"/>
      <c r="CW64" s="430"/>
      <c r="CX64" s="430"/>
      <c r="CY64" s="430"/>
      <c r="CZ64" s="430"/>
      <c r="DA64" s="430"/>
      <c r="DB64" s="430"/>
      <c r="DC64" s="430"/>
      <c r="DD64" s="430"/>
      <c r="DE64" s="430"/>
      <c r="DF64" s="430"/>
      <c r="DG64" s="430"/>
      <c r="DH64" s="430"/>
      <c r="DI64" s="430"/>
      <c r="DJ64" s="430"/>
      <c r="DK64" s="430"/>
      <c r="DL64" s="430"/>
      <c r="DM64" s="430"/>
      <c r="DN64" s="430"/>
      <c r="DO64" s="430"/>
      <c r="DP64" s="430"/>
      <c r="DQ64" s="430"/>
      <c r="DR64" s="430"/>
      <c r="DS64" s="430"/>
      <c r="DT64" s="430"/>
      <c r="DU64" s="430"/>
      <c r="DV64" s="430"/>
      <c r="DW64" s="430"/>
      <c r="DX64" s="430"/>
      <c r="DY64" s="430"/>
      <c r="DZ64" s="430"/>
      <c r="EA64" s="430"/>
      <c r="EB64" s="430"/>
      <c r="EC64" s="430"/>
      <c r="ED64" s="430"/>
      <c r="EE64" s="430"/>
      <c r="EF64" s="430"/>
      <c r="EG64" s="430"/>
      <c r="EH64" s="430"/>
      <c r="EI64" s="430"/>
      <c r="EJ64" s="430"/>
      <c r="EK64" s="430"/>
      <c r="EL64" s="430"/>
      <c r="EM64" s="430"/>
      <c r="EN64" s="430"/>
      <c r="EO64" s="430"/>
      <c r="EP64" s="430"/>
      <c r="EQ64" s="430"/>
      <c r="ER64" s="430"/>
      <c r="ES64" s="430"/>
      <c r="ET64" s="430"/>
      <c r="EU64" s="430"/>
      <c r="EV64" s="430"/>
      <c r="EW64" s="430"/>
      <c r="EX64" s="430"/>
      <c r="EY64" s="430"/>
      <c r="EZ64" s="430"/>
      <c r="FA64" s="430"/>
      <c r="FB64" s="430"/>
      <c r="FC64" s="430"/>
      <c r="FD64" s="430"/>
      <c r="FE64" s="430"/>
      <c r="FF64" s="430"/>
      <c r="FG64" s="430"/>
      <c r="FH64" s="430"/>
      <c r="FI64" s="430"/>
      <c r="FJ64" s="430"/>
      <c r="FK64" s="430"/>
      <c r="FL64" s="430"/>
      <c r="FM64" s="430"/>
      <c r="FN64" s="430"/>
      <c r="FO64" s="430"/>
      <c r="FP64" s="430"/>
      <c r="FQ64" s="430"/>
      <c r="FR64" s="430"/>
      <c r="FS64" s="430"/>
      <c r="FT64" s="430"/>
      <c r="FU64" s="430"/>
      <c r="FV64" s="430"/>
      <c r="FW64" s="430"/>
      <c r="FX64" s="430"/>
      <c r="FY64" s="430"/>
      <c r="FZ64" s="430"/>
      <c r="GA64" s="430"/>
      <c r="GB64" s="430"/>
      <c r="GC64" s="430"/>
      <c r="GD64" s="430"/>
      <c r="GE64" s="430"/>
      <c r="GF64" s="430"/>
      <c r="GG64" s="430"/>
      <c r="GH64" s="430"/>
      <c r="GI64" s="430"/>
      <c r="GJ64" s="430"/>
      <c r="GK64" s="430"/>
      <c r="GL64" s="430"/>
      <c r="GM64" s="430"/>
      <c r="GN64" s="430"/>
      <c r="GO64" s="430"/>
      <c r="GP64" s="430"/>
      <c r="GQ64" s="430"/>
      <c r="GR64" s="430"/>
      <c r="GS64" s="430"/>
      <c r="GT64" s="430"/>
      <c r="GU64" s="430"/>
      <c r="GV64" s="430"/>
      <c r="GW64" s="430"/>
      <c r="GX64" s="430"/>
      <c r="GY64" s="430"/>
      <c r="GZ64" s="430"/>
      <c r="HA64" s="430"/>
      <c r="HB64" s="430"/>
      <c r="HC64" s="430"/>
      <c r="HD64" s="430"/>
      <c r="HE64" s="430"/>
      <c r="HF64" s="430"/>
      <c r="HG64" s="430"/>
      <c r="HH64" s="430"/>
      <c r="HI64" s="430"/>
      <c r="HJ64" s="430"/>
      <c r="HK64" s="430"/>
      <c r="HL64" s="430"/>
      <c r="HM64" s="430"/>
      <c r="HN64" s="430"/>
      <c r="HO64" s="430"/>
      <c r="HP64" s="430"/>
      <c r="HQ64" s="430"/>
      <c r="HR64" s="430"/>
      <c r="HS64" s="430"/>
      <c r="HT64" s="430"/>
      <c r="HU64" s="430"/>
      <c r="HV64" s="430"/>
      <c r="HW64" s="430"/>
      <c r="HX64" s="430"/>
      <c r="HY64" s="430"/>
      <c r="HZ64" s="430"/>
      <c r="IA64" s="430"/>
      <c r="IB64" s="430"/>
      <c r="IC64" s="430"/>
      <c r="ID64" s="430"/>
      <c r="IE64" s="430"/>
      <c r="IF64" s="430"/>
      <c r="IG64" s="430"/>
      <c r="IH64" s="430"/>
      <c r="II64" s="430"/>
      <c r="IJ64" s="434"/>
      <c r="IK64" s="434"/>
      <c r="IL64" s="430"/>
      <c r="IM64" s="430"/>
      <c r="IN64" s="430"/>
      <c r="IO64" s="430"/>
      <c r="IP64" s="430"/>
      <c r="IQ64" s="430"/>
      <c r="IR64" s="430"/>
      <c r="IS64" s="430"/>
      <c r="IT64" s="430"/>
      <c r="IU64" s="430"/>
      <c r="IV64" s="430"/>
      <c r="IW64" s="430"/>
      <c r="IX64" s="430"/>
      <c r="IY64" s="430"/>
      <c r="IZ64" s="430"/>
      <c r="JA64" s="434"/>
      <c r="JB64" s="430"/>
      <c r="JC64" s="430"/>
      <c r="JD64" s="146"/>
      <c r="JE64" s="146"/>
      <c r="JF64" s="146"/>
      <c r="JG64" s="146"/>
      <c r="JH64" s="146"/>
      <c r="JI64" s="146"/>
      <c r="JJ64" s="146"/>
      <c r="JK64" s="146"/>
      <c r="JL64" s="146"/>
      <c r="JM64" s="146"/>
      <c r="JN64" s="146"/>
      <c r="JO64" s="146"/>
      <c r="JP64" s="146"/>
      <c r="JQ64" s="146"/>
      <c r="JR64" s="146"/>
      <c r="JS64" s="146"/>
      <c r="JT64" s="146"/>
      <c r="JU64" s="146"/>
      <c r="JV64" s="146"/>
      <c r="JW64" s="146"/>
      <c r="JX64" s="146"/>
      <c r="JY64" s="146"/>
      <c r="JZ64" s="146"/>
      <c r="KA64" s="146"/>
      <c r="KB64" s="146"/>
      <c r="KC64" s="146"/>
      <c r="KD64" s="146"/>
      <c r="KE64" s="146"/>
      <c r="KF64" s="146"/>
      <c r="KG64" s="146"/>
      <c r="KH64" s="146"/>
      <c r="KI64" s="146"/>
    </row>
    <row r="65" spans="1:295" s="82" customFormat="1" ht="12" customHeight="1">
      <c r="A65" s="8"/>
      <c r="B65" s="8"/>
      <c r="C65" s="1"/>
      <c r="D65" s="754" t="s">
        <v>2330</v>
      </c>
      <c r="E65" s="755">
        <v>3</v>
      </c>
      <c r="F65" s="1322" t="str">
        <f>IF('Part VI-Revenues &amp; Expenses'!$N$153 =0,"",'Part VI-Revenues &amp; Expenses'!$N$153)</f>
        <v/>
      </c>
      <c r="G65" s="756">
        <f>IF('Part IX Scoring Criteria'!$O$108='Part IX Scoring Criteria'!$M$108,$L65,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320328.80000000005</v>
      </c>
      <c r="H65" s="40" t="str">
        <f>CONCATENATE("x ", F65," units = ")</f>
        <v xml:space="preserve">x  units = </v>
      </c>
      <c r="I65" s="1323" t="str">
        <f>IF(F65="","",F65*G65)</f>
        <v/>
      </c>
      <c r="J65" s="42"/>
      <c r="K65" s="1322" t="str">
        <f>IF('Part VI-Revenues &amp; Expenses'!$N$154 =0,"",'Part VI-Revenues &amp; Expenses'!$N$154)</f>
        <v/>
      </c>
      <c r="L65" s="756">
        <f>G65*(1+'DCA Underwriting Assumptions'!$Q$12)</f>
        <v>352361.68000000005</v>
      </c>
      <c r="M65" s="40" t="str">
        <f>CONCATENATE("x ", K65," units = ")</f>
        <v xml:space="preserve">x  units = </v>
      </c>
      <c r="N65" s="1323" t="str">
        <f>IF(K65="","",K65*L65)</f>
        <v/>
      </c>
      <c r="P65" s="3986" t="s">
        <v>3600</v>
      </c>
      <c r="Q65" s="3986"/>
      <c r="R65" s="396"/>
      <c r="U65" s="35"/>
      <c r="V65" s="432"/>
      <c r="W65" s="432"/>
      <c r="X65" s="433"/>
      <c r="Y65" s="432"/>
      <c r="Z65" s="435"/>
      <c r="AA65" s="436"/>
      <c r="AB65" s="436"/>
      <c r="AC65" s="436"/>
      <c r="AD65" s="436"/>
      <c r="AE65" s="436"/>
      <c r="AF65" s="436"/>
      <c r="AG65" s="577"/>
      <c r="AH65" s="430"/>
      <c r="AI65" s="430"/>
      <c r="AJ65" s="430"/>
      <c r="AK65" s="430"/>
      <c r="AL65" s="430"/>
      <c r="AM65" s="430"/>
      <c r="AN65" s="430"/>
      <c r="AO65" s="430"/>
      <c r="AP65" s="430"/>
      <c r="AQ65" s="430"/>
      <c r="AR65" s="430"/>
      <c r="AS65" s="430"/>
      <c r="AT65" s="430"/>
      <c r="AU65" s="430"/>
      <c r="AV65" s="430"/>
      <c r="AW65" s="430"/>
      <c r="AX65" s="430"/>
      <c r="AY65" s="430"/>
      <c r="AZ65" s="430"/>
      <c r="BA65" s="430"/>
      <c r="BB65" s="430"/>
      <c r="BC65" s="430"/>
      <c r="BD65" s="430"/>
      <c r="BE65" s="430"/>
      <c r="BF65" s="430"/>
      <c r="BG65" s="430"/>
      <c r="BH65" s="430"/>
      <c r="BI65" s="430"/>
      <c r="BJ65" s="430"/>
      <c r="BK65" s="430"/>
      <c r="BL65" s="430"/>
      <c r="BM65" s="430"/>
      <c r="BN65" s="430"/>
      <c r="BO65" s="430"/>
      <c r="BP65" s="430"/>
      <c r="BQ65" s="430"/>
      <c r="BR65" s="430"/>
      <c r="BS65" s="430"/>
      <c r="BT65" s="430"/>
      <c r="BU65" s="430"/>
      <c r="BV65" s="430"/>
      <c r="BW65" s="430"/>
      <c r="BX65" s="430"/>
      <c r="BY65" s="430"/>
      <c r="BZ65" s="430"/>
      <c r="CA65" s="430"/>
      <c r="CB65" s="430"/>
      <c r="CC65" s="430"/>
      <c r="CD65" s="430"/>
      <c r="CE65" s="430"/>
      <c r="CF65" s="430"/>
      <c r="CG65" s="430"/>
      <c r="CH65" s="430"/>
      <c r="CI65" s="430"/>
      <c r="CJ65" s="430"/>
      <c r="CK65" s="430"/>
      <c r="CL65" s="430"/>
      <c r="CM65" s="430"/>
      <c r="CN65" s="430"/>
      <c r="CO65" s="430"/>
      <c r="CP65" s="430"/>
      <c r="CQ65" s="430"/>
      <c r="CR65" s="430"/>
      <c r="CS65" s="430"/>
      <c r="CT65" s="430"/>
      <c r="CU65" s="430"/>
      <c r="CV65" s="430"/>
      <c r="CW65" s="430"/>
      <c r="CX65" s="430"/>
      <c r="CY65" s="430"/>
      <c r="CZ65" s="430"/>
      <c r="DA65" s="430"/>
      <c r="DB65" s="430"/>
      <c r="DC65" s="430"/>
      <c r="DD65" s="430"/>
      <c r="DE65" s="430"/>
      <c r="DF65" s="430"/>
      <c r="DG65" s="430"/>
      <c r="DH65" s="430"/>
      <c r="DI65" s="430"/>
      <c r="DJ65" s="430"/>
      <c r="DK65" s="430"/>
      <c r="DL65" s="430"/>
      <c r="DM65" s="430"/>
      <c r="DN65" s="430"/>
      <c r="DO65" s="430"/>
      <c r="DP65" s="430"/>
      <c r="DQ65" s="430"/>
      <c r="DR65" s="430"/>
      <c r="DS65" s="430"/>
      <c r="DT65" s="430"/>
      <c r="DU65" s="430"/>
      <c r="DV65" s="430"/>
      <c r="DW65" s="430"/>
      <c r="DX65" s="430"/>
      <c r="DY65" s="430"/>
      <c r="DZ65" s="430"/>
      <c r="EA65" s="430"/>
      <c r="EB65" s="430"/>
      <c r="EC65" s="430"/>
      <c r="ED65" s="430"/>
      <c r="EE65" s="430"/>
      <c r="EF65" s="430"/>
      <c r="EG65" s="430"/>
      <c r="EH65" s="430"/>
      <c r="EI65" s="430"/>
      <c r="EJ65" s="430"/>
      <c r="EK65" s="430"/>
      <c r="EL65" s="430"/>
      <c r="EM65" s="430"/>
      <c r="EN65" s="430"/>
      <c r="EO65" s="430"/>
      <c r="EP65" s="430"/>
      <c r="EQ65" s="430"/>
      <c r="ER65" s="430"/>
      <c r="ES65" s="430"/>
      <c r="ET65" s="430"/>
      <c r="EU65" s="430"/>
      <c r="EV65" s="430"/>
      <c r="EW65" s="430"/>
      <c r="EX65" s="430"/>
      <c r="EY65" s="430"/>
      <c r="EZ65" s="430"/>
      <c r="FA65" s="430"/>
      <c r="FB65" s="430"/>
      <c r="FC65" s="430"/>
      <c r="FD65" s="430"/>
      <c r="FE65" s="430"/>
      <c r="FF65" s="430"/>
      <c r="FG65" s="430"/>
      <c r="FH65" s="430"/>
      <c r="FI65" s="430"/>
      <c r="FJ65" s="430"/>
      <c r="FK65" s="430"/>
      <c r="FL65" s="430"/>
      <c r="FM65" s="430"/>
      <c r="FN65" s="430"/>
      <c r="FO65" s="430"/>
      <c r="FP65" s="430"/>
      <c r="FQ65" s="430"/>
      <c r="FR65" s="430"/>
      <c r="FS65" s="430"/>
      <c r="FT65" s="430"/>
      <c r="FU65" s="430"/>
      <c r="FV65" s="430"/>
      <c r="FW65" s="430"/>
      <c r="FX65" s="430"/>
      <c r="FY65" s="430"/>
      <c r="FZ65" s="430"/>
      <c r="GA65" s="430"/>
      <c r="GB65" s="430"/>
      <c r="GC65" s="430"/>
      <c r="GD65" s="430"/>
      <c r="GE65" s="430"/>
      <c r="GF65" s="430"/>
      <c r="GG65" s="430"/>
      <c r="GH65" s="430"/>
      <c r="GI65" s="430"/>
      <c r="GJ65" s="430"/>
      <c r="GK65" s="430"/>
      <c r="GL65" s="430"/>
      <c r="GM65" s="430"/>
      <c r="GN65" s="430"/>
      <c r="GO65" s="430"/>
      <c r="GP65" s="430"/>
      <c r="GQ65" s="430"/>
      <c r="GR65" s="430"/>
      <c r="GS65" s="430"/>
      <c r="GT65" s="430"/>
      <c r="GU65" s="430"/>
      <c r="GV65" s="430"/>
      <c r="GW65" s="430"/>
      <c r="GX65" s="430"/>
      <c r="GY65" s="430"/>
      <c r="GZ65" s="430"/>
      <c r="HA65" s="430"/>
      <c r="HB65" s="430"/>
      <c r="HC65" s="430"/>
      <c r="HD65" s="430"/>
      <c r="HE65" s="430"/>
      <c r="HF65" s="430"/>
      <c r="HG65" s="430"/>
      <c r="HH65" s="430"/>
      <c r="HI65" s="430"/>
      <c r="HJ65" s="430"/>
      <c r="HK65" s="430"/>
      <c r="HL65" s="430"/>
      <c r="HM65" s="430"/>
      <c r="HN65" s="430"/>
      <c r="HO65" s="430"/>
      <c r="HP65" s="430"/>
      <c r="HQ65" s="430"/>
      <c r="HR65" s="430"/>
      <c r="HS65" s="430"/>
      <c r="HT65" s="430"/>
      <c r="HU65" s="430"/>
      <c r="HV65" s="430"/>
      <c r="HW65" s="430"/>
      <c r="HX65" s="430"/>
      <c r="HY65" s="430"/>
      <c r="HZ65" s="430"/>
      <c r="IA65" s="430"/>
      <c r="IB65" s="430"/>
      <c r="IC65" s="430"/>
      <c r="ID65" s="430"/>
      <c r="IE65" s="430"/>
      <c r="IF65" s="430"/>
      <c r="IG65" s="430"/>
      <c r="IH65" s="430"/>
      <c r="II65" s="430"/>
      <c r="IJ65" s="434"/>
      <c r="IK65" s="434"/>
      <c r="IL65" s="430"/>
      <c r="IM65" s="430"/>
      <c r="IN65" s="430"/>
      <c r="IO65" s="430"/>
      <c r="IP65" s="430"/>
      <c r="IQ65" s="430"/>
      <c r="IR65" s="430"/>
      <c r="IS65" s="430"/>
      <c r="IT65" s="430"/>
      <c r="IU65" s="430"/>
      <c r="IV65" s="430"/>
      <c r="IW65" s="430"/>
      <c r="IX65" s="430"/>
      <c r="IY65" s="430"/>
      <c r="IZ65" s="430"/>
      <c r="JA65" s="434"/>
      <c r="JB65" s="430"/>
      <c r="JC65" s="430"/>
      <c r="JD65" s="146"/>
      <c r="JE65" s="146"/>
      <c r="JF65" s="146"/>
      <c r="JG65" s="146"/>
      <c r="JH65" s="146"/>
      <c r="JI65" s="146"/>
      <c r="JJ65" s="146"/>
      <c r="JK65" s="146"/>
      <c r="JL65" s="146"/>
      <c r="JM65" s="146"/>
      <c r="JN65" s="146"/>
      <c r="JO65" s="146"/>
      <c r="JP65" s="146"/>
      <c r="JQ65" s="146"/>
      <c r="JR65" s="146"/>
      <c r="JS65" s="146"/>
      <c r="JT65" s="146"/>
      <c r="JU65" s="146"/>
      <c r="JV65" s="146"/>
      <c r="JW65" s="146"/>
      <c r="JX65" s="146"/>
      <c r="JY65" s="146"/>
      <c r="JZ65" s="146"/>
      <c r="KA65" s="146"/>
      <c r="KB65" s="146"/>
      <c r="KC65" s="146"/>
      <c r="KD65" s="146"/>
      <c r="KE65" s="146"/>
      <c r="KF65" s="146"/>
      <c r="KG65" s="146"/>
      <c r="KH65" s="146"/>
      <c r="KI65" s="146"/>
    </row>
    <row r="66" spans="1:295" s="82" customFormat="1" ht="12" customHeight="1">
      <c r="A66" s="8"/>
      <c r="B66" s="8"/>
      <c r="C66" s="1"/>
      <c r="D66" s="758" t="s">
        <v>2331</v>
      </c>
      <c r="E66" s="755">
        <v>4</v>
      </c>
      <c r="F66" s="1322" t="str">
        <f>IF('Part VI-Revenues &amp; Expenses'!$O$153 =0,"",'Part VI-Revenues &amp; Expenses'!$O$153)</f>
        <v/>
      </c>
      <c r="G66" s="756">
        <f>IF('Part IX Scoring Criteria'!$O$108='Part IX Scoring Criteria'!$M$108,$L66,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400411.00000000006</v>
      </c>
      <c r="H66" s="40" t="str">
        <f>CONCATENATE("x ", F66," units = ")</f>
        <v xml:space="preserve">x  units = </v>
      </c>
      <c r="I66" s="1323" t="str">
        <f>IF(F66="","",F66*G66)</f>
        <v/>
      </c>
      <c r="J66" s="42"/>
      <c r="K66" s="1322" t="str">
        <f>IF('Part VI-Revenues &amp; Expenses'!$O$154 =0,"",'Part VI-Revenues &amp; Expenses'!$O$154)</f>
        <v/>
      </c>
      <c r="L66" s="756">
        <f>G66*(1+'DCA Underwriting Assumptions'!$Q$12)</f>
        <v>440452.10000000009</v>
      </c>
      <c r="M66" s="40" t="str">
        <f>CONCATENATE("x ", K66," units = ")</f>
        <v xml:space="preserve">x  units = </v>
      </c>
      <c r="N66" s="1323" t="str">
        <f>IF(K66="","",K66*L66)</f>
        <v/>
      </c>
      <c r="O66" s="514"/>
      <c r="P66" s="3987"/>
      <c r="Q66" s="3987"/>
      <c r="R66" s="396"/>
      <c r="U66" s="35"/>
      <c r="V66" s="432"/>
      <c r="W66" s="432"/>
      <c r="X66" s="433"/>
      <c r="Y66" s="432"/>
      <c r="Z66" s="435"/>
      <c r="AA66" s="436"/>
      <c r="AB66" s="436"/>
      <c r="AC66" s="436"/>
      <c r="AD66" s="436"/>
      <c r="AE66" s="436"/>
      <c r="AF66" s="436"/>
      <c r="AG66" s="577"/>
      <c r="AH66" s="430"/>
      <c r="AI66" s="430"/>
      <c r="AJ66" s="430"/>
      <c r="AK66" s="430"/>
      <c r="AL66" s="430"/>
      <c r="AM66" s="430"/>
      <c r="AN66" s="430"/>
      <c r="AO66" s="430"/>
      <c r="AP66" s="430"/>
      <c r="AQ66" s="430"/>
      <c r="AR66" s="430"/>
      <c r="AS66" s="430"/>
      <c r="AT66" s="430"/>
      <c r="AU66" s="430"/>
      <c r="AV66" s="430"/>
      <c r="AW66" s="430"/>
      <c r="AX66" s="430"/>
      <c r="AY66" s="430"/>
      <c r="AZ66" s="430"/>
      <c r="BA66" s="430"/>
      <c r="BB66" s="430"/>
      <c r="BC66" s="430"/>
      <c r="BD66" s="430"/>
      <c r="BE66" s="430"/>
      <c r="BF66" s="430"/>
      <c r="BG66" s="430"/>
      <c r="BH66" s="430"/>
      <c r="BI66" s="430"/>
      <c r="BJ66" s="430"/>
      <c r="BK66" s="430"/>
      <c r="BL66" s="430"/>
      <c r="BM66" s="430"/>
      <c r="BN66" s="430"/>
      <c r="BO66" s="430"/>
      <c r="BP66" s="430"/>
      <c r="BQ66" s="430"/>
      <c r="BR66" s="430"/>
      <c r="BS66" s="430"/>
      <c r="BT66" s="430"/>
      <c r="BU66" s="430"/>
      <c r="BV66" s="430"/>
      <c r="BW66" s="430"/>
      <c r="BX66" s="430"/>
      <c r="BY66" s="430"/>
      <c r="BZ66" s="430"/>
      <c r="CA66" s="430"/>
      <c r="CB66" s="430"/>
      <c r="CC66" s="430"/>
      <c r="CD66" s="430"/>
      <c r="CE66" s="430"/>
      <c r="CF66" s="430"/>
      <c r="CG66" s="430"/>
      <c r="CH66" s="430"/>
      <c r="CI66" s="430"/>
      <c r="CJ66" s="430"/>
      <c r="CK66" s="430"/>
      <c r="CL66" s="430"/>
      <c r="CM66" s="430"/>
      <c r="CN66" s="430"/>
      <c r="CO66" s="430"/>
      <c r="CP66" s="430"/>
      <c r="CQ66" s="430"/>
      <c r="CR66" s="430"/>
      <c r="CS66" s="430"/>
      <c r="CT66" s="430"/>
      <c r="CU66" s="430"/>
      <c r="CV66" s="430"/>
      <c r="CW66" s="430"/>
      <c r="CX66" s="430"/>
      <c r="CY66" s="430"/>
      <c r="CZ66" s="430"/>
      <c r="DA66" s="430"/>
      <c r="DB66" s="430"/>
      <c r="DC66" s="430"/>
      <c r="DD66" s="430"/>
      <c r="DE66" s="430"/>
      <c r="DF66" s="430"/>
      <c r="DG66" s="430"/>
      <c r="DH66" s="430"/>
      <c r="DI66" s="430"/>
      <c r="DJ66" s="430"/>
      <c r="DK66" s="430"/>
      <c r="DL66" s="430"/>
      <c r="DM66" s="430"/>
      <c r="DN66" s="430"/>
      <c r="DO66" s="430"/>
      <c r="DP66" s="430"/>
      <c r="DQ66" s="430"/>
      <c r="DR66" s="430"/>
      <c r="DS66" s="430"/>
      <c r="DT66" s="430"/>
      <c r="DU66" s="430"/>
      <c r="DV66" s="430"/>
      <c r="DW66" s="430"/>
      <c r="DX66" s="430"/>
      <c r="DY66" s="430"/>
      <c r="DZ66" s="430"/>
      <c r="EA66" s="430"/>
      <c r="EB66" s="430"/>
      <c r="EC66" s="430"/>
      <c r="ED66" s="430"/>
      <c r="EE66" s="430"/>
      <c r="EF66" s="430"/>
      <c r="EG66" s="430"/>
      <c r="EH66" s="430"/>
      <c r="EI66" s="430"/>
      <c r="EJ66" s="430"/>
      <c r="EK66" s="430"/>
      <c r="EL66" s="430"/>
      <c r="EM66" s="430"/>
      <c r="EN66" s="430"/>
      <c r="EO66" s="430"/>
      <c r="EP66" s="430"/>
      <c r="EQ66" s="430"/>
      <c r="ER66" s="430"/>
      <c r="ES66" s="430"/>
      <c r="ET66" s="430"/>
      <c r="EU66" s="430"/>
      <c r="EV66" s="430"/>
      <c r="EW66" s="430"/>
      <c r="EX66" s="430"/>
      <c r="EY66" s="430"/>
      <c r="EZ66" s="430"/>
      <c r="FA66" s="430"/>
      <c r="FB66" s="430"/>
      <c r="FC66" s="430"/>
      <c r="FD66" s="430"/>
      <c r="FE66" s="430"/>
      <c r="FF66" s="430"/>
      <c r="FG66" s="430"/>
      <c r="FH66" s="430"/>
      <c r="FI66" s="430"/>
      <c r="FJ66" s="430"/>
      <c r="FK66" s="430"/>
      <c r="FL66" s="430"/>
      <c r="FM66" s="430"/>
      <c r="FN66" s="430"/>
      <c r="FO66" s="430"/>
      <c r="FP66" s="430"/>
      <c r="FQ66" s="430"/>
      <c r="FR66" s="430"/>
      <c r="FS66" s="430"/>
      <c r="FT66" s="430"/>
      <c r="FU66" s="430"/>
      <c r="FV66" s="430"/>
      <c r="FW66" s="430"/>
      <c r="FX66" s="430"/>
      <c r="FY66" s="430"/>
      <c r="FZ66" s="430"/>
      <c r="GA66" s="430"/>
      <c r="GB66" s="430"/>
      <c r="GC66" s="430"/>
      <c r="GD66" s="430"/>
      <c r="GE66" s="430"/>
      <c r="GF66" s="430"/>
      <c r="GG66" s="430"/>
      <c r="GH66" s="430"/>
      <c r="GI66" s="430"/>
      <c r="GJ66" s="430"/>
      <c r="GK66" s="430"/>
      <c r="GL66" s="430"/>
      <c r="GM66" s="430"/>
      <c r="GN66" s="430"/>
      <c r="GO66" s="430"/>
      <c r="GP66" s="430"/>
      <c r="GQ66" s="430"/>
      <c r="GR66" s="430"/>
      <c r="GS66" s="430"/>
      <c r="GT66" s="430"/>
      <c r="GU66" s="430"/>
      <c r="GV66" s="430"/>
      <c r="GW66" s="430"/>
      <c r="GX66" s="430"/>
      <c r="GY66" s="430"/>
      <c r="GZ66" s="430"/>
      <c r="HA66" s="430"/>
      <c r="HB66" s="430"/>
      <c r="HC66" s="430"/>
      <c r="HD66" s="430"/>
      <c r="HE66" s="430"/>
      <c r="HF66" s="430"/>
      <c r="HG66" s="430"/>
      <c r="HH66" s="430"/>
      <c r="HI66" s="430"/>
      <c r="HJ66" s="430"/>
      <c r="HK66" s="430"/>
      <c r="HL66" s="430"/>
      <c r="HM66" s="430"/>
      <c r="HN66" s="430"/>
      <c r="HO66" s="430"/>
      <c r="HP66" s="430"/>
      <c r="HQ66" s="430"/>
      <c r="HR66" s="430"/>
      <c r="HS66" s="430"/>
      <c r="HT66" s="430"/>
      <c r="HU66" s="430"/>
      <c r="HV66" s="430"/>
      <c r="HW66" s="430"/>
      <c r="HX66" s="430"/>
      <c r="HY66" s="430"/>
      <c r="HZ66" s="430"/>
      <c r="IA66" s="430"/>
      <c r="IB66" s="430"/>
      <c r="IC66" s="430"/>
      <c r="ID66" s="430"/>
      <c r="IE66" s="430"/>
      <c r="IF66" s="430"/>
      <c r="IG66" s="430"/>
      <c r="IH66" s="430"/>
      <c r="II66" s="430"/>
      <c r="IJ66" s="434"/>
      <c r="IK66" s="434"/>
      <c r="IL66" s="430"/>
      <c r="IM66" s="430"/>
      <c r="IN66" s="430"/>
      <c r="IO66" s="430"/>
      <c r="IP66" s="430"/>
      <c r="IQ66" s="430"/>
      <c r="IR66" s="430"/>
      <c r="IS66" s="430"/>
      <c r="IT66" s="430"/>
      <c r="IU66" s="430"/>
      <c r="IV66" s="430"/>
      <c r="IW66" s="430"/>
      <c r="IX66" s="430"/>
      <c r="IY66" s="430"/>
      <c r="IZ66" s="430"/>
      <c r="JA66" s="434"/>
      <c r="JB66" s="430"/>
      <c r="JC66" s="430"/>
      <c r="JD66" s="146"/>
      <c r="JE66" s="146"/>
      <c r="JF66" s="146"/>
      <c r="JG66" s="146"/>
      <c r="JH66" s="146"/>
      <c r="JI66" s="146"/>
      <c r="JJ66" s="146"/>
      <c r="JK66" s="146"/>
      <c r="JL66" s="146"/>
      <c r="JM66" s="146"/>
      <c r="JN66" s="146"/>
      <c r="JO66" s="146"/>
      <c r="JP66" s="146"/>
      <c r="JQ66" s="146"/>
      <c r="JR66" s="146"/>
      <c r="JS66" s="146"/>
      <c r="JT66" s="146"/>
      <c r="JU66" s="146"/>
      <c r="JV66" s="146"/>
      <c r="JW66" s="146"/>
      <c r="JX66" s="146"/>
      <c r="JY66" s="146"/>
      <c r="JZ66" s="146"/>
      <c r="KA66" s="146"/>
      <c r="KB66" s="146"/>
      <c r="KC66" s="146"/>
      <c r="KD66" s="146"/>
      <c r="KE66" s="146"/>
      <c r="KF66" s="146"/>
      <c r="KG66" s="146"/>
      <c r="KH66" s="146"/>
      <c r="KI66" s="146"/>
    </row>
    <row r="67" spans="1:295" s="82" customFormat="1" ht="12" customHeight="1" thickBot="1">
      <c r="A67" s="8"/>
      <c r="B67" s="8"/>
      <c r="C67" s="1"/>
      <c r="D67" s="527" t="s">
        <v>3121</v>
      </c>
      <c r="E67" s="131"/>
      <c r="F67" s="946">
        <f>SUM(F62:F66)</f>
        <v>0</v>
      </c>
      <c r="G67" s="562"/>
      <c r="H67" s="947"/>
      <c r="I67" s="950">
        <f>SUM(I62:I66)</f>
        <v>0</v>
      </c>
      <c r="J67" s="949"/>
      <c r="K67" s="946">
        <f>SUM(K62:K66)</f>
        <v>0</v>
      </c>
      <c r="L67" s="949"/>
      <c r="M67" s="947"/>
      <c r="N67" s="950">
        <f>SUM(N62:N66)</f>
        <v>0</v>
      </c>
      <c r="O67" s="514"/>
      <c r="P67" s="3987"/>
      <c r="Q67" s="3987"/>
      <c r="R67" s="396"/>
      <c r="U67" s="35"/>
      <c r="V67" s="432"/>
      <c r="W67" s="432"/>
      <c r="X67" s="433"/>
      <c r="Y67" s="432"/>
      <c r="Z67" s="435"/>
      <c r="AA67" s="436"/>
      <c r="AB67" s="436"/>
      <c r="AC67" s="436"/>
      <c r="AD67" s="436"/>
      <c r="AE67" s="436"/>
      <c r="AF67" s="436"/>
      <c r="AG67" s="577"/>
      <c r="AH67" s="430"/>
      <c r="AI67" s="430"/>
      <c r="AJ67" s="430"/>
      <c r="AK67" s="430"/>
      <c r="AL67" s="430"/>
      <c r="AM67" s="430"/>
      <c r="AN67" s="430"/>
      <c r="AO67" s="430"/>
      <c r="AP67" s="430"/>
      <c r="AQ67" s="430"/>
      <c r="AR67" s="430"/>
      <c r="AS67" s="430"/>
      <c r="AT67" s="430"/>
      <c r="AU67" s="430"/>
      <c r="AV67" s="430"/>
      <c r="AW67" s="430"/>
      <c r="AX67" s="430"/>
      <c r="AY67" s="430"/>
      <c r="AZ67" s="430"/>
      <c r="BA67" s="430"/>
      <c r="BB67" s="430"/>
      <c r="BC67" s="430"/>
      <c r="BD67" s="430"/>
      <c r="BE67" s="430"/>
      <c r="BF67" s="430"/>
      <c r="BG67" s="430"/>
      <c r="BH67" s="430"/>
      <c r="BI67" s="430"/>
      <c r="BJ67" s="430"/>
      <c r="BK67" s="430"/>
      <c r="BL67" s="430"/>
      <c r="BM67" s="430"/>
      <c r="BN67" s="430"/>
      <c r="BO67" s="430"/>
      <c r="BP67" s="430"/>
      <c r="BQ67" s="430"/>
      <c r="BR67" s="430"/>
      <c r="BS67" s="430"/>
      <c r="BT67" s="430"/>
      <c r="BU67" s="430"/>
      <c r="BV67" s="430"/>
      <c r="BW67" s="430"/>
      <c r="BX67" s="430"/>
      <c r="BY67" s="430"/>
      <c r="BZ67" s="430"/>
      <c r="CA67" s="430"/>
      <c r="CB67" s="430"/>
      <c r="CC67" s="430"/>
      <c r="CD67" s="430"/>
      <c r="CE67" s="430"/>
      <c r="CF67" s="430"/>
      <c r="CG67" s="430"/>
      <c r="CH67" s="430"/>
      <c r="CI67" s="430"/>
      <c r="CJ67" s="430"/>
      <c r="CK67" s="430"/>
      <c r="CL67" s="430"/>
      <c r="CM67" s="430"/>
      <c r="CN67" s="430"/>
      <c r="CO67" s="430"/>
      <c r="CP67" s="430"/>
      <c r="CQ67" s="430"/>
      <c r="CR67" s="430"/>
      <c r="CS67" s="430"/>
      <c r="CT67" s="430"/>
      <c r="CU67" s="430"/>
      <c r="CV67" s="430"/>
      <c r="CW67" s="430"/>
      <c r="CX67" s="430"/>
      <c r="CY67" s="430"/>
      <c r="CZ67" s="430"/>
      <c r="DA67" s="430"/>
      <c r="DB67" s="430"/>
      <c r="DC67" s="430"/>
      <c r="DD67" s="430"/>
      <c r="DE67" s="430"/>
      <c r="DF67" s="430"/>
      <c r="DG67" s="430"/>
      <c r="DH67" s="430"/>
      <c r="DI67" s="430"/>
      <c r="DJ67" s="430"/>
      <c r="DK67" s="430"/>
      <c r="DL67" s="430"/>
      <c r="DM67" s="430"/>
      <c r="DN67" s="430"/>
      <c r="DO67" s="430"/>
      <c r="DP67" s="430"/>
      <c r="DQ67" s="430"/>
      <c r="DR67" s="430"/>
      <c r="DS67" s="430"/>
      <c r="DT67" s="430"/>
      <c r="DU67" s="430"/>
      <c r="DV67" s="430"/>
      <c r="DW67" s="430"/>
      <c r="DX67" s="430"/>
      <c r="DY67" s="430"/>
      <c r="DZ67" s="430"/>
      <c r="EA67" s="430"/>
      <c r="EB67" s="430"/>
      <c r="EC67" s="430"/>
      <c r="ED67" s="430"/>
      <c r="EE67" s="430"/>
      <c r="EF67" s="430"/>
      <c r="EG67" s="430"/>
      <c r="EH67" s="430"/>
      <c r="EI67" s="430"/>
      <c r="EJ67" s="430"/>
      <c r="EK67" s="430"/>
      <c r="EL67" s="430"/>
      <c r="EM67" s="430"/>
      <c r="EN67" s="430"/>
      <c r="EO67" s="430"/>
      <c r="EP67" s="430"/>
      <c r="EQ67" s="430"/>
      <c r="ER67" s="430"/>
      <c r="ES67" s="430"/>
      <c r="ET67" s="430"/>
      <c r="EU67" s="430"/>
      <c r="EV67" s="430"/>
      <c r="EW67" s="430"/>
      <c r="EX67" s="430"/>
      <c r="EY67" s="430"/>
      <c r="EZ67" s="430"/>
      <c r="FA67" s="430"/>
      <c r="FB67" s="430"/>
      <c r="FC67" s="430"/>
      <c r="FD67" s="430"/>
      <c r="FE67" s="430"/>
      <c r="FF67" s="430"/>
      <c r="FG67" s="430"/>
      <c r="FH67" s="430"/>
      <c r="FI67" s="430"/>
      <c r="FJ67" s="430"/>
      <c r="FK67" s="430"/>
      <c r="FL67" s="430"/>
      <c r="FM67" s="430"/>
      <c r="FN67" s="430"/>
      <c r="FO67" s="430"/>
      <c r="FP67" s="430"/>
      <c r="FQ67" s="430"/>
      <c r="FR67" s="430"/>
      <c r="FS67" s="430"/>
      <c r="FT67" s="430"/>
      <c r="FU67" s="430"/>
      <c r="FV67" s="430"/>
      <c r="FW67" s="430"/>
      <c r="FX67" s="430"/>
      <c r="FY67" s="430"/>
      <c r="FZ67" s="430"/>
      <c r="GA67" s="430"/>
      <c r="GB67" s="430"/>
      <c r="GC67" s="430"/>
      <c r="GD67" s="430"/>
      <c r="GE67" s="430"/>
      <c r="GF67" s="430"/>
      <c r="GG67" s="430"/>
      <c r="GH67" s="430"/>
      <c r="GI67" s="430"/>
      <c r="GJ67" s="430"/>
      <c r="GK67" s="430"/>
      <c r="GL67" s="430"/>
      <c r="GM67" s="430"/>
      <c r="GN67" s="430"/>
      <c r="GO67" s="430"/>
      <c r="GP67" s="430"/>
      <c r="GQ67" s="430"/>
      <c r="GR67" s="430"/>
      <c r="GS67" s="430"/>
      <c r="GT67" s="430"/>
      <c r="GU67" s="430"/>
      <c r="GV67" s="430"/>
      <c r="GW67" s="430"/>
      <c r="GX67" s="430"/>
      <c r="GY67" s="430"/>
      <c r="GZ67" s="430"/>
      <c r="HA67" s="430"/>
      <c r="HB67" s="430"/>
      <c r="HC67" s="430"/>
      <c r="HD67" s="430"/>
      <c r="HE67" s="430"/>
      <c r="HF67" s="430"/>
      <c r="HG67" s="430"/>
      <c r="HH67" s="430"/>
      <c r="HI67" s="430"/>
      <c r="HJ67" s="430"/>
      <c r="HK67" s="430"/>
      <c r="HL67" s="430"/>
      <c r="HM67" s="430"/>
      <c r="HN67" s="430"/>
      <c r="HO67" s="430"/>
      <c r="HP67" s="430"/>
      <c r="HQ67" s="430"/>
      <c r="HR67" s="430"/>
      <c r="HS67" s="430"/>
      <c r="HT67" s="430"/>
      <c r="HU67" s="430"/>
      <c r="HV67" s="430"/>
      <c r="HW67" s="430"/>
      <c r="HX67" s="430"/>
      <c r="HY67" s="430"/>
      <c r="HZ67" s="430"/>
      <c r="IA67" s="430"/>
      <c r="IB67" s="430"/>
      <c r="IC67" s="430"/>
      <c r="ID67" s="430"/>
      <c r="IE67" s="430"/>
      <c r="IF67" s="430"/>
      <c r="IG67" s="430"/>
      <c r="IH67" s="430"/>
      <c r="II67" s="430"/>
      <c r="IJ67" s="434"/>
      <c r="IK67" s="434"/>
      <c r="IL67" s="430"/>
      <c r="IM67" s="430"/>
      <c r="IN67" s="430"/>
      <c r="IO67" s="430"/>
      <c r="IP67" s="430"/>
      <c r="IQ67" s="430"/>
      <c r="IR67" s="430"/>
      <c r="IS67" s="430"/>
      <c r="IT67" s="430"/>
      <c r="IU67" s="430"/>
      <c r="IV67" s="430"/>
      <c r="IW67" s="430"/>
      <c r="IX67" s="430"/>
      <c r="IY67" s="430"/>
      <c r="IZ67" s="430"/>
      <c r="JA67" s="434"/>
      <c r="JB67" s="430"/>
      <c r="JC67" s="430"/>
      <c r="JD67" s="146"/>
      <c r="JE67" s="146"/>
      <c r="JF67" s="146"/>
      <c r="JG67" s="146"/>
      <c r="JH67" s="146"/>
      <c r="JI67" s="146"/>
      <c r="JJ67" s="146"/>
      <c r="JK67" s="146"/>
      <c r="JL67" s="146"/>
      <c r="JM67" s="146"/>
      <c r="JN67" s="146"/>
      <c r="JO67" s="146"/>
      <c r="JP67" s="146"/>
      <c r="JQ67" s="146"/>
      <c r="JR67" s="146"/>
      <c r="JS67" s="146"/>
      <c r="JT67" s="146"/>
      <c r="JU67" s="146"/>
      <c r="JV67" s="146"/>
      <c r="JW67" s="146"/>
      <c r="JX67" s="146"/>
      <c r="JY67" s="146"/>
      <c r="JZ67" s="146"/>
      <c r="KA67" s="146"/>
      <c r="KB67" s="146"/>
      <c r="KC67" s="146"/>
      <c r="KD67" s="146"/>
      <c r="KE67" s="146"/>
      <c r="KF67" s="146"/>
      <c r="KG67" s="146"/>
      <c r="KH67" s="146"/>
      <c r="KI67" s="146"/>
    </row>
    <row r="68" spans="1:295" s="82" customFormat="1" ht="3.75" customHeight="1" thickTop="1" thickBot="1">
      <c r="A68" s="8"/>
      <c r="B68" s="8"/>
      <c r="C68" s="1"/>
      <c r="D68" s="1"/>
      <c r="E68" s="89"/>
      <c r="F68" s="1"/>
      <c r="G68" s="52"/>
      <c r="H68" s="513"/>
      <c r="I68" s="513"/>
      <c r="J68" s="513"/>
      <c r="K68" s="513"/>
      <c r="L68" s="513"/>
      <c r="M68" s="513"/>
      <c r="N68" s="2661"/>
      <c r="O68" s="514"/>
      <c r="P68" s="3987"/>
      <c r="Q68" s="3987"/>
      <c r="R68" s="396"/>
      <c r="S68" s="396"/>
      <c r="T68" s="35"/>
      <c r="U68" s="35"/>
      <c r="V68" s="432"/>
      <c r="W68" s="432"/>
      <c r="X68" s="433"/>
      <c r="Y68" s="432"/>
      <c r="Z68" s="435"/>
      <c r="AA68" s="436"/>
      <c r="AB68" s="436"/>
      <c r="AC68" s="436"/>
      <c r="AD68" s="436"/>
      <c r="AE68" s="436"/>
      <c r="AF68" s="436"/>
      <c r="AG68" s="577"/>
      <c r="AH68" s="430"/>
      <c r="AI68" s="430"/>
      <c r="AJ68" s="430"/>
      <c r="AK68" s="430"/>
      <c r="AL68" s="430"/>
      <c r="AM68" s="430"/>
      <c r="AN68" s="430"/>
      <c r="AO68" s="430"/>
      <c r="AP68" s="430"/>
      <c r="AQ68" s="430"/>
      <c r="AR68" s="430"/>
      <c r="AS68" s="430"/>
      <c r="AT68" s="430"/>
      <c r="AU68" s="430"/>
      <c r="AV68" s="430"/>
      <c r="AW68" s="430"/>
      <c r="AX68" s="430"/>
      <c r="AY68" s="430"/>
      <c r="AZ68" s="430"/>
      <c r="BA68" s="430"/>
      <c r="BB68" s="430"/>
      <c r="BC68" s="430"/>
      <c r="BD68" s="430"/>
      <c r="BE68" s="430"/>
      <c r="BF68" s="430"/>
      <c r="BG68" s="430"/>
      <c r="BH68" s="430"/>
      <c r="BI68" s="430"/>
      <c r="BJ68" s="430"/>
      <c r="BK68" s="430"/>
      <c r="BL68" s="430"/>
      <c r="BM68" s="430"/>
      <c r="BN68" s="430"/>
      <c r="BO68" s="430"/>
      <c r="BP68" s="430"/>
      <c r="BQ68" s="430"/>
      <c r="BR68" s="430"/>
      <c r="BS68" s="430"/>
      <c r="BT68" s="430"/>
      <c r="BU68" s="430"/>
      <c r="BV68" s="430"/>
      <c r="BW68" s="430"/>
      <c r="BX68" s="430"/>
      <c r="BY68" s="430"/>
      <c r="BZ68" s="430"/>
      <c r="CA68" s="430"/>
      <c r="CB68" s="430"/>
      <c r="CC68" s="430"/>
      <c r="CD68" s="430"/>
      <c r="CE68" s="430"/>
      <c r="CF68" s="430"/>
      <c r="CG68" s="430"/>
      <c r="CH68" s="430"/>
      <c r="CI68" s="430"/>
      <c r="CJ68" s="430"/>
      <c r="CK68" s="430"/>
      <c r="CL68" s="430"/>
      <c r="CM68" s="430"/>
      <c r="CN68" s="430"/>
      <c r="CO68" s="430"/>
      <c r="CP68" s="430"/>
      <c r="CQ68" s="430"/>
      <c r="CR68" s="430"/>
      <c r="CS68" s="430"/>
      <c r="CT68" s="430"/>
      <c r="CU68" s="430"/>
      <c r="CV68" s="430"/>
      <c r="CW68" s="430"/>
      <c r="CX68" s="430"/>
      <c r="CY68" s="430"/>
      <c r="CZ68" s="430"/>
      <c r="DA68" s="430"/>
      <c r="DB68" s="430"/>
      <c r="DC68" s="430"/>
      <c r="DD68" s="430"/>
      <c r="DE68" s="430"/>
      <c r="DF68" s="430"/>
      <c r="DG68" s="430"/>
      <c r="DH68" s="430"/>
      <c r="DI68" s="430"/>
      <c r="DJ68" s="430"/>
      <c r="DK68" s="430"/>
      <c r="DL68" s="430"/>
      <c r="DM68" s="430"/>
      <c r="DN68" s="430"/>
      <c r="DO68" s="430"/>
      <c r="DP68" s="430"/>
      <c r="DQ68" s="430"/>
      <c r="DR68" s="430"/>
      <c r="DS68" s="430"/>
      <c r="DT68" s="430"/>
      <c r="DU68" s="430"/>
      <c r="DV68" s="430"/>
      <c r="DW68" s="430"/>
      <c r="DX68" s="430"/>
      <c r="DY68" s="430"/>
      <c r="DZ68" s="430"/>
      <c r="EA68" s="430"/>
      <c r="EB68" s="430"/>
      <c r="EC68" s="430"/>
      <c r="ED68" s="430"/>
      <c r="EE68" s="430"/>
      <c r="EF68" s="430"/>
      <c r="EG68" s="430"/>
      <c r="EH68" s="430"/>
      <c r="EI68" s="430"/>
      <c r="EJ68" s="430"/>
      <c r="EK68" s="430"/>
      <c r="EL68" s="430"/>
      <c r="EM68" s="430"/>
      <c r="EN68" s="430"/>
      <c r="EO68" s="430"/>
      <c r="EP68" s="430"/>
      <c r="EQ68" s="430"/>
      <c r="ER68" s="430"/>
      <c r="ES68" s="430"/>
      <c r="ET68" s="430"/>
      <c r="EU68" s="430"/>
      <c r="EV68" s="430"/>
      <c r="EW68" s="430"/>
      <c r="EX68" s="430"/>
      <c r="EY68" s="430"/>
      <c r="EZ68" s="430"/>
      <c r="FA68" s="430"/>
      <c r="FB68" s="430"/>
      <c r="FC68" s="430"/>
      <c r="FD68" s="430"/>
      <c r="FE68" s="430"/>
      <c r="FF68" s="430"/>
      <c r="FG68" s="430"/>
      <c r="FH68" s="430"/>
      <c r="FI68" s="430"/>
      <c r="FJ68" s="430"/>
      <c r="FK68" s="430"/>
      <c r="FL68" s="430"/>
      <c r="FM68" s="430"/>
      <c r="FN68" s="430"/>
      <c r="FO68" s="430"/>
      <c r="FP68" s="430"/>
      <c r="FQ68" s="430"/>
      <c r="FR68" s="430"/>
      <c r="FS68" s="430"/>
      <c r="FT68" s="430"/>
      <c r="FU68" s="430"/>
      <c r="FV68" s="430"/>
      <c r="FW68" s="430"/>
      <c r="FX68" s="430"/>
      <c r="FY68" s="430"/>
      <c r="FZ68" s="430"/>
      <c r="GA68" s="430"/>
      <c r="GB68" s="430"/>
      <c r="GC68" s="430"/>
      <c r="GD68" s="430"/>
      <c r="GE68" s="430"/>
      <c r="GF68" s="430"/>
      <c r="GG68" s="430"/>
      <c r="GH68" s="430"/>
      <c r="GI68" s="430"/>
      <c r="GJ68" s="430"/>
      <c r="GK68" s="430"/>
      <c r="GL68" s="430"/>
      <c r="GM68" s="430"/>
      <c r="GN68" s="430"/>
      <c r="GO68" s="430"/>
      <c r="GP68" s="430"/>
      <c r="GQ68" s="430"/>
      <c r="GR68" s="430"/>
      <c r="GS68" s="430"/>
      <c r="GT68" s="430"/>
      <c r="GU68" s="430"/>
      <c r="GV68" s="430"/>
      <c r="GW68" s="430"/>
      <c r="GX68" s="430"/>
      <c r="GY68" s="430"/>
      <c r="GZ68" s="430"/>
      <c r="HA68" s="430"/>
      <c r="HB68" s="430"/>
      <c r="HC68" s="430"/>
      <c r="HD68" s="430"/>
      <c r="HE68" s="430"/>
      <c r="HF68" s="430"/>
      <c r="HG68" s="430"/>
      <c r="HH68" s="430"/>
      <c r="HI68" s="430"/>
      <c r="HJ68" s="430"/>
      <c r="HK68" s="430"/>
      <c r="HL68" s="430"/>
      <c r="HM68" s="430"/>
      <c r="HN68" s="430"/>
      <c r="HO68" s="430"/>
      <c r="HP68" s="430"/>
      <c r="HQ68" s="430"/>
      <c r="HR68" s="430"/>
      <c r="HS68" s="430"/>
      <c r="HT68" s="430"/>
      <c r="HU68" s="430"/>
      <c r="HV68" s="430"/>
      <c r="HW68" s="430"/>
      <c r="HX68" s="430"/>
      <c r="HY68" s="430"/>
      <c r="HZ68" s="430"/>
      <c r="IA68" s="430"/>
      <c r="IB68" s="430"/>
      <c r="IC68" s="430"/>
      <c r="ID68" s="430"/>
      <c r="IE68" s="430"/>
      <c r="IF68" s="430"/>
      <c r="IG68" s="430"/>
      <c r="IH68" s="430"/>
      <c r="II68" s="430"/>
      <c r="IJ68" s="434"/>
      <c r="IK68" s="434"/>
      <c r="IL68" s="430"/>
      <c r="IM68" s="430"/>
      <c r="IN68" s="430"/>
      <c r="IO68" s="430"/>
      <c r="IP68" s="430"/>
      <c r="IQ68" s="430"/>
      <c r="IR68" s="430"/>
      <c r="IS68" s="430"/>
      <c r="IT68" s="430"/>
      <c r="IU68" s="430"/>
      <c r="IV68" s="430"/>
      <c r="IW68" s="430"/>
      <c r="IX68" s="430"/>
      <c r="IY68" s="430"/>
      <c r="IZ68" s="430"/>
      <c r="JA68" s="434"/>
      <c r="JB68" s="430"/>
      <c r="JC68" s="430"/>
      <c r="JD68" s="146"/>
      <c r="JE68" s="146"/>
      <c r="JF68" s="146"/>
      <c r="JG68" s="146"/>
      <c r="JH68" s="146"/>
      <c r="JI68" s="146"/>
      <c r="JJ68" s="146"/>
      <c r="JK68" s="146"/>
      <c r="JL68" s="146"/>
      <c r="JM68" s="146"/>
      <c r="JN68" s="146"/>
      <c r="JO68" s="146"/>
      <c r="JP68" s="146"/>
      <c r="JQ68" s="146"/>
      <c r="JR68" s="146"/>
      <c r="JS68" s="146"/>
      <c r="JT68" s="146"/>
      <c r="JU68" s="146"/>
      <c r="JV68" s="146"/>
      <c r="JW68" s="146"/>
      <c r="JX68" s="146"/>
      <c r="JY68" s="146"/>
      <c r="JZ68" s="146"/>
      <c r="KA68" s="146"/>
      <c r="KB68" s="146"/>
      <c r="KC68" s="146"/>
      <c r="KD68" s="146"/>
      <c r="KE68" s="146"/>
      <c r="KF68" s="146"/>
      <c r="KG68" s="146"/>
      <c r="KH68" s="146"/>
      <c r="KI68" s="146"/>
    </row>
    <row r="69" spans="1:295" s="82" customFormat="1" ht="12.75" customHeight="1" thickTop="1">
      <c r="A69" s="112" t="s">
        <v>3122</v>
      </c>
      <c r="B69" s="1"/>
      <c r="C69" s="1"/>
      <c r="D69" s="90"/>
      <c r="E69" s="109"/>
      <c r="F69" s="553">
        <f>F46+F53+F60+F67</f>
        <v>72</v>
      </c>
      <c r="G69" s="324"/>
      <c r="H69" s="4082">
        <f>I46+I53+I60+I67</f>
        <v>17510765</v>
      </c>
      <c r="I69" s="4082"/>
      <c r="J69" s="4082"/>
      <c r="K69" s="553">
        <f>K46+K53+K60+K67</f>
        <v>0</v>
      </c>
      <c r="L69" s="554"/>
      <c r="M69" s="4082">
        <f>N46+N53+N60+N67</f>
        <v>0</v>
      </c>
      <c r="N69" s="4082"/>
      <c r="O69" s="4082"/>
      <c r="P69" s="3987"/>
      <c r="Q69" s="3987"/>
      <c r="R69" s="396"/>
      <c r="S69" s="396"/>
      <c r="T69" s="35"/>
      <c r="U69" s="35"/>
      <c r="V69" s="432"/>
      <c r="W69" s="432"/>
      <c r="X69" s="433"/>
      <c r="Y69" s="432"/>
      <c r="Z69" s="435"/>
      <c r="AA69" s="436"/>
      <c r="AB69" s="436"/>
      <c r="AC69" s="436"/>
      <c r="AD69" s="436"/>
      <c r="AE69" s="436"/>
      <c r="AF69" s="436"/>
      <c r="AG69" s="577"/>
      <c r="AH69" s="430"/>
      <c r="AI69" s="430"/>
      <c r="AJ69" s="430"/>
      <c r="AK69" s="430"/>
      <c r="AL69" s="430"/>
      <c r="AM69" s="430"/>
      <c r="AN69" s="430"/>
      <c r="AO69" s="430"/>
      <c r="AP69" s="430"/>
      <c r="AQ69" s="430"/>
      <c r="AR69" s="430"/>
      <c r="AS69" s="430"/>
      <c r="AT69" s="430"/>
      <c r="AU69" s="430"/>
      <c r="AV69" s="430"/>
      <c r="AW69" s="430"/>
      <c r="AX69" s="430"/>
      <c r="AY69" s="430"/>
      <c r="AZ69" s="430"/>
      <c r="BA69" s="430"/>
      <c r="BB69" s="430"/>
      <c r="BC69" s="430"/>
      <c r="BD69" s="430"/>
      <c r="BE69" s="430"/>
      <c r="BF69" s="430"/>
      <c r="BG69" s="430"/>
      <c r="BH69" s="430"/>
      <c r="BI69" s="430"/>
      <c r="BJ69" s="430"/>
      <c r="BK69" s="430"/>
      <c r="BL69" s="430"/>
      <c r="BM69" s="430"/>
      <c r="BN69" s="430"/>
      <c r="BO69" s="430"/>
      <c r="BP69" s="430"/>
      <c r="BQ69" s="430"/>
      <c r="BR69" s="430"/>
      <c r="BS69" s="430"/>
      <c r="BT69" s="430"/>
      <c r="BU69" s="430"/>
      <c r="BV69" s="430"/>
      <c r="BW69" s="430"/>
      <c r="BX69" s="430"/>
      <c r="BY69" s="430"/>
      <c r="BZ69" s="430"/>
      <c r="CA69" s="430"/>
      <c r="CB69" s="430"/>
      <c r="CC69" s="430"/>
      <c r="CD69" s="430"/>
      <c r="CE69" s="430"/>
      <c r="CF69" s="430"/>
      <c r="CG69" s="430"/>
      <c r="CH69" s="430"/>
      <c r="CI69" s="430"/>
      <c r="CJ69" s="430"/>
      <c r="CK69" s="430"/>
      <c r="CL69" s="430"/>
      <c r="CM69" s="430"/>
      <c r="CN69" s="430"/>
      <c r="CO69" s="430"/>
      <c r="CP69" s="430"/>
      <c r="CQ69" s="430"/>
      <c r="CR69" s="430"/>
      <c r="CS69" s="430"/>
      <c r="CT69" s="430"/>
      <c r="CU69" s="430"/>
      <c r="CV69" s="430"/>
      <c r="CW69" s="430"/>
      <c r="CX69" s="430"/>
      <c r="CY69" s="430"/>
      <c r="CZ69" s="430"/>
      <c r="DA69" s="430"/>
      <c r="DB69" s="430"/>
      <c r="DC69" s="430"/>
      <c r="DD69" s="430"/>
      <c r="DE69" s="430"/>
      <c r="DF69" s="430"/>
      <c r="DG69" s="430"/>
      <c r="DH69" s="430"/>
      <c r="DI69" s="430"/>
      <c r="DJ69" s="430"/>
      <c r="DK69" s="430"/>
      <c r="DL69" s="430"/>
      <c r="DM69" s="430"/>
      <c r="DN69" s="430"/>
      <c r="DO69" s="430"/>
      <c r="DP69" s="430"/>
      <c r="DQ69" s="430"/>
      <c r="DR69" s="430"/>
      <c r="DS69" s="430"/>
      <c r="DT69" s="430"/>
      <c r="DU69" s="430"/>
      <c r="DV69" s="430"/>
      <c r="DW69" s="430"/>
      <c r="DX69" s="430"/>
      <c r="DY69" s="430"/>
      <c r="DZ69" s="430"/>
      <c r="EA69" s="430"/>
      <c r="EB69" s="430"/>
      <c r="EC69" s="430"/>
      <c r="ED69" s="430"/>
      <c r="EE69" s="430"/>
      <c r="EF69" s="430"/>
      <c r="EG69" s="430"/>
      <c r="EH69" s="430"/>
      <c r="EI69" s="430"/>
      <c r="EJ69" s="430"/>
      <c r="EK69" s="430"/>
      <c r="EL69" s="430"/>
      <c r="EM69" s="430"/>
      <c r="EN69" s="430"/>
      <c r="EO69" s="430"/>
      <c r="EP69" s="430"/>
      <c r="EQ69" s="430"/>
      <c r="ER69" s="430"/>
      <c r="ES69" s="430"/>
      <c r="ET69" s="430"/>
      <c r="EU69" s="430"/>
      <c r="EV69" s="430"/>
      <c r="EW69" s="430"/>
      <c r="EX69" s="430"/>
      <c r="EY69" s="430"/>
      <c r="EZ69" s="430"/>
      <c r="FA69" s="430"/>
      <c r="FB69" s="430"/>
      <c r="FC69" s="430"/>
      <c r="FD69" s="430"/>
      <c r="FE69" s="430"/>
      <c r="FF69" s="430"/>
      <c r="FG69" s="430"/>
      <c r="FH69" s="430"/>
      <c r="FI69" s="430"/>
      <c r="FJ69" s="430"/>
      <c r="FK69" s="430"/>
      <c r="FL69" s="430"/>
      <c r="FM69" s="430"/>
      <c r="FN69" s="430"/>
      <c r="FO69" s="430"/>
      <c r="FP69" s="430"/>
      <c r="FQ69" s="430"/>
      <c r="FR69" s="430"/>
      <c r="FS69" s="430"/>
      <c r="FT69" s="430"/>
      <c r="FU69" s="430"/>
      <c r="FV69" s="430"/>
      <c r="FW69" s="430"/>
      <c r="FX69" s="430"/>
      <c r="FY69" s="430"/>
      <c r="FZ69" s="430"/>
      <c r="GA69" s="430"/>
      <c r="GB69" s="430"/>
      <c r="GC69" s="430"/>
      <c r="GD69" s="430"/>
      <c r="GE69" s="430"/>
      <c r="GF69" s="430"/>
      <c r="GG69" s="430"/>
      <c r="GH69" s="430"/>
      <c r="GI69" s="430"/>
      <c r="GJ69" s="430"/>
      <c r="GK69" s="430"/>
      <c r="GL69" s="430"/>
      <c r="GM69" s="430"/>
      <c r="GN69" s="430"/>
      <c r="GO69" s="430"/>
      <c r="GP69" s="430"/>
      <c r="GQ69" s="430"/>
      <c r="GR69" s="430"/>
      <c r="GS69" s="430"/>
      <c r="GT69" s="430"/>
      <c r="GU69" s="430"/>
      <c r="GV69" s="430"/>
      <c r="GW69" s="430"/>
      <c r="GX69" s="430"/>
      <c r="GY69" s="430"/>
      <c r="GZ69" s="430"/>
      <c r="HA69" s="430"/>
      <c r="HB69" s="430"/>
      <c r="HC69" s="430"/>
      <c r="HD69" s="430"/>
      <c r="HE69" s="430"/>
      <c r="HF69" s="430"/>
      <c r="HG69" s="430"/>
      <c r="HH69" s="430"/>
      <c r="HI69" s="430"/>
      <c r="HJ69" s="430"/>
      <c r="HK69" s="430"/>
      <c r="HL69" s="430"/>
      <c r="HM69" s="430"/>
      <c r="HN69" s="430"/>
      <c r="HO69" s="430"/>
      <c r="HP69" s="430"/>
      <c r="HQ69" s="430"/>
      <c r="HR69" s="430"/>
      <c r="HS69" s="430"/>
      <c r="HT69" s="430"/>
      <c r="HU69" s="430"/>
      <c r="HV69" s="430"/>
      <c r="HW69" s="430"/>
      <c r="HX69" s="430"/>
      <c r="HY69" s="430"/>
      <c r="HZ69" s="430"/>
      <c r="IA69" s="430"/>
      <c r="IB69" s="430"/>
      <c r="IC69" s="430"/>
      <c r="ID69" s="430"/>
      <c r="IE69" s="430"/>
      <c r="IF69" s="430"/>
      <c r="IG69" s="430"/>
      <c r="IH69" s="430"/>
      <c r="II69" s="430"/>
      <c r="IJ69" s="434"/>
      <c r="IK69" s="434"/>
      <c r="IL69" s="430"/>
      <c r="IM69" s="430"/>
      <c r="IN69" s="430"/>
      <c r="IO69" s="430"/>
      <c r="IP69" s="430"/>
      <c r="IQ69" s="430"/>
      <c r="IR69" s="430"/>
      <c r="IS69" s="430"/>
      <c r="IT69" s="430"/>
      <c r="IU69" s="430"/>
      <c r="IV69" s="430"/>
      <c r="IW69" s="430"/>
      <c r="IX69" s="430"/>
      <c r="IY69" s="430"/>
      <c r="IZ69" s="430"/>
      <c r="JA69" s="434"/>
      <c r="JB69" s="430"/>
      <c r="JC69" s="430"/>
      <c r="JD69" s="146"/>
      <c r="JE69" s="146"/>
      <c r="JF69" s="146"/>
      <c r="JG69" s="146"/>
      <c r="JH69" s="146"/>
      <c r="JI69" s="146"/>
      <c r="JJ69" s="146"/>
      <c r="JK69" s="146"/>
      <c r="JL69" s="146"/>
      <c r="JM69" s="146"/>
      <c r="JN69" s="146"/>
      <c r="JO69" s="146"/>
      <c r="JP69" s="146"/>
      <c r="JQ69" s="146"/>
      <c r="JR69" s="146"/>
      <c r="JS69" s="146"/>
      <c r="JT69" s="146"/>
      <c r="JU69" s="146"/>
      <c r="JV69" s="146"/>
      <c r="JW69" s="146"/>
      <c r="JX69" s="146"/>
      <c r="JY69" s="146"/>
      <c r="JZ69" s="146"/>
      <c r="KA69" s="146"/>
      <c r="KB69" s="146"/>
      <c r="KC69" s="146"/>
      <c r="KD69" s="146"/>
      <c r="KE69" s="146"/>
      <c r="KF69" s="146"/>
      <c r="KG69" s="146"/>
      <c r="KH69" s="146"/>
      <c r="KI69" s="146"/>
    </row>
    <row r="70" spans="1:295" ht="10.5" customHeight="1">
      <c r="B70" s="94" t="s">
        <v>3372</v>
      </c>
      <c r="D70" s="94"/>
      <c r="E70" s="94"/>
      <c r="F70" s="94"/>
      <c r="G70" s="94"/>
      <c r="H70" s="40"/>
      <c r="I70" s="2672"/>
      <c r="J70" s="2672"/>
      <c r="K70" s="135" t="s">
        <v>1779</v>
      </c>
      <c r="L70" s="1401"/>
      <c r="M70" s="1401"/>
      <c r="N70" s="1401"/>
      <c r="O70" s="1401"/>
      <c r="P70" s="3988"/>
      <c r="Q70" s="3988"/>
    </row>
    <row r="71" spans="1:295" ht="15.75" customHeight="1">
      <c r="A71" s="3961" t="s">
        <v>6962</v>
      </c>
      <c r="B71" s="3962"/>
      <c r="C71" s="3962"/>
      <c r="D71" s="3962"/>
      <c r="E71" s="3962"/>
      <c r="F71" s="3962"/>
      <c r="G71" s="3962"/>
      <c r="H71" s="3962"/>
      <c r="I71" s="3962"/>
      <c r="J71" s="3963"/>
      <c r="K71" s="3968"/>
      <c r="L71" s="3969"/>
      <c r="M71" s="3969"/>
      <c r="N71" s="3969"/>
      <c r="O71" s="3969"/>
      <c r="P71" s="3969"/>
      <c r="Q71" s="3970"/>
      <c r="R71" s="427" t="s">
        <v>1208</v>
      </c>
      <c r="U71" s="134"/>
      <c r="V71" s="134"/>
      <c r="W71" s="134"/>
      <c r="X71" s="134"/>
      <c r="Y71" s="134"/>
      <c r="Z71" s="134"/>
      <c r="AA71" s="134"/>
      <c r="AB71" s="134"/>
      <c r="AC71" s="134"/>
      <c r="AD71" s="134"/>
      <c r="AE71" s="441"/>
    </row>
    <row r="72" spans="1:295" ht="3" customHeight="1">
      <c r="B72" s="2672"/>
      <c r="C72" s="2655"/>
      <c r="D72" s="2655"/>
      <c r="E72" s="2655"/>
      <c r="F72" s="2655"/>
      <c r="G72" s="2655"/>
      <c r="H72" s="2655"/>
      <c r="I72" s="2655"/>
      <c r="J72" s="2655"/>
      <c r="K72" s="2655"/>
      <c r="L72" s="2655"/>
      <c r="M72" s="2655"/>
      <c r="N72" s="2655"/>
      <c r="O72" s="2655"/>
      <c r="P72" s="2655"/>
      <c r="Q72" s="1401"/>
    </row>
    <row r="73" spans="1:295" ht="12.75" customHeight="1">
      <c r="A73" s="2650" t="s">
        <v>712</v>
      </c>
      <c r="B73" s="4" t="s">
        <v>1146</v>
      </c>
      <c r="C73" s="4"/>
      <c r="D73" s="4"/>
      <c r="E73" s="2655"/>
      <c r="F73" s="2655"/>
      <c r="O73" s="130" t="s">
        <v>1780</v>
      </c>
      <c r="P73" s="3959"/>
      <c r="Q73" s="3960"/>
    </row>
    <row r="74" spans="1:295" ht="12.75" customHeight="1">
      <c r="A74" s="2650"/>
      <c r="B74" s="138" t="s">
        <v>6432</v>
      </c>
      <c r="C74" s="4"/>
      <c r="D74" s="4"/>
      <c r="E74" s="2655"/>
      <c r="F74" s="2655"/>
      <c r="G74" s="956" t="str">
        <f>'Part I-Project Information'!$H$77</f>
        <v>Family</v>
      </c>
      <c r="H74" s="2655"/>
      <c r="J74" s="1663" t="str">
        <f>IF(OR(G74="Other Senior/Elderly",G74= "Other Non-Senior"),'Part I-Project Information'!$M$77,"")</f>
        <v/>
      </c>
      <c r="K74" s="956"/>
      <c r="O74" s="130"/>
      <c r="P74" s="130"/>
      <c r="Q74" s="130"/>
    </row>
    <row r="75" spans="1:295" ht="12.75" customHeight="1">
      <c r="A75" s="2650"/>
      <c r="B75" s="138" t="s">
        <v>6433</v>
      </c>
      <c r="C75" s="4"/>
      <c r="D75" s="4"/>
      <c r="E75" s="2655"/>
      <c r="F75" s="2655"/>
      <c r="G75" s="956" t="str">
        <f>'Part I-Project Information'!$H$82</f>
        <v>&lt;&lt; Select CURRENT Tenancy &gt;&gt;</v>
      </c>
      <c r="H75" s="2655"/>
      <c r="J75" s="1663" t="str">
        <f>IF(OR(G75="Other Senior/Elderly",G75= "Other Non-Senior"),'Part I-Project Information'!$M$77,"")</f>
        <v/>
      </c>
      <c r="K75" s="956"/>
      <c r="O75" s="130"/>
      <c r="P75" s="130"/>
      <c r="Q75" s="130"/>
    </row>
    <row r="76" spans="1:295" ht="10.5" customHeight="1">
      <c r="B76" s="94" t="s">
        <v>3372</v>
      </c>
      <c r="D76" s="94"/>
      <c r="E76" s="94"/>
      <c r="F76" s="94"/>
      <c r="G76" s="94"/>
      <c r="H76" s="40"/>
      <c r="I76" s="2672"/>
      <c r="J76" s="2672"/>
      <c r="K76" s="135" t="s">
        <v>1779</v>
      </c>
      <c r="L76" s="1401"/>
      <c r="M76" s="1401"/>
      <c r="N76" s="1401"/>
      <c r="O76" s="1401"/>
      <c r="P76" s="1401"/>
      <c r="Q76" s="782"/>
    </row>
    <row r="77" spans="1:295" ht="19.5" customHeight="1">
      <c r="A77" s="3961" t="s">
        <v>6963</v>
      </c>
      <c r="B77" s="3962"/>
      <c r="C77" s="3962"/>
      <c r="D77" s="3962"/>
      <c r="E77" s="3962"/>
      <c r="F77" s="3962"/>
      <c r="G77" s="3962"/>
      <c r="H77" s="3962"/>
      <c r="I77" s="3962"/>
      <c r="J77" s="3963"/>
      <c r="K77" s="3968"/>
      <c r="L77" s="3969"/>
      <c r="M77" s="3969"/>
      <c r="N77" s="3969"/>
      <c r="O77" s="3969"/>
      <c r="P77" s="3969"/>
      <c r="Q77" s="3970"/>
      <c r="R77" s="427" t="s">
        <v>1208</v>
      </c>
      <c r="U77" s="134"/>
      <c r="V77" s="134"/>
      <c r="W77" s="134"/>
      <c r="X77" s="134"/>
      <c r="Y77" s="134"/>
      <c r="Z77" s="134"/>
      <c r="AA77" s="134"/>
      <c r="AB77" s="134"/>
      <c r="AC77" s="134"/>
      <c r="AD77" s="134"/>
      <c r="AE77" s="441"/>
    </row>
    <row r="78" spans="1:295" ht="3" customHeight="1">
      <c r="A78" s="1401"/>
      <c r="B78" s="2672"/>
      <c r="C78" s="2655"/>
      <c r="D78" s="2655"/>
      <c r="E78" s="2655"/>
      <c r="F78" s="2655"/>
      <c r="G78" s="2655"/>
      <c r="H78" s="2655"/>
      <c r="I78" s="2655"/>
      <c r="J78" s="2655"/>
      <c r="K78" s="2655"/>
      <c r="L78" s="2655"/>
      <c r="M78" s="2655"/>
      <c r="N78" s="2655"/>
      <c r="O78" s="2655"/>
      <c r="P78" s="2655"/>
      <c r="Q78" s="1401"/>
    </row>
    <row r="79" spans="1:295" ht="12.75" customHeight="1">
      <c r="A79" s="2650" t="s">
        <v>1711</v>
      </c>
      <c r="B79" s="2650" t="s">
        <v>2510</v>
      </c>
      <c r="C79" s="112"/>
      <c r="D79" s="2655"/>
      <c r="E79" s="2655"/>
      <c r="F79" s="2655"/>
      <c r="G79" s="2655"/>
      <c r="H79" s="2655"/>
      <c r="I79" s="2655"/>
      <c r="J79" s="2655"/>
      <c r="L79" s="1399" t="s">
        <v>3948</v>
      </c>
      <c r="M79" s="1400" t="s">
        <v>3949</v>
      </c>
      <c r="O79" s="130" t="s">
        <v>1780</v>
      </c>
      <c r="P79" s="3959"/>
      <c r="Q79" s="3960"/>
    </row>
    <row r="80" spans="1:295" ht="1.5" customHeight="1"/>
    <row r="81" spans="1:31" ht="12" customHeight="1">
      <c r="A81" s="140" t="s">
        <v>1892</v>
      </c>
      <c r="B81" s="4084" t="s">
        <v>3942</v>
      </c>
      <c r="C81" s="4084"/>
      <c r="D81" s="4084"/>
      <c r="E81" s="4084"/>
      <c r="F81" s="4084"/>
      <c r="G81" s="4084"/>
      <c r="H81" s="4084"/>
      <c r="I81" s="4084"/>
      <c r="J81" s="4084"/>
      <c r="K81" s="146"/>
      <c r="L81" s="420" t="s">
        <v>2697</v>
      </c>
      <c r="M81" s="1289">
        <v>2</v>
      </c>
      <c r="N81" s="382" t="s">
        <v>4224</v>
      </c>
      <c r="P81" s="4061" t="s">
        <v>6964</v>
      </c>
      <c r="Q81" s="4168"/>
    </row>
    <row r="82" spans="1:31" ht="12" customHeight="1">
      <c r="A82" s="140"/>
      <c r="B82" s="4084"/>
      <c r="C82" s="4084"/>
      <c r="D82" s="4084"/>
      <c r="E82" s="4084"/>
      <c r="F82" s="4084"/>
      <c r="G82" s="4084"/>
      <c r="H82" s="4084"/>
      <c r="I82" s="4084"/>
      <c r="J82" s="4084"/>
      <c r="K82" s="146"/>
      <c r="L82" s="420" t="s">
        <v>3947</v>
      </c>
      <c r="M82" s="1290">
        <v>4</v>
      </c>
      <c r="O82" s="141"/>
      <c r="P82" s="4062"/>
      <c r="Q82" s="4169"/>
    </row>
    <row r="83" spans="1:31" ht="12" customHeight="1">
      <c r="A83" s="140"/>
      <c r="D83" s="2653"/>
      <c r="E83" s="2653"/>
      <c r="F83" s="2653"/>
      <c r="G83" s="2653"/>
      <c r="H83" s="2653"/>
      <c r="I83" s="2653"/>
      <c r="J83" s="2653"/>
      <c r="K83" s="146"/>
      <c r="L83" s="451" t="s">
        <v>6410</v>
      </c>
      <c r="M83" s="1290"/>
      <c r="O83" s="141"/>
      <c r="P83" s="2491">
        <v>2</v>
      </c>
      <c r="Q83" s="2951"/>
    </row>
    <row r="84" spans="1:31" ht="12" customHeight="1">
      <c r="A84" s="47" t="s">
        <v>1894</v>
      </c>
      <c r="B84" s="382" t="s">
        <v>3950</v>
      </c>
      <c r="C84" s="382"/>
      <c r="D84" s="382"/>
      <c r="E84" s="382"/>
      <c r="F84" s="382"/>
      <c r="G84" s="382"/>
      <c r="H84" s="382"/>
      <c r="I84" s="382"/>
      <c r="J84" s="382"/>
      <c r="K84" s="534"/>
      <c r="L84" s="382"/>
      <c r="M84" s="146"/>
      <c r="N84" s="817"/>
      <c r="O84" s="817"/>
      <c r="P84" s="817"/>
    </row>
    <row r="85" spans="1:31" ht="12.75" customHeight="1">
      <c r="A85" s="1254"/>
      <c r="B85" s="1305" t="s">
        <v>1658</v>
      </c>
      <c r="C85" s="382" t="s">
        <v>3954</v>
      </c>
      <c r="D85" s="1256"/>
      <c r="E85" s="1256"/>
      <c r="F85" s="1256"/>
      <c r="G85" s="1256"/>
      <c r="H85" s="1256"/>
      <c r="I85" s="1256"/>
      <c r="J85" s="1256"/>
      <c r="K85" s="1255"/>
      <c r="L85" s="816"/>
      <c r="N85" s="382" t="s">
        <v>4225</v>
      </c>
      <c r="O85" s="817"/>
      <c r="P85" s="2492" t="s">
        <v>6964</v>
      </c>
      <c r="Q85" s="2952"/>
    </row>
    <row r="86" spans="1:31" ht="12.75" customHeight="1">
      <c r="A86" s="1254"/>
      <c r="B86" s="1305" t="s">
        <v>1659</v>
      </c>
      <c r="C86" s="382" t="s">
        <v>3951</v>
      </c>
      <c r="D86" s="1256"/>
      <c r="E86" s="1256"/>
      <c r="F86" s="1256"/>
      <c r="G86" s="1256"/>
      <c r="H86" s="1256"/>
      <c r="I86" s="1256"/>
      <c r="J86" s="1256"/>
      <c r="K86" s="1255"/>
      <c r="L86" s="816"/>
      <c r="N86" s="382" t="s">
        <v>4226</v>
      </c>
      <c r="O86" s="817"/>
      <c r="P86" s="2666" t="s">
        <v>6964</v>
      </c>
      <c r="Q86" s="2953"/>
    </row>
    <row r="87" spans="1:31" ht="12.75" customHeight="1">
      <c r="A87" s="1253"/>
      <c r="B87" s="451" t="s">
        <v>1660</v>
      </c>
      <c r="C87" s="382" t="s">
        <v>3952</v>
      </c>
      <c r="E87" s="1256"/>
      <c r="F87" s="1256"/>
      <c r="G87" s="1256"/>
      <c r="H87" s="1256"/>
      <c r="I87" s="1256"/>
      <c r="J87" s="1256"/>
      <c r="K87" s="1255"/>
      <c r="L87" s="816"/>
      <c r="M87" s="817"/>
      <c r="N87" s="382" t="s">
        <v>4227</v>
      </c>
      <c r="O87" s="817"/>
      <c r="P87" s="2666" t="s">
        <v>6964</v>
      </c>
      <c r="Q87" s="2953"/>
    </row>
    <row r="88" spans="1:31" ht="12.75" customHeight="1">
      <c r="A88" s="142"/>
      <c r="B88" s="451" t="s">
        <v>2259</v>
      </c>
      <c r="C88" s="451" t="s">
        <v>3955</v>
      </c>
      <c r="D88" s="132"/>
      <c r="E88" s="132"/>
      <c r="F88" s="132"/>
      <c r="G88" s="132"/>
      <c r="H88" s="132"/>
      <c r="I88" s="42"/>
      <c r="J88" s="42"/>
      <c r="N88" s="382" t="s">
        <v>4228</v>
      </c>
      <c r="O88" s="817"/>
      <c r="P88" s="2671" t="s">
        <v>6965</v>
      </c>
      <c r="Q88" s="2954"/>
    </row>
    <row r="89" spans="1:31" ht="12.75" customHeight="1">
      <c r="A89" s="142"/>
      <c r="B89" s="451"/>
      <c r="C89" s="382" t="s">
        <v>3956</v>
      </c>
      <c r="D89" s="132"/>
      <c r="E89" s="132"/>
      <c r="F89" s="132"/>
      <c r="G89" s="132"/>
      <c r="H89" s="132"/>
      <c r="I89" s="42"/>
      <c r="J89" s="42"/>
      <c r="L89" s="3993"/>
      <c r="M89" s="3994"/>
      <c r="N89" s="3994"/>
      <c r="O89" s="3994"/>
      <c r="P89" s="3994"/>
      <c r="Q89" s="3995"/>
    </row>
    <row r="90" spans="1:31" ht="12.75" customHeight="1">
      <c r="A90" s="142"/>
      <c r="B90" s="451" t="s">
        <v>1487</v>
      </c>
      <c r="C90" s="4084" t="s">
        <v>3953</v>
      </c>
      <c r="D90" s="4084"/>
      <c r="E90" s="4084"/>
      <c r="F90" s="4084"/>
      <c r="G90" s="4084"/>
      <c r="H90" s="4084"/>
      <c r="I90" s="4084"/>
      <c r="J90" s="4084"/>
      <c r="K90" s="4084"/>
      <c r="L90" s="4084"/>
      <c r="M90" s="494"/>
      <c r="N90" s="382" t="s">
        <v>4229</v>
      </c>
      <c r="O90" s="817"/>
      <c r="P90" s="2493" t="s">
        <v>6964</v>
      </c>
      <c r="Q90" s="2955"/>
    </row>
    <row r="91" spans="1:31" ht="12.75" customHeight="1">
      <c r="A91" s="47"/>
      <c r="C91" s="4084"/>
      <c r="D91" s="4084"/>
      <c r="E91" s="4084"/>
      <c r="F91" s="4084"/>
      <c r="G91" s="4084"/>
      <c r="H91" s="4084"/>
      <c r="I91" s="4084"/>
      <c r="J91" s="4084"/>
      <c r="K91" s="4084"/>
      <c r="L91" s="4084"/>
      <c r="M91" s="494"/>
    </row>
    <row r="92" spans="1:31" ht="10.5" customHeight="1">
      <c r="B92" s="94" t="s">
        <v>3372</v>
      </c>
      <c r="D92" s="94"/>
      <c r="E92" s="94"/>
      <c r="F92" s="94"/>
      <c r="G92" s="94"/>
      <c r="H92" s="40"/>
      <c r="I92" s="2672"/>
      <c r="J92" s="2672"/>
      <c r="K92" s="135" t="s">
        <v>1779</v>
      </c>
      <c r="L92" s="1401"/>
      <c r="M92" s="1401"/>
      <c r="N92" s="1401"/>
      <c r="O92" s="1401"/>
      <c r="P92" s="1401"/>
      <c r="Q92" s="782"/>
    </row>
    <row r="93" spans="1:31" ht="87.75" customHeight="1">
      <c r="A93" s="3961" t="s">
        <v>6966</v>
      </c>
      <c r="B93" s="3962"/>
      <c r="C93" s="3962"/>
      <c r="D93" s="3962"/>
      <c r="E93" s="3962"/>
      <c r="F93" s="3962"/>
      <c r="G93" s="3962"/>
      <c r="H93" s="3962"/>
      <c r="I93" s="3962"/>
      <c r="J93" s="3963"/>
      <c r="K93" s="3968"/>
      <c r="L93" s="3969"/>
      <c r="M93" s="3969"/>
      <c r="N93" s="3969"/>
      <c r="O93" s="3969"/>
      <c r="P93" s="3969"/>
      <c r="Q93" s="3970"/>
      <c r="R93" s="427" t="s">
        <v>1208</v>
      </c>
      <c r="U93" s="134"/>
      <c r="V93" s="134"/>
      <c r="W93" s="134"/>
      <c r="X93" s="134"/>
      <c r="Y93" s="134"/>
      <c r="Z93" s="134"/>
      <c r="AA93" s="134"/>
      <c r="AB93" s="134"/>
      <c r="AC93" s="134"/>
      <c r="AD93" s="134"/>
      <c r="AE93" s="441"/>
    </row>
    <row r="94" spans="1:31" ht="3" customHeight="1">
      <c r="A94" s="1401"/>
      <c r="B94" s="2672"/>
      <c r="C94" s="2655"/>
      <c r="D94" s="2655"/>
      <c r="E94" s="2655"/>
      <c r="F94" s="2655"/>
      <c r="G94" s="2655"/>
      <c r="H94" s="2655"/>
      <c r="I94" s="2655"/>
      <c r="J94" s="2655"/>
      <c r="K94" s="2655"/>
      <c r="L94" s="2655"/>
      <c r="M94" s="2655"/>
      <c r="N94" s="2655"/>
      <c r="O94" s="2655"/>
      <c r="P94" s="2655"/>
      <c r="Q94" s="1401"/>
    </row>
    <row r="95" spans="1:31" ht="14.1" customHeight="1">
      <c r="A95" s="2650" t="s">
        <v>1713</v>
      </c>
      <c r="B95" s="2650" t="s">
        <v>4220</v>
      </c>
      <c r="C95" s="2650"/>
      <c r="D95" s="2655"/>
      <c r="E95" s="2655"/>
      <c r="F95" s="2655"/>
      <c r="G95" s="2655"/>
      <c r="H95" s="1409" t="str">
        <f>'Part I-Project Information'!$K$41</f>
        <v>Rural</v>
      </c>
      <c r="J95" s="47" t="s">
        <v>4223</v>
      </c>
      <c r="K95" s="557" t="str">
        <f>'Part I-Project Information'!$H$105</f>
        <v>Rural</v>
      </c>
      <c r="L95" s="63" t="s">
        <v>3985</v>
      </c>
      <c r="M95" s="1292" t="str">
        <f>'Part I-Project Information'!$H$77</f>
        <v>Family</v>
      </c>
      <c r="O95" s="130" t="s">
        <v>1780</v>
      </c>
      <c r="P95" s="3959"/>
      <c r="Q95" s="3960"/>
    </row>
    <row r="96" spans="1:31" ht="3" customHeight="1"/>
    <row r="97" spans="1:32" ht="12.75" customHeight="1">
      <c r="A97" s="47" t="s">
        <v>1892</v>
      </c>
      <c r="B97" s="39" t="s">
        <v>2347</v>
      </c>
      <c r="D97" s="132"/>
      <c r="E97" s="132"/>
      <c r="F97" s="132"/>
      <c r="G97" s="132"/>
      <c r="H97" s="132"/>
      <c r="I97" s="42"/>
      <c r="J97" s="42"/>
      <c r="K97" s="42"/>
      <c r="L97" s="439" t="s">
        <v>1892</v>
      </c>
      <c r="M97" s="4016" t="s">
        <v>6967</v>
      </c>
      <c r="N97" s="4092"/>
      <c r="O97" s="4092"/>
      <c r="P97" s="4093"/>
      <c r="Q97" s="2952"/>
    </row>
    <row r="98" spans="1:32" ht="12.75" customHeight="1">
      <c r="A98" s="47" t="s">
        <v>1894</v>
      </c>
      <c r="B98" s="52" t="s">
        <v>4146</v>
      </c>
      <c r="D98" s="132"/>
      <c r="E98" s="132"/>
      <c r="F98" s="132"/>
      <c r="L98" s="439" t="s">
        <v>1894</v>
      </c>
      <c r="M98" s="4058" t="s">
        <v>6973</v>
      </c>
      <c r="N98" s="4059"/>
      <c r="O98" s="4059"/>
      <c r="P98" s="4060"/>
      <c r="Q98" s="2953"/>
    </row>
    <row r="99" spans="1:32" ht="12.75" customHeight="1">
      <c r="A99" s="47" t="s">
        <v>719</v>
      </c>
      <c r="B99" s="52" t="s">
        <v>2670</v>
      </c>
      <c r="D99" s="132"/>
      <c r="E99" s="132"/>
      <c r="F99" s="132"/>
      <c r="L99" s="439" t="s">
        <v>719</v>
      </c>
      <c r="M99" s="3982">
        <v>0.94699999999999995</v>
      </c>
      <c r="N99" s="3983"/>
      <c r="O99" s="3983"/>
      <c r="P99" s="3984"/>
      <c r="Q99" s="2953"/>
    </row>
    <row r="100" spans="1:32" ht="12.75" customHeight="1">
      <c r="A100" s="47" t="s">
        <v>2020</v>
      </c>
      <c r="B100" s="52" t="s">
        <v>3442</v>
      </c>
      <c r="D100" s="132"/>
      <c r="E100" s="132"/>
      <c r="F100" s="132"/>
      <c r="J100" s="439" t="s">
        <v>3443</v>
      </c>
      <c r="K100" s="2494">
        <v>0.17599999999999999</v>
      </c>
      <c r="L100" s="2956"/>
      <c r="M100" s="1601"/>
      <c r="N100" s="1600"/>
      <c r="O100" s="955" t="s">
        <v>3539</v>
      </c>
      <c r="P100" s="2495">
        <v>0.01</v>
      </c>
      <c r="Q100" s="2957"/>
    </row>
    <row r="101" spans="1:32" ht="12.75" customHeight="1">
      <c r="A101" s="47" t="s">
        <v>1656</v>
      </c>
      <c r="B101" s="52" t="s">
        <v>4147</v>
      </c>
      <c r="D101" s="138"/>
      <c r="E101" s="138"/>
      <c r="F101" s="138"/>
      <c r="G101" s="138"/>
      <c r="H101" s="138"/>
      <c r="I101" s="138"/>
      <c r="J101" s="138"/>
      <c r="K101" s="138"/>
      <c r="L101" s="138"/>
      <c r="M101" s="138"/>
      <c r="N101" s="138"/>
      <c r="O101" s="138"/>
      <c r="P101" s="138"/>
      <c r="Q101" s="138"/>
    </row>
    <row r="102" spans="1:32" ht="12.75" customHeight="1">
      <c r="B102" s="47"/>
      <c r="C102" s="52"/>
      <c r="D102" s="1673" t="s">
        <v>2271</v>
      </c>
      <c r="E102" s="783" t="s">
        <v>587</v>
      </c>
      <c r="F102" s="783"/>
      <c r="H102" s="52"/>
      <c r="I102" s="1673" t="s">
        <v>2271</v>
      </c>
      <c r="J102" s="783" t="s">
        <v>587</v>
      </c>
      <c r="K102" s="783"/>
      <c r="M102" s="52"/>
      <c r="N102" s="1673" t="s">
        <v>2271</v>
      </c>
      <c r="O102" s="783" t="s">
        <v>587</v>
      </c>
      <c r="P102" s="783"/>
      <c r="Q102" s="439"/>
    </row>
    <row r="103" spans="1:32" ht="12.75" customHeight="1">
      <c r="C103" s="439" t="s">
        <v>1658</v>
      </c>
      <c r="D103" s="2496" t="s">
        <v>6968</v>
      </c>
      <c r="E103" s="4044" t="s">
        <v>6969</v>
      </c>
      <c r="F103" s="4044"/>
      <c r="G103" s="4044"/>
      <c r="H103" s="65" t="s">
        <v>1660</v>
      </c>
      <c r="I103" s="2496" t="s">
        <v>6866</v>
      </c>
      <c r="J103" s="4044" t="s">
        <v>6972</v>
      </c>
      <c r="K103" s="4044"/>
      <c r="L103" s="4044"/>
      <c r="M103" s="64" t="s">
        <v>1487</v>
      </c>
      <c r="N103" s="2496"/>
      <c r="O103" s="4044"/>
      <c r="P103" s="4044"/>
      <c r="Q103" s="4044"/>
    </row>
    <row r="104" spans="1:32" ht="12.75" customHeight="1">
      <c r="C104" s="65" t="s">
        <v>1659</v>
      </c>
      <c r="D104" s="2497" t="s">
        <v>6970</v>
      </c>
      <c r="E104" s="4083" t="s">
        <v>6971</v>
      </c>
      <c r="F104" s="4083"/>
      <c r="G104" s="4083"/>
      <c r="H104" s="439" t="s">
        <v>2259</v>
      </c>
      <c r="I104" s="2497"/>
      <c r="J104" s="4083"/>
      <c r="K104" s="4083"/>
      <c r="L104" s="4083"/>
      <c r="M104" s="64" t="s">
        <v>1488</v>
      </c>
      <c r="N104" s="2497"/>
      <c r="O104" s="4083"/>
      <c r="P104" s="4083"/>
      <c r="Q104" s="4083"/>
    </row>
    <row r="105" spans="1:32" ht="12.75" customHeight="1">
      <c r="A105" s="47" t="s">
        <v>1657</v>
      </c>
      <c r="B105" s="52" t="s">
        <v>6324</v>
      </c>
      <c r="D105" s="132"/>
      <c r="E105" s="132"/>
      <c r="F105" s="132"/>
      <c r="G105" s="132"/>
      <c r="H105" s="132"/>
      <c r="I105" s="42"/>
      <c r="J105" s="42"/>
      <c r="K105" s="132"/>
      <c r="L105" s="2659"/>
      <c r="M105" s="2659"/>
      <c r="O105" s="439" t="s">
        <v>1657</v>
      </c>
      <c r="P105" s="2668" t="s">
        <v>2768</v>
      </c>
      <c r="Q105" s="2958"/>
    </row>
    <row r="106" spans="1:32" ht="12.75" customHeight="1">
      <c r="A106" s="47" t="s">
        <v>1857</v>
      </c>
      <c r="B106" s="52" t="s">
        <v>6326</v>
      </c>
      <c r="D106" s="132"/>
      <c r="E106" s="132"/>
      <c r="F106" s="132"/>
      <c r="G106" s="132"/>
      <c r="H106" s="132"/>
      <c r="I106" s="42"/>
      <c r="J106" s="42"/>
      <c r="K106" s="132"/>
      <c r="L106" s="2659"/>
      <c r="M106" s="2659"/>
      <c r="O106" s="439" t="s">
        <v>1857</v>
      </c>
      <c r="P106" s="2666" t="s">
        <v>2768</v>
      </c>
      <c r="Q106" s="2953"/>
    </row>
    <row r="107" spans="1:32" ht="10.5" customHeight="1">
      <c r="A107" s="47" t="s">
        <v>3123</v>
      </c>
      <c r="B107" s="52" t="s">
        <v>6328</v>
      </c>
      <c r="D107" s="132"/>
      <c r="E107" s="132"/>
      <c r="F107" s="132"/>
      <c r="G107" s="132"/>
      <c r="H107" s="132"/>
      <c r="I107" s="42"/>
      <c r="J107" s="42"/>
      <c r="K107" s="132"/>
      <c r="L107" s="2659"/>
      <c r="M107" s="2659"/>
      <c r="O107" s="439" t="s">
        <v>3123</v>
      </c>
      <c r="P107" s="2498">
        <v>0.95</v>
      </c>
      <c r="Q107" s="2959"/>
    </row>
    <row r="108" spans="1:32" s="131" customFormat="1" ht="60" customHeight="1">
      <c r="A108" s="140" t="s">
        <v>586</v>
      </c>
      <c r="B108" s="3950" t="s">
        <v>6325</v>
      </c>
      <c r="C108" s="3950"/>
      <c r="D108" s="3950"/>
      <c r="E108" s="3950"/>
      <c r="F108" s="3950"/>
      <c r="G108" s="3950"/>
      <c r="H108" s="3950"/>
      <c r="I108" s="3950"/>
      <c r="J108" s="3950"/>
      <c r="K108" s="3950"/>
      <c r="L108" s="3950"/>
      <c r="M108" s="3950"/>
      <c r="N108" s="3950"/>
      <c r="O108" s="1490" t="s">
        <v>6327</v>
      </c>
      <c r="P108" s="2657" t="s">
        <v>2768</v>
      </c>
      <c r="Q108" s="2960"/>
      <c r="AE108" s="442"/>
      <c r="AF108" s="442"/>
    </row>
    <row r="109" spans="1:32" s="42" customFormat="1" ht="12.75" customHeight="1">
      <c r="A109" s="47"/>
      <c r="B109" s="1305" t="s">
        <v>1659</v>
      </c>
      <c r="C109" s="52" t="s">
        <v>4276</v>
      </c>
      <c r="D109" s="132"/>
      <c r="E109" s="132"/>
      <c r="F109" s="132"/>
      <c r="G109" s="132"/>
      <c r="H109" s="132"/>
      <c r="K109" s="132"/>
      <c r="L109" s="2659"/>
      <c r="M109" s="2659"/>
      <c r="O109" s="439" t="s">
        <v>1659</v>
      </c>
      <c r="P109" s="2671" t="s">
        <v>2771</v>
      </c>
      <c r="Q109" s="2954"/>
      <c r="AE109" s="50"/>
      <c r="AF109" s="50"/>
    </row>
    <row r="110" spans="1:32" ht="9.75" customHeight="1">
      <c r="B110" s="139" t="s">
        <v>3372</v>
      </c>
      <c r="D110" s="139"/>
      <c r="E110" s="139"/>
      <c r="F110" s="139"/>
      <c r="G110" s="139"/>
      <c r="H110" s="40"/>
      <c r="I110" s="2672"/>
      <c r="J110" s="2672"/>
      <c r="K110" s="2672"/>
      <c r="L110" s="1401"/>
      <c r="M110" s="1401"/>
      <c r="N110" s="1401"/>
      <c r="O110" s="1401"/>
      <c r="P110" s="1401"/>
      <c r="Q110" s="782"/>
    </row>
    <row r="111" spans="1:32" ht="74.25" customHeight="1">
      <c r="A111" s="3961" t="s">
        <v>7041</v>
      </c>
      <c r="B111" s="3962"/>
      <c r="C111" s="3962"/>
      <c r="D111" s="3962"/>
      <c r="E111" s="3962"/>
      <c r="F111" s="3962"/>
      <c r="G111" s="3962"/>
      <c r="H111" s="3962"/>
      <c r="I111" s="3962"/>
      <c r="J111" s="3962"/>
      <c r="K111" s="3962"/>
      <c r="L111" s="3962"/>
      <c r="M111" s="3962"/>
      <c r="N111" s="3962"/>
      <c r="O111" s="3962"/>
      <c r="P111" s="3962"/>
      <c r="Q111" s="3963"/>
      <c r="U111" s="134"/>
      <c r="V111" s="134"/>
      <c r="W111" s="134"/>
      <c r="X111" s="134"/>
      <c r="Y111" s="134"/>
      <c r="Z111" s="134"/>
      <c r="AA111" s="134"/>
      <c r="AB111" s="134"/>
      <c r="AC111" s="134"/>
      <c r="AD111" s="134"/>
      <c r="AE111" s="441"/>
    </row>
    <row r="112" spans="1:32" ht="9.75" customHeight="1">
      <c r="B112" s="135" t="s">
        <v>1779</v>
      </c>
      <c r="C112" s="136"/>
      <c r="D112" s="2655"/>
      <c r="E112" s="2655"/>
      <c r="F112" s="2655"/>
      <c r="G112" s="2655"/>
      <c r="H112" s="2655"/>
      <c r="I112" s="2655"/>
      <c r="J112" s="2655"/>
      <c r="K112" s="2655"/>
      <c r="L112" s="2655"/>
      <c r="M112" s="2655"/>
      <c r="N112" s="2655"/>
      <c r="O112" s="2655"/>
      <c r="P112" s="2655"/>
      <c r="Q112" s="2655"/>
    </row>
    <row r="113" spans="1:32" ht="33" customHeight="1">
      <c r="A113" s="3968"/>
      <c r="B113" s="3969"/>
      <c r="C113" s="3969"/>
      <c r="D113" s="3969"/>
      <c r="E113" s="3969"/>
      <c r="F113" s="3969"/>
      <c r="G113" s="3969"/>
      <c r="H113" s="3969"/>
      <c r="I113" s="3969"/>
      <c r="J113" s="3969"/>
      <c r="K113" s="3969"/>
      <c r="L113" s="3969"/>
      <c r="M113" s="3969"/>
      <c r="N113" s="3969"/>
      <c r="O113" s="3969"/>
      <c r="P113" s="3969"/>
      <c r="Q113" s="3970"/>
    </row>
    <row r="114" spans="1:32" ht="14.1" customHeight="1">
      <c r="A114" s="2650" t="s">
        <v>505</v>
      </c>
      <c r="B114" s="2650" t="s">
        <v>2511</v>
      </c>
      <c r="C114" s="2650"/>
      <c r="D114" s="2655"/>
      <c r="E114" s="2655"/>
      <c r="F114" s="2655"/>
      <c r="G114" s="2655"/>
      <c r="H114" s="2655"/>
      <c r="I114" s="2655"/>
      <c r="J114" s="2655"/>
      <c r="K114" s="2655"/>
      <c r="L114" s="2655"/>
      <c r="M114" s="2655"/>
      <c r="O114" s="130" t="s">
        <v>1780</v>
      </c>
      <c r="P114" s="3959"/>
      <c r="Q114" s="3960"/>
    </row>
    <row r="115" spans="1:32" ht="3" customHeight="1"/>
    <row r="116" spans="1:32" ht="12.75" customHeight="1">
      <c r="A116" s="47" t="s">
        <v>1892</v>
      </c>
      <c r="B116" s="52" t="s">
        <v>4230</v>
      </c>
      <c r="C116" s="52"/>
      <c r="E116" s="52"/>
      <c r="F116" s="52"/>
      <c r="G116" s="52"/>
      <c r="H116" s="52"/>
      <c r="I116" s="52"/>
      <c r="J116" s="52"/>
      <c r="K116" s="52"/>
      <c r="L116" s="783"/>
      <c r="M116" s="783"/>
      <c r="O116" s="439" t="s">
        <v>1892</v>
      </c>
      <c r="P116" s="2493" t="s">
        <v>2768</v>
      </c>
      <c r="Q116" s="2958"/>
    </row>
    <row r="117" spans="1:32" ht="12.75" customHeight="1">
      <c r="B117" s="1305" t="s">
        <v>1658</v>
      </c>
      <c r="C117" s="39" t="s">
        <v>527</v>
      </c>
      <c r="E117" s="42"/>
      <c r="F117" s="42"/>
      <c r="G117" s="42"/>
      <c r="H117" s="42"/>
      <c r="I117" s="42"/>
      <c r="L117" s="65" t="s">
        <v>528</v>
      </c>
      <c r="M117" s="3993" t="s">
        <v>6974</v>
      </c>
      <c r="N117" s="3994"/>
      <c r="O117" s="3994"/>
      <c r="P117" s="3574"/>
      <c r="Q117" s="2953"/>
    </row>
    <row r="118" spans="1:32" s="42" customFormat="1" ht="12.75" customHeight="1">
      <c r="B118" s="144" t="s">
        <v>1659</v>
      </c>
      <c r="C118" s="36" t="s">
        <v>4011</v>
      </c>
      <c r="O118" s="65" t="s">
        <v>1659</v>
      </c>
      <c r="P118" s="2668" t="s">
        <v>2771</v>
      </c>
      <c r="Q118" s="2958"/>
      <c r="AE118" s="50"/>
      <c r="AF118" s="50"/>
    </row>
    <row r="119" spans="1:32" s="42" customFormat="1" ht="12.75" customHeight="1">
      <c r="B119" s="1305" t="s">
        <v>1660</v>
      </c>
      <c r="C119" s="36" t="s">
        <v>4257</v>
      </c>
      <c r="O119" s="147" t="s">
        <v>1660</v>
      </c>
      <c r="P119" s="2499">
        <v>44185</v>
      </c>
      <c r="Q119" s="2961"/>
      <c r="AE119" s="50"/>
      <c r="AF119" s="50"/>
    </row>
    <row r="120" spans="1:32" ht="12.75" customHeight="1">
      <c r="A120" s="2672"/>
      <c r="B120" s="451" t="s">
        <v>2259</v>
      </c>
      <c r="C120" s="783" t="s">
        <v>3957</v>
      </c>
      <c r="D120" s="901"/>
      <c r="E120" s="901"/>
      <c r="F120" s="901"/>
      <c r="G120" s="901"/>
      <c r="H120" s="901"/>
      <c r="I120" s="901"/>
      <c r="J120" s="901"/>
      <c r="K120" s="901"/>
      <c r="L120" s="901"/>
      <c r="M120" s="901"/>
      <c r="O120" s="159" t="s">
        <v>2259</v>
      </c>
      <c r="P120" s="2500" t="s">
        <v>2771</v>
      </c>
      <c r="Q120" s="2953"/>
    </row>
    <row r="121" spans="1:32" ht="12.75" customHeight="1">
      <c r="A121" s="2672"/>
      <c r="B121" s="451" t="s">
        <v>1487</v>
      </c>
      <c r="C121" s="783" t="s">
        <v>3198</v>
      </c>
      <c r="D121" s="901"/>
      <c r="E121" s="901"/>
      <c r="F121" s="901"/>
      <c r="G121" s="901"/>
      <c r="H121" s="901"/>
      <c r="I121" s="901"/>
      <c r="J121" s="901"/>
      <c r="K121" s="901"/>
      <c r="L121" s="901"/>
      <c r="M121" s="901"/>
      <c r="O121" s="159" t="s">
        <v>1487</v>
      </c>
      <c r="P121" s="2666" t="s">
        <v>2768</v>
      </c>
      <c r="Q121" s="2953"/>
    </row>
    <row r="122" spans="1:32" ht="12.75" customHeight="1">
      <c r="A122" s="2672"/>
      <c r="B122" s="451" t="s">
        <v>1488</v>
      </c>
      <c r="C122" s="783" t="s">
        <v>3199</v>
      </c>
      <c r="D122" s="901"/>
      <c r="E122" s="901"/>
      <c r="F122" s="901"/>
      <c r="G122" s="901"/>
      <c r="H122" s="901"/>
      <c r="I122" s="901"/>
      <c r="J122" s="901"/>
      <c r="K122" s="901"/>
      <c r="L122" s="901"/>
      <c r="M122" s="901"/>
      <c r="O122" s="159" t="s">
        <v>1488</v>
      </c>
      <c r="P122" s="2666" t="s">
        <v>2771</v>
      </c>
      <c r="Q122" s="2953"/>
    </row>
    <row r="123" spans="1:32" ht="12.75" customHeight="1">
      <c r="A123" s="2672"/>
      <c r="B123" s="451" t="s">
        <v>92</v>
      </c>
      <c r="C123" s="783" t="s">
        <v>2671</v>
      </c>
      <c r="D123" s="783"/>
      <c r="E123" s="783"/>
      <c r="F123" s="783"/>
      <c r="G123" s="783"/>
      <c r="H123" s="783"/>
      <c r="I123" s="783"/>
      <c r="J123" s="783"/>
      <c r="K123" s="783"/>
      <c r="L123" s="783"/>
      <c r="M123" s="986"/>
      <c r="O123" s="159" t="s">
        <v>92</v>
      </c>
      <c r="P123" s="2666" t="s">
        <v>2768</v>
      </c>
      <c r="Q123" s="2953"/>
    </row>
    <row r="124" spans="1:32" s="131" customFormat="1" ht="23.25" customHeight="1">
      <c r="A124" s="420"/>
      <c r="B124" s="451" t="s">
        <v>489</v>
      </c>
      <c r="C124" s="3950" t="s">
        <v>4149</v>
      </c>
      <c r="D124" s="3950"/>
      <c r="E124" s="3950"/>
      <c r="F124" s="3950"/>
      <c r="G124" s="3950"/>
      <c r="H124" s="3950"/>
      <c r="I124" s="3950"/>
      <c r="J124" s="3950"/>
      <c r="K124" s="3950"/>
      <c r="L124" s="3950"/>
      <c r="M124" s="3950"/>
      <c r="N124" s="3950"/>
      <c r="O124" s="159" t="s">
        <v>489</v>
      </c>
      <c r="P124" s="2658"/>
      <c r="Q124" s="2962"/>
      <c r="AE124" s="442"/>
      <c r="AF124" s="442"/>
    </row>
    <row r="125" spans="1:32" ht="12.75" customHeight="1">
      <c r="A125" s="47" t="s">
        <v>1894</v>
      </c>
      <c r="B125" s="52" t="s">
        <v>4148</v>
      </c>
      <c r="C125" s="52"/>
      <c r="E125" s="52"/>
      <c r="F125" s="52"/>
      <c r="G125" s="52"/>
      <c r="H125" s="52"/>
      <c r="I125" s="52"/>
      <c r="J125" s="52"/>
      <c r="K125" s="52"/>
      <c r="L125" s="52"/>
      <c r="M125" s="52"/>
      <c r="O125" s="439" t="s">
        <v>1894</v>
      </c>
      <c r="P125" s="2668" t="s">
        <v>2771</v>
      </c>
      <c r="Q125" s="2958"/>
    </row>
    <row r="126" spans="1:32" ht="12.75" customHeight="1">
      <c r="B126" s="1305" t="s">
        <v>1658</v>
      </c>
      <c r="C126" s="52" t="s">
        <v>4279</v>
      </c>
      <c r="D126" s="52"/>
      <c r="E126" s="52"/>
      <c r="F126" s="52"/>
      <c r="G126" s="52"/>
      <c r="H126" s="52"/>
      <c r="I126" s="52"/>
      <c r="J126" s="52"/>
      <c r="K126" s="52"/>
      <c r="L126" s="52"/>
      <c r="M126" s="52"/>
      <c r="O126" s="147" t="s">
        <v>1658</v>
      </c>
      <c r="P126" s="2668"/>
      <c r="Q126" s="2958"/>
    </row>
    <row r="127" spans="1:32" ht="12.75" customHeight="1">
      <c r="A127" s="47"/>
      <c r="B127" s="144" t="s">
        <v>1659</v>
      </c>
      <c r="C127" s="52" t="s">
        <v>4278</v>
      </c>
      <c r="D127" s="52"/>
      <c r="E127" s="52"/>
      <c r="F127" s="52"/>
      <c r="G127" s="52"/>
      <c r="H127" s="52"/>
      <c r="I127" s="52"/>
      <c r="J127" s="52"/>
      <c r="K127" s="52"/>
      <c r="L127" s="52"/>
      <c r="M127" s="52"/>
      <c r="O127" s="65" t="s">
        <v>1659</v>
      </c>
      <c r="P127" s="2501"/>
      <c r="Q127" s="2963"/>
    </row>
    <row r="128" spans="1:32" ht="10.5" customHeight="1">
      <c r="B128" s="139" t="s">
        <v>3372</v>
      </c>
      <c r="D128" s="139"/>
      <c r="E128" s="139"/>
      <c r="F128" s="139"/>
      <c r="G128" s="139"/>
      <c r="H128" s="40"/>
      <c r="I128" s="2672"/>
      <c r="J128" s="2672"/>
      <c r="K128" s="2672"/>
      <c r="L128" s="1401"/>
      <c r="M128" s="1401"/>
      <c r="N128" s="1401"/>
      <c r="O128" s="1401"/>
      <c r="P128" s="1401"/>
      <c r="Q128" s="782"/>
    </row>
    <row r="129" spans="1:31" ht="54" customHeight="1">
      <c r="A129" s="3961" t="s">
        <v>6975</v>
      </c>
      <c r="B129" s="3962"/>
      <c r="C129" s="3962"/>
      <c r="D129" s="3962"/>
      <c r="E129" s="3962"/>
      <c r="F129" s="3962"/>
      <c r="G129" s="3962"/>
      <c r="H129" s="3962"/>
      <c r="I129" s="3962"/>
      <c r="J129" s="3962"/>
      <c r="K129" s="3962"/>
      <c r="L129" s="3962"/>
      <c r="M129" s="3962"/>
      <c r="N129" s="3962"/>
      <c r="O129" s="3962"/>
      <c r="P129" s="3962"/>
      <c r="Q129" s="3963"/>
      <c r="U129" s="134"/>
      <c r="V129" s="134"/>
      <c r="W129" s="134"/>
      <c r="X129" s="134"/>
      <c r="Y129" s="134"/>
      <c r="Z129" s="134"/>
      <c r="AA129" s="134"/>
      <c r="AB129" s="134"/>
      <c r="AC129" s="134"/>
      <c r="AD129" s="134"/>
      <c r="AE129" s="441"/>
    </row>
    <row r="130" spans="1:31" ht="11.25" customHeight="1">
      <c r="B130" s="135" t="s">
        <v>1779</v>
      </c>
      <c r="C130" s="136"/>
      <c r="D130" s="2655"/>
      <c r="E130" s="2655"/>
      <c r="F130" s="2655"/>
      <c r="G130" s="2655"/>
      <c r="H130" s="2655"/>
      <c r="I130" s="2655"/>
      <c r="J130" s="2655"/>
      <c r="K130" s="2655"/>
      <c r="L130" s="2655"/>
      <c r="M130" s="2655"/>
      <c r="N130" s="2655"/>
      <c r="O130" s="2655"/>
      <c r="P130" s="2655"/>
      <c r="Q130" s="2655"/>
    </row>
    <row r="131" spans="1:31" ht="22.5" customHeight="1">
      <c r="A131" s="3968"/>
      <c r="B131" s="3969"/>
      <c r="C131" s="3969"/>
      <c r="D131" s="3969"/>
      <c r="E131" s="3969"/>
      <c r="F131" s="3969"/>
      <c r="G131" s="3969"/>
      <c r="H131" s="3969"/>
      <c r="I131" s="3969"/>
      <c r="J131" s="3969"/>
      <c r="K131" s="3969"/>
      <c r="L131" s="3969"/>
      <c r="M131" s="3969"/>
      <c r="N131" s="3969"/>
      <c r="O131" s="3969"/>
      <c r="P131" s="3969"/>
      <c r="Q131" s="3970"/>
    </row>
    <row r="132" spans="1:31" ht="14.1" customHeight="1">
      <c r="A132" s="2650" t="s">
        <v>742</v>
      </c>
      <c r="B132" s="2650" t="s">
        <v>2512</v>
      </c>
      <c r="C132" s="40"/>
      <c r="D132" s="2655"/>
      <c r="E132" s="2655"/>
      <c r="F132" s="2655"/>
      <c r="G132" s="2655"/>
      <c r="H132" s="2655"/>
      <c r="I132" s="2655"/>
      <c r="J132" s="2655"/>
      <c r="K132" s="2655"/>
      <c r="L132" s="2655"/>
      <c r="M132" s="2655"/>
      <c r="O132" s="130" t="s">
        <v>1780</v>
      </c>
      <c r="P132" s="3959"/>
      <c r="Q132" s="3960"/>
    </row>
    <row r="133" spans="1:31" ht="6.6" customHeight="1"/>
    <row r="134" spans="1:31">
      <c r="A134" s="47" t="s">
        <v>1892</v>
      </c>
      <c r="B134" s="52" t="s">
        <v>6439</v>
      </c>
      <c r="D134" s="132"/>
      <c r="E134" s="132"/>
      <c r="F134" s="132"/>
      <c r="G134" s="132"/>
      <c r="H134" s="132"/>
      <c r="I134" s="42"/>
      <c r="J134" s="42"/>
      <c r="K134" s="439" t="s">
        <v>1892</v>
      </c>
      <c r="L134" s="4110" t="s">
        <v>6976</v>
      </c>
      <c r="M134" s="4110"/>
      <c r="N134" s="4110"/>
      <c r="O134" s="4110"/>
      <c r="P134" s="4110"/>
      <c r="Q134" s="2955"/>
    </row>
    <row r="135" spans="1:31" ht="12" customHeight="1">
      <c r="B135" s="55" t="s">
        <v>6440</v>
      </c>
      <c r="O135" s="65" t="s">
        <v>1659</v>
      </c>
      <c r="P135" s="2500" t="s">
        <v>2771</v>
      </c>
      <c r="Q135" s="2964"/>
    </row>
    <row r="136" spans="1:31" ht="12" customHeight="1">
      <c r="A136" s="47" t="s">
        <v>1894</v>
      </c>
      <c r="B136" s="52" t="s">
        <v>1476</v>
      </c>
      <c r="D136" s="132"/>
      <c r="E136" s="132"/>
      <c r="F136" s="132"/>
      <c r="G136" s="132"/>
      <c r="H136" s="132"/>
      <c r="I136" s="42"/>
      <c r="J136" s="42"/>
      <c r="K136" s="132"/>
      <c r="L136" s="2659"/>
      <c r="O136" s="439" t="s">
        <v>1894</v>
      </c>
      <c r="P136" s="2500" t="s">
        <v>2771</v>
      </c>
      <c r="Q136" s="2964"/>
    </row>
    <row r="137" spans="1:31" ht="12" customHeight="1">
      <c r="A137" s="47" t="s">
        <v>719</v>
      </c>
      <c r="B137" s="52" t="s">
        <v>143</v>
      </c>
      <c r="D137" s="132"/>
      <c r="E137" s="132"/>
      <c r="F137" s="132"/>
      <c r="G137" s="132"/>
      <c r="H137" s="132"/>
      <c r="I137" s="42"/>
      <c r="J137" s="42"/>
      <c r="K137" s="2659"/>
      <c r="L137" s="2659"/>
      <c r="O137" s="439" t="s">
        <v>719</v>
      </c>
      <c r="P137" s="2671" t="s">
        <v>2768</v>
      </c>
      <c r="Q137" s="2965"/>
    </row>
    <row r="138" spans="1:31" ht="12" customHeight="1">
      <c r="A138" s="47"/>
      <c r="B138" s="783" t="s">
        <v>1658</v>
      </c>
      <c r="C138" s="52" t="s">
        <v>2539</v>
      </c>
      <c r="E138" s="132"/>
      <c r="F138" s="132"/>
      <c r="G138" s="132"/>
      <c r="H138" s="132"/>
      <c r="I138" s="42"/>
      <c r="J138" s="42"/>
      <c r="K138" s="65" t="s">
        <v>1658</v>
      </c>
      <c r="L138" s="4110" t="s">
        <v>6976</v>
      </c>
      <c r="M138" s="4110"/>
      <c r="N138" s="4110"/>
      <c r="O138" s="4110"/>
      <c r="P138" s="4110"/>
      <c r="Q138" s="2955"/>
    </row>
    <row r="139" spans="1:31" ht="12" customHeight="1">
      <c r="A139" s="137"/>
      <c r="B139" s="144" t="s">
        <v>1659</v>
      </c>
      <c r="C139" s="36" t="s">
        <v>3200</v>
      </c>
      <c r="E139" s="42"/>
      <c r="F139" s="42"/>
      <c r="G139" s="42"/>
      <c r="H139" s="52"/>
      <c r="I139" s="42"/>
      <c r="J139" s="42"/>
      <c r="K139" s="132"/>
      <c r="L139" s="2659"/>
      <c r="M139" s="2659"/>
      <c r="O139" s="439" t="s">
        <v>1659</v>
      </c>
      <c r="P139" s="2668">
        <v>63</v>
      </c>
      <c r="Q139" s="2958"/>
    </row>
    <row r="140" spans="1:31" ht="12" customHeight="1">
      <c r="A140" s="137"/>
      <c r="B140" s="40" t="s">
        <v>1660</v>
      </c>
      <c r="C140" s="36" t="s">
        <v>3943</v>
      </c>
      <c r="D140" s="146"/>
      <c r="E140" s="42"/>
      <c r="F140" s="42"/>
      <c r="G140" s="42"/>
      <c r="H140" s="52"/>
      <c r="I140" s="42"/>
      <c r="J140" s="42"/>
      <c r="K140" s="132"/>
      <c r="L140" s="2659"/>
      <c r="M140" s="2659"/>
      <c r="O140" s="439" t="s">
        <v>1660</v>
      </c>
      <c r="P140" s="2671" t="s">
        <v>6965</v>
      </c>
      <c r="Q140" s="2954"/>
    </row>
    <row r="141" spans="1:31" ht="12" customHeight="1">
      <c r="A141" s="47" t="s">
        <v>2020</v>
      </c>
      <c r="B141" s="144" t="s">
        <v>2303</v>
      </c>
      <c r="D141" s="132"/>
      <c r="E141" s="132"/>
      <c r="F141" s="132"/>
      <c r="G141" s="132"/>
      <c r="H141" s="132"/>
      <c r="I141" s="42"/>
      <c r="J141" s="42"/>
      <c r="K141" s="132"/>
      <c r="M141" s="2659"/>
      <c r="N141" s="2659"/>
      <c r="O141" s="2659"/>
      <c r="P141" s="2659"/>
      <c r="Q141" s="2659"/>
    </row>
    <row r="142" spans="1:31" ht="12" customHeight="1">
      <c r="A142" s="47"/>
      <c r="B142" s="144" t="s">
        <v>1658</v>
      </c>
      <c r="C142" s="52" t="s">
        <v>1214</v>
      </c>
      <c r="D142" s="132"/>
      <c r="E142" s="144"/>
      <c r="F142" s="2492" t="s">
        <v>2771</v>
      </c>
      <c r="G142" s="2952"/>
      <c r="H142" s="439" t="s">
        <v>4039</v>
      </c>
      <c r="I142" s="52" t="s">
        <v>6329</v>
      </c>
      <c r="K142" s="2668" t="s">
        <v>2771</v>
      </c>
      <c r="L142" s="2958"/>
      <c r="M142" s="439" t="s">
        <v>4043</v>
      </c>
      <c r="N142" s="55" t="s">
        <v>3418</v>
      </c>
      <c r="O142" s="2659"/>
      <c r="P142" s="2492" t="s">
        <v>2771</v>
      </c>
      <c r="Q142" s="2952"/>
    </row>
    <row r="143" spans="1:31" ht="12.75" customHeight="1">
      <c r="B143" s="144" t="s">
        <v>1659</v>
      </c>
      <c r="C143" s="52" t="s">
        <v>6441</v>
      </c>
      <c r="E143" s="132"/>
      <c r="F143" s="2666" t="s">
        <v>2771</v>
      </c>
      <c r="G143" s="2953"/>
      <c r="H143" s="439" t="s">
        <v>4040</v>
      </c>
      <c r="I143" s="52" t="s">
        <v>6330</v>
      </c>
      <c r="K143" s="2666" t="s">
        <v>2771</v>
      </c>
      <c r="L143" s="2953"/>
      <c r="M143" s="439" t="s">
        <v>4044</v>
      </c>
      <c r="N143" s="52" t="s">
        <v>1489</v>
      </c>
      <c r="P143" s="2666" t="s">
        <v>2771</v>
      </c>
      <c r="Q143" s="2953"/>
    </row>
    <row r="144" spans="1:31" ht="12" customHeight="1">
      <c r="A144" s="36"/>
      <c r="B144" s="144" t="s">
        <v>1660</v>
      </c>
      <c r="C144" s="52" t="s">
        <v>6442</v>
      </c>
      <c r="E144" s="132"/>
      <c r="F144" s="2666" t="s">
        <v>2771</v>
      </c>
      <c r="G144" s="2953"/>
      <c r="H144" s="439" t="s">
        <v>4041</v>
      </c>
      <c r="I144" s="55" t="s">
        <v>6443</v>
      </c>
      <c r="K144" s="2671" t="s">
        <v>2771</v>
      </c>
      <c r="L144" s="2954"/>
      <c r="M144" s="439" t="s">
        <v>6444</v>
      </c>
      <c r="N144" s="55" t="s">
        <v>6331</v>
      </c>
      <c r="P144" s="2666" t="s">
        <v>2771</v>
      </c>
      <c r="Q144" s="2953"/>
    </row>
    <row r="145" spans="1:32" ht="12" customHeight="1">
      <c r="A145" s="36"/>
      <c r="B145" s="144" t="s">
        <v>2259</v>
      </c>
      <c r="C145" s="55" t="s">
        <v>2502</v>
      </c>
      <c r="E145" s="132"/>
      <c r="F145" s="2666" t="s">
        <v>2771</v>
      </c>
      <c r="G145" s="2953"/>
      <c r="H145" s="439" t="s">
        <v>4042</v>
      </c>
      <c r="I145" s="3950" t="s">
        <v>6446</v>
      </c>
      <c r="J145" s="3950"/>
      <c r="K145" s="784"/>
      <c r="M145" s="439" t="s">
        <v>6445</v>
      </c>
      <c r="N145" s="52" t="s">
        <v>141</v>
      </c>
      <c r="P145" s="2671" t="s">
        <v>2771</v>
      </c>
      <c r="Q145" s="2954"/>
    </row>
    <row r="146" spans="1:32" ht="12" customHeight="1">
      <c r="A146" s="36"/>
      <c r="B146" s="439" t="s">
        <v>4038</v>
      </c>
      <c r="C146" s="52" t="s">
        <v>2610</v>
      </c>
      <c r="E146" s="132"/>
      <c r="F146" s="2671" t="s">
        <v>2771</v>
      </c>
      <c r="G146" s="2954"/>
      <c r="I146" s="3950"/>
      <c r="J146" s="3950"/>
      <c r="K146" s="2493" t="s">
        <v>2771</v>
      </c>
      <c r="L146" s="2955"/>
    </row>
    <row r="147" spans="1:32" ht="12" customHeight="1">
      <c r="A147" s="36"/>
      <c r="B147" s="439" t="s">
        <v>6465</v>
      </c>
      <c r="C147" s="52" t="s">
        <v>2611</v>
      </c>
      <c r="E147" s="132"/>
      <c r="F147" s="132"/>
      <c r="G147" s="132"/>
      <c r="H147" s="132"/>
      <c r="I147" s="132"/>
      <c r="J147" s="132"/>
      <c r="K147" s="132"/>
      <c r="L147" s="132"/>
      <c r="M147" s="52"/>
      <c r="O147" s="65"/>
      <c r="P147" s="65"/>
    </row>
    <row r="148" spans="1:32" ht="12" customHeight="1">
      <c r="A148" s="36"/>
      <c r="C148" s="3985" t="s">
        <v>2624</v>
      </c>
      <c r="D148" s="3985"/>
      <c r="E148" s="3985"/>
      <c r="F148" s="3985"/>
      <c r="G148" s="3985"/>
      <c r="H148" s="3985"/>
      <c r="I148" s="3985"/>
      <c r="J148" s="3985"/>
      <c r="K148" s="3985"/>
      <c r="L148" s="3985"/>
      <c r="M148" s="3985"/>
      <c r="N148" s="3985"/>
      <c r="O148" s="3985"/>
      <c r="P148" s="3985"/>
      <c r="Q148" s="3985"/>
    </row>
    <row r="149" spans="1:32" ht="12" customHeight="1">
      <c r="A149" s="47" t="s">
        <v>1656</v>
      </c>
      <c r="B149" s="52" t="s">
        <v>3259</v>
      </c>
      <c r="D149" s="132"/>
      <c r="E149" s="132"/>
      <c r="F149" s="132"/>
      <c r="G149" s="132"/>
      <c r="H149" s="132"/>
      <c r="I149" s="42"/>
      <c r="J149" s="42"/>
      <c r="K149" s="132"/>
      <c r="L149" s="132"/>
      <c r="M149" s="2659"/>
    </row>
    <row r="150" spans="1:32" ht="12.75" customHeight="1">
      <c r="A150" s="42"/>
      <c r="B150" s="144" t="s">
        <v>1658</v>
      </c>
      <c r="C150" s="52" t="s">
        <v>2612</v>
      </c>
      <c r="E150" s="132"/>
      <c r="F150" s="132"/>
      <c r="G150" s="132"/>
      <c r="H150" s="132"/>
      <c r="O150" s="65" t="s">
        <v>1658</v>
      </c>
      <c r="P150" s="2492" t="s">
        <v>2771</v>
      </c>
      <c r="Q150" s="2952"/>
    </row>
    <row r="151" spans="1:32" ht="12.75" customHeight="1">
      <c r="A151" s="2672"/>
      <c r="B151" s="144" t="s">
        <v>1659</v>
      </c>
      <c r="C151" s="52" t="s">
        <v>469</v>
      </c>
      <c r="E151" s="52"/>
      <c r="F151" s="52"/>
      <c r="G151" s="52"/>
      <c r="H151" s="52"/>
      <c r="I151" s="42"/>
      <c r="J151" s="42"/>
      <c r="K151" s="52"/>
      <c r="L151" s="52"/>
      <c r="M151" s="52"/>
      <c r="O151" s="65" t="s">
        <v>1659</v>
      </c>
      <c r="P151" s="2666" t="s">
        <v>2768</v>
      </c>
      <c r="Q151" s="2953"/>
    </row>
    <row r="152" spans="1:32" ht="12.75" customHeight="1">
      <c r="A152" s="2672"/>
      <c r="B152" s="144" t="s">
        <v>1660</v>
      </c>
      <c r="C152" s="52" t="s">
        <v>651</v>
      </c>
      <c r="E152" s="52"/>
      <c r="F152" s="52"/>
      <c r="G152" s="52"/>
      <c r="H152" s="52"/>
      <c r="I152" s="42"/>
      <c r="J152" s="42"/>
      <c r="K152" s="52"/>
      <c r="L152" s="52"/>
      <c r="M152" s="52"/>
      <c r="O152" s="65" t="s">
        <v>1660</v>
      </c>
      <c r="P152" s="2666" t="s">
        <v>2768</v>
      </c>
      <c r="Q152" s="2953"/>
    </row>
    <row r="153" spans="1:32" ht="12.75" customHeight="1">
      <c r="A153" s="2672"/>
      <c r="B153" s="40" t="s">
        <v>2259</v>
      </c>
      <c r="C153" s="52" t="s">
        <v>4025</v>
      </c>
      <c r="E153" s="52"/>
      <c r="F153" s="52"/>
      <c r="G153" s="52"/>
      <c r="H153" s="52"/>
      <c r="I153" s="42"/>
      <c r="J153" s="42"/>
      <c r="K153" s="52"/>
      <c r="L153" s="52"/>
      <c r="M153" s="52"/>
      <c r="O153" s="439" t="s">
        <v>2259</v>
      </c>
      <c r="P153" s="2671" t="s">
        <v>2771</v>
      </c>
      <c r="Q153" s="2954"/>
    </row>
    <row r="154" spans="1:32" ht="12" customHeight="1">
      <c r="A154" s="399" t="s">
        <v>4150</v>
      </c>
      <c r="C154" s="52"/>
      <c r="D154" s="132"/>
      <c r="E154" s="132"/>
      <c r="F154" s="132"/>
      <c r="G154" s="132"/>
      <c r="H154" s="132"/>
      <c r="I154" s="42"/>
      <c r="J154" s="42"/>
      <c r="K154" s="132"/>
      <c r="L154" s="132"/>
      <c r="M154" s="2659"/>
      <c r="N154" s="2659"/>
      <c r="O154" s="2659"/>
      <c r="P154" s="2659"/>
      <c r="Q154" s="2659"/>
      <c r="R154" s="2659"/>
    </row>
    <row r="155" spans="1:32" s="1" customFormat="1" ht="24" customHeight="1">
      <c r="A155" s="140" t="s">
        <v>1657</v>
      </c>
      <c r="B155" s="3950" t="s">
        <v>140</v>
      </c>
      <c r="C155" s="3950"/>
      <c r="D155" s="3950"/>
      <c r="E155" s="3950"/>
      <c r="F155" s="3950"/>
      <c r="G155" s="3950"/>
      <c r="H155" s="3950"/>
      <c r="I155" s="3950"/>
      <c r="J155" s="3950"/>
      <c r="K155" s="3950"/>
      <c r="L155" s="3950"/>
      <c r="M155" s="439" t="s">
        <v>1857</v>
      </c>
      <c r="N155" s="4106" t="s">
        <v>1691</v>
      </c>
      <c r="O155" s="4107"/>
      <c r="P155" s="4108" t="s">
        <v>1691</v>
      </c>
      <c r="Q155" s="4109"/>
      <c r="AE155" s="5"/>
      <c r="AF155" s="5"/>
    </row>
    <row r="156" spans="1:32" ht="11.25" customHeight="1">
      <c r="B156" s="139" t="s">
        <v>3372</v>
      </c>
      <c r="D156" s="139"/>
      <c r="E156" s="139"/>
      <c r="F156" s="139"/>
      <c r="G156" s="139"/>
      <c r="H156" s="40"/>
      <c r="I156" s="2672"/>
      <c r="J156" s="2672"/>
      <c r="K156" s="2672"/>
      <c r="L156" s="1401"/>
      <c r="M156" s="1401"/>
      <c r="N156" s="1401"/>
      <c r="O156" s="1401"/>
      <c r="P156" s="1401"/>
      <c r="Q156" s="782"/>
    </row>
    <row r="157" spans="1:32" ht="54.75" customHeight="1">
      <c r="A157" s="4085" t="s">
        <v>7039</v>
      </c>
      <c r="B157" s="3962"/>
      <c r="C157" s="3962"/>
      <c r="D157" s="3962"/>
      <c r="E157" s="3962"/>
      <c r="F157" s="3962"/>
      <c r="G157" s="3962"/>
      <c r="H157" s="3962"/>
      <c r="I157" s="3962"/>
      <c r="J157" s="3962"/>
      <c r="K157" s="3962"/>
      <c r="L157" s="3962"/>
      <c r="M157" s="3962"/>
      <c r="N157" s="3962"/>
      <c r="O157" s="3962"/>
      <c r="P157" s="3962"/>
      <c r="Q157" s="3963"/>
      <c r="R157" s="428" t="s">
        <v>1208</v>
      </c>
      <c r="S157" s="428"/>
      <c r="U157" s="134"/>
      <c r="V157" s="134"/>
      <c r="W157" s="134"/>
      <c r="X157" s="134"/>
      <c r="Y157" s="134"/>
      <c r="Z157" s="134"/>
      <c r="AA157" s="134"/>
      <c r="AB157" s="134"/>
      <c r="AC157" s="134"/>
      <c r="AD157" s="134"/>
      <c r="AE157" s="441"/>
    </row>
    <row r="158" spans="1:32" s="27" customFormat="1" ht="3" customHeight="1">
      <c r="C158" s="115"/>
      <c r="D158" s="115"/>
      <c r="R158" s="428"/>
      <c r="S158" s="428"/>
      <c r="AE158" s="115"/>
      <c r="AF158" s="115"/>
    </row>
    <row r="159" spans="1:32" ht="11.25" customHeight="1">
      <c r="B159" s="135" t="s">
        <v>1779</v>
      </c>
      <c r="C159" s="136"/>
      <c r="D159" s="2655"/>
      <c r="E159" s="2655"/>
      <c r="F159" s="2655"/>
      <c r="G159" s="2655"/>
      <c r="H159" s="2655"/>
      <c r="I159" s="2655"/>
      <c r="J159" s="2655"/>
      <c r="K159" s="2655"/>
      <c r="L159" s="2655"/>
      <c r="M159" s="2655"/>
      <c r="N159" s="2655"/>
      <c r="O159" s="2655"/>
      <c r="P159" s="2655"/>
      <c r="Q159" s="2655"/>
    </row>
    <row r="160" spans="1:32" ht="45" customHeight="1">
      <c r="A160" s="3968"/>
      <c r="B160" s="3969"/>
      <c r="C160" s="3969"/>
      <c r="D160" s="3969"/>
      <c r="E160" s="3969"/>
      <c r="F160" s="3969"/>
      <c r="G160" s="3969"/>
      <c r="H160" s="3969"/>
      <c r="I160" s="3969"/>
      <c r="J160" s="3969"/>
      <c r="K160" s="3969"/>
      <c r="L160" s="3969"/>
      <c r="M160" s="3969"/>
      <c r="N160" s="3969"/>
      <c r="O160" s="3969"/>
      <c r="P160" s="3969"/>
      <c r="Q160" s="3970"/>
    </row>
    <row r="161" spans="1:31" ht="3" customHeight="1">
      <c r="A161" s="1401"/>
      <c r="B161" s="2672"/>
      <c r="C161" s="2655"/>
      <c r="D161" s="2655"/>
      <c r="E161" s="2655"/>
      <c r="F161" s="2655"/>
      <c r="G161" s="2655"/>
      <c r="H161" s="2655"/>
      <c r="I161" s="2655"/>
      <c r="J161" s="2655"/>
      <c r="K161" s="2655"/>
      <c r="L161" s="2655"/>
      <c r="M161" s="2655"/>
      <c r="N161" s="2655"/>
      <c r="O161" s="2655"/>
      <c r="P161" s="2655"/>
      <c r="Q161" s="1401"/>
    </row>
    <row r="162" spans="1:31" ht="14.1" customHeight="1">
      <c r="A162" s="2650" t="s">
        <v>281</v>
      </c>
      <c r="B162" s="2650" t="s">
        <v>2513</v>
      </c>
      <c r="C162" s="2650"/>
      <c r="D162" s="2655"/>
      <c r="E162" s="2655"/>
      <c r="F162" s="2655"/>
      <c r="G162" s="2655"/>
      <c r="H162" s="2655"/>
      <c r="I162" s="2655"/>
      <c r="J162" s="2655"/>
      <c r="K162" s="2655"/>
      <c r="O162" s="130" t="s">
        <v>1780</v>
      </c>
      <c r="P162" s="3959"/>
      <c r="Q162" s="3960"/>
    </row>
    <row r="163" spans="1:31" ht="12" customHeight="1">
      <c r="A163" s="47" t="s">
        <v>1892</v>
      </c>
      <c r="B163" s="144" t="s">
        <v>1658</v>
      </c>
      <c r="C163" s="52" t="s">
        <v>6332</v>
      </c>
      <c r="D163" s="52"/>
      <c r="E163" s="52"/>
      <c r="F163" s="52"/>
      <c r="G163" s="52"/>
      <c r="K163" s="52" t="s">
        <v>2554</v>
      </c>
      <c r="M163" s="4086" t="s">
        <v>6978</v>
      </c>
      <c r="N163" s="4087"/>
      <c r="O163" s="65" t="s">
        <v>1658</v>
      </c>
      <c r="P163" s="2489" t="s">
        <v>2768</v>
      </c>
      <c r="Q163" s="2966"/>
    </row>
    <row r="164" spans="1:31" ht="12" customHeight="1">
      <c r="A164" s="47"/>
      <c r="B164" s="144" t="s">
        <v>1659</v>
      </c>
      <c r="C164" s="52" t="s">
        <v>4258</v>
      </c>
      <c r="D164" s="52"/>
      <c r="E164" s="52"/>
      <c r="F164" s="52"/>
      <c r="G164" s="52"/>
      <c r="K164" s="52" t="s">
        <v>2554</v>
      </c>
      <c r="M164" s="4086"/>
      <c r="N164" s="4087"/>
      <c r="O164" s="65" t="s">
        <v>1659</v>
      </c>
      <c r="P164" s="2489"/>
      <c r="Q164" s="2966"/>
    </row>
    <row r="165" spans="1:31" ht="12" customHeight="1">
      <c r="A165" s="47" t="s">
        <v>1894</v>
      </c>
      <c r="B165" s="138" t="s">
        <v>142</v>
      </c>
      <c r="D165" s="138"/>
      <c r="E165" s="138"/>
      <c r="F165" s="52" t="str">
        <f>IF(M165="Ground lease/Option","Ground lease/Option:","")</f>
        <v>Ground lease/Option:</v>
      </c>
      <c r="H165" s="36" t="str">
        <f>IF(M165="Ground lease/Option","Annual Pymt:","")</f>
        <v>Annual Pymt:</v>
      </c>
      <c r="I165" s="1315">
        <f>IF(M165="Ground lease/Option",'Part VI-Revenues &amp; Expenses'!$K$248,"")</f>
        <v>10</v>
      </c>
      <c r="J165" s="439" t="str">
        <f>IF(M165="Ground lease/Option","Term:","")</f>
        <v>Term:</v>
      </c>
      <c r="K165" s="1676">
        <f>IF(M165="Ground lease/Option",'Part VI-Revenues &amp; Expenses'!$N$248,"")</f>
        <v>99</v>
      </c>
      <c r="L165" s="439" t="s">
        <v>1894</v>
      </c>
      <c r="M165" s="4088" t="s">
        <v>6977</v>
      </c>
      <c r="N165" s="4089"/>
      <c r="P165" s="4090" t="s">
        <v>1691</v>
      </c>
      <c r="Q165" s="4091"/>
    </row>
    <row r="166" spans="1:31" ht="12" customHeight="1">
      <c r="A166" s="47" t="s">
        <v>719</v>
      </c>
      <c r="B166" s="138" t="s">
        <v>652</v>
      </c>
      <c r="D166" s="138"/>
      <c r="E166" s="138"/>
      <c r="F166" s="138"/>
      <c r="G166" s="138"/>
      <c r="H166" s="138"/>
      <c r="J166" s="439" t="s">
        <v>719</v>
      </c>
      <c r="K166" s="3993" t="s">
        <v>6885</v>
      </c>
      <c r="L166" s="3994"/>
      <c r="M166" s="3994"/>
      <c r="N166" s="3994"/>
      <c r="O166" s="3994"/>
      <c r="P166" s="3995"/>
      <c r="Q166" s="2966"/>
    </row>
    <row r="167" spans="1:31" ht="21.75" customHeight="1">
      <c r="A167" s="140" t="s">
        <v>2020</v>
      </c>
      <c r="B167" s="3950" t="s">
        <v>6447</v>
      </c>
      <c r="C167" s="3950"/>
      <c r="D167" s="3950"/>
      <c r="E167" s="3950"/>
      <c r="F167" s="3950"/>
      <c r="G167" s="3950"/>
      <c r="H167" s="3950"/>
      <c r="I167" s="3950"/>
      <c r="J167" s="3950"/>
      <c r="K167" s="3950"/>
      <c r="L167" s="3950"/>
      <c r="M167" s="3950"/>
      <c r="N167" s="3950"/>
      <c r="O167" s="159" t="s">
        <v>2020</v>
      </c>
      <c r="P167" s="2658"/>
      <c r="Q167" s="2962"/>
    </row>
    <row r="168" spans="1:31" ht="12" customHeight="1">
      <c r="B168" s="139" t="s">
        <v>3372</v>
      </c>
      <c r="D168" s="139"/>
      <c r="E168" s="139"/>
      <c r="F168" s="139"/>
      <c r="G168" s="139"/>
      <c r="H168" s="40"/>
      <c r="I168" s="2672"/>
      <c r="J168" s="2672"/>
      <c r="K168" s="2672"/>
      <c r="L168" s="1401"/>
      <c r="M168" s="1401"/>
      <c r="N168" s="1401"/>
      <c r="O168" s="1401"/>
      <c r="P168" s="1401"/>
      <c r="Q168" s="782"/>
    </row>
    <row r="169" spans="1:31" ht="145.5" customHeight="1">
      <c r="A169" s="3961" t="s">
        <v>7046</v>
      </c>
      <c r="B169" s="3962"/>
      <c r="C169" s="3962"/>
      <c r="D169" s="3962"/>
      <c r="E169" s="3962"/>
      <c r="F169" s="3962"/>
      <c r="G169" s="3962"/>
      <c r="H169" s="3962"/>
      <c r="I169" s="3962"/>
      <c r="J169" s="3962"/>
      <c r="K169" s="3962"/>
      <c r="L169" s="3962"/>
      <c r="M169" s="3962"/>
      <c r="N169" s="3962"/>
      <c r="O169" s="3962"/>
      <c r="P169" s="3962"/>
      <c r="Q169" s="3963"/>
      <c r="U169" s="134"/>
      <c r="V169" s="134"/>
      <c r="W169" s="134"/>
      <c r="X169" s="134"/>
      <c r="Y169" s="134"/>
      <c r="Z169" s="134"/>
      <c r="AA169" s="134"/>
      <c r="AB169" s="134"/>
      <c r="AC169" s="134"/>
      <c r="AD169" s="134"/>
      <c r="AE169" s="441"/>
    </row>
    <row r="170" spans="1:31" ht="12" customHeight="1">
      <c r="B170" s="135" t="s">
        <v>1779</v>
      </c>
      <c r="C170" s="136"/>
      <c r="D170" s="2655"/>
      <c r="E170" s="2655"/>
      <c r="F170" s="2655"/>
      <c r="G170" s="2655"/>
      <c r="H170" s="2655"/>
      <c r="I170" s="2655"/>
      <c r="J170" s="2655"/>
      <c r="K170" s="2655"/>
      <c r="L170" s="2655"/>
      <c r="M170" s="2655"/>
      <c r="N170" s="2655"/>
      <c r="O170" s="2655"/>
      <c r="P170" s="2655"/>
      <c r="Q170" s="2655"/>
    </row>
    <row r="171" spans="1:31" ht="11.45" customHeight="1">
      <c r="A171" s="3968"/>
      <c r="B171" s="3969"/>
      <c r="C171" s="3969"/>
      <c r="D171" s="3969"/>
      <c r="E171" s="3969"/>
      <c r="F171" s="3969"/>
      <c r="G171" s="3969"/>
      <c r="H171" s="3969"/>
      <c r="I171" s="3969"/>
      <c r="J171" s="3969"/>
      <c r="K171" s="3969"/>
      <c r="L171" s="3969"/>
      <c r="M171" s="3969"/>
      <c r="N171" s="3969"/>
      <c r="O171" s="3969"/>
      <c r="P171" s="3969"/>
      <c r="Q171" s="3970"/>
    </row>
    <row r="172" spans="1:31" ht="3" customHeight="1">
      <c r="A172" s="1401"/>
      <c r="B172" s="2672"/>
      <c r="C172" s="2655"/>
      <c r="D172" s="2655"/>
      <c r="E172" s="2655"/>
      <c r="F172" s="2655"/>
      <c r="G172" s="2655"/>
      <c r="H172" s="2655"/>
      <c r="I172" s="2655"/>
      <c r="J172" s="2655"/>
      <c r="K172" s="2655"/>
      <c r="L172" s="2655"/>
      <c r="M172" s="2655"/>
      <c r="Q172" s="1401"/>
    </row>
    <row r="173" spans="1:31" ht="14.1" customHeight="1">
      <c r="A173" s="2650" t="s">
        <v>407</v>
      </c>
      <c r="B173" s="2650" t="s">
        <v>2514</v>
      </c>
      <c r="C173" s="2650"/>
      <c r="D173" s="2655"/>
      <c r="E173" s="2655"/>
      <c r="F173" s="2655"/>
      <c r="G173" s="2655"/>
      <c r="H173" s="2655"/>
      <c r="I173" s="2655"/>
      <c r="J173" s="2655"/>
      <c r="K173" s="2655"/>
      <c r="L173" s="2655"/>
      <c r="M173" s="2655"/>
      <c r="O173" s="130" t="s">
        <v>1780</v>
      </c>
      <c r="P173" s="3959"/>
      <c r="Q173" s="3960"/>
    </row>
    <row r="174" spans="1:31" ht="21.75" customHeight="1">
      <c r="A174" s="140" t="s">
        <v>1892</v>
      </c>
      <c r="B174" s="3950" t="s">
        <v>3366</v>
      </c>
      <c r="C174" s="3950"/>
      <c r="D174" s="3950"/>
      <c r="E174" s="3950"/>
      <c r="F174" s="3950"/>
      <c r="G174" s="3950"/>
      <c r="H174" s="3950"/>
      <c r="I174" s="3950"/>
      <c r="J174" s="3950"/>
      <c r="K174" s="3950"/>
      <c r="L174" s="3950"/>
      <c r="M174" s="3950"/>
      <c r="N174" s="3950"/>
      <c r="O174" s="159" t="s">
        <v>1892</v>
      </c>
      <c r="P174" s="2502" t="s">
        <v>2768</v>
      </c>
      <c r="Q174" s="2967"/>
    </row>
    <row r="175" spans="1:31" ht="22.35" customHeight="1">
      <c r="A175" s="140" t="s">
        <v>1894</v>
      </c>
      <c r="B175" s="3950" t="s">
        <v>3958</v>
      </c>
      <c r="C175" s="3950"/>
      <c r="D175" s="3950"/>
      <c r="E175" s="3950"/>
      <c r="F175" s="3950"/>
      <c r="G175" s="3950"/>
      <c r="H175" s="3950"/>
      <c r="I175" s="3950"/>
      <c r="J175" s="3950"/>
      <c r="K175" s="3950"/>
      <c r="L175" s="3950"/>
      <c r="M175" s="3950"/>
      <c r="N175" s="3950"/>
      <c r="O175" s="159" t="s">
        <v>1894</v>
      </c>
      <c r="P175" s="2657" t="s">
        <v>6965</v>
      </c>
      <c r="Q175" s="2960"/>
    </row>
    <row r="176" spans="1:31" ht="22.35" customHeight="1">
      <c r="A176" s="140" t="s">
        <v>719</v>
      </c>
      <c r="B176" s="3950" t="s">
        <v>3367</v>
      </c>
      <c r="C176" s="3950"/>
      <c r="D176" s="3950"/>
      <c r="E176" s="3950"/>
      <c r="F176" s="3950"/>
      <c r="G176" s="3950"/>
      <c r="H176" s="3950"/>
      <c r="I176" s="3950"/>
      <c r="J176" s="3950"/>
      <c r="K176" s="3950"/>
      <c r="L176" s="3950"/>
      <c r="M176" s="3950"/>
      <c r="N176" s="3950"/>
      <c r="O176" s="159" t="s">
        <v>719</v>
      </c>
      <c r="P176" s="2657" t="s">
        <v>2768</v>
      </c>
      <c r="Q176" s="2960"/>
    </row>
    <row r="177" spans="1:32" ht="21.75" customHeight="1">
      <c r="A177" s="140" t="s">
        <v>2020</v>
      </c>
      <c r="B177" s="3950" t="s">
        <v>4006</v>
      </c>
      <c r="C177" s="3950"/>
      <c r="D177" s="3950"/>
      <c r="E177" s="3950"/>
      <c r="F177" s="3950"/>
      <c r="G177" s="3950"/>
      <c r="H177" s="3950"/>
      <c r="I177" s="3950"/>
      <c r="J177" s="3950"/>
      <c r="K177" s="3950"/>
      <c r="L177" s="3950"/>
      <c r="M177" s="3950"/>
      <c r="N177" s="3950"/>
      <c r="O177" s="159" t="s">
        <v>2020</v>
      </c>
      <c r="P177" s="2658" t="s">
        <v>2768</v>
      </c>
      <c r="Q177" s="2962"/>
    </row>
    <row r="178" spans="1:32" ht="12" customHeight="1">
      <c r="B178" s="139" t="s">
        <v>3372</v>
      </c>
      <c r="D178" s="139"/>
      <c r="E178" s="139"/>
      <c r="F178" s="139"/>
      <c r="G178" s="139"/>
      <c r="H178" s="40"/>
      <c r="I178" s="2672"/>
      <c r="J178" s="2672"/>
      <c r="K178" s="2672"/>
      <c r="L178" s="1401"/>
      <c r="M178" s="1401"/>
      <c r="N178" s="1401"/>
      <c r="O178" s="1401"/>
      <c r="P178" s="1401"/>
      <c r="Q178" s="782"/>
    </row>
    <row r="179" spans="1:32" ht="32.25" customHeight="1">
      <c r="A179" s="3961" t="s">
        <v>7042</v>
      </c>
      <c r="B179" s="3962"/>
      <c r="C179" s="3962"/>
      <c r="D179" s="3962"/>
      <c r="E179" s="3962"/>
      <c r="F179" s="3962"/>
      <c r="G179" s="3962"/>
      <c r="H179" s="3962"/>
      <c r="I179" s="3962"/>
      <c r="J179" s="3962"/>
      <c r="K179" s="3962"/>
      <c r="L179" s="3962"/>
      <c r="M179" s="3962"/>
      <c r="N179" s="3962"/>
      <c r="O179" s="3962"/>
      <c r="P179" s="3962"/>
      <c r="Q179" s="3963"/>
      <c r="U179" s="134"/>
      <c r="V179" s="134"/>
      <c r="W179" s="134"/>
      <c r="X179" s="134"/>
      <c r="Y179" s="134"/>
      <c r="Z179" s="134"/>
      <c r="AA179" s="134"/>
      <c r="AB179" s="134"/>
      <c r="AC179" s="134"/>
      <c r="AD179" s="134"/>
      <c r="AE179" s="441"/>
    </row>
    <row r="180" spans="1:32" ht="12" customHeight="1">
      <c r="B180" s="135" t="s">
        <v>1779</v>
      </c>
      <c r="C180" s="136"/>
      <c r="D180" s="2655"/>
      <c r="E180" s="2655"/>
      <c r="F180" s="2655"/>
      <c r="G180" s="2655"/>
      <c r="H180" s="2655"/>
      <c r="I180" s="2655"/>
      <c r="J180" s="2655"/>
      <c r="K180" s="2655"/>
      <c r="L180" s="2655"/>
      <c r="M180" s="2655"/>
      <c r="N180" s="2655"/>
      <c r="O180" s="2655"/>
      <c r="P180" s="2655"/>
      <c r="Q180" s="2655"/>
    </row>
    <row r="181" spans="1:32" ht="11.45" customHeight="1">
      <c r="A181" s="3968"/>
      <c r="B181" s="3969"/>
      <c r="C181" s="3969"/>
      <c r="D181" s="3969"/>
      <c r="E181" s="3969"/>
      <c r="F181" s="3969"/>
      <c r="G181" s="3969"/>
      <c r="H181" s="3969"/>
      <c r="I181" s="3969"/>
      <c r="J181" s="3969"/>
      <c r="K181" s="3969"/>
      <c r="L181" s="3969"/>
      <c r="M181" s="3969"/>
      <c r="N181" s="3969"/>
      <c r="O181" s="3969"/>
      <c r="P181" s="3969"/>
      <c r="Q181" s="3970"/>
    </row>
    <row r="182" spans="1:32" ht="3" customHeight="1">
      <c r="B182" s="2672"/>
      <c r="C182" s="2655"/>
      <c r="D182" s="2655"/>
      <c r="E182" s="2655"/>
      <c r="F182" s="2655"/>
      <c r="G182" s="2655"/>
      <c r="H182" s="2655"/>
      <c r="I182" s="2655"/>
      <c r="J182" s="2655"/>
      <c r="K182" s="2655"/>
      <c r="L182" s="2655"/>
      <c r="M182" s="2655"/>
      <c r="N182" s="2655"/>
      <c r="O182" s="2655"/>
      <c r="P182" s="2655"/>
      <c r="Q182" s="1401"/>
    </row>
    <row r="183" spans="1:32" ht="14.1" customHeight="1">
      <c r="A183" s="2625" t="s">
        <v>346</v>
      </c>
      <c r="B183" s="3857" t="s">
        <v>2515</v>
      </c>
      <c r="C183" s="3857"/>
      <c r="D183" s="3857"/>
      <c r="F183" s="380" t="s">
        <v>6377</v>
      </c>
      <c r="O183" s="130" t="s">
        <v>1780</v>
      </c>
      <c r="P183" s="3959"/>
      <c r="Q183" s="3960"/>
    </row>
    <row r="184" spans="1:32" s="27" customFormat="1" ht="11.45" customHeight="1">
      <c r="B184" s="55" t="s">
        <v>6448</v>
      </c>
      <c r="N184" s="119"/>
      <c r="P184" s="2489" t="s">
        <v>2771</v>
      </c>
      <c r="Q184" s="2966"/>
      <c r="AE184" s="115"/>
      <c r="AF184" s="115"/>
    </row>
    <row r="185" spans="1:32" ht="12" customHeight="1">
      <c r="A185" s="140" t="s">
        <v>1892</v>
      </c>
      <c r="B185" s="773" t="s">
        <v>448</v>
      </c>
      <c r="D185" s="773"/>
      <c r="E185" s="773"/>
      <c r="F185" s="773"/>
      <c r="G185" s="773"/>
      <c r="H185" s="773"/>
      <c r="I185" s="773"/>
      <c r="J185" s="773"/>
      <c r="K185" s="773"/>
      <c r="L185" s="773"/>
      <c r="M185" s="773"/>
      <c r="O185" s="159" t="s">
        <v>1892</v>
      </c>
      <c r="P185" s="2492" t="s">
        <v>2768</v>
      </c>
      <c r="Q185" s="2952"/>
    </row>
    <row r="186" spans="1:32" ht="12" customHeight="1">
      <c r="A186" s="140" t="s">
        <v>1894</v>
      </c>
      <c r="B186" s="773" t="s">
        <v>6333</v>
      </c>
      <c r="D186" s="773"/>
      <c r="E186" s="773"/>
      <c r="F186" s="773"/>
      <c r="G186" s="773"/>
      <c r="H186" s="773"/>
      <c r="I186" s="773"/>
      <c r="J186" s="773"/>
      <c r="K186" s="773"/>
      <c r="L186" s="773"/>
      <c r="M186" s="773"/>
      <c r="O186" s="159" t="s">
        <v>1894</v>
      </c>
      <c r="P186" s="2666" t="s">
        <v>2768</v>
      </c>
      <c r="Q186" s="2953"/>
    </row>
    <row r="187" spans="1:32" ht="12" customHeight="1">
      <c r="A187" s="140" t="s">
        <v>719</v>
      </c>
      <c r="B187" s="773" t="s">
        <v>2503</v>
      </c>
      <c r="D187" s="773"/>
      <c r="E187" s="773"/>
      <c r="F187" s="773"/>
      <c r="G187" s="773"/>
      <c r="H187" s="773"/>
      <c r="I187" s="773"/>
      <c r="J187" s="138" t="s">
        <v>4008</v>
      </c>
      <c r="L187" s="773"/>
      <c r="M187" s="773"/>
      <c r="O187" s="159" t="s">
        <v>719</v>
      </c>
      <c r="P187" s="2666" t="s">
        <v>2768</v>
      </c>
      <c r="Q187" s="2953"/>
    </row>
    <row r="188" spans="1:32" ht="12" customHeight="1">
      <c r="B188" s="40" t="s">
        <v>1658</v>
      </c>
      <c r="C188" s="783" t="s">
        <v>2504</v>
      </c>
      <c r="G188" s="773"/>
      <c r="H188" s="773"/>
      <c r="J188" s="773"/>
      <c r="K188" s="773"/>
      <c r="L188" s="773"/>
      <c r="M188" s="773"/>
      <c r="O188" s="425" t="s">
        <v>1658</v>
      </c>
      <c r="P188" s="2666" t="s">
        <v>2768</v>
      </c>
      <c r="Q188" s="2953"/>
    </row>
    <row r="189" spans="1:32" ht="12" customHeight="1">
      <c r="A189" s="138"/>
      <c r="B189" s="40" t="s">
        <v>1659</v>
      </c>
      <c r="C189" s="783" t="s">
        <v>2505</v>
      </c>
      <c r="G189" s="773"/>
      <c r="H189" s="773"/>
      <c r="I189" s="773"/>
      <c r="J189" s="773"/>
      <c r="K189" s="773"/>
      <c r="L189" s="773"/>
      <c r="M189" s="773"/>
      <c r="O189" s="425" t="s">
        <v>1659</v>
      </c>
      <c r="P189" s="2666" t="s">
        <v>2768</v>
      </c>
      <c r="Q189" s="2953"/>
    </row>
    <row r="190" spans="1:32" s="131" customFormat="1" ht="21.75" customHeight="1">
      <c r="A190" s="140"/>
      <c r="B190" s="451" t="s">
        <v>1660</v>
      </c>
      <c r="C190" s="3950" t="s">
        <v>3368</v>
      </c>
      <c r="D190" s="3950"/>
      <c r="E190" s="3950"/>
      <c r="F190" s="3950"/>
      <c r="G190" s="3950"/>
      <c r="H190" s="3950"/>
      <c r="I190" s="3950"/>
      <c r="J190" s="3950"/>
      <c r="K190" s="3950"/>
      <c r="L190" s="3950"/>
      <c r="M190" s="3950"/>
      <c r="N190" s="3950"/>
      <c r="O190" s="159" t="s">
        <v>1660</v>
      </c>
      <c r="P190" s="2657" t="s">
        <v>2768</v>
      </c>
      <c r="Q190" s="2960"/>
      <c r="AE190" s="442"/>
      <c r="AF190" s="442"/>
    </row>
    <row r="191" spans="1:32" ht="12" customHeight="1">
      <c r="A191" s="140"/>
      <c r="B191" s="40" t="s">
        <v>2259</v>
      </c>
      <c r="C191" s="783" t="s">
        <v>2506</v>
      </c>
      <c r="G191" s="773"/>
      <c r="H191" s="773"/>
      <c r="I191" s="773"/>
      <c r="J191" s="773"/>
      <c r="K191" s="773"/>
      <c r="L191" s="773"/>
      <c r="M191" s="773"/>
      <c r="O191" s="425" t="s">
        <v>2259</v>
      </c>
      <c r="P191" s="2666" t="s">
        <v>2768</v>
      </c>
      <c r="Q191" s="2953"/>
    </row>
    <row r="192" spans="1:32" s="131" customFormat="1" ht="21.75" customHeight="1">
      <c r="A192" s="140"/>
      <c r="B192" s="451" t="s">
        <v>1487</v>
      </c>
      <c r="C192" s="3950" t="s">
        <v>2507</v>
      </c>
      <c r="D192" s="3950"/>
      <c r="E192" s="3950"/>
      <c r="F192" s="3950"/>
      <c r="G192" s="3950"/>
      <c r="H192" s="3950"/>
      <c r="I192" s="3950"/>
      <c r="J192" s="3950"/>
      <c r="K192" s="3950"/>
      <c r="L192" s="3950"/>
      <c r="M192" s="3950"/>
      <c r="N192" s="3950"/>
      <c r="O192" s="159" t="s">
        <v>1487</v>
      </c>
      <c r="P192" s="2657" t="s">
        <v>2768</v>
      </c>
      <c r="Q192" s="2960"/>
      <c r="AE192" s="442"/>
      <c r="AF192" s="442"/>
    </row>
    <row r="193" spans="1:32" s="131" customFormat="1" ht="21.75" customHeight="1">
      <c r="A193" s="140"/>
      <c r="B193" s="451" t="s">
        <v>1488</v>
      </c>
      <c r="C193" s="3950" t="s">
        <v>3444</v>
      </c>
      <c r="D193" s="3950"/>
      <c r="E193" s="3950"/>
      <c r="F193" s="3950"/>
      <c r="G193" s="3950"/>
      <c r="H193" s="3950"/>
      <c r="I193" s="3950"/>
      <c r="J193" s="3950"/>
      <c r="K193" s="3950"/>
      <c r="L193" s="3950"/>
      <c r="M193" s="3950"/>
      <c r="N193" s="3950"/>
      <c r="O193" s="159" t="s">
        <v>1488</v>
      </c>
      <c r="P193" s="2657" t="s">
        <v>6965</v>
      </c>
      <c r="Q193" s="2960"/>
      <c r="AE193" s="442"/>
      <c r="AF193" s="442"/>
    </row>
    <row r="194" spans="1:32" ht="21.75" customHeight="1">
      <c r="A194" s="140" t="s">
        <v>2020</v>
      </c>
      <c r="B194" s="3950" t="s">
        <v>2508</v>
      </c>
      <c r="C194" s="3950"/>
      <c r="D194" s="3950"/>
      <c r="E194" s="3950"/>
      <c r="F194" s="3950"/>
      <c r="G194" s="3950"/>
      <c r="H194" s="3950"/>
      <c r="I194" s="3950"/>
      <c r="J194" s="3950"/>
      <c r="K194" s="3950"/>
      <c r="L194" s="3950"/>
      <c r="M194" s="3950"/>
      <c r="N194" s="3950"/>
      <c r="O194" s="159" t="s">
        <v>2020</v>
      </c>
      <c r="P194" s="2657" t="s">
        <v>2768</v>
      </c>
      <c r="Q194" s="2960"/>
    </row>
    <row r="195" spans="1:32" ht="12" customHeight="1">
      <c r="A195" s="140" t="s">
        <v>1656</v>
      </c>
      <c r="B195" s="773" t="s">
        <v>2272</v>
      </c>
      <c r="D195" s="773"/>
      <c r="E195" s="773"/>
      <c r="F195" s="773"/>
      <c r="G195" s="773"/>
      <c r="H195" s="773"/>
      <c r="I195" s="773"/>
      <c r="J195" s="773"/>
      <c r="K195" s="773"/>
      <c r="L195" s="773"/>
      <c r="M195" s="773"/>
      <c r="O195" s="159" t="s">
        <v>1656</v>
      </c>
      <c r="P195" s="2671" t="s">
        <v>2768</v>
      </c>
      <c r="Q195" s="2954"/>
    </row>
    <row r="196" spans="1:32" ht="12" customHeight="1">
      <c r="B196" s="139" t="s">
        <v>3372</v>
      </c>
      <c r="D196" s="139"/>
      <c r="E196" s="139"/>
      <c r="F196" s="139"/>
      <c r="G196" s="139"/>
      <c r="H196" s="40"/>
      <c r="I196" s="2672"/>
      <c r="J196" s="2672"/>
      <c r="K196" s="2672"/>
      <c r="L196" s="1401"/>
      <c r="M196" s="1401"/>
      <c r="N196" s="1401"/>
      <c r="O196" s="1401"/>
      <c r="P196" s="1401"/>
      <c r="Q196" s="782"/>
    </row>
    <row r="197" spans="1:32" ht="36.75" customHeight="1">
      <c r="A197" s="3961" t="s">
        <v>6979</v>
      </c>
      <c r="B197" s="3962"/>
      <c r="C197" s="3962"/>
      <c r="D197" s="3962"/>
      <c r="E197" s="3962"/>
      <c r="F197" s="3962"/>
      <c r="G197" s="3962"/>
      <c r="H197" s="3962"/>
      <c r="I197" s="3962"/>
      <c r="J197" s="3962"/>
      <c r="K197" s="3962"/>
      <c r="L197" s="3962"/>
      <c r="M197" s="3962"/>
      <c r="N197" s="3962"/>
      <c r="O197" s="3962"/>
      <c r="P197" s="3962"/>
      <c r="Q197" s="3963"/>
      <c r="U197" s="134"/>
      <c r="V197" s="134"/>
      <c r="W197" s="134"/>
      <c r="X197" s="134"/>
      <c r="Y197" s="134"/>
      <c r="Z197" s="134"/>
      <c r="AA197" s="134"/>
      <c r="AB197" s="134"/>
      <c r="AC197" s="134"/>
      <c r="AD197" s="134"/>
      <c r="AE197" s="441"/>
    </row>
    <row r="198" spans="1:32" ht="12" customHeight="1">
      <c r="B198" s="135" t="s">
        <v>1779</v>
      </c>
      <c r="C198" s="136"/>
      <c r="D198" s="2655"/>
      <c r="E198" s="2655"/>
      <c r="F198" s="2655"/>
      <c r="G198" s="2655"/>
      <c r="H198" s="2655"/>
      <c r="I198" s="2655"/>
      <c r="J198" s="2655"/>
      <c r="K198" s="2655"/>
      <c r="L198" s="2655"/>
      <c r="M198" s="2655"/>
      <c r="N198" s="2655"/>
      <c r="O198" s="2655"/>
      <c r="P198" s="2655"/>
      <c r="Q198" s="2655"/>
    </row>
    <row r="199" spans="1:32" ht="11.45" customHeight="1">
      <c r="A199" s="3968"/>
      <c r="B199" s="3969"/>
      <c r="C199" s="3969"/>
      <c r="D199" s="3969"/>
      <c r="E199" s="3969"/>
      <c r="F199" s="3969"/>
      <c r="G199" s="3969"/>
      <c r="H199" s="3969"/>
      <c r="I199" s="3969"/>
      <c r="J199" s="3969"/>
      <c r="K199" s="3969"/>
      <c r="L199" s="3969"/>
      <c r="M199" s="3969"/>
      <c r="N199" s="3969"/>
      <c r="O199" s="3969"/>
      <c r="P199" s="3969"/>
      <c r="Q199" s="3970"/>
    </row>
    <row r="200" spans="1:32" ht="3" customHeight="1">
      <c r="A200" s="1401"/>
      <c r="B200" s="2672"/>
      <c r="C200" s="2655"/>
      <c r="D200" s="2655"/>
      <c r="E200" s="2655"/>
      <c r="F200" s="2655"/>
      <c r="G200" s="2655"/>
      <c r="H200" s="2655"/>
      <c r="I200" s="2655"/>
      <c r="J200" s="2655"/>
      <c r="K200" s="2655"/>
      <c r="L200" s="2655"/>
      <c r="M200" s="2655"/>
      <c r="N200" s="2655"/>
      <c r="O200" s="2655"/>
      <c r="P200" s="2655"/>
      <c r="Q200" s="1401"/>
    </row>
    <row r="201" spans="1:32" ht="14.1" customHeight="1">
      <c r="A201" s="2650" t="s">
        <v>347</v>
      </c>
      <c r="B201" s="2650" t="s">
        <v>2516</v>
      </c>
      <c r="C201" s="2650"/>
      <c r="D201" s="2655"/>
      <c r="E201" s="145"/>
      <c r="F201" s="380" t="s">
        <v>6377</v>
      </c>
      <c r="G201" s="2655"/>
      <c r="J201" s="784"/>
      <c r="K201" s="784"/>
      <c r="L201" s="784"/>
      <c r="M201" s="784"/>
      <c r="N201" s="784"/>
      <c r="O201" s="130" t="s">
        <v>1780</v>
      </c>
      <c r="P201" s="3959"/>
      <c r="Q201" s="3960"/>
    </row>
    <row r="202" spans="1:32" s="27" customFormat="1" ht="12.75" customHeight="1">
      <c r="B202" s="55" t="s">
        <v>6448</v>
      </c>
      <c r="N202" s="119"/>
      <c r="P202" s="2489" t="s">
        <v>2771</v>
      </c>
      <c r="Q202" s="2966"/>
      <c r="AE202" s="115"/>
      <c r="AF202" s="115"/>
    </row>
    <row r="203" spans="1:32" ht="33.75" customHeight="1">
      <c r="B203" s="3958" t="s">
        <v>6334</v>
      </c>
      <c r="C203" s="3958"/>
      <c r="D203" s="3958"/>
      <c r="E203" s="3958"/>
      <c r="F203" s="3958"/>
      <c r="G203" s="3958"/>
      <c r="H203" s="3958"/>
      <c r="I203" s="3958"/>
      <c r="J203" s="3958"/>
      <c r="K203" s="3958"/>
      <c r="L203" s="3958"/>
      <c r="M203" s="3958"/>
      <c r="N203" s="3958"/>
      <c r="O203" s="3958"/>
      <c r="P203" s="963"/>
      <c r="Q203" s="963"/>
    </row>
    <row r="204" spans="1:32" ht="12.75" customHeight="1">
      <c r="A204" s="137"/>
      <c r="B204" s="138" t="s">
        <v>91</v>
      </c>
      <c r="D204" s="138"/>
      <c r="E204" s="138"/>
      <c r="F204" s="138"/>
      <c r="G204" s="138"/>
      <c r="H204" s="65" t="s">
        <v>1658</v>
      </c>
      <c r="I204" s="52" t="s">
        <v>144</v>
      </c>
      <c r="J204" s="4016" t="s">
        <v>2624</v>
      </c>
      <c r="K204" s="4092"/>
      <c r="L204" s="4092"/>
      <c r="M204" s="4092"/>
      <c r="N204" s="4017"/>
      <c r="O204" s="65" t="s">
        <v>1658</v>
      </c>
      <c r="P204" s="2492" t="s">
        <v>2771</v>
      </c>
      <c r="Q204" s="2952"/>
    </row>
    <row r="205" spans="1:32" ht="12.75" customHeight="1">
      <c r="A205" s="137"/>
      <c r="B205" s="139" t="s">
        <v>3372</v>
      </c>
      <c r="C205" s="103"/>
      <c r="D205" s="103"/>
      <c r="E205" s="103"/>
      <c r="F205" s="103"/>
      <c r="H205" s="65" t="s">
        <v>1659</v>
      </c>
      <c r="I205" s="52" t="s">
        <v>1530</v>
      </c>
      <c r="J205" s="3955" t="s">
        <v>6870</v>
      </c>
      <c r="K205" s="3956"/>
      <c r="L205" s="3956"/>
      <c r="M205" s="3956"/>
      <c r="N205" s="3957"/>
      <c r="O205" s="65" t="s">
        <v>1659</v>
      </c>
      <c r="P205" s="2671" t="s">
        <v>2768</v>
      </c>
      <c r="Q205" s="2954"/>
    </row>
    <row r="206" spans="1:32" ht="33.75" customHeight="1">
      <c r="A206" s="3961" t="s">
        <v>6980</v>
      </c>
      <c r="B206" s="3962"/>
      <c r="C206" s="3962"/>
      <c r="D206" s="3962"/>
      <c r="E206" s="3962"/>
      <c r="F206" s="3962"/>
      <c r="G206" s="3962"/>
      <c r="H206" s="3962"/>
      <c r="I206" s="3962"/>
      <c r="J206" s="3962"/>
      <c r="K206" s="3962"/>
      <c r="L206" s="3962"/>
      <c r="M206" s="3962"/>
      <c r="N206" s="3962"/>
      <c r="O206" s="3962"/>
      <c r="P206" s="3962"/>
      <c r="Q206" s="3963"/>
      <c r="U206" s="134"/>
      <c r="V206" s="134"/>
      <c r="W206" s="134"/>
      <c r="X206" s="134"/>
      <c r="Y206" s="134"/>
      <c r="Z206" s="134"/>
      <c r="AA206" s="134"/>
      <c r="AB206" s="134"/>
      <c r="AC206" s="134"/>
      <c r="AD206" s="134"/>
      <c r="AE206" s="441"/>
    </row>
    <row r="207" spans="1:32" ht="12.75" customHeight="1">
      <c r="B207" s="135" t="s">
        <v>1779</v>
      </c>
      <c r="C207" s="136"/>
      <c r="D207" s="2655"/>
      <c r="E207" s="2655"/>
      <c r="F207" s="2655"/>
      <c r="G207" s="2655"/>
      <c r="H207" s="2655"/>
      <c r="I207" s="2655"/>
      <c r="J207" s="2655"/>
      <c r="K207" s="2655"/>
      <c r="L207" s="2655"/>
      <c r="M207" s="2655"/>
      <c r="N207" s="2655"/>
      <c r="O207" s="2655"/>
      <c r="P207" s="2655"/>
      <c r="Q207" s="2655"/>
    </row>
    <row r="208" spans="1:32" ht="12.75" customHeight="1">
      <c r="A208" s="3968"/>
      <c r="B208" s="3969"/>
      <c r="C208" s="3969"/>
      <c r="D208" s="3969"/>
      <c r="E208" s="3969"/>
      <c r="F208" s="3969"/>
      <c r="G208" s="3969"/>
      <c r="H208" s="3969"/>
      <c r="I208" s="3969"/>
      <c r="J208" s="3969"/>
      <c r="K208" s="3969"/>
      <c r="L208" s="3969"/>
      <c r="M208" s="3969"/>
      <c r="N208" s="3969"/>
      <c r="O208" s="3969"/>
      <c r="P208" s="3969"/>
      <c r="Q208" s="3970"/>
    </row>
    <row r="209" spans="1:32" ht="4.3499999999999996" customHeight="1">
      <c r="B209" s="2672"/>
      <c r="C209" s="2655"/>
      <c r="D209" s="2655"/>
      <c r="E209" s="2655"/>
      <c r="F209" s="2655"/>
      <c r="G209" s="2655"/>
      <c r="H209" s="2655"/>
      <c r="I209" s="2655"/>
      <c r="J209" s="2655"/>
      <c r="K209" s="2655"/>
      <c r="L209" s="2655"/>
      <c r="M209" s="2655"/>
      <c r="Q209" s="782"/>
    </row>
    <row r="210" spans="1:32" ht="14.1" customHeight="1">
      <c r="A210" s="2650" t="s">
        <v>348</v>
      </c>
      <c r="B210" s="4" t="s">
        <v>2517</v>
      </c>
      <c r="C210" s="4"/>
      <c r="D210" s="86"/>
      <c r="E210" s="86"/>
      <c r="F210" s="86"/>
      <c r="G210" s="2655"/>
      <c r="H210" s="2655"/>
      <c r="I210" s="1619" t="s">
        <v>6378</v>
      </c>
      <c r="J210" s="2655"/>
      <c r="K210" s="2655"/>
      <c r="L210" s="2655"/>
      <c r="M210" s="2655"/>
      <c r="O210" s="130" t="s">
        <v>1780</v>
      </c>
      <c r="P210" s="3959"/>
      <c r="Q210" s="3960"/>
    </row>
    <row r="211" spans="1:32" s="27" customFormat="1" ht="12.75" customHeight="1">
      <c r="B211" s="55" t="s">
        <v>6448</v>
      </c>
      <c r="N211" s="119"/>
      <c r="P211" s="2489" t="s">
        <v>2771</v>
      </c>
      <c r="Q211" s="2966"/>
      <c r="AE211" s="115"/>
      <c r="AF211" s="115"/>
    </row>
    <row r="212" spans="1:32" ht="12.75" customHeight="1">
      <c r="A212" s="140" t="s">
        <v>1892</v>
      </c>
      <c r="B212" s="3950" t="s">
        <v>1762</v>
      </c>
      <c r="C212" s="3950"/>
      <c r="D212" s="3950"/>
      <c r="E212" s="3950"/>
      <c r="F212" s="3950"/>
      <c r="G212" s="3950"/>
      <c r="H212" s="65" t="s">
        <v>1658</v>
      </c>
      <c r="I212" s="52" t="s">
        <v>605</v>
      </c>
      <c r="J212" s="3955" t="s">
        <v>6870</v>
      </c>
      <c r="K212" s="3956"/>
      <c r="L212" s="3956"/>
      <c r="M212" s="3956"/>
      <c r="N212" s="3957"/>
      <c r="O212" s="159" t="s">
        <v>1427</v>
      </c>
      <c r="P212" s="2668" t="s">
        <v>2768</v>
      </c>
      <c r="Q212" s="2958"/>
    </row>
    <row r="213" spans="1:32" ht="12.75" customHeight="1">
      <c r="A213" s="148"/>
      <c r="B213" s="3950"/>
      <c r="C213" s="3950"/>
      <c r="D213" s="3950"/>
      <c r="E213" s="3950"/>
      <c r="F213" s="3950"/>
      <c r="G213" s="3950"/>
      <c r="H213" s="65" t="s">
        <v>1659</v>
      </c>
      <c r="I213" s="52" t="s">
        <v>109</v>
      </c>
      <c r="J213" s="3955" t="s">
        <v>6870</v>
      </c>
      <c r="K213" s="3956"/>
      <c r="L213" s="3956"/>
      <c r="M213" s="3956"/>
      <c r="N213" s="3957"/>
      <c r="O213" s="159" t="s">
        <v>1659</v>
      </c>
      <c r="P213" s="2666" t="s">
        <v>2768</v>
      </c>
      <c r="Q213" s="2953"/>
    </row>
    <row r="214" spans="1:32" ht="12.75" customHeight="1">
      <c r="A214" s="140" t="s">
        <v>1894</v>
      </c>
      <c r="B214" s="52" t="s">
        <v>3448</v>
      </c>
      <c r="D214" s="52"/>
      <c r="E214" s="52"/>
      <c r="F214" s="52"/>
      <c r="G214" s="52"/>
      <c r="H214" s="52"/>
      <c r="I214" s="52"/>
      <c r="J214" s="52"/>
      <c r="K214" s="42"/>
      <c r="L214" s="52"/>
      <c r="M214" s="52"/>
      <c r="O214" s="439" t="s">
        <v>1894</v>
      </c>
      <c r="P214" s="2666" t="s">
        <v>2768</v>
      </c>
      <c r="Q214" s="2953"/>
    </row>
    <row r="215" spans="1:32" ht="12.75" customHeight="1">
      <c r="A215" s="47" t="s">
        <v>719</v>
      </c>
      <c r="B215" s="52" t="s">
        <v>3449</v>
      </c>
      <c r="D215" s="52"/>
      <c r="E215" s="52"/>
      <c r="F215" s="52"/>
      <c r="G215" s="52"/>
      <c r="H215" s="52"/>
      <c r="I215" s="52"/>
      <c r="J215" s="52"/>
      <c r="K215" s="42"/>
      <c r="L215" s="52"/>
      <c r="M215" s="52"/>
      <c r="O215" s="439" t="s">
        <v>719</v>
      </c>
      <c r="P215" s="2671" t="s">
        <v>2771</v>
      </c>
      <c r="Q215" s="2954"/>
    </row>
    <row r="216" spans="1:32" ht="12.75" customHeight="1">
      <c r="B216" s="139" t="s">
        <v>3372</v>
      </c>
      <c r="D216" s="139"/>
      <c r="E216" s="139"/>
      <c r="F216" s="139"/>
      <c r="G216" s="139"/>
      <c r="H216" s="40"/>
      <c r="I216" s="2672"/>
      <c r="J216" s="2672"/>
      <c r="K216" s="2672"/>
      <c r="L216" s="1401"/>
      <c r="M216" s="1401"/>
      <c r="N216" s="1401"/>
      <c r="O216" s="1401"/>
      <c r="P216" s="1401"/>
      <c r="Q216" s="782"/>
    </row>
    <row r="217" spans="1:32" ht="12.75" customHeight="1">
      <c r="A217" s="3961" t="s">
        <v>6981</v>
      </c>
      <c r="B217" s="3962"/>
      <c r="C217" s="3962"/>
      <c r="D217" s="3962"/>
      <c r="E217" s="3962"/>
      <c r="F217" s="3962"/>
      <c r="G217" s="3962"/>
      <c r="H217" s="3962"/>
      <c r="I217" s="3962"/>
      <c r="J217" s="3962"/>
      <c r="K217" s="3962"/>
      <c r="L217" s="3962"/>
      <c r="M217" s="3962"/>
      <c r="N217" s="3962"/>
      <c r="O217" s="3962"/>
      <c r="P217" s="3962"/>
      <c r="Q217" s="3963"/>
      <c r="U217" s="134"/>
      <c r="V217" s="134"/>
      <c r="W217" s="134"/>
      <c r="X217" s="134"/>
      <c r="Y217" s="134"/>
      <c r="Z217" s="134"/>
      <c r="AA217" s="134"/>
      <c r="AB217" s="134"/>
      <c r="AC217" s="134"/>
      <c r="AD217" s="134"/>
      <c r="AE217" s="441"/>
    </row>
    <row r="218" spans="1:32" ht="12.75" customHeight="1">
      <c r="B218" s="135" t="s">
        <v>1779</v>
      </c>
      <c r="C218" s="136"/>
      <c r="D218" s="2655"/>
      <c r="E218" s="2655"/>
      <c r="F218" s="2655"/>
      <c r="G218" s="2655"/>
      <c r="H218" s="2655"/>
      <c r="I218" s="2655"/>
      <c r="J218" s="2655"/>
      <c r="K218" s="2655"/>
      <c r="L218" s="2655"/>
      <c r="M218" s="2655"/>
      <c r="N218" s="2655"/>
      <c r="O218" s="2655"/>
      <c r="P218" s="2655"/>
      <c r="Q218" s="2655"/>
    </row>
    <row r="219" spans="1:32" ht="12.75" customHeight="1">
      <c r="A219" s="3968"/>
      <c r="B219" s="3969"/>
      <c r="C219" s="3969"/>
      <c r="D219" s="3969"/>
      <c r="E219" s="3969"/>
      <c r="F219" s="3969"/>
      <c r="G219" s="3969"/>
      <c r="H219" s="3969"/>
      <c r="I219" s="3969"/>
      <c r="J219" s="3969"/>
      <c r="K219" s="3969"/>
      <c r="L219" s="3969"/>
      <c r="M219" s="3969"/>
      <c r="N219" s="3969"/>
      <c r="O219" s="3969"/>
      <c r="P219" s="3969"/>
      <c r="Q219" s="3970"/>
    </row>
    <row r="220" spans="1:32" ht="3" customHeight="1">
      <c r="A220" s="1401"/>
      <c r="B220" s="2672"/>
      <c r="C220" s="2655"/>
      <c r="D220" s="2655"/>
      <c r="E220" s="2655"/>
      <c r="F220" s="2655"/>
      <c r="G220" s="2655"/>
      <c r="H220" s="2655"/>
      <c r="I220" s="2655"/>
      <c r="J220" s="2655"/>
      <c r="K220" s="2655"/>
      <c r="L220" s="2655"/>
      <c r="M220" s="2655"/>
      <c r="Q220" s="1401"/>
    </row>
    <row r="221" spans="1:32" ht="14.1" customHeight="1">
      <c r="A221" s="2650" t="s">
        <v>1648</v>
      </c>
      <c r="B221" s="2650" t="s">
        <v>2518</v>
      </c>
      <c r="C221" s="112"/>
      <c r="D221" s="2655"/>
      <c r="E221" s="2655"/>
      <c r="F221" s="2655"/>
      <c r="G221" s="2655"/>
      <c r="H221" s="2655"/>
      <c r="I221" s="2655"/>
      <c r="J221" s="2655"/>
      <c r="K221" s="2655"/>
      <c r="L221" s="2655"/>
      <c r="M221" s="2655"/>
      <c r="O221" s="130" t="s">
        <v>1780</v>
      </c>
      <c r="P221" s="3959"/>
      <c r="Q221" s="3960"/>
    </row>
    <row r="222" spans="1:32" s="27" customFormat="1" ht="12.75" customHeight="1">
      <c r="B222" s="143" t="s">
        <v>1147</v>
      </c>
      <c r="N222" s="119"/>
      <c r="P222" s="2489" t="s">
        <v>2771</v>
      </c>
      <c r="Q222" s="2966"/>
      <c r="AE222" s="115"/>
      <c r="AF222" s="115"/>
    </row>
    <row r="223" spans="1:32" ht="12.75" customHeight="1">
      <c r="A223" s="47" t="s">
        <v>1892</v>
      </c>
      <c r="B223" s="36" t="s">
        <v>4231</v>
      </c>
      <c r="D223" s="42"/>
      <c r="E223" s="42"/>
      <c r="F223" s="42"/>
      <c r="G223" s="42"/>
      <c r="H223" s="42"/>
      <c r="I223" s="42"/>
      <c r="J223" s="42"/>
      <c r="K223" s="42"/>
      <c r="L223" s="42"/>
      <c r="M223" s="42"/>
      <c r="O223" s="439" t="s">
        <v>1892</v>
      </c>
      <c r="P223" s="2489" t="s">
        <v>6964</v>
      </c>
      <c r="Q223" s="2952"/>
    </row>
    <row r="224" spans="1:32" ht="12.75" customHeight="1">
      <c r="A224" s="47"/>
      <c r="B224" s="144" t="s">
        <v>1658</v>
      </c>
      <c r="C224" s="52" t="s">
        <v>1841</v>
      </c>
      <c r="E224" s="52"/>
      <c r="F224" s="52"/>
      <c r="G224" s="52"/>
      <c r="H224" s="52"/>
      <c r="I224" s="42"/>
      <c r="J224" s="65" t="s">
        <v>1427</v>
      </c>
      <c r="K224" s="4016" t="s">
        <v>6982</v>
      </c>
      <c r="L224" s="4017"/>
      <c r="Q224" s="2953"/>
    </row>
    <row r="225" spans="1:32" ht="12.75" customHeight="1">
      <c r="A225" s="47"/>
      <c r="B225" s="144" t="s">
        <v>1659</v>
      </c>
      <c r="C225" s="783" t="s">
        <v>3944</v>
      </c>
      <c r="E225" s="783"/>
      <c r="F225" s="783"/>
      <c r="G225" s="783"/>
      <c r="H225" s="783"/>
      <c r="I225" s="42"/>
      <c r="J225" s="65" t="s">
        <v>1428</v>
      </c>
      <c r="K225" s="4117" t="s">
        <v>6983</v>
      </c>
      <c r="L225" s="4118"/>
      <c r="M225" s="3964" t="s">
        <v>6449</v>
      </c>
      <c r="N225" s="3965"/>
      <c r="O225" s="3965"/>
      <c r="P225" s="3966"/>
      <c r="Q225" s="2953"/>
    </row>
    <row r="226" spans="1:32" ht="12.75" customHeight="1">
      <c r="A226" s="47"/>
      <c r="B226" s="40" t="s">
        <v>1660</v>
      </c>
      <c r="C226" s="783" t="s">
        <v>3945</v>
      </c>
      <c r="D226" s="146"/>
      <c r="E226" s="783"/>
      <c r="F226" s="783"/>
      <c r="G226" s="783"/>
      <c r="H226" s="783"/>
      <c r="I226" s="93"/>
      <c r="J226" s="439" t="s">
        <v>1429</v>
      </c>
      <c r="K226" s="3955" t="s">
        <v>6984</v>
      </c>
      <c r="L226" s="3956"/>
      <c r="M226" s="3956"/>
      <c r="N226" s="3957"/>
      <c r="O226" s="1601"/>
      <c r="P226" s="987"/>
      <c r="Q226" s="2954"/>
      <c r="R226" s="42"/>
    </row>
    <row r="227" spans="1:32" ht="12.75" customHeight="1">
      <c r="A227" s="47" t="s">
        <v>1894</v>
      </c>
      <c r="B227" s="52" t="s">
        <v>4232</v>
      </c>
      <c r="D227" s="52"/>
      <c r="E227" s="52"/>
      <c r="F227" s="52"/>
      <c r="G227" s="52"/>
      <c r="H227" s="52"/>
      <c r="I227" s="52"/>
      <c r="J227" s="52"/>
      <c r="K227" s="42"/>
      <c r="L227" s="42"/>
      <c r="M227" s="42"/>
      <c r="N227" s="42"/>
      <c r="O227" s="439" t="s">
        <v>1894</v>
      </c>
      <c r="P227" s="2489" t="s">
        <v>6964</v>
      </c>
      <c r="Q227" s="2966"/>
    </row>
    <row r="228" spans="1:32" ht="12.75" customHeight="1">
      <c r="A228" s="47"/>
      <c r="B228" s="52" t="s">
        <v>4033</v>
      </c>
      <c r="D228" s="52"/>
      <c r="E228" s="52"/>
      <c r="F228" s="52"/>
      <c r="G228" s="52"/>
      <c r="H228" s="52"/>
      <c r="I228" s="52"/>
      <c r="J228" s="52"/>
      <c r="K228" s="42"/>
      <c r="L228" s="42"/>
      <c r="M228" s="42"/>
      <c r="N228" s="439" t="s">
        <v>3272</v>
      </c>
      <c r="O228" s="1312">
        <f>'Part VI-Revenues &amp; Expenses'!$P$67</f>
        <v>72</v>
      </c>
      <c r="P228" s="4111" t="s">
        <v>4035</v>
      </c>
      <c r="Q228" s="4112"/>
    </row>
    <row r="229" spans="1:32" ht="12.75" customHeight="1">
      <c r="A229" s="47"/>
      <c r="B229" s="144" t="s">
        <v>1658</v>
      </c>
      <c r="C229" s="52" t="s">
        <v>4036</v>
      </c>
      <c r="D229" s="52"/>
      <c r="E229" s="52"/>
      <c r="F229" s="52"/>
      <c r="H229" s="439" t="s">
        <v>4037</v>
      </c>
      <c r="I229" s="52" t="s">
        <v>4046</v>
      </c>
      <c r="M229" s="42"/>
      <c r="N229" s="42"/>
      <c r="O229" s="288"/>
      <c r="P229" s="1303" t="s">
        <v>743</v>
      </c>
      <c r="Q229" s="1304" t="s">
        <v>4034</v>
      </c>
    </row>
    <row r="230" spans="1:32" s="43" customFormat="1" ht="12.75" customHeight="1">
      <c r="A230" s="51"/>
      <c r="B230" s="439" t="s">
        <v>2021</v>
      </c>
      <c r="C230" s="4113" t="s">
        <v>4090</v>
      </c>
      <c r="D230" s="4114"/>
      <c r="E230" s="4114"/>
      <c r="F230" s="4114"/>
      <c r="G230" s="4115"/>
      <c r="H230" s="439" t="s">
        <v>2021</v>
      </c>
      <c r="I230" s="3971" t="s">
        <v>3552</v>
      </c>
      <c r="J230" s="3972"/>
      <c r="K230" s="3972"/>
      <c r="L230" s="3972"/>
      <c r="M230" s="3972"/>
      <c r="N230" s="3972"/>
      <c r="O230" s="4116"/>
      <c r="P230" s="2952"/>
      <c r="Q230" s="2968"/>
      <c r="AE230" s="54"/>
      <c r="AF230" s="54"/>
    </row>
    <row r="231" spans="1:32" s="43" customFormat="1" ht="12.75" customHeight="1">
      <c r="A231" s="51"/>
      <c r="B231" s="439" t="s">
        <v>2022</v>
      </c>
      <c r="C231" s="4094" t="s">
        <v>4031</v>
      </c>
      <c r="D231" s="4095"/>
      <c r="E231" s="4095"/>
      <c r="F231" s="4095"/>
      <c r="G231" s="4096"/>
      <c r="H231" s="439" t="s">
        <v>2022</v>
      </c>
      <c r="I231" s="3401"/>
      <c r="J231" s="3402"/>
      <c r="K231" s="3402"/>
      <c r="L231" s="3402"/>
      <c r="M231" s="3402"/>
      <c r="N231" s="3402"/>
      <c r="O231" s="3404"/>
      <c r="P231" s="2953"/>
      <c r="Q231" s="2969"/>
      <c r="AE231" s="54"/>
      <c r="AF231" s="54"/>
    </row>
    <row r="232" spans="1:32" s="43" customFormat="1" ht="12.75" customHeight="1">
      <c r="A232" s="51"/>
      <c r="B232" s="439" t="s">
        <v>1655</v>
      </c>
      <c r="C232" s="4094" t="s">
        <v>975</v>
      </c>
      <c r="D232" s="4095"/>
      <c r="E232" s="4095"/>
      <c r="F232" s="4095"/>
      <c r="G232" s="4096"/>
      <c r="H232" s="439" t="s">
        <v>1655</v>
      </c>
      <c r="I232" s="3401" t="s">
        <v>3552</v>
      </c>
      <c r="J232" s="3402"/>
      <c r="K232" s="3402"/>
      <c r="L232" s="3402"/>
      <c r="M232" s="3402"/>
      <c r="N232" s="3402"/>
      <c r="O232" s="3404"/>
      <c r="P232" s="2953"/>
      <c r="Q232" s="2969"/>
      <c r="AE232" s="54"/>
      <c r="AF232" s="54"/>
    </row>
    <row r="233" spans="1:32" s="43" customFormat="1" ht="12.75" customHeight="1">
      <c r="A233" s="51"/>
      <c r="B233" s="439" t="s">
        <v>4045</v>
      </c>
      <c r="C233" s="4119" t="s">
        <v>975</v>
      </c>
      <c r="D233" s="4120"/>
      <c r="E233" s="4120"/>
      <c r="F233" s="4120"/>
      <c r="G233" s="4121"/>
      <c r="H233" s="439" t="s">
        <v>4045</v>
      </c>
      <c r="I233" s="3438"/>
      <c r="J233" s="3439"/>
      <c r="K233" s="3439"/>
      <c r="L233" s="3439"/>
      <c r="M233" s="3439"/>
      <c r="N233" s="3439"/>
      <c r="O233" s="3441"/>
      <c r="P233" s="2954"/>
      <c r="Q233" s="2970"/>
      <c r="AE233" s="54"/>
      <c r="AF233" s="54"/>
    </row>
    <row r="234" spans="1:32" ht="12.75" customHeight="1">
      <c r="A234" s="47" t="s">
        <v>719</v>
      </c>
      <c r="B234" s="52" t="s">
        <v>1332</v>
      </c>
      <c r="C234" s="52"/>
      <c r="E234" s="52"/>
      <c r="F234" s="52"/>
      <c r="G234" s="52"/>
      <c r="H234" s="52"/>
      <c r="I234" s="52"/>
      <c r="J234" s="52"/>
      <c r="K234" s="42"/>
      <c r="L234" s="52"/>
      <c r="M234" s="52"/>
      <c r="O234" s="439" t="s">
        <v>719</v>
      </c>
      <c r="P234" s="2492" t="s">
        <v>6964</v>
      </c>
      <c r="Q234" s="2952"/>
    </row>
    <row r="235" spans="1:32" ht="12.75" customHeight="1">
      <c r="A235" s="47"/>
      <c r="B235" s="144" t="s">
        <v>1658</v>
      </c>
      <c r="C235" s="52" t="s">
        <v>3193</v>
      </c>
      <c r="E235" s="52"/>
      <c r="F235" s="52"/>
      <c r="L235" s="33"/>
      <c r="M235" s="33"/>
      <c r="O235" s="65" t="s">
        <v>1658</v>
      </c>
      <c r="P235" s="2666" t="s">
        <v>2768</v>
      </c>
      <c r="Q235" s="2953"/>
    </row>
    <row r="236" spans="1:32" ht="12.75" customHeight="1">
      <c r="B236" s="144" t="s">
        <v>1659</v>
      </c>
      <c r="C236" s="783" t="s">
        <v>2613</v>
      </c>
      <c r="E236" s="783"/>
      <c r="F236" s="783"/>
      <c r="L236" s="33"/>
      <c r="M236" s="33"/>
      <c r="O236" s="65" t="s">
        <v>1659</v>
      </c>
      <c r="P236" s="2666" t="s">
        <v>2768</v>
      </c>
      <c r="Q236" s="2953"/>
    </row>
    <row r="237" spans="1:32" ht="12.75" customHeight="1">
      <c r="B237" s="144" t="s">
        <v>1660</v>
      </c>
      <c r="C237" s="783" t="s">
        <v>6335</v>
      </c>
      <c r="E237" s="783"/>
      <c r="F237" s="783"/>
      <c r="G237" s="783"/>
      <c r="H237" s="783"/>
      <c r="I237" s="42"/>
      <c r="J237" s="33"/>
      <c r="K237" s="42"/>
      <c r="L237" s="33"/>
      <c r="M237" s="33"/>
      <c r="O237" s="65" t="s">
        <v>1660</v>
      </c>
      <c r="P237" s="2666" t="s">
        <v>2768</v>
      </c>
      <c r="Q237" s="2953"/>
    </row>
    <row r="238" spans="1:32" ht="12.75" customHeight="1">
      <c r="A238" s="47"/>
      <c r="B238" s="144" t="s">
        <v>2259</v>
      </c>
      <c r="C238" s="783" t="s">
        <v>2614</v>
      </c>
      <c r="E238" s="783"/>
      <c r="F238" s="783"/>
      <c r="G238" s="783"/>
      <c r="H238" s="783"/>
      <c r="I238" s="42"/>
      <c r="J238" s="33"/>
      <c r="K238" s="42"/>
      <c r="L238" s="33"/>
      <c r="M238" s="33"/>
      <c r="O238" s="65" t="s">
        <v>2259</v>
      </c>
      <c r="P238" s="2666" t="s">
        <v>2768</v>
      </c>
      <c r="Q238" s="2953"/>
    </row>
    <row r="239" spans="1:32" ht="12.75" customHeight="1">
      <c r="A239" s="47"/>
      <c r="B239" s="144" t="s">
        <v>1487</v>
      </c>
      <c r="C239" s="783" t="s">
        <v>2615</v>
      </c>
      <c r="E239" s="783"/>
      <c r="F239" s="783"/>
      <c r="G239" s="783"/>
      <c r="H239" s="783"/>
      <c r="I239" s="42"/>
      <c r="J239" s="33"/>
      <c r="K239" s="42"/>
      <c r="L239" s="33"/>
      <c r="M239" s="33"/>
      <c r="O239" s="65" t="s">
        <v>1487</v>
      </c>
      <c r="P239" s="2666" t="s">
        <v>2768</v>
      </c>
      <c r="Q239" s="2953"/>
    </row>
    <row r="240" spans="1:32" ht="23.25" customHeight="1">
      <c r="A240" s="47"/>
      <c r="B240" s="451" t="s">
        <v>1488</v>
      </c>
      <c r="C240" s="3967" t="s">
        <v>6450</v>
      </c>
      <c r="D240" s="3967"/>
      <c r="E240" s="3967"/>
      <c r="F240" s="3967"/>
      <c r="G240" s="3967"/>
      <c r="H240" s="3967"/>
      <c r="I240" s="3967"/>
      <c r="J240" s="3967"/>
      <c r="K240" s="3967"/>
      <c r="L240" s="3967"/>
      <c r="M240" s="3967"/>
      <c r="N240" s="3967"/>
      <c r="O240" s="159" t="s">
        <v>1488</v>
      </c>
      <c r="P240" s="2658" t="s">
        <v>2768</v>
      </c>
      <c r="Q240" s="2962"/>
    </row>
    <row r="241" spans="1:32" ht="12" customHeight="1">
      <c r="A241" s="47" t="s">
        <v>2020</v>
      </c>
      <c r="B241" s="52" t="s">
        <v>6311</v>
      </c>
      <c r="C241" s="52"/>
      <c r="E241" s="52"/>
      <c r="F241" s="52"/>
      <c r="G241" s="52"/>
      <c r="H241" s="52"/>
      <c r="I241" s="52"/>
      <c r="J241" s="52"/>
      <c r="K241" s="42"/>
      <c r="M241" s="1292" t="str">
        <f>'Part I-Project Information'!$H$77</f>
        <v>Family</v>
      </c>
      <c r="O241" s="439" t="s">
        <v>2020</v>
      </c>
      <c r="P241" s="2492" t="s">
        <v>931</v>
      </c>
      <c r="Q241" s="2952"/>
    </row>
    <row r="242" spans="1:32" ht="12" customHeight="1">
      <c r="B242" s="144" t="s">
        <v>1658</v>
      </c>
      <c r="C242" s="39" t="s">
        <v>1209</v>
      </c>
      <c r="E242" s="42"/>
      <c r="F242" s="42"/>
      <c r="G242" s="39"/>
      <c r="H242" s="783"/>
      <c r="I242" s="42"/>
      <c r="J242" s="783"/>
      <c r="K242" s="42"/>
      <c r="L242" s="783"/>
      <c r="M242" s="783"/>
      <c r="O242" s="65" t="s">
        <v>1658</v>
      </c>
      <c r="P242" s="2666"/>
      <c r="Q242" s="2953"/>
    </row>
    <row r="243" spans="1:32" ht="12" customHeight="1">
      <c r="B243" s="144" t="s">
        <v>1659</v>
      </c>
      <c r="C243" s="36" t="s">
        <v>3959</v>
      </c>
      <c r="E243" s="42"/>
      <c r="F243" s="42"/>
      <c r="G243" s="783"/>
      <c r="H243" s="783"/>
      <c r="I243" s="42"/>
      <c r="J243" s="783"/>
      <c r="K243" s="42"/>
      <c r="L243" s="783"/>
      <c r="M243" s="783"/>
      <c r="O243" s="65" t="s">
        <v>1659</v>
      </c>
      <c r="P243" s="2671"/>
      <c r="Q243" s="2954"/>
    </row>
    <row r="244" spans="1:32" ht="11.25" customHeight="1">
      <c r="B244" s="139" t="s">
        <v>3372</v>
      </c>
      <c r="D244" s="139"/>
      <c r="E244" s="139"/>
      <c r="F244" s="139"/>
      <c r="G244" s="139"/>
      <c r="H244" s="40"/>
      <c r="I244" s="2672"/>
      <c r="J244" s="2672"/>
      <c r="K244" s="2672"/>
      <c r="L244" s="1401"/>
      <c r="M244" s="1401"/>
      <c r="N244" s="1401"/>
      <c r="O244" s="1401"/>
      <c r="P244" s="1401"/>
      <c r="Q244" s="782"/>
    </row>
    <row r="245" spans="1:32" ht="42" customHeight="1">
      <c r="A245" s="3961" t="s">
        <v>6985</v>
      </c>
      <c r="B245" s="3962"/>
      <c r="C245" s="3962"/>
      <c r="D245" s="3962"/>
      <c r="E245" s="3962"/>
      <c r="F245" s="3962"/>
      <c r="G245" s="3962"/>
      <c r="H245" s="3962"/>
      <c r="I245" s="3962"/>
      <c r="J245" s="3962"/>
      <c r="K245" s="3962"/>
      <c r="L245" s="3962"/>
      <c r="M245" s="3962"/>
      <c r="N245" s="3962"/>
      <c r="O245" s="3962"/>
      <c r="P245" s="3962"/>
      <c r="Q245" s="3963"/>
      <c r="R245" s="427" t="s">
        <v>1208</v>
      </c>
      <c r="S245" s="428"/>
      <c r="U245" s="134"/>
      <c r="V245" s="134"/>
      <c r="W245" s="134"/>
      <c r="X245" s="134"/>
      <c r="Y245" s="134"/>
      <c r="Z245" s="134"/>
      <c r="AA245" s="134"/>
      <c r="AB245" s="134"/>
      <c r="AC245" s="134"/>
      <c r="AD245" s="134"/>
      <c r="AE245" s="441"/>
    </row>
    <row r="246" spans="1:32" ht="11.25" customHeight="1">
      <c r="B246" s="135" t="s">
        <v>1779</v>
      </c>
      <c r="C246" s="136"/>
      <c r="D246" s="2655"/>
      <c r="E246" s="2655"/>
      <c r="F246" s="2655"/>
      <c r="G246" s="2655"/>
      <c r="H246" s="2655"/>
      <c r="I246" s="2655"/>
      <c r="J246" s="2655"/>
      <c r="K246" s="2655"/>
      <c r="L246" s="2655"/>
      <c r="M246" s="2655"/>
      <c r="N246" s="2655"/>
      <c r="O246" s="2655"/>
      <c r="P246" s="2655"/>
      <c r="Q246" s="2655"/>
    </row>
    <row r="247" spans="1:32" ht="12" customHeight="1">
      <c r="A247" s="3968"/>
      <c r="B247" s="3969"/>
      <c r="C247" s="3969"/>
      <c r="D247" s="3969"/>
      <c r="E247" s="3969"/>
      <c r="F247" s="3969"/>
      <c r="G247" s="3969"/>
      <c r="H247" s="3969"/>
      <c r="I247" s="3969"/>
      <c r="J247" s="3969"/>
      <c r="K247" s="3969"/>
      <c r="L247" s="3969"/>
      <c r="M247" s="3969"/>
      <c r="N247" s="3969"/>
      <c r="O247" s="3969"/>
      <c r="P247" s="3969"/>
      <c r="Q247" s="3970"/>
    </row>
    <row r="248" spans="1:32" ht="14.1" customHeight="1">
      <c r="A248" s="2650" t="s">
        <v>2604</v>
      </c>
      <c r="B248" s="2650" t="s">
        <v>6336</v>
      </c>
      <c r="C248" s="40"/>
      <c r="D248" s="2655"/>
      <c r="E248" s="2655"/>
      <c r="F248" s="2655"/>
      <c r="G248" s="2655"/>
      <c r="H248" s="2655"/>
      <c r="I248" s="2655"/>
      <c r="J248" s="2655"/>
      <c r="K248" s="1409" t="s">
        <v>431</v>
      </c>
      <c r="L248" s="1409" t="str">
        <f>'Part I-Project Information'!$N$40</f>
        <v>No</v>
      </c>
      <c r="M248" s="2655"/>
      <c r="O248" s="130" t="s">
        <v>1780</v>
      </c>
      <c r="P248" s="3959"/>
      <c r="Q248" s="3960"/>
    </row>
    <row r="249" spans="1:32" ht="11.25" customHeight="1">
      <c r="A249" s="140" t="s">
        <v>1892</v>
      </c>
      <c r="B249" s="138" t="s">
        <v>6339</v>
      </c>
    </row>
    <row r="250" spans="1:32" ht="10.5" customHeight="1">
      <c r="A250" s="140"/>
      <c r="B250" s="52" t="s">
        <v>6341</v>
      </c>
      <c r="C250" s="42"/>
      <c r="D250" s="42"/>
      <c r="E250" s="42"/>
      <c r="F250" s="42"/>
      <c r="G250" s="42"/>
      <c r="H250" s="42"/>
      <c r="I250" s="42"/>
      <c r="J250" s="2639" t="s">
        <v>6340</v>
      </c>
      <c r="K250" s="52" t="s">
        <v>6341</v>
      </c>
      <c r="L250" s="42"/>
      <c r="M250" s="42"/>
      <c r="N250" s="42"/>
      <c r="O250" s="42"/>
      <c r="P250" s="42"/>
      <c r="Q250" s="2639" t="s">
        <v>6340</v>
      </c>
    </row>
    <row r="251" spans="1:32" s="131" customFormat="1" ht="12" customHeight="1">
      <c r="B251" s="3971"/>
      <c r="C251" s="3972"/>
      <c r="D251" s="3972"/>
      <c r="E251" s="3972"/>
      <c r="F251" s="3972"/>
      <c r="G251" s="3972"/>
      <c r="H251" s="3972"/>
      <c r="I251" s="3972"/>
      <c r="J251" s="2503"/>
      <c r="K251" s="3971"/>
      <c r="L251" s="3972"/>
      <c r="M251" s="3972"/>
      <c r="N251" s="3972"/>
      <c r="O251" s="3972"/>
      <c r="P251" s="3972"/>
      <c r="Q251" s="2503"/>
      <c r="AE251" s="442"/>
      <c r="AF251" s="442"/>
    </row>
    <row r="252" spans="1:32" s="131" customFormat="1" ht="12" customHeight="1">
      <c r="A252" s="140"/>
      <c r="B252" s="3401"/>
      <c r="C252" s="3402"/>
      <c r="D252" s="3402"/>
      <c r="E252" s="3402"/>
      <c r="F252" s="3402"/>
      <c r="G252" s="3402"/>
      <c r="H252" s="3402"/>
      <c r="I252" s="3402"/>
      <c r="J252" s="2504"/>
      <c r="K252" s="3401"/>
      <c r="L252" s="3402"/>
      <c r="M252" s="3402"/>
      <c r="N252" s="3402"/>
      <c r="O252" s="3402"/>
      <c r="P252" s="3402"/>
      <c r="Q252" s="2504"/>
      <c r="AE252" s="442"/>
      <c r="AF252" s="442"/>
    </row>
    <row r="253" spans="1:32" s="131" customFormat="1" ht="12" customHeight="1">
      <c r="A253" s="140"/>
      <c r="B253" s="3401"/>
      <c r="C253" s="3402"/>
      <c r="D253" s="3402"/>
      <c r="E253" s="3402"/>
      <c r="F253" s="3402"/>
      <c r="G253" s="3402"/>
      <c r="H253" s="3402"/>
      <c r="I253" s="3402"/>
      <c r="J253" s="2504"/>
      <c r="K253" s="3401"/>
      <c r="L253" s="3402"/>
      <c r="M253" s="3402"/>
      <c r="N253" s="3402"/>
      <c r="O253" s="3402"/>
      <c r="P253" s="3402"/>
      <c r="Q253" s="2504"/>
      <c r="AE253" s="442"/>
      <c r="AF253" s="442"/>
    </row>
    <row r="254" spans="1:32" s="131" customFormat="1" ht="12" customHeight="1">
      <c r="A254" s="140"/>
      <c r="B254" s="3401"/>
      <c r="C254" s="3402"/>
      <c r="D254" s="3402"/>
      <c r="E254" s="3402"/>
      <c r="F254" s="3402"/>
      <c r="G254" s="3402"/>
      <c r="H254" s="3402"/>
      <c r="I254" s="3402"/>
      <c r="J254" s="2504"/>
      <c r="K254" s="3401"/>
      <c r="L254" s="3402"/>
      <c r="M254" s="3402"/>
      <c r="N254" s="3402"/>
      <c r="O254" s="3402"/>
      <c r="P254" s="3402"/>
      <c r="Q254" s="2504"/>
      <c r="AE254" s="442"/>
      <c r="AF254" s="442"/>
    </row>
    <row r="255" spans="1:32" s="131" customFormat="1" ht="12" customHeight="1">
      <c r="A255" s="140"/>
      <c r="B255" s="3401"/>
      <c r="C255" s="3402"/>
      <c r="D255" s="3402"/>
      <c r="E255" s="3402"/>
      <c r="F255" s="3402"/>
      <c r="G255" s="3402"/>
      <c r="H255" s="3402"/>
      <c r="I255" s="3402"/>
      <c r="J255" s="2504"/>
      <c r="K255" s="3401"/>
      <c r="L255" s="3402"/>
      <c r="M255" s="3402"/>
      <c r="N255" s="3402"/>
      <c r="O255" s="3402"/>
      <c r="P255" s="3402"/>
      <c r="Q255" s="2504"/>
      <c r="AE255" s="442"/>
      <c r="AF255" s="442"/>
    </row>
    <row r="256" spans="1:32" s="131" customFormat="1" ht="12" customHeight="1">
      <c r="A256" s="140"/>
      <c r="B256" s="3401"/>
      <c r="C256" s="3402"/>
      <c r="D256" s="3402"/>
      <c r="E256" s="3402"/>
      <c r="F256" s="3402"/>
      <c r="G256" s="3402"/>
      <c r="H256" s="3402"/>
      <c r="I256" s="3402"/>
      <c r="J256" s="2504"/>
      <c r="K256" s="3401"/>
      <c r="L256" s="3402"/>
      <c r="M256" s="3402"/>
      <c r="N256" s="3402"/>
      <c r="O256" s="3402"/>
      <c r="P256" s="3402"/>
      <c r="Q256" s="2504"/>
      <c r="AE256" s="442"/>
      <c r="AF256" s="442"/>
    </row>
    <row r="257" spans="1:32" s="131" customFormat="1" ht="12" customHeight="1">
      <c r="A257" s="140"/>
      <c r="B257" s="3401"/>
      <c r="C257" s="3402"/>
      <c r="D257" s="3402"/>
      <c r="E257" s="3402"/>
      <c r="F257" s="3402"/>
      <c r="G257" s="3402"/>
      <c r="H257" s="3402"/>
      <c r="I257" s="3402"/>
      <c r="J257" s="2504"/>
      <c r="K257" s="3401"/>
      <c r="L257" s="3402"/>
      <c r="M257" s="3402"/>
      <c r="N257" s="3402"/>
      <c r="O257" s="3402"/>
      <c r="P257" s="3402"/>
      <c r="Q257" s="2504"/>
      <c r="AE257" s="442"/>
      <c r="AF257" s="442"/>
    </row>
    <row r="258" spans="1:32" s="131" customFormat="1" ht="12" customHeight="1">
      <c r="B258" s="3438"/>
      <c r="C258" s="3439"/>
      <c r="D258" s="3439"/>
      <c r="E258" s="3439"/>
      <c r="F258" s="3439"/>
      <c r="G258" s="3439"/>
      <c r="H258" s="3439"/>
      <c r="I258" s="3439"/>
      <c r="J258" s="2505"/>
      <c r="K258" s="3438"/>
      <c r="L258" s="3439"/>
      <c r="M258" s="3439"/>
      <c r="N258" s="3439"/>
      <c r="O258" s="3439"/>
      <c r="P258" s="3439"/>
      <c r="Q258" s="2505"/>
      <c r="AE258" s="442"/>
      <c r="AF258" s="442"/>
    </row>
    <row r="259" spans="1:32" ht="12" customHeight="1">
      <c r="A259" s="140" t="s">
        <v>1894</v>
      </c>
      <c r="B259" s="1602" t="s">
        <v>6342</v>
      </c>
      <c r="C259" s="1603"/>
      <c r="D259" s="1604"/>
      <c r="E259" s="1604"/>
      <c r="F259" s="1604"/>
      <c r="G259" s="1604"/>
      <c r="H259" s="1604"/>
      <c r="I259" s="1605"/>
      <c r="J259" s="1605"/>
      <c r="K259" s="1604"/>
      <c r="L259" s="1606"/>
      <c r="M259" s="1603"/>
      <c r="N259" s="1603"/>
      <c r="O259" s="159" t="s">
        <v>1894</v>
      </c>
      <c r="P259" s="2668"/>
      <c r="Q259" s="2958"/>
    </row>
    <row r="260" spans="1:32" s="403" customFormat="1" ht="23.25" customHeight="1">
      <c r="A260" s="140" t="s">
        <v>719</v>
      </c>
      <c r="B260" s="3950" t="s">
        <v>6338</v>
      </c>
      <c r="C260" s="3950"/>
      <c r="D260" s="3950"/>
      <c r="E260" s="3950"/>
      <c r="F260" s="3950"/>
      <c r="G260" s="3950"/>
      <c r="H260" s="3950"/>
      <c r="I260" s="3950"/>
      <c r="J260" s="3950"/>
      <c r="K260" s="3950"/>
      <c r="L260" s="3950"/>
      <c r="M260" s="3950"/>
      <c r="N260" s="3950"/>
      <c r="O260" s="159" t="s">
        <v>719</v>
      </c>
      <c r="P260" s="2657"/>
      <c r="Q260" s="2960"/>
      <c r="AE260" s="444"/>
      <c r="AF260" s="444"/>
    </row>
    <row r="261" spans="1:32" s="403" customFormat="1" ht="12" customHeight="1">
      <c r="A261" s="47" t="s">
        <v>2020</v>
      </c>
      <c r="B261" s="138" t="s">
        <v>6337</v>
      </c>
      <c r="D261" s="138"/>
      <c r="E261" s="138"/>
      <c r="F261" s="138"/>
      <c r="G261" s="138"/>
      <c r="H261" s="138"/>
      <c r="I261" s="138"/>
      <c r="J261" s="138"/>
      <c r="K261" s="138"/>
      <c r="L261" s="138"/>
      <c r="M261" s="138"/>
      <c r="O261" s="439" t="s">
        <v>2020</v>
      </c>
      <c r="P261" s="2658"/>
      <c r="Q261" s="2962"/>
      <c r="AE261" s="444"/>
      <c r="AF261" s="444"/>
    </row>
    <row r="262" spans="1:32" ht="11.25" customHeight="1">
      <c r="B262" s="139" t="s">
        <v>3372</v>
      </c>
      <c r="D262" s="139"/>
      <c r="E262" s="139"/>
      <c r="F262" s="139"/>
      <c r="G262" s="139"/>
      <c r="H262" s="40"/>
      <c r="I262" s="2672"/>
      <c r="J262" s="2672"/>
      <c r="K262" s="2672"/>
      <c r="L262" s="1401"/>
      <c r="M262" s="1401"/>
      <c r="N262" s="1401"/>
      <c r="O262" s="1401"/>
      <c r="P262" s="1401"/>
      <c r="Q262" s="782"/>
    </row>
    <row r="263" spans="1:32" ht="12" customHeight="1">
      <c r="A263" s="3961" t="s">
        <v>7013</v>
      </c>
      <c r="B263" s="3962"/>
      <c r="C263" s="3962"/>
      <c r="D263" s="3962"/>
      <c r="E263" s="3962"/>
      <c r="F263" s="3962"/>
      <c r="G263" s="3962"/>
      <c r="H263" s="3962"/>
      <c r="I263" s="3962"/>
      <c r="J263" s="3962"/>
      <c r="K263" s="3962"/>
      <c r="L263" s="3962"/>
      <c r="M263" s="3962"/>
      <c r="N263" s="3962"/>
      <c r="O263" s="3962"/>
      <c r="P263" s="3962"/>
      <c r="Q263" s="3963"/>
      <c r="R263" s="427" t="s">
        <v>1208</v>
      </c>
      <c r="S263" s="428"/>
      <c r="U263" s="134"/>
      <c r="V263" s="134"/>
      <c r="W263" s="134"/>
      <c r="X263" s="134"/>
      <c r="Y263" s="134"/>
      <c r="Z263" s="134"/>
      <c r="AA263" s="134"/>
      <c r="AB263" s="134"/>
      <c r="AC263" s="134"/>
      <c r="AD263" s="134"/>
      <c r="AE263" s="441"/>
    </row>
    <row r="264" spans="1:32" ht="11.25" customHeight="1">
      <c r="B264" s="135" t="s">
        <v>1779</v>
      </c>
      <c r="C264" s="136"/>
      <c r="D264" s="2655"/>
      <c r="E264" s="2655"/>
      <c r="F264" s="2655"/>
      <c r="G264" s="2655"/>
      <c r="H264" s="2655"/>
      <c r="I264" s="2655"/>
      <c r="J264" s="2655"/>
      <c r="K264" s="2655"/>
      <c r="L264" s="2655"/>
      <c r="M264" s="2655"/>
      <c r="N264" s="2655"/>
      <c r="O264" s="2655"/>
      <c r="P264" s="2655"/>
      <c r="Q264" s="2655"/>
    </row>
    <row r="265" spans="1:32" ht="12" customHeight="1">
      <c r="A265" s="3968"/>
      <c r="B265" s="3969"/>
      <c r="C265" s="3969"/>
      <c r="D265" s="3969"/>
      <c r="E265" s="3969"/>
      <c r="F265" s="3969"/>
      <c r="G265" s="3969"/>
      <c r="H265" s="3969"/>
      <c r="I265" s="3969"/>
      <c r="J265" s="3969"/>
      <c r="K265" s="3969"/>
      <c r="L265" s="3969"/>
      <c r="M265" s="3969"/>
      <c r="N265" s="3969"/>
      <c r="O265" s="3969"/>
      <c r="P265" s="3969"/>
      <c r="Q265" s="3970"/>
    </row>
    <row r="266" spans="1:32" ht="3" customHeight="1">
      <c r="A266" s="1401"/>
      <c r="B266" s="2672"/>
      <c r="C266" s="2655"/>
      <c r="D266" s="2655"/>
      <c r="E266" s="2655"/>
      <c r="F266" s="2655"/>
      <c r="G266" s="2655"/>
      <c r="H266" s="2655"/>
      <c r="I266" s="2655"/>
      <c r="J266" s="2655"/>
      <c r="K266" s="2655"/>
      <c r="L266" s="2655"/>
      <c r="M266" s="2655"/>
      <c r="Q266" s="1401"/>
    </row>
    <row r="267" spans="1:32" ht="14.1" customHeight="1">
      <c r="A267" s="2650" t="s">
        <v>2148</v>
      </c>
      <c r="B267" s="4" t="s">
        <v>4151</v>
      </c>
      <c r="C267" s="4"/>
      <c r="D267" s="86"/>
      <c r="E267" s="86"/>
      <c r="F267" s="86"/>
      <c r="G267" s="86"/>
      <c r="H267" s="2655"/>
      <c r="I267" s="2655"/>
      <c r="J267" s="2655"/>
      <c r="K267" s="2655"/>
      <c r="L267" s="1343"/>
      <c r="M267" s="1344"/>
      <c r="O267" s="130" t="s">
        <v>1780</v>
      </c>
      <c r="P267" s="3959"/>
      <c r="Q267" s="3960"/>
    </row>
    <row r="268" spans="1:32" s="27" customFormat="1" ht="12" customHeight="1">
      <c r="B268" s="55" t="s">
        <v>6451</v>
      </c>
      <c r="N268" s="119"/>
      <c r="P268" s="2489"/>
      <c r="Q268" s="2966"/>
      <c r="AE268" s="115"/>
      <c r="AF268" s="115"/>
    </row>
    <row r="269" spans="1:32" ht="11.45" customHeight="1">
      <c r="A269" s="47" t="s">
        <v>1892</v>
      </c>
      <c r="B269" s="52" t="s">
        <v>1220</v>
      </c>
      <c r="D269" s="42"/>
      <c r="E269" s="52"/>
      <c r="F269" s="52"/>
      <c r="J269" s="439" t="s">
        <v>1892</v>
      </c>
      <c r="K269" s="3993"/>
      <c r="L269" s="3994"/>
      <c r="M269" s="3994"/>
      <c r="N269" s="3994"/>
      <c r="O269" s="3995"/>
      <c r="P269" s="3991" t="s">
        <v>1691</v>
      </c>
      <c r="Q269" s="3992"/>
    </row>
    <row r="270" spans="1:32" s="27" customFormat="1" ht="34.5" customHeight="1">
      <c r="B270" s="4084" t="s">
        <v>6452</v>
      </c>
      <c r="C270" s="4084"/>
      <c r="D270" s="4084"/>
      <c r="E270" s="4084"/>
      <c r="F270" s="4084"/>
      <c r="G270" s="4084"/>
      <c r="H270" s="4084"/>
      <c r="I270" s="4084"/>
      <c r="J270" s="4084"/>
      <c r="K270" s="4084"/>
      <c r="L270" s="4084"/>
      <c r="M270" s="4084"/>
      <c r="N270" s="4084"/>
      <c r="O270" s="3998"/>
      <c r="P270" s="2506"/>
      <c r="Q270" s="2971"/>
      <c r="AE270" s="115"/>
      <c r="AF270" s="115"/>
    </row>
    <row r="271" spans="1:32" ht="12" customHeight="1">
      <c r="A271" s="47" t="s">
        <v>1894</v>
      </c>
      <c r="B271" s="52" t="s">
        <v>2616</v>
      </c>
      <c r="D271" s="52"/>
      <c r="E271" s="52"/>
      <c r="F271" s="52"/>
      <c r="J271" s="439" t="s">
        <v>1894</v>
      </c>
      <c r="K271" s="4022"/>
      <c r="L271" s="4023"/>
      <c r="M271" s="4023"/>
      <c r="N271" s="4023"/>
      <c r="O271" s="4024"/>
      <c r="P271" s="4018"/>
      <c r="Q271" s="4019"/>
    </row>
    <row r="272" spans="1:32" s="146" customFormat="1" ht="12" customHeight="1">
      <c r="A272" s="47"/>
      <c r="B272" s="2655" t="s">
        <v>1658</v>
      </c>
      <c r="C272" s="52" t="s">
        <v>1855</v>
      </c>
      <c r="D272" s="52"/>
      <c r="E272" s="52"/>
      <c r="F272" s="52"/>
      <c r="J272" s="65" t="s">
        <v>1658</v>
      </c>
      <c r="K272" s="3955"/>
      <c r="L272" s="3956"/>
      <c r="M272" s="3956"/>
      <c r="N272" s="3956"/>
      <c r="O272" s="3957"/>
      <c r="P272" s="4020"/>
      <c r="Q272" s="4021"/>
      <c r="AE272" s="443"/>
      <c r="AF272" s="443"/>
    </row>
    <row r="273" spans="1:32" s="146" customFormat="1" ht="12" customHeight="1">
      <c r="A273" s="47"/>
      <c r="B273" s="2655" t="s">
        <v>1659</v>
      </c>
      <c r="C273" s="52" t="s">
        <v>6453</v>
      </c>
      <c r="D273" s="52"/>
      <c r="E273" s="52"/>
      <c r="F273" s="52"/>
      <c r="G273" s="52"/>
      <c r="H273" s="52"/>
      <c r="I273" s="93"/>
      <c r="J273" s="93"/>
      <c r="M273" s="36"/>
      <c r="N273" s="896"/>
      <c r="O273" s="65" t="s">
        <v>1659</v>
      </c>
      <c r="P273" s="2500"/>
      <c r="Q273" s="2964"/>
      <c r="AE273" s="443"/>
      <c r="AF273" s="443"/>
    </row>
    <row r="274" spans="1:32" s="146" customFormat="1" ht="34.5" customHeight="1">
      <c r="A274" s="47"/>
      <c r="B274" s="2655" t="s">
        <v>1660</v>
      </c>
      <c r="C274" s="3950" t="s">
        <v>6463</v>
      </c>
      <c r="D274" s="3950"/>
      <c r="E274" s="3950"/>
      <c r="F274" s="3950"/>
      <c r="G274" s="3950"/>
      <c r="H274" s="3950"/>
      <c r="I274" s="3950"/>
      <c r="J274" s="3950"/>
      <c r="K274" s="3950"/>
      <c r="L274" s="3950"/>
      <c r="M274" s="3950"/>
      <c r="N274" s="3950"/>
      <c r="O274" s="147" t="s">
        <v>1660</v>
      </c>
      <c r="P274" s="2664"/>
      <c r="Q274" s="2972"/>
      <c r="AE274" s="443"/>
      <c r="AF274" s="443"/>
    </row>
    <row r="275" spans="1:32" s="146" customFormat="1" ht="24" customHeight="1">
      <c r="A275" s="47"/>
      <c r="B275" s="2655" t="s">
        <v>2259</v>
      </c>
      <c r="C275" s="3950" t="s">
        <v>6464</v>
      </c>
      <c r="D275" s="3950"/>
      <c r="E275" s="3950"/>
      <c r="F275" s="3950"/>
      <c r="G275" s="3950"/>
      <c r="H275" s="3950"/>
      <c r="I275" s="3950"/>
      <c r="J275" s="3950"/>
      <c r="K275" s="3950"/>
      <c r="L275" s="3950"/>
      <c r="M275" s="3950"/>
      <c r="N275" s="3950"/>
      <c r="O275" s="159" t="s">
        <v>2259</v>
      </c>
      <c r="P275" s="2658"/>
      <c r="Q275" s="2962"/>
      <c r="AE275" s="443"/>
      <c r="AF275" s="443"/>
    </row>
    <row r="276" spans="1:32" s="146" customFormat="1" ht="12" customHeight="1">
      <c r="A276" s="47" t="s">
        <v>719</v>
      </c>
      <c r="B276" s="52" t="s">
        <v>3450</v>
      </c>
      <c r="D276" s="52"/>
      <c r="E276" s="52"/>
      <c r="F276" s="52"/>
      <c r="G276" s="52"/>
      <c r="H276" s="52"/>
      <c r="I276" s="93"/>
      <c r="J276" s="93"/>
      <c r="K276" s="93"/>
      <c r="M276" s="36"/>
      <c r="N276" s="896"/>
      <c r="P276" s="2492"/>
      <c r="Q276" s="2952"/>
      <c r="AE276" s="443"/>
      <c r="AF276" s="443"/>
    </row>
    <row r="277" spans="1:32" s="146" customFormat="1" ht="12" customHeight="1">
      <c r="A277" s="47"/>
      <c r="B277" s="3950" t="s">
        <v>3377</v>
      </c>
      <c r="C277" s="3950"/>
      <c r="D277" s="3950"/>
      <c r="E277" s="3950"/>
      <c r="F277" s="3950"/>
      <c r="G277" s="3950"/>
      <c r="H277" s="418" t="s">
        <v>3531</v>
      </c>
      <c r="K277" s="93"/>
      <c r="M277" s="36"/>
      <c r="N277" s="896"/>
      <c r="O277" s="65" t="s">
        <v>1658</v>
      </c>
      <c r="P277" s="2666"/>
      <c r="Q277" s="2953"/>
      <c r="AE277" s="443"/>
      <c r="AF277" s="443"/>
    </row>
    <row r="278" spans="1:32" s="146" customFormat="1" ht="12" customHeight="1">
      <c r="A278" s="47"/>
      <c r="B278" s="3950"/>
      <c r="C278" s="3950"/>
      <c r="D278" s="3950"/>
      <c r="E278" s="3950"/>
      <c r="F278" s="3950"/>
      <c r="G278" s="3950"/>
      <c r="H278" s="55" t="s">
        <v>3532</v>
      </c>
      <c r="K278" s="93"/>
      <c r="M278" s="36"/>
      <c r="N278" s="896"/>
      <c r="O278" s="65" t="s">
        <v>1659</v>
      </c>
      <c r="P278" s="2666"/>
      <c r="Q278" s="2953"/>
      <c r="AE278" s="443"/>
      <c r="AF278" s="443"/>
    </row>
    <row r="279" spans="1:32" s="146" customFormat="1" ht="12" customHeight="1">
      <c r="A279" s="47"/>
      <c r="B279" s="52"/>
      <c r="D279" s="52"/>
      <c r="E279" s="52"/>
      <c r="F279" s="52"/>
      <c r="G279" s="52"/>
      <c r="H279" s="55" t="s">
        <v>3533</v>
      </c>
      <c r="K279" s="93"/>
      <c r="M279" s="36"/>
      <c r="N279" s="896"/>
      <c r="O279" s="65" t="s">
        <v>1660</v>
      </c>
      <c r="P279" s="2666"/>
      <c r="Q279" s="2953"/>
      <c r="AE279" s="443"/>
      <c r="AF279" s="443"/>
    </row>
    <row r="280" spans="1:32" s="146" customFormat="1" ht="12" customHeight="1">
      <c r="A280" s="47"/>
      <c r="B280" s="52"/>
      <c r="D280" s="52"/>
      <c r="E280" s="52"/>
      <c r="F280" s="52"/>
      <c r="G280" s="52"/>
      <c r="H280" s="55" t="s">
        <v>3534</v>
      </c>
      <c r="K280" s="93"/>
      <c r="M280" s="36"/>
      <c r="N280" s="896"/>
      <c r="O280" s="439" t="s">
        <v>2259</v>
      </c>
      <c r="P280" s="2666"/>
      <c r="Q280" s="2953"/>
      <c r="AE280" s="443"/>
      <c r="AF280" s="443"/>
    </row>
    <row r="281" spans="1:32" s="146" customFormat="1" ht="23.25" customHeight="1">
      <c r="B281" s="784" t="s">
        <v>6824</v>
      </c>
      <c r="C281" s="3950" t="s">
        <v>6823</v>
      </c>
      <c r="D281" s="3950"/>
      <c r="E281" s="3950"/>
      <c r="F281" s="3950"/>
      <c r="G281" s="3950"/>
      <c r="H281" s="3950"/>
      <c r="I281" s="3950"/>
      <c r="J281" s="3950"/>
      <c r="K281" s="3950"/>
      <c r="L281" s="3950"/>
      <c r="M281" s="3950"/>
      <c r="N281" s="3950"/>
      <c r="O281" s="159" t="s">
        <v>1487</v>
      </c>
      <c r="P281" s="2658"/>
      <c r="Q281" s="2962"/>
      <c r="T281" s="443"/>
      <c r="AE281" s="443"/>
      <c r="AF281" s="443"/>
    </row>
    <row r="282" spans="1:32" ht="12" customHeight="1">
      <c r="B282" s="139" t="s">
        <v>3372</v>
      </c>
      <c r="D282" s="139"/>
      <c r="E282" s="139"/>
      <c r="F282" s="139"/>
      <c r="G282" s="139"/>
      <c r="H282" s="40"/>
      <c r="I282" s="2672"/>
      <c r="J282" s="2672"/>
      <c r="K282" s="2672"/>
      <c r="L282" s="1401"/>
      <c r="M282" s="1401"/>
      <c r="N282" s="1401"/>
      <c r="O282" s="1401"/>
      <c r="P282" s="1401"/>
      <c r="Q282" s="782"/>
    </row>
    <row r="283" spans="1:32" ht="12" customHeight="1">
      <c r="A283" s="3961" t="s">
        <v>7014</v>
      </c>
      <c r="B283" s="3962"/>
      <c r="C283" s="3962"/>
      <c r="D283" s="3962"/>
      <c r="E283" s="3962"/>
      <c r="F283" s="3962"/>
      <c r="G283" s="3962"/>
      <c r="H283" s="3962"/>
      <c r="I283" s="3962"/>
      <c r="J283" s="3962"/>
      <c r="K283" s="3962"/>
      <c r="L283" s="3962"/>
      <c r="M283" s="3962"/>
      <c r="N283" s="3962"/>
      <c r="O283" s="3962"/>
      <c r="P283" s="3962"/>
      <c r="Q283" s="3963"/>
      <c r="R283" s="427" t="s">
        <v>1208</v>
      </c>
      <c r="S283" s="428"/>
      <c r="U283" s="134"/>
      <c r="V283" s="134"/>
      <c r="W283" s="134"/>
      <c r="X283" s="134"/>
      <c r="Y283" s="134"/>
      <c r="Z283" s="134"/>
      <c r="AA283" s="134"/>
      <c r="AB283" s="134"/>
      <c r="AC283" s="134"/>
      <c r="AD283" s="134"/>
      <c r="AE283" s="441"/>
    </row>
    <row r="284" spans="1:32" ht="12" customHeight="1">
      <c r="B284" s="135" t="s">
        <v>1779</v>
      </c>
      <c r="C284" s="136"/>
      <c r="D284" s="2655"/>
      <c r="E284" s="2655"/>
      <c r="F284" s="2655"/>
      <c r="G284" s="2655"/>
      <c r="H284" s="2655"/>
      <c r="I284" s="2655"/>
      <c r="J284" s="2655"/>
      <c r="K284" s="2655"/>
      <c r="L284" s="2655"/>
      <c r="M284" s="2655"/>
      <c r="N284" s="2655"/>
      <c r="O284" s="2655"/>
      <c r="P284" s="2655"/>
      <c r="Q284" s="2655"/>
    </row>
    <row r="285" spans="1:32" ht="12" customHeight="1">
      <c r="A285" s="3968"/>
      <c r="B285" s="3969"/>
      <c r="C285" s="3969"/>
      <c r="D285" s="3969"/>
      <c r="E285" s="3969"/>
      <c r="F285" s="3969"/>
      <c r="G285" s="3969"/>
      <c r="H285" s="3969"/>
      <c r="I285" s="3969"/>
      <c r="J285" s="3969"/>
      <c r="K285" s="3969"/>
      <c r="L285" s="3969"/>
      <c r="M285" s="3969"/>
      <c r="N285" s="3969"/>
      <c r="O285" s="3969"/>
      <c r="P285" s="3969"/>
      <c r="Q285" s="3970"/>
    </row>
    <row r="286" spans="1:32" ht="3" customHeight="1">
      <c r="A286" s="1401"/>
      <c r="B286" s="2672"/>
      <c r="C286" s="2655"/>
      <c r="D286" s="2655"/>
      <c r="E286" s="2655"/>
      <c r="F286" s="2655"/>
      <c r="G286" s="2655"/>
      <c r="H286" s="2655"/>
      <c r="I286" s="2655"/>
      <c r="J286" s="2655"/>
      <c r="K286" s="2655"/>
      <c r="L286" s="2655"/>
      <c r="M286" s="2655"/>
      <c r="Q286" s="1401"/>
    </row>
    <row r="287" spans="1:32" ht="14.1" customHeight="1">
      <c r="A287" s="2650" t="s">
        <v>3519</v>
      </c>
      <c r="B287" s="4" t="s">
        <v>2519</v>
      </c>
      <c r="C287" s="4"/>
      <c r="D287" s="86"/>
      <c r="E287" s="86"/>
      <c r="F287" s="86"/>
      <c r="G287" s="86"/>
      <c r="H287" s="2655"/>
      <c r="I287" s="2655"/>
      <c r="J287" s="2655"/>
      <c r="K287" s="2655"/>
      <c r="L287" s="2655"/>
      <c r="M287" s="2655"/>
      <c r="O287" s="130" t="s">
        <v>1780</v>
      </c>
      <c r="P287" s="3959"/>
      <c r="Q287" s="3960"/>
    </row>
    <row r="288" spans="1:32" s="403" customFormat="1" ht="21.75" customHeight="1">
      <c r="A288" s="140" t="s">
        <v>1892</v>
      </c>
      <c r="B288" s="2655" t="s">
        <v>1658</v>
      </c>
      <c r="C288" s="3950" t="s">
        <v>4233</v>
      </c>
      <c r="D288" s="3950"/>
      <c r="E288" s="3950"/>
      <c r="F288" s="3950"/>
      <c r="G288" s="3950"/>
      <c r="H288" s="3950"/>
      <c r="I288" s="3950"/>
      <c r="J288" s="3950"/>
      <c r="K288" s="3950"/>
      <c r="L288" s="3950"/>
      <c r="M288" s="3950"/>
      <c r="N288" s="3950"/>
      <c r="O288" s="1490" t="s">
        <v>1427</v>
      </c>
      <c r="P288" s="2502" t="s">
        <v>2768</v>
      </c>
      <c r="Q288" s="2967"/>
      <c r="AE288" s="444"/>
      <c r="AF288" s="444"/>
    </row>
    <row r="289" spans="1:32" s="146" customFormat="1" ht="11.45" customHeight="1">
      <c r="A289" s="47"/>
      <c r="B289" s="2655" t="s">
        <v>1659</v>
      </c>
      <c r="C289" s="52" t="s">
        <v>3374</v>
      </c>
      <c r="D289" s="52"/>
      <c r="E289" s="52"/>
      <c r="F289" s="52"/>
      <c r="G289" s="52"/>
      <c r="H289" s="52"/>
      <c r="I289" s="52"/>
      <c r="J289" s="52"/>
      <c r="K289" s="52"/>
      <c r="L289" s="52"/>
      <c r="M289" s="52"/>
      <c r="O289" s="1490" t="s">
        <v>1659</v>
      </c>
      <c r="P289" s="2671" t="s">
        <v>2768</v>
      </c>
      <c r="Q289" s="2954"/>
      <c r="AE289" s="443"/>
      <c r="AF289" s="443"/>
    </row>
    <row r="290" spans="1:32" s="146" customFormat="1" ht="11.45" customHeight="1">
      <c r="A290" s="47" t="s">
        <v>1894</v>
      </c>
      <c r="B290" s="52" t="s">
        <v>3375</v>
      </c>
      <c r="D290" s="52"/>
      <c r="E290" s="52"/>
      <c r="F290" s="52"/>
      <c r="G290" s="52"/>
      <c r="H290" s="52"/>
      <c r="I290" s="52"/>
      <c r="J290" s="52"/>
      <c r="K290" s="52"/>
      <c r="L290" s="52"/>
      <c r="M290" s="52"/>
      <c r="O290" s="439" t="s">
        <v>1894</v>
      </c>
      <c r="P290" s="2671" t="s">
        <v>2768</v>
      </c>
      <c r="Q290" s="2954"/>
      <c r="AE290" s="443"/>
      <c r="AF290" s="443"/>
    </row>
    <row r="291" spans="1:32" s="403" customFormat="1" ht="23.25" customHeight="1">
      <c r="A291" s="140" t="s">
        <v>719</v>
      </c>
      <c r="B291" s="2655" t="s">
        <v>1658</v>
      </c>
      <c r="C291" s="3950" t="s">
        <v>4260</v>
      </c>
      <c r="D291" s="3950"/>
      <c r="E291" s="3950"/>
      <c r="F291" s="3950"/>
      <c r="G291" s="3950"/>
      <c r="H291" s="3950"/>
      <c r="I291" s="3950"/>
      <c r="J291" s="3950"/>
      <c r="K291" s="3950"/>
      <c r="L291" s="3950"/>
      <c r="M291" s="3950"/>
      <c r="N291" s="3950"/>
      <c r="O291" s="1490" t="s">
        <v>4261</v>
      </c>
      <c r="P291" s="2502" t="s">
        <v>2768</v>
      </c>
      <c r="Q291" s="2967"/>
      <c r="AE291" s="444"/>
      <c r="AF291" s="444"/>
    </row>
    <row r="292" spans="1:32" s="146" customFormat="1" ht="11.45" customHeight="1">
      <c r="A292" s="47"/>
      <c r="B292" s="2655" t="s">
        <v>1659</v>
      </c>
      <c r="C292" s="52" t="s">
        <v>3376</v>
      </c>
      <c r="D292" s="52"/>
      <c r="E292" s="52"/>
      <c r="F292" s="52"/>
      <c r="G292" s="52"/>
      <c r="H292" s="52"/>
      <c r="I292" s="52"/>
      <c r="J292" s="52"/>
      <c r="K292" s="52"/>
      <c r="L292" s="52"/>
      <c r="M292" s="52"/>
      <c r="O292" s="1490" t="s">
        <v>1659</v>
      </c>
      <c r="P292" s="2671" t="s">
        <v>2768</v>
      </c>
      <c r="Q292" s="2954"/>
      <c r="AE292" s="443"/>
      <c r="AF292" s="443"/>
    </row>
    <row r="293" spans="1:32" s="146" customFormat="1" ht="22.5" customHeight="1">
      <c r="A293" s="140" t="s">
        <v>2020</v>
      </c>
      <c r="B293" s="3950" t="s">
        <v>6343</v>
      </c>
      <c r="C293" s="3950"/>
      <c r="D293" s="3950"/>
      <c r="E293" s="3950"/>
      <c r="F293" s="3950"/>
      <c r="G293" s="3950"/>
      <c r="H293" s="3950"/>
      <c r="I293" s="3950"/>
      <c r="J293" s="3950"/>
      <c r="K293" s="3950"/>
      <c r="L293" s="3950"/>
      <c r="M293" s="3950"/>
      <c r="N293" s="3950"/>
      <c r="O293" s="159" t="s">
        <v>2020</v>
      </c>
      <c r="P293" s="2658" t="s">
        <v>2768</v>
      </c>
      <c r="Q293" s="2962"/>
      <c r="AE293" s="443"/>
      <c r="AF293" s="443"/>
    </row>
    <row r="294" spans="1:32" ht="11.25" customHeight="1">
      <c r="B294" s="139" t="s">
        <v>3372</v>
      </c>
      <c r="D294" s="139"/>
      <c r="E294" s="139"/>
      <c r="F294" s="139"/>
      <c r="G294" s="139"/>
      <c r="H294" s="40"/>
      <c r="I294" s="2672"/>
      <c r="J294" s="2672"/>
      <c r="K294" s="2672"/>
      <c r="L294" s="1401"/>
      <c r="M294" s="1401"/>
      <c r="N294" s="1401"/>
      <c r="O294" s="1401"/>
      <c r="P294" s="1401"/>
      <c r="Q294" s="782"/>
    </row>
    <row r="295" spans="1:32" ht="35.25" customHeight="1">
      <c r="A295" s="3961" t="s">
        <v>6986</v>
      </c>
      <c r="B295" s="3962"/>
      <c r="C295" s="3962"/>
      <c r="D295" s="3962"/>
      <c r="E295" s="3962"/>
      <c r="F295" s="3962"/>
      <c r="G295" s="3962"/>
      <c r="H295" s="3962"/>
      <c r="I295" s="3962"/>
      <c r="J295" s="3962"/>
      <c r="K295" s="3962"/>
      <c r="L295" s="3962"/>
      <c r="M295" s="3962"/>
      <c r="N295" s="3962"/>
      <c r="O295" s="3962"/>
      <c r="P295" s="3962"/>
      <c r="Q295" s="3963"/>
      <c r="R295" s="427" t="s">
        <v>1208</v>
      </c>
      <c r="S295" s="428"/>
      <c r="U295" s="134"/>
      <c r="V295" s="134"/>
      <c r="W295" s="134"/>
      <c r="X295" s="134"/>
      <c r="Y295" s="134"/>
      <c r="Z295" s="134"/>
      <c r="AA295" s="134"/>
      <c r="AB295" s="134"/>
      <c r="AC295" s="134"/>
      <c r="AD295" s="134"/>
      <c r="AE295" s="441"/>
    </row>
    <row r="296" spans="1:32" ht="11.25" customHeight="1">
      <c r="B296" s="135" t="s">
        <v>1779</v>
      </c>
      <c r="C296" s="136"/>
      <c r="D296" s="2655"/>
      <c r="E296" s="2655"/>
      <c r="F296" s="2655"/>
      <c r="G296" s="2655"/>
      <c r="H296" s="2655"/>
      <c r="I296" s="2655"/>
      <c r="J296" s="2655"/>
      <c r="K296" s="2655"/>
      <c r="L296" s="2655"/>
      <c r="M296" s="2655"/>
      <c r="N296" s="2655"/>
      <c r="O296" s="2655"/>
      <c r="P296" s="2655"/>
      <c r="Q296" s="2655"/>
    </row>
    <row r="297" spans="1:32" ht="13.35" customHeight="1">
      <c r="A297" s="3968"/>
      <c r="B297" s="3969"/>
      <c r="C297" s="3969"/>
      <c r="D297" s="3969"/>
      <c r="E297" s="3969"/>
      <c r="F297" s="3969"/>
      <c r="G297" s="3969"/>
      <c r="H297" s="3969"/>
      <c r="I297" s="3969"/>
      <c r="J297" s="3969"/>
      <c r="K297" s="3969"/>
      <c r="L297" s="3969"/>
      <c r="M297" s="3969"/>
      <c r="N297" s="3969"/>
      <c r="O297" s="3969"/>
      <c r="P297" s="3969"/>
      <c r="Q297" s="3970"/>
    </row>
    <row r="298" spans="1:32" ht="3" customHeight="1"/>
    <row r="299" spans="1:32" ht="14.1" customHeight="1">
      <c r="A299" s="2650" t="s">
        <v>3520</v>
      </c>
      <c r="B299" s="2650" t="s">
        <v>2520</v>
      </c>
      <c r="C299" s="2650"/>
      <c r="D299" s="2655"/>
      <c r="E299" s="2655"/>
      <c r="F299" s="2655"/>
      <c r="G299" s="2655"/>
      <c r="H299" s="2655"/>
      <c r="I299" s="2655"/>
      <c r="J299" s="2655"/>
      <c r="K299" s="2655"/>
      <c r="L299" s="2655"/>
      <c r="M299" s="2655"/>
      <c r="O299" s="130" t="s">
        <v>1780</v>
      </c>
      <c r="P299" s="3959"/>
      <c r="Q299" s="3960"/>
    </row>
    <row r="300" spans="1:32" s="27" customFormat="1" ht="11.45" customHeight="1">
      <c r="B300" s="55" t="s">
        <v>6451</v>
      </c>
      <c r="N300" s="119"/>
      <c r="P300" s="2489" t="s">
        <v>2771</v>
      </c>
      <c r="Q300" s="2966"/>
      <c r="AE300" s="115"/>
      <c r="AF300" s="115"/>
    </row>
    <row r="301" spans="1:32" s="33" customFormat="1" ht="11.45" customHeight="1">
      <c r="A301" s="47" t="s">
        <v>1892</v>
      </c>
      <c r="B301" s="175" t="s">
        <v>6455</v>
      </c>
      <c r="C301" s="522"/>
      <c r="D301" s="522"/>
      <c r="E301" s="522"/>
      <c r="F301" s="522"/>
      <c r="H301" s="522"/>
      <c r="I301" s="522"/>
      <c r="O301" s="159" t="s">
        <v>1892</v>
      </c>
      <c r="R301" s="1295"/>
    </row>
    <row r="302" spans="1:32" s="403" customFormat="1" ht="33" customHeight="1">
      <c r="B302" s="784" t="s">
        <v>1658</v>
      </c>
      <c r="C302" s="3950" t="s">
        <v>4026</v>
      </c>
      <c r="D302" s="3950"/>
      <c r="E302" s="3950"/>
      <c r="F302" s="3950"/>
      <c r="G302" s="3950"/>
      <c r="H302" s="3950"/>
      <c r="I302" s="3950"/>
      <c r="J302" s="3950"/>
      <c r="K302" s="3950"/>
      <c r="L302" s="3950"/>
      <c r="M302" s="3950"/>
      <c r="N302" s="3950"/>
      <c r="O302" s="1490" t="s">
        <v>1658</v>
      </c>
      <c r="P302" s="2502" t="s">
        <v>6964</v>
      </c>
      <c r="Q302" s="2967"/>
      <c r="AE302" s="444"/>
      <c r="AF302" s="444"/>
    </row>
    <row r="303" spans="1:32" s="403" customFormat="1" ht="21.75" customHeight="1">
      <c r="A303" s="140"/>
      <c r="B303" s="784" t="s">
        <v>1659</v>
      </c>
      <c r="C303" s="3950" t="s">
        <v>2617</v>
      </c>
      <c r="D303" s="3950"/>
      <c r="E303" s="3950"/>
      <c r="F303" s="3950"/>
      <c r="G303" s="3950"/>
      <c r="H303" s="3950"/>
      <c r="I303" s="3950"/>
      <c r="J303" s="3950"/>
      <c r="K303" s="3950"/>
      <c r="L303" s="3950"/>
      <c r="M303" s="3950"/>
      <c r="N303" s="3950"/>
      <c r="O303" s="1490" t="s">
        <v>1659</v>
      </c>
      <c r="P303" s="2658" t="s">
        <v>6964</v>
      </c>
      <c r="Q303" s="2962"/>
      <c r="AE303" s="444"/>
      <c r="AF303" s="444"/>
    </row>
    <row r="304" spans="1:32" s="27" customFormat="1" ht="12.75" customHeight="1">
      <c r="A304" s="137" t="s">
        <v>1894</v>
      </c>
      <c r="B304" s="175" t="s">
        <v>299</v>
      </c>
      <c r="C304" s="157"/>
      <c r="D304" s="522"/>
      <c r="E304" s="522"/>
      <c r="F304" s="157"/>
      <c r="J304" s="439" t="s">
        <v>1894</v>
      </c>
      <c r="K304" s="4029" t="s">
        <v>3386</v>
      </c>
      <c r="L304" s="4030"/>
      <c r="M304" s="4030"/>
      <c r="N304" s="4030"/>
      <c r="O304" s="4030"/>
      <c r="P304" s="4031"/>
      <c r="Q304" s="2973"/>
    </row>
    <row r="305" spans="1:32" s="33" customFormat="1" ht="11.45" customHeight="1">
      <c r="A305" s="137" t="s">
        <v>719</v>
      </c>
      <c r="B305" s="175" t="s">
        <v>6454</v>
      </c>
      <c r="C305" s="522"/>
      <c r="D305" s="522"/>
      <c r="E305" s="522"/>
      <c r="F305" s="522"/>
      <c r="H305" s="522"/>
      <c r="I305" s="522"/>
      <c r="R305" s="1295"/>
    </row>
    <row r="306" spans="1:32" s="27" customFormat="1" ht="11.45" customHeight="1">
      <c r="A306" s="137"/>
      <c r="B306" s="133" t="s">
        <v>6456</v>
      </c>
      <c r="C306" s="157"/>
      <c r="D306" s="522"/>
      <c r="E306" s="522"/>
      <c r="F306" s="157"/>
      <c r="H306" s="157"/>
      <c r="I306" s="157"/>
      <c r="N306" s="1666" t="s">
        <v>6457</v>
      </c>
      <c r="O306" s="439" t="s">
        <v>719</v>
      </c>
      <c r="P306" s="2507" t="s">
        <v>6964</v>
      </c>
      <c r="Q306" s="2973"/>
      <c r="R306" s="439"/>
    </row>
    <row r="307" spans="1:32" s="101" customFormat="1" ht="11.45" customHeight="1">
      <c r="A307" s="42"/>
      <c r="B307" s="139" t="s">
        <v>3372</v>
      </c>
      <c r="C307" s="42"/>
      <c r="D307" s="48"/>
      <c r="E307" s="48"/>
      <c r="F307" s="48"/>
      <c r="G307" s="48"/>
      <c r="K307" s="36"/>
      <c r="M307" s="46"/>
      <c r="N307" s="6"/>
      <c r="O307" s="3"/>
      <c r="P307" s="2648"/>
    </row>
    <row r="308" spans="1:32" s="43" customFormat="1" ht="25.5" customHeight="1">
      <c r="A308" s="3961" t="s">
        <v>7045</v>
      </c>
      <c r="B308" s="3962"/>
      <c r="C308" s="3962"/>
      <c r="D308" s="3962"/>
      <c r="E308" s="3962"/>
      <c r="F308" s="3962"/>
      <c r="G308" s="3962"/>
      <c r="H308" s="3962"/>
      <c r="I308" s="3962"/>
      <c r="J308" s="3962"/>
      <c r="K308" s="3962"/>
      <c r="L308" s="3962"/>
      <c r="M308" s="3962"/>
      <c r="N308" s="3962"/>
      <c r="O308" s="3962"/>
      <c r="P308" s="3962"/>
      <c r="Q308" s="3963"/>
      <c r="R308" s="427" t="s">
        <v>1208</v>
      </c>
    </row>
    <row r="309" spans="1:32" s="43" customFormat="1" ht="11.25" customHeight="1">
      <c r="A309" s="35"/>
      <c r="B309" s="135" t="s">
        <v>1779</v>
      </c>
      <c r="C309" s="136"/>
      <c r="D309" s="2655"/>
      <c r="E309" s="2655"/>
      <c r="F309" s="2655"/>
      <c r="G309" s="2655"/>
      <c r="H309" s="2655"/>
      <c r="I309" s="2655"/>
      <c r="J309" s="2655"/>
      <c r="K309" s="2655"/>
      <c r="L309" s="2655"/>
      <c r="M309" s="2655"/>
      <c r="N309" s="2655"/>
      <c r="O309" s="2655"/>
      <c r="P309" s="2655"/>
      <c r="Q309" s="2655"/>
      <c r="R309" s="35"/>
    </row>
    <row r="310" spans="1:32" s="43" customFormat="1" ht="11.25" customHeight="1">
      <c r="A310" s="3968"/>
      <c r="B310" s="3969"/>
      <c r="C310" s="3969"/>
      <c r="D310" s="3969"/>
      <c r="E310" s="3969"/>
      <c r="F310" s="3969"/>
      <c r="G310" s="3969"/>
      <c r="H310" s="3969"/>
      <c r="I310" s="3969"/>
      <c r="J310" s="3969"/>
      <c r="K310" s="3969"/>
      <c r="L310" s="3969"/>
      <c r="M310" s="3969"/>
      <c r="N310" s="3969"/>
      <c r="O310" s="3969"/>
      <c r="P310" s="3969"/>
      <c r="Q310" s="3970"/>
      <c r="R310" s="35"/>
    </row>
    <row r="311" spans="1:32" s="43" customFormat="1" ht="3" customHeight="1">
      <c r="A311" s="42"/>
      <c r="D311" s="39"/>
      <c r="E311" s="36"/>
      <c r="F311" s="777"/>
      <c r="G311" s="777"/>
      <c r="H311" s="777"/>
      <c r="I311" s="777"/>
      <c r="J311" s="783"/>
      <c r="K311" s="783"/>
      <c r="L311" s="783"/>
      <c r="M311" s="60"/>
      <c r="N311" s="777"/>
      <c r="O311" s="2652"/>
      <c r="P311" s="3"/>
    </row>
    <row r="312" spans="1:32" ht="14.1" customHeight="1">
      <c r="A312" s="2650" t="s">
        <v>3518</v>
      </c>
      <c r="B312" s="2650" t="s">
        <v>2521</v>
      </c>
      <c r="C312" s="2649"/>
      <c r="D312" s="2656"/>
      <c r="E312" s="2655"/>
      <c r="F312" s="2655"/>
      <c r="G312" s="2655"/>
      <c r="H312" s="2655"/>
      <c r="I312" s="2655"/>
      <c r="J312" s="2655"/>
      <c r="K312" s="2655"/>
      <c r="L312" s="2655"/>
      <c r="M312" s="2655"/>
      <c r="O312" s="130" t="s">
        <v>1780</v>
      </c>
      <c r="P312" s="3959"/>
      <c r="Q312" s="3960"/>
    </row>
    <row r="313" spans="1:32" s="27" customFormat="1" ht="11.45" customHeight="1">
      <c r="B313" s="55" t="s">
        <v>6451</v>
      </c>
      <c r="N313" s="119"/>
      <c r="P313" s="2489" t="s">
        <v>2771</v>
      </c>
      <c r="Q313" s="2966"/>
      <c r="AE313" s="115"/>
      <c r="AF313" s="115"/>
    </row>
    <row r="314" spans="1:32" ht="12.75" customHeight="1">
      <c r="A314" s="137" t="s">
        <v>1892</v>
      </c>
      <c r="B314" s="177" t="s">
        <v>3535</v>
      </c>
    </row>
    <row r="315" spans="1:32" s="146" customFormat="1" ht="44.25" customHeight="1">
      <c r="A315" s="140"/>
      <c r="B315" s="1305" t="s">
        <v>1658</v>
      </c>
      <c r="C315" s="3950" t="s">
        <v>3451</v>
      </c>
      <c r="D315" s="3950"/>
      <c r="E315" s="3950"/>
      <c r="F315" s="3950"/>
      <c r="G315" s="3950"/>
      <c r="H315" s="3950"/>
      <c r="I315" s="3950"/>
      <c r="J315" s="3950"/>
      <c r="K315" s="3950"/>
      <c r="L315" s="3950"/>
      <c r="M315" s="3950"/>
      <c r="N315" s="3950"/>
      <c r="O315" s="159" t="s">
        <v>2567</v>
      </c>
      <c r="P315" s="2502" t="s">
        <v>2768</v>
      </c>
      <c r="Q315" s="2967"/>
      <c r="AE315" s="443"/>
      <c r="AF315" s="443"/>
    </row>
    <row r="316" spans="1:32" s="403" customFormat="1" ht="12" customHeight="1">
      <c r="A316" s="140"/>
      <c r="B316" s="1305" t="s">
        <v>1659</v>
      </c>
      <c r="C316" s="3950" t="s">
        <v>4259</v>
      </c>
      <c r="D316" s="3950"/>
      <c r="E316" s="3950"/>
      <c r="F316" s="3950"/>
      <c r="G316" s="3950"/>
      <c r="H316" s="3950"/>
      <c r="I316" s="3950"/>
      <c r="J316" s="3950"/>
      <c r="K316" s="3950"/>
      <c r="L316" s="3950"/>
      <c r="M316" s="3950"/>
      <c r="N316" s="3950"/>
      <c r="O316" s="147" t="s">
        <v>1659</v>
      </c>
      <c r="P316" s="2657" t="s">
        <v>2768</v>
      </c>
      <c r="Q316" s="2960"/>
      <c r="AE316" s="444"/>
      <c r="AF316" s="444"/>
    </row>
    <row r="317" spans="1:32" s="403" customFormat="1" ht="21.75" customHeight="1">
      <c r="A317" s="140"/>
      <c r="B317" s="451" t="s">
        <v>1660</v>
      </c>
      <c r="C317" s="3950" t="s">
        <v>6458</v>
      </c>
      <c r="D317" s="3950"/>
      <c r="E317" s="3950"/>
      <c r="F317" s="3950"/>
      <c r="G317" s="3950"/>
      <c r="H317" s="3950"/>
      <c r="I317" s="3950"/>
      <c r="J317" s="3950"/>
      <c r="K317" s="3950"/>
      <c r="L317" s="3950"/>
      <c r="M317" s="3950"/>
      <c r="N317" s="3950"/>
      <c r="O317" s="159" t="s">
        <v>1660</v>
      </c>
      <c r="P317" s="2658"/>
      <c r="Q317" s="2962"/>
      <c r="AE317" s="444"/>
      <c r="AF317" s="444"/>
    </row>
    <row r="318" spans="1:32" s="93" customFormat="1" ht="12.75" customHeight="1">
      <c r="A318" s="137" t="s">
        <v>1894</v>
      </c>
      <c r="B318" s="177" t="s">
        <v>3431</v>
      </c>
      <c r="D318" s="970"/>
      <c r="E318" s="970"/>
      <c r="F318" s="970"/>
      <c r="G318" s="970"/>
      <c r="H318" s="970"/>
      <c r="I318" s="970"/>
      <c r="J318" s="970"/>
      <c r="K318" s="970"/>
      <c r="L318" s="970"/>
      <c r="M318" s="970"/>
      <c r="N318" s="970"/>
      <c r="O318" s="439"/>
      <c r="P318" s="439"/>
      <c r="Q318" s="439"/>
      <c r="AE318" s="445"/>
    </row>
    <row r="319" spans="1:32" s="93" customFormat="1" ht="11.25" customHeight="1">
      <c r="A319" s="173"/>
      <c r="B319" s="1305" t="s">
        <v>1658</v>
      </c>
      <c r="C319" s="36" t="s">
        <v>2021</v>
      </c>
      <c r="D319" s="3950" t="s">
        <v>6461</v>
      </c>
      <c r="E319" s="3950"/>
      <c r="F319" s="3950"/>
      <c r="G319" s="3950"/>
      <c r="H319" s="3950"/>
      <c r="I319" s="138"/>
      <c r="J319" s="3989" t="s">
        <v>3400</v>
      </c>
      <c r="K319" s="4025"/>
      <c r="L319" s="4025"/>
      <c r="M319" s="4122" t="s">
        <v>3379</v>
      </c>
      <c r="N319" s="4122"/>
      <c r="AE319" s="445"/>
      <c r="AF319" s="445"/>
    </row>
    <row r="320" spans="1:32" s="289" customFormat="1" ht="10.5" customHeight="1">
      <c r="A320" s="300"/>
      <c r="B320" s="2621"/>
      <c r="D320" s="3950"/>
      <c r="E320" s="3950"/>
      <c r="F320" s="3950"/>
      <c r="G320" s="3950"/>
      <c r="H320" s="3950"/>
      <c r="I320" s="2629"/>
      <c r="J320" s="4025"/>
      <c r="K320" s="4025"/>
      <c r="L320" s="4025"/>
      <c r="M320" s="36" t="s">
        <v>3380</v>
      </c>
      <c r="N320" s="2672" t="s">
        <v>3399</v>
      </c>
      <c r="P320" s="298"/>
    </row>
    <row r="321" spans="1:33" s="289" customFormat="1" ht="13.35" customHeight="1">
      <c r="A321" s="300"/>
      <c r="B321" s="2621"/>
      <c r="D321" s="3950"/>
      <c r="E321" s="3950"/>
      <c r="F321" s="3950"/>
      <c r="G321" s="3950"/>
      <c r="H321" s="3950"/>
      <c r="I321" s="52" t="s">
        <v>3536</v>
      </c>
      <c r="K321" s="2508">
        <v>4</v>
      </c>
      <c r="L321" s="892" t="str">
        <f>IF(K321&lt;M321,"Check!!!","")</f>
        <v/>
      </c>
      <c r="M321" s="1667">
        <f>ROUNDUP('Part VI-Revenues &amp; Expenses'!$P$67*'Part VIII-Threshold Criteria'!N321,0)</f>
        <v>4</v>
      </c>
      <c r="N321" s="1291">
        <f>'DCA Underwriting Assumptions'!$Q$155</f>
        <v>0.05</v>
      </c>
      <c r="O321" s="439" t="s">
        <v>3287</v>
      </c>
      <c r="P321" s="2668" t="s">
        <v>2768</v>
      </c>
      <c r="Q321" s="2958"/>
      <c r="V321" s="36"/>
      <c r="X321" s="36"/>
      <c r="Z321" s="892" t="str">
        <f>IF(AA321="","",IF(AA321&lt;AC321,"Check!!!",""))</f>
        <v/>
      </c>
      <c r="AA321" s="892" t="str">
        <f t="shared" ref="AA321:AG321" si="0">IF(AB321="","",IF(AB321&lt;AD321,"Check!!!",""))</f>
        <v/>
      </c>
      <c r="AB321" s="892" t="str">
        <f t="shared" si="0"/>
        <v/>
      </c>
      <c r="AC321" s="892" t="str">
        <f t="shared" si="0"/>
        <v/>
      </c>
      <c r="AD321" s="892" t="str">
        <f t="shared" si="0"/>
        <v/>
      </c>
      <c r="AE321" s="892" t="str">
        <f t="shared" si="0"/>
        <v/>
      </c>
      <c r="AF321" s="892" t="str">
        <f t="shared" si="0"/>
        <v/>
      </c>
      <c r="AG321" s="892" t="str">
        <f t="shared" si="0"/>
        <v/>
      </c>
    </row>
    <row r="322" spans="1:33" s="93" customFormat="1" ht="12.75" customHeight="1">
      <c r="A322" s="140"/>
      <c r="B322" s="1305"/>
      <c r="C322" s="36" t="s">
        <v>2022</v>
      </c>
      <c r="D322" s="3950" t="s">
        <v>6462</v>
      </c>
      <c r="E322" s="3950"/>
      <c r="F322" s="3950"/>
      <c r="G322" s="3950"/>
      <c r="H322" s="3950"/>
      <c r="I322" s="774" t="s">
        <v>3537</v>
      </c>
      <c r="J322" s="289"/>
      <c r="K322" s="2509">
        <v>2</v>
      </c>
      <c r="L322" s="892" t="str">
        <f>IF(K322&lt;M322,"Check!!!","")</f>
        <v/>
      </c>
      <c r="M322" s="1668">
        <f>ROUNDUP(K321*'Part VIII-Threshold Criteria'!N322,0)</f>
        <v>2</v>
      </c>
      <c r="N322" s="1291">
        <f>'DCA Underwriting Assumptions'!$Q$156</f>
        <v>0.4</v>
      </c>
      <c r="O322" s="439" t="s">
        <v>2022</v>
      </c>
      <c r="P322" s="4159" t="s">
        <v>2768</v>
      </c>
      <c r="Q322" s="4157"/>
      <c r="T322" s="138"/>
      <c r="U322" s="138"/>
      <c r="V322" s="138"/>
      <c r="W322" s="138"/>
      <c r="X322" s="138"/>
      <c r="Y322" s="138"/>
      <c r="Z322" s="138"/>
      <c r="AA322" s="138"/>
      <c r="AB322" s="138"/>
      <c r="AC322" s="138"/>
      <c r="AD322" s="138"/>
      <c r="AE322" s="138"/>
      <c r="AF322" s="138"/>
      <c r="AG322" s="138"/>
    </row>
    <row r="323" spans="1:33" s="289" customFormat="1" ht="10.5" customHeight="1">
      <c r="A323" s="300"/>
      <c r="B323" s="2621"/>
      <c r="C323" s="784"/>
      <c r="D323" s="3950"/>
      <c r="E323" s="3950"/>
      <c r="F323" s="3950"/>
      <c r="G323" s="3950"/>
      <c r="H323" s="3950"/>
      <c r="O323" s="40"/>
      <c r="P323" s="4160"/>
      <c r="Q323" s="4158"/>
      <c r="V323" s="36"/>
      <c r="W323" s="774"/>
      <c r="X323" s="36"/>
      <c r="Z323" s="892" t="str">
        <f>IF(AA323="","",IF(AA323&lt;AC323,"Check!!!",""))</f>
        <v/>
      </c>
      <c r="AA323" s="892" t="str">
        <f t="shared" ref="AA323:AG323" si="1">IF(AB323="","",IF(AB323&lt;AD323,"Check!!!",""))</f>
        <v/>
      </c>
      <c r="AB323" s="892" t="str">
        <f t="shared" si="1"/>
        <v/>
      </c>
      <c r="AC323" s="892" t="str">
        <f t="shared" si="1"/>
        <v/>
      </c>
      <c r="AD323" s="892" t="str">
        <f t="shared" si="1"/>
        <v/>
      </c>
      <c r="AE323" s="892" t="str">
        <f t="shared" si="1"/>
        <v/>
      </c>
      <c r="AF323" s="892" t="str">
        <f t="shared" si="1"/>
        <v/>
      </c>
      <c r="AG323" s="892" t="str">
        <f t="shared" si="1"/>
        <v/>
      </c>
    </row>
    <row r="324" spans="1:33" s="93" customFormat="1" ht="12.75" customHeight="1">
      <c r="A324" s="140"/>
      <c r="B324" s="1305" t="s">
        <v>1659</v>
      </c>
      <c r="C324" s="3950" t="s">
        <v>3371</v>
      </c>
      <c r="D324" s="3950"/>
      <c r="E324" s="3950"/>
      <c r="F324" s="3950"/>
      <c r="G324" s="3950"/>
      <c r="H324" s="3950"/>
      <c r="I324" s="52" t="s">
        <v>3538</v>
      </c>
      <c r="J324" s="289"/>
      <c r="K324" s="2510">
        <v>2</v>
      </c>
      <c r="L324" s="892" t="str">
        <f>IF(K324&lt;M324,"Check!!!","")</f>
        <v/>
      </c>
      <c r="M324" s="893">
        <f>ROUNDUP('Part VI-Revenues &amp; Expenses'!$P$67*'Part VIII-Threshold Criteria'!N324,0)</f>
        <v>2</v>
      </c>
      <c r="N324" s="1291">
        <f>'DCA Underwriting Assumptions'!$Q$157</f>
        <v>0.02</v>
      </c>
      <c r="O324" s="439" t="s">
        <v>1659</v>
      </c>
      <c r="P324" s="2501" t="s">
        <v>2768</v>
      </c>
      <c r="Q324" s="2963"/>
      <c r="T324" s="138"/>
      <c r="U324" s="138"/>
      <c r="V324" s="138"/>
      <c r="W324" s="138"/>
      <c r="X324" s="138"/>
      <c r="Y324" s="138"/>
      <c r="Z324" s="138"/>
      <c r="AA324" s="138"/>
      <c r="AB324" s="138"/>
      <c r="AC324" s="138"/>
      <c r="AD324" s="138"/>
      <c r="AE324" s="138"/>
      <c r="AF324" s="138"/>
      <c r="AG324" s="138"/>
    </row>
    <row r="325" spans="1:33" s="289" customFormat="1" ht="3" customHeight="1">
      <c r="A325" s="300"/>
      <c r="C325" s="3950"/>
      <c r="D325" s="3950"/>
      <c r="E325" s="3950"/>
      <c r="F325" s="3950"/>
      <c r="G325" s="3950"/>
      <c r="H325" s="3950"/>
      <c r="J325" s="36"/>
      <c r="K325" s="36"/>
      <c r="L325" s="783"/>
      <c r="M325" s="1673"/>
      <c r="O325" s="36"/>
      <c r="P325" s="2672"/>
      <c r="Q325" s="36"/>
      <c r="T325" s="36"/>
      <c r="U325" s="774"/>
      <c r="V325" s="36"/>
      <c r="W325" s="774"/>
      <c r="X325" s="36"/>
      <c r="Y325" s="36"/>
      <c r="Z325" s="36"/>
      <c r="AA325" s="36"/>
      <c r="AB325" s="36"/>
      <c r="AC325" s="36"/>
      <c r="AD325" s="36"/>
      <c r="AE325" s="36"/>
      <c r="AF325" s="36"/>
      <c r="AG325" s="36"/>
    </row>
    <row r="326" spans="1:33" s="289" customFormat="1" ht="10.5" customHeight="1">
      <c r="A326" s="300"/>
      <c r="C326" s="3950"/>
      <c r="D326" s="3950"/>
      <c r="E326" s="3950"/>
      <c r="F326" s="3950"/>
      <c r="G326" s="3950"/>
      <c r="H326" s="3950"/>
      <c r="O326" s="40"/>
      <c r="P326" s="439"/>
      <c r="V326" s="36"/>
      <c r="W326" s="774"/>
      <c r="X326" s="36"/>
      <c r="Z326" s="892" t="str">
        <f>IF(AA326="","",IF(AA326&lt;AC326,"Check!!!",""))</f>
        <v/>
      </c>
      <c r="AA326" s="892" t="str">
        <f t="shared" ref="AA326:AG326" si="2">IF(AB326="","",IF(AB326&lt;AD326,"Check!!!",""))</f>
        <v/>
      </c>
      <c r="AB326" s="892" t="str">
        <f t="shared" si="2"/>
        <v/>
      </c>
      <c r="AC326" s="892" t="str">
        <f t="shared" si="2"/>
        <v/>
      </c>
      <c r="AD326" s="892" t="str">
        <f t="shared" si="2"/>
        <v/>
      </c>
      <c r="AE326" s="892" t="str">
        <f t="shared" si="2"/>
        <v/>
      </c>
      <c r="AF326" s="892" t="str">
        <f t="shared" si="2"/>
        <v/>
      </c>
      <c r="AG326" s="892" t="str">
        <f t="shared" si="2"/>
        <v/>
      </c>
    </row>
    <row r="327" spans="1:33" s="289" customFormat="1" ht="10.5" customHeight="1">
      <c r="A327" s="137" t="s">
        <v>719</v>
      </c>
      <c r="B327" s="177" t="s">
        <v>3432</v>
      </c>
      <c r="D327" s="2655"/>
      <c r="E327" s="2655"/>
      <c r="F327" s="2655"/>
      <c r="G327" s="2655"/>
      <c r="H327" s="2655"/>
      <c r="O327" s="40"/>
      <c r="P327" s="439"/>
      <c r="V327" s="36"/>
      <c r="W327" s="774"/>
      <c r="X327" s="36"/>
      <c r="Z327" s="892"/>
      <c r="AA327" s="892"/>
      <c r="AB327" s="892"/>
      <c r="AC327" s="892"/>
      <c r="AD327" s="892"/>
      <c r="AE327" s="892"/>
      <c r="AF327" s="892"/>
      <c r="AG327" s="892"/>
    </row>
    <row r="328" spans="1:33" s="93" customFormat="1" ht="21.75" customHeight="1">
      <c r="B328" s="4084" t="s">
        <v>3289</v>
      </c>
      <c r="C328" s="4084"/>
      <c r="D328" s="4084"/>
      <c r="E328" s="4084"/>
      <c r="F328" s="4084"/>
      <c r="G328" s="4084"/>
      <c r="H328" s="4084"/>
      <c r="I328" s="4084"/>
      <c r="J328" s="4084"/>
      <c r="K328" s="4084"/>
      <c r="L328" s="4084"/>
      <c r="M328" s="4084"/>
      <c r="N328" s="4084"/>
      <c r="O328" s="159" t="s">
        <v>719</v>
      </c>
      <c r="P328" s="2507" t="s">
        <v>2768</v>
      </c>
      <c r="Q328" s="2973"/>
      <c r="AE328" s="445"/>
      <c r="AF328" s="445"/>
    </row>
    <row r="329" spans="1:33" s="93" customFormat="1" ht="11.25" customHeight="1">
      <c r="B329" s="382" t="s">
        <v>3290</v>
      </c>
      <c r="D329" s="382"/>
      <c r="E329" s="382"/>
      <c r="F329" s="382"/>
      <c r="G329" s="382"/>
      <c r="H329" s="382"/>
      <c r="I329" s="382" t="s">
        <v>3378</v>
      </c>
      <c r="J329" s="382"/>
      <c r="K329" s="382"/>
      <c r="L329" s="4138" t="s">
        <v>7018</v>
      </c>
      <c r="M329" s="4139"/>
      <c r="N329" s="4139"/>
      <c r="O329" s="4139"/>
      <c r="P329" s="4139"/>
      <c r="Q329" s="4140"/>
      <c r="R329" s="382"/>
      <c r="AE329" s="445"/>
      <c r="AF329" s="445"/>
    </row>
    <row r="330" spans="1:33" s="403" customFormat="1" ht="44.25" customHeight="1">
      <c r="B330" s="1305" t="s">
        <v>1658</v>
      </c>
      <c r="C330" s="3950" t="s">
        <v>3288</v>
      </c>
      <c r="D330" s="3950"/>
      <c r="E330" s="3950"/>
      <c r="F330" s="3950"/>
      <c r="G330" s="3950"/>
      <c r="H330" s="3950"/>
      <c r="I330" s="3950"/>
      <c r="J330" s="3950"/>
      <c r="K330" s="3950"/>
      <c r="L330" s="3950"/>
      <c r="M330" s="3950"/>
      <c r="N330" s="3950"/>
      <c r="O330" s="159" t="s">
        <v>3293</v>
      </c>
      <c r="P330" s="2502" t="s">
        <v>2768</v>
      </c>
      <c r="Q330" s="2967"/>
      <c r="AE330" s="444"/>
      <c r="AF330" s="444"/>
    </row>
    <row r="331" spans="1:33" s="403" customFormat="1" ht="34.5" customHeight="1">
      <c r="B331" s="1305" t="s">
        <v>1659</v>
      </c>
      <c r="C331" s="3950" t="s">
        <v>4007</v>
      </c>
      <c r="D331" s="3950"/>
      <c r="E331" s="3950"/>
      <c r="F331" s="3950"/>
      <c r="G331" s="3950"/>
      <c r="H331" s="3950"/>
      <c r="I331" s="3950"/>
      <c r="J331" s="3950"/>
      <c r="K331" s="3950"/>
      <c r="L331" s="3950"/>
      <c r="M331" s="3950"/>
      <c r="N331" s="3950"/>
      <c r="O331" s="159" t="s">
        <v>3294</v>
      </c>
      <c r="P331" s="2657" t="s">
        <v>2768</v>
      </c>
      <c r="Q331" s="2960"/>
      <c r="AE331" s="444"/>
      <c r="AF331" s="444"/>
    </row>
    <row r="332" spans="1:33" s="403" customFormat="1" ht="22.5" customHeight="1">
      <c r="B332" s="451" t="s">
        <v>1660</v>
      </c>
      <c r="C332" s="3950" t="s">
        <v>3291</v>
      </c>
      <c r="D332" s="3950"/>
      <c r="E332" s="3950"/>
      <c r="F332" s="3950"/>
      <c r="G332" s="3950"/>
      <c r="H332" s="3950"/>
      <c r="I332" s="3950"/>
      <c r="J332" s="3950"/>
      <c r="K332" s="3950"/>
      <c r="L332" s="3950"/>
      <c r="M332" s="3950"/>
      <c r="N332" s="3950"/>
      <c r="O332" s="159" t="s">
        <v>3295</v>
      </c>
      <c r="P332" s="2657" t="s">
        <v>2768</v>
      </c>
      <c r="Q332" s="2960"/>
      <c r="AE332" s="444"/>
      <c r="AF332" s="444"/>
    </row>
    <row r="333" spans="1:33" s="403" customFormat="1" ht="34.5" customHeight="1">
      <c r="B333" s="451" t="s">
        <v>2259</v>
      </c>
      <c r="C333" s="3950" t="s">
        <v>3292</v>
      </c>
      <c r="D333" s="3950"/>
      <c r="E333" s="3950"/>
      <c r="F333" s="3950"/>
      <c r="G333" s="3950"/>
      <c r="H333" s="3950"/>
      <c r="I333" s="3950"/>
      <c r="J333" s="3950"/>
      <c r="K333" s="3950"/>
      <c r="L333" s="3950"/>
      <c r="M333" s="3950"/>
      <c r="N333" s="3950"/>
      <c r="O333" s="159" t="s">
        <v>3296</v>
      </c>
      <c r="P333" s="2658" t="s">
        <v>2768</v>
      </c>
      <c r="Q333" s="2962"/>
      <c r="AE333" s="444"/>
      <c r="AF333" s="444"/>
    </row>
    <row r="334" spans="1:33" ht="11.25" customHeight="1">
      <c r="B334" s="139" t="s">
        <v>3372</v>
      </c>
      <c r="D334" s="139"/>
      <c r="E334" s="139"/>
      <c r="F334" s="139"/>
      <c r="G334" s="139"/>
      <c r="H334" s="40"/>
      <c r="I334" s="2672"/>
      <c r="J334" s="2672"/>
      <c r="K334" s="2672"/>
      <c r="L334" s="1401"/>
      <c r="M334" s="1401"/>
      <c r="N334" s="1401"/>
      <c r="O334" s="1401"/>
      <c r="P334" s="1401"/>
      <c r="Q334" s="782"/>
    </row>
    <row r="335" spans="1:33" ht="32.25" customHeight="1">
      <c r="A335" s="3961" t="s">
        <v>6988</v>
      </c>
      <c r="B335" s="3962"/>
      <c r="C335" s="3962"/>
      <c r="D335" s="3962"/>
      <c r="E335" s="3962"/>
      <c r="F335" s="3962"/>
      <c r="G335" s="3962"/>
      <c r="H335" s="3962"/>
      <c r="I335" s="3962"/>
      <c r="J335" s="3962"/>
      <c r="K335" s="3962"/>
      <c r="L335" s="3962"/>
      <c r="M335" s="3962"/>
      <c r="N335" s="3962"/>
      <c r="O335" s="3962"/>
      <c r="P335" s="3962"/>
      <c r="Q335" s="3963"/>
      <c r="R335" s="427" t="s">
        <v>1208</v>
      </c>
      <c r="S335" s="428"/>
      <c r="U335" s="134"/>
      <c r="V335" s="134"/>
      <c r="W335" s="134"/>
      <c r="X335" s="134"/>
      <c r="Y335" s="134"/>
      <c r="Z335" s="134"/>
      <c r="AA335" s="134"/>
      <c r="AB335" s="134"/>
      <c r="AC335" s="134"/>
      <c r="AD335" s="134"/>
      <c r="AE335" s="441"/>
    </row>
    <row r="336" spans="1:33" ht="11.25" customHeight="1">
      <c r="B336" s="135" t="s">
        <v>1779</v>
      </c>
      <c r="C336" s="136"/>
      <c r="D336" s="2655"/>
      <c r="E336" s="2655"/>
      <c r="F336" s="2655"/>
      <c r="G336" s="2655"/>
      <c r="H336" s="2655"/>
      <c r="I336" s="2655"/>
      <c r="J336" s="2655"/>
      <c r="K336" s="2655"/>
      <c r="L336" s="2655"/>
      <c r="M336" s="2655"/>
      <c r="N336" s="2655"/>
      <c r="O336" s="2655"/>
      <c r="P336" s="2655"/>
      <c r="Q336" s="2655"/>
    </row>
    <row r="337" spans="1:256 1523:1523" ht="45.75" customHeight="1">
      <c r="A337" s="4161"/>
      <c r="B337" s="4162"/>
      <c r="C337" s="4162"/>
      <c r="D337" s="4162"/>
      <c r="E337" s="4162"/>
      <c r="F337" s="4162"/>
      <c r="G337" s="4162"/>
      <c r="H337" s="4162"/>
      <c r="I337" s="4162"/>
      <c r="J337" s="4162"/>
      <c r="K337" s="4162"/>
      <c r="L337" s="4162"/>
      <c r="M337" s="4162"/>
      <c r="N337" s="4162"/>
      <c r="O337" s="4162"/>
      <c r="P337" s="4162"/>
      <c r="Q337" s="4163"/>
    </row>
    <row r="338" spans="1:256 1523:1523" ht="14.1" customHeight="1">
      <c r="A338" s="2650" t="s">
        <v>3521</v>
      </c>
      <c r="B338" s="10" t="s">
        <v>2522</v>
      </c>
      <c r="C338" s="10"/>
      <c r="D338" s="10"/>
      <c r="E338" s="10"/>
      <c r="F338" s="10"/>
      <c r="G338" s="10"/>
      <c r="H338" s="2655"/>
      <c r="I338" s="2655"/>
      <c r="J338" s="2655"/>
      <c r="K338" s="2655"/>
      <c r="L338" s="2655"/>
      <c r="M338" s="2655"/>
      <c r="O338" s="130" t="s">
        <v>1780</v>
      </c>
      <c r="P338" s="3996"/>
      <c r="Q338" s="3997"/>
    </row>
    <row r="339" spans="1:256 1523:1523" ht="11.45" customHeight="1">
      <c r="B339" s="143" t="s">
        <v>2149</v>
      </c>
      <c r="P339" s="2492" t="s">
        <v>2771</v>
      </c>
      <c r="Q339" s="2952"/>
    </row>
    <row r="340" spans="1:256 1523:1523" ht="12" customHeight="1">
      <c r="B340" s="773" t="s">
        <v>2109</v>
      </c>
      <c r="C340" s="773"/>
      <c r="D340" s="773"/>
      <c r="E340" s="773"/>
      <c r="F340" s="773"/>
      <c r="G340" s="773"/>
      <c r="H340" s="773"/>
      <c r="I340" s="773"/>
      <c r="J340" s="773"/>
      <c r="K340" s="773"/>
      <c r="L340" s="773"/>
      <c r="O340" s="126"/>
      <c r="P340" s="2671" t="s">
        <v>2768</v>
      </c>
      <c r="Q340" s="2954"/>
    </row>
    <row r="341" spans="1:256 1523:1523" s="157" customFormat="1" ht="11.45" customHeight="1">
      <c r="A341" s="2511"/>
      <c r="B341" s="419" t="s">
        <v>3946</v>
      </c>
      <c r="E341" s="419"/>
      <c r="F341" s="419"/>
      <c r="G341" s="419"/>
      <c r="H341" s="419"/>
      <c r="I341" s="522"/>
      <c r="J341" s="378"/>
      <c r="K341" s="3993" t="s">
        <v>6987</v>
      </c>
      <c r="L341" s="3994"/>
      <c r="M341" s="3994"/>
      <c r="N341" s="3995"/>
      <c r="O341" s="559"/>
      <c r="P341" s="2512"/>
      <c r="Q341" s="2955"/>
      <c r="R341" s="522"/>
    </row>
    <row r="342" spans="1:256 1523:1523" ht="11.45" customHeight="1">
      <c r="A342" s="140" t="s">
        <v>1892</v>
      </c>
      <c r="B342" s="178" t="s">
        <v>439</v>
      </c>
      <c r="D342" s="783"/>
      <c r="E342" s="783"/>
      <c r="F342" s="783"/>
      <c r="G342" s="783"/>
      <c r="H342" s="783"/>
      <c r="I342" s="783"/>
      <c r="J342" s="783"/>
      <c r="K342" s="783"/>
      <c r="L342" s="783"/>
      <c r="M342" s="783"/>
      <c r="N342" s="159"/>
    </row>
    <row r="343" spans="1:256 1523:1523" ht="22.5" customHeight="1">
      <c r="B343" s="3950" t="s">
        <v>2672</v>
      </c>
      <c r="C343" s="3950"/>
      <c r="D343" s="3950"/>
      <c r="E343" s="3950"/>
      <c r="F343" s="3950"/>
      <c r="G343" s="3950"/>
      <c r="H343" s="3950"/>
      <c r="I343" s="3950"/>
      <c r="J343" s="3950"/>
      <c r="K343" s="3950"/>
      <c r="L343" s="3950"/>
      <c r="M343" s="3950"/>
      <c r="N343" s="3950"/>
      <c r="O343" s="159" t="s">
        <v>1892</v>
      </c>
      <c r="P343" s="2506"/>
      <c r="Q343" s="2971"/>
    </row>
    <row r="344" spans="1:256 1523:1523" ht="12.6" customHeight="1">
      <c r="A344" s="140" t="s">
        <v>1894</v>
      </c>
      <c r="B344" s="211" t="s">
        <v>440</v>
      </c>
      <c r="D344" s="211"/>
      <c r="E344" s="211"/>
      <c r="F344" s="211"/>
      <c r="G344" s="211"/>
      <c r="H344" s="211"/>
      <c r="I344" s="211"/>
      <c r="J344" s="211"/>
      <c r="K344" s="211"/>
      <c r="L344" s="211"/>
      <c r="M344" s="211"/>
      <c r="O344" s="159" t="s">
        <v>1894</v>
      </c>
      <c r="P344" s="1401"/>
      <c r="Q344" s="782"/>
    </row>
    <row r="345" spans="1:256 1523:1523" ht="38.25" customHeight="1">
      <c r="B345" s="773" t="s">
        <v>1658</v>
      </c>
      <c r="C345" s="138" t="s">
        <v>1090</v>
      </c>
      <c r="E345" s="131"/>
      <c r="F345" s="131"/>
      <c r="G345" s="4135" t="s">
        <v>6615</v>
      </c>
      <c r="H345" s="4136"/>
      <c r="I345" s="4136"/>
      <c r="J345" s="4136"/>
      <c r="K345" s="4136"/>
      <c r="L345" s="4136"/>
      <c r="M345" s="4136"/>
      <c r="N345" s="4137"/>
      <c r="O345" s="213" t="s">
        <v>1658</v>
      </c>
      <c r="P345" s="2502" t="s">
        <v>2768</v>
      </c>
      <c r="Q345" s="2967"/>
      <c r="BFO345" s="146" t="s">
        <v>2568</v>
      </c>
    </row>
    <row r="346" spans="1:256 1523:1523" ht="23.25" customHeight="1">
      <c r="B346" s="773" t="s">
        <v>1659</v>
      </c>
      <c r="C346" s="3950" t="s">
        <v>1091</v>
      </c>
      <c r="D346" s="3950"/>
      <c r="E346" s="3950"/>
      <c r="F346" s="3998"/>
      <c r="G346" s="3438" t="s">
        <v>6459</v>
      </c>
      <c r="H346" s="4154"/>
      <c r="I346" s="4154"/>
      <c r="J346" s="4154"/>
      <c r="K346" s="4154"/>
      <c r="L346" s="4154"/>
      <c r="M346" s="4154"/>
      <c r="N346" s="4155"/>
      <c r="O346" s="213" t="s">
        <v>1659</v>
      </c>
      <c r="P346" s="2658" t="s">
        <v>2768</v>
      </c>
      <c r="Q346" s="2962"/>
    </row>
    <row r="347" spans="1:256 1523:1523" ht="3" customHeight="1">
      <c r="A347" s="1401"/>
      <c r="B347" s="986"/>
      <c r="C347" s="1401"/>
      <c r="D347" s="1401"/>
      <c r="E347" s="1401"/>
      <c r="F347" s="1401"/>
      <c r="G347" s="1401"/>
      <c r="H347" s="1401"/>
      <c r="I347" s="1401"/>
      <c r="J347" s="1401"/>
      <c r="K347" s="1401"/>
      <c r="L347" s="1401"/>
      <c r="M347" s="1401"/>
      <c r="N347" s="1401"/>
      <c r="O347" s="1401"/>
      <c r="P347" s="1401"/>
      <c r="Q347" s="1401"/>
      <c r="R347" s="1401"/>
      <c r="S347" s="1401"/>
      <c r="T347" s="1401"/>
      <c r="U347" s="1401"/>
      <c r="V347" s="1401"/>
      <c r="W347" s="1401"/>
      <c r="X347" s="1401"/>
      <c r="Y347" s="1401"/>
      <c r="Z347" s="1401"/>
      <c r="AA347" s="1401"/>
      <c r="AB347" s="1401"/>
      <c r="AC347" s="1401"/>
      <c r="AD347" s="1401"/>
      <c r="AE347" s="782"/>
      <c r="AF347" s="782"/>
      <c r="AG347" s="1401"/>
      <c r="AH347" s="1401"/>
      <c r="AI347" s="1401"/>
      <c r="AJ347" s="1401"/>
      <c r="AK347" s="1401"/>
      <c r="AL347" s="1401"/>
      <c r="AM347" s="1401"/>
      <c r="AN347" s="1401"/>
      <c r="AO347" s="1401"/>
      <c r="AP347" s="1401"/>
      <c r="AQ347" s="1401"/>
      <c r="AR347" s="1401"/>
      <c r="AS347" s="1401"/>
      <c r="AT347" s="1401"/>
      <c r="AU347" s="1401"/>
      <c r="AV347" s="1401"/>
      <c r="AW347" s="1401"/>
      <c r="AX347" s="1401"/>
      <c r="AY347" s="1401"/>
      <c r="AZ347" s="1401"/>
      <c r="BA347" s="1401"/>
      <c r="BB347" s="1401"/>
      <c r="BC347" s="1401"/>
      <c r="BD347" s="1401"/>
      <c r="BE347" s="1401"/>
      <c r="BF347" s="1401"/>
      <c r="BG347" s="1401"/>
      <c r="BH347" s="1401"/>
      <c r="BI347" s="1401"/>
      <c r="BJ347" s="1401"/>
      <c r="BK347" s="1401"/>
      <c r="BL347" s="1401"/>
      <c r="BM347" s="1401"/>
      <c r="BN347" s="1401"/>
      <c r="BO347" s="1401"/>
      <c r="BP347" s="1401"/>
      <c r="BQ347" s="1401"/>
      <c r="BR347" s="1401"/>
      <c r="BS347" s="1401"/>
      <c r="BT347" s="1401"/>
      <c r="BU347" s="1401"/>
      <c r="BV347" s="1401"/>
      <c r="BW347" s="1401"/>
      <c r="BX347" s="1401"/>
      <c r="BY347" s="1401"/>
      <c r="BZ347" s="1401"/>
      <c r="CA347" s="1401"/>
      <c r="CB347" s="1401"/>
      <c r="CC347" s="1401"/>
      <c r="CD347" s="1401"/>
      <c r="CE347" s="1401"/>
      <c r="CF347" s="1401"/>
      <c r="CG347" s="1401"/>
      <c r="CH347" s="1401"/>
      <c r="CI347" s="1401"/>
      <c r="CJ347" s="1401"/>
      <c r="CK347" s="1401"/>
      <c r="CL347" s="1401"/>
      <c r="CM347" s="1401"/>
      <c r="CN347" s="1401"/>
      <c r="CO347" s="1401"/>
      <c r="CP347" s="1401"/>
      <c r="CQ347" s="1401"/>
      <c r="CR347" s="1401"/>
      <c r="CS347" s="1401"/>
      <c r="CT347" s="1401"/>
      <c r="CU347" s="1401"/>
      <c r="CV347" s="1401"/>
      <c r="CW347" s="1401"/>
      <c r="CX347" s="1401"/>
      <c r="CY347" s="1401"/>
      <c r="CZ347" s="1401"/>
      <c r="DA347" s="1401"/>
      <c r="DB347" s="1401"/>
      <c r="DC347" s="1401"/>
      <c r="DD347" s="1401"/>
      <c r="DE347" s="1401"/>
      <c r="DF347" s="1401"/>
      <c r="DG347" s="1401"/>
      <c r="DH347" s="1401"/>
      <c r="DI347" s="1401"/>
      <c r="DJ347" s="1401"/>
      <c r="DK347" s="1401"/>
      <c r="DL347" s="1401"/>
      <c r="DM347" s="1401"/>
      <c r="DN347" s="1401"/>
      <c r="DO347" s="1401"/>
      <c r="DP347" s="1401"/>
      <c r="DQ347" s="1401"/>
      <c r="DR347" s="1401"/>
      <c r="DS347" s="1401"/>
      <c r="DT347" s="1401"/>
      <c r="DU347" s="1401"/>
      <c r="DV347" s="1401"/>
      <c r="DW347" s="1401"/>
      <c r="DX347" s="1401"/>
      <c r="DY347" s="1401"/>
      <c r="DZ347" s="1401"/>
      <c r="EA347" s="1401"/>
      <c r="EB347" s="1401"/>
      <c r="EC347" s="1401"/>
      <c r="ED347" s="1401"/>
      <c r="EE347" s="1401"/>
      <c r="EF347" s="1401"/>
      <c r="EG347" s="1401"/>
      <c r="EH347" s="1401"/>
      <c r="EI347" s="1401"/>
      <c r="EJ347" s="1401"/>
      <c r="EK347" s="1401"/>
      <c r="EL347" s="1401"/>
      <c r="EM347" s="1401"/>
      <c r="EN347" s="1401"/>
      <c r="EO347" s="1401"/>
      <c r="EP347" s="1401"/>
      <c r="EQ347" s="1401"/>
      <c r="ER347" s="1401"/>
      <c r="ES347" s="1401"/>
      <c r="ET347" s="1401"/>
      <c r="EU347" s="1401"/>
      <c r="EV347" s="1401"/>
      <c r="EW347" s="1401"/>
      <c r="EX347" s="1401"/>
      <c r="EY347" s="1401"/>
      <c r="EZ347" s="1401"/>
      <c r="FA347" s="1401"/>
      <c r="FB347" s="1401"/>
      <c r="FC347" s="1401"/>
      <c r="FD347" s="1401"/>
      <c r="FE347" s="1401"/>
      <c r="FF347" s="1401"/>
      <c r="FG347" s="1401"/>
      <c r="FH347" s="1401"/>
      <c r="FI347" s="1401"/>
      <c r="FJ347" s="1401"/>
      <c r="FK347" s="1401"/>
      <c r="FL347" s="1401"/>
      <c r="FM347" s="1401"/>
      <c r="FN347" s="1401"/>
      <c r="FO347" s="1401"/>
      <c r="FP347" s="1401"/>
      <c r="FQ347" s="1401"/>
      <c r="FR347" s="1401"/>
      <c r="FS347" s="1401"/>
      <c r="FT347" s="1401"/>
      <c r="FU347" s="1401"/>
      <c r="FV347" s="1401"/>
      <c r="FW347" s="1401"/>
      <c r="FX347" s="1401"/>
      <c r="FY347" s="1401"/>
      <c r="FZ347" s="1401"/>
      <c r="GA347" s="1401"/>
      <c r="GB347" s="1401"/>
      <c r="GC347" s="1401"/>
      <c r="GD347" s="1401"/>
      <c r="GE347" s="1401"/>
      <c r="GF347" s="1401"/>
      <c r="GG347" s="1401"/>
      <c r="GH347" s="1401"/>
      <c r="GI347" s="1401"/>
      <c r="GJ347" s="1401"/>
      <c r="GK347" s="1401"/>
      <c r="GL347" s="1401"/>
      <c r="GM347" s="1401"/>
      <c r="GN347" s="1401"/>
      <c r="GO347" s="1401"/>
      <c r="GP347" s="1401"/>
      <c r="GQ347" s="1401"/>
      <c r="GR347" s="1401"/>
      <c r="GS347" s="1401"/>
      <c r="GT347" s="1401"/>
      <c r="GU347" s="1401"/>
      <c r="GV347" s="1401"/>
      <c r="GW347" s="1401"/>
      <c r="GX347" s="1401"/>
      <c r="GY347" s="1401"/>
      <c r="GZ347" s="1401"/>
      <c r="HA347" s="1401"/>
      <c r="HB347" s="1401"/>
      <c r="HC347" s="1401"/>
      <c r="HD347" s="1401"/>
      <c r="HE347" s="1401"/>
      <c r="HF347" s="1401"/>
      <c r="HG347" s="1401"/>
      <c r="HH347" s="1401"/>
      <c r="HI347" s="1401"/>
      <c r="HJ347" s="1401"/>
      <c r="HK347" s="1401"/>
      <c r="HL347" s="1401"/>
      <c r="HM347" s="1401"/>
      <c r="HN347" s="1401"/>
      <c r="HO347" s="1401"/>
      <c r="HP347" s="1401"/>
      <c r="HQ347" s="1401"/>
      <c r="HR347" s="1401"/>
      <c r="HS347" s="1401"/>
      <c r="HT347" s="1401"/>
      <c r="HU347" s="1401"/>
      <c r="HV347" s="1401"/>
      <c r="HW347" s="1401"/>
      <c r="HX347" s="1401"/>
      <c r="HY347" s="1401"/>
      <c r="HZ347" s="1401"/>
      <c r="IA347" s="1401"/>
      <c r="IB347" s="1401"/>
      <c r="IC347" s="1401"/>
      <c r="ID347" s="1401"/>
      <c r="IE347" s="1401"/>
      <c r="IF347" s="1401"/>
      <c r="IG347" s="1401"/>
      <c r="IH347" s="1401"/>
      <c r="II347" s="1401"/>
      <c r="IJ347" s="1401"/>
      <c r="IK347" s="1401"/>
      <c r="IL347" s="1401"/>
      <c r="IM347" s="1401"/>
      <c r="IN347" s="1401"/>
      <c r="IO347" s="1401"/>
      <c r="IP347" s="1401"/>
      <c r="IQ347" s="1401"/>
      <c r="IR347" s="1401"/>
      <c r="IS347" s="1401"/>
      <c r="IT347" s="1401"/>
      <c r="IU347" s="1401"/>
      <c r="IV347" s="1401"/>
    </row>
    <row r="348" spans="1:256 1523:1523" s="131" customFormat="1" ht="22.5" customHeight="1">
      <c r="A348" s="140"/>
      <c r="B348" s="773" t="s">
        <v>1660</v>
      </c>
      <c r="C348" s="1608" t="s">
        <v>6344</v>
      </c>
      <c r="D348" s="1607"/>
      <c r="E348" s="1607"/>
      <c r="F348" s="1607"/>
      <c r="G348" s="4156" t="s">
        <v>6345</v>
      </c>
      <c r="H348" s="4156"/>
      <c r="I348" s="4156"/>
      <c r="J348" s="4156"/>
      <c r="K348" s="4156"/>
      <c r="L348" s="4156"/>
      <c r="M348" s="4156"/>
      <c r="N348" s="4156"/>
      <c r="O348" s="425"/>
      <c r="P348" s="1401"/>
      <c r="Q348" s="782"/>
      <c r="AE348" s="442"/>
      <c r="AF348" s="442"/>
    </row>
    <row r="349" spans="1:256 1523:1523" s="131" customFormat="1" ht="11.25" customHeight="1">
      <c r="A349" s="142"/>
      <c r="B349" s="213" t="s">
        <v>2323</v>
      </c>
      <c r="C349" s="4026"/>
      <c r="D349" s="4027"/>
      <c r="E349" s="4027"/>
      <c r="F349" s="4027"/>
      <c r="G349" s="4027"/>
      <c r="H349" s="4027"/>
      <c r="I349" s="4027"/>
      <c r="J349" s="4027"/>
      <c r="K349" s="4027"/>
      <c r="L349" s="4027"/>
      <c r="M349" s="4027"/>
      <c r="N349" s="4028"/>
      <c r="O349" s="213" t="s">
        <v>6611</v>
      </c>
      <c r="P349" s="2502"/>
      <c r="Q349" s="2967"/>
      <c r="AE349" s="442"/>
      <c r="AF349" s="442"/>
    </row>
    <row r="350" spans="1:256 1523:1523" s="131" customFormat="1" ht="11.25" customHeight="1">
      <c r="A350" s="142"/>
      <c r="B350" s="213" t="s">
        <v>2324</v>
      </c>
      <c r="C350" s="4119"/>
      <c r="D350" s="4120"/>
      <c r="E350" s="4120"/>
      <c r="F350" s="4120"/>
      <c r="G350" s="4120"/>
      <c r="H350" s="4120"/>
      <c r="I350" s="4120"/>
      <c r="J350" s="4120"/>
      <c r="K350" s="4120"/>
      <c r="L350" s="4120"/>
      <c r="M350" s="4120"/>
      <c r="N350" s="4121"/>
      <c r="O350" s="213" t="s">
        <v>6612</v>
      </c>
      <c r="P350" s="2658"/>
      <c r="Q350" s="2962"/>
      <c r="AE350" s="442"/>
      <c r="AF350" s="442"/>
    </row>
    <row r="351" spans="1:256 1523:1523" ht="22.5" customHeight="1">
      <c r="A351" s="140" t="s">
        <v>2020</v>
      </c>
      <c r="B351" s="4084" t="s">
        <v>6346</v>
      </c>
      <c r="C351" s="4084"/>
      <c r="D351" s="4084"/>
      <c r="E351" s="4084"/>
      <c r="F351" s="4084"/>
      <c r="G351" s="4084"/>
      <c r="H351" s="4084"/>
      <c r="I351" s="4084"/>
      <c r="J351" s="4084"/>
      <c r="K351" s="4084"/>
      <c r="L351" s="4084"/>
      <c r="M351" s="4084"/>
      <c r="N351" s="4084"/>
      <c r="O351" s="159" t="s">
        <v>2020</v>
      </c>
      <c r="P351" s="2658" t="s">
        <v>6964</v>
      </c>
      <c r="Q351" s="2962"/>
    </row>
    <row r="352" spans="1:256 1523:1523" ht="3" customHeight="1">
      <c r="A352" s="1401"/>
      <c r="B352" s="1401"/>
      <c r="C352" s="1401"/>
      <c r="D352" s="1401"/>
      <c r="E352" s="1401"/>
      <c r="F352" s="1401"/>
      <c r="G352" s="1401"/>
      <c r="H352" s="1401"/>
      <c r="I352" s="1401"/>
      <c r="J352" s="1401"/>
      <c r="K352" s="1401"/>
      <c r="L352" s="1401"/>
      <c r="M352" s="1401"/>
      <c r="N352" s="1401"/>
      <c r="O352" s="1401"/>
      <c r="P352" s="1401"/>
      <c r="Q352" s="1401"/>
      <c r="R352" s="1401"/>
      <c r="S352" s="1401"/>
      <c r="T352" s="1401"/>
      <c r="U352" s="1401"/>
      <c r="V352" s="1401"/>
      <c r="W352" s="1401"/>
      <c r="X352" s="1401"/>
      <c r="Y352" s="1401"/>
      <c r="Z352" s="1401"/>
      <c r="AA352" s="1401"/>
      <c r="AB352" s="1401"/>
      <c r="AC352" s="1401"/>
      <c r="AD352" s="1401"/>
      <c r="AE352" s="782"/>
      <c r="AF352" s="782"/>
      <c r="AG352" s="1401"/>
      <c r="AH352" s="1401"/>
      <c r="AI352" s="1401"/>
      <c r="AJ352" s="1401"/>
      <c r="AK352" s="1401"/>
      <c r="AL352" s="1401"/>
      <c r="AM352" s="1401"/>
      <c r="AN352" s="1401"/>
      <c r="AO352" s="1401"/>
      <c r="AP352" s="1401"/>
      <c r="AQ352" s="1401"/>
      <c r="AR352" s="1401"/>
      <c r="AS352" s="1401"/>
      <c r="AT352" s="1401"/>
      <c r="AU352" s="1401"/>
      <c r="AV352" s="1401"/>
      <c r="AW352" s="1401"/>
      <c r="AX352" s="1401"/>
      <c r="AY352" s="1401"/>
      <c r="AZ352" s="1401"/>
      <c r="BA352" s="1401"/>
      <c r="BB352" s="1401"/>
      <c r="BC352" s="1401"/>
      <c r="BD352" s="1401"/>
      <c r="BE352" s="1401"/>
      <c r="BF352" s="1401"/>
      <c r="BG352" s="1401"/>
      <c r="BH352" s="1401"/>
      <c r="BI352" s="1401"/>
      <c r="BJ352" s="1401"/>
      <c r="BK352" s="1401"/>
      <c r="BL352" s="1401"/>
      <c r="BM352" s="1401"/>
      <c r="BN352" s="1401"/>
      <c r="BO352" s="1401"/>
      <c r="BP352" s="1401"/>
      <c r="BQ352" s="1401"/>
      <c r="BR352" s="1401"/>
      <c r="BS352" s="1401"/>
      <c r="BT352" s="1401"/>
      <c r="BU352" s="1401"/>
      <c r="BV352" s="1401"/>
      <c r="BW352" s="1401"/>
      <c r="BX352" s="1401"/>
      <c r="BY352" s="1401"/>
      <c r="BZ352" s="1401"/>
      <c r="CA352" s="1401"/>
      <c r="CB352" s="1401"/>
      <c r="CC352" s="1401"/>
      <c r="CD352" s="1401"/>
      <c r="CE352" s="1401"/>
      <c r="CF352" s="1401"/>
      <c r="CG352" s="1401"/>
      <c r="CH352" s="1401"/>
      <c r="CI352" s="1401"/>
      <c r="CJ352" s="1401"/>
      <c r="CK352" s="1401"/>
      <c r="CL352" s="1401"/>
      <c r="CM352" s="1401"/>
      <c r="CN352" s="1401"/>
      <c r="CO352" s="1401"/>
      <c r="CP352" s="1401"/>
      <c r="CQ352" s="1401"/>
      <c r="CR352" s="1401"/>
      <c r="CS352" s="1401"/>
      <c r="CT352" s="1401"/>
      <c r="CU352" s="1401"/>
      <c r="CV352" s="1401"/>
      <c r="CW352" s="1401"/>
      <c r="CX352" s="1401"/>
      <c r="CY352" s="1401"/>
      <c r="CZ352" s="1401"/>
      <c r="DA352" s="1401"/>
      <c r="DB352" s="1401"/>
      <c r="DC352" s="1401"/>
      <c r="DD352" s="1401"/>
      <c r="DE352" s="1401"/>
      <c r="DF352" s="1401"/>
      <c r="DG352" s="1401"/>
      <c r="DH352" s="1401"/>
      <c r="DI352" s="1401"/>
      <c r="DJ352" s="1401"/>
      <c r="DK352" s="1401"/>
      <c r="DL352" s="1401"/>
      <c r="DM352" s="1401"/>
      <c r="DN352" s="1401"/>
      <c r="DO352" s="1401"/>
      <c r="DP352" s="1401"/>
      <c r="DQ352" s="1401"/>
      <c r="DR352" s="1401"/>
      <c r="DS352" s="1401"/>
      <c r="DT352" s="1401"/>
      <c r="DU352" s="1401"/>
      <c r="DV352" s="1401"/>
      <c r="DW352" s="1401"/>
      <c r="DX352" s="1401"/>
      <c r="DY352" s="1401"/>
      <c r="DZ352" s="1401"/>
      <c r="EA352" s="1401"/>
      <c r="EB352" s="1401"/>
      <c r="EC352" s="1401"/>
      <c r="ED352" s="1401"/>
      <c r="EE352" s="1401"/>
      <c r="EF352" s="1401"/>
      <c r="EG352" s="1401"/>
      <c r="EH352" s="1401"/>
      <c r="EI352" s="1401"/>
      <c r="EJ352" s="1401"/>
      <c r="EK352" s="1401"/>
      <c r="EL352" s="1401"/>
      <c r="EM352" s="1401"/>
      <c r="EN352" s="1401"/>
      <c r="EO352" s="1401"/>
      <c r="EP352" s="1401"/>
      <c r="EQ352" s="1401"/>
      <c r="ER352" s="1401"/>
      <c r="ES352" s="1401"/>
      <c r="ET352" s="1401"/>
      <c r="EU352" s="1401"/>
      <c r="EV352" s="1401"/>
      <c r="EW352" s="1401"/>
      <c r="EX352" s="1401"/>
      <c r="EY352" s="1401"/>
      <c r="EZ352" s="1401"/>
      <c r="FA352" s="1401"/>
      <c r="FB352" s="1401"/>
      <c r="FC352" s="1401"/>
      <c r="FD352" s="1401"/>
      <c r="FE352" s="1401"/>
      <c r="FF352" s="1401"/>
      <c r="FG352" s="1401"/>
      <c r="FH352" s="1401"/>
      <c r="FI352" s="1401"/>
      <c r="FJ352" s="1401"/>
      <c r="FK352" s="1401"/>
      <c r="FL352" s="1401"/>
      <c r="FM352" s="1401"/>
      <c r="FN352" s="1401"/>
      <c r="FO352" s="1401"/>
      <c r="FP352" s="1401"/>
      <c r="FQ352" s="1401"/>
      <c r="FR352" s="1401"/>
      <c r="FS352" s="1401"/>
      <c r="FT352" s="1401"/>
      <c r="FU352" s="1401"/>
      <c r="FV352" s="1401"/>
      <c r="FW352" s="1401"/>
      <c r="FX352" s="1401"/>
      <c r="FY352" s="1401"/>
      <c r="FZ352" s="1401"/>
      <c r="GA352" s="1401"/>
      <c r="GB352" s="1401"/>
      <c r="GC352" s="1401"/>
      <c r="GD352" s="1401"/>
      <c r="GE352" s="1401"/>
      <c r="GF352" s="1401"/>
      <c r="GG352" s="1401"/>
      <c r="GH352" s="1401"/>
      <c r="GI352" s="1401"/>
      <c r="GJ352" s="1401"/>
      <c r="GK352" s="1401"/>
      <c r="GL352" s="1401"/>
      <c r="GM352" s="1401"/>
      <c r="GN352" s="1401"/>
      <c r="GO352" s="1401"/>
      <c r="GP352" s="1401"/>
      <c r="GQ352" s="1401"/>
      <c r="GR352" s="1401"/>
      <c r="GS352" s="1401"/>
      <c r="GT352" s="1401"/>
      <c r="GU352" s="1401"/>
      <c r="GV352" s="1401"/>
      <c r="GW352" s="1401"/>
      <c r="GX352" s="1401"/>
      <c r="GY352" s="1401"/>
      <c r="GZ352" s="1401"/>
      <c r="HA352" s="1401"/>
      <c r="HB352" s="1401"/>
      <c r="HC352" s="1401"/>
      <c r="HD352" s="1401"/>
      <c r="HE352" s="1401"/>
      <c r="HF352" s="1401"/>
      <c r="HG352" s="1401"/>
      <c r="HH352" s="1401"/>
      <c r="HI352" s="1401"/>
      <c r="HJ352" s="1401"/>
      <c r="HK352" s="1401"/>
      <c r="HL352" s="1401"/>
      <c r="HM352" s="1401"/>
      <c r="HN352" s="1401"/>
      <c r="HO352" s="1401"/>
      <c r="HP352" s="1401"/>
      <c r="HQ352" s="1401"/>
      <c r="HR352" s="1401"/>
      <c r="HS352" s="1401"/>
      <c r="HT352" s="1401"/>
      <c r="HU352" s="1401"/>
      <c r="HV352" s="1401"/>
      <c r="HW352" s="1401"/>
      <c r="HX352" s="1401"/>
      <c r="HY352" s="1401"/>
      <c r="HZ352" s="1401"/>
      <c r="IA352" s="1401"/>
      <c r="IB352" s="1401"/>
      <c r="IC352" s="1401"/>
      <c r="ID352" s="1401"/>
      <c r="IE352" s="1401"/>
      <c r="IF352" s="1401"/>
      <c r="IG352" s="1401"/>
      <c r="IH352" s="1401"/>
      <c r="II352" s="1401"/>
      <c r="IJ352" s="1401"/>
      <c r="IK352" s="1401"/>
      <c r="IL352" s="1401"/>
      <c r="IM352" s="1401"/>
      <c r="IN352" s="1401"/>
      <c r="IO352" s="1401"/>
      <c r="IP352" s="1401"/>
      <c r="IQ352" s="1401"/>
      <c r="IR352" s="1401"/>
      <c r="IS352" s="1401"/>
      <c r="IT352" s="1401"/>
      <c r="IU352" s="1401"/>
      <c r="IV352" s="1401"/>
    </row>
    <row r="353" spans="1:31" ht="11.25" customHeight="1">
      <c r="B353" s="139" t="s">
        <v>3372</v>
      </c>
      <c r="D353" s="139"/>
      <c r="E353" s="139"/>
      <c r="F353" s="139"/>
      <c r="G353" s="139"/>
      <c r="H353" s="40"/>
      <c r="I353" s="2672"/>
      <c r="J353" s="2672"/>
      <c r="K353" s="2672"/>
      <c r="L353" s="1401"/>
      <c r="M353" s="1401"/>
      <c r="N353" s="1401"/>
      <c r="O353" s="1401"/>
      <c r="P353" s="1401"/>
      <c r="Q353" s="782"/>
    </row>
    <row r="354" spans="1:31" ht="25.5" customHeight="1">
      <c r="A354" s="3961" t="s">
        <v>7043</v>
      </c>
      <c r="B354" s="3962"/>
      <c r="C354" s="3962"/>
      <c r="D354" s="3962"/>
      <c r="E354" s="3962"/>
      <c r="F354" s="3962"/>
      <c r="G354" s="3962"/>
      <c r="H354" s="3962"/>
      <c r="I354" s="3962"/>
      <c r="J354" s="3962"/>
      <c r="K354" s="3962"/>
      <c r="L354" s="3962"/>
      <c r="M354" s="3962"/>
      <c r="N354" s="3962"/>
      <c r="O354" s="3962"/>
      <c r="P354" s="3962"/>
      <c r="Q354" s="3963"/>
      <c r="R354" s="440" t="s">
        <v>1208</v>
      </c>
      <c r="S354" s="120"/>
      <c r="U354" s="134"/>
      <c r="V354" s="134"/>
      <c r="W354" s="134"/>
      <c r="X354" s="134"/>
      <c r="Y354" s="134"/>
      <c r="Z354" s="134"/>
      <c r="AA354" s="134"/>
      <c r="AB354" s="134"/>
      <c r="AC354" s="134"/>
      <c r="AD354" s="134"/>
      <c r="AE354" s="441"/>
    </row>
    <row r="355" spans="1:31" ht="11.25" customHeight="1">
      <c r="B355" s="135" t="s">
        <v>1779</v>
      </c>
      <c r="C355" s="136"/>
      <c r="D355" s="2655"/>
      <c r="E355" s="2655"/>
      <c r="F355" s="2655"/>
      <c r="G355" s="2655"/>
      <c r="H355" s="2655"/>
      <c r="I355" s="2655"/>
      <c r="J355" s="2655"/>
      <c r="K355" s="2655"/>
      <c r="L355" s="2655"/>
      <c r="M355" s="2655"/>
      <c r="N355" s="2655"/>
      <c r="O355" s="2655"/>
      <c r="P355" s="2655"/>
      <c r="Q355" s="2655"/>
    </row>
    <row r="356" spans="1:31" ht="11.45" customHeight="1">
      <c r="A356" s="3968"/>
      <c r="B356" s="3969"/>
      <c r="C356" s="3969"/>
      <c r="D356" s="3969"/>
      <c r="E356" s="3969"/>
      <c r="F356" s="3969"/>
      <c r="G356" s="3969"/>
      <c r="H356" s="3969"/>
      <c r="I356" s="3969"/>
      <c r="J356" s="3969"/>
      <c r="K356" s="3969"/>
      <c r="L356" s="3969"/>
      <c r="M356" s="3969"/>
      <c r="N356" s="3969"/>
      <c r="O356" s="3969"/>
      <c r="P356" s="3969"/>
      <c r="Q356" s="3970"/>
    </row>
    <row r="357" spans="1:31" ht="14.1" customHeight="1">
      <c r="A357" s="2650" t="s">
        <v>3522</v>
      </c>
      <c r="B357" s="177" t="s">
        <v>3540</v>
      </c>
      <c r="C357" s="2650"/>
      <c r="D357" s="2655"/>
      <c r="E357" s="2655"/>
      <c r="F357" s="2655"/>
      <c r="G357" s="2655"/>
      <c r="H357" s="2655"/>
      <c r="O357" s="130" t="s">
        <v>1780</v>
      </c>
      <c r="P357" s="3959"/>
      <c r="Q357" s="3960"/>
    </row>
    <row r="358" spans="1:31" ht="11.45" customHeight="1">
      <c r="A358" s="47" t="s">
        <v>1892</v>
      </c>
      <c r="B358" s="55" t="s">
        <v>6376</v>
      </c>
      <c r="O358" s="159" t="s">
        <v>1892</v>
      </c>
      <c r="P358" s="2492" t="s">
        <v>2768</v>
      </c>
      <c r="Q358" s="2952"/>
    </row>
    <row r="359" spans="1:31" ht="11.45" customHeight="1">
      <c r="A359" s="140" t="s">
        <v>1894</v>
      </c>
      <c r="B359" s="55" t="s">
        <v>3512</v>
      </c>
      <c r="O359" s="159" t="s">
        <v>1894</v>
      </c>
      <c r="P359" s="2666" t="s">
        <v>2768</v>
      </c>
      <c r="Q359" s="2953"/>
    </row>
    <row r="360" spans="1:31" ht="11.45" customHeight="1">
      <c r="A360" s="140" t="s">
        <v>719</v>
      </c>
      <c r="B360" s="143" t="s">
        <v>2245</v>
      </c>
      <c r="O360" s="159" t="s">
        <v>719</v>
      </c>
      <c r="P360" s="2666" t="s">
        <v>2771</v>
      </c>
      <c r="Q360" s="2953"/>
    </row>
    <row r="361" spans="1:31" ht="11.45" customHeight="1">
      <c r="A361" s="47" t="s">
        <v>2020</v>
      </c>
      <c r="B361" s="55" t="s">
        <v>3415</v>
      </c>
      <c r="O361" s="439" t="s">
        <v>2020</v>
      </c>
      <c r="P361" s="2671" t="s">
        <v>2771</v>
      </c>
      <c r="Q361" s="2954"/>
    </row>
    <row r="362" spans="1:31" ht="11.45" customHeight="1">
      <c r="A362" s="140" t="s">
        <v>1656</v>
      </c>
      <c r="B362" s="55" t="s">
        <v>2673</v>
      </c>
      <c r="N362" s="159" t="s">
        <v>1656</v>
      </c>
      <c r="O362" s="4132" t="s">
        <v>4251</v>
      </c>
      <c r="P362" s="4133"/>
      <c r="Q362" s="4134"/>
    </row>
    <row r="363" spans="1:31" ht="11.45" customHeight="1">
      <c r="A363" s="140" t="s">
        <v>1657</v>
      </c>
      <c r="B363" s="399" t="s">
        <v>2246</v>
      </c>
      <c r="N363" s="159" t="s">
        <v>1657</v>
      </c>
      <c r="O363" s="3999" t="s">
        <v>2674</v>
      </c>
      <c r="P363" s="4000"/>
      <c r="Q363" s="4001"/>
    </row>
    <row r="364" spans="1:31" ht="11.25" customHeight="1">
      <c r="B364" s="139" t="s">
        <v>3372</v>
      </c>
      <c r="D364" s="139"/>
      <c r="E364" s="139"/>
      <c r="F364" s="139"/>
      <c r="G364" s="139"/>
      <c r="H364" s="40"/>
      <c r="I364" s="2672"/>
      <c r="J364" s="2672"/>
      <c r="K364" s="2672"/>
      <c r="L364" s="1401"/>
      <c r="M364" s="1401"/>
      <c r="N364" s="1401"/>
      <c r="O364" s="1401"/>
      <c r="P364" s="1401"/>
      <c r="Q364" s="782"/>
    </row>
    <row r="365" spans="1:31" ht="13.35" customHeight="1">
      <c r="A365" s="3961" t="s">
        <v>6989</v>
      </c>
      <c r="B365" s="3962"/>
      <c r="C365" s="3962"/>
      <c r="D365" s="3962"/>
      <c r="E365" s="3962"/>
      <c r="F365" s="3962"/>
      <c r="G365" s="3962"/>
      <c r="H365" s="3962"/>
      <c r="I365" s="3962"/>
      <c r="J365" s="3962"/>
      <c r="K365" s="3962"/>
      <c r="L365" s="3962"/>
      <c r="M365" s="3962"/>
      <c r="N365" s="3962"/>
      <c r="O365" s="3962"/>
      <c r="P365" s="3962"/>
      <c r="Q365" s="3963"/>
      <c r="R365" s="427" t="s">
        <v>1208</v>
      </c>
      <c r="S365" s="428"/>
      <c r="U365" s="134"/>
      <c r="V365" s="134"/>
      <c r="W365" s="134"/>
      <c r="X365" s="134"/>
      <c r="Y365" s="134"/>
      <c r="Z365" s="134"/>
      <c r="AA365" s="134"/>
      <c r="AB365" s="134"/>
      <c r="AC365" s="134"/>
      <c r="AD365" s="134"/>
      <c r="AE365" s="441"/>
    </row>
    <row r="366" spans="1:31" ht="11.25" customHeight="1">
      <c r="B366" s="135" t="s">
        <v>1779</v>
      </c>
      <c r="C366" s="136"/>
      <c r="D366" s="2655"/>
      <c r="E366" s="2655"/>
      <c r="F366" s="2655"/>
      <c r="G366" s="2655"/>
      <c r="H366" s="2655"/>
      <c r="I366" s="2655"/>
      <c r="J366" s="2655"/>
      <c r="K366" s="2655"/>
      <c r="L366" s="2655"/>
      <c r="M366" s="2655"/>
      <c r="N366" s="2655"/>
      <c r="O366" s="2655"/>
      <c r="P366" s="2655"/>
      <c r="Q366" s="2655"/>
    </row>
    <row r="367" spans="1:31" ht="13.35" customHeight="1">
      <c r="A367" s="3968"/>
      <c r="B367" s="3969"/>
      <c r="C367" s="3969"/>
      <c r="D367" s="3969"/>
      <c r="E367" s="3969"/>
      <c r="F367" s="3969"/>
      <c r="G367" s="3969"/>
      <c r="H367" s="3969"/>
      <c r="I367" s="3969"/>
      <c r="J367" s="3969"/>
      <c r="K367" s="3969"/>
      <c r="L367" s="3969"/>
      <c r="M367" s="3969"/>
      <c r="N367" s="3969"/>
      <c r="O367" s="3969"/>
      <c r="P367" s="3969"/>
      <c r="Q367" s="3970"/>
    </row>
    <row r="368" spans="1:31" ht="2.25" customHeight="1">
      <c r="A368" s="1401"/>
      <c r="B368" s="2672"/>
      <c r="C368" s="2655"/>
      <c r="D368" s="2655"/>
      <c r="E368" s="2655"/>
      <c r="F368" s="2655"/>
      <c r="G368" s="2655"/>
      <c r="H368" s="2655"/>
      <c r="I368" s="2655"/>
      <c r="J368" s="2655"/>
      <c r="K368" s="2655"/>
      <c r="L368" s="2655"/>
      <c r="M368" s="2655"/>
      <c r="N368" s="2655"/>
      <c r="O368" s="2655"/>
      <c r="P368" s="2655"/>
      <c r="Q368" s="782"/>
      <c r="R368" s="8"/>
      <c r="S368" s="8"/>
    </row>
    <row r="369" spans="1:32" ht="14.1" customHeight="1">
      <c r="A369" s="2650" t="s">
        <v>3525</v>
      </c>
      <c r="B369" s="4" t="s">
        <v>6347</v>
      </c>
      <c r="C369" s="4"/>
      <c r="D369" s="4"/>
      <c r="E369" s="4"/>
      <c r="F369" s="4"/>
      <c r="G369" s="4"/>
      <c r="H369" s="2655"/>
      <c r="I369" s="2655"/>
      <c r="J369" s="2655"/>
      <c r="K369" s="2655"/>
      <c r="L369" s="2655"/>
      <c r="M369" s="2655"/>
      <c r="N369" s="1254" t="str">
        <f>IF('Part I-Project Information'!$P$101="yes","Applicant has applied for the RAD Setaside.","Applicant has NOT applied for the RAD Setaside.")</f>
        <v>Applicant has NOT applied for the RAD Setaside.</v>
      </c>
      <c r="O369" s="130" t="s">
        <v>1780</v>
      </c>
      <c r="P369" s="4124"/>
      <c r="Q369" s="3960"/>
    </row>
    <row r="370" spans="1:32" ht="21.75" customHeight="1">
      <c r="A370" s="140" t="s">
        <v>1892</v>
      </c>
      <c r="B370" s="3967" t="s">
        <v>6350</v>
      </c>
      <c r="C370" s="3967"/>
      <c r="D370" s="3967"/>
      <c r="E370" s="3967"/>
      <c r="F370" s="3967"/>
      <c r="G370" s="3967"/>
      <c r="H370" s="3967"/>
      <c r="I370" s="3967"/>
      <c r="J370" s="3967"/>
      <c r="K370" s="3967"/>
      <c r="L370" s="3967"/>
      <c r="M370" s="3967"/>
      <c r="N370" s="3967"/>
      <c r="O370" s="159" t="s">
        <v>1892</v>
      </c>
      <c r="P370" s="2507"/>
      <c r="Q370" s="2973"/>
    </row>
    <row r="371" spans="1:32" s="146" customFormat="1">
      <c r="A371" s="140"/>
      <c r="B371" s="1305"/>
      <c r="C371" s="52" t="s">
        <v>1712</v>
      </c>
      <c r="D371" s="52"/>
      <c r="E371" s="1610">
        <f>'Part VI-Revenues &amp; Expenses'!$P$67</f>
        <v>72</v>
      </c>
      <c r="F371" s="52" t="s">
        <v>4078</v>
      </c>
      <c r="G371" s="1611">
        <f>'Part VI-Revenues &amp; Expenses'!$P$100</f>
        <v>32</v>
      </c>
      <c r="H371" s="93"/>
      <c r="I371" s="36" t="s">
        <v>856</v>
      </c>
      <c r="J371" s="93"/>
      <c r="K371" s="93"/>
      <c r="L371" s="1610">
        <f>'Part VI-Revenues &amp; Expenses'!$P$111</f>
        <v>0</v>
      </c>
      <c r="M371" s="52" t="s">
        <v>2628</v>
      </c>
      <c r="N371" s="1609">
        <f>IF(E371=0,"",(G371+L371)/E371)</f>
        <v>0.44444444444444442</v>
      </c>
      <c r="P371" s="138"/>
      <c r="Q371" s="138"/>
      <c r="AE371" s="443"/>
      <c r="AF371" s="443"/>
    </row>
    <row r="372" spans="1:32">
      <c r="A372" s="140" t="s">
        <v>1894</v>
      </c>
      <c r="B372" s="3950" t="s">
        <v>6348</v>
      </c>
      <c r="C372" s="3950"/>
      <c r="D372" s="3950"/>
      <c r="E372" s="3950"/>
      <c r="F372" s="3950"/>
      <c r="G372" s="3950"/>
      <c r="H372" s="3950"/>
      <c r="I372" s="3950"/>
      <c r="J372" s="3950"/>
      <c r="K372" s="3950"/>
      <c r="L372" s="3950"/>
      <c r="M372" s="3950"/>
      <c r="N372" s="3950"/>
      <c r="O372" s="159" t="s">
        <v>1894</v>
      </c>
      <c r="P372" s="2507"/>
      <c r="Q372" s="2973"/>
    </row>
    <row r="373" spans="1:32" ht="12.75" customHeight="1">
      <c r="A373" s="140"/>
      <c r="C373" s="52" t="s">
        <v>6349</v>
      </c>
      <c r="D373" s="52"/>
      <c r="E373" s="52"/>
      <c r="F373" s="52"/>
      <c r="G373" s="52"/>
      <c r="H373" s="52"/>
      <c r="I373" s="52"/>
      <c r="J373" s="52"/>
      <c r="M373" s="4130"/>
      <c r="N373" s="4131"/>
      <c r="O373" s="68"/>
      <c r="P373" s="68"/>
      <c r="Q373" s="68"/>
    </row>
    <row r="374" spans="1:32" ht="10.5" customHeight="1">
      <c r="B374" s="139" t="s">
        <v>3372</v>
      </c>
      <c r="D374" s="139"/>
      <c r="E374" s="139"/>
      <c r="F374" s="139"/>
      <c r="G374" s="139"/>
      <c r="H374" s="40"/>
      <c r="I374" s="2672"/>
      <c r="J374" s="2672"/>
      <c r="K374" s="2672"/>
      <c r="L374" s="1401"/>
      <c r="M374" s="1401"/>
      <c r="N374" s="1401"/>
      <c r="O374" s="1401"/>
      <c r="P374" s="1401"/>
      <c r="Q374" s="782"/>
    </row>
    <row r="375" spans="1:32" ht="12" customHeight="1">
      <c r="A375" s="3961" t="s">
        <v>6990</v>
      </c>
      <c r="B375" s="3962"/>
      <c r="C375" s="3962"/>
      <c r="D375" s="3962"/>
      <c r="E375" s="3962"/>
      <c r="F375" s="3962"/>
      <c r="G375" s="3962"/>
      <c r="H375" s="3962"/>
      <c r="I375" s="3962"/>
      <c r="J375" s="3962"/>
      <c r="K375" s="3962"/>
      <c r="L375" s="3962"/>
      <c r="M375" s="3962"/>
      <c r="N375" s="3962"/>
      <c r="O375" s="3962"/>
      <c r="P375" s="3962"/>
      <c r="Q375" s="3963"/>
      <c r="U375" s="134"/>
      <c r="V375" s="134"/>
      <c r="W375" s="134"/>
      <c r="X375" s="134"/>
      <c r="Y375" s="134"/>
      <c r="Z375" s="134"/>
      <c r="AA375" s="134"/>
      <c r="AB375" s="134"/>
      <c r="AC375" s="134"/>
      <c r="AD375" s="134"/>
      <c r="AE375" s="441"/>
    </row>
    <row r="376" spans="1:32" ht="10.5" customHeight="1">
      <c r="B376" s="135" t="s">
        <v>1779</v>
      </c>
      <c r="C376" s="136"/>
      <c r="D376" s="2655"/>
      <c r="E376" s="2655"/>
      <c r="F376" s="2655"/>
      <c r="G376" s="2655"/>
      <c r="H376" s="2655"/>
      <c r="I376" s="2655"/>
      <c r="J376" s="2655"/>
      <c r="K376" s="2655"/>
      <c r="L376" s="2655"/>
      <c r="M376" s="2655"/>
      <c r="N376" s="2655"/>
      <c r="O376" s="2655"/>
      <c r="P376" s="2655"/>
      <c r="Q376" s="2655"/>
    </row>
    <row r="377" spans="1:32" ht="12" customHeight="1">
      <c r="A377" s="3968"/>
      <c r="B377" s="3969"/>
      <c r="C377" s="3969"/>
      <c r="D377" s="3969"/>
      <c r="E377" s="3969"/>
      <c r="F377" s="3969"/>
      <c r="G377" s="3969"/>
      <c r="H377" s="3969"/>
      <c r="I377" s="3969"/>
      <c r="J377" s="3969"/>
      <c r="K377" s="3969"/>
      <c r="L377" s="3969"/>
      <c r="M377" s="3969"/>
      <c r="N377" s="3969"/>
      <c r="O377" s="3969"/>
      <c r="P377" s="3969"/>
      <c r="Q377" s="3970"/>
    </row>
    <row r="378" spans="1:32" ht="2.25" customHeight="1">
      <c r="A378" s="1401"/>
      <c r="B378" s="2672"/>
      <c r="C378" s="2655"/>
      <c r="D378" s="2655"/>
      <c r="E378" s="2655"/>
      <c r="F378" s="2655"/>
      <c r="G378" s="2655"/>
      <c r="H378" s="2655"/>
      <c r="I378" s="2655"/>
      <c r="J378" s="2655"/>
      <c r="K378" s="2655"/>
      <c r="L378" s="2655"/>
      <c r="M378" s="2655"/>
      <c r="N378" s="2655"/>
      <c r="O378" s="2655"/>
      <c r="P378" s="2655"/>
      <c r="Q378" s="782"/>
      <c r="R378" s="8"/>
      <c r="S378" s="8"/>
    </row>
    <row r="379" spans="1:32" ht="14.1" customHeight="1">
      <c r="A379" s="2650" t="s">
        <v>3526</v>
      </c>
      <c r="B379" s="4" t="s">
        <v>3504</v>
      </c>
      <c r="C379" s="4"/>
      <c r="D379" s="4"/>
      <c r="E379" s="4"/>
      <c r="F379" s="4"/>
      <c r="G379" s="4"/>
      <c r="H379" s="2655"/>
      <c r="I379" s="2655"/>
      <c r="J379" s="2655"/>
      <c r="K379" s="2655"/>
      <c r="L379" s="2655"/>
      <c r="M379" s="2655"/>
      <c r="N379" s="1254" t="str">
        <f>IF('Part I-Project Information'!$H$100="yes","Applicant has applied for Nonprofit Setaside.","Applicant has NOT applied for Nonprofit Setaside.")</f>
        <v>Applicant has NOT applied for Nonprofit Setaside.</v>
      </c>
      <c r="O379" s="130" t="s">
        <v>1780</v>
      </c>
      <c r="P379" s="4124"/>
      <c r="Q379" s="3960"/>
    </row>
    <row r="380" spans="1:32" ht="10.5" customHeight="1">
      <c r="A380" s="47" t="s">
        <v>1892</v>
      </c>
      <c r="B380" s="133" t="s">
        <v>3505</v>
      </c>
      <c r="D380" s="148"/>
      <c r="E380" s="148"/>
      <c r="F380" s="148"/>
      <c r="G380" s="148"/>
      <c r="H380" s="439" t="s">
        <v>1892</v>
      </c>
      <c r="I380" s="4125"/>
      <c r="J380" s="4126"/>
      <c r="K380" s="4126"/>
      <c r="L380" s="4126"/>
      <c r="M380" s="4126"/>
      <c r="N380" s="4126"/>
      <c r="O380" s="4126"/>
      <c r="P380" s="4127"/>
      <c r="Q380" s="2952"/>
    </row>
    <row r="381" spans="1:32" ht="10.5" customHeight="1">
      <c r="A381" s="140" t="s">
        <v>1894</v>
      </c>
      <c r="B381" s="133" t="s">
        <v>3506</v>
      </c>
      <c r="D381" s="148"/>
      <c r="E381" s="148"/>
      <c r="F381" s="148"/>
      <c r="G381" s="148"/>
      <c r="H381" s="159" t="s">
        <v>1894</v>
      </c>
      <c r="I381" s="3955"/>
      <c r="J381" s="3956"/>
      <c r="K381" s="3956"/>
      <c r="L381" s="3956"/>
      <c r="M381" s="3956"/>
      <c r="N381" s="3956"/>
      <c r="O381" s="3956"/>
      <c r="P381" s="3957"/>
      <c r="Q381" s="2954"/>
    </row>
    <row r="382" spans="1:32" ht="21.75" customHeight="1">
      <c r="A382" s="140" t="s">
        <v>719</v>
      </c>
      <c r="B382" s="3967" t="s">
        <v>3497</v>
      </c>
      <c r="C382" s="3967"/>
      <c r="D382" s="3967"/>
      <c r="E382" s="3967"/>
      <c r="F382" s="3967"/>
      <c r="G382" s="3967"/>
      <c r="H382" s="3967"/>
      <c r="I382" s="3967"/>
      <c r="J382" s="3967"/>
      <c r="K382" s="3967"/>
      <c r="L382" s="3967"/>
      <c r="M382" s="3967"/>
      <c r="N382" s="3967"/>
      <c r="O382" s="159" t="s">
        <v>719</v>
      </c>
      <c r="P382" s="2664"/>
      <c r="Q382" s="2967"/>
    </row>
    <row r="383" spans="1:32" ht="21.75" customHeight="1">
      <c r="A383" s="140" t="s">
        <v>2020</v>
      </c>
      <c r="B383" s="3950" t="s">
        <v>3498</v>
      </c>
      <c r="C383" s="3950"/>
      <c r="D383" s="3950"/>
      <c r="E383" s="3950"/>
      <c r="F383" s="3950"/>
      <c r="G383" s="3950"/>
      <c r="H383" s="3950"/>
      <c r="I383" s="3950"/>
      <c r="J383" s="3950"/>
      <c r="K383" s="3950"/>
      <c r="L383" s="3950"/>
      <c r="M383" s="3950"/>
      <c r="N383" s="3950"/>
      <c r="O383" s="159" t="s">
        <v>2020</v>
      </c>
      <c r="P383" s="2657"/>
      <c r="Q383" s="2960"/>
    </row>
    <row r="384" spans="1:32" ht="10.5" customHeight="1">
      <c r="A384" s="140" t="s">
        <v>1656</v>
      </c>
      <c r="B384" s="52" t="s">
        <v>3499</v>
      </c>
      <c r="D384" s="52"/>
      <c r="E384" s="52"/>
      <c r="F384" s="52"/>
      <c r="G384" s="52"/>
      <c r="H384" s="52"/>
      <c r="I384" s="52"/>
      <c r="J384" s="52"/>
      <c r="K384" s="52"/>
      <c r="L384" s="52"/>
      <c r="M384" s="52"/>
      <c r="O384" s="159" t="s">
        <v>1656</v>
      </c>
      <c r="P384" s="2666"/>
      <c r="Q384" s="2953"/>
    </row>
    <row r="385" spans="1:32" s="131" customFormat="1" ht="21.75" customHeight="1">
      <c r="A385" s="140" t="s">
        <v>1657</v>
      </c>
      <c r="B385" s="3950" t="s">
        <v>3500</v>
      </c>
      <c r="C385" s="3950"/>
      <c r="D385" s="3950"/>
      <c r="E385" s="3950"/>
      <c r="F385" s="3950"/>
      <c r="G385" s="3950"/>
      <c r="H385" s="3950"/>
      <c r="I385" s="3950"/>
      <c r="J385" s="3950"/>
      <c r="K385" s="3950"/>
      <c r="L385" s="3950"/>
      <c r="M385" s="3950"/>
      <c r="N385" s="3950"/>
      <c r="O385" s="159" t="s">
        <v>1657</v>
      </c>
      <c r="P385" s="2663"/>
      <c r="Q385" s="2974"/>
      <c r="AE385" s="442"/>
      <c r="AF385" s="442"/>
    </row>
    <row r="386" spans="1:32" s="131" customFormat="1" ht="10.5" customHeight="1">
      <c r="A386" s="140" t="s">
        <v>1857</v>
      </c>
      <c r="B386" s="138" t="s">
        <v>3501</v>
      </c>
      <c r="D386" s="784"/>
      <c r="E386" s="784"/>
      <c r="F386" s="784"/>
      <c r="G386" s="784"/>
      <c r="H386" s="784"/>
      <c r="I386" s="784"/>
      <c r="J386" s="784"/>
      <c r="K386" s="784"/>
      <c r="L386" s="784"/>
      <c r="M386" s="784"/>
      <c r="N386" s="784"/>
      <c r="O386" s="159" t="s">
        <v>1857</v>
      </c>
      <c r="P386" s="2502"/>
      <c r="Q386" s="2967"/>
      <c r="AE386" s="442"/>
      <c r="AF386" s="442"/>
    </row>
    <row r="387" spans="1:32" s="131" customFormat="1" ht="10.5" customHeight="1">
      <c r="C387" s="773" t="s">
        <v>4051</v>
      </c>
      <c r="E387" s="2655"/>
      <c r="F387" s="2655"/>
      <c r="G387" s="2655"/>
      <c r="H387" s="2655"/>
      <c r="I387" s="2655"/>
      <c r="J387" s="2655"/>
      <c r="K387" s="2655"/>
      <c r="L387" s="2655"/>
      <c r="M387" s="2655"/>
      <c r="N387" s="2655"/>
      <c r="P387" s="2658"/>
      <c r="Q387" s="2962"/>
      <c r="AE387" s="442"/>
      <c r="AF387" s="442"/>
    </row>
    <row r="388" spans="1:32" ht="21.75" customHeight="1">
      <c r="A388" s="140" t="s">
        <v>3123</v>
      </c>
      <c r="B388" s="3950" t="s">
        <v>3502</v>
      </c>
      <c r="C388" s="3950"/>
      <c r="D388" s="3950"/>
      <c r="E388" s="3950"/>
      <c r="F388" s="3950"/>
      <c r="G388" s="3950"/>
      <c r="H388" s="3950"/>
      <c r="I388" s="3950"/>
      <c r="J388" s="3950"/>
      <c r="K388" s="3950"/>
      <c r="L388" s="3950"/>
      <c r="M388" s="3950"/>
      <c r="N388" s="3950"/>
      <c r="O388" s="159" t="s">
        <v>3123</v>
      </c>
      <c r="P388" s="2502"/>
      <c r="Q388" s="2967"/>
    </row>
    <row r="389" spans="1:32" ht="33" customHeight="1">
      <c r="A389" s="140" t="s">
        <v>586</v>
      </c>
      <c r="B389" s="3950" t="s">
        <v>3503</v>
      </c>
      <c r="C389" s="3950"/>
      <c r="D389" s="3950"/>
      <c r="E389" s="3950"/>
      <c r="F389" s="3950"/>
      <c r="G389" s="3950"/>
      <c r="H389" s="3950"/>
      <c r="I389" s="3950"/>
      <c r="J389" s="3950"/>
      <c r="K389" s="3950"/>
      <c r="L389" s="3950"/>
      <c r="M389" s="3950"/>
      <c r="N389" s="3950"/>
      <c r="O389" s="159" t="s">
        <v>586</v>
      </c>
      <c r="P389" s="2658"/>
      <c r="Q389" s="2962"/>
    </row>
    <row r="390" spans="1:32" ht="10.5" customHeight="1">
      <c r="B390" s="139" t="s">
        <v>3372</v>
      </c>
      <c r="D390" s="139"/>
      <c r="E390" s="139"/>
      <c r="F390" s="139"/>
      <c r="G390" s="139"/>
      <c r="H390" s="40"/>
      <c r="I390" s="2672"/>
      <c r="J390" s="2672"/>
      <c r="K390" s="2672"/>
      <c r="L390" s="1401"/>
      <c r="M390" s="1401"/>
      <c r="N390" s="1401"/>
      <c r="O390" s="1401"/>
      <c r="P390" s="1401"/>
      <c r="Q390" s="782"/>
    </row>
    <row r="391" spans="1:32" ht="19.5" customHeight="1">
      <c r="A391" s="3961" t="s">
        <v>6991</v>
      </c>
      <c r="B391" s="3962"/>
      <c r="C391" s="3962"/>
      <c r="D391" s="3962"/>
      <c r="E391" s="3962"/>
      <c r="F391" s="3962"/>
      <c r="G391" s="3962"/>
      <c r="H391" s="3962"/>
      <c r="I391" s="3962"/>
      <c r="J391" s="3962"/>
      <c r="K391" s="3962"/>
      <c r="L391" s="3962"/>
      <c r="M391" s="3962"/>
      <c r="N391" s="3962"/>
      <c r="O391" s="3962"/>
      <c r="P391" s="3962"/>
      <c r="Q391" s="3963"/>
      <c r="U391" s="134"/>
      <c r="V391" s="134"/>
      <c r="W391" s="134"/>
      <c r="X391" s="134"/>
      <c r="Y391" s="134"/>
      <c r="Z391" s="134"/>
      <c r="AA391" s="134"/>
      <c r="AB391" s="134"/>
      <c r="AC391" s="134"/>
      <c r="AD391" s="134"/>
      <c r="AE391" s="441"/>
    </row>
    <row r="392" spans="1:32" ht="10.5" customHeight="1">
      <c r="B392" s="135" t="s">
        <v>1779</v>
      </c>
      <c r="C392" s="136"/>
      <c r="D392" s="2655"/>
      <c r="E392" s="2655"/>
      <c r="F392" s="2655"/>
      <c r="G392" s="2655"/>
      <c r="H392" s="2655"/>
      <c r="I392" s="2655"/>
      <c r="J392" s="2655"/>
      <c r="K392" s="2655"/>
      <c r="L392" s="2655"/>
      <c r="M392" s="2655"/>
      <c r="N392" s="2655"/>
      <c r="O392" s="2655"/>
      <c r="P392" s="2655"/>
      <c r="Q392" s="2655"/>
    </row>
    <row r="393" spans="1:32" ht="23.25" customHeight="1">
      <c r="A393" s="3968"/>
      <c r="B393" s="3969"/>
      <c r="C393" s="3969"/>
      <c r="D393" s="3969"/>
      <c r="E393" s="3969"/>
      <c r="F393" s="3969"/>
      <c r="G393" s="3969"/>
      <c r="H393" s="3969"/>
      <c r="I393" s="3969"/>
      <c r="J393" s="3969"/>
      <c r="K393" s="3969"/>
      <c r="L393" s="3969"/>
      <c r="M393" s="3969"/>
      <c r="N393" s="3969"/>
      <c r="O393" s="3969"/>
      <c r="P393" s="3969"/>
      <c r="Q393" s="3970"/>
    </row>
    <row r="394" spans="1:32" ht="3" customHeight="1">
      <c r="A394" s="1401"/>
      <c r="B394" s="2672"/>
      <c r="C394" s="2655"/>
      <c r="D394" s="2655"/>
      <c r="E394" s="2655"/>
      <c r="F394" s="2655"/>
      <c r="G394" s="2655"/>
      <c r="H394" s="2655"/>
      <c r="I394" s="2655"/>
      <c r="J394" s="2655"/>
      <c r="K394" s="2655"/>
      <c r="L394" s="2655"/>
      <c r="M394" s="2655"/>
      <c r="Q394" s="782"/>
    </row>
    <row r="395" spans="1:32" ht="3" customHeight="1">
      <c r="A395" s="1401"/>
      <c r="B395" s="2672"/>
      <c r="C395" s="2655"/>
      <c r="D395" s="2655"/>
      <c r="E395" s="2655"/>
      <c r="F395" s="2655"/>
      <c r="G395" s="2655"/>
      <c r="H395" s="2655"/>
      <c r="I395" s="2655"/>
      <c r="J395" s="2655"/>
      <c r="K395" s="2655"/>
      <c r="L395" s="2655"/>
      <c r="M395" s="2655"/>
      <c r="Q395" s="782"/>
      <c r="AF395" s="35"/>
    </row>
    <row r="396" spans="1:32" ht="14.1" customHeight="1">
      <c r="A396" s="2650" t="s">
        <v>3527</v>
      </c>
      <c r="B396" s="4" t="s">
        <v>2537</v>
      </c>
      <c r="C396" s="4"/>
      <c r="D396" s="4"/>
      <c r="E396" s="4"/>
      <c r="F396" s="4"/>
      <c r="G396" s="4"/>
      <c r="H396" s="2655"/>
      <c r="I396" s="2655"/>
      <c r="J396" s="2655"/>
      <c r="N396" s="1254" t="str">
        <f>IF('Part I-Project Information'!$H$103="yes","Applicant has applied for CHDO Setaside.","Applicant has NOT applied for CHDO Setaside.")</f>
        <v>Applicant has NOT applied for CHDO Setaside.</v>
      </c>
      <c r="O396" s="130" t="s">
        <v>1780</v>
      </c>
      <c r="P396" s="3959"/>
      <c r="Q396" s="3960"/>
      <c r="AF396" s="35"/>
    </row>
    <row r="397" spans="1:32" ht="11.45" customHeight="1">
      <c r="A397" s="47" t="s">
        <v>1892</v>
      </c>
      <c r="B397" s="116" t="s">
        <v>995</v>
      </c>
      <c r="E397" s="4100"/>
      <c r="F397" s="4101"/>
      <c r="G397" s="4101"/>
      <c r="H397" s="4101"/>
      <c r="I397" s="4102"/>
      <c r="J397" s="4103" t="s">
        <v>2525</v>
      </c>
      <c r="K397" s="4104"/>
      <c r="L397" s="4105"/>
      <c r="M397" s="4100"/>
      <c r="N397" s="4101"/>
      <c r="O397" s="4101"/>
      <c r="P397" s="4101"/>
      <c r="Q397" s="4102"/>
      <c r="AF397" s="35"/>
    </row>
    <row r="398" spans="1:32" s="131" customFormat="1" ht="22.5" customHeight="1">
      <c r="A398" s="140" t="s">
        <v>1894</v>
      </c>
      <c r="B398" s="3950" t="s">
        <v>3201</v>
      </c>
      <c r="C398" s="3950"/>
      <c r="D398" s="3950"/>
      <c r="E398" s="3950"/>
      <c r="F398" s="3950"/>
      <c r="G398" s="3950"/>
      <c r="H398" s="3950"/>
      <c r="I398" s="3950"/>
      <c r="J398" s="3950"/>
      <c r="K398" s="3950"/>
      <c r="L398" s="3950"/>
      <c r="M398" s="3950"/>
      <c r="N398" s="3950"/>
      <c r="O398" s="159" t="s">
        <v>1894</v>
      </c>
      <c r="P398" s="2657"/>
      <c r="Q398" s="2960"/>
      <c r="AE398" s="442"/>
    </row>
    <row r="399" spans="1:32">
      <c r="A399" s="140" t="s">
        <v>719</v>
      </c>
      <c r="B399" s="55" t="s">
        <v>3330</v>
      </c>
      <c r="G399" s="2659"/>
      <c r="H399" s="2659"/>
      <c r="I399" s="2659"/>
      <c r="J399" s="783" t="s">
        <v>3331</v>
      </c>
      <c r="L399" s="2659"/>
      <c r="M399" s="4128">
        <f>'Part III-Sources of Funds'!I6</f>
        <v>0</v>
      </c>
      <c r="N399" s="4129"/>
      <c r="O399" s="159" t="s">
        <v>719</v>
      </c>
      <c r="P399" s="2671"/>
      <c r="Q399" s="2954"/>
      <c r="AF399" s="35"/>
    </row>
    <row r="400" spans="1:32" ht="11.25" customHeight="1">
      <c r="B400" s="139" t="s">
        <v>3372</v>
      </c>
      <c r="D400" s="139"/>
      <c r="E400" s="139"/>
      <c r="F400" s="139"/>
      <c r="G400" s="139"/>
      <c r="H400" s="40"/>
      <c r="I400" s="2672"/>
      <c r="J400" s="2672"/>
      <c r="K400" s="2672"/>
      <c r="L400" s="1401"/>
      <c r="M400" s="1401"/>
      <c r="N400" s="1401"/>
      <c r="O400" s="1401"/>
      <c r="P400" s="1401"/>
      <c r="Q400" s="782"/>
      <c r="AF400" s="35"/>
    </row>
    <row r="401" spans="1:32" ht="11.45" customHeight="1">
      <c r="A401" s="3961" t="s">
        <v>6992</v>
      </c>
      <c r="B401" s="3962"/>
      <c r="C401" s="3962"/>
      <c r="D401" s="3962"/>
      <c r="E401" s="3962"/>
      <c r="F401" s="3962"/>
      <c r="G401" s="3962"/>
      <c r="H401" s="3962"/>
      <c r="I401" s="3962"/>
      <c r="J401" s="3962"/>
      <c r="K401" s="3962"/>
      <c r="L401" s="3962"/>
      <c r="M401" s="3962"/>
      <c r="N401" s="3962"/>
      <c r="O401" s="3962"/>
      <c r="P401" s="3962"/>
      <c r="Q401" s="3963"/>
      <c r="U401" s="134"/>
      <c r="V401" s="134"/>
      <c r="W401" s="134"/>
      <c r="X401" s="134"/>
      <c r="Y401" s="134"/>
      <c r="Z401" s="134"/>
      <c r="AA401" s="134"/>
      <c r="AB401" s="134"/>
      <c r="AC401" s="134"/>
      <c r="AD401" s="134"/>
      <c r="AE401" s="441"/>
      <c r="AF401" s="35"/>
    </row>
    <row r="402" spans="1:32" ht="11.25" customHeight="1">
      <c r="B402" s="135" t="s">
        <v>1779</v>
      </c>
      <c r="C402" s="136"/>
      <c r="D402" s="2655"/>
      <c r="E402" s="2655"/>
      <c r="F402" s="2655"/>
      <c r="G402" s="2655"/>
      <c r="H402" s="2655"/>
      <c r="I402" s="2655"/>
      <c r="J402" s="2655"/>
      <c r="K402" s="2655"/>
      <c r="L402" s="2655"/>
      <c r="M402" s="2655"/>
      <c r="N402" s="2655"/>
      <c r="O402" s="2655"/>
      <c r="P402" s="2655"/>
      <c r="Q402" s="2655"/>
      <c r="AF402" s="35"/>
    </row>
    <row r="403" spans="1:32" ht="11.45" customHeight="1">
      <c r="A403" s="3968"/>
      <c r="B403" s="3969"/>
      <c r="C403" s="3969"/>
      <c r="D403" s="3969"/>
      <c r="E403" s="3969"/>
      <c r="F403" s="3969"/>
      <c r="G403" s="3969"/>
      <c r="H403" s="3969"/>
      <c r="I403" s="3969"/>
      <c r="J403" s="3969"/>
      <c r="K403" s="3969"/>
      <c r="L403" s="3969"/>
      <c r="M403" s="3969"/>
      <c r="N403" s="3969"/>
      <c r="O403" s="3969"/>
      <c r="P403" s="3969"/>
      <c r="Q403" s="3970"/>
      <c r="AF403" s="35"/>
    </row>
    <row r="404" spans="1:32" ht="3.6" customHeight="1">
      <c r="A404" s="1401"/>
      <c r="B404" s="2672"/>
      <c r="C404" s="2655"/>
      <c r="D404" s="2655"/>
      <c r="E404" s="2655"/>
      <c r="F404" s="2655"/>
      <c r="G404" s="2655"/>
      <c r="H404" s="2655"/>
      <c r="I404" s="2655"/>
      <c r="J404" s="2655"/>
      <c r="K404" s="2655"/>
      <c r="L404" s="2655"/>
      <c r="M404" s="2655"/>
      <c r="Q404" s="782"/>
      <c r="AF404" s="35"/>
    </row>
    <row r="405" spans="1:32" ht="14.1" customHeight="1">
      <c r="A405" s="2650" t="s">
        <v>3528</v>
      </c>
      <c r="B405" s="4" t="s">
        <v>2523</v>
      </c>
      <c r="C405" s="4"/>
      <c r="D405" s="4"/>
      <c r="E405" s="2655"/>
      <c r="G405" s="138" t="s">
        <v>671</v>
      </c>
      <c r="H405" s="2655"/>
      <c r="I405" s="2655"/>
      <c r="J405" s="2655"/>
      <c r="K405" s="2655"/>
      <c r="L405" s="2655"/>
      <c r="M405" s="2655"/>
      <c r="O405" s="130" t="s">
        <v>1780</v>
      </c>
      <c r="P405" s="3959"/>
      <c r="Q405" s="4123"/>
      <c r="AF405" s="35"/>
    </row>
    <row r="406" spans="1:32" ht="12" customHeight="1">
      <c r="A406" s="47" t="s">
        <v>1892</v>
      </c>
      <c r="B406" s="52" t="s">
        <v>2526</v>
      </c>
      <c r="D406" s="784"/>
      <c r="E406" s="784"/>
      <c r="O406" s="439" t="s">
        <v>1892</v>
      </c>
      <c r="P406" s="2492"/>
      <c r="Q406" s="2952"/>
      <c r="AF406" s="35"/>
    </row>
    <row r="407" spans="1:32" ht="12" customHeight="1">
      <c r="A407" s="47" t="s">
        <v>1894</v>
      </c>
      <c r="B407" s="52" t="s">
        <v>3263</v>
      </c>
      <c r="D407" s="784"/>
      <c r="E407" s="784"/>
      <c r="O407" s="439" t="s">
        <v>1894</v>
      </c>
      <c r="P407" s="2666"/>
      <c r="Q407" s="2953"/>
      <c r="AF407" s="35"/>
    </row>
    <row r="408" spans="1:32" ht="12" customHeight="1">
      <c r="A408" s="47" t="s">
        <v>719</v>
      </c>
      <c r="B408" s="52" t="s">
        <v>4234</v>
      </c>
      <c r="D408" s="784"/>
      <c r="E408" s="784"/>
      <c r="O408" s="439" t="s">
        <v>719</v>
      </c>
      <c r="P408" s="2666"/>
      <c r="Q408" s="2953"/>
      <c r="AF408" s="35"/>
    </row>
    <row r="409" spans="1:32" ht="12" customHeight="1">
      <c r="A409" s="47" t="s">
        <v>2020</v>
      </c>
      <c r="B409" s="52" t="s">
        <v>3264</v>
      </c>
      <c r="E409" s="138"/>
      <c r="O409" s="439" t="s">
        <v>2020</v>
      </c>
      <c r="P409" s="2666"/>
      <c r="Q409" s="2953"/>
      <c r="AF409" s="35"/>
    </row>
    <row r="410" spans="1:32" ht="12" customHeight="1">
      <c r="A410" s="47" t="s">
        <v>1656</v>
      </c>
      <c r="B410" s="52" t="s">
        <v>1986</v>
      </c>
      <c r="E410" s="138"/>
      <c r="G410" s="439" t="s">
        <v>1656</v>
      </c>
      <c r="H410" s="4141"/>
      <c r="I410" s="4142"/>
      <c r="J410" s="4142"/>
      <c r="K410" s="4142"/>
      <c r="L410" s="4142"/>
      <c r="M410" s="4142"/>
      <c r="N410" s="4142"/>
      <c r="O410" s="4143"/>
      <c r="P410" s="2671"/>
      <c r="Q410" s="2954"/>
      <c r="AF410" s="35"/>
    </row>
    <row r="411" spans="1:32" ht="11.25" customHeight="1">
      <c r="B411" s="139" t="s">
        <v>3372</v>
      </c>
      <c r="D411" s="139"/>
      <c r="E411" s="139"/>
      <c r="F411" s="139"/>
      <c r="G411" s="139"/>
      <c r="H411" s="40"/>
      <c r="I411" s="2672"/>
      <c r="J411" s="2672"/>
      <c r="K411" s="2672"/>
      <c r="L411" s="1401"/>
      <c r="M411" s="1401"/>
      <c r="N411" s="1401"/>
      <c r="O411" s="1401"/>
      <c r="P411" s="1401"/>
      <c r="Q411" s="782"/>
      <c r="AF411" s="35"/>
    </row>
    <row r="412" spans="1:32" ht="11.45" customHeight="1">
      <c r="A412" s="3961" t="s">
        <v>6993</v>
      </c>
      <c r="B412" s="3962"/>
      <c r="C412" s="3962"/>
      <c r="D412" s="3962"/>
      <c r="E412" s="3962"/>
      <c r="F412" s="3962"/>
      <c r="G412" s="3962"/>
      <c r="H412" s="3962"/>
      <c r="I412" s="3962"/>
      <c r="J412" s="3962"/>
      <c r="K412" s="3962"/>
      <c r="L412" s="3962"/>
      <c r="M412" s="3962"/>
      <c r="N412" s="3962"/>
      <c r="O412" s="3962"/>
      <c r="P412" s="3962"/>
      <c r="Q412" s="3963"/>
      <c r="U412" s="134"/>
      <c r="V412" s="134"/>
      <c r="W412" s="134"/>
      <c r="X412" s="134"/>
      <c r="Y412" s="134"/>
      <c r="Z412" s="134"/>
      <c r="AA412" s="134"/>
      <c r="AB412" s="134"/>
      <c r="AC412" s="134"/>
      <c r="AD412" s="134"/>
      <c r="AE412" s="441"/>
      <c r="AF412" s="35"/>
    </row>
    <row r="413" spans="1:32" ht="11.25" customHeight="1">
      <c r="B413" s="135" t="s">
        <v>1779</v>
      </c>
      <c r="C413" s="136"/>
      <c r="D413" s="2655"/>
      <c r="E413" s="2655"/>
      <c r="F413" s="2655"/>
      <c r="G413" s="2655"/>
      <c r="H413" s="2655"/>
      <c r="I413" s="2655"/>
      <c r="J413" s="2655"/>
      <c r="K413" s="2655"/>
      <c r="L413" s="2655"/>
      <c r="M413" s="2655"/>
      <c r="N413" s="2655"/>
      <c r="O413" s="2655"/>
      <c r="P413" s="2655"/>
      <c r="Q413" s="2655"/>
      <c r="AF413" s="35"/>
    </row>
    <row r="414" spans="1:32" ht="11.45" customHeight="1">
      <c r="A414" s="3968"/>
      <c r="B414" s="3969"/>
      <c r="C414" s="3969"/>
      <c r="D414" s="3969"/>
      <c r="E414" s="3969"/>
      <c r="F414" s="3969"/>
      <c r="G414" s="3969"/>
      <c r="H414" s="3969"/>
      <c r="I414" s="3969"/>
      <c r="J414" s="3969"/>
      <c r="K414" s="3969"/>
      <c r="L414" s="3969"/>
      <c r="M414" s="3969"/>
      <c r="N414" s="3969"/>
      <c r="O414" s="3969"/>
      <c r="P414" s="3969"/>
      <c r="Q414" s="3970"/>
      <c r="AF414" s="35"/>
    </row>
    <row r="415" spans="1:32" ht="3" customHeight="1">
      <c r="A415" s="1401"/>
      <c r="B415" s="2672"/>
      <c r="C415" s="2655"/>
      <c r="D415" s="2655"/>
      <c r="E415" s="2655"/>
      <c r="F415" s="2655"/>
      <c r="G415" s="2655"/>
      <c r="H415" s="2655"/>
      <c r="I415" s="2655"/>
      <c r="J415" s="2655"/>
      <c r="K415" s="2655"/>
      <c r="L415" s="2655"/>
      <c r="M415" s="2655"/>
      <c r="N415" s="2655"/>
      <c r="O415" s="2655"/>
      <c r="P415" s="2655"/>
      <c r="Q415" s="1401"/>
      <c r="AF415" s="35"/>
    </row>
    <row r="416" spans="1:32" ht="14.1" customHeight="1">
      <c r="A416" s="2650" t="s">
        <v>3529</v>
      </c>
      <c r="B416" s="4" t="s">
        <v>4136</v>
      </c>
      <c r="C416" s="4"/>
      <c r="D416" s="4"/>
      <c r="E416" s="4"/>
      <c r="F416" s="4"/>
      <c r="G416" s="4"/>
      <c r="H416" s="2655"/>
      <c r="I416" s="2655"/>
      <c r="J416" s="2655"/>
      <c r="K416" s="2655"/>
      <c r="L416" s="2655"/>
      <c r="M416" s="2655"/>
      <c r="O416" s="130" t="s">
        <v>1780</v>
      </c>
      <c r="P416" s="4147"/>
      <c r="Q416" s="4148"/>
      <c r="AF416" s="35"/>
    </row>
    <row r="417" spans="1:33" ht="12" customHeight="1">
      <c r="B417" s="55" t="s">
        <v>6546</v>
      </c>
      <c r="O417" s="65"/>
      <c r="P417" s="2493" t="s">
        <v>2768</v>
      </c>
      <c r="Q417" s="2955"/>
    </row>
    <row r="418" spans="1:33" ht="12" customHeight="1">
      <c r="A418" s="47" t="s">
        <v>1892</v>
      </c>
      <c r="B418" s="86" t="s">
        <v>4135</v>
      </c>
      <c r="D418" s="42"/>
      <c r="E418" s="42"/>
      <c r="F418" s="42"/>
      <c r="G418" s="42"/>
      <c r="H418" s="42"/>
      <c r="I418" s="42"/>
      <c r="J418" s="42"/>
      <c r="K418" s="42"/>
      <c r="L418" s="42"/>
      <c r="M418" s="42"/>
      <c r="N418" s="42"/>
      <c r="O418" s="42"/>
      <c r="P418" s="42"/>
      <c r="Q418" s="42"/>
      <c r="AF418" s="35"/>
    </row>
    <row r="419" spans="1:33" ht="12" customHeight="1">
      <c r="A419" s="47"/>
      <c r="B419" s="1398" t="s">
        <v>1895</v>
      </c>
      <c r="C419" s="55" t="s">
        <v>722</v>
      </c>
      <c r="D419" s="42"/>
      <c r="E419" s="42"/>
      <c r="F419" s="42"/>
      <c r="G419" s="42"/>
      <c r="H419" s="42"/>
      <c r="I419" s="42"/>
      <c r="J419" s="42"/>
      <c r="K419" s="42"/>
      <c r="L419" s="42"/>
      <c r="M419" s="42"/>
      <c r="N419" s="42"/>
      <c r="O419" s="439">
        <v>1</v>
      </c>
      <c r="P419" s="2513" t="s">
        <v>2768</v>
      </c>
      <c r="Q419" s="2975"/>
      <c r="AF419" s="35"/>
    </row>
    <row r="420" spans="1:33" ht="12" customHeight="1">
      <c r="B420" s="52"/>
      <c r="C420" s="36" t="s">
        <v>4235</v>
      </c>
      <c r="D420" s="55" t="s">
        <v>4236</v>
      </c>
      <c r="E420" s="42"/>
      <c r="F420" s="42"/>
      <c r="G420" s="42"/>
      <c r="H420" s="42"/>
      <c r="I420" s="42"/>
      <c r="J420" s="42"/>
      <c r="K420" s="42"/>
      <c r="L420" s="42"/>
      <c r="M420" s="42"/>
      <c r="N420" s="42"/>
      <c r="O420" s="439" t="s">
        <v>4235</v>
      </c>
      <c r="P420" s="3953" t="s">
        <v>2768</v>
      </c>
      <c r="Q420" s="3951"/>
      <c r="AF420" s="35"/>
    </row>
    <row r="421" spans="1:33" ht="12" customHeight="1">
      <c r="A421" s="47"/>
      <c r="D421" s="52" t="s">
        <v>6836</v>
      </c>
      <c r="E421" s="52"/>
      <c r="F421" s="52"/>
      <c r="G421" s="52"/>
      <c r="H421" s="52"/>
      <c r="I421" s="52"/>
      <c r="J421" s="52"/>
      <c r="K421" s="52"/>
      <c r="L421" s="52"/>
      <c r="M421" s="52"/>
      <c r="N421" s="42"/>
      <c r="O421" s="1487"/>
      <c r="P421" s="3954"/>
      <c r="Q421" s="3952"/>
      <c r="AF421" s="35"/>
    </row>
    <row r="422" spans="1:33" ht="12" customHeight="1">
      <c r="C422" s="52" t="s">
        <v>2324</v>
      </c>
      <c r="D422" s="52" t="s">
        <v>3202</v>
      </c>
      <c r="E422" s="52"/>
      <c r="F422" s="52"/>
      <c r="G422" s="52"/>
      <c r="H422" s="52"/>
      <c r="I422" s="52"/>
      <c r="J422" s="52"/>
      <c r="K422" s="52"/>
      <c r="L422" s="52"/>
      <c r="M422" s="52"/>
      <c r="N422" s="42"/>
      <c r="O422" s="64" t="s">
        <v>2324</v>
      </c>
      <c r="P422" s="2500" t="s">
        <v>2771</v>
      </c>
      <c r="Q422" s="2964"/>
      <c r="AF422" s="35"/>
    </row>
    <row r="423" spans="1:33" s="146" customFormat="1" ht="12" customHeight="1">
      <c r="A423" s="47"/>
      <c r="C423" s="52" t="s">
        <v>4139</v>
      </c>
      <c r="D423" s="52" t="s">
        <v>3260</v>
      </c>
      <c r="E423" s="52"/>
      <c r="F423" s="52"/>
      <c r="G423" s="52"/>
      <c r="H423" s="52"/>
      <c r="I423" s="52"/>
      <c r="J423" s="52"/>
      <c r="K423" s="52"/>
      <c r="L423" s="52"/>
      <c r="M423" s="52"/>
      <c r="N423" s="93"/>
      <c r="O423" s="64" t="s">
        <v>2325</v>
      </c>
      <c r="P423" s="2514" t="s">
        <v>2768</v>
      </c>
      <c r="Q423" s="2965"/>
      <c r="AE423" s="443"/>
      <c r="AF423" s="443"/>
    </row>
    <row r="424" spans="1:33" ht="12" customHeight="1">
      <c r="A424" s="47"/>
      <c r="B424" s="1398" t="s">
        <v>1897</v>
      </c>
      <c r="C424" s="52" t="s">
        <v>2105</v>
      </c>
      <c r="E424" s="52"/>
      <c r="F424" s="52"/>
      <c r="G424" s="52"/>
      <c r="H424" s="52"/>
      <c r="I424" s="52"/>
      <c r="J424" s="52"/>
      <c r="K424" s="52"/>
      <c r="L424" s="52"/>
      <c r="M424" s="52"/>
      <c r="N424" s="52"/>
      <c r="O424" s="439">
        <v>2</v>
      </c>
      <c r="P424" s="2489" t="s">
        <v>2768</v>
      </c>
      <c r="Q424" s="2966"/>
    </row>
    <row r="425" spans="1:33" ht="12" customHeight="1">
      <c r="A425" s="47"/>
      <c r="B425" s="1398" t="s">
        <v>2415</v>
      </c>
      <c r="C425" s="3950" t="s">
        <v>6400</v>
      </c>
      <c r="D425" s="3950"/>
      <c r="E425" s="3950"/>
      <c r="F425" s="3950"/>
      <c r="G425" s="133" t="s">
        <v>4140</v>
      </c>
      <c r="J425" s="2515" t="s">
        <v>931</v>
      </c>
      <c r="K425" s="2976"/>
      <c r="M425" s="133" t="s">
        <v>6492</v>
      </c>
      <c r="P425" s="2516" t="s">
        <v>931</v>
      </c>
      <c r="Q425" s="2977"/>
    </row>
    <row r="426" spans="1:33" ht="12" customHeight="1">
      <c r="A426" s="47"/>
      <c r="C426" s="3950"/>
      <c r="D426" s="3950"/>
      <c r="E426" s="3950"/>
      <c r="F426" s="3950"/>
      <c r="G426" s="133" t="s">
        <v>6491</v>
      </c>
      <c r="J426" s="2517" t="s">
        <v>931</v>
      </c>
      <c r="K426" s="2978"/>
      <c r="M426" s="133" t="s">
        <v>6493</v>
      </c>
      <c r="P426" s="2517" t="s">
        <v>931</v>
      </c>
      <c r="Q426" s="2978"/>
    </row>
    <row r="427" spans="1:33" ht="8.25" customHeight="1">
      <c r="A427" s="47"/>
      <c r="C427" s="3950"/>
      <c r="D427" s="3950"/>
      <c r="E427" s="3950"/>
      <c r="F427" s="3950"/>
      <c r="J427" s="1603"/>
      <c r="L427" s="783"/>
      <c r="M427" s="42"/>
      <c r="N427" s="439"/>
    </row>
    <row r="428" spans="1:33" s="93" customFormat="1" ht="12.75" customHeight="1">
      <c r="A428" s="137"/>
      <c r="B428" s="177"/>
      <c r="D428" s="970"/>
      <c r="E428" s="970"/>
      <c r="F428" s="970"/>
      <c r="G428" s="970"/>
      <c r="H428" s="970"/>
      <c r="I428" s="3989" t="s">
        <v>6434</v>
      </c>
      <c r="J428" s="3989" t="s">
        <v>6435</v>
      </c>
      <c r="K428" s="3989" t="s">
        <v>6437</v>
      </c>
      <c r="L428" s="3989"/>
      <c r="M428" s="3989"/>
      <c r="N428" s="4164" t="s">
        <v>6436</v>
      </c>
      <c r="O428" s="439"/>
      <c r="P428" s="439"/>
      <c r="Q428" s="439"/>
      <c r="AE428" s="445"/>
    </row>
    <row r="429" spans="1:33" s="93" customFormat="1" ht="12.75" customHeight="1">
      <c r="A429" s="137"/>
      <c r="B429" s="177"/>
      <c r="D429" s="970"/>
      <c r="E429" s="970"/>
      <c r="F429" s="970"/>
      <c r="G429" s="970"/>
      <c r="H429" s="970"/>
      <c r="I429" s="3990"/>
      <c r="J429" s="3989"/>
      <c r="K429" s="3989"/>
      <c r="L429" s="3989"/>
      <c r="M429" s="3989"/>
      <c r="N429" s="4165"/>
      <c r="O429" s="439"/>
      <c r="P429" s="439"/>
      <c r="Q429" s="439"/>
      <c r="AE429" s="445"/>
    </row>
    <row r="430" spans="1:33" s="93" customFormat="1" ht="12.75" customHeight="1">
      <c r="A430" s="173"/>
      <c r="B430" s="1305"/>
      <c r="C430" s="3950" t="s">
        <v>6599</v>
      </c>
      <c r="D430" s="3950"/>
      <c r="E430" s="3950"/>
      <c r="F430" s="3950"/>
      <c r="G430" s="3950"/>
      <c r="H430" s="3950"/>
      <c r="I430" s="1582">
        <f>$K$321</f>
        <v>4</v>
      </c>
      <c r="J430" s="2518">
        <v>0</v>
      </c>
      <c r="K430" s="4014">
        <v>0</v>
      </c>
      <c r="L430" s="4014"/>
      <c r="M430" s="4015"/>
      <c r="N430" s="1664">
        <f>MAX(J430,K430)</f>
        <v>0</v>
      </c>
      <c r="O430" s="64" t="s">
        <v>2327</v>
      </c>
      <c r="P430" s="2493"/>
      <c r="Q430" s="2955"/>
      <c r="AE430" s="445"/>
      <c r="AF430" s="445"/>
    </row>
    <row r="431" spans="1:33" s="289" customFormat="1" ht="12.75" customHeight="1">
      <c r="A431" s="300"/>
      <c r="B431" s="2621"/>
      <c r="C431" s="3950"/>
      <c r="D431" s="3950"/>
      <c r="E431" s="3950"/>
      <c r="F431" s="3950"/>
      <c r="G431" s="3950"/>
      <c r="H431" s="3950"/>
      <c r="I431" s="2629"/>
      <c r="J431" s="2979"/>
      <c r="K431" s="4166"/>
      <c r="L431" s="4166"/>
      <c r="M431" s="4167"/>
      <c r="N431" s="1664">
        <f>MAX(J431,K431)</f>
        <v>0</v>
      </c>
      <c r="P431" s="298"/>
    </row>
    <row r="432" spans="1:33" s="289" customFormat="1" ht="9" customHeight="1">
      <c r="A432" s="300"/>
      <c r="B432" s="2621"/>
      <c r="C432" s="784"/>
      <c r="D432" s="784"/>
      <c r="E432" s="784"/>
      <c r="F432" s="784"/>
      <c r="G432" s="784"/>
      <c r="H432" s="784"/>
      <c r="I432" s="52"/>
      <c r="J432" s="52"/>
      <c r="M432" s="970"/>
      <c r="N432" s="1665"/>
      <c r="O432" s="439"/>
      <c r="V432" s="36"/>
      <c r="X432" s="36"/>
      <c r="Z432" s="892" t="str">
        <f>IF(AA432="","",IF(AA432&lt;AC432,"Check!!!",""))</f>
        <v/>
      </c>
      <c r="AA432" s="892" t="str">
        <f t="shared" ref="AA432" si="3">IF(AB432="","",IF(AB432&lt;AD432,"Check!!!",""))</f>
        <v/>
      </c>
      <c r="AB432" s="892" t="str">
        <f t="shared" ref="AB432" si="4">IF(AC432="","",IF(AC432&lt;AE432,"Check!!!",""))</f>
        <v/>
      </c>
      <c r="AC432" s="892" t="str">
        <f t="shared" ref="AC432" si="5">IF(AD432="","",IF(AD432&lt;AF432,"Check!!!",""))</f>
        <v/>
      </c>
      <c r="AD432" s="892" t="str">
        <f t="shared" ref="AD432" si="6">IF(AE432="","",IF(AE432&lt;AG432,"Check!!!",""))</f>
        <v/>
      </c>
      <c r="AE432" s="892" t="str">
        <f t="shared" ref="AE432" si="7">IF(AF432="","",IF(AF432&lt;AH432,"Check!!!",""))</f>
        <v/>
      </c>
      <c r="AF432" s="892" t="str">
        <f t="shared" ref="AF432" si="8">IF(AG432="","",IF(AG432&lt;AI432,"Check!!!",""))</f>
        <v/>
      </c>
      <c r="AG432" s="892" t="str">
        <f t="shared" ref="AG432" si="9">IF(AH432="","",IF(AH432&lt;AJ432,"Check!!!",""))</f>
        <v/>
      </c>
    </row>
    <row r="433" spans="1:33" s="93" customFormat="1" ht="12.75" customHeight="1">
      <c r="A433" s="140"/>
      <c r="B433" s="1305"/>
      <c r="D433" s="138" t="s">
        <v>6438</v>
      </c>
      <c r="E433" s="138"/>
      <c r="F433" s="138"/>
      <c r="G433" s="138"/>
      <c r="H433" s="138"/>
      <c r="I433" s="1582">
        <f>$K$322</f>
        <v>2</v>
      </c>
      <c r="J433" s="2518">
        <v>0</v>
      </c>
      <c r="K433" s="4014">
        <v>0</v>
      </c>
      <c r="L433" s="4014"/>
      <c r="M433" s="4015"/>
      <c r="N433" s="1664">
        <f>MAX(J433,K433)</f>
        <v>0</v>
      </c>
      <c r="O433" s="439"/>
      <c r="P433" s="2519"/>
      <c r="Q433" s="2980"/>
      <c r="T433" s="138"/>
      <c r="U433" s="138"/>
      <c r="V433" s="138"/>
      <c r="W433" s="138"/>
      <c r="X433" s="138"/>
      <c r="Y433" s="138"/>
      <c r="Z433" s="138"/>
      <c r="AA433" s="138"/>
      <c r="AB433" s="138"/>
      <c r="AC433" s="138"/>
      <c r="AD433" s="138"/>
      <c r="AE433" s="138"/>
      <c r="AF433" s="138"/>
      <c r="AG433" s="138"/>
    </row>
    <row r="434" spans="1:33" s="289" customFormat="1" ht="12.75" customHeight="1">
      <c r="A434" s="300"/>
      <c r="B434" s="2621"/>
      <c r="C434" s="784"/>
      <c r="D434" s="138"/>
      <c r="E434" s="138"/>
      <c r="F434" s="138"/>
      <c r="G434" s="138"/>
      <c r="H434" s="138"/>
      <c r="J434" s="2979"/>
      <c r="K434" s="4166"/>
      <c r="L434" s="4166"/>
      <c r="M434" s="4167"/>
      <c r="N434" s="1664">
        <f>MAX(J434,K434)</f>
        <v>0</v>
      </c>
      <c r="O434" s="40"/>
      <c r="P434" s="40"/>
      <c r="Q434" s="40"/>
      <c r="V434" s="36"/>
      <c r="W434" s="774"/>
      <c r="X434" s="36"/>
      <c r="Z434" s="892" t="str">
        <f>IF(AA434="","",IF(AA434&lt;AC434,"Check!!!",""))</f>
        <v/>
      </c>
      <c r="AA434" s="892" t="str">
        <f t="shared" ref="AA434" si="10">IF(AB434="","",IF(AB434&lt;AD434,"Check!!!",""))</f>
        <v/>
      </c>
      <c r="AB434" s="892" t="str">
        <f t="shared" ref="AB434" si="11">IF(AC434="","",IF(AC434&lt;AE434,"Check!!!",""))</f>
        <v/>
      </c>
      <c r="AC434" s="892" t="str">
        <f t="shared" ref="AC434" si="12">IF(AD434="","",IF(AD434&lt;AF434,"Check!!!",""))</f>
        <v/>
      </c>
      <c r="AD434" s="892" t="str">
        <f t="shared" ref="AD434" si="13">IF(AE434="","",IF(AE434&lt;AG434,"Check!!!",""))</f>
        <v/>
      </c>
      <c r="AE434" s="892" t="str">
        <f t="shared" ref="AE434" si="14">IF(AF434="","",IF(AF434&lt;AH434,"Check!!!",""))</f>
        <v/>
      </c>
      <c r="AF434" s="892" t="str">
        <f t="shared" ref="AF434" si="15">IF(AG434="","",IF(AG434&lt;AI434,"Check!!!",""))</f>
        <v/>
      </c>
      <c r="AG434" s="892" t="str">
        <f t="shared" ref="AG434" si="16">IF(AH434="","",IF(AH434&lt;AJ434,"Check!!!",""))</f>
        <v/>
      </c>
    </row>
    <row r="435" spans="1:33" s="289" customFormat="1" ht="9" customHeight="1">
      <c r="A435" s="300"/>
      <c r="B435" s="2621"/>
      <c r="C435" s="784"/>
      <c r="D435" s="138"/>
      <c r="E435" s="138"/>
      <c r="F435" s="138"/>
      <c r="G435" s="138"/>
      <c r="H435" s="138"/>
      <c r="M435" s="970"/>
      <c r="N435" s="1665"/>
      <c r="O435" s="40"/>
      <c r="P435" s="40"/>
      <c r="Q435" s="40"/>
      <c r="V435" s="36"/>
      <c r="W435" s="774"/>
      <c r="X435" s="36"/>
      <c r="Z435" s="892"/>
      <c r="AA435" s="892"/>
      <c r="AB435" s="892"/>
      <c r="AC435" s="892"/>
      <c r="AD435" s="892"/>
      <c r="AE435" s="892"/>
      <c r="AF435" s="892"/>
      <c r="AG435" s="892"/>
    </row>
    <row r="436" spans="1:33" s="93" customFormat="1" ht="12.75" customHeight="1">
      <c r="A436" s="47"/>
      <c r="B436" s="144"/>
      <c r="C436" s="3950" t="s">
        <v>6600</v>
      </c>
      <c r="D436" s="3950"/>
      <c r="E436" s="3950"/>
      <c r="F436" s="3950"/>
      <c r="G436" s="3950"/>
      <c r="H436" s="3950"/>
      <c r="I436" s="1582">
        <f>$K$324</f>
        <v>2</v>
      </c>
      <c r="J436" s="2518">
        <v>0</v>
      </c>
      <c r="K436" s="4014">
        <v>0</v>
      </c>
      <c r="L436" s="4014"/>
      <c r="M436" s="4015"/>
      <c r="N436" s="1664">
        <f>MAX(J436,K436)</f>
        <v>0</v>
      </c>
      <c r="O436" s="64" t="s">
        <v>2343</v>
      </c>
      <c r="P436" s="2493"/>
      <c r="Q436" s="2955"/>
      <c r="T436" s="52"/>
      <c r="U436" s="52"/>
      <c r="V436" s="52"/>
      <c r="W436" s="52"/>
      <c r="X436" s="52"/>
      <c r="Y436" s="52"/>
      <c r="Z436" s="52"/>
      <c r="AA436" s="52"/>
      <c r="AB436" s="52"/>
      <c r="AC436" s="52"/>
      <c r="AD436" s="52"/>
      <c r="AE436" s="52"/>
      <c r="AF436" s="52"/>
      <c r="AG436" s="52"/>
    </row>
    <row r="437" spans="1:33" s="289" customFormat="1" ht="12.75" customHeight="1">
      <c r="A437" s="300"/>
      <c r="C437" s="3950"/>
      <c r="D437" s="3950"/>
      <c r="E437" s="3950"/>
      <c r="F437" s="3950"/>
      <c r="G437" s="3950"/>
      <c r="H437" s="3950"/>
      <c r="J437" s="2979"/>
      <c r="K437" s="4166"/>
      <c r="L437" s="4166"/>
      <c r="M437" s="4167"/>
      <c r="N437" s="1664">
        <f>MAX(J437,K437)</f>
        <v>0</v>
      </c>
      <c r="O437" s="36"/>
      <c r="P437" s="2672"/>
      <c r="Q437" s="36"/>
      <c r="T437" s="36"/>
      <c r="U437" s="774"/>
      <c r="V437" s="36"/>
      <c r="W437" s="774"/>
      <c r="X437" s="36"/>
      <c r="Y437" s="36"/>
      <c r="Z437" s="36"/>
      <c r="AA437" s="36"/>
      <c r="AB437" s="36"/>
      <c r="AC437" s="36"/>
      <c r="AD437" s="36"/>
      <c r="AE437" s="36"/>
      <c r="AF437" s="36"/>
      <c r="AG437" s="36"/>
    </row>
    <row r="438" spans="1:33" s="289" customFormat="1" ht="3" customHeight="1">
      <c r="A438" s="300"/>
      <c r="C438" s="2655"/>
      <c r="D438" s="2655"/>
      <c r="E438" s="2655"/>
      <c r="F438" s="2655"/>
      <c r="G438" s="2655"/>
      <c r="H438" s="2655"/>
      <c r="O438" s="40"/>
      <c r="P438" s="439"/>
      <c r="V438" s="36"/>
      <c r="W438" s="774"/>
      <c r="X438" s="36"/>
      <c r="Z438" s="892"/>
      <c r="AA438" s="892"/>
      <c r="AB438" s="892"/>
      <c r="AC438" s="892"/>
      <c r="AD438" s="892"/>
      <c r="AE438" s="892"/>
      <c r="AF438" s="892"/>
      <c r="AG438" s="892"/>
    </row>
    <row r="439" spans="1:33" ht="12" customHeight="1">
      <c r="A439" s="47"/>
      <c r="B439" s="1398" t="s">
        <v>1178</v>
      </c>
      <c r="C439" s="783" t="s">
        <v>4009</v>
      </c>
      <c r="E439" s="783"/>
      <c r="F439" s="783"/>
      <c r="G439" s="783"/>
      <c r="J439" s="42"/>
      <c r="K439" s="783"/>
      <c r="L439" s="783"/>
      <c r="M439" s="42"/>
      <c r="N439" s="439"/>
      <c r="P439" s="439"/>
      <c r="Q439" s="439"/>
    </row>
    <row r="440" spans="1:33" ht="12" customHeight="1">
      <c r="A440" s="47"/>
      <c r="B440" s="418"/>
      <c r="C440" s="783" t="s">
        <v>6495</v>
      </c>
      <c r="D440" s="146"/>
      <c r="E440" s="783"/>
      <c r="F440" s="783"/>
      <c r="L440" s="783"/>
      <c r="M440" s="783"/>
      <c r="O440" s="439" t="s">
        <v>2323</v>
      </c>
      <c r="P440" s="2493" t="s">
        <v>3008</v>
      </c>
      <c r="Q440" s="2955" t="s">
        <v>1691</v>
      </c>
    </row>
    <row r="441" spans="1:33" ht="12" customHeight="1">
      <c r="A441" s="42"/>
      <c r="B441" s="146"/>
      <c r="D441" s="4153" t="s">
        <v>6496</v>
      </c>
      <c r="E441" s="1274" t="s">
        <v>2346</v>
      </c>
      <c r="F441" s="418" t="s">
        <v>3425</v>
      </c>
      <c r="G441" s="4149"/>
      <c r="H441" s="4150"/>
      <c r="I441" s="4150"/>
      <c r="J441" s="4150"/>
      <c r="K441" s="4151"/>
      <c r="L441" s="1274"/>
    </row>
    <row r="442" spans="1:33" ht="12" customHeight="1">
      <c r="B442" s="146"/>
      <c r="D442" s="4153"/>
      <c r="E442" s="1274" t="s">
        <v>4137</v>
      </c>
      <c r="F442" s="418" t="s">
        <v>4138</v>
      </c>
      <c r="G442" s="4097" t="s">
        <v>3333</v>
      </c>
      <c r="H442" s="4098"/>
      <c r="I442" s="4099"/>
      <c r="J442" s="418" t="s">
        <v>3964</v>
      </c>
      <c r="K442" s="146"/>
      <c r="M442" s="4149"/>
      <c r="N442" s="4150"/>
      <c r="O442" s="4150"/>
      <c r="P442" s="4150"/>
      <c r="Q442" s="4151"/>
    </row>
    <row r="443" spans="1:33" ht="12" customHeight="1">
      <c r="A443" s="42"/>
      <c r="B443" s="146"/>
      <c r="C443" s="418" t="s">
        <v>6494</v>
      </c>
      <c r="D443" s="146"/>
      <c r="E443" s="783"/>
      <c r="F443" s="783"/>
      <c r="G443" s="783"/>
      <c r="H443" s="783"/>
      <c r="I443" s="783"/>
      <c r="J443" s="783"/>
      <c r="K443" s="783"/>
      <c r="L443" s="783"/>
      <c r="M443" s="783"/>
      <c r="N443" s="783"/>
      <c r="O443" s="783"/>
      <c r="P443" s="783"/>
      <c r="Q443" s="783"/>
    </row>
    <row r="444" spans="1:33" ht="224.25" customHeight="1">
      <c r="B444" s="4144" t="s">
        <v>6994</v>
      </c>
      <c r="C444" s="4145"/>
      <c r="D444" s="4145"/>
      <c r="E444" s="4145"/>
      <c r="F444" s="4145"/>
      <c r="G444" s="4145"/>
      <c r="H444" s="4145"/>
      <c r="I444" s="4145"/>
      <c r="J444" s="4145"/>
      <c r="K444" s="4145"/>
      <c r="L444" s="4145"/>
      <c r="M444" s="4145"/>
      <c r="N444" s="4145"/>
      <c r="O444" s="4145"/>
      <c r="P444" s="4145"/>
      <c r="Q444" s="4146"/>
      <c r="R444" s="427" t="s">
        <v>3960</v>
      </c>
      <c r="U444" s="134"/>
      <c r="V444" s="134"/>
      <c r="W444" s="134"/>
      <c r="X444" s="134"/>
      <c r="Y444" s="134"/>
      <c r="Z444" s="134"/>
      <c r="AA444" s="134"/>
      <c r="AB444" s="134"/>
      <c r="AC444" s="134"/>
      <c r="AD444" s="134"/>
      <c r="AE444" s="441"/>
    </row>
    <row r="445" spans="1:33" s="146" customFormat="1" ht="3" customHeight="1">
      <c r="A445" s="564"/>
      <c r="B445" s="564"/>
      <c r="C445" s="564"/>
      <c r="D445" s="564"/>
      <c r="E445" s="564"/>
      <c r="F445" s="564"/>
      <c r="G445" s="564"/>
      <c r="H445" s="564"/>
      <c r="I445" s="564"/>
      <c r="J445" s="564"/>
      <c r="K445" s="564"/>
      <c r="L445" s="564"/>
      <c r="M445" s="564"/>
      <c r="N445" s="564"/>
      <c r="O445" s="564"/>
      <c r="P445" s="564"/>
      <c r="Q445" s="564"/>
      <c r="AE445" s="443"/>
      <c r="AF445" s="443"/>
    </row>
    <row r="446" spans="1:33" s="146" customFormat="1">
      <c r="A446" s="140" t="s">
        <v>1894</v>
      </c>
      <c r="B446" s="4152" t="s">
        <v>4237</v>
      </c>
      <c r="C446" s="3950"/>
      <c r="D446" s="3950"/>
      <c r="E446" s="3950"/>
      <c r="F446" s="3950"/>
      <c r="G446" s="3950"/>
      <c r="H446" s="3950"/>
      <c r="I446" s="3950"/>
      <c r="J446" s="3950"/>
      <c r="K446" s="3950"/>
      <c r="L446" s="3950"/>
      <c r="M446" s="3950"/>
      <c r="N446" s="3950"/>
      <c r="T446" s="443"/>
      <c r="AE446" s="443"/>
      <c r="AF446" s="443"/>
    </row>
    <row r="447" spans="1:33" s="146" customFormat="1" ht="12" customHeight="1">
      <c r="A447" s="140"/>
      <c r="B447" s="773" t="s">
        <v>4141</v>
      </c>
      <c r="C447" s="2655"/>
      <c r="D447" s="2655"/>
      <c r="E447" s="2655"/>
      <c r="F447" s="2655"/>
      <c r="G447" s="2655"/>
      <c r="H447" s="2655"/>
      <c r="I447" s="2655"/>
      <c r="J447" s="2655"/>
      <c r="K447" s="2655"/>
      <c r="L447" s="2655"/>
      <c r="M447" s="2655"/>
      <c r="N447" s="2655"/>
      <c r="T447" s="443"/>
      <c r="AE447" s="443"/>
      <c r="AF447" s="443"/>
    </row>
    <row r="448" spans="1:33" s="146" customFormat="1" ht="48" customHeight="1">
      <c r="B448" s="3950" t="s">
        <v>4142</v>
      </c>
      <c r="C448" s="3950"/>
      <c r="D448" s="3950"/>
      <c r="E448" s="3950"/>
      <c r="F448" s="3950"/>
      <c r="G448" s="3950"/>
      <c r="H448" s="3950"/>
      <c r="I448" s="3950"/>
      <c r="J448" s="3950"/>
      <c r="K448" s="3950"/>
      <c r="L448" s="3950"/>
      <c r="M448" s="3950"/>
      <c r="N448" s="3950"/>
      <c r="O448" s="159" t="s">
        <v>1894</v>
      </c>
      <c r="P448" s="2507" t="s">
        <v>6964</v>
      </c>
      <c r="Q448" s="2973"/>
      <c r="T448" s="443"/>
      <c r="AE448" s="443"/>
      <c r="AF448" s="443"/>
    </row>
    <row r="449" spans="1:32" ht="12" customHeight="1">
      <c r="B449" s="139" t="s">
        <v>3372</v>
      </c>
      <c r="D449" s="139"/>
      <c r="E449" s="139"/>
      <c r="F449" s="139"/>
      <c r="G449" s="139"/>
      <c r="H449" s="40"/>
      <c r="I449" s="2672"/>
      <c r="J449" s="2672"/>
      <c r="K449" s="2672"/>
    </row>
    <row r="450" spans="1:32" ht="249.75" customHeight="1">
      <c r="A450" s="3961" t="s">
        <v>7047</v>
      </c>
      <c r="B450" s="3962"/>
      <c r="C450" s="3962"/>
      <c r="D450" s="3962"/>
      <c r="E450" s="3962"/>
      <c r="F450" s="3962"/>
      <c r="G450" s="3962"/>
      <c r="H450" s="3962"/>
      <c r="I450" s="3962"/>
      <c r="J450" s="3962"/>
      <c r="K450" s="3962"/>
      <c r="L450" s="3962"/>
      <c r="M450" s="3962"/>
      <c r="N450" s="3962"/>
      <c r="O450" s="3962"/>
      <c r="P450" s="3962"/>
      <c r="Q450" s="3963"/>
      <c r="U450" s="134"/>
      <c r="V450" s="134"/>
      <c r="W450" s="134"/>
      <c r="X450" s="134"/>
      <c r="Y450" s="134"/>
      <c r="Z450" s="134"/>
      <c r="AA450" s="134"/>
      <c r="AB450" s="134"/>
      <c r="AC450" s="134"/>
      <c r="AD450" s="134"/>
      <c r="AE450" s="441"/>
    </row>
    <row r="451" spans="1:32" ht="12" customHeight="1">
      <c r="B451" s="135" t="s">
        <v>1779</v>
      </c>
      <c r="C451" s="136"/>
      <c r="D451" s="2655"/>
      <c r="E451" s="2655"/>
      <c r="F451" s="2655"/>
      <c r="G451" s="2655"/>
      <c r="H451" s="2655"/>
      <c r="I451" s="2655"/>
      <c r="J451" s="2655"/>
      <c r="K451" s="2655"/>
      <c r="L451" s="2655"/>
      <c r="M451" s="2655"/>
      <c r="N451" s="2655"/>
      <c r="O451" s="2655"/>
      <c r="P451" s="2655"/>
      <c r="Q451" s="2655"/>
    </row>
    <row r="452" spans="1:32" ht="33.6" customHeight="1">
      <c r="A452" s="3968"/>
      <c r="B452" s="3969"/>
      <c r="C452" s="3969"/>
      <c r="D452" s="3969"/>
      <c r="E452" s="3969"/>
      <c r="F452" s="3969"/>
      <c r="G452" s="3969"/>
      <c r="H452" s="3969"/>
      <c r="I452" s="3969"/>
      <c r="J452" s="3969"/>
      <c r="K452" s="3969"/>
      <c r="L452" s="3969"/>
      <c r="M452" s="3969"/>
      <c r="N452" s="3969"/>
      <c r="O452" s="3969"/>
      <c r="P452" s="3969"/>
      <c r="Q452" s="3970"/>
    </row>
    <row r="453" spans="1:32" ht="3" customHeight="1">
      <c r="A453" s="1401"/>
      <c r="B453" s="2672"/>
      <c r="C453" s="2655"/>
      <c r="D453" s="2655"/>
      <c r="E453" s="2655"/>
      <c r="F453" s="2655"/>
      <c r="G453" s="2655"/>
      <c r="H453" s="2655"/>
      <c r="I453" s="2655"/>
      <c r="J453" s="2655"/>
      <c r="K453" s="2655"/>
      <c r="L453" s="2655"/>
      <c r="M453" s="2655"/>
      <c r="Q453" s="782"/>
    </row>
    <row r="454" spans="1:32" ht="14.1" customHeight="1">
      <c r="A454" s="2650" t="s">
        <v>3530</v>
      </c>
      <c r="B454" s="4" t="s">
        <v>2618</v>
      </c>
      <c r="C454" s="4"/>
      <c r="D454" s="86"/>
      <c r="E454" s="2655"/>
      <c r="F454" s="2655"/>
      <c r="G454" s="2655"/>
      <c r="H454" s="2655"/>
      <c r="O454" s="130" t="s">
        <v>1780</v>
      </c>
      <c r="P454" s="3959"/>
      <c r="Q454" s="3960"/>
    </row>
    <row r="455" spans="1:32" ht="14.1" customHeight="1">
      <c r="B455" s="86" t="s">
        <v>4081</v>
      </c>
      <c r="C455" s="4"/>
      <c r="D455" s="86"/>
      <c r="E455" s="2655"/>
      <c r="F455" s="2655"/>
      <c r="G455" s="2655"/>
      <c r="H455" s="2655"/>
    </row>
    <row r="456" spans="1:32" s="131" customFormat="1" ht="21.75" customHeight="1">
      <c r="A456" s="140" t="s">
        <v>1892</v>
      </c>
      <c r="B456" s="4084" t="s">
        <v>3454</v>
      </c>
      <c r="C456" s="4084"/>
      <c r="D456" s="4084"/>
      <c r="E456" s="4084"/>
      <c r="F456" s="4084"/>
      <c r="G456" s="4084"/>
      <c r="H456" s="4084"/>
      <c r="I456" s="4084"/>
      <c r="J456" s="4084"/>
      <c r="K456" s="4084"/>
      <c r="L456" s="4084"/>
      <c r="M456" s="4084"/>
      <c r="N456" s="4084"/>
      <c r="O456" s="159" t="s">
        <v>1892</v>
      </c>
      <c r="P456" s="2502" t="s">
        <v>6964</v>
      </c>
      <c r="Q456" s="2967"/>
      <c r="AE456" s="442"/>
      <c r="AF456" s="442"/>
    </row>
    <row r="457" spans="1:32" s="131" customFormat="1" ht="22.5" customHeight="1">
      <c r="A457" s="140" t="s">
        <v>1894</v>
      </c>
      <c r="B457" s="4084" t="s">
        <v>3453</v>
      </c>
      <c r="C457" s="4084"/>
      <c r="D457" s="4084"/>
      <c r="E457" s="4084"/>
      <c r="F457" s="4084"/>
      <c r="G457" s="4084"/>
      <c r="H457" s="4084"/>
      <c r="I457" s="4084"/>
      <c r="J457" s="4084"/>
      <c r="K457" s="4084"/>
      <c r="L457" s="4084"/>
      <c r="M457" s="4084"/>
      <c r="N457" s="4084"/>
      <c r="O457" s="159" t="s">
        <v>1894</v>
      </c>
      <c r="P457" s="2657" t="s">
        <v>6964</v>
      </c>
      <c r="Q457" s="2960"/>
      <c r="AE457" s="442"/>
      <c r="AF457" s="442"/>
    </row>
    <row r="458" spans="1:32" s="131" customFormat="1" ht="22.5" customHeight="1">
      <c r="B458" s="1305" t="s">
        <v>1658</v>
      </c>
      <c r="C458" s="4084" t="s">
        <v>4047</v>
      </c>
      <c r="D458" s="4084"/>
      <c r="E458" s="4084"/>
      <c r="F458" s="4084"/>
      <c r="G458" s="4084"/>
      <c r="H458" s="4084"/>
      <c r="I458" s="4084"/>
      <c r="J458" s="4084"/>
      <c r="K458" s="4084"/>
      <c r="L458" s="4084"/>
      <c r="M458" s="4084"/>
      <c r="N458" s="4084"/>
      <c r="O458" s="159" t="s">
        <v>1658</v>
      </c>
      <c r="P458" s="2657" t="s">
        <v>6964</v>
      </c>
      <c r="Q458" s="2960"/>
      <c r="AE458" s="442"/>
      <c r="AF458" s="442"/>
    </row>
    <row r="459" spans="1:32" s="42" customFormat="1" ht="12" customHeight="1">
      <c r="B459" s="1305" t="s">
        <v>1659</v>
      </c>
      <c r="C459" s="36" t="s">
        <v>4048</v>
      </c>
      <c r="D459" s="963"/>
      <c r="E459" s="963"/>
      <c r="F459" s="963"/>
      <c r="G459" s="963"/>
      <c r="H459" s="963"/>
      <c r="I459" s="963"/>
      <c r="J459" s="963"/>
      <c r="K459" s="963"/>
      <c r="L459" s="963"/>
      <c r="M459" s="963"/>
      <c r="N459" s="963"/>
      <c r="O459" s="439" t="s">
        <v>1659</v>
      </c>
      <c r="P459" s="2666" t="s">
        <v>6964</v>
      </c>
      <c r="Q459" s="2953"/>
      <c r="AE459" s="50"/>
      <c r="AF459" s="50"/>
    </row>
    <row r="460" spans="1:32" s="131" customFormat="1" ht="33" customHeight="1">
      <c r="B460" s="451" t="s">
        <v>1660</v>
      </c>
      <c r="C460" s="4084" t="s">
        <v>4049</v>
      </c>
      <c r="D460" s="4084"/>
      <c r="E460" s="4084"/>
      <c r="F460" s="4084"/>
      <c r="G460" s="4084"/>
      <c r="H460" s="4084"/>
      <c r="I460" s="4084"/>
      <c r="J460" s="4084"/>
      <c r="K460" s="4084"/>
      <c r="L460" s="4084"/>
      <c r="M460" s="4084"/>
      <c r="N460" s="4084"/>
      <c r="O460" s="159" t="s">
        <v>1660</v>
      </c>
      <c r="P460" s="2657" t="s">
        <v>6964</v>
      </c>
      <c r="Q460" s="2960"/>
      <c r="AE460" s="442"/>
      <c r="AF460" s="442"/>
    </row>
    <row r="461" spans="1:32" s="131" customFormat="1" ht="22.5" customHeight="1">
      <c r="B461" s="451" t="s">
        <v>2259</v>
      </c>
      <c r="C461" s="4084" t="s">
        <v>4050</v>
      </c>
      <c r="D461" s="4084"/>
      <c r="E461" s="4084"/>
      <c r="F461" s="4084"/>
      <c r="G461" s="4084"/>
      <c r="H461" s="4084"/>
      <c r="I461" s="4084"/>
      <c r="J461" s="4084"/>
      <c r="K461" s="4084"/>
      <c r="L461" s="4084"/>
      <c r="M461" s="4084"/>
      <c r="N461" s="4084"/>
      <c r="O461" s="159" t="s">
        <v>2259</v>
      </c>
      <c r="P461" s="2657" t="s">
        <v>6964</v>
      </c>
      <c r="Q461" s="2960"/>
      <c r="AE461" s="442"/>
      <c r="AF461" s="442"/>
    </row>
    <row r="462" spans="1:32" s="131" customFormat="1" ht="22.5" customHeight="1">
      <c r="A462" s="140" t="s">
        <v>719</v>
      </c>
      <c r="B462" s="4084" t="s">
        <v>3455</v>
      </c>
      <c r="C462" s="4084"/>
      <c r="D462" s="4084"/>
      <c r="E462" s="4084"/>
      <c r="F462" s="4084"/>
      <c r="G462" s="4084"/>
      <c r="H462" s="4084"/>
      <c r="I462" s="4084"/>
      <c r="J462" s="4084"/>
      <c r="K462" s="4084"/>
      <c r="L462" s="4084"/>
      <c r="M462" s="4084"/>
      <c r="N462" s="4084"/>
      <c r="O462" s="159" t="s">
        <v>719</v>
      </c>
      <c r="P462" s="2657" t="s">
        <v>6964</v>
      </c>
      <c r="Q462" s="2960"/>
      <c r="AE462" s="442"/>
      <c r="AF462" s="442"/>
    </row>
    <row r="463" spans="1:32" s="131" customFormat="1" ht="22.5" customHeight="1">
      <c r="A463" s="140" t="s">
        <v>2020</v>
      </c>
      <c r="B463" s="4084" t="s">
        <v>4108</v>
      </c>
      <c r="C463" s="4084"/>
      <c r="D463" s="4084"/>
      <c r="E463" s="4084"/>
      <c r="F463" s="4084"/>
      <c r="G463" s="4084"/>
      <c r="H463" s="4084"/>
      <c r="I463" s="4084"/>
      <c r="J463" s="4084"/>
      <c r="K463" s="4084"/>
      <c r="L463" s="4084"/>
      <c r="M463" s="4084"/>
      <c r="N463" s="4084"/>
      <c r="O463" s="159" t="s">
        <v>2020</v>
      </c>
      <c r="P463" s="2657" t="s">
        <v>6964</v>
      </c>
      <c r="Q463" s="2960"/>
      <c r="AE463" s="442"/>
      <c r="AF463" s="442"/>
    </row>
    <row r="464" spans="1:32" s="131" customFormat="1" ht="21.75" customHeight="1">
      <c r="A464" s="140" t="s">
        <v>1656</v>
      </c>
      <c r="B464" s="4084" t="s">
        <v>4109</v>
      </c>
      <c r="C464" s="4084"/>
      <c r="D464" s="4084"/>
      <c r="E464" s="4084"/>
      <c r="F464" s="4084"/>
      <c r="G464" s="4084"/>
      <c r="H464" s="4084"/>
      <c r="I464" s="4084"/>
      <c r="J464" s="4084"/>
      <c r="K464" s="4084"/>
      <c r="L464" s="4084"/>
      <c r="M464" s="4084"/>
      <c r="N464" s="4084"/>
      <c r="O464" s="159" t="s">
        <v>1656</v>
      </c>
      <c r="P464" s="2657" t="s">
        <v>6964</v>
      </c>
      <c r="Q464" s="2960"/>
      <c r="AE464" s="442"/>
      <c r="AF464" s="442"/>
    </row>
    <row r="465" spans="1:32" s="403" customFormat="1" ht="21.75" customHeight="1">
      <c r="A465" s="140" t="s">
        <v>1657</v>
      </c>
      <c r="B465" s="4084" t="s">
        <v>4152</v>
      </c>
      <c r="C465" s="4084"/>
      <c r="D465" s="4084"/>
      <c r="E465" s="4084"/>
      <c r="F465" s="4084"/>
      <c r="G465" s="4084"/>
      <c r="H465" s="4084"/>
      <c r="I465" s="4084"/>
      <c r="J465" s="4084"/>
      <c r="K465" s="4084"/>
      <c r="L465" s="4084"/>
      <c r="M465" s="4084"/>
      <c r="N465" s="4084"/>
      <c r="O465" s="159" t="s">
        <v>1657</v>
      </c>
      <c r="P465" s="2658" t="s">
        <v>6964</v>
      </c>
      <c r="Q465" s="2962"/>
      <c r="AE465" s="444"/>
      <c r="AF465" s="444"/>
    </row>
    <row r="466" spans="1:32" ht="11.25" customHeight="1">
      <c r="B466" s="139" t="s">
        <v>3372</v>
      </c>
      <c r="D466" s="139"/>
      <c r="E466" s="139"/>
      <c r="F466" s="139"/>
      <c r="G466" s="139"/>
      <c r="H466" s="40"/>
      <c r="I466" s="2672"/>
      <c r="J466" s="2672"/>
      <c r="K466" s="2672"/>
      <c r="L466" s="1401"/>
      <c r="M466" s="1401"/>
      <c r="N466" s="1401"/>
      <c r="O466" s="1401"/>
      <c r="P466" s="1401"/>
      <c r="Q466" s="782"/>
    </row>
    <row r="467" spans="1:32" ht="12.75" customHeight="1">
      <c r="A467" s="3961" t="s">
        <v>6995</v>
      </c>
      <c r="B467" s="3962"/>
      <c r="C467" s="3962"/>
      <c r="D467" s="3962"/>
      <c r="E467" s="3962"/>
      <c r="F467" s="3962"/>
      <c r="G467" s="3962"/>
      <c r="H467" s="3962"/>
      <c r="I467" s="3962"/>
      <c r="J467" s="3962"/>
      <c r="K467" s="3962"/>
      <c r="L467" s="3962"/>
      <c r="M467" s="3962"/>
      <c r="N467" s="3962"/>
      <c r="O467" s="3962"/>
      <c r="P467" s="3962"/>
      <c r="Q467" s="3963"/>
      <c r="R467" s="427" t="s">
        <v>1208</v>
      </c>
      <c r="S467" s="428"/>
      <c r="U467" s="134"/>
      <c r="V467" s="134"/>
      <c r="W467" s="134"/>
      <c r="X467" s="134"/>
      <c r="Y467" s="134"/>
      <c r="Z467" s="134"/>
      <c r="AA467" s="134"/>
      <c r="AB467" s="134"/>
      <c r="AC467" s="134"/>
      <c r="AD467" s="134"/>
      <c r="AE467" s="441"/>
    </row>
    <row r="468" spans="1:32" ht="11.25" customHeight="1">
      <c r="B468" s="135" t="s">
        <v>1779</v>
      </c>
      <c r="C468" s="136"/>
      <c r="D468" s="2655"/>
      <c r="E468" s="2655"/>
      <c r="F468" s="2655"/>
      <c r="G468" s="2655"/>
      <c r="H468" s="2655"/>
      <c r="I468" s="2655"/>
      <c r="J468" s="2655"/>
      <c r="K468" s="2655"/>
      <c r="L468" s="2655"/>
      <c r="M468" s="2655"/>
      <c r="N468" s="2655"/>
      <c r="O468" s="2655"/>
      <c r="P468" s="2655"/>
      <c r="Q468" s="2655"/>
    </row>
    <row r="469" spans="1:32" ht="12.75" customHeight="1">
      <c r="A469" s="3968"/>
      <c r="B469" s="3969"/>
      <c r="C469" s="3969"/>
      <c r="D469" s="3969"/>
      <c r="E469" s="3969"/>
      <c r="F469" s="3969"/>
      <c r="G469" s="3969"/>
      <c r="H469" s="3969"/>
      <c r="I469" s="3969"/>
      <c r="J469" s="3969"/>
      <c r="K469" s="3969"/>
      <c r="L469" s="3969"/>
      <c r="M469" s="3969"/>
      <c r="N469" s="3969"/>
      <c r="O469" s="3969"/>
      <c r="P469" s="3969"/>
      <c r="Q469" s="3970"/>
    </row>
    <row r="470" spans="1:32" ht="3" customHeight="1">
      <c r="A470" s="1401"/>
      <c r="B470" s="2672"/>
      <c r="C470" s="2655"/>
      <c r="D470" s="2655"/>
      <c r="E470" s="2655"/>
      <c r="F470" s="2655"/>
      <c r="G470" s="2655"/>
      <c r="H470" s="2655"/>
      <c r="I470" s="2655"/>
      <c r="J470" s="2655"/>
      <c r="K470" s="2655"/>
      <c r="L470" s="2655"/>
      <c r="M470" s="2655"/>
      <c r="Q470" s="782"/>
    </row>
    <row r="471" spans="1:32" ht="14.1" customHeight="1">
      <c r="A471" s="2650" t="s">
        <v>3965</v>
      </c>
      <c r="B471" s="4"/>
      <c r="C471" s="4" t="s">
        <v>2524</v>
      </c>
      <c r="D471" s="86"/>
      <c r="E471" s="2655"/>
      <c r="F471" s="2655"/>
      <c r="G471" s="2655"/>
      <c r="H471" s="2655"/>
      <c r="J471" s="2655"/>
      <c r="K471" s="2655"/>
      <c r="L471" s="2655"/>
      <c r="M471" s="2655"/>
      <c r="O471" s="130" t="s">
        <v>1780</v>
      </c>
      <c r="P471" s="3959"/>
      <c r="Q471" s="3960"/>
    </row>
    <row r="472" spans="1:32" ht="11.25" customHeight="1">
      <c r="A472" s="2650"/>
      <c r="B472" s="139" t="s">
        <v>3372</v>
      </c>
      <c r="D472" s="139"/>
      <c r="E472" s="139"/>
      <c r="F472" s="139"/>
      <c r="G472" s="139"/>
      <c r="H472" s="40"/>
      <c r="I472" s="2672"/>
      <c r="J472" s="2672"/>
      <c r="K472" s="2672"/>
      <c r="L472" s="1401"/>
      <c r="M472" s="1401"/>
      <c r="N472" s="1401"/>
      <c r="O472" s="1401"/>
      <c r="P472" s="1401"/>
      <c r="Q472" s="782"/>
    </row>
    <row r="473" spans="1:32" ht="12" customHeight="1">
      <c r="A473" s="3961" t="s">
        <v>6996</v>
      </c>
      <c r="B473" s="3962"/>
      <c r="C473" s="3962"/>
      <c r="D473" s="3962"/>
      <c r="E473" s="3962"/>
      <c r="F473" s="3962"/>
      <c r="G473" s="3962"/>
      <c r="H473" s="3962"/>
      <c r="I473" s="3962"/>
      <c r="J473" s="3962"/>
      <c r="K473" s="3962"/>
      <c r="L473" s="3962"/>
      <c r="M473" s="3962"/>
      <c r="N473" s="3962"/>
      <c r="O473" s="3962"/>
      <c r="P473" s="3962"/>
      <c r="Q473" s="3963"/>
      <c r="R473" s="427" t="s">
        <v>1208</v>
      </c>
      <c r="S473" s="428"/>
      <c r="U473" s="134"/>
      <c r="V473" s="134"/>
      <c r="W473" s="134"/>
      <c r="X473" s="134"/>
      <c r="Y473" s="134"/>
      <c r="Z473" s="134"/>
      <c r="AA473" s="134"/>
      <c r="AB473" s="134"/>
      <c r="AC473" s="134"/>
      <c r="AD473" s="134"/>
      <c r="AE473" s="441"/>
    </row>
    <row r="474" spans="1:32" ht="11.25" customHeight="1">
      <c r="B474" s="135" t="s">
        <v>1779</v>
      </c>
      <c r="C474" s="136"/>
      <c r="D474" s="2655"/>
      <c r="E474" s="2655"/>
      <c r="F474" s="2655"/>
      <c r="G474" s="2655"/>
      <c r="H474" s="2655"/>
      <c r="I474" s="2655"/>
      <c r="J474" s="2655"/>
      <c r="K474" s="2655"/>
      <c r="L474" s="2655"/>
      <c r="M474" s="2655"/>
      <c r="N474" s="2655"/>
      <c r="O474" s="2655"/>
      <c r="P474" s="2655"/>
      <c r="Q474" s="2655"/>
    </row>
    <row r="475" spans="1:32" ht="12" customHeight="1">
      <c r="A475" s="3968"/>
      <c r="B475" s="3969"/>
      <c r="C475" s="3969"/>
      <c r="D475" s="3969"/>
      <c r="E475" s="3969"/>
      <c r="F475" s="3969"/>
      <c r="G475" s="3969"/>
      <c r="H475" s="3969"/>
      <c r="I475" s="3969"/>
      <c r="J475" s="3969"/>
      <c r="K475" s="3969"/>
      <c r="L475" s="3969"/>
      <c r="M475" s="3969"/>
      <c r="N475" s="3969"/>
      <c r="O475" s="3969"/>
      <c r="P475" s="3969"/>
      <c r="Q475" s="3970"/>
    </row>
    <row r="476" spans="1:32" ht="3" customHeight="1">
      <c r="A476" s="1401"/>
      <c r="B476" s="2672"/>
      <c r="C476" s="2655"/>
      <c r="D476" s="2655"/>
      <c r="E476" s="2655"/>
      <c r="F476" s="2655"/>
      <c r="G476" s="2655"/>
      <c r="H476" s="2655"/>
      <c r="I476" s="2655"/>
      <c r="J476" s="2655"/>
      <c r="K476" s="2655"/>
      <c r="L476" s="2655"/>
      <c r="M476" s="2655"/>
      <c r="N476" s="2655"/>
      <c r="O476" s="2655"/>
      <c r="P476" s="2655"/>
      <c r="Q476" s="1401"/>
    </row>
    <row r="477" spans="1:32" ht="3" customHeight="1">
      <c r="A477" s="1401"/>
      <c r="B477" s="2672"/>
      <c r="C477" s="2655"/>
      <c r="D477" s="2655"/>
      <c r="E477" s="2655"/>
      <c r="F477" s="2655"/>
      <c r="G477" s="2655"/>
      <c r="H477" s="2655"/>
      <c r="I477" s="2655"/>
      <c r="J477" s="2655"/>
      <c r="K477" s="2655"/>
      <c r="L477" s="2655"/>
      <c r="M477" s="2655"/>
      <c r="N477" s="2655"/>
      <c r="O477" s="2655"/>
      <c r="P477" s="2655"/>
      <c r="Q477" s="1401"/>
    </row>
    <row r="479" spans="1:32">
      <c r="A479" s="146"/>
      <c r="B479" s="146"/>
      <c r="C479" s="146"/>
      <c r="D479" s="146"/>
      <c r="E479" s="146"/>
      <c r="F479" s="146"/>
      <c r="G479" s="146"/>
      <c r="H479" s="146"/>
      <c r="I479" s="146"/>
      <c r="J479" s="146"/>
      <c r="K479" s="146"/>
      <c r="L479" s="146"/>
      <c r="M479" s="146"/>
      <c r="N479" s="146"/>
      <c r="O479" s="146"/>
      <c r="P479" s="146"/>
      <c r="Q479" s="146"/>
      <c r="R479" s="146"/>
    </row>
    <row r="480" spans="1:32">
      <c r="A480" s="146"/>
      <c r="B480" s="146"/>
      <c r="C480" s="146"/>
      <c r="D480" s="146"/>
      <c r="E480" s="146"/>
      <c r="F480" s="146"/>
      <c r="G480" s="146"/>
      <c r="H480" s="146"/>
      <c r="I480" s="146"/>
      <c r="J480" s="146"/>
      <c r="K480" s="146"/>
      <c r="L480" s="146"/>
      <c r="M480" s="146"/>
      <c r="N480" s="146"/>
      <c r="O480" s="146"/>
      <c r="P480" s="146"/>
      <c r="Q480" s="146"/>
      <c r="R480" s="146"/>
    </row>
    <row r="481" spans="1:32">
      <c r="A481" s="146"/>
      <c r="B481" s="146"/>
      <c r="C481" s="146"/>
      <c r="D481" s="146"/>
      <c r="E481" s="146"/>
      <c r="F481" s="146"/>
      <c r="G481" s="146"/>
      <c r="H481" s="146"/>
      <c r="I481" s="146"/>
      <c r="J481" s="146"/>
      <c r="K481" s="146"/>
      <c r="L481" s="146"/>
      <c r="M481" s="146"/>
      <c r="N481" s="146"/>
      <c r="O481" s="146"/>
      <c r="P481" s="146"/>
      <c r="Q481" s="146"/>
      <c r="R481" s="146"/>
    </row>
    <row r="482" spans="1:32" s="913" customFormat="1" ht="11.25">
      <c r="A482" s="418"/>
      <c r="B482" s="418"/>
      <c r="C482" s="913" t="s">
        <v>1691</v>
      </c>
      <c r="D482" s="912"/>
      <c r="E482" s="912"/>
      <c r="F482" s="912"/>
      <c r="G482" s="912"/>
      <c r="H482" s="912"/>
      <c r="I482" s="912"/>
      <c r="J482" s="1821" t="s">
        <v>1585</v>
      </c>
      <c r="K482" s="912"/>
      <c r="N482" s="914"/>
      <c r="O482" s="1821" t="s">
        <v>4249</v>
      </c>
      <c r="P482" s="1822"/>
      <c r="R482" s="418"/>
      <c r="AE482" s="1488"/>
      <c r="AF482" s="1488"/>
    </row>
    <row r="483" spans="1:32" s="913" customFormat="1" ht="11.25">
      <c r="A483" s="418"/>
      <c r="B483" s="418"/>
      <c r="C483" s="1823" t="s">
        <v>1341</v>
      </c>
      <c r="D483" s="912"/>
      <c r="E483" s="912"/>
      <c r="F483" s="912"/>
      <c r="G483" s="912"/>
      <c r="H483" s="912"/>
      <c r="I483" s="912"/>
      <c r="J483" s="1821" t="s">
        <v>2011</v>
      </c>
      <c r="K483" s="912"/>
      <c r="N483" s="914"/>
      <c r="O483" s="1821" t="s">
        <v>4250</v>
      </c>
      <c r="P483" s="1822"/>
      <c r="R483" s="418"/>
      <c r="AE483" s="1488"/>
      <c r="AF483" s="1488"/>
    </row>
    <row r="484" spans="1:32" s="913" customFormat="1" ht="11.25">
      <c r="A484" s="418"/>
      <c r="B484" s="418"/>
      <c r="C484" s="1823" t="s">
        <v>1342</v>
      </c>
      <c r="D484" s="912"/>
      <c r="E484" s="912"/>
      <c r="F484" s="912"/>
      <c r="G484" s="912"/>
      <c r="H484" s="912"/>
      <c r="I484" s="912"/>
      <c r="J484" s="1821" t="s">
        <v>1578</v>
      </c>
      <c r="K484" s="912"/>
      <c r="N484" s="914"/>
      <c r="O484" s="1821" t="s">
        <v>4251</v>
      </c>
      <c r="P484" s="1822"/>
      <c r="R484" s="418"/>
      <c r="AE484" s="1488"/>
      <c r="AF484" s="1488"/>
    </row>
    <row r="485" spans="1:32" s="913" customFormat="1" ht="11.25">
      <c r="A485" s="418"/>
      <c r="B485" s="418"/>
      <c r="C485" s="1824" t="s">
        <v>2038</v>
      </c>
      <c r="D485" s="912"/>
      <c r="E485" s="912"/>
      <c r="F485" s="912"/>
      <c r="G485" s="912"/>
      <c r="H485" s="912"/>
      <c r="I485" s="912"/>
      <c r="J485" s="1821" t="s">
        <v>1148</v>
      </c>
      <c r="K485" s="912"/>
      <c r="N485" s="914"/>
      <c r="O485" s="1821" t="s">
        <v>4255</v>
      </c>
      <c r="P485" s="1822"/>
      <c r="R485" s="418"/>
      <c r="AE485" s="1488"/>
      <c r="AF485" s="1488"/>
    </row>
    <row r="486" spans="1:32" s="913" customFormat="1" ht="11.25">
      <c r="A486" s="418"/>
      <c r="B486" s="418"/>
      <c r="C486" s="1824" t="s">
        <v>1338</v>
      </c>
      <c r="D486" s="912"/>
      <c r="E486" s="912"/>
      <c r="F486" s="912"/>
      <c r="G486" s="912"/>
      <c r="H486" s="912"/>
      <c r="I486" s="912"/>
      <c r="J486" s="1821" t="s">
        <v>562</v>
      </c>
      <c r="K486" s="912"/>
      <c r="N486" s="914"/>
      <c r="O486" s="1821" t="s">
        <v>4252</v>
      </c>
      <c r="P486" s="1822"/>
      <c r="R486" s="418"/>
      <c r="AE486" s="1488"/>
      <c r="AF486" s="1488"/>
    </row>
    <row r="487" spans="1:32" s="913" customFormat="1" ht="11.25">
      <c r="A487" s="418"/>
      <c r="B487" s="418"/>
      <c r="C487" s="1824" t="s">
        <v>1339</v>
      </c>
      <c r="D487" s="912"/>
      <c r="E487" s="912"/>
      <c r="F487" s="912"/>
      <c r="G487" s="912"/>
      <c r="H487" s="912"/>
      <c r="I487" s="912"/>
      <c r="J487" s="1821" t="s">
        <v>1584</v>
      </c>
      <c r="K487" s="912"/>
      <c r="N487" s="914"/>
      <c r="O487" s="1821" t="s">
        <v>4253</v>
      </c>
      <c r="P487" s="1822"/>
      <c r="R487" s="418"/>
      <c r="AE487" s="1488"/>
      <c r="AF487" s="1488"/>
    </row>
    <row r="488" spans="1:32" s="913" customFormat="1" ht="11.25">
      <c r="A488" s="418"/>
      <c r="B488" s="418"/>
      <c r="C488" s="1823" t="s">
        <v>2033</v>
      </c>
      <c r="D488" s="912"/>
      <c r="E488" s="912"/>
      <c r="F488" s="912"/>
      <c r="G488" s="912"/>
      <c r="H488" s="912"/>
      <c r="I488" s="912"/>
      <c r="J488" s="1821" t="s">
        <v>1143</v>
      </c>
      <c r="K488" s="912"/>
      <c r="N488" s="914"/>
      <c r="O488" s="1821" t="s">
        <v>4254</v>
      </c>
      <c r="P488" s="1822"/>
      <c r="R488" s="418"/>
      <c r="AE488" s="1488"/>
      <c r="AF488" s="1488"/>
    </row>
    <row r="489" spans="1:32" s="913" customFormat="1" ht="11.25">
      <c r="A489" s="418"/>
      <c r="B489" s="418"/>
      <c r="C489" s="1823" t="s">
        <v>2034</v>
      </c>
      <c r="D489" s="912"/>
      <c r="E489" s="912"/>
      <c r="F489" s="912"/>
      <c r="G489" s="912"/>
      <c r="H489" s="912"/>
      <c r="I489" s="912"/>
      <c r="J489" s="1821" t="s">
        <v>1142</v>
      </c>
      <c r="N489" s="914"/>
      <c r="O489" s="913" t="s">
        <v>3413</v>
      </c>
      <c r="P489" s="1822"/>
      <c r="R489" s="418"/>
      <c r="AE489" s="1488"/>
      <c r="AF489" s="1488"/>
    </row>
    <row r="490" spans="1:32" s="913" customFormat="1" ht="11.25">
      <c r="A490" s="418"/>
      <c r="B490" s="418"/>
      <c r="C490" s="1823" t="s">
        <v>2035</v>
      </c>
      <c r="J490" s="1821" t="s">
        <v>1647</v>
      </c>
      <c r="N490" s="914"/>
      <c r="O490" s="913" t="s">
        <v>3414</v>
      </c>
      <c r="P490" s="1822"/>
      <c r="R490" s="418"/>
      <c r="AE490" s="1488"/>
      <c r="AF490" s="1488"/>
    </row>
    <row r="491" spans="1:32" s="913" customFormat="1" ht="11.25">
      <c r="A491" s="418"/>
      <c r="B491" s="418"/>
      <c r="C491" s="1823" t="s">
        <v>2036</v>
      </c>
      <c r="J491" s="1821" t="s">
        <v>1587</v>
      </c>
      <c r="N491" s="914"/>
      <c r="O491" s="1821"/>
      <c r="P491" s="1822"/>
      <c r="R491" s="418"/>
      <c r="AE491" s="1488"/>
      <c r="AF491" s="1488"/>
    </row>
    <row r="492" spans="1:32" s="913" customFormat="1" ht="11.25">
      <c r="A492" s="418"/>
      <c r="B492" s="418"/>
      <c r="C492" s="1823" t="s">
        <v>2037</v>
      </c>
      <c r="J492" s="1821" t="s">
        <v>1579</v>
      </c>
      <c r="N492" s="914"/>
      <c r="O492" s="1822"/>
      <c r="P492" s="1822"/>
      <c r="R492" s="418"/>
      <c r="AE492" s="1488"/>
      <c r="AF492" s="1488"/>
    </row>
    <row r="493" spans="1:32" s="913" customFormat="1" ht="11.25">
      <c r="A493" s="418"/>
      <c r="B493" s="418"/>
      <c r="C493" s="1823" t="s">
        <v>1340</v>
      </c>
      <c r="J493" s="1821" t="s">
        <v>2010</v>
      </c>
      <c r="N493" s="914"/>
      <c r="O493" s="1821"/>
      <c r="P493" s="1822"/>
      <c r="R493" s="418"/>
      <c r="AE493" s="1488"/>
      <c r="AF493" s="1488"/>
    </row>
    <row r="494" spans="1:32" s="913" customFormat="1" ht="11.25">
      <c r="A494" s="418"/>
      <c r="B494" s="418"/>
      <c r="C494" s="1823" t="s">
        <v>2178</v>
      </c>
      <c r="N494" s="914"/>
      <c r="O494" s="1822"/>
      <c r="P494" s="1822"/>
      <c r="R494" s="418"/>
      <c r="AE494" s="1488"/>
      <c r="AF494" s="1488"/>
    </row>
    <row r="495" spans="1:32" s="913" customFormat="1" ht="11.25">
      <c r="A495" s="418"/>
      <c r="B495" s="418"/>
      <c r="N495" s="914"/>
      <c r="O495" s="1822"/>
      <c r="P495" s="1822"/>
      <c r="R495" s="418"/>
      <c r="AE495" s="1488"/>
      <c r="AF495" s="1488"/>
    </row>
    <row r="496" spans="1:32" s="912" customFormat="1" ht="11.25">
      <c r="A496" s="55"/>
      <c r="B496" s="55"/>
      <c r="R496" s="55"/>
      <c r="S496" s="55"/>
      <c r="T496" s="55"/>
      <c r="U496" s="55"/>
      <c r="V496" s="55"/>
      <c r="AE496" s="915"/>
      <c r="AF496" s="915"/>
    </row>
    <row r="497" spans="1:32" s="912" customFormat="1" ht="11.25">
      <c r="A497" s="55"/>
      <c r="B497" s="55"/>
      <c r="C497" s="1825" t="s">
        <v>1709</v>
      </c>
      <c r="R497" s="55"/>
      <c r="AE497" s="915"/>
      <c r="AF497" s="915"/>
    </row>
    <row r="498" spans="1:32" s="912" customFormat="1" ht="11.25">
      <c r="A498" s="55"/>
      <c r="B498" s="55"/>
      <c r="C498" s="912" t="s">
        <v>893</v>
      </c>
      <c r="R498" s="55"/>
      <c r="AE498" s="915"/>
      <c r="AF498" s="915"/>
    </row>
    <row r="499" spans="1:32" s="912" customFormat="1" ht="11.25">
      <c r="A499" s="55"/>
      <c r="B499" s="55"/>
      <c r="C499" s="1823" t="s">
        <v>1563</v>
      </c>
      <c r="R499" s="55"/>
      <c r="AE499" s="915"/>
      <c r="AF499" s="915"/>
    </row>
    <row r="500" spans="1:32" s="912" customFormat="1" ht="11.25">
      <c r="A500" s="55"/>
      <c r="B500" s="55"/>
      <c r="C500" s="1823" t="s">
        <v>689</v>
      </c>
      <c r="L500" s="1823"/>
      <c r="R500" s="55"/>
      <c r="AE500" s="915"/>
      <c r="AF500" s="915"/>
    </row>
    <row r="501" spans="1:32" s="912" customFormat="1" ht="11.25">
      <c r="A501" s="55"/>
      <c r="B501" s="55"/>
      <c r="C501" s="1823" t="s">
        <v>690</v>
      </c>
      <c r="L501" s="1823"/>
      <c r="R501" s="55"/>
      <c r="AE501" s="915"/>
      <c r="AF501" s="915"/>
    </row>
    <row r="502" spans="1:32" s="912" customFormat="1" ht="11.25">
      <c r="A502" s="55"/>
      <c r="B502" s="55"/>
      <c r="C502" s="1823" t="s">
        <v>2061</v>
      </c>
      <c r="L502" s="1823"/>
      <c r="R502" s="55"/>
      <c r="AE502" s="915"/>
      <c r="AF502" s="915"/>
    </row>
    <row r="503" spans="1:32" s="912" customFormat="1" ht="11.25">
      <c r="A503" s="55"/>
      <c r="B503" s="55"/>
      <c r="C503" s="1823" t="s">
        <v>119</v>
      </c>
      <c r="L503" s="1823"/>
      <c r="R503" s="55"/>
      <c r="AE503" s="915"/>
      <c r="AF503" s="915"/>
    </row>
    <row r="504" spans="1:32" s="912" customFormat="1" ht="11.25">
      <c r="A504" s="55"/>
      <c r="B504" s="55"/>
      <c r="C504" s="915" t="s">
        <v>117</v>
      </c>
      <c r="L504" s="1823"/>
      <c r="R504" s="55"/>
      <c r="AE504" s="915"/>
      <c r="AF504" s="915"/>
    </row>
    <row r="505" spans="1:32" s="912" customFormat="1" ht="11.25">
      <c r="A505" s="55"/>
      <c r="B505" s="55"/>
      <c r="C505" s="915" t="s">
        <v>1790</v>
      </c>
      <c r="R505" s="55"/>
      <c r="AE505" s="915"/>
      <c r="AF505" s="915"/>
    </row>
    <row r="506" spans="1:32" s="912" customFormat="1" ht="11.25">
      <c r="A506" s="55"/>
      <c r="B506" s="55"/>
      <c r="C506" s="1823" t="s">
        <v>912</v>
      </c>
      <c r="L506" s="1823"/>
      <c r="R506" s="55"/>
      <c r="AE506" s="915"/>
      <c r="AF506" s="915"/>
    </row>
    <row r="507" spans="1:32" s="912" customFormat="1" ht="11.25">
      <c r="A507" s="55"/>
      <c r="B507" s="55"/>
      <c r="C507" s="915" t="s">
        <v>118</v>
      </c>
      <c r="L507" s="1823"/>
      <c r="R507" s="55"/>
      <c r="AE507" s="915"/>
      <c r="AF507" s="915"/>
    </row>
    <row r="508" spans="1:32" s="912" customFormat="1" ht="11.25">
      <c r="A508" s="55"/>
      <c r="B508" s="55"/>
      <c r="C508" s="915" t="s">
        <v>119</v>
      </c>
      <c r="L508" s="1823"/>
      <c r="R508" s="55"/>
      <c r="AE508" s="915"/>
      <c r="AF508" s="915"/>
    </row>
    <row r="509" spans="1:32" s="912" customFormat="1" ht="11.25">
      <c r="A509" s="55"/>
      <c r="B509" s="55"/>
      <c r="C509" s="915" t="s">
        <v>120</v>
      </c>
      <c r="L509" s="1823"/>
      <c r="R509" s="55"/>
      <c r="AE509" s="915"/>
      <c r="AF509" s="915"/>
    </row>
    <row r="510" spans="1:32" s="912" customFormat="1" ht="11.25">
      <c r="A510" s="55"/>
      <c r="B510" s="55"/>
      <c r="C510" s="915" t="s">
        <v>2527</v>
      </c>
      <c r="R510" s="55"/>
      <c r="AE510" s="915"/>
      <c r="AF510" s="915"/>
    </row>
    <row r="511" spans="1:32" s="912" customFormat="1" ht="11.25">
      <c r="A511" s="55"/>
      <c r="B511" s="55"/>
      <c r="C511" s="1823" t="s">
        <v>1919</v>
      </c>
      <c r="L511" s="1823"/>
      <c r="R511" s="55"/>
      <c r="AE511" s="915"/>
      <c r="AF511" s="915"/>
    </row>
    <row r="512" spans="1:32" s="912" customFormat="1" ht="11.25">
      <c r="A512" s="55"/>
      <c r="B512" s="55"/>
      <c r="C512" s="915" t="s">
        <v>2528</v>
      </c>
      <c r="L512" s="1823"/>
      <c r="R512" s="55"/>
      <c r="AE512" s="915"/>
      <c r="AF512" s="915"/>
    </row>
    <row r="513" spans="1:32" s="912" customFormat="1" ht="11.25">
      <c r="A513" s="55"/>
      <c r="B513" s="55"/>
      <c r="C513" s="915" t="s">
        <v>1333</v>
      </c>
      <c r="L513" s="1823"/>
      <c r="R513" s="55"/>
      <c r="AE513" s="915"/>
      <c r="AF513" s="915"/>
    </row>
    <row r="514" spans="1:32" s="912" customFormat="1" ht="11.25">
      <c r="A514" s="55"/>
      <c r="B514" s="55"/>
      <c r="C514" s="915" t="s">
        <v>1524</v>
      </c>
      <c r="K514" s="1826" t="s">
        <v>441</v>
      </c>
      <c r="L514" s="1823"/>
      <c r="R514" s="55"/>
      <c r="AE514" s="915"/>
      <c r="AF514" s="915"/>
    </row>
    <row r="515" spans="1:32" s="912" customFormat="1" ht="11.25">
      <c r="A515" s="55"/>
      <c r="B515" s="55"/>
      <c r="C515" s="915" t="s">
        <v>2529</v>
      </c>
      <c r="K515" s="912" t="s">
        <v>1043</v>
      </c>
      <c r="L515" s="1823"/>
      <c r="R515" s="55"/>
      <c r="AE515" s="915"/>
      <c r="AF515" s="915"/>
    </row>
    <row r="516" spans="1:32" s="912" customFormat="1" ht="11.25">
      <c r="A516" s="55"/>
      <c r="B516" s="55"/>
      <c r="C516" s="915" t="s">
        <v>2530</v>
      </c>
      <c r="K516" s="912" t="s">
        <v>3381</v>
      </c>
      <c r="R516" s="55"/>
      <c r="AE516" s="915"/>
      <c r="AF516" s="915"/>
    </row>
    <row r="517" spans="1:32" s="912" customFormat="1" ht="11.25">
      <c r="A517" s="55"/>
      <c r="B517" s="55"/>
      <c r="C517" s="1823" t="s">
        <v>1158</v>
      </c>
      <c r="K517" s="912" t="s">
        <v>6459</v>
      </c>
      <c r="R517" s="55"/>
      <c r="AE517" s="915"/>
      <c r="AF517" s="915"/>
    </row>
    <row r="518" spans="1:32" s="912" customFormat="1" ht="11.25">
      <c r="A518" s="55"/>
      <c r="B518" s="55"/>
      <c r="R518" s="55"/>
      <c r="AE518" s="915"/>
      <c r="AF518" s="915"/>
    </row>
    <row r="519" spans="1:32" s="912" customFormat="1" ht="11.25">
      <c r="A519" s="55"/>
      <c r="B519" s="55"/>
      <c r="C519" s="1825" t="s">
        <v>244</v>
      </c>
      <c r="K519" s="1826" t="s">
        <v>2138</v>
      </c>
      <c r="R519" s="55"/>
      <c r="AE519" s="915"/>
      <c r="AF519" s="915"/>
    </row>
    <row r="520" spans="1:32" s="912" customFormat="1" ht="11.25">
      <c r="A520" s="55"/>
      <c r="B520" s="55"/>
      <c r="C520" s="912" t="s">
        <v>1044</v>
      </c>
      <c r="K520" s="912" t="s">
        <v>2222</v>
      </c>
      <c r="R520" s="55"/>
      <c r="AE520" s="915"/>
      <c r="AF520" s="915"/>
    </row>
    <row r="521" spans="1:32" s="912" customFormat="1" ht="11.25">
      <c r="A521" s="55"/>
      <c r="B521" s="55"/>
      <c r="C521" s="912" t="s">
        <v>162</v>
      </c>
      <c r="K521" s="1827" t="s">
        <v>6615</v>
      </c>
      <c r="R521" s="55"/>
      <c r="AE521" s="915"/>
      <c r="AF521" s="915"/>
    </row>
    <row r="522" spans="1:32" s="912" customFormat="1" ht="11.25">
      <c r="A522" s="55"/>
      <c r="B522" s="55"/>
      <c r="C522" s="912" t="s">
        <v>1465</v>
      </c>
      <c r="K522" s="912" t="s">
        <v>6614</v>
      </c>
      <c r="R522" s="55"/>
      <c r="AE522" s="915"/>
      <c r="AF522" s="915"/>
    </row>
    <row r="523" spans="1:32" s="912" customFormat="1" ht="11.25">
      <c r="A523" s="55"/>
      <c r="B523" s="55"/>
      <c r="C523" s="912" t="s">
        <v>2023</v>
      </c>
      <c r="K523" s="912" t="s">
        <v>6460</v>
      </c>
      <c r="R523" s="55"/>
      <c r="AE523" s="915"/>
      <c r="AF523" s="915"/>
    </row>
    <row r="524" spans="1:32" s="912" customFormat="1" ht="11.25">
      <c r="A524" s="55"/>
      <c r="B524" s="55"/>
      <c r="C524" s="912" t="s">
        <v>161</v>
      </c>
      <c r="K524" s="912" t="s">
        <v>6616</v>
      </c>
      <c r="R524" s="55"/>
      <c r="AE524" s="915"/>
      <c r="AF524" s="915"/>
    </row>
    <row r="525" spans="1:32" s="912" customFormat="1" ht="11.25">
      <c r="A525" s="55"/>
      <c r="B525" s="55"/>
      <c r="K525" s="1826" t="s">
        <v>1858</v>
      </c>
      <c r="R525" s="55"/>
      <c r="AE525" s="915"/>
      <c r="AF525" s="915"/>
    </row>
    <row r="526" spans="1:32" s="912" customFormat="1" ht="11.25">
      <c r="A526" s="55"/>
      <c r="B526" s="55"/>
      <c r="K526" s="912" t="s">
        <v>1042</v>
      </c>
      <c r="R526" s="55"/>
      <c r="AE526" s="915"/>
      <c r="AF526" s="915"/>
    </row>
    <row r="527" spans="1:32" s="912" customFormat="1" ht="11.25">
      <c r="A527" s="55"/>
      <c r="B527" s="55"/>
      <c r="K527" s="912" t="s">
        <v>1672</v>
      </c>
      <c r="R527" s="55"/>
      <c r="AE527" s="915"/>
      <c r="AF527" s="915"/>
    </row>
    <row r="528" spans="1:32" s="912" customFormat="1" ht="11.25">
      <c r="A528" s="55"/>
      <c r="B528" s="55"/>
      <c r="K528" s="912" t="s">
        <v>1092</v>
      </c>
      <c r="R528" s="55"/>
      <c r="AE528" s="915"/>
      <c r="AF528" s="915"/>
    </row>
    <row r="529" spans="1:32" s="912" customFormat="1" ht="11.25">
      <c r="A529" s="55"/>
      <c r="B529" s="55"/>
      <c r="K529" s="912" t="s">
        <v>1673</v>
      </c>
      <c r="R529" s="55"/>
      <c r="AE529" s="915"/>
      <c r="AF529" s="915"/>
    </row>
    <row r="530" spans="1:32" s="912" customFormat="1" ht="11.25">
      <c r="A530" s="55"/>
      <c r="B530" s="55"/>
      <c r="K530" s="912" t="s">
        <v>2262</v>
      </c>
      <c r="R530" s="55"/>
      <c r="AE530" s="915"/>
      <c r="AF530" s="915"/>
    </row>
    <row r="531" spans="1:32" s="912" customFormat="1" ht="11.25">
      <c r="A531" s="55"/>
      <c r="B531" s="55"/>
      <c r="R531" s="55"/>
      <c r="AE531" s="915"/>
      <c r="AF531" s="915"/>
    </row>
    <row r="532" spans="1:32" s="912" customFormat="1" ht="11.25">
      <c r="A532" s="55"/>
      <c r="B532" s="55"/>
      <c r="C532" s="1825" t="s">
        <v>976</v>
      </c>
      <c r="M532" s="1825" t="s">
        <v>4032</v>
      </c>
      <c r="R532" s="55"/>
      <c r="AE532" s="915"/>
      <c r="AF532" s="915"/>
    </row>
    <row r="533" spans="1:32" s="912" customFormat="1" ht="11.25">
      <c r="A533" s="55"/>
      <c r="B533" s="55"/>
      <c r="C533" s="912" t="s">
        <v>975</v>
      </c>
      <c r="M533" s="912" t="s">
        <v>975</v>
      </c>
      <c r="R533" s="55"/>
      <c r="AE533" s="915"/>
      <c r="AF533" s="915"/>
    </row>
    <row r="534" spans="1:32" s="912" customFormat="1" ht="11.25">
      <c r="A534" s="55"/>
      <c r="B534" s="55"/>
      <c r="C534" s="912" t="s">
        <v>1996</v>
      </c>
      <c r="M534" s="912" t="s">
        <v>4029</v>
      </c>
      <c r="R534" s="55"/>
      <c r="AE534" s="915"/>
      <c r="AF534" s="915"/>
    </row>
    <row r="535" spans="1:32" s="912" customFormat="1" ht="11.25">
      <c r="A535" s="55"/>
      <c r="B535" s="55"/>
      <c r="C535" s="912" t="s">
        <v>2424</v>
      </c>
      <c r="M535" s="912" t="s">
        <v>4060</v>
      </c>
      <c r="R535" s="55"/>
      <c r="AE535" s="915"/>
      <c r="AF535" s="915"/>
    </row>
    <row r="536" spans="1:32" s="912" customFormat="1" ht="11.25">
      <c r="A536" s="55"/>
      <c r="B536" s="55"/>
      <c r="C536" s="912" t="s">
        <v>1997</v>
      </c>
      <c r="M536" s="912" t="s">
        <v>1581</v>
      </c>
      <c r="R536" s="55"/>
      <c r="AE536" s="915"/>
      <c r="AF536" s="915"/>
    </row>
    <row r="537" spans="1:32" s="912" customFormat="1" ht="11.25">
      <c r="A537" s="55"/>
      <c r="B537" s="55"/>
      <c r="C537" s="912" t="s">
        <v>1859</v>
      </c>
      <c r="M537" s="912" t="s">
        <v>4030</v>
      </c>
      <c r="R537" s="55"/>
      <c r="AE537" s="915"/>
      <c r="AF537" s="915"/>
    </row>
    <row r="538" spans="1:32" s="912" customFormat="1" ht="11.25">
      <c r="A538" s="55"/>
      <c r="B538" s="55"/>
      <c r="C538" s="912" t="s">
        <v>561</v>
      </c>
      <c r="M538" s="1827" t="s">
        <v>4089</v>
      </c>
      <c r="R538" s="55"/>
      <c r="AE538" s="915"/>
      <c r="AF538" s="915"/>
    </row>
    <row r="539" spans="1:32" s="912" customFormat="1" ht="11.25">
      <c r="A539" s="55"/>
      <c r="B539" s="55"/>
      <c r="C539" s="912" t="s">
        <v>2099</v>
      </c>
      <c r="M539" s="1827" t="s">
        <v>4090</v>
      </c>
      <c r="R539" s="55"/>
      <c r="AE539" s="915"/>
      <c r="AF539" s="915"/>
    </row>
    <row r="540" spans="1:32" s="912" customFormat="1" ht="11.25">
      <c r="A540" s="55"/>
      <c r="B540" s="55"/>
      <c r="C540" s="1828" t="s">
        <v>30</v>
      </c>
      <c r="M540" s="912" t="s">
        <v>4031</v>
      </c>
      <c r="R540" s="55"/>
      <c r="AE540" s="915"/>
      <c r="AF540" s="915"/>
    </row>
    <row r="541" spans="1:32" s="912" customFormat="1" ht="11.25">
      <c r="A541" s="55"/>
      <c r="B541" s="55"/>
      <c r="M541" s="913" t="s">
        <v>2010</v>
      </c>
      <c r="R541" s="55"/>
      <c r="AE541" s="915"/>
      <c r="AF541" s="915"/>
    </row>
    <row r="542" spans="1:32" s="912" customFormat="1" ht="11.25">
      <c r="A542" s="55"/>
      <c r="B542" s="55"/>
      <c r="R542" s="55"/>
      <c r="AE542" s="915"/>
      <c r="AF542" s="915"/>
    </row>
    <row r="543" spans="1:32" s="912" customFormat="1" ht="11.25">
      <c r="A543" s="55"/>
      <c r="B543" s="55"/>
      <c r="R543" s="55"/>
      <c r="AE543" s="915"/>
      <c r="AF543" s="915"/>
    </row>
    <row r="544" spans="1:32" s="912" customFormat="1" ht="11.25">
      <c r="A544" s="55"/>
      <c r="B544" s="55"/>
      <c r="M544" s="1830" t="s">
        <v>3393</v>
      </c>
      <c r="R544" s="55"/>
      <c r="AE544" s="915"/>
      <c r="AF544" s="915"/>
    </row>
    <row r="545" spans="1:32" s="912" customFormat="1" ht="11.25">
      <c r="A545" s="55"/>
      <c r="B545" s="55"/>
      <c r="M545" s="912" t="s">
        <v>3482</v>
      </c>
      <c r="R545" s="55"/>
      <c r="AE545" s="915"/>
      <c r="AF545" s="915"/>
    </row>
    <row r="546" spans="1:32" s="912" customFormat="1" ht="11.25">
      <c r="A546" s="55"/>
      <c r="B546" s="55"/>
      <c r="M546" s="912" t="s">
        <v>3477</v>
      </c>
      <c r="R546" s="55"/>
      <c r="AE546" s="915"/>
      <c r="AF546" s="915"/>
    </row>
    <row r="547" spans="1:32" s="912" customFormat="1" ht="11.25">
      <c r="A547" s="55"/>
      <c r="B547" s="55"/>
      <c r="M547" s="912" t="s">
        <v>3386</v>
      </c>
      <c r="R547" s="55"/>
      <c r="AE547" s="915"/>
      <c r="AF547" s="915"/>
    </row>
    <row r="548" spans="1:32" s="912" customFormat="1" ht="11.25">
      <c r="A548" s="55"/>
      <c r="B548" s="55"/>
      <c r="M548" s="912" t="s">
        <v>3473</v>
      </c>
      <c r="R548" s="55"/>
      <c r="AE548" s="915"/>
      <c r="AF548" s="915"/>
    </row>
    <row r="549" spans="1:32" s="912" customFormat="1" ht="11.25">
      <c r="A549" s="55"/>
      <c r="B549" s="55"/>
      <c r="D549" s="1830" t="s">
        <v>1944</v>
      </c>
      <c r="M549" s="912" t="s">
        <v>3387</v>
      </c>
      <c r="R549" s="55"/>
      <c r="AE549" s="915"/>
      <c r="AF549" s="915"/>
    </row>
    <row r="550" spans="1:32" s="912" customFormat="1">
      <c r="A550" s="55"/>
      <c r="B550" s="55"/>
      <c r="J550" s="430"/>
      <c r="M550" s="912" t="s">
        <v>3474</v>
      </c>
      <c r="R550" s="55"/>
      <c r="AE550" s="915"/>
      <c r="AF550" s="915"/>
    </row>
    <row r="551" spans="1:32" s="430" customFormat="1">
      <c r="A551" s="146"/>
      <c r="B551" s="146"/>
      <c r="M551" s="912" t="s">
        <v>3388</v>
      </c>
      <c r="O551" s="912"/>
      <c r="R551" s="146"/>
      <c r="AE551" s="577"/>
      <c r="AF551" s="577"/>
    </row>
    <row r="552" spans="1:32" s="430" customFormat="1">
      <c r="A552" s="146"/>
      <c r="B552" s="146"/>
      <c r="M552" s="912" t="s">
        <v>3475</v>
      </c>
      <c r="R552" s="146"/>
      <c r="AE552" s="577"/>
      <c r="AF552" s="577"/>
    </row>
    <row r="553" spans="1:32" s="430" customFormat="1">
      <c r="A553" s="146"/>
      <c r="B553" s="146"/>
      <c r="M553" s="912" t="s">
        <v>3478</v>
      </c>
      <c r="R553" s="146"/>
      <c r="AE553" s="577"/>
      <c r="AF553" s="577"/>
    </row>
    <row r="554" spans="1:32" s="430" customFormat="1">
      <c r="A554" s="146"/>
      <c r="B554" s="146"/>
      <c r="M554" s="912" t="s">
        <v>3389</v>
      </c>
      <c r="R554" s="146"/>
      <c r="AE554" s="577"/>
      <c r="AF554" s="577"/>
    </row>
    <row r="555" spans="1:32" s="430" customFormat="1">
      <c r="A555" s="146"/>
      <c r="B555" s="146"/>
      <c r="M555" s="912" t="s">
        <v>3390</v>
      </c>
      <c r="R555" s="146"/>
      <c r="AE555" s="577"/>
      <c r="AF555" s="577"/>
    </row>
    <row r="556" spans="1:32" s="430" customFormat="1">
      <c r="A556" s="146"/>
      <c r="B556" s="146"/>
      <c r="M556" s="912" t="s">
        <v>3476</v>
      </c>
      <c r="R556" s="146"/>
      <c r="AE556" s="577"/>
      <c r="AF556" s="577"/>
    </row>
    <row r="557" spans="1:32" s="430" customFormat="1">
      <c r="A557" s="146"/>
      <c r="B557" s="146"/>
      <c r="M557" s="912" t="s">
        <v>3479</v>
      </c>
      <c r="R557" s="146"/>
      <c r="AE557" s="577"/>
      <c r="AF557" s="577"/>
    </row>
    <row r="558" spans="1:32" s="430" customFormat="1">
      <c r="A558" s="146"/>
      <c r="B558" s="146"/>
      <c r="M558" s="912" t="s">
        <v>3480</v>
      </c>
      <c r="R558" s="146"/>
      <c r="AE558" s="577"/>
      <c r="AF558" s="577"/>
    </row>
    <row r="559" spans="1:32" s="430" customFormat="1">
      <c r="A559" s="146"/>
      <c r="B559" s="146"/>
      <c r="M559" s="912" t="s">
        <v>3391</v>
      </c>
      <c r="R559" s="146"/>
      <c r="AE559" s="577"/>
      <c r="AF559" s="577"/>
    </row>
    <row r="560" spans="1:32" s="430" customFormat="1">
      <c r="A560" s="146"/>
      <c r="B560" s="146"/>
      <c r="M560" s="912" t="s">
        <v>3392</v>
      </c>
      <c r="R560" s="146"/>
      <c r="AE560" s="577"/>
      <c r="AF560" s="577"/>
    </row>
    <row r="561" spans="1:32" s="430" customFormat="1">
      <c r="A561" s="146"/>
      <c r="B561" s="146"/>
      <c r="R561" s="146"/>
      <c r="S561" s="146"/>
      <c r="T561" s="146"/>
      <c r="U561" s="146"/>
      <c r="V561" s="146"/>
      <c r="AE561" s="577"/>
      <c r="AF561" s="577"/>
    </row>
    <row r="562" spans="1:32" s="430" customFormat="1">
      <c r="A562" s="146"/>
      <c r="B562" s="146"/>
      <c r="R562" s="146"/>
      <c r="S562" s="146"/>
      <c r="T562" s="146"/>
      <c r="U562" s="146"/>
      <c r="V562" s="146"/>
      <c r="AE562" s="577"/>
      <c r="AF562" s="577"/>
    </row>
    <row r="563" spans="1:32" s="430" customFormat="1">
      <c r="A563" s="146"/>
      <c r="B563" s="146"/>
      <c r="R563" s="146"/>
      <c r="S563" s="146"/>
      <c r="T563" s="146"/>
      <c r="U563" s="146"/>
      <c r="V563" s="146"/>
      <c r="AE563" s="577"/>
      <c r="AF563" s="577"/>
    </row>
    <row r="564" spans="1:32" s="430" customFormat="1">
      <c r="A564" s="146"/>
      <c r="B564" s="146"/>
      <c r="R564" s="146"/>
      <c r="S564" s="146"/>
      <c r="T564" s="146"/>
      <c r="U564" s="146"/>
      <c r="V564" s="146"/>
      <c r="AE564" s="577"/>
      <c r="AF564" s="577"/>
    </row>
    <row r="565" spans="1:32">
      <c r="A565" s="146"/>
      <c r="B565" s="146"/>
      <c r="C565" s="146"/>
      <c r="D565" s="146"/>
      <c r="E565" s="146"/>
      <c r="F565" s="146"/>
      <c r="G565" s="146"/>
      <c r="H565" s="146"/>
      <c r="I565" s="146"/>
      <c r="J565" s="146"/>
      <c r="K565" s="146"/>
      <c r="L565" s="146"/>
      <c r="M565" s="146"/>
      <c r="N565" s="146"/>
      <c r="O565" s="146"/>
      <c r="P565" s="146"/>
      <c r="Q565" s="146"/>
      <c r="R565" s="146"/>
      <c r="S565" s="146"/>
      <c r="T565" s="146"/>
      <c r="U565" s="146"/>
      <c r="V565" s="146"/>
    </row>
    <row r="566" spans="1:32">
      <c r="A566" s="146"/>
      <c r="B566" s="146"/>
      <c r="C566" s="146"/>
      <c r="D566" s="146"/>
      <c r="E566" s="146"/>
      <c r="F566" s="146"/>
      <c r="G566" s="146"/>
      <c r="H566" s="146"/>
      <c r="I566" s="146"/>
      <c r="J566" s="146"/>
      <c r="K566" s="146"/>
      <c r="L566" s="146"/>
      <c r="M566" s="146"/>
      <c r="N566" s="146"/>
      <c r="O566" s="146"/>
      <c r="P566" s="146"/>
      <c r="Q566" s="146"/>
      <c r="R566" s="146"/>
      <c r="S566" s="146"/>
      <c r="T566" s="146"/>
      <c r="U566" s="146"/>
      <c r="V566" s="146"/>
    </row>
    <row r="567" spans="1:32">
      <c r="A567" s="146"/>
      <c r="B567" s="146"/>
      <c r="C567" s="146"/>
      <c r="D567" s="146"/>
      <c r="E567" s="146"/>
      <c r="F567" s="146"/>
      <c r="G567" s="146"/>
      <c r="H567" s="146"/>
      <c r="I567" s="146"/>
      <c r="J567" s="146"/>
      <c r="K567" s="146"/>
      <c r="L567" s="146"/>
      <c r="M567" s="146"/>
      <c r="N567" s="146"/>
      <c r="O567" s="146"/>
      <c r="P567" s="146"/>
      <c r="Q567" s="146"/>
      <c r="R567" s="146"/>
      <c r="S567" s="146"/>
      <c r="T567" s="146"/>
      <c r="U567" s="146"/>
      <c r="V567" s="146"/>
    </row>
    <row r="568" spans="1:32">
      <c r="A568" s="146"/>
      <c r="B568" s="146"/>
      <c r="C568" s="146"/>
      <c r="D568" s="146"/>
      <c r="E568" s="146"/>
      <c r="F568" s="146"/>
      <c r="G568" s="146"/>
      <c r="H568" s="146"/>
      <c r="I568" s="146"/>
      <c r="J568" s="146"/>
      <c r="K568" s="146"/>
      <c r="L568" s="146"/>
      <c r="M568" s="146"/>
      <c r="N568" s="146"/>
      <c r="O568" s="146"/>
      <c r="P568" s="146"/>
      <c r="Q568" s="146"/>
      <c r="R568" s="146"/>
      <c r="S568" s="146"/>
      <c r="T568" s="146"/>
      <c r="U568" s="146"/>
      <c r="V568" s="146"/>
    </row>
    <row r="569" spans="1:32">
      <c r="A569" s="146"/>
      <c r="B569" s="146"/>
      <c r="C569" s="146"/>
      <c r="D569" s="146"/>
      <c r="E569" s="146"/>
      <c r="F569" s="146"/>
      <c r="G569" s="146"/>
      <c r="H569" s="146"/>
      <c r="I569" s="146"/>
      <c r="J569" s="146"/>
      <c r="K569" s="146"/>
      <c r="L569" s="146"/>
      <c r="M569" s="146"/>
      <c r="N569" s="146"/>
      <c r="O569" s="146"/>
      <c r="P569" s="146"/>
      <c r="Q569" s="146"/>
      <c r="R569" s="146"/>
      <c r="S569" s="146"/>
      <c r="T569" s="146"/>
      <c r="U569" s="146"/>
      <c r="V569" s="146"/>
    </row>
    <row r="570" spans="1:32">
      <c r="A570" s="146"/>
      <c r="B570" s="146"/>
      <c r="C570" s="146"/>
      <c r="D570" s="146"/>
      <c r="E570" s="146"/>
      <c r="F570" s="146"/>
      <c r="G570" s="146"/>
      <c r="H570" s="146"/>
      <c r="I570" s="146"/>
      <c r="J570" s="146"/>
      <c r="K570" s="146"/>
      <c r="L570" s="146"/>
      <c r="M570" s="146"/>
      <c r="N570" s="146"/>
      <c r="O570" s="146"/>
      <c r="P570" s="146"/>
      <c r="Q570" s="146"/>
      <c r="R570" s="146"/>
      <c r="S570" s="146"/>
      <c r="T570" s="146"/>
      <c r="U570" s="146"/>
      <c r="V570" s="146"/>
    </row>
    <row r="571" spans="1:32">
      <c r="A571" s="146"/>
      <c r="B571" s="146"/>
      <c r="C571" s="146"/>
      <c r="D571" s="146"/>
      <c r="E571" s="146"/>
      <c r="F571" s="146"/>
      <c r="G571" s="146"/>
      <c r="H571" s="146"/>
      <c r="I571" s="146"/>
      <c r="J571" s="146"/>
      <c r="K571" s="146"/>
      <c r="L571" s="146"/>
      <c r="M571" s="146"/>
      <c r="N571" s="146"/>
      <c r="O571" s="146"/>
      <c r="P571" s="146"/>
      <c r="Q571" s="146"/>
      <c r="R571" s="146"/>
      <c r="S571" s="146"/>
      <c r="T571" s="146"/>
      <c r="U571" s="146"/>
      <c r="V571" s="146"/>
    </row>
    <row r="572" spans="1:32">
      <c r="A572" s="146"/>
      <c r="B572" s="146"/>
      <c r="C572" s="146"/>
      <c r="D572" s="146"/>
      <c r="E572" s="146"/>
      <c r="F572" s="146"/>
      <c r="G572" s="146"/>
      <c r="H572" s="146"/>
      <c r="I572" s="146"/>
      <c r="J572" s="146"/>
      <c r="K572" s="146"/>
      <c r="L572" s="146"/>
      <c r="M572" s="146"/>
      <c r="N572" s="146"/>
      <c r="O572" s="146"/>
      <c r="P572" s="146"/>
      <c r="Q572" s="146"/>
      <c r="R572" s="146"/>
      <c r="S572" s="146"/>
      <c r="T572" s="146"/>
      <c r="U572" s="146"/>
      <c r="V572" s="146"/>
      <c r="AE572" s="35"/>
      <c r="AF572" s="35"/>
    </row>
    <row r="573" spans="1:32">
      <c r="A573" s="146"/>
      <c r="B573" s="146"/>
      <c r="C573" s="146"/>
      <c r="D573" s="146"/>
      <c r="E573" s="146"/>
      <c r="F573" s="146"/>
      <c r="G573" s="146"/>
      <c r="H573" s="146"/>
      <c r="I573" s="146"/>
      <c r="J573" s="146"/>
      <c r="K573" s="146"/>
      <c r="L573" s="146"/>
      <c r="M573" s="146"/>
      <c r="N573" s="146"/>
      <c r="O573" s="146"/>
      <c r="P573" s="146"/>
      <c r="Q573" s="146"/>
      <c r="R573" s="146"/>
      <c r="S573" s="146"/>
      <c r="T573" s="146"/>
      <c r="U573" s="146"/>
      <c r="V573" s="146"/>
      <c r="AE573" s="35"/>
      <c r="AF573" s="35"/>
    </row>
    <row r="574" spans="1:32">
      <c r="A574" s="146"/>
      <c r="B574" s="146"/>
      <c r="C574" s="146"/>
      <c r="D574" s="146"/>
      <c r="E574" s="146"/>
      <c r="F574" s="146"/>
      <c r="G574" s="146"/>
      <c r="H574" s="146"/>
      <c r="I574" s="146"/>
      <c r="J574" s="146"/>
      <c r="K574" s="146"/>
      <c r="L574" s="146"/>
      <c r="M574" s="146"/>
      <c r="N574" s="146"/>
      <c r="O574" s="146"/>
      <c r="P574" s="146"/>
      <c r="Q574" s="146"/>
      <c r="R574" s="146"/>
      <c r="S574" s="146"/>
      <c r="T574" s="146"/>
      <c r="U574" s="146"/>
      <c r="V574" s="146"/>
      <c r="AE574" s="35"/>
      <c r="AF574" s="35"/>
    </row>
    <row r="575" spans="1:32">
      <c r="A575" s="146"/>
      <c r="B575" s="146"/>
      <c r="C575" s="146"/>
      <c r="D575" s="146"/>
      <c r="E575" s="146"/>
      <c r="F575" s="146"/>
      <c r="G575" s="146"/>
      <c r="H575" s="146"/>
      <c r="I575" s="146"/>
      <c r="J575" s="146"/>
      <c r="K575" s="146"/>
      <c r="L575" s="146"/>
      <c r="M575" s="146"/>
      <c r="N575" s="146"/>
      <c r="O575" s="146"/>
      <c r="P575" s="146"/>
      <c r="Q575" s="146"/>
      <c r="R575" s="146"/>
      <c r="S575" s="146"/>
      <c r="T575" s="146"/>
      <c r="U575" s="146"/>
      <c r="V575" s="146"/>
      <c r="AE575" s="35"/>
      <c r="AF575" s="35"/>
    </row>
    <row r="576" spans="1:32">
      <c r="A576" s="146"/>
      <c r="B576" s="146"/>
      <c r="C576" s="146"/>
      <c r="D576" s="146"/>
      <c r="E576" s="146"/>
      <c r="F576" s="146"/>
      <c r="G576" s="146"/>
      <c r="H576" s="146"/>
      <c r="I576" s="146"/>
      <c r="J576" s="146"/>
      <c r="K576" s="146"/>
      <c r="L576" s="146"/>
      <c r="M576" s="146"/>
      <c r="N576" s="146"/>
      <c r="O576" s="146"/>
      <c r="P576" s="146"/>
      <c r="Q576" s="146"/>
      <c r="R576" s="146"/>
      <c r="S576" s="146"/>
      <c r="T576" s="146"/>
      <c r="U576" s="146"/>
      <c r="V576" s="146"/>
      <c r="AE576" s="35"/>
      <c r="AF576" s="35"/>
    </row>
    <row r="577" spans="1:32">
      <c r="A577" s="146"/>
      <c r="B577" s="146"/>
      <c r="C577" s="146"/>
      <c r="D577" s="146"/>
      <c r="E577" s="146"/>
      <c r="F577" s="146"/>
      <c r="G577" s="146"/>
      <c r="H577" s="146"/>
      <c r="I577" s="146"/>
      <c r="J577" s="146"/>
      <c r="K577" s="146"/>
      <c r="L577" s="146"/>
      <c r="M577" s="146"/>
      <c r="N577" s="146"/>
      <c r="O577" s="146"/>
      <c r="P577" s="146"/>
      <c r="Q577" s="146"/>
      <c r="R577" s="146"/>
      <c r="S577" s="146"/>
      <c r="T577" s="146"/>
      <c r="U577" s="146"/>
      <c r="V577" s="146"/>
      <c r="AE577" s="35"/>
      <c r="AF577" s="35"/>
    </row>
    <row r="578" spans="1:32">
      <c r="A578" s="146"/>
      <c r="B578" s="146"/>
      <c r="C578" s="146"/>
      <c r="D578" s="146"/>
      <c r="E578" s="146"/>
      <c r="F578" s="146"/>
      <c r="G578" s="146"/>
      <c r="H578" s="146"/>
      <c r="I578" s="146"/>
      <c r="J578" s="146"/>
      <c r="K578" s="146"/>
      <c r="L578" s="146"/>
      <c r="M578" s="146"/>
      <c r="N578" s="146"/>
      <c r="O578" s="146"/>
      <c r="P578" s="146"/>
      <c r="Q578" s="146"/>
      <c r="R578" s="146"/>
      <c r="S578" s="146"/>
      <c r="T578" s="146"/>
      <c r="U578" s="146"/>
      <c r="V578" s="146"/>
      <c r="AE578" s="35"/>
      <c r="AF578" s="35"/>
    </row>
    <row r="579" spans="1:32">
      <c r="A579" s="146"/>
      <c r="B579" s="146"/>
      <c r="C579" s="146"/>
      <c r="D579" s="146"/>
      <c r="E579" s="146"/>
      <c r="F579" s="146"/>
      <c r="G579" s="146"/>
      <c r="H579" s="146"/>
      <c r="I579" s="146"/>
      <c r="J579" s="146"/>
      <c r="K579" s="146"/>
      <c r="L579" s="146"/>
      <c r="M579" s="146"/>
      <c r="N579" s="146"/>
      <c r="O579" s="146"/>
      <c r="P579" s="146"/>
      <c r="Q579" s="146"/>
      <c r="R579" s="146"/>
      <c r="S579" s="146"/>
      <c r="T579" s="146"/>
      <c r="U579" s="146"/>
      <c r="V579" s="146"/>
      <c r="AE579" s="35"/>
      <c r="AF579" s="35"/>
    </row>
    <row r="580" spans="1:32">
      <c r="A580" s="146"/>
      <c r="B580" s="146"/>
      <c r="C580" s="146"/>
      <c r="D580" s="146"/>
      <c r="E580" s="146"/>
      <c r="F580" s="146"/>
      <c r="G580" s="146"/>
      <c r="H580" s="146"/>
      <c r="I580" s="146"/>
      <c r="J580" s="146"/>
      <c r="K580" s="146"/>
      <c r="L580" s="146"/>
      <c r="M580" s="146"/>
      <c r="N580" s="146"/>
      <c r="O580" s="146"/>
      <c r="P580" s="146"/>
      <c r="Q580" s="146"/>
      <c r="R580" s="146"/>
      <c r="S580" s="146"/>
      <c r="T580" s="146"/>
      <c r="U580" s="146"/>
      <c r="V580" s="146"/>
      <c r="AE580" s="35"/>
      <c r="AF580" s="35"/>
    </row>
    <row r="581" spans="1:32">
      <c r="A581" s="146"/>
      <c r="B581" s="146"/>
      <c r="C581" s="146"/>
      <c r="D581" s="146"/>
      <c r="E581" s="146"/>
      <c r="F581" s="146"/>
      <c r="G581" s="146"/>
      <c r="H581" s="146"/>
      <c r="I581" s="146"/>
      <c r="J581" s="146"/>
      <c r="K581" s="146"/>
      <c r="L581" s="146"/>
      <c r="M581" s="146"/>
      <c r="N581" s="146"/>
      <c r="O581" s="146"/>
      <c r="P581" s="146"/>
      <c r="Q581" s="146"/>
      <c r="R581" s="146"/>
      <c r="S581" s="146"/>
      <c r="T581" s="146"/>
      <c r="U581" s="146"/>
      <c r="V581" s="146"/>
      <c r="AE581" s="35"/>
      <c r="AF581" s="35"/>
    </row>
    <row r="582" spans="1:32">
      <c r="A582" s="146"/>
      <c r="B582" s="146"/>
      <c r="C582" s="146"/>
      <c r="D582" s="146"/>
      <c r="E582" s="146"/>
      <c r="F582" s="146"/>
      <c r="G582" s="146"/>
      <c r="H582" s="146"/>
      <c r="I582" s="146"/>
      <c r="J582" s="146"/>
      <c r="K582" s="146"/>
      <c r="L582" s="146"/>
      <c r="M582" s="146"/>
      <c r="N582" s="146"/>
      <c r="O582" s="146"/>
      <c r="P582" s="146"/>
      <c r="Q582" s="146"/>
      <c r="R582" s="146"/>
      <c r="S582" s="146"/>
      <c r="T582" s="146"/>
      <c r="U582" s="146"/>
      <c r="V582" s="146"/>
      <c r="AE582" s="35"/>
      <c r="AF582" s="35"/>
    </row>
    <row r="583" spans="1:32">
      <c r="A583" s="146"/>
      <c r="B583" s="146"/>
      <c r="C583" s="146"/>
      <c r="D583" s="146"/>
      <c r="E583" s="146"/>
      <c r="F583" s="146"/>
      <c r="G583" s="146"/>
      <c r="H583" s="146"/>
      <c r="I583" s="146"/>
      <c r="J583" s="146"/>
      <c r="K583" s="146"/>
      <c r="L583" s="146"/>
      <c r="M583" s="146"/>
      <c r="N583" s="146"/>
      <c r="O583" s="146"/>
      <c r="P583" s="146"/>
      <c r="Q583" s="146"/>
      <c r="R583" s="146"/>
      <c r="S583" s="146"/>
      <c r="T583" s="146"/>
      <c r="U583" s="146"/>
      <c r="V583" s="146"/>
      <c r="AE583" s="35"/>
      <c r="AF583" s="35"/>
    </row>
    <row r="584" spans="1:32">
      <c r="A584" s="146"/>
      <c r="B584" s="146"/>
      <c r="C584" s="146"/>
      <c r="D584" s="146"/>
      <c r="E584" s="146"/>
      <c r="F584" s="146"/>
      <c r="G584" s="146"/>
      <c r="H584" s="146"/>
      <c r="I584" s="146"/>
      <c r="J584" s="146"/>
      <c r="K584" s="146"/>
      <c r="L584" s="146"/>
      <c r="M584" s="146"/>
      <c r="N584" s="146"/>
      <c r="O584" s="146"/>
      <c r="P584" s="146"/>
      <c r="Q584" s="146"/>
      <c r="R584" s="146"/>
      <c r="S584" s="146"/>
      <c r="T584" s="146"/>
      <c r="U584" s="146"/>
      <c r="V584" s="146"/>
      <c r="AE584" s="35"/>
      <c r="AF584" s="35"/>
    </row>
    <row r="585" spans="1:32">
      <c r="A585" s="146"/>
      <c r="B585" s="146"/>
      <c r="C585" s="146"/>
      <c r="D585" s="146"/>
      <c r="E585" s="146"/>
      <c r="F585" s="146"/>
      <c r="G585" s="146"/>
      <c r="H585" s="146"/>
      <c r="I585" s="146"/>
      <c r="J585" s="146"/>
      <c r="K585" s="146"/>
      <c r="L585" s="146"/>
      <c r="M585" s="146"/>
      <c r="N585" s="146"/>
      <c r="O585" s="146"/>
      <c r="P585" s="146"/>
      <c r="Q585" s="146"/>
      <c r="R585" s="146"/>
      <c r="S585" s="146"/>
      <c r="T585" s="146"/>
      <c r="U585" s="146"/>
      <c r="V585" s="146"/>
      <c r="AE585" s="35"/>
      <c r="AF585" s="35"/>
    </row>
    <row r="586" spans="1:32">
      <c r="A586" s="146"/>
      <c r="B586" s="146"/>
      <c r="C586" s="146"/>
      <c r="D586" s="146"/>
      <c r="E586" s="146"/>
      <c r="F586" s="146"/>
      <c r="G586" s="146"/>
      <c r="H586" s="146"/>
      <c r="I586" s="146"/>
      <c r="J586" s="146"/>
      <c r="K586" s="146"/>
      <c r="L586" s="146"/>
      <c r="M586" s="146"/>
      <c r="N586" s="146"/>
      <c r="O586" s="146"/>
      <c r="P586" s="146"/>
      <c r="Q586" s="146"/>
      <c r="R586" s="146"/>
      <c r="S586" s="146"/>
      <c r="T586" s="146"/>
      <c r="U586" s="146"/>
      <c r="V586" s="146"/>
      <c r="AE586" s="35"/>
      <c r="AF586" s="35"/>
    </row>
    <row r="587" spans="1:32">
      <c r="A587" s="146"/>
      <c r="B587" s="146"/>
      <c r="C587" s="146"/>
      <c r="D587" s="146"/>
      <c r="E587" s="146"/>
      <c r="F587" s="146"/>
      <c r="G587" s="146"/>
      <c r="H587" s="146"/>
      <c r="I587" s="146"/>
      <c r="J587" s="146"/>
      <c r="K587" s="146"/>
      <c r="L587" s="146"/>
      <c r="M587" s="146"/>
      <c r="N587" s="146"/>
      <c r="O587" s="146"/>
      <c r="P587" s="146"/>
      <c r="Q587" s="146"/>
      <c r="R587" s="146"/>
      <c r="S587" s="146"/>
      <c r="T587" s="146"/>
      <c r="U587" s="146"/>
      <c r="V587" s="146"/>
      <c r="AE587" s="35"/>
      <c r="AF587" s="35"/>
    </row>
    <row r="588" spans="1:32">
      <c r="A588" s="146"/>
      <c r="B588" s="146"/>
      <c r="C588" s="146"/>
      <c r="D588" s="146"/>
      <c r="E588" s="146"/>
      <c r="F588" s="146"/>
      <c r="G588" s="146"/>
      <c r="H588" s="146"/>
      <c r="I588" s="146"/>
      <c r="J588" s="146"/>
      <c r="K588" s="146"/>
      <c r="L588" s="146"/>
      <c r="M588" s="146"/>
      <c r="N588" s="146"/>
      <c r="O588" s="146"/>
      <c r="P588" s="146"/>
      <c r="Q588" s="146"/>
      <c r="R588" s="146"/>
      <c r="S588" s="146"/>
      <c r="T588" s="146"/>
      <c r="U588" s="146"/>
      <c r="V588" s="146"/>
      <c r="AE588" s="35"/>
      <c r="AF588" s="35"/>
    </row>
    <row r="589" spans="1:32">
      <c r="A589" s="146"/>
      <c r="B589" s="146"/>
      <c r="C589" s="146"/>
      <c r="D589" s="146"/>
      <c r="E589" s="146"/>
      <c r="F589" s="146"/>
      <c r="G589" s="146"/>
      <c r="H589" s="146"/>
      <c r="I589" s="146"/>
      <c r="J589" s="146"/>
      <c r="K589" s="146"/>
      <c r="L589" s="146"/>
      <c r="M589" s="146"/>
      <c r="N589" s="146"/>
      <c r="O589" s="146"/>
      <c r="P589" s="146"/>
      <c r="Q589" s="146"/>
      <c r="R589" s="146"/>
      <c r="S589" s="146"/>
      <c r="T589" s="146"/>
      <c r="U589" s="146"/>
      <c r="V589" s="146"/>
      <c r="AE589" s="35"/>
      <c r="AF589" s="35"/>
    </row>
    <row r="590" spans="1:32">
      <c r="A590" s="146"/>
      <c r="B590" s="146"/>
      <c r="C590" s="146"/>
      <c r="D590" s="146"/>
      <c r="E590" s="146"/>
      <c r="F590" s="146"/>
      <c r="G590" s="146"/>
      <c r="H590" s="146"/>
      <c r="I590" s="146"/>
      <c r="J590" s="146"/>
      <c r="K590" s="146"/>
      <c r="L590" s="146"/>
      <c r="M590" s="146"/>
      <c r="N590" s="146"/>
      <c r="O590" s="146"/>
      <c r="P590" s="146"/>
      <c r="Q590" s="146"/>
      <c r="R590" s="146"/>
      <c r="S590" s="146"/>
      <c r="T590" s="146"/>
      <c r="U590" s="146"/>
      <c r="V590" s="146"/>
      <c r="AE590" s="35"/>
      <c r="AF590" s="35"/>
    </row>
    <row r="591" spans="1:32">
      <c r="A591" s="146"/>
      <c r="B591" s="146"/>
      <c r="C591" s="146"/>
      <c r="D591" s="146"/>
      <c r="E591" s="146"/>
      <c r="F591" s="146"/>
      <c r="G591" s="146"/>
      <c r="H591" s="146"/>
      <c r="I591" s="146"/>
      <c r="J591" s="146"/>
      <c r="K591" s="146"/>
      <c r="L591" s="146"/>
      <c r="M591" s="146"/>
      <c r="N591" s="146"/>
      <c r="O591" s="146"/>
      <c r="P591" s="146"/>
      <c r="Q591" s="146"/>
      <c r="R591" s="146"/>
      <c r="S591" s="146"/>
      <c r="T591" s="146"/>
      <c r="U591" s="146"/>
      <c r="V591" s="146"/>
      <c r="AE591" s="35"/>
      <c r="AF591" s="35"/>
    </row>
    <row r="592" spans="1:32">
      <c r="A592" s="146"/>
      <c r="B592" s="146"/>
      <c r="C592" s="146"/>
      <c r="D592" s="146"/>
      <c r="E592" s="146"/>
      <c r="F592" s="146"/>
      <c r="G592" s="146"/>
      <c r="H592" s="146"/>
      <c r="I592" s="146"/>
      <c r="J592" s="146"/>
      <c r="K592" s="146"/>
      <c r="L592" s="146"/>
      <c r="M592" s="146"/>
      <c r="N592" s="146"/>
      <c r="O592" s="146"/>
      <c r="P592" s="146"/>
      <c r="Q592" s="146"/>
      <c r="R592" s="146"/>
      <c r="S592" s="146"/>
      <c r="T592" s="146"/>
      <c r="U592" s="146"/>
      <c r="V592" s="146"/>
      <c r="AE592" s="35"/>
      <c r="AF592" s="35"/>
    </row>
    <row r="593" spans="1:32">
      <c r="A593" s="146"/>
      <c r="B593" s="146"/>
      <c r="C593" s="146"/>
      <c r="D593" s="146"/>
      <c r="E593" s="146"/>
      <c r="F593" s="146"/>
      <c r="G593" s="146"/>
      <c r="H593" s="146"/>
      <c r="I593" s="146"/>
      <c r="J593" s="146"/>
      <c r="K593" s="146"/>
      <c r="L593" s="146"/>
      <c r="M593" s="146"/>
      <c r="N593" s="146"/>
      <c r="O593" s="146"/>
      <c r="P593" s="146"/>
      <c r="Q593" s="146"/>
      <c r="R593" s="146"/>
      <c r="S593" s="146"/>
      <c r="T593" s="146"/>
      <c r="U593" s="146"/>
      <c r="V593" s="146"/>
      <c r="AE593" s="35"/>
      <c r="AF593" s="35"/>
    </row>
    <row r="594" spans="1:32">
      <c r="A594" s="146"/>
      <c r="B594" s="146"/>
      <c r="C594" s="146"/>
      <c r="D594" s="146"/>
      <c r="E594" s="146"/>
      <c r="F594" s="146"/>
      <c r="G594" s="146"/>
      <c r="H594" s="146"/>
      <c r="I594" s="146"/>
      <c r="J594" s="146"/>
      <c r="K594" s="146"/>
      <c r="L594" s="146"/>
      <c r="M594" s="146"/>
      <c r="N594" s="146"/>
      <c r="O594" s="146"/>
      <c r="P594" s="146"/>
      <c r="Q594" s="146"/>
      <c r="R594" s="146"/>
      <c r="S594" s="146"/>
      <c r="T594" s="146"/>
      <c r="U594" s="146"/>
      <c r="V594" s="146"/>
      <c r="AE594" s="35"/>
      <c r="AF594" s="35"/>
    </row>
    <row r="595" spans="1:32">
      <c r="A595" s="146"/>
      <c r="B595" s="146"/>
      <c r="C595" s="146"/>
      <c r="D595" s="146"/>
      <c r="E595" s="146"/>
      <c r="F595" s="146"/>
      <c r="G595" s="146"/>
      <c r="H595" s="146"/>
      <c r="I595" s="146"/>
      <c r="J595" s="146"/>
      <c r="K595" s="146"/>
      <c r="L595" s="146"/>
      <c r="M595" s="146"/>
      <c r="N595" s="146"/>
      <c r="O595" s="146"/>
      <c r="P595" s="146"/>
      <c r="Q595" s="146"/>
      <c r="R595" s="146"/>
      <c r="S595" s="146"/>
      <c r="T595" s="146"/>
      <c r="U595" s="146"/>
      <c r="V595" s="146"/>
      <c r="AE595" s="35"/>
      <c r="AF595" s="35"/>
    </row>
    <row r="596" spans="1:32">
      <c r="A596" s="146"/>
      <c r="B596" s="146"/>
      <c r="C596" s="146"/>
      <c r="D596" s="146"/>
      <c r="E596" s="146"/>
      <c r="F596" s="146"/>
      <c r="G596" s="146"/>
      <c r="H596" s="146"/>
      <c r="I596" s="146"/>
      <c r="J596" s="146"/>
      <c r="K596" s="146"/>
      <c r="L596" s="146"/>
      <c r="M596" s="146"/>
      <c r="N596" s="146"/>
      <c r="O596" s="146"/>
      <c r="P596" s="146"/>
      <c r="Q596" s="146"/>
      <c r="R596" s="146"/>
      <c r="S596" s="146"/>
      <c r="T596" s="146"/>
      <c r="U596" s="146"/>
      <c r="V596" s="146"/>
      <c r="AE596" s="35"/>
      <c r="AF596" s="35"/>
    </row>
    <row r="597" spans="1:32">
      <c r="A597" s="146"/>
      <c r="B597" s="146"/>
      <c r="C597" s="146"/>
      <c r="D597" s="146"/>
      <c r="E597" s="146"/>
      <c r="F597" s="146"/>
      <c r="G597" s="146"/>
      <c r="H597" s="146"/>
      <c r="I597" s="146"/>
      <c r="J597" s="146"/>
      <c r="K597" s="146"/>
      <c r="L597" s="146"/>
      <c r="M597" s="146"/>
      <c r="N597" s="146"/>
      <c r="O597" s="146"/>
      <c r="P597" s="146"/>
      <c r="Q597" s="146"/>
      <c r="R597" s="146"/>
      <c r="S597" s="146"/>
      <c r="T597" s="146"/>
      <c r="U597" s="146"/>
      <c r="V597" s="146"/>
      <c r="AE597" s="35"/>
      <c r="AF597" s="35"/>
    </row>
    <row r="598" spans="1:32">
      <c r="A598" s="146"/>
      <c r="B598" s="146"/>
      <c r="C598" s="146"/>
      <c r="D598" s="146"/>
      <c r="E598" s="146"/>
      <c r="F598" s="146"/>
      <c r="G598" s="146"/>
      <c r="H598" s="146"/>
      <c r="I598" s="146"/>
      <c r="J598" s="146"/>
      <c r="K598" s="146"/>
      <c r="L598" s="146"/>
      <c r="M598" s="146"/>
      <c r="N598" s="146"/>
      <c r="O598" s="146"/>
      <c r="P598" s="146"/>
      <c r="Q598" s="146"/>
      <c r="R598" s="146"/>
      <c r="S598" s="146"/>
      <c r="T598" s="146"/>
      <c r="U598" s="146"/>
      <c r="V598" s="146"/>
      <c r="AE598" s="35"/>
      <c r="AF598" s="35"/>
    </row>
    <row r="599" spans="1:32">
      <c r="A599" s="146"/>
      <c r="B599" s="146"/>
      <c r="C599" s="146"/>
      <c r="D599" s="146"/>
      <c r="E599" s="146"/>
      <c r="F599" s="146"/>
      <c r="G599" s="146"/>
      <c r="H599" s="146"/>
      <c r="I599" s="146"/>
      <c r="J599" s="146"/>
      <c r="K599" s="146"/>
      <c r="L599" s="146"/>
      <c r="M599" s="146"/>
      <c r="N599" s="146"/>
      <c r="O599" s="146"/>
      <c r="P599" s="146"/>
      <c r="Q599" s="146"/>
      <c r="R599" s="146"/>
      <c r="S599" s="146"/>
      <c r="T599" s="146"/>
      <c r="U599" s="146"/>
      <c r="V599" s="146"/>
      <c r="AE599" s="35"/>
      <c r="AF599" s="35"/>
    </row>
    <row r="600" spans="1:32">
      <c r="A600" s="146"/>
      <c r="B600" s="146"/>
      <c r="C600" s="146"/>
      <c r="D600" s="146"/>
      <c r="E600" s="146"/>
      <c r="F600" s="146"/>
      <c r="G600" s="146"/>
      <c r="H600" s="146"/>
      <c r="I600" s="146"/>
      <c r="J600" s="146"/>
      <c r="K600" s="146"/>
      <c r="L600" s="146"/>
      <c r="M600" s="146"/>
      <c r="N600" s="146"/>
      <c r="O600" s="146"/>
      <c r="P600" s="146"/>
      <c r="Q600" s="146"/>
      <c r="R600" s="146"/>
      <c r="S600" s="146"/>
      <c r="T600" s="146"/>
      <c r="U600" s="146"/>
      <c r="V600" s="146"/>
      <c r="AE600" s="35"/>
      <c r="AF600" s="35"/>
    </row>
    <row r="601" spans="1:32">
      <c r="A601" s="146"/>
      <c r="B601" s="146"/>
      <c r="C601" s="146"/>
      <c r="D601" s="146"/>
      <c r="E601" s="146"/>
      <c r="F601" s="146"/>
      <c r="G601" s="146"/>
      <c r="H601" s="146"/>
      <c r="I601" s="146"/>
      <c r="J601" s="146"/>
      <c r="K601" s="146"/>
      <c r="L601" s="146"/>
      <c r="M601" s="146"/>
      <c r="N601" s="146"/>
      <c r="O601" s="146"/>
      <c r="P601" s="146"/>
      <c r="Q601" s="146"/>
      <c r="R601" s="146"/>
      <c r="S601" s="146"/>
      <c r="T601" s="146"/>
      <c r="U601" s="146"/>
      <c r="V601" s="146"/>
      <c r="AE601" s="35"/>
      <c r="AF601" s="35"/>
    </row>
    <row r="602" spans="1:32">
      <c r="A602" s="146"/>
      <c r="B602" s="146"/>
      <c r="C602" s="146"/>
      <c r="D602" s="146"/>
      <c r="E602" s="146"/>
      <c r="F602" s="146"/>
      <c r="G602" s="146"/>
      <c r="H602" s="146"/>
      <c r="I602" s="146"/>
      <c r="J602" s="146"/>
      <c r="K602" s="146"/>
      <c r="L602" s="146"/>
      <c r="M602" s="146"/>
      <c r="N602" s="146"/>
      <c r="O602" s="146"/>
      <c r="P602" s="146"/>
      <c r="Q602" s="146"/>
      <c r="R602" s="146"/>
      <c r="S602" s="146"/>
      <c r="T602" s="146"/>
      <c r="U602" s="146"/>
      <c r="V602" s="146"/>
      <c r="AE602" s="35"/>
      <c r="AF602" s="35"/>
    </row>
    <row r="603" spans="1:32">
      <c r="A603" s="146"/>
      <c r="B603" s="146"/>
      <c r="C603" s="146"/>
      <c r="D603" s="146"/>
      <c r="E603" s="146"/>
      <c r="F603" s="146"/>
      <c r="G603" s="146"/>
      <c r="H603" s="146"/>
      <c r="I603" s="146"/>
      <c r="J603" s="146"/>
      <c r="K603" s="146"/>
      <c r="L603" s="146"/>
      <c r="M603" s="146"/>
      <c r="N603" s="146"/>
      <c r="O603" s="146"/>
      <c r="P603" s="146"/>
      <c r="Q603" s="146"/>
      <c r="R603" s="146"/>
      <c r="S603" s="146"/>
      <c r="T603" s="146"/>
      <c r="U603" s="146"/>
      <c r="V603" s="146"/>
      <c r="AE603" s="35"/>
      <c r="AF603" s="35"/>
    </row>
    <row r="604" spans="1:32">
      <c r="A604" s="146"/>
      <c r="B604" s="146"/>
      <c r="C604" s="146"/>
      <c r="D604" s="146"/>
      <c r="E604" s="146"/>
      <c r="F604" s="146"/>
      <c r="G604" s="146"/>
      <c r="H604" s="146"/>
      <c r="I604" s="146"/>
      <c r="J604" s="146"/>
      <c r="K604" s="146"/>
      <c r="L604" s="146"/>
      <c r="M604" s="146"/>
      <c r="N604" s="146"/>
      <c r="O604" s="146"/>
      <c r="P604" s="146"/>
      <c r="Q604" s="146"/>
      <c r="R604" s="146"/>
      <c r="S604" s="146"/>
      <c r="T604" s="146"/>
      <c r="U604" s="146"/>
      <c r="V604" s="146"/>
      <c r="AE604" s="35"/>
      <c r="AF604" s="35"/>
    </row>
    <row r="605" spans="1:32">
      <c r="A605" s="146"/>
      <c r="B605" s="146"/>
      <c r="C605" s="146"/>
      <c r="D605" s="146"/>
      <c r="E605" s="146"/>
      <c r="F605" s="146"/>
      <c r="G605" s="146"/>
      <c r="H605" s="146"/>
      <c r="I605" s="146"/>
      <c r="J605" s="146"/>
      <c r="K605" s="146"/>
      <c r="L605" s="146"/>
      <c r="M605" s="146"/>
      <c r="N605" s="146"/>
      <c r="O605" s="146"/>
      <c r="P605" s="146"/>
      <c r="Q605" s="146"/>
      <c r="R605" s="146"/>
      <c r="S605" s="146"/>
      <c r="T605" s="146"/>
      <c r="U605" s="146"/>
      <c r="V605" s="146"/>
      <c r="AE605" s="35"/>
      <c r="AF605" s="35"/>
    </row>
    <row r="606" spans="1:32">
      <c r="A606" s="146"/>
      <c r="B606" s="146"/>
      <c r="C606" s="146"/>
      <c r="D606" s="146"/>
      <c r="E606" s="146"/>
      <c r="F606" s="146"/>
      <c r="G606" s="146"/>
      <c r="H606" s="146"/>
      <c r="I606" s="146"/>
      <c r="J606" s="146"/>
      <c r="K606" s="146"/>
      <c r="L606" s="146"/>
      <c r="M606" s="146"/>
      <c r="N606" s="146"/>
      <c r="O606" s="146"/>
      <c r="P606" s="146"/>
      <c r="Q606" s="146"/>
      <c r="R606" s="146"/>
      <c r="S606" s="146"/>
      <c r="T606" s="146"/>
      <c r="U606" s="146"/>
      <c r="V606" s="146"/>
      <c r="AE606" s="35"/>
      <c r="AF606" s="35"/>
    </row>
    <row r="607" spans="1:32">
      <c r="A607" s="146"/>
      <c r="B607" s="146"/>
      <c r="C607" s="146"/>
      <c r="D607" s="146"/>
      <c r="E607" s="146"/>
      <c r="F607" s="146"/>
      <c r="G607" s="146"/>
      <c r="H607" s="146"/>
      <c r="I607" s="146"/>
      <c r="J607" s="146"/>
      <c r="K607" s="146"/>
      <c r="L607" s="146"/>
      <c r="M607" s="146"/>
      <c r="N607" s="146"/>
      <c r="O607" s="146"/>
      <c r="P607" s="146"/>
      <c r="Q607" s="146"/>
      <c r="R607" s="146"/>
      <c r="S607" s="146"/>
      <c r="T607" s="146"/>
      <c r="U607" s="146"/>
      <c r="V607" s="146"/>
      <c r="AE607" s="35"/>
      <c r="AF607" s="35"/>
    </row>
    <row r="608" spans="1:32">
      <c r="A608" s="146"/>
      <c r="B608" s="146"/>
      <c r="C608" s="146"/>
      <c r="D608" s="146"/>
      <c r="E608" s="146"/>
      <c r="F608" s="146"/>
      <c r="G608" s="146"/>
      <c r="H608" s="146"/>
      <c r="I608" s="146"/>
      <c r="J608" s="146"/>
      <c r="K608" s="146"/>
      <c r="L608" s="146"/>
      <c r="M608" s="146"/>
      <c r="N608" s="146"/>
      <c r="O608" s="146"/>
      <c r="P608" s="146"/>
      <c r="Q608" s="146"/>
      <c r="R608" s="146"/>
      <c r="S608" s="146"/>
      <c r="T608" s="146"/>
      <c r="U608" s="146"/>
      <c r="V608" s="146"/>
      <c r="AE608" s="35"/>
      <c r="AF608" s="35"/>
    </row>
    <row r="609" spans="1:32">
      <c r="A609" s="146"/>
      <c r="B609" s="146"/>
      <c r="C609" s="146"/>
      <c r="D609" s="146"/>
      <c r="E609" s="146"/>
      <c r="F609" s="146"/>
      <c r="G609" s="146"/>
      <c r="H609" s="146"/>
      <c r="I609" s="146"/>
      <c r="J609" s="146"/>
      <c r="K609" s="146"/>
      <c r="L609" s="146"/>
      <c r="M609" s="146"/>
      <c r="N609" s="146"/>
      <c r="O609" s="146"/>
      <c r="P609" s="146"/>
      <c r="Q609" s="146"/>
      <c r="R609" s="146"/>
      <c r="S609" s="146"/>
      <c r="T609" s="146"/>
      <c r="U609" s="146"/>
      <c r="V609" s="146"/>
      <c r="AE609" s="35"/>
      <c r="AF609" s="35"/>
    </row>
    <row r="610" spans="1:32">
      <c r="A610" s="146"/>
      <c r="B610" s="146"/>
      <c r="C610" s="146"/>
      <c r="D610" s="146"/>
      <c r="E610" s="146"/>
      <c r="F610" s="146"/>
      <c r="G610" s="146"/>
      <c r="H610" s="146"/>
      <c r="I610" s="146"/>
      <c r="J610" s="146"/>
      <c r="K610" s="146"/>
      <c r="L610" s="146"/>
      <c r="M610" s="146"/>
      <c r="N610" s="146"/>
      <c r="O610" s="146"/>
      <c r="P610" s="146"/>
      <c r="Q610" s="146"/>
      <c r="R610" s="146"/>
      <c r="S610" s="146"/>
      <c r="T610" s="146"/>
      <c r="U610" s="146"/>
      <c r="V610" s="146"/>
      <c r="AE610" s="35"/>
      <c r="AF610" s="35"/>
    </row>
    <row r="611" spans="1:32">
      <c r="A611" s="146"/>
      <c r="B611" s="146"/>
      <c r="C611" s="146"/>
      <c r="D611" s="146"/>
      <c r="E611" s="146"/>
      <c r="F611" s="146"/>
      <c r="G611" s="146"/>
      <c r="H611" s="146"/>
      <c r="I611" s="146"/>
      <c r="J611" s="146"/>
      <c r="K611" s="146"/>
      <c r="L611" s="146"/>
      <c r="M611" s="146"/>
      <c r="N611" s="146"/>
      <c r="O611" s="146"/>
      <c r="P611" s="146"/>
      <c r="Q611" s="146"/>
      <c r="R611" s="146"/>
      <c r="S611" s="146"/>
      <c r="T611" s="146"/>
      <c r="U611" s="146"/>
      <c r="V611" s="146"/>
      <c r="AE611" s="35"/>
      <c r="AF611" s="35"/>
    </row>
    <row r="612" spans="1:32">
      <c r="A612" s="146"/>
      <c r="B612" s="146"/>
      <c r="C612" s="146"/>
      <c r="D612" s="146"/>
      <c r="E612" s="146"/>
      <c r="F612" s="146"/>
      <c r="G612" s="146"/>
      <c r="H612" s="146"/>
      <c r="I612" s="146"/>
      <c r="J612" s="146"/>
      <c r="K612" s="146"/>
      <c r="L612" s="146"/>
      <c r="M612" s="146"/>
      <c r="N612" s="146"/>
      <c r="O612" s="146"/>
      <c r="P612" s="146"/>
      <c r="Q612" s="146"/>
      <c r="R612" s="146"/>
      <c r="S612" s="146"/>
      <c r="T612" s="146"/>
      <c r="U612" s="146"/>
      <c r="V612" s="146"/>
      <c r="AE612" s="35"/>
      <c r="AF612" s="35"/>
    </row>
    <row r="613" spans="1:32">
      <c r="A613" s="146"/>
      <c r="B613" s="146"/>
      <c r="C613" s="146"/>
      <c r="D613" s="146"/>
      <c r="E613" s="146"/>
      <c r="F613" s="146"/>
      <c r="G613" s="146"/>
      <c r="H613" s="146"/>
      <c r="I613" s="146"/>
      <c r="J613" s="146"/>
      <c r="K613" s="146"/>
      <c r="L613" s="146"/>
      <c r="M613" s="146"/>
      <c r="N613" s="146"/>
      <c r="O613" s="146"/>
      <c r="P613" s="146"/>
      <c r="Q613" s="146"/>
      <c r="R613" s="146"/>
      <c r="S613" s="146"/>
      <c r="T613" s="146"/>
      <c r="U613" s="146"/>
      <c r="V613" s="146"/>
      <c r="AE613" s="35"/>
      <c r="AF613" s="35"/>
    </row>
    <row r="614" spans="1:32">
      <c r="A614" s="146"/>
      <c r="B614" s="146"/>
      <c r="C614" s="146"/>
      <c r="D614" s="146"/>
      <c r="E614" s="146"/>
      <c r="F614" s="146"/>
      <c r="G614" s="146"/>
      <c r="H614" s="146"/>
      <c r="I614" s="146"/>
      <c r="J614" s="146"/>
      <c r="K614" s="146"/>
      <c r="L614" s="146"/>
      <c r="M614" s="146"/>
      <c r="N614" s="146"/>
      <c r="O614" s="146"/>
      <c r="P614" s="146"/>
      <c r="Q614" s="146"/>
      <c r="R614" s="146"/>
      <c r="S614" s="146"/>
      <c r="T614" s="146"/>
      <c r="U614" s="146"/>
      <c r="V614" s="146"/>
      <c r="AE614" s="35"/>
      <c r="AF614" s="35"/>
    </row>
    <row r="615" spans="1:32">
      <c r="A615" s="146"/>
      <c r="B615" s="146"/>
      <c r="C615" s="146"/>
      <c r="D615" s="146"/>
      <c r="E615" s="146"/>
      <c r="F615" s="146"/>
      <c r="G615" s="146"/>
      <c r="H615" s="146"/>
      <c r="I615" s="146"/>
      <c r="J615" s="146"/>
      <c r="K615" s="146"/>
      <c r="L615" s="146"/>
      <c r="M615" s="146"/>
      <c r="N615" s="146"/>
      <c r="O615" s="146"/>
      <c r="P615" s="146"/>
      <c r="Q615" s="146"/>
      <c r="R615" s="146"/>
      <c r="S615" s="146"/>
      <c r="T615" s="146"/>
      <c r="U615" s="146"/>
      <c r="V615" s="146"/>
      <c r="AE615" s="35"/>
      <c r="AF615" s="35"/>
    </row>
    <row r="616" spans="1:32">
      <c r="A616" s="146"/>
      <c r="B616" s="146"/>
      <c r="C616" s="146"/>
      <c r="D616" s="146"/>
      <c r="E616" s="146"/>
      <c r="F616" s="146"/>
      <c r="G616" s="146"/>
      <c r="H616" s="146"/>
      <c r="I616" s="146"/>
      <c r="J616" s="146"/>
      <c r="K616" s="146"/>
      <c r="L616" s="146"/>
      <c r="M616" s="146"/>
      <c r="N616" s="146"/>
      <c r="O616" s="146"/>
      <c r="P616" s="146"/>
      <c r="Q616" s="146"/>
      <c r="R616" s="146"/>
      <c r="S616" s="146"/>
      <c r="T616" s="146"/>
      <c r="U616" s="146"/>
      <c r="V616" s="146"/>
      <c r="AE616" s="35"/>
      <c r="AF616" s="35"/>
    </row>
    <row r="617" spans="1:32">
      <c r="A617" s="146"/>
      <c r="B617" s="146"/>
      <c r="C617" s="146"/>
      <c r="D617" s="146"/>
      <c r="E617" s="146"/>
      <c r="F617" s="146"/>
      <c r="G617" s="146"/>
      <c r="H617" s="146"/>
      <c r="I617" s="146"/>
      <c r="J617" s="146"/>
      <c r="K617" s="146"/>
      <c r="L617" s="146"/>
      <c r="M617" s="146"/>
      <c r="N617" s="146"/>
      <c r="O617" s="146"/>
      <c r="P617" s="146"/>
      <c r="Q617" s="146"/>
      <c r="R617" s="146"/>
      <c r="S617" s="146"/>
      <c r="T617" s="146"/>
      <c r="U617" s="146"/>
      <c r="V617" s="146"/>
      <c r="AE617" s="35"/>
      <c r="AF617" s="35"/>
    </row>
    <row r="618" spans="1:32">
      <c r="A618" s="146"/>
      <c r="B618" s="146"/>
      <c r="C618" s="146"/>
      <c r="D618" s="146"/>
      <c r="E618" s="146"/>
      <c r="F618" s="146"/>
      <c r="G618" s="146"/>
      <c r="H618" s="146"/>
      <c r="I618" s="146"/>
      <c r="J618" s="146"/>
      <c r="K618" s="146"/>
      <c r="L618" s="146"/>
      <c r="M618" s="146"/>
      <c r="N618" s="146"/>
      <c r="O618" s="146"/>
      <c r="P618" s="146"/>
      <c r="Q618" s="146"/>
      <c r="R618" s="146"/>
      <c r="S618" s="146"/>
      <c r="T618" s="146"/>
      <c r="U618" s="146"/>
      <c r="V618" s="146"/>
      <c r="AE618" s="35"/>
      <c r="AF618" s="35"/>
    </row>
    <row r="619" spans="1:32">
      <c r="A619" s="146"/>
      <c r="B619" s="146"/>
      <c r="C619" s="146"/>
      <c r="D619" s="146"/>
      <c r="E619" s="146"/>
      <c r="F619" s="146"/>
      <c r="G619" s="146"/>
      <c r="H619" s="146"/>
      <c r="I619" s="146"/>
      <c r="J619" s="146"/>
      <c r="K619" s="146"/>
      <c r="L619" s="146"/>
      <c r="M619" s="146"/>
      <c r="N619" s="146"/>
      <c r="O619" s="146"/>
      <c r="P619" s="146"/>
      <c r="Q619" s="146"/>
      <c r="R619" s="146"/>
      <c r="S619" s="146"/>
      <c r="T619" s="146"/>
      <c r="U619" s="146"/>
      <c r="V619" s="146"/>
      <c r="AE619" s="35"/>
      <c r="AF619" s="35"/>
    </row>
    <row r="620" spans="1:32">
      <c r="A620" s="146"/>
      <c r="B620" s="146"/>
      <c r="C620" s="146"/>
      <c r="D620" s="146"/>
      <c r="E620" s="146"/>
      <c r="F620" s="146"/>
      <c r="G620" s="146"/>
      <c r="H620" s="146"/>
      <c r="I620" s="146"/>
      <c r="J620" s="146"/>
      <c r="K620" s="146"/>
      <c r="L620" s="146"/>
      <c r="M620" s="146"/>
      <c r="N620" s="146"/>
      <c r="O620" s="146"/>
      <c r="P620" s="146"/>
      <c r="Q620" s="146"/>
      <c r="R620" s="146"/>
      <c r="S620" s="146"/>
      <c r="T620" s="146"/>
      <c r="U620" s="146"/>
      <c r="V620" s="146"/>
      <c r="AE620" s="35"/>
      <c r="AF620" s="35"/>
    </row>
    <row r="621" spans="1:32">
      <c r="A621" s="146"/>
      <c r="B621" s="146"/>
      <c r="C621" s="146"/>
      <c r="D621" s="146"/>
      <c r="E621" s="146"/>
      <c r="F621" s="146"/>
      <c r="G621" s="146"/>
      <c r="H621" s="146"/>
      <c r="I621" s="146"/>
      <c r="J621" s="146"/>
      <c r="K621" s="146"/>
      <c r="L621" s="146"/>
      <c r="M621" s="146"/>
      <c r="N621" s="146"/>
      <c r="O621" s="146"/>
      <c r="P621" s="146"/>
      <c r="Q621" s="146"/>
      <c r="R621" s="146"/>
      <c r="S621" s="146"/>
      <c r="T621" s="146"/>
      <c r="U621" s="146"/>
      <c r="V621" s="146"/>
      <c r="AE621" s="35"/>
      <c r="AF621" s="35"/>
    </row>
    <row r="622" spans="1:32">
      <c r="A622" s="146"/>
      <c r="B622" s="146"/>
      <c r="C622" s="146"/>
      <c r="D622" s="146"/>
      <c r="E622" s="146"/>
      <c r="F622" s="146"/>
      <c r="G622" s="146"/>
      <c r="H622" s="146"/>
      <c r="I622" s="146"/>
      <c r="J622" s="146"/>
      <c r="K622" s="146"/>
      <c r="L622" s="146"/>
      <c r="M622" s="146"/>
      <c r="N622" s="146"/>
      <c r="O622" s="146"/>
      <c r="P622" s="146"/>
      <c r="Q622" s="146"/>
      <c r="R622" s="146"/>
      <c r="S622" s="146"/>
      <c r="T622" s="146"/>
      <c r="U622" s="146"/>
      <c r="V622" s="146"/>
      <c r="AE622" s="35"/>
      <c r="AF622" s="35"/>
    </row>
    <row r="623" spans="1:32">
      <c r="A623" s="146"/>
      <c r="B623" s="146"/>
      <c r="C623" s="146"/>
      <c r="D623" s="146"/>
      <c r="E623" s="146"/>
      <c r="F623" s="146"/>
      <c r="G623" s="146"/>
      <c r="H623" s="146"/>
      <c r="I623" s="146"/>
      <c r="J623" s="146"/>
      <c r="K623" s="146"/>
      <c r="L623" s="146"/>
      <c r="M623" s="146"/>
      <c r="N623" s="146"/>
      <c r="O623" s="146"/>
      <c r="P623" s="146"/>
      <c r="Q623" s="146"/>
      <c r="R623" s="146"/>
      <c r="S623" s="146"/>
      <c r="T623" s="146"/>
      <c r="U623" s="146"/>
      <c r="V623" s="146"/>
      <c r="AE623" s="35"/>
      <c r="AF623" s="35"/>
    </row>
    <row r="624" spans="1:32">
      <c r="A624" s="146"/>
      <c r="B624" s="146"/>
      <c r="C624" s="146"/>
      <c r="D624" s="146"/>
      <c r="E624" s="146"/>
      <c r="F624" s="146"/>
      <c r="G624" s="146"/>
      <c r="H624" s="146"/>
      <c r="I624" s="146"/>
      <c r="J624" s="146"/>
      <c r="K624" s="146"/>
      <c r="L624" s="146"/>
      <c r="M624" s="146"/>
      <c r="N624" s="146"/>
      <c r="O624" s="146"/>
      <c r="P624" s="146"/>
      <c r="Q624" s="146"/>
      <c r="R624" s="146"/>
      <c r="S624" s="146"/>
      <c r="T624" s="146"/>
      <c r="U624" s="146"/>
      <c r="V624" s="146"/>
      <c r="AE624" s="35"/>
      <c r="AF624" s="35"/>
    </row>
    <row r="625" spans="1:32">
      <c r="A625" s="146"/>
      <c r="B625" s="146"/>
      <c r="C625" s="146"/>
      <c r="D625" s="146"/>
      <c r="E625" s="146"/>
      <c r="F625" s="146"/>
      <c r="G625" s="146"/>
      <c r="H625" s="146"/>
      <c r="I625" s="146"/>
      <c r="J625" s="146"/>
      <c r="K625" s="146"/>
      <c r="L625" s="146"/>
      <c r="M625" s="146"/>
      <c r="N625" s="146"/>
      <c r="O625" s="146"/>
      <c r="P625" s="146"/>
      <c r="Q625" s="146"/>
      <c r="R625" s="146"/>
      <c r="S625" s="146"/>
      <c r="T625" s="146"/>
      <c r="U625" s="146"/>
      <c r="V625" s="146"/>
      <c r="AE625" s="35"/>
      <c r="AF625" s="35"/>
    </row>
    <row r="626" spans="1:32">
      <c r="A626" s="146"/>
      <c r="B626" s="146"/>
      <c r="C626" s="146"/>
      <c r="D626" s="146"/>
      <c r="E626" s="146"/>
      <c r="F626" s="146"/>
      <c r="G626" s="146"/>
      <c r="H626" s="146"/>
      <c r="I626" s="146"/>
      <c r="J626" s="146"/>
      <c r="K626" s="146"/>
      <c r="L626" s="146"/>
      <c r="M626" s="146"/>
      <c r="N626" s="146"/>
      <c r="O626" s="146"/>
      <c r="P626" s="146"/>
      <c r="Q626" s="146"/>
      <c r="R626" s="146"/>
      <c r="S626" s="146"/>
      <c r="T626" s="146"/>
      <c r="U626" s="146"/>
      <c r="V626" s="146"/>
      <c r="AE626" s="35"/>
      <c r="AF626" s="35"/>
    </row>
    <row r="627" spans="1:32">
      <c r="A627" s="146"/>
      <c r="B627" s="146"/>
      <c r="C627" s="146"/>
      <c r="D627" s="146"/>
      <c r="E627" s="146"/>
      <c r="F627" s="146"/>
      <c r="G627" s="146"/>
      <c r="H627" s="146"/>
      <c r="I627" s="146"/>
      <c r="J627" s="146"/>
      <c r="K627" s="146"/>
      <c r="L627" s="146"/>
      <c r="M627" s="146"/>
      <c r="N627" s="146"/>
      <c r="O627" s="146"/>
      <c r="P627" s="146"/>
      <c r="Q627" s="146"/>
      <c r="R627" s="146"/>
      <c r="S627" s="146"/>
      <c r="T627" s="146"/>
      <c r="U627" s="146"/>
      <c r="V627" s="146"/>
      <c r="AE627" s="35"/>
      <c r="AF627" s="35"/>
    </row>
    <row r="628" spans="1:32">
      <c r="A628" s="146"/>
      <c r="B628" s="146"/>
      <c r="C628" s="146"/>
      <c r="D628" s="146"/>
      <c r="E628" s="146"/>
      <c r="F628" s="146"/>
      <c r="G628" s="146"/>
      <c r="H628" s="146"/>
      <c r="I628" s="146"/>
      <c r="J628" s="146"/>
      <c r="K628" s="146"/>
      <c r="L628" s="146"/>
      <c r="M628" s="146"/>
      <c r="N628" s="146"/>
      <c r="O628" s="146"/>
      <c r="P628" s="146"/>
      <c r="Q628" s="146"/>
      <c r="R628" s="146"/>
      <c r="S628" s="146"/>
      <c r="T628" s="146"/>
      <c r="U628" s="146"/>
      <c r="V628" s="146"/>
      <c r="AE628" s="35"/>
      <c r="AF628" s="35"/>
    </row>
    <row r="629" spans="1:32">
      <c r="A629" s="146"/>
      <c r="B629" s="146"/>
      <c r="C629" s="146"/>
      <c r="D629" s="146"/>
      <c r="E629" s="146"/>
      <c r="F629" s="146"/>
      <c r="G629" s="146"/>
      <c r="H629" s="146"/>
      <c r="I629" s="146"/>
      <c r="J629" s="146"/>
      <c r="K629" s="146"/>
      <c r="L629" s="146"/>
      <c r="M629" s="146"/>
      <c r="N629" s="146"/>
      <c r="O629" s="146"/>
      <c r="P629" s="146"/>
      <c r="Q629" s="146"/>
      <c r="R629" s="146"/>
      <c r="S629" s="146"/>
      <c r="T629" s="146"/>
      <c r="U629" s="146"/>
      <c r="V629" s="146"/>
      <c r="AE629" s="35"/>
      <c r="AF629" s="35"/>
    </row>
    <row r="630" spans="1:32">
      <c r="A630" s="146"/>
      <c r="B630" s="146"/>
      <c r="C630" s="146"/>
      <c r="D630" s="146"/>
      <c r="E630" s="146"/>
      <c r="F630" s="146"/>
      <c r="G630" s="146"/>
      <c r="H630" s="146"/>
      <c r="I630" s="146"/>
      <c r="J630" s="146"/>
      <c r="K630" s="146"/>
      <c r="L630" s="146"/>
      <c r="M630" s="146"/>
      <c r="N630" s="146"/>
      <c r="O630" s="146"/>
      <c r="P630" s="146"/>
      <c r="Q630" s="146"/>
      <c r="R630" s="146"/>
      <c r="S630" s="146"/>
      <c r="T630" s="146"/>
      <c r="U630" s="146"/>
      <c r="V630" s="146"/>
      <c r="AE630" s="35"/>
      <c r="AF630" s="35"/>
    </row>
    <row r="631" spans="1:32">
      <c r="A631" s="146"/>
      <c r="B631" s="146"/>
      <c r="C631" s="146"/>
      <c r="D631" s="146"/>
      <c r="E631" s="146"/>
      <c r="F631" s="146"/>
      <c r="G631" s="146"/>
      <c r="H631" s="146"/>
      <c r="I631" s="146"/>
      <c r="J631" s="146"/>
      <c r="K631" s="146"/>
      <c r="L631" s="146"/>
      <c r="M631" s="146"/>
      <c r="N631" s="146"/>
      <c r="O631" s="146"/>
      <c r="P631" s="146"/>
      <c r="Q631" s="146"/>
      <c r="R631" s="146"/>
      <c r="S631" s="146"/>
      <c r="T631" s="146"/>
      <c r="U631" s="146"/>
      <c r="V631" s="146"/>
      <c r="AE631" s="35"/>
      <c r="AF631" s="35"/>
    </row>
    <row r="632" spans="1:32">
      <c r="A632" s="146"/>
      <c r="B632" s="146"/>
      <c r="C632" s="146"/>
      <c r="D632" s="146"/>
      <c r="E632" s="146"/>
      <c r="F632" s="146"/>
      <c r="G632" s="146"/>
      <c r="H632" s="146"/>
      <c r="I632" s="146"/>
      <c r="J632" s="146"/>
      <c r="K632" s="146"/>
      <c r="L632" s="146"/>
      <c r="M632" s="146"/>
      <c r="N632" s="146"/>
      <c r="O632" s="146"/>
      <c r="P632" s="146"/>
      <c r="Q632" s="146"/>
      <c r="R632" s="146"/>
      <c r="S632" s="146"/>
      <c r="T632" s="146"/>
      <c r="U632" s="146"/>
      <c r="V632" s="146"/>
      <c r="AE632" s="35"/>
      <c r="AF632" s="35"/>
    </row>
    <row r="633" spans="1:32">
      <c r="A633" s="146"/>
      <c r="B633" s="146"/>
      <c r="C633" s="146"/>
      <c r="D633" s="146"/>
      <c r="E633" s="146"/>
      <c r="F633" s="146"/>
      <c r="G633" s="146"/>
      <c r="H633" s="146"/>
      <c r="I633" s="146"/>
      <c r="J633" s="146"/>
      <c r="K633" s="146"/>
      <c r="L633" s="146"/>
      <c r="M633" s="146"/>
      <c r="N633" s="146"/>
      <c r="O633" s="146"/>
      <c r="P633" s="146"/>
      <c r="Q633" s="146"/>
      <c r="R633" s="146"/>
      <c r="S633" s="146"/>
      <c r="T633" s="146"/>
      <c r="U633" s="146"/>
      <c r="V633" s="146"/>
      <c r="AE633" s="35"/>
      <c r="AF633" s="35"/>
    </row>
    <row r="634" spans="1:32">
      <c r="A634" s="146"/>
      <c r="B634" s="146"/>
      <c r="C634" s="146"/>
      <c r="D634" s="146"/>
      <c r="E634" s="146"/>
      <c r="F634" s="146"/>
      <c r="G634" s="146"/>
      <c r="H634" s="146"/>
      <c r="I634" s="146"/>
      <c r="J634" s="146"/>
      <c r="K634" s="146"/>
      <c r="L634" s="146"/>
      <c r="M634" s="146"/>
      <c r="N634" s="146"/>
      <c r="O634" s="146"/>
      <c r="P634" s="146"/>
      <c r="Q634" s="146"/>
      <c r="R634" s="146"/>
      <c r="S634" s="146"/>
      <c r="T634" s="146"/>
      <c r="U634" s="146"/>
      <c r="V634" s="146"/>
      <c r="AE634" s="35"/>
      <c r="AF634" s="35"/>
    </row>
    <row r="635" spans="1:32">
      <c r="A635" s="146"/>
      <c r="B635" s="146"/>
      <c r="C635" s="146"/>
      <c r="D635" s="146"/>
      <c r="E635" s="146"/>
      <c r="F635" s="146"/>
      <c r="G635" s="146"/>
      <c r="H635" s="146"/>
      <c r="I635" s="146"/>
      <c r="J635" s="146"/>
      <c r="K635" s="146"/>
      <c r="L635" s="146"/>
      <c r="M635" s="146"/>
      <c r="N635" s="146"/>
      <c r="O635" s="146"/>
      <c r="P635" s="146"/>
      <c r="Q635" s="146"/>
      <c r="R635" s="146"/>
      <c r="S635" s="146"/>
      <c r="T635" s="146"/>
      <c r="U635" s="146"/>
      <c r="V635" s="146"/>
      <c r="AE635" s="35"/>
      <c r="AF635" s="35"/>
    </row>
    <row r="636" spans="1:32">
      <c r="A636" s="146"/>
      <c r="B636" s="146"/>
      <c r="C636" s="146"/>
      <c r="D636" s="146"/>
      <c r="E636" s="146"/>
      <c r="F636" s="146"/>
      <c r="G636" s="146"/>
      <c r="H636" s="146"/>
      <c r="I636" s="146"/>
      <c r="J636" s="146"/>
      <c r="K636" s="146"/>
      <c r="L636" s="146"/>
      <c r="M636" s="146"/>
      <c r="N636" s="146"/>
      <c r="O636" s="146"/>
      <c r="P636" s="146"/>
      <c r="Q636" s="146"/>
      <c r="R636" s="146"/>
      <c r="S636" s="146"/>
      <c r="T636" s="146"/>
      <c r="U636" s="146"/>
      <c r="V636" s="146"/>
      <c r="AE636" s="35"/>
      <c r="AF636" s="35"/>
    </row>
    <row r="637" spans="1:32">
      <c r="A637" s="146"/>
      <c r="B637" s="146"/>
      <c r="C637" s="146"/>
      <c r="D637" s="146"/>
      <c r="E637" s="146"/>
      <c r="F637" s="146"/>
      <c r="G637" s="146"/>
      <c r="H637" s="146"/>
      <c r="I637" s="146"/>
      <c r="J637" s="146"/>
      <c r="K637" s="146"/>
      <c r="L637" s="146"/>
      <c r="M637" s="146"/>
      <c r="N637" s="146"/>
      <c r="O637" s="146"/>
      <c r="P637" s="146"/>
      <c r="Q637" s="146"/>
      <c r="R637" s="146"/>
      <c r="S637" s="146"/>
      <c r="T637" s="146"/>
      <c r="U637" s="146"/>
      <c r="V637" s="146"/>
      <c r="AE637" s="35"/>
      <c r="AF637" s="35"/>
    </row>
    <row r="638" spans="1:32">
      <c r="A638" s="146"/>
      <c r="B638" s="146"/>
      <c r="C638" s="146"/>
      <c r="D638" s="146"/>
      <c r="E638" s="146"/>
      <c r="F638" s="146"/>
      <c r="G638" s="146"/>
      <c r="H638" s="146"/>
      <c r="I638" s="146"/>
      <c r="J638" s="146"/>
      <c r="K638" s="146"/>
      <c r="L638" s="146"/>
      <c r="M638" s="146"/>
      <c r="N638" s="146"/>
      <c r="O638" s="146"/>
      <c r="P638" s="146"/>
      <c r="Q638" s="146"/>
      <c r="R638" s="146"/>
      <c r="S638" s="146"/>
      <c r="T638" s="146"/>
      <c r="U638" s="146"/>
      <c r="V638" s="146"/>
      <c r="AE638" s="35"/>
      <c r="AF638" s="35"/>
    </row>
    <row r="639" spans="1:32">
      <c r="A639" s="146"/>
      <c r="B639" s="146"/>
      <c r="C639" s="146"/>
      <c r="D639" s="146"/>
      <c r="E639" s="146"/>
      <c r="F639" s="146"/>
      <c r="G639" s="146"/>
      <c r="H639" s="146"/>
      <c r="I639" s="146"/>
      <c r="J639" s="146"/>
      <c r="K639" s="146"/>
      <c r="L639" s="146"/>
      <c r="M639" s="146"/>
      <c r="N639" s="146"/>
      <c r="O639" s="146"/>
      <c r="P639" s="146"/>
      <c r="Q639" s="146"/>
      <c r="R639" s="146"/>
      <c r="S639" s="146"/>
      <c r="T639" s="146"/>
      <c r="U639" s="146"/>
      <c r="V639" s="146"/>
      <c r="AE639" s="35"/>
      <c r="AF639" s="35"/>
    </row>
    <row r="640" spans="1:32">
      <c r="A640" s="146"/>
      <c r="B640" s="146"/>
      <c r="C640" s="146"/>
      <c r="D640" s="146"/>
      <c r="E640" s="146"/>
      <c r="F640" s="146"/>
      <c r="G640" s="146"/>
      <c r="H640" s="146"/>
      <c r="I640" s="146"/>
      <c r="J640" s="146"/>
      <c r="K640" s="146"/>
      <c r="L640" s="146"/>
      <c r="M640" s="146"/>
      <c r="N640" s="146"/>
      <c r="O640" s="146"/>
      <c r="P640" s="146"/>
      <c r="Q640" s="146"/>
      <c r="R640" s="146"/>
      <c r="S640" s="146"/>
      <c r="T640" s="146"/>
      <c r="U640" s="146"/>
      <c r="V640" s="146"/>
      <c r="AE640" s="35"/>
      <c r="AF640" s="35"/>
    </row>
    <row r="641" spans="1:32">
      <c r="A641" s="146"/>
      <c r="B641" s="146"/>
      <c r="C641" s="146"/>
      <c r="D641" s="146"/>
      <c r="E641" s="146"/>
      <c r="F641" s="146"/>
      <c r="G641" s="146"/>
      <c r="H641" s="146"/>
      <c r="I641" s="146"/>
      <c r="J641" s="146"/>
      <c r="K641" s="146"/>
      <c r="L641" s="146"/>
      <c r="M641" s="146"/>
      <c r="N641" s="146"/>
      <c r="O641" s="146"/>
      <c r="P641" s="146"/>
      <c r="Q641" s="146"/>
      <c r="R641" s="146"/>
      <c r="S641" s="146"/>
      <c r="T641" s="146"/>
      <c r="U641" s="146"/>
      <c r="V641" s="146"/>
      <c r="AE641" s="35"/>
      <c r="AF641" s="35"/>
    </row>
    <row r="642" spans="1:32">
      <c r="A642" s="146"/>
      <c r="B642" s="146"/>
      <c r="C642" s="146"/>
      <c r="D642" s="146"/>
      <c r="E642" s="146"/>
      <c r="F642" s="146"/>
      <c r="G642" s="146"/>
      <c r="H642" s="146"/>
      <c r="I642" s="146"/>
      <c r="J642" s="146"/>
      <c r="K642" s="146"/>
      <c r="L642" s="146"/>
      <c r="M642" s="146"/>
      <c r="N642" s="146"/>
      <c r="O642" s="146"/>
      <c r="P642" s="146"/>
      <c r="Q642" s="146"/>
      <c r="R642" s="146"/>
      <c r="S642" s="146"/>
      <c r="T642" s="146"/>
      <c r="U642" s="146"/>
      <c r="V642" s="146"/>
      <c r="AE642" s="35"/>
      <c r="AF642" s="35"/>
    </row>
    <row r="643" spans="1:32">
      <c r="A643" s="146"/>
      <c r="B643" s="146"/>
      <c r="C643" s="146"/>
      <c r="D643" s="146"/>
      <c r="E643" s="146"/>
      <c r="F643" s="146"/>
      <c r="G643" s="146"/>
      <c r="H643" s="146"/>
      <c r="I643" s="146"/>
      <c r="J643" s="146"/>
      <c r="K643" s="146"/>
      <c r="L643" s="146"/>
      <c r="M643" s="146"/>
      <c r="N643" s="146"/>
      <c r="O643" s="146"/>
      <c r="P643" s="146"/>
      <c r="Q643" s="146"/>
      <c r="R643" s="146"/>
      <c r="S643" s="146"/>
      <c r="T643" s="146"/>
      <c r="U643" s="146"/>
      <c r="V643" s="146"/>
      <c r="AE643" s="35"/>
      <c r="AF643" s="35"/>
    </row>
    <row r="644" spans="1:32">
      <c r="A644" s="146"/>
      <c r="B644" s="146"/>
      <c r="C644" s="146"/>
      <c r="D644" s="146"/>
      <c r="E644" s="146"/>
      <c r="F644" s="146"/>
      <c r="G644" s="146"/>
      <c r="H644" s="146"/>
      <c r="I644" s="146"/>
      <c r="J644" s="146"/>
      <c r="K644" s="146"/>
      <c r="L644" s="146"/>
      <c r="M644" s="146"/>
      <c r="N644" s="146"/>
      <c r="O644" s="146"/>
      <c r="P644" s="146"/>
      <c r="Q644" s="146"/>
      <c r="R644" s="146"/>
      <c r="S644" s="146"/>
      <c r="T644" s="146"/>
      <c r="U644" s="146"/>
      <c r="V644" s="146"/>
      <c r="AE644" s="35"/>
      <c r="AF644" s="35"/>
    </row>
    <row r="645" spans="1:32">
      <c r="A645" s="146"/>
      <c r="B645" s="146"/>
      <c r="C645" s="146"/>
      <c r="D645" s="146"/>
      <c r="E645" s="146"/>
      <c r="F645" s="146"/>
      <c r="G645" s="146"/>
      <c r="H645" s="146"/>
      <c r="I645" s="146"/>
      <c r="J645" s="146"/>
      <c r="K645" s="146"/>
      <c r="L645" s="146"/>
      <c r="M645" s="146"/>
      <c r="N645" s="146"/>
      <c r="O645" s="146"/>
      <c r="P645" s="146"/>
      <c r="Q645" s="146"/>
      <c r="R645" s="146"/>
      <c r="S645" s="146"/>
      <c r="T645" s="146"/>
      <c r="U645" s="146"/>
      <c r="V645" s="146"/>
      <c r="AE645" s="35"/>
      <c r="AF645" s="35"/>
    </row>
    <row r="646" spans="1:32">
      <c r="A646" s="146"/>
      <c r="B646" s="146"/>
      <c r="C646" s="146"/>
      <c r="D646" s="146"/>
      <c r="E646" s="146"/>
      <c r="F646" s="146"/>
      <c r="G646" s="146"/>
      <c r="H646" s="146"/>
      <c r="I646" s="146"/>
      <c r="J646" s="146"/>
      <c r="K646" s="146"/>
      <c r="L646" s="146"/>
      <c r="M646" s="146"/>
      <c r="N646" s="146"/>
      <c r="O646" s="146"/>
      <c r="P646" s="146"/>
      <c r="Q646" s="146"/>
      <c r="R646" s="146"/>
      <c r="S646" s="146"/>
      <c r="T646" s="146"/>
      <c r="U646" s="146"/>
      <c r="V646" s="146"/>
      <c r="AE646" s="35"/>
      <c r="AF646" s="35"/>
    </row>
    <row r="647" spans="1:32">
      <c r="A647" s="146"/>
      <c r="B647" s="146"/>
      <c r="C647" s="146"/>
      <c r="D647" s="146"/>
      <c r="E647" s="146"/>
      <c r="F647" s="146"/>
      <c r="G647" s="146"/>
      <c r="H647" s="146"/>
      <c r="I647" s="146"/>
      <c r="J647" s="146"/>
      <c r="K647" s="146"/>
      <c r="L647" s="146"/>
      <c r="M647" s="146"/>
      <c r="N647" s="146"/>
      <c r="O647" s="146"/>
      <c r="P647" s="146"/>
      <c r="Q647" s="146"/>
      <c r="R647" s="146"/>
      <c r="S647" s="146"/>
      <c r="T647" s="146"/>
      <c r="U647" s="146"/>
      <c r="V647" s="146"/>
      <c r="AE647" s="35"/>
      <c r="AF647" s="35"/>
    </row>
    <row r="648" spans="1:32">
      <c r="A648" s="146"/>
      <c r="B648" s="146"/>
      <c r="C648" s="146"/>
      <c r="D648" s="146"/>
      <c r="E648" s="146"/>
      <c r="F648" s="146"/>
      <c r="G648" s="146"/>
      <c r="H648" s="146"/>
      <c r="I648" s="146"/>
      <c r="J648" s="146"/>
      <c r="K648" s="146"/>
      <c r="L648" s="146"/>
      <c r="M648" s="146"/>
      <c r="N648" s="146"/>
      <c r="O648" s="146"/>
      <c r="P648" s="146"/>
      <c r="Q648" s="146"/>
      <c r="R648" s="146"/>
      <c r="S648" s="146"/>
      <c r="T648" s="146"/>
      <c r="U648" s="146"/>
      <c r="V648" s="146"/>
      <c r="AE648" s="35"/>
      <c r="AF648" s="35"/>
    </row>
    <row r="649" spans="1:32">
      <c r="A649" s="146"/>
      <c r="B649" s="146"/>
      <c r="C649" s="146"/>
      <c r="D649" s="146"/>
      <c r="E649" s="146"/>
      <c r="F649" s="146"/>
      <c r="G649" s="146"/>
      <c r="H649" s="146"/>
      <c r="I649" s="146"/>
      <c r="J649" s="146"/>
      <c r="K649" s="146"/>
      <c r="L649" s="146"/>
      <c r="M649" s="146"/>
      <c r="N649" s="146"/>
      <c r="O649" s="146"/>
      <c r="P649" s="146"/>
      <c r="Q649" s="146"/>
      <c r="R649" s="146"/>
      <c r="S649" s="146"/>
      <c r="T649" s="146"/>
      <c r="U649" s="146"/>
      <c r="V649" s="146"/>
      <c r="AE649" s="35"/>
      <c r="AF649" s="35"/>
    </row>
    <row r="650" spans="1:32">
      <c r="A650" s="146"/>
      <c r="B650" s="146"/>
      <c r="C650" s="146"/>
      <c r="D650" s="146"/>
      <c r="E650" s="146"/>
      <c r="F650" s="146"/>
      <c r="G650" s="146"/>
      <c r="H650" s="146"/>
      <c r="I650" s="146"/>
      <c r="J650" s="146"/>
      <c r="K650" s="146"/>
      <c r="L650" s="146"/>
      <c r="M650" s="146"/>
      <c r="N650" s="146"/>
      <c r="O650" s="146"/>
      <c r="P650" s="146"/>
      <c r="Q650" s="146"/>
      <c r="R650" s="146"/>
      <c r="S650" s="146"/>
      <c r="T650" s="146"/>
      <c r="U650" s="146"/>
      <c r="V650" s="146"/>
      <c r="AE650" s="35"/>
      <c r="AF650" s="35"/>
    </row>
    <row r="651" spans="1:32">
      <c r="A651" s="146"/>
      <c r="B651" s="146"/>
      <c r="C651" s="146"/>
      <c r="D651" s="146"/>
      <c r="E651" s="146"/>
      <c r="F651" s="146"/>
      <c r="G651" s="146"/>
      <c r="H651" s="146"/>
      <c r="I651" s="146"/>
      <c r="J651" s="146"/>
      <c r="K651" s="146"/>
      <c r="L651" s="146"/>
      <c r="M651" s="146"/>
      <c r="N651" s="146"/>
      <c r="O651" s="146"/>
      <c r="P651" s="146"/>
      <c r="Q651" s="146"/>
      <c r="R651" s="146"/>
      <c r="S651" s="146"/>
      <c r="T651" s="146"/>
      <c r="U651" s="146"/>
      <c r="V651" s="146"/>
      <c r="AE651" s="35"/>
      <c r="AF651" s="35"/>
    </row>
    <row r="652" spans="1:32">
      <c r="A652" s="146"/>
      <c r="B652" s="146"/>
      <c r="C652" s="146"/>
      <c r="D652" s="146"/>
      <c r="E652" s="146"/>
      <c r="F652" s="146"/>
      <c r="G652" s="146"/>
      <c r="H652" s="146"/>
      <c r="I652" s="146"/>
      <c r="J652" s="146"/>
      <c r="K652" s="146"/>
      <c r="L652" s="146"/>
      <c r="M652" s="146"/>
      <c r="N652" s="146"/>
      <c r="O652" s="146"/>
      <c r="P652" s="146"/>
      <c r="Q652" s="146"/>
      <c r="R652" s="146"/>
      <c r="S652" s="146"/>
      <c r="T652" s="146"/>
      <c r="U652" s="146"/>
      <c r="V652" s="146"/>
      <c r="AE652" s="35"/>
      <c r="AF652" s="35"/>
    </row>
    <row r="653" spans="1:32">
      <c r="A653" s="146"/>
      <c r="B653" s="146"/>
      <c r="C653" s="146"/>
      <c r="D653" s="146"/>
      <c r="E653" s="146"/>
      <c r="F653" s="146"/>
      <c r="G653" s="146"/>
      <c r="H653" s="146"/>
      <c r="I653" s="146"/>
      <c r="J653" s="146"/>
      <c r="K653" s="146"/>
      <c r="L653" s="146"/>
      <c r="M653" s="146"/>
      <c r="N653" s="146"/>
      <c r="O653" s="146"/>
      <c r="P653" s="146"/>
      <c r="Q653" s="146"/>
      <c r="R653" s="146"/>
      <c r="S653" s="146"/>
      <c r="T653" s="146"/>
      <c r="U653" s="146"/>
      <c r="V653" s="146"/>
      <c r="AE653" s="35"/>
      <c r="AF653" s="35"/>
    </row>
    <row r="654" spans="1:32">
      <c r="A654" s="146"/>
      <c r="B654" s="146"/>
      <c r="C654" s="146"/>
      <c r="D654" s="146"/>
      <c r="E654" s="146"/>
      <c r="F654" s="146"/>
      <c r="G654" s="146"/>
      <c r="H654" s="146"/>
      <c r="I654" s="146"/>
      <c r="J654" s="146"/>
      <c r="K654" s="146"/>
      <c r="L654" s="146"/>
      <c r="M654" s="146"/>
      <c r="N654" s="146"/>
      <c r="O654" s="146"/>
      <c r="P654" s="146"/>
      <c r="Q654" s="146"/>
      <c r="R654" s="146"/>
      <c r="S654" s="146"/>
      <c r="T654" s="146"/>
      <c r="U654" s="146"/>
      <c r="V654" s="146"/>
      <c r="AE654" s="35"/>
      <c r="AF654" s="35"/>
    </row>
    <row r="655" spans="1:32">
      <c r="A655" s="146"/>
      <c r="B655" s="146"/>
      <c r="C655" s="146"/>
      <c r="D655" s="146"/>
      <c r="E655" s="146"/>
      <c r="F655" s="146"/>
      <c r="G655" s="146"/>
      <c r="H655" s="146"/>
      <c r="I655" s="146"/>
      <c r="J655" s="146"/>
      <c r="K655" s="146"/>
      <c r="L655" s="146"/>
      <c r="M655" s="146"/>
      <c r="N655" s="146"/>
      <c r="O655" s="146"/>
      <c r="P655" s="146"/>
      <c r="Q655" s="146"/>
      <c r="R655" s="146"/>
      <c r="S655" s="146"/>
      <c r="T655" s="146"/>
      <c r="U655" s="146"/>
      <c r="V655" s="146"/>
      <c r="AE655" s="35"/>
      <c r="AF655" s="35"/>
    </row>
    <row r="656" spans="1:32">
      <c r="A656" s="146"/>
      <c r="B656" s="146"/>
      <c r="C656" s="146"/>
      <c r="D656" s="146"/>
      <c r="E656" s="146"/>
      <c r="F656" s="146"/>
      <c r="G656" s="146"/>
      <c r="H656" s="146"/>
      <c r="I656" s="146"/>
      <c r="J656" s="146"/>
      <c r="K656" s="146"/>
      <c r="L656" s="146"/>
      <c r="M656" s="146"/>
      <c r="N656" s="146"/>
      <c r="O656" s="146"/>
      <c r="P656" s="146"/>
      <c r="Q656" s="146"/>
      <c r="R656" s="146"/>
      <c r="S656" s="146"/>
      <c r="T656" s="146"/>
      <c r="U656" s="146"/>
      <c r="V656" s="146"/>
      <c r="AE656" s="35"/>
      <c r="AF656" s="35"/>
    </row>
    <row r="657" spans="1:32">
      <c r="A657" s="146"/>
      <c r="B657" s="146"/>
      <c r="C657" s="146"/>
      <c r="D657" s="146"/>
      <c r="E657" s="146"/>
      <c r="F657" s="146"/>
      <c r="G657" s="146"/>
      <c r="H657" s="146"/>
      <c r="I657" s="146"/>
      <c r="J657" s="146"/>
      <c r="K657" s="146"/>
      <c r="L657" s="146"/>
      <c r="M657" s="146"/>
      <c r="N657" s="146"/>
      <c r="O657" s="146"/>
      <c r="P657" s="146"/>
      <c r="Q657" s="146"/>
      <c r="R657" s="146"/>
      <c r="S657" s="146"/>
      <c r="T657" s="146"/>
      <c r="U657" s="146"/>
      <c r="V657" s="146"/>
      <c r="AE657" s="35"/>
      <c r="AF657" s="35"/>
    </row>
    <row r="658" spans="1:32">
      <c r="A658" s="146"/>
      <c r="B658" s="146"/>
      <c r="C658" s="146"/>
      <c r="D658" s="146"/>
      <c r="E658" s="146"/>
      <c r="F658" s="146"/>
      <c r="G658" s="146"/>
      <c r="H658" s="146"/>
      <c r="I658" s="146"/>
      <c r="J658" s="146"/>
      <c r="K658" s="146"/>
      <c r="L658" s="146"/>
      <c r="M658" s="146"/>
      <c r="N658" s="146"/>
      <c r="O658" s="146"/>
      <c r="P658" s="146"/>
      <c r="Q658" s="146"/>
      <c r="R658" s="146"/>
      <c r="S658" s="146"/>
      <c r="T658" s="146"/>
      <c r="U658" s="146"/>
      <c r="V658" s="146"/>
      <c r="AE658" s="35"/>
      <c r="AF658" s="35"/>
    </row>
    <row r="659" spans="1:32">
      <c r="A659" s="146"/>
      <c r="B659" s="146"/>
      <c r="C659" s="146"/>
      <c r="D659" s="146"/>
      <c r="E659" s="146"/>
      <c r="F659" s="146"/>
      <c r="G659" s="146"/>
      <c r="H659" s="146"/>
      <c r="I659" s="146"/>
      <c r="J659" s="146"/>
      <c r="K659" s="146"/>
      <c r="L659" s="146"/>
      <c r="M659" s="146"/>
      <c r="N659" s="146"/>
      <c r="O659" s="146"/>
      <c r="P659" s="146"/>
      <c r="Q659" s="146"/>
      <c r="R659" s="146"/>
      <c r="S659" s="146"/>
      <c r="T659" s="146"/>
      <c r="U659" s="146"/>
      <c r="V659" s="146"/>
      <c r="AE659" s="35"/>
      <c r="AF659" s="35"/>
    </row>
    <row r="660" spans="1:32">
      <c r="A660" s="146"/>
      <c r="B660" s="146"/>
      <c r="C660" s="146"/>
      <c r="D660" s="146"/>
      <c r="E660" s="146"/>
      <c r="F660" s="146"/>
      <c r="G660" s="146"/>
      <c r="H660" s="146"/>
      <c r="I660" s="146"/>
      <c r="J660" s="146"/>
      <c r="K660" s="146"/>
      <c r="L660" s="146"/>
      <c r="M660" s="146"/>
      <c r="N660" s="146"/>
      <c r="O660" s="146"/>
      <c r="P660" s="146"/>
      <c r="Q660" s="146"/>
      <c r="R660" s="146"/>
      <c r="S660" s="146"/>
      <c r="T660" s="146"/>
      <c r="U660" s="146"/>
      <c r="V660" s="146"/>
      <c r="AE660" s="35"/>
      <c r="AF660" s="35"/>
    </row>
    <row r="661" spans="1:32">
      <c r="A661" s="146"/>
      <c r="B661" s="146"/>
      <c r="C661" s="146"/>
      <c r="D661" s="146"/>
      <c r="E661" s="146"/>
      <c r="F661" s="146"/>
      <c r="G661" s="146"/>
      <c r="H661" s="146"/>
      <c r="I661" s="146"/>
      <c r="J661" s="146"/>
      <c r="K661" s="146"/>
      <c r="L661" s="146"/>
      <c r="M661" s="146"/>
      <c r="N661" s="146"/>
      <c r="O661" s="146"/>
      <c r="P661" s="146"/>
      <c r="Q661" s="146"/>
      <c r="R661" s="146"/>
      <c r="S661" s="146"/>
      <c r="T661" s="146"/>
      <c r="U661" s="146"/>
      <c r="V661" s="146"/>
      <c r="AE661" s="35"/>
      <c r="AF661" s="35"/>
    </row>
    <row r="662" spans="1:32">
      <c r="A662" s="146"/>
      <c r="B662" s="146"/>
      <c r="C662" s="146"/>
      <c r="D662" s="146"/>
      <c r="E662" s="146"/>
      <c r="F662" s="146"/>
      <c r="G662" s="146"/>
      <c r="H662" s="146"/>
      <c r="I662" s="146"/>
      <c r="J662" s="146"/>
      <c r="K662" s="146"/>
      <c r="L662" s="146"/>
      <c r="M662" s="146"/>
      <c r="N662" s="146"/>
      <c r="O662" s="146"/>
      <c r="P662" s="146"/>
      <c r="Q662" s="146"/>
      <c r="R662" s="146"/>
      <c r="S662" s="146"/>
      <c r="T662" s="146"/>
      <c r="U662" s="146"/>
      <c r="V662" s="146"/>
      <c r="AE662" s="35"/>
      <c r="AF662" s="35"/>
    </row>
    <row r="663" spans="1:32">
      <c r="A663" s="146"/>
      <c r="B663" s="146"/>
      <c r="C663" s="146"/>
      <c r="D663" s="146"/>
      <c r="E663" s="146"/>
      <c r="F663" s="146"/>
      <c r="G663" s="146"/>
      <c r="H663" s="146"/>
      <c r="I663" s="146"/>
      <c r="J663" s="146"/>
      <c r="K663" s="146"/>
      <c r="L663" s="146"/>
      <c r="M663" s="146"/>
      <c r="N663" s="146"/>
      <c r="O663" s="146"/>
      <c r="P663" s="146"/>
      <c r="Q663" s="146"/>
      <c r="R663" s="146"/>
      <c r="S663" s="146"/>
      <c r="T663" s="146"/>
      <c r="U663" s="146"/>
      <c r="V663" s="146"/>
      <c r="AE663" s="35"/>
      <c r="AF663" s="35"/>
    </row>
    <row r="664" spans="1:32">
      <c r="A664" s="146"/>
      <c r="B664" s="146"/>
      <c r="C664" s="146"/>
      <c r="D664" s="146"/>
      <c r="E664" s="146"/>
      <c r="F664" s="146"/>
      <c r="G664" s="146"/>
      <c r="H664" s="146"/>
      <c r="I664" s="146"/>
      <c r="J664" s="146"/>
      <c r="K664" s="146"/>
      <c r="L664" s="146"/>
      <c r="M664" s="146"/>
      <c r="N664" s="146"/>
      <c r="O664" s="146"/>
      <c r="P664" s="146"/>
      <c r="Q664" s="146"/>
      <c r="R664" s="146"/>
      <c r="S664" s="146"/>
      <c r="T664" s="146"/>
      <c r="U664" s="146"/>
      <c r="V664" s="146"/>
      <c r="AE664" s="35"/>
      <c r="AF664" s="35"/>
    </row>
    <row r="665" spans="1:32">
      <c r="A665" s="146"/>
      <c r="B665" s="146"/>
      <c r="C665" s="146"/>
      <c r="D665" s="146"/>
      <c r="E665" s="146"/>
      <c r="F665" s="146"/>
      <c r="G665" s="146"/>
      <c r="H665" s="146"/>
      <c r="I665" s="146"/>
      <c r="J665" s="146"/>
      <c r="K665" s="146"/>
      <c r="L665" s="146"/>
      <c r="M665" s="146"/>
      <c r="N665" s="146"/>
      <c r="O665" s="146"/>
      <c r="P665" s="146"/>
      <c r="Q665" s="146"/>
      <c r="R665" s="146"/>
      <c r="S665" s="146"/>
      <c r="T665" s="146"/>
      <c r="U665" s="146"/>
      <c r="V665" s="146"/>
      <c r="AE665" s="35"/>
      <c r="AF665" s="35"/>
    </row>
    <row r="666" spans="1:32">
      <c r="A666" s="146"/>
      <c r="B666" s="146"/>
      <c r="C666" s="146"/>
      <c r="D666" s="146"/>
      <c r="E666" s="146"/>
      <c r="F666" s="146"/>
      <c r="G666" s="146"/>
      <c r="H666" s="146"/>
      <c r="I666" s="146"/>
      <c r="J666" s="146"/>
      <c r="K666" s="146"/>
      <c r="L666" s="146"/>
      <c r="M666" s="146"/>
      <c r="N666" s="146"/>
      <c r="O666" s="146"/>
      <c r="P666" s="146"/>
      <c r="Q666" s="146"/>
      <c r="R666" s="146"/>
      <c r="S666" s="146"/>
      <c r="T666" s="146"/>
      <c r="U666" s="146"/>
      <c r="V666" s="146"/>
      <c r="AE666" s="35"/>
      <c r="AF666" s="35"/>
    </row>
    <row r="667" spans="1:32">
      <c r="A667" s="146"/>
      <c r="B667" s="146"/>
      <c r="C667" s="146"/>
      <c r="D667" s="146"/>
      <c r="E667" s="146"/>
      <c r="F667" s="146"/>
      <c r="G667" s="146"/>
      <c r="H667" s="146"/>
      <c r="I667" s="146"/>
      <c r="J667" s="146"/>
      <c r="K667" s="146"/>
      <c r="L667" s="146"/>
      <c r="M667" s="146"/>
      <c r="N667" s="146"/>
      <c r="O667" s="146"/>
      <c r="P667" s="146"/>
      <c r="Q667" s="146"/>
      <c r="R667" s="146"/>
      <c r="S667" s="146"/>
      <c r="T667" s="146"/>
      <c r="U667" s="146"/>
      <c r="V667" s="146"/>
      <c r="AE667" s="35"/>
      <c r="AF667" s="35"/>
    </row>
    <row r="668" spans="1:32">
      <c r="A668" s="146"/>
      <c r="B668" s="146"/>
      <c r="C668" s="146"/>
      <c r="D668" s="146"/>
      <c r="E668" s="146"/>
      <c r="F668" s="146"/>
      <c r="G668" s="146"/>
      <c r="H668" s="146"/>
      <c r="I668" s="146"/>
      <c r="J668" s="146"/>
      <c r="K668" s="146"/>
      <c r="L668" s="146"/>
      <c r="M668" s="146"/>
      <c r="N668" s="146"/>
      <c r="O668" s="146"/>
      <c r="P668" s="146"/>
      <c r="Q668" s="146"/>
      <c r="R668" s="146"/>
      <c r="S668" s="146"/>
      <c r="T668" s="146"/>
      <c r="U668" s="146"/>
      <c r="V668" s="146"/>
      <c r="AE668" s="35"/>
      <c r="AF668" s="35"/>
    </row>
    <row r="669" spans="1:32">
      <c r="A669" s="146"/>
      <c r="B669" s="146"/>
      <c r="C669" s="146"/>
      <c r="D669" s="146"/>
      <c r="E669" s="146"/>
      <c r="F669" s="146"/>
      <c r="G669" s="146"/>
      <c r="H669" s="146"/>
      <c r="I669" s="146"/>
      <c r="J669" s="146"/>
      <c r="K669" s="146"/>
      <c r="L669" s="146"/>
      <c r="M669" s="146"/>
      <c r="N669" s="146"/>
      <c r="O669" s="146"/>
      <c r="P669" s="146"/>
      <c r="Q669" s="146"/>
      <c r="R669" s="146"/>
      <c r="S669" s="146"/>
      <c r="T669" s="146"/>
      <c r="U669" s="146"/>
      <c r="V669" s="146"/>
      <c r="AE669" s="35"/>
      <c r="AF669" s="35"/>
    </row>
    <row r="670" spans="1:32">
      <c r="A670" s="146"/>
      <c r="B670" s="146"/>
      <c r="C670" s="146"/>
      <c r="D670" s="146"/>
      <c r="E670" s="146"/>
      <c r="F670" s="146"/>
      <c r="G670" s="146"/>
      <c r="H670" s="146"/>
      <c r="I670" s="146"/>
      <c r="J670" s="146"/>
      <c r="K670" s="146"/>
      <c r="L670" s="146"/>
      <c r="M670" s="146"/>
      <c r="N670" s="146"/>
      <c r="O670" s="146"/>
      <c r="P670" s="146"/>
      <c r="Q670" s="146"/>
      <c r="R670" s="146"/>
      <c r="S670" s="146"/>
      <c r="T670" s="146"/>
      <c r="U670" s="146"/>
      <c r="V670" s="146"/>
      <c r="AE670" s="35"/>
      <c r="AF670" s="35"/>
    </row>
    <row r="671" spans="1:32">
      <c r="A671" s="146"/>
      <c r="B671" s="146"/>
      <c r="C671" s="146"/>
      <c r="D671" s="146"/>
      <c r="E671" s="146"/>
      <c r="F671" s="146"/>
      <c r="G671" s="146"/>
      <c r="H671" s="146"/>
      <c r="I671" s="146"/>
      <c r="J671" s="146"/>
      <c r="K671" s="146"/>
      <c r="L671" s="146"/>
      <c r="M671" s="146"/>
      <c r="N671" s="146"/>
      <c r="O671" s="146"/>
      <c r="P671" s="146"/>
      <c r="Q671" s="146"/>
      <c r="R671" s="146"/>
      <c r="S671" s="146"/>
      <c r="T671" s="146"/>
      <c r="U671" s="146"/>
      <c r="V671" s="146"/>
      <c r="AE671" s="35"/>
      <c r="AF671" s="35"/>
    </row>
    <row r="672" spans="1:32">
      <c r="A672" s="146"/>
      <c r="B672" s="146"/>
      <c r="C672" s="146"/>
      <c r="D672" s="146"/>
      <c r="E672" s="146"/>
      <c r="F672" s="146"/>
      <c r="G672" s="146"/>
      <c r="H672" s="146"/>
      <c r="I672" s="146"/>
      <c r="J672" s="146"/>
      <c r="K672" s="146"/>
      <c r="L672" s="146"/>
      <c r="M672" s="146"/>
      <c r="N672" s="146"/>
      <c r="O672" s="146"/>
      <c r="P672" s="146"/>
      <c r="Q672" s="146"/>
      <c r="R672" s="146"/>
      <c r="S672" s="146"/>
      <c r="T672" s="146"/>
      <c r="U672" s="146"/>
      <c r="V672" s="146"/>
      <c r="AE672" s="35"/>
      <c r="AF672" s="35"/>
    </row>
    <row r="673" spans="1:32">
      <c r="A673" s="146"/>
      <c r="B673" s="146"/>
      <c r="C673" s="146"/>
      <c r="D673" s="146"/>
      <c r="E673" s="146"/>
      <c r="F673" s="146"/>
      <c r="G673" s="146"/>
      <c r="H673" s="146"/>
      <c r="I673" s="146"/>
      <c r="J673" s="146"/>
      <c r="K673" s="146"/>
      <c r="L673" s="146"/>
      <c r="M673" s="146"/>
      <c r="N673" s="146"/>
      <c r="O673" s="146"/>
      <c r="P673" s="146"/>
      <c r="Q673" s="146"/>
      <c r="R673" s="146"/>
      <c r="S673" s="146"/>
      <c r="T673" s="146"/>
      <c r="U673" s="146"/>
      <c r="V673" s="146"/>
      <c r="AE673" s="35"/>
      <c r="AF673" s="35"/>
    </row>
    <row r="674" spans="1:32">
      <c r="A674" s="146"/>
      <c r="B674" s="146"/>
      <c r="C674" s="146"/>
      <c r="D674" s="146"/>
      <c r="E674" s="146"/>
      <c r="F674" s="146"/>
      <c r="G674" s="146"/>
      <c r="H674" s="146"/>
      <c r="I674" s="146"/>
      <c r="J674" s="146"/>
      <c r="K674" s="146"/>
      <c r="L674" s="146"/>
      <c r="M674" s="146"/>
      <c r="N674" s="146"/>
      <c r="O674" s="146"/>
      <c r="P674" s="146"/>
      <c r="Q674" s="146"/>
      <c r="R674" s="146"/>
      <c r="S674" s="146"/>
      <c r="T674" s="146"/>
      <c r="U674" s="146"/>
      <c r="V674" s="146"/>
      <c r="AE674" s="35"/>
      <c r="AF674" s="35"/>
    </row>
    <row r="675" spans="1:32">
      <c r="A675" s="146"/>
      <c r="B675" s="146"/>
      <c r="C675" s="146"/>
      <c r="D675" s="146"/>
      <c r="E675" s="146"/>
      <c r="F675" s="146"/>
      <c r="G675" s="146"/>
      <c r="H675" s="146"/>
      <c r="I675" s="146"/>
      <c r="J675" s="146"/>
      <c r="K675" s="146"/>
      <c r="L675" s="146"/>
      <c r="M675" s="146"/>
      <c r="N675" s="146"/>
      <c r="O675" s="146"/>
      <c r="P675" s="146"/>
      <c r="Q675" s="146"/>
      <c r="R675" s="146"/>
      <c r="S675" s="146"/>
      <c r="T675" s="146"/>
      <c r="U675" s="146"/>
      <c r="V675" s="146"/>
      <c r="AE675" s="35"/>
      <c r="AF675" s="35"/>
    </row>
    <row r="676" spans="1:32">
      <c r="A676" s="146"/>
      <c r="B676" s="146"/>
      <c r="C676" s="146"/>
      <c r="D676" s="146"/>
      <c r="E676" s="146"/>
      <c r="F676" s="146"/>
      <c r="G676" s="146"/>
      <c r="H676" s="146"/>
      <c r="I676" s="146"/>
      <c r="J676" s="146"/>
      <c r="K676" s="146"/>
      <c r="L676" s="146"/>
      <c r="M676" s="146"/>
      <c r="N676" s="146"/>
      <c r="O676" s="146"/>
      <c r="P676" s="146"/>
      <c r="Q676" s="146"/>
      <c r="R676" s="146"/>
      <c r="S676" s="146"/>
      <c r="T676" s="146"/>
      <c r="U676" s="146"/>
      <c r="V676" s="146"/>
      <c r="AE676" s="35"/>
      <c r="AF676" s="35"/>
    </row>
    <row r="677" spans="1:32">
      <c r="A677" s="146"/>
      <c r="B677" s="146"/>
      <c r="C677" s="146"/>
      <c r="D677" s="146"/>
      <c r="E677" s="146"/>
      <c r="F677" s="146"/>
      <c r="G677" s="146"/>
      <c r="H677" s="146"/>
      <c r="I677" s="146"/>
      <c r="J677" s="146"/>
      <c r="K677" s="146"/>
      <c r="L677" s="146"/>
      <c r="M677" s="146"/>
      <c r="N677" s="146"/>
      <c r="O677" s="146"/>
      <c r="P677" s="146"/>
      <c r="Q677" s="146"/>
      <c r="R677" s="146"/>
      <c r="S677" s="146"/>
      <c r="T677" s="146"/>
      <c r="U677" s="146"/>
      <c r="V677" s="146"/>
      <c r="AE677" s="35"/>
      <c r="AF677" s="35"/>
    </row>
    <row r="678" spans="1:32">
      <c r="A678" s="146"/>
      <c r="B678" s="146"/>
      <c r="C678" s="146"/>
      <c r="D678" s="146"/>
      <c r="E678" s="146"/>
      <c r="F678" s="146"/>
      <c r="G678" s="146"/>
      <c r="H678" s="146"/>
      <c r="I678" s="146"/>
      <c r="J678" s="146"/>
      <c r="K678" s="146"/>
      <c r="L678" s="146"/>
      <c r="M678" s="146"/>
      <c r="N678" s="146"/>
      <c r="O678" s="146"/>
      <c r="P678" s="146"/>
      <c r="Q678" s="146"/>
      <c r="R678" s="146"/>
      <c r="S678" s="146"/>
      <c r="T678" s="146"/>
      <c r="U678" s="146"/>
      <c r="V678" s="146"/>
      <c r="AE678" s="35"/>
      <c r="AF678" s="35"/>
    </row>
    <row r="679" spans="1:32">
      <c r="A679" s="146"/>
      <c r="B679" s="146"/>
      <c r="C679" s="146"/>
      <c r="D679" s="146"/>
      <c r="E679" s="146"/>
      <c r="F679" s="146"/>
      <c r="G679" s="146"/>
      <c r="H679" s="146"/>
      <c r="I679" s="146"/>
      <c r="J679" s="146"/>
      <c r="K679" s="146"/>
      <c r="L679" s="146"/>
      <c r="M679" s="146"/>
      <c r="N679" s="146"/>
      <c r="O679" s="146"/>
      <c r="P679" s="146"/>
      <c r="Q679" s="146"/>
      <c r="R679" s="146"/>
      <c r="S679" s="146"/>
      <c r="T679" s="146"/>
      <c r="U679" s="146"/>
      <c r="V679" s="146"/>
      <c r="AE679" s="35"/>
      <c r="AF679" s="35"/>
    </row>
    <row r="680" spans="1:32">
      <c r="A680" s="146"/>
      <c r="B680" s="146"/>
      <c r="C680" s="146"/>
      <c r="D680" s="146"/>
      <c r="E680" s="146"/>
      <c r="F680" s="146"/>
      <c r="G680" s="146"/>
      <c r="H680" s="146"/>
      <c r="I680" s="146"/>
      <c r="J680" s="146"/>
      <c r="K680" s="146"/>
      <c r="L680" s="146"/>
      <c r="M680" s="146"/>
      <c r="N680" s="146"/>
      <c r="O680" s="146"/>
      <c r="P680" s="146"/>
      <c r="Q680" s="146"/>
      <c r="R680" s="146"/>
      <c r="S680" s="146"/>
      <c r="T680" s="146"/>
      <c r="U680" s="146"/>
      <c r="V680" s="146"/>
      <c r="AE680" s="35"/>
      <c r="AF680" s="35"/>
    </row>
    <row r="681" spans="1:32">
      <c r="A681" s="146"/>
      <c r="B681" s="146"/>
      <c r="C681" s="146"/>
      <c r="D681" s="146"/>
      <c r="E681" s="146"/>
      <c r="F681" s="146"/>
      <c r="G681" s="146"/>
      <c r="H681" s="146"/>
      <c r="I681" s="146"/>
      <c r="J681" s="146"/>
      <c r="K681" s="146"/>
      <c r="L681" s="146"/>
      <c r="M681" s="146"/>
      <c r="N681" s="146"/>
      <c r="O681" s="146"/>
      <c r="P681" s="146"/>
      <c r="Q681" s="146"/>
      <c r="R681" s="146"/>
      <c r="S681" s="146"/>
      <c r="T681" s="146"/>
      <c r="U681" s="146"/>
      <c r="V681" s="146"/>
      <c r="AE681" s="35"/>
      <c r="AF681" s="35"/>
    </row>
    <row r="682" spans="1:32">
      <c r="A682" s="146"/>
      <c r="B682" s="146"/>
      <c r="C682" s="146"/>
      <c r="D682" s="146"/>
      <c r="E682" s="146"/>
      <c r="F682" s="146"/>
      <c r="G682" s="146"/>
      <c r="H682" s="146"/>
      <c r="I682" s="146"/>
      <c r="J682" s="146"/>
      <c r="K682" s="146"/>
      <c r="L682" s="146"/>
      <c r="M682" s="146"/>
      <c r="N682" s="146"/>
      <c r="O682" s="146"/>
      <c r="P682" s="146"/>
      <c r="Q682" s="146"/>
      <c r="R682" s="146"/>
      <c r="S682" s="146"/>
      <c r="T682" s="146"/>
      <c r="U682" s="146"/>
      <c r="V682" s="146"/>
      <c r="AE682" s="35"/>
      <c r="AF682" s="35"/>
    </row>
    <row r="683" spans="1:32">
      <c r="A683" s="146"/>
      <c r="B683" s="146"/>
      <c r="C683" s="146"/>
      <c r="D683" s="146"/>
      <c r="E683" s="146"/>
      <c r="F683" s="146"/>
      <c r="G683" s="146"/>
      <c r="H683" s="146"/>
      <c r="I683" s="146"/>
      <c r="J683" s="146"/>
      <c r="K683" s="146"/>
      <c r="L683" s="146"/>
      <c r="M683" s="146"/>
      <c r="N683" s="146"/>
      <c r="O683" s="146"/>
      <c r="P683" s="146"/>
      <c r="Q683" s="146"/>
      <c r="R683" s="146"/>
      <c r="S683" s="146"/>
      <c r="T683" s="146"/>
      <c r="U683" s="146"/>
      <c r="V683" s="146"/>
      <c r="AE683" s="35"/>
      <c r="AF683" s="35"/>
    </row>
    <row r="684" spans="1:32">
      <c r="A684" s="146"/>
      <c r="B684" s="146"/>
      <c r="C684" s="146"/>
      <c r="D684" s="146"/>
      <c r="E684" s="146"/>
      <c r="F684" s="146"/>
      <c r="G684" s="146"/>
      <c r="H684" s="146"/>
      <c r="I684" s="146"/>
      <c r="J684" s="146"/>
      <c r="K684" s="146"/>
      <c r="L684" s="146"/>
      <c r="M684" s="146"/>
      <c r="N684" s="146"/>
      <c r="O684" s="146"/>
      <c r="P684" s="146"/>
      <c r="Q684" s="146"/>
      <c r="R684" s="146"/>
      <c r="S684" s="146"/>
      <c r="T684" s="146"/>
      <c r="U684" s="146"/>
      <c r="V684" s="146"/>
      <c r="AE684" s="35"/>
      <c r="AF684" s="35"/>
    </row>
    <row r="685" spans="1:32">
      <c r="A685" s="146"/>
      <c r="B685" s="146"/>
      <c r="C685" s="146"/>
      <c r="D685" s="146"/>
      <c r="E685" s="146"/>
      <c r="F685" s="146"/>
      <c r="G685" s="146"/>
      <c r="H685" s="146"/>
      <c r="I685" s="146"/>
      <c r="J685" s="146"/>
      <c r="K685" s="146"/>
      <c r="L685" s="146"/>
      <c r="M685" s="146"/>
      <c r="N685" s="146"/>
      <c r="O685" s="146"/>
      <c r="P685" s="146"/>
      <c r="Q685" s="146"/>
      <c r="R685" s="146"/>
      <c r="S685" s="146"/>
      <c r="T685" s="146"/>
      <c r="U685" s="146"/>
      <c r="V685" s="146"/>
      <c r="AE685" s="35"/>
      <c r="AF685" s="35"/>
    </row>
    <row r="686" spans="1:32">
      <c r="A686" s="146"/>
      <c r="B686" s="146"/>
      <c r="C686" s="146"/>
      <c r="D686" s="146"/>
      <c r="E686" s="146"/>
      <c r="F686" s="146"/>
      <c r="G686" s="146"/>
      <c r="H686" s="146"/>
      <c r="I686" s="146"/>
      <c r="J686" s="146"/>
      <c r="K686" s="146"/>
      <c r="L686" s="146"/>
      <c r="M686" s="146"/>
      <c r="N686" s="146"/>
      <c r="O686" s="146"/>
      <c r="P686" s="146"/>
      <c r="Q686" s="146"/>
      <c r="R686" s="146"/>
      <c r="S686" s="146"/>
      <c r="T686" s="146"/>
      <c r="U686" s="146"/>
      <c r="V686" s="146"/>
      <c r="AE686" s="35"/>
      <c r="AF686" s="35"/>
    </row>
    <row r="687" spans="1:32">
      <c r="A687" s="146"/>
      <c r="B687" s="146"/>
      <c r="C687" s="146"/>
      <c r="D687" s="146"/>
      <c r="E687" s="146"/>
      <c r="F687" s="146"/>
      <c r="G687" s="146"/>
      <c r="H687" s="146"/>
      <c r="I687" s="146"/>
      <c r="J687" s="146"/>
      <c r="K687" s="146"/>
      <c r="L687" s="146"/>
      <c r="M687" s="146"/>
      <c r="N687" s="146"/>
      <c r="O687" s="146"/>
      <c r="P687" s="146"/>
      <c r="Q687" s="146"/>
      <c r="R687" s="146"/>
      <c r="S687" s="146"/>
      <c r="T687" s="146"/>
      <c r="U687" s="146"/>
      <c r="V687" s="146"/>
      <c r="AE687" s="35"/>
      <c r="AF687" s="35"/>
    </row>
    <row r="688" spans="1:32">
      <c r="A688" s="146"/>
      <c r="B688" s="146"/>
      <c r="C688" s="146"/>
      <c r="D688" s="146"/>
      <c r="E688" s="146"/>
      <c r="F688" s="146"/>
      <c r="G688" s="146"/>
      <c r="H688" s="146"/>
      <c r="I688" s="146"/>
      <c r="J688" s="146"/>
      <c r="K688" s="146"/>
      <c r="L688" s="146"/>
      <c r="M688" s="146"/>
      <c r="N688" s="146"/>
      <c r="O688" s="146"/>
      <c r="P688" s="146"/>
      <c r="Q688" s="146"/>
      <c r="R688" s="146"/>
      <c r="S688" s="146"/>
      <c r="T688" s="146"/>
      <c r="U688" s="146"/>
      <c r="V688" s="146"/>
      <c r="AE688" s="35"/>
      <c r="AF688" s="35"/>
    </row>
    <row r="689" spans="1:32">
      <c r="A689" s="146"/>
      <c r="B689" s="146"/>
      <c r="C689" s="146"/>
      <c r="D689" s="146"/>
      <c r="E689" s="146"/>
      <c r="F689" s="146"/>
      <c r="G689" s="146"/>
      <c r="H689" s="146"/>
      <c r="I689" s="146"/>
      <c r="J689" s="146"/>
      <c r="K689" s="146"/>
      <c r="L689" s="146"/>
      <c r="M689" s="146"/>
      <c r="N689" s="146"/>
      <c r="O689" s="146"/>
      <c r="P689" s="146"/>
      <c r="Q689" s="146"/>
      <c r="R689" s="146"/>
      <c r="S689" s="146"/>
      <c r="T689" s="146"/>
      <c r="U689" s="146"/>
      <c r="V689" s="146"/>
      <c r="AE689" s="35"/>
      <c r="AF689" s="35"/>
    </row>
    <row r="690" spans="1:32">
      <c r="A690" s="146"/>
      <c r="B690" s="146"/>
      <c r="C690" s="146"/>
      <c r="D690" s="146"/>
      <c r="E690" s="146"/>
      <c r="F690" s="146"/>
      <c r="G690" s="146"/>
      <c r="H690" s="146"/>
      <c r="I690" s="146"/>
      <c r="J690" s="146"/>
      <c r="K690" s="146"/>
      <c r="L690" s="146"/>
      <c r="M690" s="146"/>
      <c r="N690" s="146"/>
      <c r="O690" s="146"/>
      <c r="P690" s="146"/>
      <c r="Q690" s="146"/>
      <c r="R690" s="146"/>
      <c r="S690" s="146"/>
      <c r="T690" s="146"/>
      <c r="U690" s="146"/>
      <c r="V690" s="146"/>
      <c r="AE690" s="35"/>
      <c r="AF690" s="35"/>
    </row>
    <row r="691" spans="1:32">
      <c r="A691" s="146"/>
      <c r="B691" s="146"/>
      <c r="C691" s="146"/>
      <c r="D691" s="146"/>
      <c r="E691" s="146"/>
      <c r="F691" s="146"/>
      <c r="G691" s="146"/>
      <c r="H691" s="146"/>
      <c r="I691" s="146"/>
      <c r="J691" s="146"/>
      <c r="K691" s="146"/>
      <c r="L691" s="146"/>
      <c r="M691" s="146"/>
      <c r="N691" s="146"/>
      <c r="O691" s="146"/>
      <c r="P691" s="146"/>
      <c r="Q691" s="146"/>
      <c r="R691" s="146"/>
      <c r="S691" s="146"/>
      <c r="T691" s="146"/>
      <c r="U691" s="146"/>
      <c r="V691" s="146"/>
      <c r="AE691" s="35"/>
      <c r="AF691" s="35"/>
    </row>
    <row r="692" spans="1:32">
      <c r="A692" s="146"/>
      <c r="B692" s="146"/>
      <c r="C692" s="146"/>
      <c r="D692" s="146"/>
      <c r="E692" s="146"/>
      <c r="F692" s="146"/>
      <c r="G692" s="146"/>
      <c r="H692" s="146"/>
      <c r="I692" s="146"/>
      <c r="J692" s="146"/>
      <c r="K692" s="146"/>
      <c r="L692" s="146"/>
      <c r="M692" s="146"/>
      <c r="N692" s="146"/>
      <c r="O692" s="146"/>
      <c r="P692" s="146"/>
      <c r="Q692" s="146"/>
      <c r="R692" s="146"/>
      <c r="S692" s="146"/>
      <c r="T692" s="146"/>
      <c r="U692" s="146"/>
      <c r="V692" s="146"/>
      <c r="AE692" s="35"/>
      <c r="AF692" s="35"/>
    </row>
    <row r="693" spans="1:32">
      <c r="A693" s="146"/>
      <c r="B693" s="146"/>
      <c r="C693" s="146"/>
      <c r="D693" s="146"/>
      <c r="E693" s="146"/>
      <c r="F693" s="146"/>
      <c r="G693" s="146"/>
      <c r="H693" s="146"/>
      <c r="I693" s="146"/>
      <c r="J693" s="146"/>
      <c r="K693" s="146"/>
      <c r="L693" s="146"/>
      <c r="M693" s="146"/>
      <c r="N693" s="146"/>
      <c r="O693" s="146"/>
      <c r="P693" s="146"/>
      <c r="Q693" s="146"/>
      <c r="R693" s="146"/>
      <c r="S693" s="146"/>
      <c r="T693" s="146"/>
      <c r="U693" s="146"/>
      <c r="V693" s="146"/>
      <c r="AE693" s="35"/>
      <c r="AF693" s="35"/>
    </row>
    <row r="694" spans="1:32">
      <c r="A694" s="146"/>
      <c r="B694" s="146"/>
      <c r="C694" s="146"/>
      <c r="D694" s="146"/>
      <c r="E694" s="146"/>
      <c r="F694" s="146"/>
      <c r="G694" s="146"/>
      <c r="H694" s="146"/>
      <c r="I694" s="146"/>
      <c r="J694" s="146"/>
      <c r="K694" s="146"/>
      <c r="L694" s="146"/>
      <c r="M694" s="146"/>
      <c r="N694" s="146"/>
      <c r="O694" s="146"/>
      <c r="P694" s="146"/>
      <c r="Q694" s="146"/>
      <c r="R694" s="146"/>
      <c r="S694" s="146"/>
      <c r="T694" s="146"/>
      <c r="U694" s="146"/>
      <c r="V694" s="146"/>
      <c r="AE694" s="35"/>
      <c r="AF694" s="35"/>
    </row>
    <row r="695" spans="1:32">
      <c r="A695" s="146"/>
      <c r="B695" s="146"/>
      <c r="C695" s="146"/>
      <c r="D695" s="146"/>
      <c r="E695" s="146"/>
      <c r="F695" s="146"/>
      <c r="G695" s="146"/>
      <c r="H695" s="146"/>
      <c r="I695" s="146"/>
      <c r="J695" s="146"/>
      <c r="K695" s="146"/>
      <c r="L695" s="146"/>
      <c r="M695" s="146"/>
      <c r="N695" s="146"/>
      <c r="O695" s="146"/>
      <c r="P695" s="146"/>
      <c r="Q695" s="146"/>
      <c r="R695" s="146"/>
      <c r="S695" s="146"/>
      <c r="T695" s="146"/>
      <c r="U695" s="146"/>
      <c r="V695" s="146"/>
      <c r="AE695" s="35"/>
      <c r="AF695" s="35"/>
    </row>
    <row r="696" spans="1:32">
      <c r="A696" s="146"/>
      <c r="B696" s="146"/>
      <c r="C696" s="146"/>
      <c r="D696" s="146"/>
      <c r="E696" s="146"/>
      <c r="F696" s="146"/>
      <c r="G696" s="146"/>
      <c r="H696" s="146"/>
      <c r="I696" s="146"/>
      <c r="J696" s="146"/>
      <c r="K696" s="146"/>
      <c r="L696" s="146"/>
      <c r="M696" s="146"/>
      <c r="N696" s="146"/>
      <c r="O696" s="146"/>
      <c r="P696" s="146"/>
      <c r="Q696" s="146"/>
      <c r="R696" s="146"/>
      <c r="S696" s="146"/>
      <c r="T696" s="146"/>
      <c r="U696" s="146"/>
      <c r="V696" s="146"/>
      <c r="AE696" s="35"/>
      <c r="AF696" s="35"/>
    </row>
    <row r="697" spans="1:32">
      <c r="A697" s="146"/>
      <c r="B697" s="146"/>
      <c r="C697" s="146"/>
      <c r="D697" s="146"/>
      <c r="E697" s="146"/>
      <c r="F697" s="146"/>
      <c r="G697" s="146"/>
      <c r="H697" s="146"/>
      <c r="I697" s="146"/>
      <c r="J697" s="146"/>
      <c r="K697" s="146"/>
      <c r="L697" s="146"/>
      <c r="M697" s="146"/>
      <c r="N697" s="146"/>
      <c r="O697" s="146"/>
      <c r="P697" s="146"/>
      <c r="Q697" s="146"/>
      <c r="R697" s="146"/>
      <c r="S697" s="146"/>
      <c r="T697" s="146"/>
      <c r="U697" s="146"/>
      <c r="V697" s="146"/>
      <c r="AE697" s="35"/>
      <c r="AF697" s="35"/>
    </row>
    <row r="698" spans="1:32">
      <c r="A698" s="146"/>
      <c r="B698" s="146"/>
      <c r="C698" s="146"/>
      <c r="D698" s="146"/>
      <c r="E698" s="146"/>
      <c r="F698" s="146"/>
      <c r="G698" s="146"/>
      <c r="H698" s="146"/>
      <c r="I698" s="146"/>
      <c r="J698" s="146"/>
      <c r="K698" s="146"/>
      <c r="L698" s="146"/>
      <c r="M698" s="146"/>
      <c r="N698" s="146"/>
      <c r="O698" s="146"/>
      <c r="P698" s="146"/>
      <c r="Q698" s="146"/>
      <c r="R698" s="146"/>
      <c r="S698" s="146"/>
      <c r="T698" s="146"/>
      <c r="U698" s="146"/>
      <c r="V698" s="146"/>
      <c r="AE698" s="35"/>
      <c r="AF698" s="35"/>
    </row>
    <row r="699" spans="1:32">
      <c r="A699" s="146"/>
      <c r="B699" s="146"/>
      <c r="C699" s="146"/>
      <c r="D699" s="146"/>
      <c r="E699" s="146"/>
      <c r="F699" s="146"/>
      <c r="G699" s="146"/>
      <c r="H699" s="146"/>
      <c r="I699" s="146"/>
      <c r="J699" s="146"/>
      <c r="K699" s="146"/>
      <c r="L699" s="146"/>
      <c r="M699" s="146"/>
      <c r="N699" s="146"/>
      <c r="O699" s="146"/>
      <c r="P699" s="146"/>
      <c r="Q699" s="146"/>
      <c r="R699" s="146"/>
      <c r="S699" s="146"/>
      <c r="T699" s="146"/>
      <c r="U699" s="146"/>
      <c r="V699" s="146"/>
      <c r="AE699" s="35"/>
      <c r="AF699" s="35"/>
    </row>
    <row r="700" spans="1:32">
      <c r="A700" s="146"/>
      <c r="B700" s="146"/>
      <c r="C700" s="146"/>
      <c r="D700" s="146"/>
      <c r="E700" s="146"/>
      <c r="F700" s="146"/>
      <c r="G700" s="146"/>
      <c r="H700" s="146"/>
      <c r="I700" s="146"/>
      <c r="J700" s="146"/>
      <c r="K700" s="146"/>
      <c r="L700" s="146"/>
      <c r="M700" s="146"/>
      <c r="N700" s="146"/>
      <c r="O700" s="146"/>
      <c r="P700" s="146"/>
      <c r="Q700" s="146"/>
      <c r="R700" s="146"/>
      <c r="S700" s="146"/>
      <c r="T700" s="146"/>
      <c r="U700" s="146"/>
      <c r="V700" s="146"/>
    </row>
    <row r="701" spans="1:32">
      <c r="A701" s="146"/>
      <c r="B701" s="146"/>
      <c r="C701" s="146"/>
      <c r="D701" s="146"/>
      <c r="E701" s="146"/>
      <c r="F701" s="146"/>
      <c r="G701" s="146"/>
      <c r="H701" s="146"/>
      <c r="I701" s="146"/>
      <c r="J701" s="146"/>
      <c r="K701" s="146"/>
      <c r="L701" s="146"/>
      <c r="M701" s="146"/>
      <c r="N701" s="146"/>
      <c r="O701" s="146"/>
      <c r="P701" s="146"/>
      <c r="Q701" s="146"/>
      <c r="R701" s="146"/>
      <c r="S701" s="146"/>
      <c r="T701" s="146"/>
      <c r="U701" s="146"/>
      <c r="V701" s="146"/>
    </row>
    <row r="702" spans="1:32">
      <c r="A702" s="146"/>
      <c r="B702" s="146"/>
      <c r="C702" s="146"/>
      <c r="D702" s="146"/>
      <c r="E702" s="146"/>
      <c r="F702" s="146"/>
      <c r="G702" s="146"/>
      <c r="H702" s="146"/>
      <c r="I702" s="146"/>
      <c r="J702" s="146"/>
      <c r="K702" s="146"/>
      <c r="L702" s="146"/>
      <c r="M702" s="146"/>
      <c r="N702" s="146"/>
      <c r="O702" s="146"/>
      <c r="P702" s="146"/>
      <c r="Q702" s="146"/>
      <c r="R702" s="146"/>
      <c r="S702" s="146"/>
      <c r="T702" s="146"/>
      <c r="U702" s="146"/>
      <c r="V702" s="146"/>
    </row>
    <row r="703" spans="1:32">
      <c r="A703" s="146"/>
      <c r="B703" s="146"/>
      <c r="C703" s="146"/>
      <c r="D703" s="146"/>
      <c r="E703" s="146"/>
      <c r="F703" s="146"/>
      <c r="G703" s="146"/>
      <c r="H703" s="146"/>
      <c r="I703" s="146"/>
      <c r="J703" s="146"/>
      <c r="K703" s="146"/>
      <c r="L703" s="146"/>
      <c r="M703" s="146"/>
      <c r="N703" s="146"/>
      <c r="O703" s="146"/>
      <c r="P703" s="146"/>
      <c r="Q703" s="146"/>
      <c r="R703" s="146"/>
      <c r="S703" s="146"/>
      <c r="T703" s="146"/>
      <c r="U703" s="146"/>
      <c r="V703" s="146"/>
    </row>
    <row r="704" spans="1:32">
      <c r="A704" s="146"/>
      <c r="B704" s="146"/>
      <c r="C704" s="146"/>
      <c r="D704" s="146"/>
      <c r="E704" s="146"/>
      <c r="F704" s="146"/>
      <c r="G704" s="146"/>
      <c r="H704" s="146"/>
      <c r="I704" s="146"/>
      <c r="J704" s="146"/>
      <c r="K704" s="146"/>
      <c r="L704" s="146"/>
      <c r="M704" s="146"/>
      <c r="N704" s="146"/>
      <c r="O704" s="146"/>
      <c r="P704" s="146"/>
      <c r="Q704" s="146"/>
      <c r="R704" s="146"/>
      <c r="S704" s="146"/>
      <c r="T704" s="146"/>
      <c r="U704" s="146"/>
      <c r="V704" s="146"/>
    </row>
    <row r="705" spans="1:32">
      <c r="A705" s="146"/>
      <c r="B705" s="146"/>
      <c r="C705" s="146"/>
      <c r="D705" s="146"/>
      <c r="E705" s="146"/>
      <c r="F705" s="146"/>
      <c r="G705" s="146"/>
      <c r="H705" s="146"/>
      <c r="I705" s="146"/>
      <c r="J705" s="146"/>
      <c r="K705" s="146"/>
      <c r="L705" s="146"/>
      <c r="M705" s="146"/>
      <c r="N705" s="146"/>
      <c r="O705" s="146"/>
      <c r="P705" s="146"/>
      <c r="Q705" s="146"/>
      <c r="R705" s="146"/>
      <c r="S705" s="146"/>
      <c r="T705" s="146"/>
      <c r="U705" s="146"/>
      <c r="V705" s="146"/>
    </row>
    <row r="706" spans="1:32">
      <c r="A706" s="146"/>
      <c r="B706" s="146"/>
      <c r="C706" s="146"/>
      <c r="D706" s="146"/>
      <c r="E706" s="146"/>
      <c r="F706" s="146"/>
      <c r="G706" s="146"/>
      <c r="H706" s="146"/>
      <c r="I706" s="146"/>
      <c r="J706" s="146"/>
      <c r="K706" s="146"/>
      <c r="L706" s="146"/>
      <c r="M706" s="146"/>
      <c r="N706" s="146"/>
      <c r="O706" s="146"/>
      <c r="P706" s="146"/>
      <c r="Q706" s="146"/>
      <c r="R706" s="146"/>
      <c r="S706" s="146"/>
      <c r="T706" s="146"/>
      <c r="U706" s="146"/>
      <c r="V706" s="146"/>
    </row>
    <row r="707" spans="1:32">
      <c r="A707" s="146"/>
      <c r="B707" s="146"/>
      <c r="C707" s="146"/>
      <c r="D707" s="146"/>
      <c r="E707" s="146"/>
      <c r="F707" s="146"/>
      <c r="G707" s="146"/>
      <c r="H707" s="146"/>
      <c r="I707" s="146"/>
      <c r="J707" s="146"/>
      <c r="K707" s="146"/>
      <c r="L707" s="146"/>
      <c r="M707" s="146"/>
      <c r="N707" s="146"/>
      <c r="O707" s="146"/>
      <c r="P707" s="146"/>
      <c r="Q707" s="146"/>
      <c r="R707" s="146"/>
      <c r="S707" s="146"/>
      <c r="T707" s="146"/>
      <c r="U707" s="146"/>
      <c r="V707" s="146"/>
    </row>
    <row r="708" spans="1:32">
      <c r="A708" s="146"/>
      <c r="B708" s="146"/>
      <c r="C708" s="146"/>
      <c r="D708" s="146"/>
      <c r="E708" s="146"/>
      <c r="F708" s="146"/>
      <c r="G708" s="146"/>
      <c r="H708" s="146"/>
      <c r="I708" s="146"/>
      <c r="J708" s="146"/>
      <c r="K708" s="146"/>
      <c r="L708" s="146"/>
      <c r="M708" s="146"/>
      <c r="N708" s="146"/>
      <c r="O708" s="146"/>
      <c r="P708" s="146"/>
      <c r="Q708" s="146"/>
      <c r="R708" s="146"/>
      <c r="S708" s="146"/>
      <c r="T708" s="146"/>
      <c r="U708" s="146"/>
      <c r="V708" s="146"/>
    </row>
    <row r="709" spans="1:32">
      <c r="A709" s="146"/>
      <c r="B709" s="146"/>
      <c r="C709" s="146"/>
      <c r="D709" s="146"/>
      <c r="E709" s="146"/>
      <c r="F709" s="146"/>
      <c r="G709" s="146"/>
      <c r="H709" s="146"/>
      <c r="I709" s="146"/>
      <c r="J709" s="146"/>
      <c r="K709" s="146"/>
      <c r="L709" s="146"/>
      <c r="M709" s="146"/>
      <c r="N709" s="146"/>
      <c r="O709" s="146"/>
      <c r="P709" s="146"/>
      <c r="Q709" s="146"/>
      <c r="R709" s="146"/>
      <c r="S709" s="146"/>
      <c r="T709" s="146"/>
      <c r="U709" s="146"/>
      <c r="V709" s="146"/>
    </row>
    <row r="710" spans="1:32">
      <c r="A710" s="146"/>
      <c r="B710" s="146"/>
      <c r="C710" s="146"/>
      <c r="D710" s="146"/>
      <c r="E710" s="146"/>
      <c r="F710" s="146"/>
      <c r="G710" s="146"/>
      <c r="H710" s="146"/>
      <c r="I710" s="146"/>
      <c r="J710" s="146"/>
      <c r="K710" s="146"/>
      <c r="L710" s="146"/>
      <c r="M710" s="146"/>
      <c r="N710" s="146"/>
      <c r="O710" s="146"/>
      <c r="P710" s="146"/>
      <c r="Q710" s="146"/>
      <c r="R710" s="146"/>
      <c r="S710" s="146"/>
      <c r="T710" s="146"/>
      <c r="U710" s="146"/>
      <c r="V710" s="146"/>
    </row>
    <row r="711" spans="1:32">
      <c r="A711" s="146"/>
      <c r="B711" s="146"/>
      <c r="C711" s="146"/>
      <c r="D711" s="146"/>
      <c r="E711" s="146"/>
      <c r="F711" s="146"/>
      <c r="G711" s="146"/>
      <c r="H711" s="146"/>
      <c r="I711" s="146"/>
      <c r="J711" s="40"/>
      <c r="K711" s="146"/>
      <c r="L711" s="146"/>
      <c r="M711" s="146"/>
      <c r="N711" s="146"/>
      <c r="O711" s="146"/>
      <c r="P711" s="146"/>
      <c r="Q711" s="146"/>
      <c r="R711" s="146"/>
      <c r="S711" s="146"/>
      <c r="T711" s="146"/>
      <c r="U711" s="146"/>
      <c r="V711" s="146"/>
    </row>
    <row r="712" spans="1:32" s="42" customFormat="1" ht="11.25" customHeight="1">
      <c r="A712" s="69"/>
      <c r="B712" s="69"/>
      <c r="C712" s="69"/>
      <c r="D712" s="146"/>
      <c r="E712" s="146"/>
      <c r="F712" s="146"/>
      <c r="G712" s="40"/>
      <c r="H712" s="40"/>
      <c r="I712" s="40"/>
      <c r="J712" s="40"/>
      <c r="K712" s="69"/>
      <c r="L712" s="69"/>
      <c r="M712" s="69"/>
      <c r="N712" s="146"/>
      <c r="O712" s="146"/>
      <c r="P712" s="40"/>
      <c r="Q712" s="69"/>
      <c r="R712" s="93"/>
      <c r="S712" s="93"/>
      <c r="T712" s="93"/>
      <c r="U712" s="93"/>
      <c r="V712" s="93"/>
      <c r="AE712" s="50"/>
      <c r="AF712" s="50"/>
    </row>
    <row r="713" spans="1:32" s="42" customFormat="1" ht="11.25" customHeight="1">
      <c r="A713" s="40"/>
      <c r="B713" s="40"/>
      <c r="C713" s="40"/>
      <c r="D713" s="146"/>
      <c r="E713" s="146"/>
      <c r="F713" s="146"/>
      <c r="G713" s="40"/>
      <c r="H713" s="40"/>
      <c r="I713" s="40"/>
      <c r="J713" s="40"/>
      <c r="K713" s="40"/>
      <c r="L713" s="40"/>
      <c r="M713" s="40"/>
      <c r="N713" s="146"/>
      <c r="O713" s="40"/>
      <c r="P713" s="40"/>
      <c r="Q713" s="40"/>
      <c r="R713" s="93"/>
      <c r="S713" s="93"/>
      <c r="T713" s="93"/>
      <c r="U713" s="93"/>
      <c r="V713" s="93"/>
      <c r="AE713" s="50"/>
      <c r="AF713" s="50"/>
    </row>
    <row r="714" spans="1:32" s="42" customFormat="1" ht="11.25" customHeight="1">
      <c r="A714" s="40"/>
      <c r="B714" s="40"/>
      <c r="C714" s="40"/>
      <c r="D714" s="146"/>
      <c r="E714" s="146"/>
      <c r="F714" s="146"/>
      <c r="G714" s="40"/>
      <c r="H714" s="40"/>
      <c r="I714" s="40"/>
      <c r="J714" s="40"/>
      <c r="K714" s="40"/>
      <c r="L714" s="40"/>
      <c r="M714" s="40"/>
      <c r="N714" s="146"/>
      <c r="O714" s="40"/>
      <c r="P714" s="40"/>
      <c r="Q714" s="40"/>
      <c r="R714" s="93"/>
      <c r="S714" s="93"/>
      <c r="T714" s="93"/>
      <c r="U714" s="93"/>
      <c r="V714" s="93"/>
      <c r="AE714" s="50"/>
      <c r="AF714" s="50"/>
    </row>
    <row r="715" spans="1:32" s="42" customFormat="1" ht="11.25" customHeight="1">
      <c r="A715" s="40"/>
      <c r="B715" s="40"/>
      <c r="C715" s="40"/>
      <c r="D715" s="146"/>
      <c r="E715" s="146"/>
      <c r="F715" s="146"/>
      <c r="G715" s="40"/>
      <c r="H715" s="40"/>
      <c r="I715" s="40"/>
      <c r="J715" s="40"/>
      <c r="K715" s="40"/>
      <c r="L715" s="40"/>
      <c r="M715" s="40"/>
      <c r="N715" s="146"/>
      <c r="O715" s="40"/>
      <c r="P715" s="40"/>
      <c r="Q715" s="40"/>
      <c r="R715" s="93"/>
      <c r="S715" s="93"/>
      <c r="T715" s="93"/>
      <c r="U715" s="93"/>
      <c r="V715" s="93"/>
      <c r="AE715" s="50"/>
      <c r="AF715" s="50"/>
    </row>
    <row r="716" spans="1:32" s="42" customFormat="1" ht="11.25" customHeight="1">
      <c r="A716" s="40"/>
      <c r="B716" s="40"/>
      <c r="C716" s="40"/>
      <c r="D716" s="146"/>
      <c r="E716" s="146"/>
      <c r="F716" s="146"/>
      <c r="G716" s="146"/>
      <c r="H716" s="146"/>
      <c r="I716" s="40"/>
      <c r="J716" s="146"/>
      <c r="K716" s="40"/>
      <c r="L716" s="40"/>
      <c r="M716" s="40"/>
      <c r="N716" s="146"/>
      <c r="O716" s="40"/>
      <c r="P716" s="146"/>
      <c r="Q716" s="40"/>
      <c r="R716" s="93"/>
      <c r="S716" s="93"/>
      <c r="T716" s="93"/>
      <c r="U716" s="93"/>
      <c r="V716" s="93"/>
      <c r="AE716" s="50"/>
      <c r="AF716" s="50"/>
    </row>
    <row r="717" spans="1:32">
      <c r="A717" s="40"/>
      <c r="B717" s="40"/>
      <c r="C717" s="40"/>
      <c r="D717" s="146"/>
      <c r="E717" s="146"/>
      <c r="F717" s="146"/>
      <c r="G717" s="146"/>
      <c r="H717" s="146"/>
      <c r="I717" s="146"/>
      <c r="J717" s="146"/>
      <c r="K717" s="40"/>
      <c r="L717" s="40"/>
      <c r="M717" s="40"/>
      <c r="N717" s="146"/>
      <c r="O717" s="40"/>
      <c r="P717" s="146"/>
      <c r="Q717" s="40"/>
      <c r="R717" s="146"/>
      <c r="S717" s="146"/>
      <c r="T717" s="146"/>
      <c r="U717" s="146"/>
      <c r="V717" s="146"/>
    </row>
    <row r="718" spans="1:32">
      <c r="A718" s="146"/>
      <c r="B718" s="146"/>
      <c r="C718" s="146"/>
      <c r="D718" s="146"/>
      <c r="E718" s="146"/>
      <c r="F718" s="146"/>
      <c r="G718" s="146"/>
      <c r="H718" s="146"/>
      <c r="I718" s="146"/>
      <c r="J718" s="146"/>
      <c r="K718" s="146"/>
      <c r="L718" s="146"/>
      <c r="M718" s="146"/>
      <c r="N718" s="146"/>
      <c r="O718" s="146"/>
      <c r="P718" s="146"/>
      <c r="Q718" s="146"/>
      <c r="R718" s="146"/>
      <c r="S718" s="146"/>
      <c r="T718" s="146"/>
      <c r="U718" s="146"/>
      <c r="V718" s="146"/>
    </row>
    <row r="719" spans="1:32">
      <c r="A719" s="146"/>
      <c r="B719" s="146"/>
      <c r="C719" s="146"/>
      <c r="D719" s="146"/>
      <c r="E719" s="146"/>
      <c r="F719" s="146"/>
      <c r="G719" s="146"/>
      <c r="H719" s="146"/>
      <c r="I719" s="146"/>
      <c r="J719" s="146"/>
      <c r="K719" s="146"/>
      <c r="L719" s="146"/>
      <c r="M719" s="146"/>
      <c r="N719" s="146"/>
      <c r="O719" s="146"/>
      <c r="P719" s="146"/>
      <c r="Q719" s="146"/>
      <c r="R719" s="146"/>
      <c r="S719" s="146"/>
      <c r="T719" s="146"/>
      <c r="U719" s="146"/>
      <c r="V719" s="146"/>
    </row>
    <row r="720" spans="1:32">
      <c r="A720" s="146"/>
      <c r="B720" s="146"/>
      <c r="C720" s="146"/>
      <c r="D720" s="146"/>
      <c r="E720" s="146"/>
      <c r="F720" s="146"/>
      <c r="G720" s="146"/>
      <c r="H720" s="146"/>
      <c r="I720" s="146"/>
      <c r="J720" s="146"/>
      <c r="K720" s="146"/>
      <c r="L720" s="146"/>
      <c r="M720" s="146"/>
      <c r="N720" s="146"/>
      <c r="O720" s="146"/>
      <c r="P720" s="146"/>
      <c r="Q720" s="146"/>
      <c r="R720" s="146"/>
      <c r="S720" s="146"/>
      <c r="T720" s="146"/>
      <c r="U720" s="146"/>
      <c r="V720" s="146"/>
    </row>
    <row r="721" spans="1:22">
      <c r="A721" s="146"/>
      <c r="B721" s="146"/>
      <c r="C721" s="146"/>
      <c r="D721" s="146"/>
      <c r="E721" s="146"/>
      <c r="F721" s="146"/>
      <c r="G721" s="146"/>
      <c r="H721" s="146"/>
      <c r="I721" s="146"/>
      <c r="J721" s="146"/>
      <c r="K721" s="146"/>
      <c r="L721" s="146"/>
      <c r="M721" s="146"/>
      <c r="N721" s="146"/>
      <c r="O721" s="146"/>
      <c r="P721" s="146"/>
      <c r="Q721" s="146"/>
      <c r="R721" s="146"/>
      <c r="S721" s="146"/>
      <c r="T721" s="146"/>
      <c r="U721" s="146"/>
      <c r="V721" s="146"/>
    </row>
    <row r="722" spans="1:22">
      <c r="A722" s="146"/>
      <c r="B722" s="146"/>
      <c r="C722" s="146"/>
      <c r="D722" s="146"/>
      <c r="E722" s="146"/>
      <c r="F722" s="146"/>
      <c r="G722" s="146"/>
      <c r="H722" s="146"/>
      <c r="I722" s="146"/>
      <c r="J722" s="146"/>
      <c r="K722" s="146"/>
      <c r="L722" s="146"/>
      <c r="M722" s="146"/>
      <c r="N722" s="146"/>
      <c r="O722" s="146"/>
      <c r="P722" s="146"/>
      <c r="Q722" s="146"/>
      <c r="R722" s="146"/>
      <c r="S722" s="146"/>
      <c r="T722" s="146"/>
      <c r="U722" s="146"/>
      <c r="V722" s="146"/>
    </row>
    <row r="723" spans="1:22">
      <c r="A723" s="146"/>
      <c r="B723" s="146"/>
      <c r="C723" s="146"/>
      <c r="D723" s="146"/>
      <c r="E723" s="146"/>
      <c r="F723" s="146"/>
      <c r="G723" s="146"/>
      <c r="H723" s="146"/>
      <c r="I723" s="146"/>
      <c r="J723" s="146"/>
      <c r="K723" s="146"/>
      <c r="L723" s="146"/>
      <c r="M723" s="146"/>
      <c r="N723" s="146"/>
      <c r="O723" s="146"/>
      <c r="P723" s="146"/>
      <c r="Q723" s="146"/>
      <c r="R723" s="146"/>
      <c r="S723" s="146"/>
      <c r="T723" s="146"/>
      <c r="U723" s="146"/>
      <c r="V723" s="146"/>
    </row>
    <row r="724" spans="1:22">
      <c r="A724" s="146"/>
      <c r="B724" s="146"/>
      <c r="C724" s="146"/>
      <c r="D724" s="146"/>
      <c r="E724" s="146"/>
      <c r="F724" s="146"/>
      <c r="G724" s="146"/>
      <c r="H724" s="146"/>
      <c r="I724" s="146"/>
      <c r="J724" s="146"/>
      <c r="K724" s="146"/>
      <c r="L724" s="146"/>
      <c r="M724" s="146"/>
      <c r="N724" s="146"/>
      <c r="O724" s="146"/>
      <c r="P724" s="146"/>
      <c r="Q724" s="146"/>
      <c r="R724" s="146"/>
      <c r="S724" s="146"/>
      <c r="T724" s="146"/>
      <c r="U724" s="146"/>
      <c r="V724" s="146"/>
    </row>
    <row r="725" spans="1:22">
      <c r="A725" s="146"/>
      <c r="B725" s="146"/>
      <c r="C725" s="146"/>
      <c r="D725" s="146"/>
      <c r="E725" s="146"/>
      <c r="F725" s="146"/>
      <c r="G725" s="146"/>
      <c r="H725" s="146"/>
      <c r="I725" s="146"/>
      <c r="J725" s="146"/>
      <c r="K725" s="146"/>
      <c r="L725" s="146"/>
      <c r="M725" s="146"/>
      <c r="N725" s="146"/>
      <c r="O725" s="146"/>
      <c r="P725" s="146"/>
      <c r="Q725" s="146"/>
      <c r="R725" s="146"/>
      <c r="S725" s="146"/>
      <c r="T725" s="146"/>
      <c r="U725" s="146"/>
      <c r="V725" s="146"/>
    </row>
    <row r="726" spans="1:22">
      <c r="A726" s="146"/>
      <c r="B726" s="146"/>
      <c r="C726" s="146"/>
      <c r="D726" s="146"/>
      <c r="E726" s="146"/>
      <c r="F726" s="146"/>
      <c r="G726" s="146"/>
      <c r="H726" s="146"/>
      <c r="I726" s="146"/>
      <c r="J726" s="146"/>
      <c r="K726" s="146"/>
      <c r="L726" s="146"/>
      <c r="M726" s="146"/>
      <c r="N726" s="146"/>
      <c r="O726" s="146"/>
      <c r="P726" s="146"/>
      <c r="Q726" s="146"/>
      <c r="R726" s="146"/>
      <c r="S726" s="146"/>
      <c r="T726" s="146"/>
      <c r="U726" s="146"/>
      <c r="V726" s="146"/>
    </row>
    <row r="727" spans="1:22">
      <c r="A727" s="146"/>
      <c r="B727" s="146"/>
      <c r="C727" s="146"/>
      <c r="D727" s="146"/>
      <c r="E727" s="146"/>
      <c r="F727" s="146"/>
      <c r="G727" s="146"/>
      <c r="H727" s="146"/>
      <c r="I727" s="146"/>
      <c r="J727" s="146"/>
      <c r="K727" s="146"/>
      <c r="L727" s="146"/>
      <c r="M727" s="146"/>
      <c r="N727" s="146"/>
      <c r="O727" s="146"/>
      <c r="P727" s="146"/>
      <c r="Q727" s="146"/>
      <c r="R727" s="146"/>
      <c r="S727" s="146"/>
      <c r="T727" s="146"/>
      <c r="U727" s="146"/>
      <c r="V727" s="146"/>
    </row>
    <row r="728" spans="1:22">
      <c r="A728" s="146"/>
      <c r="B728" s="146"/>
      <c r="C728" s="146"/>
      <c r="D728" s="146"/>
      <c r="E728" s="146"/>
      <c r="F728" s="146"/>
      <c r="G728" s="146"/>
      <c r="H728" s="146"/>
      <c r="I728" s="146"/>
      <c r="J728" s="146"/>
      <c r="K728" s="146"/>
      <c r="L728" s="146"/>
      <c r="M728" s="146"/>
      <c r="N728" s="146"/>
      <c r="O728" s="146"/>
      <c r="P728" s="146"/>
      <c r="Q728" s="146"/>
      <c r="R728" s="146"/>
      <c r="S728" s="146"/>
      <c r="T728" s="146"/>
      <c r="U728" s="146"/>
      <c r="V728" s="146"/>
    </row>
    <row r="729" spans="1:22">
      <c r="A729" s="146"/>
      <c r="B729" s="146"/>
      <c r="C729" s="146"/>
      <c r="D729" s="146"/>
      <c r="E729" s="146"/>
      <c r="F729" s="146"/>
      <c r="G729" s="146"/>
      <c r="H729" s="146"/>
      <c r="I729" s="146"/>
      <c r="J729" s="146"/>
      <c r="K729" s="146"/>
      <c r="L729" s="146"/>
      <c r="M729" s="146"/>
      <c r="N729" s="146"/>
      <c r="O729" s="146"/>
      <c r="P729" s="146"/>
      <c r="Q729" s="146"/>
      <c r="R729" s="146"/>
      <c r="S729" s="146"/>
      <c r="T729" s="146"/>
      <c r="U729" s="146"/>
      <c r="V729" s="146"/>
    </row>
    <row r="730" spans="1:22">
      <c r="A730" s="146"/>
      <c r="B730" s="146"/>
      <c r="C730" s="146"/>
      <c r="D730" s="146"/>
      <c r="E730" s="146"/>
      <c r="F730" s="146"/>
      <c r="G730" s="146"/>
      <c r="H730" s="146"/>
      <c r="I730" s="146"/>
      <c r="J730" s="146"/>
      <c r="K730" s="146"/>
      <c r="L730" s="146"/>
      <c r="M730" s="146"/>
      <c r="N730" s="146"/>
      <c r="O730" s="146"/>
      <c r="P730" s="146"/>
      <c r="Q730" s="146"/>
      <c r="R730" s="146"/>
      <c r="S730" s="146"/>
      <c r="T730" s="146"/>
      <c r="U730" s="146"/>
      <c r="V730" s="146"/>
    </row>
    <row r="731" spans="1:22">
      <c r="A731" s="146"/>
      <c r="B731" s="146"/>
      <c r="C731" s="146"/>
      <c r="D731" s="146"/>
      <c r="E731" s="146"/>
      <c r="F731" s="146"/>
      <c r="G731" s="146"/>
      <c r="H731" s="146"/>
      <c r="I731" s="146"/>
      <c r="J731" s="146"/>
      <c r="K731" s="146"/>
      <c r="L731" s="146"/>
      <c r="M731" s="146"/>
      <c r="N731" s="146"/>
      <c r="O731" s="146"/>
      <c r="P731" s="146"/>
      <c r="Q731" s="146"/>
      <c r="R731" s="146"/>
      <c r="S731" s="146"/>
      <c r="T731" s="146"/>
      <c r="U731" s="146"/>
      <c r="V731" s="146"/>
    </row>
    <row r="732" spans="1:22">
      <c r="A732" s="146"/>
      <c r="B732" s="146"/>
      <c r="C732" s="146"/>
      <c r="D732" s="146"/>
      <c r="E732" s="146"/>
      <c r="F732" s="146"/>
      <c r="G732" s="146"/>
      <c r="H732" s="146"/>
      <c r="I732" s="146"/>
      <c r="J732" s="146"/>
      <c r="K732" s="146"/>
      <c r="L732" s="146"/>
      <c r="M732" s="146"/>
      <c r="N732" s="146"/>
      <c r="O732" s="146"/>
      <c r="P732" s="146"/>
      <c r="Q732" s="146"/>
      <c r="R732" s="146"/>
      <c r="S732" s="146"/>
      <c r="T732" s="146"/>
      <c r="U732" s="146"/>
      <c r="V732" s="146"/>
    </row>
    <row r="733" spans="1:22">
      <c r="A733" s="146"/>
      <c r="B733" s="146"/>
      <c r="C733" s="146"/>
      <c r="D733" s="146"/>
      <c r="E733" s="146"/>
      <c r="F733" s="146"/>
      <c r="G733" s="146"/>
      <c r="H733" s="146"/>
      <c r="I733" s="146"/>
      <c r="J733" s="146"/>
      <c r="K733" s="146"/>
      <c r="L733" s="146"/>
      <c r="M733" s="146"/>
      <c r="N733" s="146"/>
      <c r="O733" s="146"/>
      <c r="P733" s="146"/>
      <c r="Q733" s="146"/>
      <c r="R733" s="146"/>
      <c r="S733" s="146"/>
      <c r="T733" s="146"/>
      <c r="U733" s="146"/>
      <c r="V733" s="146"/>
    </row>
    <row r="734" spans="1:22">
      <c r="A734" s="146"/>
      <c r="B734" s="146"/>
      <c r="C734" s="146"/>
      <c r="D734" s="146"/>
      <c r="E734" s="146"/>
      <c r="F734" s="146"/>
      <c r="G734" s="146"/>
      <c r="H734" s="146"/>
      <c r="I734" s="146"/>
      <c r="J734" s="146"/>
      <c r="K734" s="146"/>
      <c r="L734" s="146"/>
      <c r="M734" s="146"/>
      <c r="N734" s="146"/>
      <c r="O734" s="146"/>
      <c r="P734" s="146"/>
      <c r="Q734" s="146"/>
      <c r="R734" s="146"/>
      <c r="S734" s="146"/>
      <c r="T734" s="146"/>
      <c r="U734" s="146"/>
      <c r="V734" s="146"/>
    </row>
    <row r="735" spans="1:22">
      <c r="A735" s="146"/>
      <c r="B735" s="146"/>
      <c r="C735" s="146"/>
      <c r="D735" s="146"/>
      <c r="E735" s="146"/>
      <c r="F735" s="146"/>
      <c r="G735" s="146"/>
      <c r="H735" s="146"/>
      <c r="I735" s="146"/>
      <c r="J735" s="146"/>
      <c r="K735" s="146"/>
      <c r="L735" s="146"/>
      <c r="M735" s="146"/>
      <c r="N735" s="146"/>
      <c r="O735" s="146"/>
      <c r="P735" s="146"/>
      <c r="Q735" s="146"/>
      <c r="R735" s="146"/>
      <c r="S735" s="146"/>
      <c r="T735" s="146"/>
      <c r="U735" s="146"/>
      <c r="V735" s="146"/>
    </row>
    <row r="736" spans="1:22">
      <c r="A736" s="146"/>
      <c r="B736" s="146"/>
      <c r="C736" s="146"/>
      <c r="D736" s="146"/>
      <c r="E736" s="146"/>
      <c r="F736" s="146"/>
      <c r="G736" s="146"/>
      <c r="H736" s="146"/>
      <c r="I736" s="146"/>
      <c r="J736" s="146"/>
      <c r="K736" s="146"/>
      <c r="L736" s="146"/>
      <c r="M736" s="146"/>
      <c r="N736" s="146"/>
      <c r="O736" s="146"/>
      <c r="P736" s="146"/>
      <c r="Q736" s="146"/>
      <c r="R736" s="146"/>
      <c r="S736" s="146"/>
      <c r="T736" s="146"/>
      <c r="U736" s="146"/>
      <c r="V736" s="146"/>
    </row>
    <row r="737" spans="1:22">
      <c r="A737" s="146"/>
      <c r="B737" s="146"/>
      <c r="C737" s="146"/>
      <c r="D737" s="146"/>
      <c r="E737" s="146"/>
      <c r="F737" s="146"/>
      <c r="G737" s="146"/>
      <c r="H737" s="146"/>
      <c r="I737" s="146"/>
      <c r="J737" s="146"/>
      <c r="K737" s="146"/>
      <c r="L737" s="146"/>
      <c r="M737" s="146"/>
      <c r="N737" s="146"/>
      <c r="O737" s="146"/>
      <c r="P737" s="146"/>
      <c r="Q737" s="146"/>
      <c r="R737" s="146"/>
      <c r="S737" s="146"/>
      <c r="T737" s="146"/>
      <c r="U737" s="146"/>
      <c r="V737" s="146"/>
    </row>
    <row r="738" spans="1:22">
      <c r="A738" s="146"/>
      <c r="B738" s="146"/>
      <c r="C738" s="146"/>
      <c r="D738" s="146"/>
      <c r="E738" s="146"/>
      <c r="F738" s="146"/>
      <c r="G738" s="146"/>
      <c r="H738" s="146"/>
      <c r="I738" s="146"/>
      <c r="J738" s="146"/>
      <c r="K738" s="146"/>
      <c r="L738" s="146"/>
      <c r="M738" s="146"/>
      <c r="N738" s="146"/>
      <c r="O738" s="146"/>
      <c r="P738" s="146"/>
      <c r="Q738" s="146"/>
      <c r="R738" s="146"/>
      <c r="S738" s="146"/>
      <c r="T738" s="146"/>
      <c r="U738" s="146"/>
      <c r="V738" s="146"/>
    </row>
    <row r="739" spans="1:22">
      <c r="A739" s="146"/>
      <c r="B739" s="146"/>
      <c r="C739" s="146"/>
      <c r="D739" s="146"/>
      <c r="E739" s="146"/>
      <c r="F739" s="146"/>
      <c r="G739" s="146"/>
      <c r="H739" s="146"/>
      <c r="I739" s="146"/>
      <c r="J739" s="146"/>
      <c r="K739" s="146"/>
      <c r="L739" s="146"/>
      <c r="M739" s="146"/>
      <c r="N739" s="146"/>
      <c r="O739" s="146"/>
      <c r="P739" s="146"/>
      <c r="Q739" s="146"/>
      <c r="R739" s="146"/>
      <c r="S739" s="146"/>
      <c r="T739" s="146"/>
      <c r="U739" s="146"/>
      <c r="V739" s="146"/>
    </row>
    <row r="740" spans="1:22">
      <c r="A740" s="146"/>
      <c r="B740" s="146"/>
      <c r="C740" s="146"/>
      <c r="D740" s="146"/>
      <c r="E740" s="146"/>
      <c r="F740" s="146"/>
      <c r="G740" s="146"/>
      <c r="H740" s="146"/>
      <c r="I740" s="146"/>
      <c r="J740" s="146"/>
      <c r="K740" s="146"/>
      <c r="L740" s="146"/>
      <c r="M740" s="146"/>
      <c r="N740" s="146"/>
      <c r="O740" s="146"/>
      <c r="P740" s="146"/>
      <c r="Q740" s="146"/>
      <c r="R740" s="146"/>
      <c r="S740" s="146"/>
      <c r="T740" s="146"/>
      <c r="U740" s="146"/>
      <c r="V740" s="146"/>
    </row>
    <row r="741" spans="1:22">
      <c r="A741" s="146"/>
      <c r="B741" s="146"/>
      <c r="C741" s="146"/>
      <c r="D741" s="146"/>
      <c r="E741" s="146"/>
      <c r="F741" s="146"/>
      <c r="G741" s="146"/>
      <c r="H741" s="146"/>
      <c r="I741" s="146"/>
      <c r="J741" s="146"/>
      <c r="K741" s="146"/>
      <c r="L741" s="146"/>
      <c r="M741" s="146"/>
      <c r="N741" s="146"/>
      <c r="O741" s="146"/>
      <c r="P741" s="146"/>
      <c r="Q741" s="146"/>
      <c r="R741" s="146"/>
      <c r="S741" s="146"/>
      <c r="T741" s="146"/>
      <c r="U741" s="146"/>
      <c r="V741" s="146"/>
    </row>
    <row r="742" spans="1:22">
      <c r="A742" s="146"/>
      <c r="B742" s="146"/>
      <c r="C742" s="146"/>
      <c r="D742" s="146"/>
      <c r="E742" s="146"/>
      <c r="F742" s="146"/>
      <c r="G742" s="146"/>
      <c r="H742" s="146"/>
      <c r="I742" s="146"/>
      <c r="J742" s="146"/>
      <c r="K742" s="146"/>
      <c r="L742" s="146"/>
      <c r="M742" s="146"/>
      <c r="N742" s="146"/>
      <c r="O742" s="146"/>
      <c r="P742" s="146"/>
      <c r="Q742" s="146"/>
      <c r="R742" s="146"/>
      <c r="S742" s="146"/>
      <c r="T742" s="146"/>
      <c r="U742" s="146"/>
      <c r="V742" s="146"/>
    </row>
    <row r="743" spans="1:22">
      <c r="A743" s="146"/>
      <c r="B743" s="146"/>
      <c r="C743" s="146"/>
      <c r="D743" s="146"/>
      <c r="E743" s="146"/>
      <c r="F743" s="146"/>
      <c r="G743" s="146"/>
      <c r="H743" s="146"/>
      <c r="I743" s="146"/>
      <c r="J743" s="146"/>
      <c r="K743" s="146"/>
      <c r="L743" s="146"/>
      <c r="M743" s="146"/>
      <c r="N743" s="146"/>
      <c r="O743" s="146"/>
      <c r="P743" s="146"/>
      <c r="Q743" s="146"/>
      <c r="R743" s="146"/>
      <c r="S743" s="146"/>
      <c r="T743" s="146"/>
      <c r="U743" s="146"/>
      <c r="V743" s="146"/>
    </row>
    <row r="744" spans="1:22">
      <c r="A744" s="146"/>
      <c r="B744" s="146"/>
      <c r="C744" s="146"/>
      <c r="D744" s="146"/>
      <c r="E744" s="146"/>
      <c r="F744" s="146"/>
      <c r="G744" s="146"/>
      <c r="H744" s="146"/>
      <c r="I744" s="146"/>
      <c r="J744" s="146"/>
      <c r="K744" s="146"/>
      <c r="L744" s="146"/>
      <c r="M744" s="146"/>
      <c r="N744" s="146"/>
      <c r="O744" s="146"/>
      <c r="P744" s="146"/>
      <c r="Q744" s="146"/>
      <c r="R744" s="146"/>
      <c r="S744" s="146"/>
      <c r="T744" s="146"/>
      <c r="U744" s="146"/>
      <c r="V744" s="146"/>
    </row>
    <row r="745" spans="1:22">
      <c r="A745" s="146"/>
      <c r="B745" s="146"/>
      <c r="C745" s="146"/>
      <c r="D745" s="146"/>
      <c r="E745" s="146"/>
      <c r="F745" s="146"/>
      <c r="G745" s="146"/>
      <c r="H745" s="146"/>
      <c r="I745" s="146"/>
      <c r="J745" s="146"/>
      <c r="K745" s="146"/>
      <c r="L745" s="146"/>
      <c r="M745" s="146"/>
      <c r="N745" s="146"/>
      <c r="O745" s="146"/>
      <c r="P745" s="146"/>
      <c r="Q745" s="146"/>
      <c r="R745" s="146"/>
      <c r="S745" s="146"/>
      <c r="T745" s="146"/>
      <c r="U745" s="146"/>
      <c r="V745" s="146"/>
    </row>
    <row r="746" spans="1:22">
      <c r="A746" s="146"/>
      <c r="B746" s="146"/>
      <c r="C746" s="146"/>
      <c r="D746" s="146"/>
      <c r="E746" s="146"/>
      <c r="F746" s="146"/>
      <c r="G746" s="146"/>
      <c r="H746" s="146"/>
      <c r="I746" s="146"/>
      <c r="J746" s="146"/>
      <c r="K746" s="146"/>
      <c r="L746" s="146"/>
      <c r="M746" s="146"/>
      <c r="N746" s="146"/>
      <c r="O746" s="146"/>
      <c r="P746" s="146"/>
      <c r="Q746" s="146"/>
      <c r="R746" s="146"/>
      <c r="S746" s="146"/>
      <c r="T746" s="146"/>
      <c r="U746" s="146"/>
      <c r="V746" s="146"/>
    </row>
    <row r="747" spans="1:22">
      <c r="A747" s="146"/>
      <c r="B747" s="146"/>
      <c r="C747" s="146"/>
      <c r="D747" s="146"/>
      <c r="E747" s="146"/>
      <c r="F747" s="146"/>
      <c r="G747" s="146"/>
      <c r="H747" s="146"/>
      <c r="I747" s="146"/>
      <c r="J747" s="146"/>
      <c r="K747" s="146"/>
      <c r="L747" s="146"/>
      <c r="M747" s="146"/>
      <c r="N747" s="146"/>
      <c r="O747" s="146"/>
      <c r="P747" s="146"/>
      <c r="Q747" s="146"/>
      <c r="R747" s="146"/>
      <c r="S747" s="146"/>
      <c r="T747" s="146"/>
      <c r="U747" s="146"/>
      <c r="V747" s="146"/>
    </row>
    <row r="748" spans="1:22">
      <c r="A748" s="146"/>
      <c r="B748" s="146"/>
      <c r="C748" s="146"/>
      <c r="D748" s="146"/>
      <c r="E748" s="146"/>
      <c r="F748" s="146"/>
      <c r="G748" s="146"/>
      <c r="H748" s="146"/>
      <c r="I748" s="146"/>
      <c r="J748" s="146"/>
      <c r="K748" s="146"/>
      <c r="L748" s="146"/>
      <c r="M748" s="146"/>
      <c r="N748" s="146"/>
      <c r="O748" s="146"/>
      <c r="P748" s="146"/>
      <c r="Q748" s="146"/>
      <c r="R748" s="146"/>
      <c r="S748" s="146"/>
      <c r="T748" s="146"/>
      <c r="U748" s="146"/>
      <c r="V748" s="146"/>
    </row>
    <row r="749" spans="1:22">
      <c r="A749" s="146"/>
      <c r="B749" s="146"/>
      <c r="C749" s="146"/>
      <c r="D749" s="146"/>
      <c r="E749" s="146"/>
      <c r="F749" s="146"/>
      <c r="G749" s="146"/>
      <c r="H749" s="146"/>
      <c r="I749" s="146"/>
      <c r="J749" s="146"/>
      <c r="K749" s="146"/>
      <c r="L749" s="146"/>
      <c r="M749" s="146"/>
      <c r="N749" s="146"/>
      <c r="O749" s="146"/>
      <c r="P749" s="146"/>
      <c r="Q749" s="146"/>
      <c r="R749" s="146"/>
      <c r="S749" s="146"/>
      <c r="T749" s="146"/>
      <c r="U749" s="146"/>
      <c r="V749" s="146"/>
    </row>
    <row r="750" spans="1:22">
      <c r="A750" s="146"/>
      <c r="B750" s="146"/>
      <c r="C750" s="146"/>
      <c r="D750" s="146"/>
      <c r="E750" s="146"/>
      <c r="F750" s="146"/>
      <c r="G750" s="146"/>
      <c r="H750" s="146"/>
      <c r="I750" s="146"/>
      <c r="J750" s="146"/>
      <c r="K750" s="146"/>
      <c r="L750" s="146"/>
      <c r="M750" s="146"/>
      <c r="N750" s="146"/>
      <c r="O750" s="146"/>
      <c r="P750" s="146"/>
      <c r="Q750" s="146"/>
      <c r="R750" s="146"/>
      <c r="S750" s="146"/>
      <c r="T750" s="146"/>
      <c r="U750" s="146"/>
      <c r="V750" s="146"/>
    </row>
    <row r="751" spans="1:22">
      <c r="A751" s="146"/>
      <c r="B751" s="146"/>
      <c r="C751" s="146"/>
      <c r="D751" s="146"/>
      <c r="E751" s="146"/>
      <c r="F751" s="146"/>
      <c r="G751" s="146"/>
      <c r="H751" s="146"/>
      <c r="I751" s="146"/>
      <c r="J751" s="146"/>
      <c r="K751" s="146"/>
      <c r="L751" s="146"/>
      <c r="M751" s="146"/>
      <c r="N751" s="146"/>
      <c r="O751" s="146"/>
      <c r="P751" s="146"/>
      <c r="Q751" s="146"/>
      <c r="R751" s="146"/>
      <c r="S751" s="146"/>
      <c r="T751" s="146"/>
      <c r="U751" s="146"/>
      <c r="V751" s="146"/>
    </row>
    <row r="752" spans="1:22">
      <c r="A752" s="146"/>
      <c r="B752" s="146"/>
      <c r="C752" s="146"/>
      <c r="D752" s="146"/>
      <c r="E752" s="146"/>
      <c r="F752" s="146"/>
      <c r="G752" s="146"/>
      <c r="H752" s="146"/>
      <c r="I752" s="146"/>
      <c r="J752" s="146"/>
      <c r="K752" s="146"/>
      <c r="L752" s="146"/>
      <c r="M752" s="146"/>
      <c r="N752" s="146"/>
      <c r="O752" s="146"/>
      <c r="P752" s="146"/>
      <c r="Q752" s="146"/>
      <c r="R752" s="146"/>
      <c r="S752" s="146"/>
      <c r="T752" s="146"/>
      <c r="U752" s="146"/>
      <c r="V752" s="146"/>
    </row>
    <row r="753" spans="1:22">
      <c r="A753" s="146"/>
      <c r="B753" s="146"/>
      <c r="C753" s="146"/>
      <c r="D753" s="146"/>
      <c r="E753" s="146"/>
      <c r="F753" s="146"/>
      <c r="G753" s="146"/>
      <c r="H753" s="146"/>
      <c r="I753" s="146"/>
      <c r="J753" s="146"/>
      <c r="K753" s="146"/>
      <c r="L753" s="146"/>
      <c r="M753" s="146"/>
      <c r="N753" s="146"/>
      <c r="O753" s="146"/>
      <c r="P753" s="146"/>
      <c r="Q753" s="146"/>
      <c r="R753" s="146"/>
      <c r="S753" s="146"/>
      <c r="T753" s="146"/>
      <c r="U753" s="146"/>
      <c r="V753" s="146"/>
    </row>
    <row r="754" spans="1:22">
      <c r="A754" s="146"/>
      <c r="B754" s="146"/>
      <c r="C754" s="146"/>
      <c r="D754" s="146"/>
      <c r="E754" s="146"/>
      <c r="F754" s="146"/>
      <c r="G754" s="146"/>
      <c r="H754" s="146"/>
      <c r="I754" s="146"/>
      <c r="J754" s="146"/>
      <c r="K754" s="146"/>
      <c r="L754" s="146"/>
      <c r="M754" s="146"/>
      <c r="N754" s="146"/>
      <c r="O754" s="146"/>
      <c r="P754" s="146"/>
      <c r="Q754" s="146"/>
      <c r="R754" s="146"/>
      <c r="S754" s="146"/>
      <c r="T754" s="146"/>
      <c r="U754" s="146"/>
      <c r="V754" s="146"/>
    </row>
    <row r="755" spans="1:22">
      <c r="A755" s="146"/>
      <c r="B755" s="146"/>
      <c r="C755" s="146"/>
      <c r="D755" s="146"/>
      <c r="E755" s="146"/>
      <c r="F755" s="146"/>
      <c r="G755" s="146"/>
      <c r="H755" s="146"/>
      <c r="I755" s="146"/>
      <c r="J755" s="146"/>
      <c r="K755" s="146"/>
      <c r="L755" s="146"/>
      <c r="M755" s="146"/>
      <c r="N755" s="146"/>
      <c r="O755" s="146"/>
      <c r="P755" s="146"/>
      <c r="Q755" s="146"/>
      <c r="R755" s="146"/>
      <c r="S755" s="146"/>
      <c r="T755" s="146"/>
      <c r="U755" s="146"/>
      <c r="V755" s="146"/>
    </row>
    <row r="756" spans="1:22">
      <c r="A756" s="146"/>
      <c r="B756" s="146"/>
      <c r="C756" s="146"/>
      <c r="D756" s="146"/>
      <c r="E756" s="146"/>
      <c r="F756" s="146"/>
      <c r="G756" s="146"/>
      <c r="H756" s="146"/>
      <c r="I756" s="146"/>
      <c r="J756" s="146"/>
      <c r="K756" s="146"/>
      <c r="L756" s="146"/>
      <c r="M756" s="146"/>
      <c r="N756" s="146"/>
      <c r="O756" s="146"/>
      <c r="P756" s="146"/>
      <c r="Q756" s="146"/>
      <c r="R756" s="146"/>
      <c r="S756" s="146"/>
      <c r="T756" s="146"/>
      <c r="U756" s="146"/>
      <c r="V756" s="146"/>
    </row>
    <row r="757" spans="1:22">
      <c r="A757" s="146"/>
      <c r="B757" s="146"/>
      <c r="C757" s="146"/>
      <c r="D757" s="146"/>
      <c r="E757" s="146"/>
      <c r="F757" s="146"/>
      <c r="G757" s="146"/>
      <c r="H757" s="146"/>
      <c r="I757" s="146"/>
      <c r="J757" s="146"/>
      <c r="K757" s="146"/>
      <c r="L757" s="146"/>
      <c r="M757" s="146"/>
      <c r="N757" s="146"/>
      <c r="O757" s="146"/>
      <c r="P757" s="146"/>
      <c r="Q757" s="146"/>
      <c r="R757" s="146"/>
      <c r="S757" s="146"/>
      <c r="T757" s="146"/>
      <c r="U757" s="146"/>
      <c r="V757" s="146"/>
    </row>
    <row r="758" spans="1:22">
      <c r="A758" s="146"/>
      <c r="B758" s="146"/>
      <c r="C758" s="146"/>
      <c r="D758" s="146"/>
      <c r="E758" s="146"/>
      <c r="F758" s="146"/>
      <c r="G758" s="146"/>
      <c r="H758" s="146"/>
      <c r="I758" s="146"/>
      <c r="J758" s="146"/>
      <c r="K758" s="146"/>
      <c r="L758" s="146"/>
      <c r="M758" s="146"/>
      <c r="N758" s="146"/>
      <c r="O758" s="146"/>
      <c r="P758" s="146"/>
      <c r="Q758" s="146"/>
      <c r="R758" s="146"/>
      <c r="S758" s="146"/>
      <c r="T758" s="146"/>
      <c r="U758" s="146"/>
      <c r="V758" s="146"/>
    </row>
    <row r="759" spans="1:22">
      <c r="A759" s="146"/>
      <c r="B759" s="146"/>
      <c r="C759" s="146"/>
      <c r="D759" s="146"/>
      <c r="E759" s="146"/>
      <c r="F759" s="146"/>
      <c r="G759" s="146"/>
      <c r="H759" s="146"/>
      <c r="I759" s="146"/>
      <c r="J759" s="146"/>
      <c r="K759" s="146"/>
      <c r="L759" s="146"/>
      <c r="M759" s="146"/>
      <c r="N759" s="146"/>
      <c r="O759" s="146"/>
      <c r="P759" s="146"/>
      <c r="Q759" s="146"/>
      <c r="R759" s="146"/>
      <c r="S759" s="146"/>
      <c r="T759" s="146"/>
      <c r="U759" s="146"/>
      <c r="V759" s="146"/>
    </row>
    <row r="760" spans="1:22">
      <c r="A760" s="146"/>
      <c r="B760" s="146"/>
      <c r="C760" s="146"/>
      <c r="D760" s="146"/>
      <c r="E760" s="146"/>
      <c r="F760" s="146"/>
      <c r="G760" s="146"/>
      <c r="H760" s="146"/>
      <c r="I760" s="146"/>
      <c r="J760" s="146"/>
      <c r="K760" s="146"/>
      <c r="L760" s="146"/>
      <c r="M760" s="146"/>
      <c r="N760" s="146"/>
      <c r="O760" s="146"/>
      <c r="P760" s="146"/>
      <c r="Q760" s="146"/>
      <c r="R760" s="146"/>
      <c r="S760" s="146"/>
      <c r="T760" s="146"/>
      <c r="U760" s="146"/>
      <c r="V760" s="146"/>
    </row>
    <row r="761" spans="1:22">
      <c r="A761" s="146"/>
      <c r="B761" s="146"/>
      <c r="C761" s="146"/>
      <c r="D761" s="146"/>
      <c r="E761" s="146"/>
      <c r="F761" s="146"/>
      <c r="G761" s="146"/>
      <c r="H761" s="146"/>
      <c r="I761" s="146"/>
      <c r="J761" s="146"/>
      <c r="K761" s="146"/>
      <c r="L761" s="146"/>
      <c r="M761" s="146"/>
      <c r="N761" s="146"/>
      <c r="O761" s="146"/>
      <c r="P761" s="146"/>
      <c r="Q761" s="146"/>
      <c r="R761" s="146"/>
      <c r="S761" s="146"/>
      <c r="T761" s="146"/>
      <c r="U761" s="146"/>
      <c r="V761" s="146"/>
    </row>
    <row r="762" spans="1:22">
      <c r="A762" s="146"/>
      <c r="B762" s="146"/>
      <c r="C762" s="146"/>
      <c r="D762" s="146"/>
      <c r="E762" s="146"/>
      <c r="F762" s="146"/>
      <c r="G762" s="146"/>
      <c r="H762" s="146"/>
      <c r="I762" s="146"/>
      <c r="J762" s="146"/>
      <c r="K762" s="146"/>
      <c r="L762" s="146"/>
      <c r="M762" s="146"/>
      <c r="N762" s="146"/>
      <c r="O762" s="146"/>
      <c r="P762" s="146"/>
      <c r="Q762" s="146"/>
      <c r="R762" s="146"/>
      <c r="S762" s="146"/>
      <c r="T762" s="146"/>
      <c r="U762" s="146"/>
      <c r="V762" s="146"/>
    </row>
    <row r="763" spans="1:22">
      <c r="A763" s="146"/>
      <c r="B763" s="146"/>
      <c r="C763" s="146"/>
      <c r="D763" s="146"/>
      <c r="E763" s="146"/>
      <c r="F763" s="146"/>
      <c r="G763" s="146"/>
      <c r="H763" s="146"/>
      <c r="I763" s="146"/>
      <c r="J763" s="146"/>
      <c r="K763" s="146"/>
      <c r="L763" s="146"/>
      <c r="M763" s="146"/>
      <c r="N763" s="146"/>
      <c r="O763" s="146"/>
      <c r="P763" s="146"/>
      <c r="Q763" s="146"/>
      <c r="R763" s="146"/>
      <c r="S763" s="146"/>
      <c r="T763" s="146"/>
      <c r="U763" s="146"/>
      <c r="V763" s="146"/>
    </row>
    <row r="764" spans="1:22">
      <c r="A764" s="146"/>
      <c r="B764" s="146"/>
      <c r="C764" s="146"/>
      <c r="D764" s="146"/>
      <c r="E764" s="146"/>
      <c r="F764" s="146"/>
      <c r="G764" s="146"/>
      <c r="H764" s="146"/>
      <c r="I764" s="146"/>
      <c r="J764" s="146"/>
      <c r="K764" s="146"/>
      <c r="L764" s="146"/>
      <c r="M764" s="146"/>
      <c r="N764" s="146"/>
      <c r="O764" s="146"/>
      <c r="P764" s="146"/>
      <c r="Q764" s="146"/>
      <c r="R764" s="146"/>
      <c r="S764" s="146"/>
      <c r="T764" s="146"/>
      <c r="U764" s="146"/>
      <c r="V764" s="146"/>
    </row>
    <row r="765" spans="1:22">
      <c r="A765" s="146"/>
      <c r="B765" s="146"/>
      <c r="C765" s="146"/>
      <c r="D765" s="146"/>
      <c r="E765" s="146"/>
      <c r="F765" s="146"/>
      <c r="G765" s="146"/>
      <c r="H765" s="146"/>
      <c r="I765" s="146"/>
      <c r="J765" s="146"/>
      <c r="K765" s="146"/>
      <c r="L765" s="146"/>
      <c r="M765" s="146"/>
      <c r="N765" s="146"/>
      <c r="O765" s="146"/>
      <c r="P765" s="146"/>
      <c r="Q765" s="146"/>
      <c r="R765" s="146"/>
      <c r="S765" s="146"/>
      <c r="T765" s="146"/>
      <c r="U765" s="146"/>
      <c r="V765" s="146"/>
    </row>
    <row r="766" spans="1:22">
      <c r="A766" s="146"/>
      <c r="B766" s="146"/>
      <c r="C766" s="146"/>
      <c r="D766" s="146"/>
      <c r="E766" s="146"/>
      <c r="F766" s="146"/>
      <c r="G766" s="146"/>
      <c r="H766" s="146"/>
      <c r="I766" s="146"/>
      <c r="J766" s="146"/>
      <c r="K766" s="146"/>
      <c r="L766" s="146"/>
      <c r="M766" s="146"/>
      <c r="N766" s="146"/>
      <c r="O766" s="146"/>
      <c r="P766" s="146"/>
      <c r="Q766" s="146"/>
      <c r="R766" s="146"/>
      <c r="S766" s="146"/>
      <c r="T766" s="146"/>
      <c r="U766" s="146"/>
      <c r="V766" s="146"/>
    </row>
    <row r="767" spans="1:22">
      <c r="A767" s="146"/>
      <c r="B767" s="146"/>
      <c r="C767" s="146"/>
      <c r="D767" s="146"/>
      <c r="E767" s="146"/>
      <c r="F767" s="146"/>
      <c r="G767" s="146"/>
      <c r="H767" s="146"/>
      <c r="I767" s="146"/>
      <c r="J767" s="146"/>
      <c r="K767" s="146"/>
      <c r="L767" s="146"/>
      <c r="M767" s="146"/>
      <c r="N767" s="146"/>
      <c r="O767" s="146"/>
      <c r="P767" s="146"/>
      <c r="Q767" s="146"/>
      <c r="R767" s="146"/>
      <c r="S767" s="146"/>
      <c r="T767" s="146"/>
      <c r="U767" s="146"/>
      <c r="V767" s="146"/>
    </row>
    <row r="768" spans="1:22">
      <c r="A768" s="146"/>
      <c r="B768" s="146"/>
      <c r="C768" s="146"/>
      <c r="D768" s="146"/>
      <c r="E768" s="146"/>
      <c r="F768" s="146"/>
      <c r="G768" s="146"/>
      <c r="H768" s="146"/>
      <c r="I768" s="146"/>
      <c r="J768" s="146"/>
      <c r="K768" s="146"/>
      <c r="L768" s="146"/>
      <c r="M768" s="146"/>
      <c r="N768" s="146"/>
      <c r="O768" s="146"/>
      <c r="P768" s="146"/>
      <c r="Q768" s="146"/>
      <c r="R768" s="146"/>
      <c r="S768" s="146"/>
      <c r="T768" s="146"/>
      <c r="U768" s="146"/>
      <c r="V768" s="146"/>
    </row>
    <row r="769" spans="1:22">
      <c r="A769" s="146"/>
      <c r="B769" s="146"/>
      <c r="C769" s="146"/>
      <c r="D769" s="146"/>
      <c r="E769" s="146"/>
      <c r="F769" s="146"/>
      <c r="G769" s="146"/>
      <c r="H769" s="146"/>
      <c r="I769" s="146"/>
      <c r="J769" s="146"/>
      <c r="K769" s="146"/>
      <c r="L769" s="146"/>
      <c r="M769" s="146"/>
      <c r="N769" s="146"/>
      <c r="O769" s="146"/>
      <c r="P769" s="146"/>
      <c r="Q769" s="146"/>
      <c r="R769" s="146"/>
      <c r="S769" s="146"/>
      <c r="T769" s="146"/>
      <c r="U769" s="146"/>
      <c r="V769" s="146"/>
    </row>
    <row r="770" spans="1:22">
      <c r="A770" s="146"/>
      <c r="B770" s="146"/>
      <c r="C770" s="146"/>
      <c r="D770" s="146"/>
      <c r="E770" s="146"/>
      <c r="F770" s="146"/>
      <c r="G770" s="146"/>
      <c r="H770" s="146"/>
      <c r="I770" s="146"/>
      <c r="J770" s="146"/>
      <c r="K770" s="146"/>
      <c r="L770" s="146"/>
      <c r="M770" s="146"/>
      <c r="N770" s="146"/>
      <c r="O770" s="146"/>
      <c r="P770" s="146"/>
      <c r="Q770" s="146"/>
      <c r="R770" s="146"/>
      <c r="S770" s="146"/>
      <c r="T770" s="146"/>
      <c r="U770" s="146"/>
      <c r="V770" s="146"/>
    </row>
    <row r="771" spans="1:22">
      <c r="A771" s="146"/>
      <c r="B771" s="146"/>
      <c r="C771" s="146"/>
      <c r="D771" s="146"/>
      <c r="E771" s="146"/>
      <c r="F771" s="146"/>
      <c r="G771" s="146"/>
      <c r="H771" s="146"/>
      <c r="I771" s="146"/>
      <c r="J771" s="146"/>
      <c r="K771" s="146"/>
      <c r="L771" s="146"/>
      <c r="M771" s="146"/>
      <c r="N771" s="146"/>
      <c r="O771" s="146"/>
      <c r="P771" s="146"/>
      <c r="Q771" s="146"/>
      <c r="R771" s="146"/>
      <c r="S771" s="146"/>
      <c r="T771" s="146"/>
      <c r="U771" s="146"/>
      <c r="V771" s="146"/>
    </row>
    <row r="772" spans="1:22">
      <c r="A772" s="146"/>
      <c r="B772" s="146"/>
      <c r="C772" s="146"/>
      <c r="D772" s="146"/>
      <c r="E772" s="146"/>
      <c r="F772" s="146"/>
      <c r="G772" s="146"/>
      <c r="H772" s="146"/>
      <c r="I772" s="146"/>
      <c r="J772" s="146"/>
      <c r="K772" s="146"/>
      <c r="L772" s="146"/>
      <c r="M772" s="146"/>
      <c r="N772" s="146"/>
      <c r="O772" s="146"/>
      <c r="P772" s="146"/>
      <c r="Q772" s="146"/>
      <c r="R772" s="146"/>
      <c r="S772" s="146"/>
      <c r="T772" s="146"/>
      <c r="U772" s="146"/>
      <c r="V772" s="146"/>
    </row>
    <row r="773" spans="1:22">
      <c r="A773" s="146"/>
      <c r="B773" s="146"/>
      <c r="C773" s="146"/>
      <c r="D773" s="146"/>
      <c r="E773" s="146"/>
      <c r="F773" s="146"/>
      <c r="G773" s="146"/>
      <c r="H773" s="146"/>
      <c r="I773" s="146"/>
      <c r="J773" s="146"/>
      <c r="K773" s="146"/>
      <c r="L773" s="146"/>
      <c r="M773" s="146"/>
      <c r="N773" s="146"/>
      <c r="O773" s="146"/>
      <c r="P773" s="146"/>
      <c r="Q773" s="146"/>
      <c r="R773" s="146"/>
      <c r="S773" s="146"/>
      <c r="T773" s="146"/>
      <c r="U773" s="146"/>
      <c r="V773" s="146"/>
    </row>
    <row r="774" spans="1:22">
      <c r="A774" s="146"/>
      <c r="B774" s="146"/>
      <c r="C774" s="146"/>
      <c r="D774" s="146"/>
      <c r="E774" s="146"/>
      <c r="F774" s="146"/>
      <c r="G774" s="146"/>
      <c r="H774" s="146"/>
      <c r="I774" s="146"/>
      <c r="J774" s="146"/>
      <c r="K774" s="146"/>
      <c r="L774" s="146"/>
      <c r="M774" s="146"/>
      <c r="N774" s="146"/>
      <c r="O774" s="146"/>
      <c r="P774" s="146"/>
      <c r="Q774" s="146"/>
      <c r="R774" s="146"/>
      <c r="S774" s="146"/>
      <c r="T774" s="146"/>
      <c r="U774" s="146"/>
      <c r="V774" s="146"/>
    </row>
    <row r="775" spans="1:22">
      <c r="A775" s="146"/>
      <c r="B775" s="146"/>
      <c r="C775" s="146"/>
      <c r="D775" s="146"/>
      <c r="E775" s="146"/>
      <c r="F775" s="146"/>
      <c r="G775" s="146"/>
      <c r="H775" s="146"/>
      <c r="I775" s="146"/>
      <c r="J775" s="146"/>
      <c r="K775" s="146"/>
      <c r="L775" s="146"/>
      <c r="M775" s="146"/>
      <c r="N775" s="146"/>
      <c r="O775" s="146"/>
      <c r="P775" s="146"/>
      <c r="Q775" s="146"/>
      <c r="R775" s="146"/>
      <c r="S775" s="146"/>
      <c r="T775" s="146"/>
      <c r="U775" s="146"/>
      <c r="V775" s="146"/>
    </row>
    <row r="776" spans="1:22">
      <c r="A776" s="146"/>
      <c r="B776" s="146"/>
      <c r="C776" s="146"/>
      <c r="D776" s="146"/>
      <c r="E776" s="146"/>
      <c r="F776" s="146"/>
      <c r="G776" s="146"/>
      <c r="H776" s="146"/>
      <c r="I776" s="146"/>
      <c r="J776" s="146"/>
      <c r="K776" s="146"/>
      <c r="L776" s="146"/>
      <c r="M776" s="146"/>
      <c r="N776" s="146"/>
      <c r="O776" s="146"/>
      <c r="P776" s="146"/>
      <c r="Q776" s="146"/>
      <c r="R776" s="146"/>
      <c r="S776" s="146"/>
      <c r="T776" s="146"/>
      <c r="U776" s="146"/>
      <c r="V776" s="146"/>
    </row>
    <row r="777" spans="1:22">
      <c r="A777" s="146"/>
      <c r="B777" s="146"/>
      <c r="C777" s="146"/>
      <c r="D777" s="146"/>
      <c r="E777" s="146"/>
      <c r="F777" s="146"/>
      <c r="G777" s="146"/>
      <c r="H777" s="146"/>
      <c r="I777" s="146"/>
      <c r="J777" s="146"/>
      <c r="K777" s="146"/>
      <c r="L777" s="146"/>
      <c r="M777" s="146"/>
      <c r="N777" s="146"/>
      <c r="O777" s="146"/>
      <c r="P777" s="146"/>
      <c r="Q777" s="146"/>
      <c r="R777" s="146"/>
      <c r="S777" s="146"/>
      <c r="T777" s="146"/>
      <c r="U777" s="146"/>
      <c r="V777" s="146"/>
    </row>
    <row r="778" spans="1:22">
      <c r="A778" s="146"/>
      <c r="B778" s="146"/>
      <c r="C778" s="146"/>
      <c r="D778" s="146"/>
      <c r="E778" s="146"/>
      <c r="F778" s="146"/>
      <c r="G778" s="146"/>
      <c r="H778" s="146"/>
      <c r="I778" s="146"/>
      <c r="J778" s="146"/>
      <c r="K778" s="146"/>
      <c r="L778" s="146"/>
      <c r="M778" s="146"/>
      <c r="N778" s="146"/>
      <c r="O778" s="146"/>
      <c r="P778" s="146"/>
      <c r="Q778" s="146"/>
      <c r="R778" s="146"/>
      <c r="S778" s="146"/>
      <c r="T778" s="146"/>
      <c r="U778" s="146"/>
      <c r="V778" s="146"/>
    </row>
    <row r="779" spans="1:22">
      <c r="A779" s="146"/>
      <c r="B779" s="146"/>
      <c r="C779" s="146"/>
      <c r="D779" s="146"/>
      <c r="E779" s="146"/>
      <c r="F779" s="146"/>
      <c r="G779" s="146"/>
      <c r="H779" s="146"/>
      <c r="I779" s="146"/>
      <c r="J779" s="146"/>
      <c r="K779" s="146"/>
      <c r="L779" s="146"/>
      <c r="M779" s="146"/>
      <c r="N779" s="146"/>
      <c r="O779" s="146"/>
      <c r="P779" s="146"/>
      <c r="Q779" s="146"/>
      <c r="R779" s="146"/>
      <c r="S779" s="146"/>
      <c r="T779" s="146"/>
      <c r="U779" s="146"/>
      <c r="V779" s="146"/>
    </row>
    <row r="780" spans="1:22">
      <c r="A780" s="146"/>
      <c r="B780" s="146"/>
      <c r="C780" s="146"/>
      <c r="D780" s="146"/>
      <c r="E780" s="146"/>
      <c r="F780" s="146"/>
      <c r="G780" s="146"/>
      <c r="H780" s="146"/>
      <c r="I780" s="146"/>
      <c r="J780" s="146"/>
      <c r="K780" s="146"/>
      <c r="L780" s="146"/>
      <c r="M780" s="146"/>
      <c r="N780" s="146"/>
      <c r="O780" s="146"/>
      <c r="P780" s="146"/>
      <c r="Q780" s="146"/>
      <c r="R780" s="146"/>
      <c r="S780" s="146"/>
      <c r="T780" s="146"/>
      <c r="U780" s="146"/>
      <c r="V780" s="146"/>
    </row>
    <row r="781" spans="1:22">
      <c r="A781" s="146"/>
      <c r="B781" s="146"/>
      <c r="C781" s="146"/>
      <c r="D781" s="146"/>
      <c r="E781" s="146"/>
      <c r="F781" s="146"/>
      <c r="G781" s="146"/>
      <c r="H781" s="146"/>
      <c r="I781" s="146"/>
      <c r="J781" s="146"/>
      <c r="K781" s="146"/>
      <c r="L781" s="146"/>
      <c r="M781" s="146"/>
      <c r="N781" s="146"/>
      <c r="O781" s="146"/>
      <c r="P781" s="146"/>
      <c r="Q781" s="146"/>
      <c r="R781" s="146"/>
      <c r="S781" s="146"/>
      <c r="T781" s="146"/>
      <c r="U781" s="146"/>
      <c r="V781" s="146"/>
    </row>
    <row r="782" spans="1:22">
      <c r="A782" s="146"/>
      <c r="B782" s="146"/>
      <c r="C782" s="146"/>
      <c r="D782" s="146"/>
      <c r="E782" s="146"/>
      <c r="F782" s="146"/>
      <c r="G782" s="146"/>
      <c r="H782" s="146"/>
      <c r="I782" s="146"/>
      <c r="J782" s="146"/>
      <c r="K782" s="146"/>
      <c r="L782" s="146"/>
      <c r="M782" s="146"/>
      <c r="N782" s="146"/>
      <c r="O782" s="146"/>
      <c r="P782" s="146"/>
      <c r="Q782" s="146"/>
      <c r="R782" s="146"/>
      <c r="S782" s="146"/>
      <c r="T782" s="146"/>
      <c r="U782" s="146"/>
      <c r="V782" s="146"/>
    </row>
  </sheetData>
  <sheetProtection algorithmName="SHA-512" hashValue="i+8JkQ+29/CPX3cJQLqX0w8qEQ7OQShTHlNNaDxLszbaEZfE3qHAGdy+KxbAUGwdBDGc1ROM83liVm8QUj/YOw==" saltValue="yoe9aZQyQSrZGOUDUdf+Ew==" spinCount="100000" sheet="1" objects="1" scenarios="1" selectLockedCells="1" selectUnlockedCells="1"/>
  <mergeCells count="306">
    <mergeCell ref="E104:G104"/>
    <mergeCell ref="J104:L104"/>
    <mergeCell ref="C461:N461"/>
    <mergeCell ref="C460:N460"/>
    <mergeCell ref="J428:J429"/>
    <mergeCell ref="A131:Q131"/>
    <mergeCell ref="L134:P134"/>
    <mergeCell ref="Q81:Q82"/>
    <mergeCell ref="A206:Q206"/>
    <mergeCell ref="A208:Q208"/>
    <mergeCell ref="P210:Q210"/>
    <mergeCell ref="A197:Q197"/>
    <mergeCell ref="A199:Q199"/>
    <mergeCell ref="P201:Q201"/>
    <mergeCell ref="A179:Q179"/>
    <mergeCell ref="A181:Q181"/>
    <mergeCell ref="B183:D183"/>
    <mergeCell ref="P183:Q183"/>
    <mergeCell ref="B194:N194"/>
    <mergeCell ref="J205:N205"/>
    <mergeCell ref="A169:Q169"/>
    <mergeCell ref="A171:Q171"/>
    <mergeCell ref="B155:L155"/>
    <mergeCell ref="B177:N177"/>
    <mergeCell ref="P471:Q471"/>
    <mergeCell ref="A473:Q473"/>
    <mergeCell ref="A475:Q475"/>
    <mergeCell ref="A450:Q450"/>
    <mergeCell ref="A452:Q452"/>
    <mergeCell ref="P454:Q454"/>
    <mergeCell ref="B465:N465"/>
    <mergeCell ref="N428:N429"/>
    <mergeCell ref="C430:H431"/>
    <mergeCell ref="K433:M433"/>
    <mergeCell ref="K430:M430"/>
    <mergeCell ref="K431:M431"/>
    <mergeCell ref="K434:M434"/>
    <mergeCell ref="K437:M437"/>
    <mergeCell ref="B464:N464"/>
    <mergeCell ref="A467:Q467"/>
    <mergeCell ref="A469:Q469"/>
    <mergeCell ref="C458:N458"/>
    <mergeCell ref="B448:N448"/>
    <mergeCell ref="B463:N463"/>
    <mergeCell ref="B462:N462"/>
    <mergeCell ref="L329:Q329"/>
    <mergeCell ref="B270:O270"/>
    <mergeCell ref="H410:O410"/>
    <mergeCell ref="B444:Q444"/>
    <mergeCell ref="B457:N457"/>
    <mergeCell ref="B456:N456"/>
    <mergeCell ref="P416:Q416"/>
    <mergeCell ref="G441:K441"/>
    <mergeCell ref="B446:N446"/>
    <mergeCell ref="D441:D442"/>
    <mergeCell ref="C330:N330"/>
    <mergeCell ref="B328:N328"/>
    <mergeCell ref="C333:N333"/>
    <mergeCell ref="C332:N332"/>
    <mergeCell ref="C331:N331"/>
    <mergeCell ref="C350:N350"/>
    <mergeCell ref="G346:N346"/>
    <mergeCell ref="G348:N348"/>
    <mergeCell ref="B351:N351"/>
    <mergeCell ref="Q322:Q323"/>
    <mergeCell ref="P322:P323"/>
    <mergeCell ref="A337:Q337"/>
    <mergeCell ref="M442:Q442"/>
    <mergeCell ref="A367:Q367"/>
    <mergeCell ref="K258:P258"/>
    <mergeCell ref="M399:N399"/>
    <mergeCell ref="A401:Q401"/>
    <mergeCell ref="C425:F427"/>
    <mergeCell ref="A403:Q403"/>
    <mergeCell ref="A414:Q414"/>
    <mergeCell ref="A391:Q391"/>
    <mergeCell ref="A393:Q393"/>
    <mergeCell ref="P369:Q369"/>
    <mergeCell ref="B370:N370"/>
    <mergeCell ref="B372:N372"/>
    <mergeCell ref="A375:Q375"/>
    <mergeCell ref="A377:Q377"/>
    <mergeCell ref="M373:N373"/>
    <mergeCell ref="B383:N383"/>
    <mergeCell ref="O362:Q362"/>
    <mergeCell ref="G345:N345"/>
    <mergeCell ref="K272:O272"/>
    <mergeCell ref="C303:N303"/>
    <mergeCell ref="K341:N341"/>
    <mergeCell ref="D319:H321"/>
    <mergeCell ref="D322:H323"/>
    <mergeCell ref="P357:Q357"/>
    <mergeCell ref="B382:N382"/>
    <mergeCell ref="C232:G232"/>
    <mergeCell ref="A217:Q217"/>
    <mergeCell ref="A219:Q219"/>
    <mergeCell ref="K225:L225"/>
    <mergeCell ref="C233:G233"/>
    <mergeCell ref="I233:O233"/>
    <mergeCell ref="M319:N319"/>
    <mergeCell ref="P405:Q405"/>
    <mergeCell ref="C281:N281"/>
    <mergeCell ref="C317:N317"/>
    <mergeCell ref="C316:N316"/>
    <mergeCell ref="C315:N315"/>
    <mergeCell ref="A308:Q308"/>
    <mergeCell ref="P299:Q299"/>
    <mergeCell ref="A310:Q310"/>
    <mergeCell ref="C302:N302"/>
    <mergeCell ref="B398:N398"/>
    <mergeCell ref="A295:Q295"/>
    <mergeCell ref="A297:Q297"/>
    <mergeCell ref="P379:Q379"/>
    <mergeCell ref="I381:P381"/>
    <mergeCell ref="I380:P380"/>
    <mergeCell ref="A335:Q335"/>
    <mergeCell ref="K257:P257"/>
    <mergeCell ref="C124:N124"/>
    <mergeCell ref="J204:N204"/>
    <mergeCell ref="J103:L103"/>
    <mergeCell ref="I232:O232"/>
    <mergeCell ref="C231:G231"/>
    <mergeCell ref="A245:Q245"/>
    <mergeCell ref="A247:Q247"/>
    <mergeCell ref="G442:I442"/>
    <mergeCell ref="E397:I397"/>
    <mergeCell ref="J397:L397"/>
    <mergeCell ref="M397:Q397"/>
    <mergeCell ref="N155:O155"/>
    <mergeCell ref="P155:Q155"/>
    <mergeCell ref="P132:Q132"/>
    <mergeCell ref="L138:P138"/>
    <mergeCell ref="B176:N176"/>
    <mergeCell ref="B175:N175"/>
    <mergeCell ref="B174:N174"/>
    <mergeCell ref="M164:N164"/>
    <mergeCell ref="K226:N226"/>
    <mergeCell ref="P228:Q228"/>
    <mergeCell ref="C230:G230"/>
    <mergeCell ref="I231:O231"/>
    <mergeCell ref="I230:O230"/>
    <mergeCell ref="A111:Q111"/>
    <mergeCell ref="A113:Q113"/>
    <mergeCell ref="P114:Q114"/>
    <mergeCell ref="M117:P117"/>
    <mergeCell ref="H69:J69"/>
    <mergeCell ref="M69:O69"/>
    <mergeCell ref="B108:N108"/>
    <mergeCell ref="O104:Q104"/>
    <mergeCell ref="A412:Q412"/>
    <mergeCell ref="C90:L91"/>
    <mergeCell ref="L89:Q89"/>
    <mergeCell ref="B81:J82"/>
    <mergeCell ref="P173:Q173"/>
    <mergeCell ref="A157:Q157"/>
    <mergeCell ref="A160:Q160"/>
    <mergeCell ref="P162:Q162"/>
    <mergeCell ref="M163:N163"/>
    <mergeCell ref="M165:N165"/>
    <mergeCell ref="P165:Q165"/>
    <mergeCell ref="K166:P166"/>
    <mergeCell ref="A93:J93"/>
    <mergeCell ref="K93:Q93"/>
    <mergeCell ref="P95:Q95"/>
    <mergeCell ref="M97:P97"/>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P46:Q46"/>
    <mergeCell ref="P45:Q45"/>
    <mergeCell ref="P48:Q48"/>
    <mergeCell ref="P39:Q41"/>
    <mergeCell ref="R46:T46"/>
    <mergeCell ref="A37:E38"/>
    <mergeCell ref="R8:S11"/>
    <mergeCell ref="R15:S20"/>
    <mergeCell ref="E103:G103"/>
    <mergeCell ref="A41:C44"/>
    <mergeCell ref="A1:Q1"/>
    <mergeCell ref="A3:G3"/>
    <mergeCell ref="H3:N3"/>
    <mergeCell ref="O3:P3"/>
    <mergeCell ref="B4:D4"/>
    <mergeCell ref="P6:Q6"/>
    <mergeCell ref="J6:O6"/>
    <mergeCell ref="A8:Q8"/>
    <mergeCell ref="A21:Q21"/>
    <mergeCell ref="A9:Q9"/>
    <mergeCell ref="A10:Q10"/>
    <mergeCell ref="A11:Q11"/>
    <mergeCell ref="A12:Q12"/>
    <mergeCell ref="A13:Q13"/>
    <mergeCell ref="A14:Q14"/>
    <mergeCell ref="A15:Q15"/>
    <mergeCell ref="M98:P98"/>
    <mergeCell ref="O103:Q103"/>
    <mergeCell ref="P81:P82"/>
    <mergeCell ref="K256:P256"/>
    <mergeCell ref="K304:P304"/>
    <mergeCell ref="I145:J146"/>
    <mergeCell ref="B167:N167"/>
    <mergeCell ref="A16:Q16"/>
    <mergeCell ref="A17:Q17"/>
    <mergeCell ref="A18:Q18"/>
    <mergeCell ref="A19:Q19"/>
    <mergeCell ref="A20:Q20"/>
    <mergeCell ref="K38:N38"/>
    <mergeCell ref="K39:N39"/>
    <mergeCell ref="G40:I40"/>
    <mergeCell ref="L40:N40"/>
    <mergeCell ref="P52:Q52"/>
    <mergeCell ref="P56:Q56"/>
    <mergeCell ref="P79:Q79"/>
    <mergeCell ref="A71:J71"/>
    <mergeCell ref="K71:Q71"/>
    <mergeCell ref="P73:Q73"/>
    <mergeCell ref="A77:J77"/>
    <mergeCell ref="K77:Q77"/>
    <mergeCell ref="A129:Q129"/>
    <mergeCell ref="P59:Q62"/>
    <mergeCell ref="P63:Q64"/>
    <mergeCell ref="K255:P255"/>
    <mergeCell ref="K253:P253"/>
    <mergeCell ref="P42:Q43"/>
    <mergeCell ref="P49:Q49"/>
    <mergeCell ref="P50:Q51"/>
    <mergeCell ref="A22:Q22"/>
    <mergeCell ref="C436:H437"/>
    <mergeCell ref="P221:Q221"/>
    <mergeCell ref="K428:M429"/>
    <mergeCell ref="K436:M436"/>
    <mergeCell ref="K224:L224"/>
    <mergeCell ref="P267:Q267"/>
    <mergeCell ref="P312:Q312"/>
    <mergeCell ref="P287:Q287"/>
    <mergeCell ref="C324:H326"/>
    <mergeCell ref="P271:Q271"/>
    <mergeCell ref="P272:Q272"/>
    <mergeCell ref="K271:O271"/>
    <mergeCell ref="J319:L320"/>
    <mergeCell ref="C349:N349"/>
    <mergeCell ref="A354:Q354"/>
    <mergeCell ref="A356:Q356"/>
    <mergeCell ref="B385:N385"/>
    <mergeCell ref="P396:Q396"/>
    <mergeCell ref="B256:I256"/>
    <mergeCell ref="B257:I257"/>
    <mergeCell ref="S50:V62"/>
    <mergeCell ref="M99:P99"/>
    <mergeCell ref="C148:Q148"/>
    <mergeCell ref="P65:Q70"/>
    <mergeCell ref="I428:I429"/>
    <mergeCell ref="B277:G278"/>
    <mergeCell ref="C275:N275"/>
    <mergeCell ref="C274:N274"/>
    <mergeCell ref="B260:N260"/>
    <mergeCell ref="P269:Q269"/>
    <mergeCell ref="A283:Q283"/>
    <mergeCell ref="A285:Q285"/>
    <mergeCell ref="B293:N293"/>
    <mergeCell ref="C288:N288"/>
    <mergeCell ref="C291:N291"/>
    <mergeCell ref="K269:O269"/>
    <mergeCell ref="P338:Q338"/>
    <mergeCell ref="B343:N343"/>
    <mergeCell ref="C346:F346"/>
    <mergeCell ref="O363:Q363"/>
    <mergeCell ref="A365:Q365"/>
    <mergeCell ref="K254:P254"/>
    <mergeCell ref="B258:I258"/>
    <mergeCell ref="K252:P252"/>
    <mergeCell ref="B389:N389"/>
    <mergeCell ref="B388:N388"/>
    <mergeCell ref="Q420:Q421"/>
    <mergeCell ref="P420:P421"/>
    <mergeCell ref="C193:N193"/>
    <mergeCell ref="C192:N192"/>
    <mergeCell ref="C190:N190"/>
    <mergeCell ref="J212:N212"/>
    <mergeCell ref="J213:N213"/>
    <mergeCell ref="B212:G213"/>
    <mergeCell ref="B203:O203"/>
    <mergeCell ref="P248:Q248"/>
    <mergeCell ref="A263:Q263"/>
    <mergeCell ref="M225:P225"/>
    <mergeCell ref="C240:N240"/>
    <mergeCell ref="A265:Q265"/>
    <mergeCell ref="K251:P251"/>
    <mergeCell ref="B251:I251"/>
    <mergeCell ref="B252:I252"/>
    <mergeCell ref="B253:I253"/>
    <mergeCell ref="B254:I254"/>
    <mergeCell ref="B255:I255"/>
  </mergeCells>
  <conditionalFormatting sqref="R68:S69 R47 R61:R62 R53:R55 R50 R65:R67">
    <cfRule type="cellIs" dxfId="44" priority="6" stopIfTrue="1" operator="greaterThan">
      <formula>0</formula>
    </cfRule>
  </conditionalFormatting>
  <conditionalFormatting sqref="R40:R42">
    <cfRule type="cellIs" dxfId="43" priority="5" stopIfTrue="1" operator="greaterThan">
      <formula>0</formula>
    </cfRule>
  </conditionalFormatting>
  <dataValidations count="28">
    <dataValidation type="list" allowBlank="1" showInputMessage="1" showErrorMessage="1" sqref="P269:Q269"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P140:Q140 Q85 Q88"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65:N165" xr:uid="{00000000-0002-0000-0B00-000004000000}">
      <formula1>"&lt;&lt;Select&gt;&gt;, Warranty Deed, Purchase Contract, Ground lease/Option, RFP Selection, Other (see comments)"</formula1>
    </dataValidation>
    <dataValidation type="list" allowBlank="1" showInputMessage="1" showErrorMessage="1" sqref="P165:Q165" xr:uid="{00000000-0002-0000-0B00-000005000000}">
      <formula1>"&lt;&lt;Select&gt;&gt;, Warranty Deed, Contract/Option, Ground lease, No site control, Other (see comments)"</formula1>
    </dataValidation>
    <dataValidation type="list" allowBlank="1" showInputMessage="1" showErrorMessage="1" sqref="Q230:Q233" xr:uid="{00000000-0002-0000-0B00-000006000000}">
      <formula1>"Yes, No, N/A"</formula1>
    </dataValidation>
    <dataValidation type="list" allowBlank="1" showInputMessage="1" showErrorMessage="1" sqref="K224" xr:uid="{00000000-0002-0000-0B00-000008000000}">
      <formula1>"&lt;&lt;Select&gt;&gt;, Room, Building"</formula1>
    </dataValidation>
    <dataValidation type="list" allowBlank="1" showInputMessage="1" showErrorMessage="1" sqref="G345:N345" xr:uid="{00000000-0002-0000-0B00-000009000000}">
      <formula1>$K$520:$K$524</formula1>
    </dataValidation>
    <dataValidation type="list" allowBlank="1" showInputMessage="1" showErrorMessage="1" sqref="G346:N346" xr:uid="{00000000-0002-0000-0B00-00000A000000}">
      <formula1>$K$515:$K$517</formula1>
    </dataValidation>
    <dataValidation type="list" allowBlank="1" showInputMessage="1" showErrorMessage="1" sqref="N155:Q155" xr:uid="{00000000-0002-0000-0B00-00000B000000}">
      <formula1>"&lt;&lt;Select&gt;&gt;, Minority concentration, Racially mixed, Non-minority"</formula1>
    </dataValidation>
    <dataValidation type="list" allowBlank="1" showInputMessage="1" showErrorMessage="1" sqref="P223:Q223 P456:Q465 P90 P227:Q227 P234:Q234 Q241 P81:Q81 P302:Q303 P281:Q281 P448:Q448 Q224:Q226 P86:P87 P260:Q261 P351:Q351 P372:Q372 P370:Q370 P306:Q306 Q304 Q341" xr:uid="{00000000-0002-0000-0B00-00000C000000}">
      <formula1>"Agree, Disagree"</formula1>
    </dataValidation>
    <dataValidation type="list" allowBlank="1" showInputMessage="1" showErrorMessage="1" sqref="P471 P396 P405 P183 P338 P36 P267 P299 P210 P221 P201 P79 P95 P114 P132 P162 P173 P73 P369 P29 P454 P357 P379 P287 P312 P248 P416"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8:C493 C483:C484" xr:uid="{00000000-0002-0000-0B00-00000E000000}"/>
    <dataValidation type="list" allowBlank="1" showInputMessage="1" showErrorMessage="1" sqref="Q38 Q86:Q87 Q404 P116:Q116 Q380:Q389 P142:Q145 P339:Q341 P343:Q343 P406:Q410 P135:P137 P433:Q433 P230:P233 P222:Q222 P150:Q153 P242:Q243 Q209 P204:Q205 P174 P194:P195 Q97:Q99 P163:Q164 Q90 Q117:Q118 P330:Q333 P259:Q259 P345:Q346 P382:P389 P422:Q424 P358:Q361 Q185:Q195 P315:Q317 P185:P191 P328:Q328 P324:Q324 P288:Q293 P321:Q322 Q174:Q177 P202:Q202 P270:Q270 Q453 P211:Q215 Q445 Q448 P120:Q126 P118:Q118 P105:Q106 P108:Q109 P313:Q313 Q394:Q395 Q470 P436:Q436 P430:Q430 Q134:Q138 F142:G146 K142:L144 K146:L146 Q166 P184:Q184 P419:Q420 P268:Q268 P235:Q240 P300:Q300 P349:Q350 P398:Q399 P417:Q417 P273:Q275 P276:Q280" xr:uid="{00000000-0002-0000-0B00-000010000000}">
      <formula1>"Yes, No"</formula1>
    </dataValidation>
    <dataValidation type="list" allowBlank="1" showInputMessage="1" showErrorMessage="1" sqref="P175:P177" xr:uid="{00000000-0002-0000-0B00-000012000000}">
      <formula1>"Yes, No,N/Av,N/Ap"</formula1>
    </dataValidation>
    <dataValidation type="list" allowBlank="1" showInputMessage="1" showErrorMessage="1" sqref="P127:Q127 P167:Q167" xr:uid="{00000000-0002-0000-0B00-000013000000}">
      <formula1>"Yes, No, N/a"</formula1>
    </dataValidation>
    <dataValidation type="list" allowBlank="1" showInputMessage="1" showErrorMessage="1" sqref="G442"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40:Q440" xr:uid="{00000000-0002-0000-0B00-000016000000}">
      <formula1>"&lt;&lt;Select&gt;&gt;, Applicant, Third-party"</formula1>
    </dataValidation>
    <dataValidation type="list" allowBlank="1" showInputMessage="1" showErrorMessage="1" sqref="K226:N226" xr:uid="{00000000-0002-0000-0B00-00001A000000}">
      <formula1>"&lt;&lt;Select&gt;&gt;, On-site laundry, W&amp;D installed in each unit, Both options"</formula1>
    </dataValidation>
    <dataValidation type="list" allowBlank="1" showInputMessage="1" showErrorMessage="1" sqref="C230:G233" xr:uid="{A1E1C529-94D8-4509-A0C4-607C2A69A7F0}">
      <formula1>$M$533:$M$541</formula1>
    </dataValidation>
    <dataValidation type="list" allowBlank="1" showInputMessage="1" showErrorMessage="1" sqref="O362:Q363" xr:uid="{00000000-0002-0000-0B00-000011000000}">
      <formula1>$O$482:$O$490</formula1>
    </dataValidation>
    <dataValidation type="list" allowBlank="1" showInputMessage="1" showErrorMessage="1" sqref="P85" xr:uid="{C7C89C2C-12A5-4EAA-BE1B-19AD143E2FF0}">
      <formula1>"Agree, Disagree, N/ap"</formula1>
    </dataValidation>
    <dataValidation type="list" allowBlank="1" showInputMessage="1" showErrorMessage="1" sqref="P88" xr:uid="{6A436DBA-ACF3-4DA0-8BAB-AD7AF7EF2071}">
      <formula1>"Agree, Disagree, N/Ap"</formula1>
    </dataValidation>
    <dataValidation type="list" allowBlank="1" showInputMessage="1" showErrorMessage="1" sqref="K225:L225" xr:uid="{5617B09D-CDEA-4632-9C83-DB71017735D5}">
      <formula1>"&lt;&lt;Select&gt;&gt;, Gazebo, Covered Porch, Other Pre-Approved"</formula1>
    </dataValidation>
    <dataValidation type="list" allowBlank="1" showInputMessage="1" showErrorMessage="1" sqref="K269:O269" xr:uid="{6DE4FD8E-D39A-4A5F-8C49-0E20D216BF9C}">
      <formula1>"&lt;&lt;Select&gt;&gt;, Substantial Rehab Gutted, Substantial Rehab Non-Gutted,Historic Preservation"</formula1>
    </dataValidation>
    <dataValidation type="list" allowBlank="1" showInputMessage="1" showErrorMessage="1" sqref="K304:P304" xr:uid="{B39BFB86-578D-4518-8DDD-A0C6F8441566}">
      <formula1>$M$545:$M$560</formula1>
    </dataValidation>
    <dataValidation type="list" allowBlank="1" showInputMessage="1" showErrorMessage="1" sqref="K341" xr:uid="{23CEE138-287F-4A1B-B970-73DECDD8D20B}">
      <formula1>"&lt;&lt;Select&gt;&gt;, N/A - no NC involved, Yes - W&amp;D hookups installed in each unit"</formula1>
    </dataValidation>
  </dataValidations>
  <hyperlinks>
    <hyperlink ref="N306"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Affairs&amp;C2021 Funding Application&amp;RHousing Finance and Development Division</oddHeader>
    <oddFooter>&amp;L&amp;G &amp;F&amp;C&amp;A&amp;R&amp;P of &amp;N</oddFooter>
  </headerFooter>
  <rowBreaks count="11" manualBreakCount="11">
    <brk id="35" max="16383" man="1"/>
    <brk id="78" max="16383" man="1"/>
    <brk id="113" max="16383" man="1"/>
    <brk id="131" max="16383" man="1"/>
    <brk id="161" max="16383" man="1"/>
    <brk id="199" max="16383" man="1"/>
    <brk id="311" max="16383" man="1"/>
    <brk id="337" max="16383" man="1"/>
    <brk id="378" max="16383" man="1"/>
    <brk id="414" max="16383" man="1"/>
    <brk id="445" max="16383" man="1"/>
  </rowBreak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G501"/>
  <sheetViews>
    <sheetView showGridLines="0" topLeftCell="A286" zoomScale="70" zoomScaleNormal="70" workbookViewId="0">
      <selection activeCell="A286" sqref="A1:XFD1048576"/>
    </sheetView>
  </sheetViews>
  <sheetFormatPr defaultColWidth="9.140625" defaultRowHeight="12.75"/>
  <cols>
    <col min="1" max="1" width="6" style="27" customWidth="1"/>
    <col min="2" max="2" width="3.42578125" style="27" customWidth="1"/>
    <col min="3" max="3" width="10.5703125" style="27" customWidth="1"/>
    <col min="4" max="4" width="10.140625" style="27" customWidth="1"/>
    <col min="5" max="5" width="6.140625" style="27" customWidth="1"/>
    <col min="6" max="6" width="9.140625" style="27" customWidth="1"/>
    <col min="7" max="9" width="11.5703125" style="27" customWidth="1"/>
    <col min="10" max="10" width="9.140625" style="27" customWidth="1"/>
    <col min="11" max="11" width="11.85546875" style="27" customWidth="1"/>
    <col min="12" max="12" width="14.85546875" style="27" customWidth="1"/>
    <col min="13" max="13" width="6.85546875" style="27" customWidth="1"/>
    <col min="14" max="14" width="2.85546875" style="75" customWidth="1"/>
    <col min="15" max="16" width="6.7109375" style="2646" customWidth="1"/>
    <col min="17" max="17" width="6" style="27" customWidth="1"/>
    <col min="18" max="21" width="9.140625" style="27" customWidth="1"/>
    <col min="22" max="22" width="8.85546875" style="27" customWidth="1"/>
    <col min="23" max="16384" width="9.140625" style="27"/>
  </cols>
  <sheetData>
    <row r="1" spans="1:22" s="35" customFormat="1" ht="14.1" customHeight="1">
      <c r="A1" s="3592" t="str">
        <f>CONCATENATE("PART NINE - SCORING CRITERIA","  -  ",'Part I-Project Information'!$O$7," ",'Part I-Project Information'!$F$35,", ",'Part I-Project Information'!F39,", ",'Part I-Project Information'!J40," County")</f>
        <v>PART NINE - SCORING CRITERIA  -  2021-067 West Point Village Phase II, West Point, Troup County</v>
      </c>
      <c r="B1" s="3593"/>
      <c r="C1" s="3593"/>
      <c r="D1" s="3593"/>
      <c r="E1" s="3593"/>
      <c r="F1" s="3593"/>
      <c r="G1" s="3593"/>
      <c r="H1" s="3593"/>
      <c r="I1" s="3593"/>
      <c r="J1" s="3593"/>
      <c r="K1" s="3593"/>
      <c r="L1" s="3593"/>
      <c r="M1" s="3593"/>
      <c r="N1" s="3593"/>
      <c r="O1" s="3593"/>
      <c r="P1" s="3594"/>
      <c r="Q1" s="1302"/>
      <c r="R1" s="1302"/>
      <c r="S1" s="1302"/>
    </row>
    <row r="2" spans="1:22" s="35" customFormat="1" ht="4.3499999999999996" customHeight="1">
      <c r="A2" s="36"/>
      <c r="B2" s="36"/>
      <c r="C2" s="37"/>
      <c r="D2" s="36"/>
      <c r="E2" s="36"/>
      <c r="F2" s="36"/>
      <c r="G2" s="36"/>
      <c r="H2" s="36"/>
      <c r="I2" s="36"/>
      <c r="J2" s="36"/>
      <c r="K2" s="36"/>
      <c r="L2" s="36"/>
      <c r="M2" s="38"/>
      <c r="N2" s="72"/>
      <c r="O2" s="2648"/>
      <c r="P2" s="2648"/>
      <c r="Q2" s="1302"/>
      <c r="R2" s="1302"/>
      <c r="S2" s="1302"/>
    </row>
    <row r="3" spans="1:22" s="42" customFormat="1" ht="12" customHeight="1">
      <c r="A3" s="4312" t="s">
        <v>4016</v>
      </c>
      <c r="B3" s="4312"/>
      <c r="C3" s="4312"/>
      <c r="D3" s="4312"/>
      <c r="E3" s="4312"/>
      <c r="F3" s="4312"/>
      <c r="G3" s="4312"/>
      <c r="H3" s="4312"/>
      <c r="I3" s="4312"/>
      <c r="J3" s="4312"/>
      <c r="K3" s="4312"/>
      <c r="L3" s="4312"/>
      <c r="M3" s="767"/>
      <c r="N3" s="73"/>
      <c r="O3" s="83" t="s">
        <v>2116</v>
      </c>
      <c r="P3" s="984" t="s">
        <v>245</v>
      </c>
      <c r="Q3" s="1302"/>
      <c r="R3" s="1302"/>
      <c r="S3" s="1302"/>
    </row>
    <row r="4" spans="1:22" s="44" customFormat="1" ht="12" customHeight="1">
      <c r="A4" s="4312"/>
      <c r="B4" s="4312"/>
      <c r="C4" s="4312"/>
      <c r="D4" s="4312"/>
      <c r="E4" s="4312"/>
      <c r="F4" s="4312"/>
      <c r="G4" s="4312"/>
      <c r="H4" s="4312"/>
      <c r="I4" s="4312"/>
      <c r="J4" s="4312"/>
      <c r="K4" s="4312"/>
      <c r="L4" s="4312"/>
      <c r="M4" s="767"/>
      <c r="N4" s="84"/>
      <c r="O4" s="171" t="s">
        <v>2117</v>
      </c>
      <c r="P4" s="171" t="s">
        <v>2117</v>
      </c>
      <c r="Q4" s="1302"/>
      <c r="R4" s="1302"/>
      <c r="S4" s="1302"/>
      <c r="T4" s="42"/>
      <c r="U4" s="42"/>
      <c r="V4" s="42"/>
    </row>
    <row r="5" spans="1:22" s="44" customFormat="1" ht="3" customHeight="1" thickBot="1">
      <c r="A5" s="42"/>
      <c r="B5" s="42"/>
      <c r="C5" s="42"/>
      <c r="D5" s="42"/>
      <c r="E5" s="42"/>
      <c r="F5" s="42"/>
      <c r="G5" s="42"/>
      <c r="H5" s="42"/>
      <c r="I5" s="42"/>
      <c r="J5" s="42"/>
      <c r="K5" s="42"/>
      <c r="M5" s="1717"/>
      <c r="N5" s="10"/>
      <c r="O5" s="777"/>
      <c r="P5" s="30"/>
      <c r="Q5" s="1302"/>
      <c r="R5" s="1302"/>
      <c r="S5" s="1302"/>
    </row>
    <row r="6" spans="1:22" s="44" customFormat="1" ht="13.5" customHeight="1" thickTop="1" thickBot="1">
      <c r="A6" s="42"/>
      <c r="B6" s="4339" t="str">
        <f>'Part I-Project Information'!$B$7</f>
        <v>2021 Core App
May 10 Rev</v>
      </c>
      <c r="C6" s="4339"/>
      <c r="D6" s="4339"/>
      <c r="E6" s="4339"/>
      <c r="F6" s="4339"/>
      <c r="G6" s="445"/>
      <c r="H6" s="42"/>
      <c r="I6" s="42"/>
      <c r="J6" s="42"/>
      <c r="L6" s="69" t="s">
        <v>1180</v>
      </c>
      <c r="M6" s="3"/>
      <c r="N6" s="9"/>
      <c r="O6" s="1686">
        <f>O401</f>
        <v>59</v>
      </c>
      <c r="P6" s="1686">
        <f>P401</f>
        <v>20</v>
      </c>
      <c r="Q6" s="1302"/>
      <c r="R6" s="1302"/>
      <c r="S6" s="1302"/>
    </row>
    <row r="7" spans="1:22" s="43" customFormat="1" ht="3.6" customHeight="1" thickTop="1" thickBot="1">
      <c r="A7" s="42"/>
      <c r="B7" s="63"/>
      <c r="C7" s="36"/>
      <c r="D7" s="48"/>
      <c r="E7" s="48"/>
      <c r="F7" s="53"/>
      <c r="G7" s="48"/>
      <c r="H7" s="48"/>
      <c r="I7" s="48"/>
      <c r="J7" s="48"/>
      <c r="K7" s="48"/>
      <c r="L7" s="42"/>
      <c r="M7" s="46"/>
      <c r="N7" s="62"/>
      <c r="O7" s="3"/>
      <c r="P7" s="777"/>
      <c r="R7" s="42"/>
      <c r="S7" s="42"/>
    </row>
    <row r="8" spans="1:22" s="42" customFormat="1" ht="12" customHeight="1" thickBot="1">
      <c r="A8" s="4340" t="s">
        <v>6315</v>
      </c>
      <c r="B8" s="4340"/>
      <c r="C8" s="4340"/>
      <c r="D8" s="3967" t="s">
        <v>6316</v>
      </c>
      <c r="E8" s="3967"/>
      <c r="F8" s="3967"/>
      <c r="G8" s="3967"/>
      <c r="H8" s="3967"/>
      <c r="I8" s="3967"/>
      <c r="J8" s="3967"/>
      <c r="K8" s="3967"/>
      <c r="L8" s="3967"/>
      <c r="M8" s="3967"/>
      <c r="O8" s="2520">
        <v>0</v>
      </c>
      <c r="P8" s="2981"/>
      <c r="Q8" s="36" t="s">
        <v>6352</v>
      </c>
      <c r="R8" s="429"/>
      <c r="S8" s="156"/>
    </row>
    <row r="9" spans="1:22" s="42" customFormat="1" ht="12" customHeight="1">
      <c r="A9" s="4340"/>
      <c r="B9" s="4340"/>
      <c r="C9" s="4340"/>
      <c r="D9" s="3967"/>
      <c r="E9" s="3967"/>
      <c r="F9" s="3967"/>
      <c r="G9" s="3967"/>
      <c r="H9" s="3967"/>
      <c r="I9" s="3967"/>
      <c r="J9" s="3967"/>
      <c r="K9" s="3967"/>
      <c r="L9" s="3967"/>
      <c r="M9" s="3967"/>
      <c r="N9" s="1265"/>
      <c r="O9" s="1738"/>
      <c r="P9" s="1738"/>
      <c r="R9" s="429"/>
      <c r="S9" s="156"/>
    </row>
    <row r="10" spans="1:22" s="43" customFormat="1" ht="3" customHeight="1">
      <c r="A10" s="42"/>
      <c r="B10" s="63"/>
      <c r="C10" s="36"/>
      <c r="D10" s="48"/>
      <c r="E10" s="48"/>
      <c r="F10" s="53"/>
      <c r="G10" s="48"/>
      <c r="H10" s="48"/>
      <c r="I10" s="48"/>
      <c r="J10" s="48"/>
      <c r="K10" s="48"/>
      <c r="L10" s="42"/>
      <c r="M10" s="46"/>
      <c r="N10" s="62"/>
      <c r="O10" s="3"/>
      <c r="P10" s="777"/>
      <c r="R10" s="42"/>
      <c r="S10" s="42"/>
    </row>
    <row r="11" spans="1:22" s="42" customFormat="1" ht="12" customHeight="1">
      <c r="B11" s="4244" t="s">
        <v>6351</v>
      </c>
      <c r="C11" s="4245"/>
      <c r="D11" s="4245"/>
      <c r="E11" s="4245"/>
      <c r="F11" s="4245"/>
      <c r="G11" s="4245"/>
      <c r="H11" s="4245"/>
      <c r="I11" s="4245"/>
      <c r="J11" s="4245"/>
      <c r="K11" s="4245"/>
      <c r="L11" s="4245"/>
      <c r="M11" s="4245"/>
      <c r="N11" s="4245"/>
      <c r="O11" s="4245"/>
      <c r="P11" s="4246"/>
      <c r="Q11" s="36"/>
      <c r="R11" s="429"/>
      <c r="S11" s="156"/>
    </row>
    <row r="12" spans="1:22" s="42" customFormat="1" ht="2.25" customHeight="1">
      <c r="A12" s="1272"/>
      <c r="D12" s="52"/>
      <c r="E12" s="52"/>
      <c r="F12" s="52"/>
      <c r="G12" s="66"/>
      <c r="H12" s="170"/>
      <c r="I12" s="66"/>
      <c r="J12" s="66"/>
      <c r="K12" s="66"/>
      <c r="L12" s="66"/>
      <c r="M12" s="66"/>
      <c r="N12" s="66"/>
      <c r="O12" s="66"/>
      <c r="P12" s="66"/>
      <c r="Q12" s="36"/>
      <c r="R12" s="429"/>
      <c r="S12" s="156"/>
    </row>
    <row r="13" spans="1:22" s="42" customFormat="1" ht="12" customHeight="1" thickBot="1">
      <c r="A13" s="151" t="s">
        <v>586</v>
      </c>
      <c r="B13" s="105" t="s">
        <v>6367</v>
      </c>
      <c r="C13" s="4"/>
      <c r="D13" s="52"/>
      <c r="E13" s="52"/>
      <c r="F13" s="52"/>
      <c r="G13" s="66"/>
      <c r="H13" s="170"/>
      <c r="I13" s="66"/>
      <c r="J13" s="66"/>
      <c r="K13" s="66"/>
      <c r="L13" s="66"/>
      <c r="M13" s="66"/>
      <c r="N13" s="66"/>
      <c r="O13" s="66"/>
      <c r="P13" s="66"/>
      <c r="Q13" s="36"/>
      <c r="R13" s="429"/>
      <c r="S13" s="156"/>
    </row>
    <row r="14" spans="1:22" s="42" customFormat="1" ht="12" customHeight="1" thickBot="1">
      <c r="A14" s="1272" t="s">
        <v>6368</v>
      </c>
      <c r="D14" s="52"/>
      <c r="E14" s="52"/>
      <c r="F14" s="52"/>
      <c r="G14" s="66"/>
      <c r="H14" s="170" t="s">
        <v>4005</v>
      </c>
      <c r="I14" s="66"/>
      <c r="J14" s="66"/>
      <c r="K14" s="66"/>
      <c r="L14" s="66"/>
      <c r="M14" s="1265" t="s">
        <v>4004</v>
      </c>
      <c r="N14" s="66"/>
      <c r="O14" s="2520">
        <v>0</v>
      </c>
      <c r="P14" s="1263">
        <f>IF(P16&lt;2,0,IF(AND(P16&gt;1,P16&lt;5),1,IF(P16&gt;4,P16-3)))</f>
        <v>0</v>
      </c>
      <c r="Q14" s="36" t="s">
        <v>6352</v>
      </c>
      <c r="R14" s="429"/>
      <c r="S14" s="156"/>
    </row>
    <row r="15" spans="1:22" s="43" customFormat="1" ht="3.6" customHeight="1">
      <c r="A15" s="42"/>
      <c r="B15" s="63"/>
      <c r="C15" s="36"/>
      <c r="D15" s="48"/>
      <c r="E15" s="48"/>
      <c r="F15" s="53"/>
      <c r="G15" s="48"/>
      <c r="H15" s="48"/>
      <c r="I15" s="48"/>
      <c r="J15" s="48"/>
      <c r="K15" s="48"/>
      <c r="L15" s="42"/>
      <c r="M15" s="46"/>
      <c r="N15" s="62"/>
      <c r="O15" s="3"/>
      <c r="P15" s="777"/>
      <c r="R15" s="42"/>
      <c r="S15" s="42"/>
    </row>
    <row r="16" spans="1:22" s="42" customFormat="1" ht="10.5" customHeight="1">
      <c r="A16" s="1286" t="s">
        <v>3543</v>
      </c>
      <c r="B16" s="1286" t="s">
        <v>3544</v>
      </c>
      <c r="C16" s="1005"/>
      <c r="D16" s="1005"/>
      <c r="E16" s="840" t="s">
        <v>3551</v>
      </c>
      <c r="F16" s="4336" t="s">
        <v>6826</v>
      </c>
      <c r="G16" s="4336"/>
      <c r="H16" s="4336"/>
      <c r="I16" s="4336"/>
      <c r="J16" s="4336"/>
      <c r="K16" s="4336"/>
      <c r="L16" s="4336"/>
      <c r="M16" s="4336"/>
      <c r="N16" s="4336"/>
      <c r="O16" s="1287" t="s">
        <v>3972</v>
      </c>
      <c r="P16" s="1288">
        <f>SUM(P17:P29)</f>
        <v>0</v>
      </c>
      <c r="Q16" s="4385" t="s">
        <v>4067</v>
      </c>
      <c r="R16" s="4385"/>
      <c r="S16" s="4385"/>
      <c r="T16" s="4385"/>
      <c r="U16" s="4385"/>
      <c r="V16" s="4385"/>
    </row>
    <row r="17" spans="1:33" s="42" customFormat="1" ht="10.5" customHeight="1">
      <c r="A17" s="993" t="s">
        <v>1713</v>
      </c>
      <c r="B17" s="990" t="s">
        <v>3545</v>
      </c>
      <c r="C17" s="991"/>
      <c r="D17" s="992"/>
      <c r="E17" s="1281">
        <f>$O$98</f>
        <v>20</v>
      </c>
      <c r="F17" s="4337" t="str">
        <f>$A$104</f>
        <v>The applicant has identified Desirables near the proposed project site which qualify for a total of 22.5 points in this section, more than the maximum 20 points allowed. Maps and driving directions for each are included. The proposed project site sits just off the main access road, and will have access through two adjacent properties (one of which is Phase I of this planned development) via access easements. As such, Google Maps is unable to accurately calculate the walking/driving distance, and instead only calculates the walking/driving distance at the roadway. In order to account for this, the applicant has added 0.1 miles to the Google walking/driving distances for each desirable in its calculation. All claimed Desirables are still within the eligible distances for points. No undesirable activities have been identified by the applicant.</v>
      </c>
      <c r="G17" s="4338"/>
      <c r="H17" s="4338"/>
      <c r="I17" s="4338"/>
      <c r="J17" s="4338"/>
      <c r="K17" s="4338"/>
      <c r="L17" s="4338"/>
      <c r="M17" s="4338"/>
      <c r="N17" s="4338"/>
      <c r="O17" s="4338"/>
      <c r="P17" s="2982"/>
      <c r="Q17" s="4385"/>
      <c r="R17" s="4385"/>
      <c r="S17" s="4385"/>
      <c r="T17" s="4385"/>
      <c r="U17" s="4385"/>
      <c r="V17" s="4385"/>
    </row>
    <row r="18" spans="1:33" s="42" customFormat="1" ht="10.5" customHeight="1">
      <c r="A18" s="993" t="s">
        <v>505</v>
      </c>
      <c r="B18" s="841" t="s">
        <v>4241</v>
      </c>
      <c r="C18" s="942"/>
      <c r="D18" s="994"/>
      <c r="E18" s="1282">
        <f>$O$108</f>
        <v>2</v>
      </c>
      <c r="F18" s="4270" t="str">
        <f>$A$142</f>
        <v>The proposed project site falls within the service area for Troup County Transit, which provides curb-to-curb service as a shared ride system. Operated by the county on a Monday through Friday schedule, the service does not have any fixed routes or stops.</v>
      </c>
      <c r="G18" s="4271"/>
      <c r="H18" s="4271"/>
      <c r="I18" s="4271"/>
      <c r="J18" s="4271"/>
      <c r="K18" s="4271"/>
      <c r="L18" s="4271"/>
      <c r="M18" s="4271"/>
      <c r="N18" s="4271"/>
      <c r="O18" s="4272"/>
      <c r="P18" s="2983"/>
      <c r="Q18" s="4365" t="str">
        <f>IF(OR($A$104="",$A$142="",$A$159="",$A$180="",$A$195="",$A$215="",$A$233="",$A$243="",$A$252="",$A$290="",$A$326="",$A$346="",$A$375=""),"Some Applicant Scoring Justification boxes are empty! Check to see if points claimed.","")</f>
        <v/>
      </c>
      <c r="R18" s="4366"/>
      <c r="S18" s="4366"/>
    </row>
    <row r="19" spans="1:33" s="42" customFormat="1" ht="10.5" customHeight="1">
      <c r="A19" s="993" t="s">
        <v>742</v>
      </c>
      <c r="B19" s="841" t="s">
        <v>3484</v>
      </c>
      <c r="C19" s="942"/>
      <c r="D19" s="994"/>
      <c r="E19" s="1282">
        <f>$O$147</f>
        <v>0</v>
      </c>
      <c r="F19" s="4270" t="str">
        <f>$A$159</f>
        <v>The applicant is not claiming points in this section, therefore it has been intentionally left blank.</v>
      </c>
      <c r="G19" s="4271"/>
      <c r="H19" s="4271"/>
      <c r="I19" s="4271"/>
      <c r="J19" s="4271"/>
      <c r="K19" s="4271"/>
      <c r="L19" s="4271"/>
      <c r="M19" s="4271"/>
      <c r="N19" s="4271"/>
      <c r="O19" s="4272"/>
      <c r="P19" s="2983"/>
      <c r="Q19" s="4365"/>
      <c r="R19" s="4366"/>
      <c r="S19" s="4366"/>
    </row>
    <row r="20" spans="1:33" s="42" customFormat="1" ht="10.5" customHeight="1">
      <c r="A20" s="1685" t="s">
        <v>281</v>
      </c>
      <c r="B20" s="841" t="s">
        <v>3546</v>
      </c>
      <c r="C20" s="942"/>
      <c r="D20" s="994"/>
      <c r="E20" s="1283">
        <f>$O$163</f>
        <v>6</v>
      </c>
      <c r="F20" s="4270" t="str">
        <f>$A$180</f>
        <v xml:space="preserve">The project site in located within the area depicted in the 10th Street Area Redevelopment Plan, which qualifies for points as a Community Revitalization Plan.  This Plan outlines the need to place special focus on the 10th Street corridor which serves as a primary gateway into the city of West Point from Interstate-85.  As such, its appearance is vitally important to connecting West Point neighborhoods and downtown.  The Plan and additional documentation of planned revitalization is included in Tab 30.  
As it relates to Section B Third-PArty Capital Investment, the City of West Point and GDOT have committed to provide several street infrastructure improvements within a half-mile of the project site, the total cost of which is $7,224,212, well in excess of the $20,000 per unit required fro two points in this category. These improvements will increase the walkability and quality of life for the project's residents.  A letter from the City of West Point committing to their these improvements and the GDOT project profile showing that their project is under construction are included in Tab 30.  </v>
      </c>
      <c r="G20" s="4271"/>
      <c r="H20" s="4271"/>
      <c r="I20" s="4271"/>
      <c r="J20" s="4271"/>
      <c r="K20" s="4271"/>
      <c r="L20" s="4271"/>
      <c r="M20" s="4271"/>
      <c r="N20" s="4271"/>
      <c r="O20" s="4272"/>
      <c r="P20" s="2983"/>
      <c r="Q20" s="4365"/>
      <c r="R20" s="4366"/>
      <c r="S20" s="4366"/>
    </row>
    <row r="21" spans="1:33" s="42" customFormat="1" ht="10.5" customHeight="1">
      <c r="A21" s="993" t="s">
        <v>407</v>
      </c>
      <c r="B21" s="1000" t="s">
        <v>3547</v>
      </c>
      <c r="C21" s="1001"/>
      <c r="D21" s="1002"/>
      <c r="E21" s="1284" t="s">
        <v>1654</v>
      </c>
      <c r="F21" s="4344" t="str">
        <f>$A$195</f>
        <v>The Griffin Housing Authority (GHA), the West Point Village Phase I Community-Based Developer, has a history of instituting innovative, forward-thinking projects, programs and long-term public-private partnerships to transform public housing and surrounding neighborhoods. These ground-breaking programs include the Educational Prosperity Initiative (EPI), a multi-institutional program that provides holistic, wrap-around services for the residents living in its communities. Recipient of the NAHRO National Award of Excellence, NAHRO Award of Merit, and GAHRA Collaborative Partnership Award, the EPI provides an escape from poverty for under-resourced neighborhoods. GHA’s core belief is that community transformation will occur when people are linked and work together for sustainable community change. GHA has recently transitioned into the operation and management of the West Point Housing Authority (WPHA). In this new role and under the leadership of Robert Dull, WPHA is seeking to replicate many of the same innovative strategies and long-term public-private partnerships in the planned transformation of the WPHA's public housing communities.
Five of the community organizations that have served in Griffin with GHA to improve community outcomes have provided documentation to evidence these partnerships in Tab 31 which represent Health, Education, and Employment sectors of the community.  GHA has a history of raising philanthropic funds for community services; financial information documenting these grants is included in tab 31, as well as a commitment letter from the Applicant committing funds to seed a Community Improvement Fund.  A diverse group of West Point leaders has agreed to serve as members of a Community Quarterback Board, to collaborate with GHA to improve community outcomes.  Two of the members are low-income residents, one also serves on the local GICH Board, and the others represent other important sectors in the West Point community.  Letters from each of these Board members are included in Tab 31.  
PLEASE NOTE: The 2021 Community Transformation Plan Certification posted on the DCA website as of 5/19/21 prints with a heading marked "2020". The applicant has used the correct 2021 form for this document, but the DCA template includes the incorrect year.</v>
      </c>
      <c r="G21" s="4345"/>
      <c r="H21" s="4345"/>
      <c r="I21" s="4345"/>
      <c r="J21" s="4345"/>
      <c r="K21" s="4345"/>
      <c r="L21" s="4345"/>
      <c r="M21" s="4345"/>
      <c r="N21" s="4345"/>
      <c r="O21" s="4346"/>
      <c r="P21" s="2983"/>
      <c r="Q21" s="4365"/>
      <c r="R21" s="4366"/>
      <c r="S21" s="4366"/>
    </row>
    <row r="22" spans="1:33" s="42" customFormat="1" ht="10.5" customHeight="1">
      <c r="A22" s="993" t="s">
        <v>346</v>
      </c>
      <c r="B22" s="841" t="s">
        <v>4242</v>
      </c>
      <c r="C22" s="942"/>
      <c r="D22" s="994"/>
      <c r="E22" s="1282">
        <f>$O$199</f>
        <v>0</v>
      </c>
      <c r="F22" s="4270" t="str">
        <f>$A$215</f>
        <v>The applicant is not claiming points in this section, therefore it has been intentionally left blank.</v>
      </c>
      <c r="G22" s="4271"/>
      <c r="H22" s="4271"/>
      <c r="I22" s="4271"/>
      <c r="J22" s="4271"/>
      <c r="K22" s="4271"/>
      <c r="L22" s="4271"/>
      <c r="M22" s="4271"/>
      <c r="N22" s="4271"/>
      <c r="O22" s="4272"/>
      <c r="P22" s="2983"/>
      <c r="Q22" s="4365"/>
      <c r="R22" s="4366"/>
      <c r="S22" s="4366"/>
    </row>
    <row r="23" spans="1:33" s="42" customFormat="1" ht="10.5" customHeight="1">
      <c r="A23" s="993" t="s">
        <v>4244</v>
      </c>
      <c r="B23" s="841" t="s">
        <v>3396</v>
      </c>
      <c r="C23" s="942"/>
      <c r="D23" s="994"/>
      <c r="E23" s="1282">
        <f>$O$228</f>
        <v>0</v>
      </c>
      <c r="F23" s="4270" t="str">
        <f>$A$233</f>
        <v>The applicant is not claiming points in this section, therefore it has been intentionally left blank.</v>
      </c>
      <c r="G23" s="4271"/>
      <c r="H23" s="4271"/>
      <c r="I23" s="4271"/>
      <c r="J23" s="4271"/>
      <c r="K23" s="4271"/>
      <c r="L23" s="4271"/>
      <c r="M23" s="4271"/>
      <c r="N23" s="4271"/>
      <c r="O23" s="4272"/>
      <c r="P23" s="2983"/>
      <c r="Q23" s="4365"/>
      <c r="R23" s="4366"/>
      <c r="S23" s="4366"/>
    </row>
    <row r="24" spans="1:33" s="42" customFormat="1" ht="10.5" customHeight="1">
      <c r="A24" s="993" t="s">
        <v>4256</v>
      </c>
      <c r="B24" s="841" t="s">
        <v>4245</v>
      </c>
      <c r="C24" s="942"/>
      <c r="D24" s="994"/>
      <c r="E24" s="1284">
        <f>$O$237</f>
        <v>0</v>
      </c>
      <c r="F24" s="4270" t="str">
        <f>$A$243</f>
        <v>The applicant is not claiming points in this section, therefore it has been intentionally left blank.</v>
      </c>
      <c r="G24" s="4271"/>
      <c r="H24" s="4271"/>
      <c r="I24" s="4271"/>
      <c r="J24" s="4271"/>
      <c r="K24" s="4271"/>
      <c r="L24" s="4271"/>
      <c r="M24" s="4271"/>
      <c r="N24" s="4271"/>
      <c r="O24" s="4272"/>
      <c r="P24" s="2983"/>
      <c r="Q24" s="4365"/>
      <c r="R24" s="4366"/>
      <c r="S24" s="4366"/>
    </row>
    <row r="25" spans="1:33" s="42" customFormat="1" ht="10.5" customHeight="1">
      <c r="A25" s="1685" t="s">
        <v>6531</v>
      </c>
      <c r="B25" s="841" t="s">
        <v>4246</v>
      </c>
      <c r="C25" s="942"/>
      <c r="D25" s="994"/>
      <c r="E25" s="1282">
        <f>$O$247</f>
        <v>0</v>
      </c>
      <c r="F25" s="4400" t="str">
        <f>$A$252</f>
        <v>The applicant is not claiming points in this section, therefore it has been intentionally left blank.</v>
      </c>
      <c r="G25" s="4401"/>
      <c r="H25" s="4401"/>
      <c r="I25" s="4401"/>
      <c r="J25" s="4401"/>
      <c r="K25" s="4401"/>
      <c r="L25" s="4401"/>
      <c r="M25" s="4401"/>
      <c r="N25" s="4401"/>
      <c r="O25" s="4402"/>
      <c r="P25" s="2983"/>
      <c r="Q25" s="4365"/>
      <c r="R25" s="4366"/>
      <c r="S25" s="4366"/>
    </row>
    <row r="26" spans="1:33" s="42" customFormat="1" ht="10.5" customHeight="1">
      <c r="A26" s="999" t="s">
        <v>3520</v>
      </c>
      <c r="B26" s="1000" t="s">
        <v>3548</v>
      </c>
      <c r="C26" s="1001"/>
      <c r="D26" s="1002"/>
      <c r="E26" s="1285">
        <f>$O$286</f>
        <v>2</v>
      </c>
      <c r="F26" s="4270" t="str">
        <f>$A$290</f>
        <v>The proposed project site falls within the boundaries of the Troup County/Hogansville/LaGrange/West Point joint GICH Team. The GICH Team has provided a letter of support for this project, and this is the only project for which this GICH Team has provided a letter. The City of West Point has also provided a letter in support of this project and consenting to the GICH Team's support letter. Both letters are included in this application. Both the primary and secondary team contacts listed with UGA have departed their employment with their respective local governments after May 1 and were not available to execute this letter. The applicant has secured a GICH letter from the remaining GICH team member in support of this project.</v>
      </c>
      <c r="G26" s="4271"/>
      <c r="H26" s="4271"/>
      <c r="I26" s="4271"/>
      <c r="J26" s="4271"/>
      <c r="K26" s="4271"/>
      <c r="L26" s="4271"/>
      <c r="M26" s="4271"/>
      <c r="N26" s="4271"/>
      <c r="O26" s="4272"/>
      <c r="P26" s="2983"/>
      <c r="Q26" s="4365"/>
      <c r="R26" s="4366"/>
      <c r="S26" s="4366"/>
    </row>
    <row r="27" spans="1:33" s="42" customFormat="1" ht="10.5" customHeight="1">
      <c r="A27" s="993" t="s">
        <v>3518</v>
      </c>
      <c r="B27" s="841" t="s">
        <v>3549</v>
      </c>
      <c r="C27" s="942"/>
      <c r="D27" s="994"/>
      <c r="E27" s="1282">
        <f>$O$294</f>
        <v>1</v>
      </c>
      <c r="F27" s="4270" t="str">
        <f>$A$326</f>
        <v xml:space="preserve">The applicant is not claiming points for any permanent sources of funds under Section A, therefore it has been intentionally left blank. The proposed project site is also the site of the first phase of this project, West Point Village Phase I. The site will be purchased by the West Point Housing Authority and ground leased separately to each phase. The applicant has site control by virtue of an option for a ground lease, which expires one year following the applicant being notified that it has received a tax credit award. </v>
      </c>
      <c r="G27" s="4271"/>
      <c r="H27" s="4271"/>
      <c r="I27" s="4271"/>
      <c r="J27" s="4271"/>
      <c r="K27" s="4271"/>
      <c r="L27" s="4271"/>
      <c r="M27" s="4271"/>
      <c r="N27" s="4271"/>
      <c r="O27" s="4272"/>
      <c r="P27" s="2983"/>
      <c r="Q27" s="4365"/>
      <c r="R27" s="4366"/>
      <c r="S27" s="4366"/>
    </row>
    <row r="28" spans="1:33" s="42" customFormat="1" ht="10.5" customHeight="1">
      <c r="A28" s="993" t="s">
        <v>3518</v>
      </c>
      <c r="B28" s="841" t="s">
        <v>3550</v>
      </c>
      <c r="C28" s="942"/>
      <c r="D28" s="994"/>
      <c r="E28" s="1284">
        <f>$O$330</f>
        <v>0</v>
      </c>
      <c r="F28" s="4270" t="str">
        <f>$A$346</f>
        <v>The applicant is not claiming points in this section, therefore it has been intentionally left blank.</v>
      </c>
      <c r="G28" s="4271"/>
      <c r="H28" s="4271"/>
      <c r="I28" s="4271"/>
      <c r="J28" s="4271"/>
      <c r="K28" s="4271"/>
      <c r="L28" s="4271"/>
      <c r="M28" s="4271"/>
      <c r="N28" s="4271"/>
      <c r="O28" s="4272"/>
      <c r="P28" s="2983"/>
      <c r="Q28" s="4365"/>
      <c r="R28" s="4366"/>
      <c r="S28" s="4366"/>
    </row>
    <row r="29" spans="1:33" s="42" customFormat="1" ht="10.5" customHeight="1">
      <c r="A29" s="995" t="s">
        <v>3525</v>
      </c>
      <c r="B29" s="996" t="s">
        <v>6361</v>
      </c>
      <c r="C29" s="997"/>
      <c r="D29" s="998"/>
      <c r="E29" s="1709">
        <f>$O$358</f>
        <v>0</v>
      </c>
      <c r="F29" s="4333" t="str">
        <f>$A$375</f>
        <v>The applicant is not claiming points in this section, therefore it has been intentionally left blank.</v>
      </c>
      <c r="G29" s="4334"/>
      <c r="H29" s="4334"/>
      <c r="I29" s="4334"/>
      <c r="J29" s="4334"/>
      <c r="K29" s="4334"/>
      <c r="L29" s="4334"/>
      <c r="M29" s="4334"/>
      <c r="N29" s="4334"/>
      <c r="O29" s="4335"/>
      <c r="P29" s="2984"/>
      <c r="Q29" s="4365"/>
      <c r="R29" s="4366"/>
      <c r="S29" s="4366"/>
    </row>
    <row r="30" spans="1:33" s="157" customFormat="1" ht="5.25" customHeight="1">
      <c r="C30" s="89"/>
      <c r="D30" s="89"/>
      <c r="E30" s="89"/>
      <c r="F30" s="89"/>
      <c r="G30" s="1584"/>
      <c r="H30" s="1612"/>
      <c r="I30" s="1612"/>
      <c r="J30" s="1612"/>
      <c r="K30" s="1612"/>
    </row>
    <row r="31" spans="1:33" s="157" customFormat="1" ht="12.75" customHeight="1">
      <c r="A31" s="151" t="s">
        <v>710</v>
      </c>
      <c r="B31" s="105" t="s">
        <v>6369</v>
      </c>
      <c r="C31" s="101"/>
      <c r="D31" s="89"/>
      <c r="E31" s="89"/>
      <c r="F31" s="89"/>
      <c r="G31" s="4343" t="s">
        <v>6353</v>
      </c>
      <c r="H31" s="4343"/>
      <c r="I31" s="4343" t="s">
        <v>932</v>
      </c>
      <c r="J31" s="4343"/>
      <c r="K31" s="2669" t="s">
        <v>6354</v>
      </c>
      <c r="L31" s="1613"/>
      <c r="M31" s="4367" t="s">
        <v>6370</v>
      </c>
      <c r="N31" s="4367"/>
      <c r="O31" s="4367"/>
      <c r="P31" s="4367"/>
      <c r="Q31" s="1618"/>
      <c r="R31" s="1618"/>
      <c r="S31" s="2521" t="s">
        <v>6369</v>
      </c>
      <c r="T31" s="1618"/>
      <c r="U31" s="1618"/>
      <c r="V31" s="1618"/>
      <c r="X31" s="4419" t="s">
        <v>6353</v>
      </c>
      <c r="Y31" s="4420"/>
      <c r="Z31" s="4419" t="s">
        <v>932</v>
      </c>
      <c r="AA31" s="4420"/>
      <c r="AB31" s="2522" t="s">
        <v>6354</v>
      </c>
      <c r="AC31" s="4421" t="s">
        <v>6353</v>
      </c>
      <c r="AD31" s="4422"/>
      <c r="AE31" s="4421" t="s">
        <v>932</v>
      </c>
      <c r="AF31" s="4422"/>
      <c r="AG31" s="2523" t="s">
        <v>6354</v>
      </c>
    </row>
    <row r="32" spans="1:33" s="157" customFormat="1" ht="11.25" customHeight="1">
      <c r="A32" s="418"/>
      <c r="B32" s="463"/>
      <c r="C32" s="404"/>
      <c r="D32" s="404"/>
      <c r="E32" s="404"/>
      <c r="F32" s="404"/>
      <c r="G32" s="2524">
        <v>0.09</v>
      </c>
      <c r="H32" s="2524">
        <v>0.04</v>
      </c>
      <c r="I32" s="2524">
        <v>0.09</v>
      </c>
      <c r="J32" s="2524">
        <v>0.04</v>
      </c>
      <c r="K32" s="2524">
        <v>0.09</v>
      </c>
      <c r="L32" s="1613"/>
      <c r="M32" s="4273" t="str">
        <f>'Part I-Project Information'!F12</f>
        <v>9% Credit Competitive Round only</v>
      </c>
      <c r="N32" s="4274"/>
      <c r="O32" s="4274"/>
      <c r="P32" s="4275"/>
      <c r="Q32" s="1618"/>
      <c r="R32" s="418"/>
      <c r="S32" s="133"/>
      <c r="T32" s="418"/>
      <c r="U32" s="418"/>
      <c r="V32" s="418"/>
      <c r="W32" s="418"/>
      <c r="X32" s="2524">
        <v>0.09</v>
      </c>
      <c r="Y32" s="2524">
        <v>0.04</v>
      </c>
      <c r="Z32" s="2524">
        <v>0.09</v>
      </c>
      <c r="AA32" s="2524">
        <v>0.04</v>
      </c>
      <c r="AB32" s="2524">
        <v>0.09</v>
      </c>
      <c r="AC32" s="2524">
        <v>0.09</v>
      </c>
      <c r="AD32" s="2524">
        <v>0.04</v>
      </c>
      <c r="AE32" s="2524">
        <v>0.09</v>
      </c>
      <c r="AF32" s="2524">
        <v>0.04</v>
      </c>
      <c r="AG32" s="2524">
        <v>0.09</v>
      </c>
    </row>
    <row r="33" spans="1:33" s="157" customFormat="1" ht="10.5" customHeight="1">
      <c r="A33" s="1615" t="s">
        <v>712</v>
      </c>
      <c r="B33" s="2525" t="s">
        <v>6355</v>
      </c>
      <c r="C33" s="1790"/>
      <c r="D33" s="1791"/>
      <c r="E33" s="1791"/>
      <c r="F33" s="1791"/>
      <c r="G33" s="2526">
        <v>10</v>
      </c>
      <c r="H33" s="2527"/>
      <c r="I33" s="2526">
        <v>10</v>
      </c>
      <c r="J33" s="2527"/>
      <c r="K33" s="2528">
        <v>10</v>
      </c>
      <c r="L33" s="1613"/>
      <c r="M33" s="1799" t="s">
        <v>6371</v>
      </c>
      <c r="N33" s="1613"/>
      <c r="O33" s="1613"/>
      <c r="P33" s="1800" t="str">
        <f>IF(OR($M$32="9% Credit Competitive Round only", $M$32="9% Credit &amp; HOME"),"9%",IF(OR($M$32="4% Credit/TE Bond", $M$32="4% Credit/TE Bond &amp; HOME", $M$32="4% Credit/TE Bond &amp; HOME NOFA", $M$32="4% Credit &amp; NHTF", $M$32="4% Credit &amp; NHTF &amp; HOME"),"4%",""))</f>
        <v>9%</v>
      </c>
      <c r="Q33" s="1613"/>
      <c r="R33" s="1615" t="s">
        <v>712</v>
      </c>
      <c r="S33" s="2525" t="s">
        <v>6355</v>
      </c>
      <c r="T33" s="2529"/>
      <c r="U33" s="2530"/>
      <c r="V33" s="2530"/>
      <c r="W33" s="2530"/>
      <c r="X33" s="2531">
        <f>O59</f>
        <v>10</v>
      </c>
      <c r="Y33" s="2527"/>
      <c r="Z33" s="2532">
        <f>O59</f>
        <v>10</v>
      </c>
      <c r="AA33" s="2527"/>
      <c r="AB33" s="2533">
        <f>O59</f>
        <v>10</v>
      </c>
      <c r="AC33" s="2534">
        <f>P59</f>
        <v>10</v>
      </c>
      <c r="AD33" s="2527"/>
      <c r="AE33" s="2532">
        <f>P59</f>
        <v>10</v>
      </c>
      <c r="AF33" s="2527"/>
      <c r="AG33" s="2535">
        <f>P59</f>
        <v>10</v>
      </c>
    </row>
    <row r="34" spans="1:33" s="157" customFormat="1" ht="10.5" customHeight="1">
      <c r="A34" s="1615" t="s">
        <v>1711</v>
      </c>
      <c r="B34" s="2536" t="s">
        <v>6356</v>
      </c>
      <c r="C34" s="1792"/>
      <c r="D34" s="1793"/>
      <c r="E34" s="1793"/>
      <c r="F34" s="1793"/>
      <c r="G34" s="2537">
        <v>3</v>
      </c>
      <c r="H34" s="2538">
        <v>3</v>
      </c>
      <c r="I34" s="2537">
        <v>3</v>
      </c>
      <c r="J34" s="2538">
        <v>3</v>
      </c>
      <c r="K34" s="2539"/>
      <c r="L34" s="1613"/>
      <c r="M34" s="4368" t="s">
        <v>6375</v>
      </c>
      <c r="N34" s="4368"/>
      <c r="O34" s="4368"/>
      <c r="P34" s="4368"/>
      <c r="Q34" s="1613"/>
      <c r="R34" s="1615" t="s">
        <v>1711</v>
      </c>
      <c r="S34" s="2536" t="s">
        <v>6356</v>
      </c>
      <c r="T34" s="1794"/>
      <c r="U34" s="1795"/>
      <c r="V34" s="1795"/>
      <c r="W34" s="1795"/>
      <c r="X34" s="2540">
        <f>O84</f>
        <v>3</v>
      </c>
      <c r="Y34" s="2541">
        <f>O84</f>
        <v>3</v>
      </c>
      <c r="Z34" s="2540">
        <f>O84</f>
        <v>3</v>
      </c>
      <c r="AA34" s="2540">
        <f>O84</f>
        <v>3</v>
      </c>
      <c r="AB34" s="2542"/>
      <c r="AC34" s="2543">
        <f>P84</f>
        <v>0</v>
      </c>
      <c r="AD34" s="2541">
        <f>P84</f>
        <v>0</v>
      </c>
      <c r="AE34" s="2540">
        <f>P84</f>
        <v>0</v>
      </c>
      <c r="AF34" s="2541">
        <f>P84</f>
        <v>0</v>
      </c>
      <c r="AG34" s="2539"/>
    </row>
    <row r="35" spans="1:33" s="157" customFormat="1" ht="10.5" customHeight="1">
      <c r="A35" s="1615" t="s">
        <v>1713</v>
      </c>
      <c r="B35" s="2536" t="s">
        <v>3545</v>
      </c>
      <c r="C35" s="1792"/>
      <c r="D35" s="1793"/>
      <c r="E35" s="1793"/>
      <c r="F35" s="1793"/>
      <c r="G35" s="2537">
        <v>20</v>
      </c>
      <c r="H35" s="2538">
        <v>12</v>
      </c>
      <c r="I35" s="2537"/>
      <c r="J35" s="2538"/>
      <c r="K35" s="2539"/>
      <c r="L35" s="1613"/>
      <c r="M35" s="1695" t="s">
        <v>6379</v>
      </c>
      <c r="N35" s="1696"/>
      <c r="O35" s="1697"/>
      <c r="P35" s="1801" t="str">
        <f>IF('Part I-Project Information'!$P$101="","",'Part I-Project Information'!$P$101)</f>
        <v>No</v>
      </c>
      <c r="Q35" s="1613"/>
      <c r="R35" s="1615" t="s">
        <v>1713</v>
      </c>
      <c r="S35" s="2536" t="s">
        <v>3545</v>
      </c>
      <c r="T35" s="1794"/>
      <c r="U35" s="1795"/>
      <c r="V35" s="1795"/>
      <c r="W35" s="1795"/>
      <c r="X35" s="2544">
        <f>O98</f>
        <v>20</v>
      </c>
      <c r="Y35" s="2545">
        <f>O98</f>
        <v>20</v>
      </c>
      <c r="Z35" s="2537"/>
      <c r="AA35" s="2538"/>
      <c r="AB35" s="2542"/>
      <c r="AC35" s="2546">
        <f>P98</f>
        <v>0</v>
      </c>
      <c r="AD35" s="2545">
        <f>P98</f>
        <v>0</v>
      </c>
      <c r="AE35" s="2537"/>
      <c r="AF35" s="2538"/>
      <c r="AG35" s="2539"/>
    </row>
    <row r="36" spans="1:33" s="157" customFormat="1" ht="10.5" customHeight="1">
      <c r="A36" s="1615" t="s">
        <v>505</v>
      </c>
      <c r="B36" s="2536" t="s">
        <v>4241</v>
      </c>
      <c r="C36" s="1792"/>
      <c r="D36" s="1793"/>
      <c r="E36" s="1793"/>
      <c r="F36" s="1793"/>
      <c r="G36" s="2537">
        <v>6</v>
      </c>
      <c r="H36" s="2538">
        <v>4</v>
      </c>
      <c r="I36" s="2537"/>
      <c r="J36" s="2538"/>
      <c r="K36" s="2539"/>
      <c r="L36" s="1613"/>
      <c r="M36" s="1698" t="s">
        <v>932</v>
      </c>
      <c r="N36" s="1699"/>
      <c r="O36" s="1700"/>
      <c r="P36" s="1802" t="str">
        <f>IF('Part I-Project Information'!$M$100="","",'Part I-Project Information'!$M$100)</f>
        <v>No</v>
      </c>
      <c r="Q36" s="1613"/>
      <c r="R36" s="1615" t="s">
        <v>505</v>
      </c>
      <c r="S36" s="2536" t="s">
        <v>4241</v>
      </c>
      <c r="T36" s="1794"/>
      <c r="U36" s="1795"/>
      <c r="V36" s="1795"/>
      <c r="W36" s="1795"/>
      <c r="X36" s="2544">
        <f>O108</f>
        <v>2</v>
      </c>
      <c r="Y36" s="2545">
        <f>O108</f>
        <v>2</v>
      </c>
      <c r="Z36" s="2537"/>
      <c r="AA36" s="2538"/>
      <c r="AB36" s="2542"/>
      <c r="AC36" s="2546">
        <f>P108</f>
        <v>0</v>
      </c>
      <c r="AD36" s="2545">
        <f>P108</f>
        <v>0</v>
      </c>
      <c r="AE36" s="2537"/>
      <c r="AF36" s="2538"/>
      <c r="AG36" s="2539"/>
    </row>
    <row r="37" spans="1:33" s="157" customFormat="1" ht="10.5" customHeight="1">
      <c r="A37" s="1615" t="s">
        <v>742</v>
      </c>
      <c r="B37" s="2536" t="s">
        <v>3484</v>
      </c>
      <c r="C37" s="1792"/>
      <c r="D37" s="1793"/>
      <c r="E37" s="1793"/>
      <c r="F37" s="1793"/>
      <c r="G37" s="2537">
        <v>3</v>
      </c>
      <c r="H37" s="2538">
        <v>2</v>
      </c>
      <c r="I37" s="2537"/>
      <c r="J37" s="2538"/>
      <c r="K37" s="2539"/>
      <c r="L37" s="1613"/>
      <c r="M37" s="1698" t="s">
        <v>6380</v>
      </c>
      <c r="N37" s="1699"/>
      <c r="O37" s="1700"/>
      <c r="P37" s="1802" t="str">
        <f>IF('Part I-Project Information'!$P$100="","",'Part I-Project Information'!$P$100)</f>
        <v>No</v>
      </c>
      <c r="Q37" s="1613"/>
      <c r="R37" s="1615" t="s">
        <v>742</v>
      </c>
      <c r="S37" s="2536" t="s">
        <v>3484</v>
      </c>
      <c r="T37" s="1794"/>
      <c r="U37" s="1795"/>
      <c r="V37" s="1795"/>
      <c r="W37" s="1795"/>
      <c r="X37" s="2537">
        <f>O147</f>
        <v>0</v>
      </c>
      <c r="Y37" s="2538">
        <f>O147</f>
        <v>0</v>
      </c>
      <c r="Z37" s="2537"/>
      <c r="AA37" s="2538"/>
      <c r="AB37" s="2542"/>
      <c r="AC37" s="2547">
        <f>P147</f>
        <v>0</v>
      </c>
      <c r="AD37" s="2538">
        <f>P147</f>
        <v>0</v>
      </c>
      <c r="AE37" s="2537"/>
      <c r="AF37" s="2538"/>
      <c r="AG37" s="2539"/>
    </row>
    <row r="38" spans="1:33" s="157" customFormat="1" ht="10.5" customHeight="1">
      <c r="A38" s="1615" t="s">
        <v>281</v>
      </c>
      <c r="B38" s="2536" t="s">
        <v>3546</v>
      </c>
      <c r="C38" s="1792"/>
      <c r="D38" s="1793"/>
      <c r="E38" s="1793"/>
      <c r="F38" s="1793"/>
      <c r="G38" s="2537">
        <v>7</v>
      </c>
      <c r="H38" s="2538">
        <v>5</v>
      </c>
      <c r="I38" s="2537"/>
      <c r="J38" s="2538"/>
      <c r="K38" s="2539"/>
      <c r="L38" s="1613"/>
      <c r="M38" s="1701" t="s">
        <v>2532</v>
      </c>
      <c r="N38" s="1702"/>
      <c r="O38" s="1703"/>
      <c r="P38" s="1803" t="str">
        <f>IF('Part I-Project Information'!$H$103="","",'Part I-Project Information'!$H$103)</f>
        <v>No</v>
      </c>
      <c r="Q38" s="1613"/>
      <c r="R38" s="1615" t="s">
        <v>281</v>
      </c>
      <c r="S38" s="2536" t="s">
        <v>3546</v>
      </c>
      <c r="T38" s="1794"/>
      <c r="U38" s="1795"/>
      <c r="V38" s="1795"/>
      <c r="W38" s="1795"/>
      <c r="X38" s="2540">
        <f>O163</f>
        <v>6</v>
      </c>
      <c r="Y38" s="2541">
        <f>O163</f>
        <v>6</v>
      </c>
      <c r="Z38" s="2537"/>
      <c r="AA38" s="2538"/>
      <c r="AB38" s="2542"/>
      <c r="AC38" s="2543">
        <f>P163</f>
        <v>0</v>
      </c>
      <c r="AD38" s="2541">
        <f>P163</f>
        <v>0</v>
      </c>
      <c r="AE38" s="2537"/>
      <c r="AF38" s="2538"/>
      <c r="AG38" s="2539"/>
    </row>
    <row r="39" spans="1:33" s="157" customFormat="1" ht="10.5" customHeight="1">
      <c r="A39" s="1615" t="s">
        <v>407</v>
      </c>
      <c r="B39" s="2536" t="s">
        <v>3547</v>
      </c>
      <c r="C39" s="1792"/>
      <c r="D39" s="1793"/>
      <c r="E39" s="1793"/>
      <c r="F39" s="1793"/>
      <c r="G39" s="2537">
        <v>3</v>
      </c>
      <c r="H39" s="2538"/>
      <c r="I39" s="2537"/>
      <c r="J39" s="2538"/>
      <c r="K39" s="2539"/>
      <c r="L39" s="1613"/>
      <c r="M39" s="279" t="s">
        <v>6536</v>
      </c>
      <c r="P39" s="531" t="str">
        <f>'Part III-Sources of Funds'!$L$14</f>
        <v>Yes</v>
      </c>
      <c r="Q39" s="1613"/>
      <c r="R39" s="1615" t="s">
        <v>407</v>
      </c>
      <c r="S39" s="2536" t="s">
        <v>3547</v>
      </c>
      <c r="T39" s="1794"/>
      <c r="U39" s="1795"/>
      <c r="V39" s="1795"/>
      <c r="W39" s="1795"/>
      <c r="X39" s="2548"/>
      <c r="Y39" s="2549"/>
      <c r="Z39" s="2548"/>
      <c r="AA39" s="2549"/>
      <c r="AB39" s="2550"/>
      <c r="AC39" s="2543">
        <f>P184</f>
        <v>0</v>
      </c>
      <c r="AD39" s="2538"/>
      <c r="AE39" s="2537"/>
      <c r="AF39" s="2538"/>
      <c r="AG39" s="2539"/>
    </row>
    <row r="40" spans="1:33" s="157" customFormat="1" ht="10.5" customHeight="1">
      <c r="A40" s="1615" t="s">
        <v>346</v>
      </c>
      <c r="B40" s="2536" t="s">
        <v>4242</v>
      </c>
      <c r="C40" s="1792"/>
      <c r="D40" s="1793"/>
      <c r="E40" s="1793"/>
      <c r="F40" s="1793"/>
      <c r="G40" s="2537">
        <v>10</v>
      </c>
      <c r="H40" s="2538">
        <v>5</v>
      </c>
      <c r="I40" s="2537"/>
      <c r="J40" s="2538"/>
      <c r="K40" s="2539"/>
      <c r="L40" s="1613"/>
      <c r="M40" s="4375" t="s">
        <v>6537</v>
      </c>
      <c r="N40" s="4375"/>
      <c r="O40" s="481"/>
      <c r="P40" s="1804" t="str">
        <f>IF('Part I-Project Information'!$P$101="","",'Part I-Project Information'!$P$101)</f>
        <v>No</v>
      </c>
      <c r="Q40" s="1613"/>
      <c r="R40" s="1615" t="s">
        <v>346</v>
      </c>
      <c r="S40" s="2536" t="s">
        <v>4242</v>
      </c>
      <c r="T40" s="1794"/>
      <c r="U40" s="1795"/>
      <c r="V40" s="1795"/>
      <c r="W40" s="1795"/>
      <c r="X40" s="2540">
        <f>O199</f>
        <v>0</v>
      </c>
      <c r="Y40" s="2541">
        <f>O199</f>
        <v>0</v>
      </c>
      <c r="Z40" s="2537"/>
      <c r="AA40" s="2538"/>
      <c r="AB40" s="2542"/>
      <c r="AC40" s="2543">
        <f>P199</f>
        <v>0</v>
      </c>
      <c r="AD40" s="2541">
        <f>P199</f>
        <v>0</v>
      </c>
      <c r="AE40" s="2537"/>
      <c r="AF40" s="2538"/>
      <c r="AG40" s="2539"/>
    </row>
    <row r="41" spans="1:33" s="157" customFormat="1" ht="10.5" customHeight="1">
      <c r="A41" s="1615" t="s">
        <v>347</v>
      </c>
      <c r="B41" s="2536" t="s">
        <v>6357</v>
      </c>
      <c r="C41" s="1792"/>
      <c r="D41" s="1793"/>
      <c r="E41" s="1793"/>
      <c r="F41" s="1793"/>
      <c r="G41" s="2537">
        <v>1</v>
      </c>
      <c r="H41" s="2538"/>
      <c r="I41" s="2537"/>
      <c r="J41" s="2538"/>
      <c r="K41" s="2539"/>
      <c r="L41" s="1613"/>
      <c r="Q41" s="1613"/>
      <c r="R41" s="1615" t="s">
        <v>347</v>
      </c>
      <c r="S41" s="2536" t="s">
        <v>6357</v>
      </c>
      <c r="T41" s="1794"/>
      <c r="U41" s="1795"/>
      <c r="V41" s="1795"/>
      <c r="W41" s="1795"/>
      <c r="X41" s="2540">
        <f>O220</f>
        <v>1</v>
      </c>
      <c r="Y41" s="2538"/>
      <c r="Z41" s="2537"/>
      <c r="AA41" s="2538"/>
      <c r="AB41" s="2542"/>
      <c r="AC41" s="2543">
        <f>P220</f>
        <v>0</v>
      </c>
      <c r="AD41" s="2538"/>
      <c r="AE41" s="2537"/>
      <c r="AF41" s="2538"/>
      <c r="AG41" s="2539"/>
    </row>
    <row r="42" spans="1:33" s="157" customFormat="1" ht="10.5" customHeight="1">
      <c r="A42" s="1615" t="s">
        <v>348</v>
      </c>
      <c r="B42" s="2536" t="s">
        <v>3396</v>
      </c>
      <c r="C42" s="1792"/>
      <c r="D42" s="1793"/>
      <c r="E42" s="1793"/>
      <c r="F42" s="1793"/>
      <c r="G42" s="2537">
        <v>10</v>
      </c>
      <c r="H42" s="2538">
        <v>5</v>
      </c>
      <c r="I42" s="2537"/>
      <c r="J42" s="2538"/>
      <c r="K42" s="2539"/>
      <c r="L42" s="1613"/>
      <c r="P42" s="1798" t="s">
        <v>6544</v>
      </c>
      <c r="Q42" s="1613"/>
      <c r="R42" s="1615" t="s">
        <v>348</v>
      </c>
      <c r="S42" s="2536" t="s">
        <v>3396</v>
      </c>
      <c r="T42" s="1794"/>
      <c r="U42" s="1795"/>
      <c r="V42" s="1795"/>
      <c r="W42" s="1795"/>
      <c r="X42" s="2540">
        <f>O228</f>
        <v>0</v>
      </c>
      <c r="Y42" s="2541">
        <f>O228</f>
        <v>0</v>
      </c>
      <c r="Z42" s="2537"/>
      <c r="AA42" s="2538"/>
      <c r="AB42" s="2542"/>
      <c r="AC42" s="2543">
        <f>P228</f>
        <v>0</v>
      </c>
      <c r="AD42" s="2541">
        <f>P228</f>
        <v>0</v>
      </c>
      <c r="AE42" s="2537"/>
      <c r="AF42" s="2538"/>
      <c r="AG42" s="2539"/>
    </row>
    <row r="43" spans="1:33" s="157" customFormat="1" ht="10.5" customHeight="1">
      <c r="A43" s="1615" t="s">
        <v>1648</v>
      </c>
      <c r="B43" s="2536" t="s">
        <v>6358</v>
      </c>
      <c r="C43" s="1794"/>
      <c r="D43" s="1795"/>
      <c r="E43" s="1795"/>
      <c r="F43" s="1795"/>
      <c r="G43" s="2537">
        <v>3</v>
      </c>
      <c r="H43" s="2538"/>
      <c r="I43" s="2537"/>
      <c r="J43" s="2538"/>
      <c r="K43" s="2539"/>
      <c r="L43" s="1613"/>
      <c r="M43" s="4369" t="str">
        <f>IF($P$45&gt;$P$46,"New Supply",IF($P$45&lt;$P$46,"Rehabilitation",IF(AND($P$45&gt;0,$P$45=$P$46),"Tie","")))</f>
        <v>New Supply</v>
      </c>
      <c r="N43" s="4370"/>
      <c r="O43" s="4370"/>
      <c r="P43" s="4371"/>
      <c r="Q43" s="1613"/>
      <c r="R43" s="1615" t="s">
        <v>1648</v>
      </c>
      <c r="S43" s="2536" t="s">
        <v>6358</v>
      </c>
      <c r="T43" s="1794"/>
      <c r="U43" s="1795"/>
      <c r="V43" s="1795"/>
      <c r="W43" s="1795"/>
      <c r="X43" s="2540">
        <f>O237</f>
        <v>0</v>
      </c>
      <c r="Y43" s="2538"/>
      <c r="Z43" s="2537"/>
      <c r="AA43" s="2538"/>
      <c r="AB43" s="2542"/>
      <c r="AC43" s="2543">
        <f>P237</f>
        <v>0</v>
      </c>
      <c r="AD43" s="2538"/>
      <c r="AE43" s="2537"/>
      <c r="AF43" s="2538"/>
      <c r="AG43" s="2539"/>
    </row>
    <row r="44" spans="1:33" s="157" customFormat="1" ht="10.5" customHeight="1">
      <c r="A44" s="1615" t="s">
        <v>3519</v>
      </c>
      <c r="B44" s="2536" t="s">
        <v>4246</v>
      </c>
      <c r="C44" s="1794"/>
      <c r="D44" s="1795"/>
      <c r="E44" s="1795"/>
      <c r="F44" s="1795"/>
      <c r="G44" s="2537">
        <v>5</v>
      </c>
      <c r="H44" s="2538"/>
      <c r="I44" s="2537"/>
      <c r="J44" s="2538"/>
      <c r="K44" s="2539"/>
      <c r="L44" s="1613"/>
      <c r="P44" s="1615" t="s">
        <v>3380</v>
      </c>
      <c r="Q44" s="1613"/>
      <c r="R44" s="1615" t="s">
        <v>3519</v>
      </c>
      <c r="S44" s="2536" t="s">
        <v>4246</v>
      </c>
      <c r="T44" s="1794"/>
      <c r="U44" s="1795"/>
      <c r="V44" s="1795"/>
      <c r="W44" s="1795"/>
      <c r="X44" s="2540">
        <f>O247</f>
        <v>0</v>
      </c>
      <c r="Y44" s="2538"/>
      <c r="Z44" s="2537"/>
      <c r="AA44" s="2538"/>
      <c r="AB44" s="2542"/>
      <c r="AC44" s="2543">
        <f>P247</f>
        <v>0</v>
      </c>
      <c r="AD44" s="2538"/>
      <c r="AE44" s="2537"/>
      <c r="AF44" s="2538"/>
      <c r="AG44" s="2539"/>
    </row>
    <row r="45" spans="1:33" s="157" customFormat="1" ht="10.5" customHeight="1">
      <c r="A45" s="1615" t="s">
        <v>2148</v>
      </c>
      <c r="B45" s="2536" t="s">
        <v>3966</v>
      </c>
      <c r="C45" s="1794"/>
      <c r="D45" s="1795"/>
      <c r="E45" s="1795"/>
      <c r="F45" s="1795"/>
      <c r="G45" s="2537">
        <v>4</v>
      </c>
      <c r="H45" s="2538">
        <v>4</v>
      </c>
      <c r="I45" s="2537">
        <v>4</v>
      </c>
      <c r="J45" s="2538">
        <v>4</v>
      </c>
      <c r="K45" s="2539">
        <v>4</v>
      </c>
      <c r="L45" s="1616"/>
      <c r="M45" s="279" t="s">
        <v>6373</v>
      </c>
      <c r="N45" s="1613"/>
      <c r="P45" s="1805">
        <f>'Part VI-Revenues &amp; Expenses'!P115+'Part VI-Revenues &amp; Expenses'!P122+'Part VI-Revenues &amp; Expenses'!P123</f>
        <v>72</v>
      </c>
      <c r="R45" s="1615" t="s">
        <v>2148</v>
      </c>
      <c r="S45" s="2536" t="s">
        <v>3966</v>
      </c>
      <c r="T45" s="1794"/>
      <c r="U45" s="1795"/>
      <c r="V45" s="1795"/>
      <c r="W45" s="1795"/>
      <c r="X45" s="2540">
        <f>O256</f>
        <v>4</v>
      </c>
      <c r="Y45" s="2541">
        <f>O256</f>
        <v>4</v>
      </c>
      <c r="Z45" s="2540">
        <f>O256</f>
        <v>4</v>
      </c>
      <c r="AA45" s="2541">
        <f>O256</f>
        <v>4</v>
      </c>
      <c r="AB45" s="2551">
        <f>O256</f>
        <v>4</v>
      </c>
      <c r="AC45" s="2543">
        <f>P256</f>
        <v>0</v>
      </c>
      <c r="AD45" s="2541">
        <f>P256</f>
        <v>0</v>
      </c>
      <c r="AE45" s="2540">
        <f>P256</f>
        <v>0</v>
      </c>
      <c r="AF45" s="2541">
        <f>P256</f>
        <v>0</v>
      </c>
      <c r="AG45" s="2552">
        <f>P256</f>
        <v>0</v>
      </c>
    </row>
    <row r="46" spans="1:33" s="157" customFormat="1" ht="10.5" customHeight="1">
      <c r="A46" s="1615" t="s">
        <v>3519</v>
      </c>
      <c r="B46" s="2536" t="s">
        <v>6359</v>
      </c>
      <c r="C46" s="1794"/>
      <c r="D46" s="1795"/>
      <c r="E46" s="1795"/>
      <c r="F46" s="1795"/>
      <c r="G46" s="2537">
        <v>2</v>
      </c>
      <c r="H46" s="2538"/>
      <c r="I46" s="2537">
        <v>2</v>
      </c>
      <c r="J46" s="2538"/>
      <c r="K46" s="2539"/>
      <c r="L46" s="1613"/>
      <c r="M46" s="279" t="s">
        <v>6574</v>
      </c>
      <c r="N46" s="1614"/>
      <c r="O46" s="1614"/>
      <c r="P46" s="1805">
        <f>'Part VI-Revenues &amp; Expenses'!P118+'Part VI-Revenues &amp; Expenses'!P121-'Part VI-Revenues &amp; Expenses'!$P$122-'Part VI-Revenues &amp; Expenses'!$P$123</f>
        <v>0</v>
      </c>
      <c r="Q46" s="1613"/>
      <c r="R46" s="1615" t="s">
        <v>3519</v>
      </c>
      <c r="S46" s="2536" t="s">
        <v>6359</v>
      </c>
      <c r="T46" s="1794"/>
      <c r="U46" s="1795"/>
      <c r="V46" s="1795"/>
      <c r="W46" s="1795"/>
      <c r="X46" s="2553"/>
      <c r="Y46" s="2549"/>
      <c r="Z46" s="2548"/>
      <c r="AA46" s="2549"/>
      <c r="AB46" s="2550"/>
      <c r="AC46" s="2547">
        <f>P269</f>
        <v>0</v>
      </c>
      <c r="AD46" s="2538"/>
      <c r="AE46" s="2537">
        <f>P269</f>
        <v>0</v>
      </c>
      <c r="AF46" s="2538"/>
      <c r="AG46" s="2539"/>
    </row>
    <row r="47" spans="1:33" s="157" customFormat="1" ht="10.5" customHeight="1">
      <c r="A47" s="1615" t="s">
        <v>3520</v>
      </c>
      <c r="B47" s="2536" t="s">
        <v>3548</v>
      </c>
      <c r="C47" s="1794"/>
      <c r="D47" s="1795"/>
      <c r="E47" s="1795"/>
      <c r="F47" s="1795"/>
      <c r="G47" s="2537">
        <v>2</v>
      </c>
      <c r="H47" s="2538"/>
      <c r="I47" s="2537">
        <v>2</v>
      </c>
      <c r="J47" s="2538"/>
      <c r="K47" s="2539">
        <v>2</v>
      </c>
      <c r="L47" s="1613"/>
      <c r="M47" s="4341" t="s">
        <v>6825</v>
      </c>
      <c r="N47" s="4341"/>
      <c r="O47" s="4341"/>
      <c r="P47" s="4341"/>
      <c r="Q47" s="489"/>
      <c r="R47" s="1615" t="s">
        <v>3520</v>
      </c>
      <c r="S47" s="2536" t="s">
        <v>3548</v>
      </c>
      <c r="T47" s="1794"/>
      <c r="U47" s="1795"/>
      <c r="V47" s="1795"/>
      <c r="W47" s="1795"/>
      <c r="X47" s="2540">
        <f>O286</f>
        <v>2</v>
      </c>
      <c r="Y47" s="2538"/>
      <c r="Z47" s="2540">
        <f>O286</f>
        <v>2</v>
      </c>
      <c r="AA47" s="2538"/>
      <c r="AB47" s="2551">
        <f>O286</f>
        <v>2</v>
      </c>
      <c r="AC47" s="2543">
        <f>P286</f>
        <v>0</v>
      </c>
      <c r="AD47" s="2538"/>
      <c r="AE47" s="2540">
        <f>P286</f>
        <v>0</v>
      </c>
      <c r="AF47" s="2538"/>
      <c r="AG47" s="2552">
        <f>P286</f>
        <v>0</v>
      </c>
    </row>
    <row r="48" spans="1:33" s="157" customFormat="1" ht="10.5" customHeight="1">
      <c r="A48" s="1615" t="s">
        <v>3518</v>
      </c>
      <c r="B48" s="2536" t="s">
        <v>3549</v>
      </c>
      <c r="C48" s="1794"/>
      <c r="D48" s="1795"/>
      <c r="E48" s="1795"/>
      <c r="F48" s="1795"/>
      <c r="G48" s="2537">
        <v>4</v>
      </c>
      <c r="H48" s="2538">
        <v>4</v>
      </c>
      <c r="I48" s="2537">
        <v>4</v>
      </c>
      <c r="J48" s="2538">
        <v>4</v>
      </c>
      <c r="K48" s="2539">
        <v>4</v>
      </c>
      <c r="L48" s="1613"/>
      <c r="M48" s="4341"/>
      <c r="N48" s="4341"/>
      <c r="O48" s="4341"/>
      <c r="P48" s="4341"/>
      <c r="R48" s="1615" t="s">
        <v>3518</v>
      </c>
      <c r="S48" s="2536" t="s">
        <v>3549</v>
      </c>
      <c r="T48" s="1794"/>
      <c r="U48" s="1795"/>
      <c r="V48" s="1795"/>
      <c r="W48" s="1795"/>
      <c r="X48" s="2540">
        <f>O294</f>
        <v>1</v>
      </c>
      <c r="Y48" s="2541">
        <f>O294</f>
        <v>1</v>
      </c>
      <c r="Z48" s="2540">
        <f>O294</f>
        <v>1</v>
      </c>
      <c r="AA48" s="2541">
        <f>O294</f>
        <v>1</v>
      </c>
      <c r="AB48" s="2551">
        <f>O294</f>
        <v>1</v>
      </c>
      <c r="AC48" s="2543">
        <f>P294</f>
        <v>0</v>
      </c>
      <c r="AD48" s="2541">
        <f>P294</f>
        <v>0</v>
      </c>
      <c r="AE48" s="2540">
        <f>P294</f>
        <v>0</v>
      </c>
      <c r="AF48" s="2541">
        <f>P294</f>
        <v>0</v>
      </c>
      <c r="AG48" s="2552">
        <f>P294</f>
        <v>0</v>
      </c>
    </row>
    <row r="49" spans="1:33" s="157" customFormat="1" ht="10.5" customHeight="1">
      <c r="A49" s="1615" t="s">
        <v>3521</v>
      </c>
      <c r="B49" s="2536" t="s">
        <v>3550</v>
      </c>
      <c r="C49" s="1794"/>
      <c r="D49" s="1795"/>
      <c r="E49" s="1795"/>
      <c r="F49" s="1795"/>
      <c r="G49" s="2537">
        <v>2</v>
      </c>
      <c r="H49" s="2538"/>
      <c r="I49" s="2537"/>
      <c r="J49" s="2538"/>
      <c r="K49" s="2539"/>
      <c r="L49" s="1613"/>
      <c r="M49" s="4341"/>
      <c r="N49" s="4341"/>
      <c r="O49" s="4341"/>
      <c r="P49" s="4341"/>
      <c r="R49" s="1615" t="s">
        <v>3521</v>
      </c>
      <c r="S49" s="2536" t="s">
        <v>3550</v>
      </c>
      <c r="T49" s="1794"/>
      <c r="U49" s="1795"/>
      <c r="V49" s="1795"/>
      <c r="W49" s="1795"/>
      <c r="X49" s="2537">
        <f>O330</f>
        <v>0</v>
      </c>
      <c r="Y49" s="2538"/>
      <c r="Z49" s="2537"/>
      <c r="AA49" s="2538"/>
      <c r="AB49" s="2542"/>
      <c r="AC49" s="2547">
        <f>P330</f>
        <v>0</v>
      </c>
      <c r="AD49" s="2538"/>
      <c r="AE49" s="2537"/>
      <c r="AF49" s="2538"/>
      <c r="AG49" s="2539"/>
    </row>
    <row r="50" spans="1:33" s="157" customFormat="1" ht="10.5" customHeight="1">
      <c r="A50" s="1615" t="s">
        <v>3522</v>
      </c>
      <c r="B50" s="2536" t="s">
        <v>6360</v>
      </c>
      <c r="C50" s="1794"/>
      <c r="D50" s="1795"/>
      <c r="E50" s="1795"/>
      <c r="F50" s="1795"/>
      <c r="G50" s="2537">
        <v>10</v>
      </c>
      <c r="H50" s="2538">
        <v>10</v>
      </c>
      <c r="I50" s="2537">
        <v>10</v>
      </c>
      <c r="J50" s="2538">
        <v>10</v>
      </c>
      <c r="K50" s="2539">
        <v>10</v>
      </c>
      <c r="L50" s="1613"/>
      <c r="M50" s="4341"/>
      <c r="N50" s="4341"/>
      <c r="O50" s="4341"/>
      <c r="P50" s="4341"/>
      <c r="R50" s="1615" t="s">
        <v>3522</v>
      </c>
      <c r="S50" s="2536" t="s">
        <v>6360</v>
      </c>
      <c r="T50" s="1794"/>
      <c r="U50" s="1795"/>
      <c r="V50" s="1795"/>
      <c r="W50" s="1795"/>
      <c r="X50" s="2540">
        <f>O350</f>
        <v>10</v>
      </c>
      <c r="Y50" s="2541">
        <f>O350</f>
        <v>10</v>
      </c>
      <c r="Z50" s="2540">
        <f>O350</f>
        <v>10</v>
      </c>
      <c r="AA50" s="2541">
        <f>O350</f>
        <v>10</v>
      </c>
      <c r="AB50" s="2551">
        <f>O350</f>
        <v>10</v>
      </c>
      <c r="AC50" s="2543">
        <f>P350</f>
        <v>10</v>
      </c>
      <c r="AD50" s="2541">
        <f>P350</f>
        <v>10</v>
      </c>
      <c r="AE50" s="2540">
        <f>P350</f>
        <v>10</v>
      </c>
      <c r="AF50" s="2541">
        <f>P350</f>
        <v>10</v>
      </c>
      <c r="AG50" s="2552">
        <f>P350</f>
        <v>10</v>
      </c>
    </row>
    <row r="51" spans="1:33" s="157" customFormat="1" ht="10.5" customHeight="1">
      <c r="A51" s="1615" t="s">
        <v>3525</v>
      </c>
      <c r="B51" s="2536" t="s">
        <v>6361</v>
      </c>
      <c r="C51" s="1794"/>
      <c r="D51" s="1795"/>
      <c r="E51" s="1795"/>
      <c r="F51" s="1795"/>
      <c r="G51" s="2537">
        <v>2</v>
      </c>
      <c r="H51" s="2538"/>
      <c r="I51" s="2537">
        <v>2</v>
      </c>
      <c r="J51" s="2538"/>
      <c r="K51" s="2539"/>
      <c r="L51" s="1613"/>
      <c r="M51" s="4341"/>
      <c r="N51" s="4341"/>
      <c r="O51" s="4341"/>
      <c r="P51" s="4341"/>
      <c r="R51" s="1615" t="s">
        <v>3525</v>
      </c>
      <c r="S51" s="2536" t="s">
        <v>6361</v>
      </c>
      <c r="T51" s="1794"/>
      <c r="U51" s="1795"/>
      <c r="V51" s="1795"/>
      <c r="W51" s="1795"/>
      <c r="X51" s="2540">
        <f>O358</f>
        <v>0</v>
      </c>
      <c r="Y51" s="2538"/>
      <c r="Z51" s="2540">
        <f>O358</f>
        <v>0</v>
      </c>
      <c r="AA51" s="2538"/>
      <c r="AB51" s="2542"/>
      <c r="AC51" s="2543">
        <f>P358</f>
        <v>0</v>
      </c>
      <c r="AD51" s="2538"/>
      <c r="AE51" s="2540">
        <f>P358</f>
        <v>0</v>
      </c>
      <c r="AF51" s="2538"/>
      <c r="AG51" s="2539"/>
    </row>
    <row r="52" spans="1:33" s="157" customFormat="1" ht="10.5" customHeight="1">
      <c r="A52" s="1615" t="s">
        <v>3526</v>
      </c>
      <c r="B52" s="2536" t="s">
        <v>6362</v>
      </c>
      <c r="C52" s="1794"/>
      <c r="D52" s="1795"/>
      <c r="E52" s="1795"/>
      <c r="F52" s="1795"/>
      <c r="G52" s="2537"/>
      <c r="H52" s="2538"/>
      <c r="I52" s="2537">
        <v>6</v>
      </c>
      <c r="J52" s="2538">
        <v>6</v>
      </c>
      <c r="K52" s="2539">
        <v>6</v>
      </c>
      <c r="L52" s="1613"/>
      <c r="M52" s="4342"/>
      <c r="N52" s="4342"/>
      <c r="O52" s="4342"/>
      <c r="P52" s="4342"/>
      <c r="R52" s="1615" t="s">
        <v>3526</v>
      </c>
      <c r="S52" s="2536" t="s">
        <v>6362</v>
      </c>
      <c r="T52" s="1794"/>
      <c r="U52" s="1795"/>
      <c r="V52" s="1795"/>
      <c r="W52" s="1795"/>
      <c r="X52" s="2537"/>
      <c r="Y52" s="2538"/>
      <c r="Z52" s="2540">
        <f>O379</f>
        <v>0</v>
      </c>
      <c r="AA52" s="2541">
        <f>O379</f>
        <v>0</v>
      </c>
      <c r="AB52" s="2551">
        <f>O379</f>
        <v>0</v>
      </c>
      <c r="AC52" s="2547"/>
      <c r="AD52" s="2538"/>
      <c r="AE52" s="2540">
        <f>P379</f>
        <v>0</v>
      </c>
      <c r="AF52" s="2541">
        <f>P379</f>
        <v>0</v>
      </c>
      <c r="AG52" s="2552">
        <f>P379</f>
        <v>0</v>
      </c>
    </row>
    <row r="53" spans="1:33" s="157" customFormat="1" ht="10.5" customHeight="1">
      <c r="A53" s="1615" t="s">
        <v>3527</v>
      </c>
      <c r="B53" s="2536" t="s">
        <v>6363</v>
      </c>
      <c r="C53" s="1794"/>
      <c r="D53" s="1795"/>
      <c r="E53" s="1795"/>
      <c r="F53" s="1795"/>
      <c r="G53" s="2537"/>
      <c r="H53" s="2538"/>
      <c r="I53" s="2537">
        <v>6</v>
      </c>
      <c r="J53" s="2538"/>
      <c r="K53" s="2539"/>
      <c r="L53" s="1613"/>
      <c r="M53" s="4276" t="s">
        <v>6353</v>
      </c>
      <c r="N53" s="4277"/>
      <c r="O53" s="4277"/>
      <c r="P53" s="4278"/>
      <c r="Q53" s="1613"/>
      <c r="R53" s="1615" t="s">
        <v>3527</v>
      </c>
      <c r="S53" s="2536" t="s">
        <v>6363</v>
      </c>
      <c r="T53" s="1794"/>
      <c r="U53" s="1795"/>
      <c r="V53" s="1795"/>
      <c r="W53" s="1795"/>
      <c r="X53" s="2537"/>
      <c r="Y53" s="2538"/>
      <c r="Z53" s="2537">
        <f>O383</f>
        <v>0</v>
      </c>
      <c r="AA53" s="2538"/>
      <c r="AB53" s="2542"/>
      <c r="AC53" s="2547"/>
      <c r="AD53" s="2538"/>
      <c r="AE53" s="2537">
        <f>P383</f>
        <v>0</v>
      </c>
      <c r="AF53" s="2538"/>
      <c r="AG53" s="2539"/>
    </row>
    <row r="54" spans="1:33" s="157" customFormat="1" ht="10.5" customHeight="1">
      <c r="A54" s="1615" t="s">
        <v>3528</v>
      </c>
      <c r="B54" s="2536" t="s">
        <v>6364</v>
      </c>
      <c r="C54" s="1794"/>
      <c r="D54" s="1795"/>
      <c r="E54" s="1795"/>
      <c r="F54" s="1795"/>
      <c r="G54" s="2537"/>
      <c r="H54" s="2538"/>
      <c r="I54" s="2537"/>
      <c r="J54" s="2538">
        <v>4</v>
      </c>
      <c r="K54" s="2539"/>
      <c r="L54" s="1613"/>
      <c r="Q54" s="1613"/>
      <c r="R54" s="1615" t="s">
        <v>3528</v>
      </c>
      <c r="S54" s="2536" t="s">
        <v>6364</v>
      </c>
      <c r="T54" s="1794"/>
      <c r="U54" s="1795"/>
      <c r="V54" s="1795"/>
      <c r="W54" s="1795"/>
      <c r="X54" s="2537"/>
      <c r="Y54" s="2538"/>
      <c r="Z54" s="2537"/>
      <c r="AA54" s="2541">
        <f>O387</f>
        <v>0</v>
      </c>
      <c r="AB54" s="2542"/>
      <c r="AC54" s="2547"/>
      <c r="AD54" s="2538"/>
      <c r="AE54" s="2537"/>
      <c r="AF54" s="2541">
        <f>P387</f>
        <v>0</v>
      </c>
      <c r="AG54" s="2539"/>
    </row>
    <row r="55" spans="1:33" s="157" customFormat="1" ht="10.5" customHeight="1">
      <c r="A55" s="1615" t="s">
        <v>3529</v>
      </c>
      <c r="B55" s="2536" t="s">
        <v>6365</v>
      </c>
      <c r="C55" s="1794"/>
      <c r="D55" s="1795"/>
      <c r="E55" s="1795"/>
      <c r="F55" s="1795"/>
      <c r="G55" s="2537"/>
      <c r="H55" s="2538"/>
      <c r="I55" s="2537">
        <v>2</v>
      </c>
      <c r="J55" s="2538"/>
      <c r="K55" s="2539">
        <v>2</v>
      </c>
      <c r="L55" s="1613"/>
      <c r="M55" s="4368" t="s">
        <v>6372</v>
      </c>
      <c r="N55" s="4368"/>
      <c r="O55" s="4368"/>
      <c r="P55" s="4368"/>
      <c r="Q55" s="1613"/>
      <c r="R55" s="1615" t="s">
        <v>3529</v>
      </c>
      <c r="S55" s="2536" t="s">
        <v>6365</v>
      </c>
      <c r="T55" s="1794"/>
      <c r="U55" s="1795"/>
      <c r="V55" s="1795"/>
      <c r="W55" s="1795"/>
      <c r="X55" s="2537"/>
      <c r="Y55" s="2538"/>
      <c r="Z55" s="2540">
        <f>O391</f>
        <v>0</v>
      </c>
      <c r="AA55" s="2538"/>
      <c r="AB55" s="2551">
        <f>O391</f>
        <v>0</v>
      </c>
      <c r="AC55" s="2547"/>
      <c r="AD55" s="2538"/>
      <c r="AE55" s="2540">
        <f>P391</f>
        <v>0</v>
      </c>
      <c r="AF55" s="2538"/>
      <c r="AG55" s="2552">
        <f>P391</f>
        <v>0</v>
      </c>
    </row>
    <row r="56" spans="1:33" s="157" customFormat="1" ht="10.5" customHeight="1">
      <c r="A56" s="1615" t="s">
        <v>3530</v>
      </c>
      <c r="B56" s="2554" t="s">
        <v>6366</v>
      </c>
      <c r="C56" s="1796"/>
      <c r="D56" s="1797"/>
      <c r="E56" s="1797"/>
      <c r="F56" s="1797"/>
      <c r="G56" s="2555"/>
      <c r="H56" s="2556">
        <v>16</v>
      </c>
      <c r="I56" s="2555"/>
      <c r="J56" s="2556">
        <v>16</v>
      </c>
      <c r="K56" s="2557"/>
      <c r="L56" s="1613"/>
      <c r="M56" s="4347" t="str">
        <f>'Part I-Project Information'!$H$105</f>
        <v>Rural</v>
      </c>
      <c r="N56" s="4348"/>
      <c r="O56" s="4348"/>
      <c r="P56" s="4349"/>
      <c r="Q56" s="1613"/>
      <c r="R56" s="1615" t="s">
        <v>3530</v>
      </c>
      <c r="S56" s="2554" t="s">
        <v>6366</v>
      </c>
      <c r="T56" s="1796"/>
      <c r="U56" s="1797"/>
      <c r="V56" s="1797"/>
      <c r="W56" s="1797"/>
      <c r="X56" s="2555"/>
      <c r="Y56" s="2558">
        <f>O395</f>
        <v>0</v>
      </c>
      <c r="Z56" s="2555"/>
      <c r="AA56" s="2558">
        <f>O395</f>
        <v>0</v>
      </c>
      <c r="AB56" s="2559"/>
      <c r="AC56" s="2560"/>
      <c r="AD56" s="2558">
        <f>P395</f>
        <v>0</v>
      </c>
      <c r="AE56" s="2555"/>
      <c r="AF56" s="2558">
        <f>P395</f>
        <v>0</v>
      </c>
      <c r="AG56" s="2557"/>
    </row>
    <row r="57" spans="1:33" s="43" customFormat="1" ht="2.25" customHeight="1">
      <c r="A57" s="42"/>
      <c r="B57" s="63"/>
      <c r="C57" s="36"/>
      <c r="D57" s="48"/>
      <c r="E57" s="48"/>
      <c r="F57" s="53"/>
      <c r="G57" s="48"/>
      <c r="H57" s="48"/>
      <c r="I57" s="48"/>
      <c r="J57" s="48"/>
      <c r="K57" s="48"/>
      <c r="L57" s="42"/>
      <c r="M57" s="46"/>
      <c r="N57" s="62"/>
      <c r="O57" s="3"/>
      <c r="P57" s="777"/>
      <c r="R57" s="522"/>
      <c r="S57" s="522"/>
      <c r="T57" s="2561"/>
      <c r="U57" s="2561"/>
      <c r="V57" s="2561"/>
      <c r="W57" s="2561"/>
      <c r="X57" s="2561"/>
      <c r="Y57" s="2561"/>
      <c r="Z57" s="2561"/>
      <c r="AA57" s="2561"/>
      <c r="AB57" s="2561"/>
      <c r="AC57" s="2561"/>
      <c r="AD57" s="2561"/>
      <c r="AE57" s="2561"/>
      <c r="AF57" s="2561"/>
      <c r="AG57" s="2561"/>
    </row>
    <row r="58" spans="1:33" s="43" customFormat="1" ht="6" customHeight="1" thickBot="1">
      <c r="A58" s="42"/>
      <c r="B58" s="63"/>
      <c r="C58" s="36"/>
      <c r="D58" s="1718" t="s">
        <v>6532</v>
      </c>
      <c r="E58" s="1578"/>
      <c r="F58" s="1719"/>
      <c r="G58" s="1720">
        <f>SUM(G33:G56)</f>
        <v>107</v>
      </c>
      <c r="H58" s="1720">
        <f t="shared" ref="H58:K58" si="0">SUM(H33:H56)</f>
        <v>70</v>
      </c>
      <c r="I58" s="1720">
        <f t="shared" si="0"/>
        <v>51</v>
      </c>
      <c r="J58" s="1720">
        <f t="shared" si="0"/>
        <v>47</v>
      </c>
      <c r="K58" s="1720">
        <f t="shared" si="0"/>
        <v>38</v>
      </c>
      <c r="L58" s="42"/>
      <c r="M58" s="46"/>
      <c r="N58" s="62"/>
      <c r="O58" s="3"/>
      <c r="P58" s="777"/>
      <c r="R58" s="522"/>
      <c r="S58" s="522"/>
      <c r="T58" s="2561"/>
      <c r="U58" s="2561"/>
      <c r="V58" s="2561"/>
      <c r="W58" s="2561"/>
      <c r="X58" s="2562">
        <f>SUM(X33:X56)</f>
        <v>59</v>
      </c>
      <c r="Y58" s="2562">
        <f t="shared" ref="Y58:AB58" si="1">SUM(Y33:Y56)</f>
        <v>46</v>
      </c>
      <c r="Z58" s="2562">
        <f t="shared" si="1"/>
        <v>30</v>
      </c>
      <c r="AA58" s="2562">
        <f t="shared" si="1"/>
        <v>18</v>
      </c>
      <c r="AB58" s="2562">
        <f t="shared" si="1"/>
        <v>27</v>
      </c>
      <c r="AC58" s="2562">
        <f>SUM(AC33:AC56)</f>
        <v>20</v>
      </c>
      <c r="AD58" s="2562">
        <f t="shared" ref="AD58:AG58" si="2">SUM(AD33:AD56)</f>
        <v>10</v>
      </c>
      <c r="AE58" s="2562">
        <f t="shared" si="2"/>
        <v>20</v>
      </c>
      <c r="AF58" s="2562">
        <f t="shared" si="2"/>
        <v>10</v>
      </c>
      <c r="AG58" s="2562">
        <f t="shared" si="2"/>
        <v>20</v>
      </c>
    </row>
    <row r="59" spans="1:33" s="42" customFormat="1" ht="13.5" customHeight="1" thickBot="1">
      <c r="A59" s="151" t="s">
        <v>712</v>
      </c>
      <c r="B59" s="105" t="s">
        <v>2605</v>
      </c>
      <c r="C59" s="4"/>
      <c r="D59" s="4"/>
      <c r="E59" s="4"/>
      <c r="F59" s="52"/>
      <c r="G59" s="52"/>
      <c r="H59" s="170" t="s">
        <v>4003</v>
      </c>
      <c r="M59" s="2648">
        <v>10</v>
      </c>
      <c r="N59" s="106"/>
      <c r="O59" s="944">
        <v>10</v>
      </c>
      <c r="P59" s="944">
        <f>MIN($M59, $M59-P62-P67-P63)</f>
        <v>10</v>
      </c>
      <c r="Q59" s="108" t="s">
        <v>422</v>
      </c>
      <c r="R59" s="36"/>
    </row>
    <row r="60" spans="1:33" s="43" customFormat="1" ht="3.6" customHeight="1">
      <c r="A60" s="42"/>
      <c r="B60" s="63"/>
      <c r="C60" s="36"/>
      <c r="D60" s="48"/>
      <c r="E60" s="48"/>
      <c r="F60" s="53"/>
      <c r="G60" s="48"/>
      <c r="H60" s="48"/>
      <c r="I60" s="48"/>
      <c r="J60" s="48"/>
      <c r="K60" s="48"/>
      <c r="L60" s="42"/>
      <c r="M60" s="46"/>
      <c r="N60" s="62"/>
      <c r="O60" s="3"/>
      <c r="P60" s="777"/>
      <c r="R60" s="42"/>
      <c r="S60" s="42"/>
    </row>
    <row r="61" spans="1:33" s="42" customFormat="1" ht="12.75" customHeight="1">
      <c r="A61" s="176" t="s">
        <v>1892</v>
      </c>
      <c r="B61" s="163" t="s">
        <v>3967</v>
      </c>
      <c r="D61" s="48"/>
      <c r="E61" s="48"/>
      <c r="F61" s="1673"/>
      <c r="N61" s="64" t="s">
        <v>1892</v>
      </c>
      <c r="P61" s="1680">
        <f>SUM(P62:P64)</f>
        <v>0</v>
      </c>
      <c r="Q61" s="36" t="s">
        <v>6529</v>
      </c>
    </row>
    <row r="62" spans="1:33" s="43" customFormat="1" ht="12.75" customHeight="1">
      <c r="A62" s="176"/>
      <c r="B62" s="1681" t="s">
        <v>1895</v>
      </c>
      <c r="C62" s="109" t="s">
        <v>3970</v>
      </c>
      <c r="D62" s="48"/>
      <c r="E62" s="48"/>
      <c r="F62" s="1673"/>
      <c r="H62" s="170" t="s">
        <v>3297</v>
      </c>
      <c r="J62" s="49"/>
      <c r="N62" s="381" t="s">
        <v>1895</v>
      </c>
      <c r="P62" s="976">
        <f>F70</f>
        <v>0</v>
      </c>
    </row>
    <row r="63" spans="1:33" s="43" customFormat="1" ht="12.75" customHeight="1">
      <c r="A63" s="176"/>
      <c r="B63" s="1681" t="s">
        <v>1897</v>
      </c>
      <c r="C63" s="109" t="s">
        <v>6528</v>
      </c>
      <c r="D63" s="48"/>
      <c r="E63" s="48"/>
      <c r="F63" s="1673"/>
      <c r="H63" s="170" t="s">
        <v>3968</v>
      </c>
      <c r="J63" s="49"/>
      <c r="N63" s="381" t="s">
        <v>1897</v>
      </c>
      <c r="P63" s="1261">
        <f>J70</f>
        <v>0</v>
      </c>
    </row>
    <row r="64" spans="1:33" s="43" customFormat="1" ht="12.75" customHeight="1">
      <c r="A64" s="176"/>
      <c r="B64" s="1681" t="s">
        <v>2415</v>
      </c>
      <c r="C64" s="109" t="s">
        <v>3969</v>
      </c>
      <c r="D64" s="48"/>
      <c r="E64" s="48"/>
      <c r="F64" s="1673"/>
      <c r="H64" s="170" t="s">
        <v>3973</v>
      </c>
      <c r="J64" s="49"/>
      <c r="N64" s="381" t="s">
        <v>2415</v>
      </c>
      <c r="P64" s="2985"/>
    </row>
    <row r="65" spans="1:20" s="43" customFormat="1" ht="12.75" customHeight="1">
      <c r="C65" s="4244" t="s">
        <v>4079</v>
      </c>
      <c r="D65" s="4245"/>
      <c r="E65" s="4245"/>
      <c r="F65" s="4245"/>
      <c r="G65" s="4245"/>
      <c r="H65" s="4245"/>
      <c r="I65" s="4245"/>
      <c r="J65" s="4245"/>
      <c r="K65" s="4245"/>
      <c r="L65" s="4245"/>
      <c r="M65" s="4245"/>
      <c r="N65" s="4245"/>
      <c r="O65" s="4245"/>
      <c r="P65" s="4246"/>
      <c r="Q65" s="933"/>
      <c r="R65" s="428"/>
    </row>
    <row r="66" spans="1:20" s="414" customFormat="1" ht="3" customHeight="1">
      <c r="A66" s="531"/>
      <c r="B66" s="528"/>
      <c r="C66" s="529"/>
      <c r="D66" s="138"/>
      <c r="K66" s="785"/>
      <c r="L66" s="785"/>
      <c r="M66" s="910"/>
      <c r="N66" s="381"/>
      <c r="O66" s="790"/>
      <c r="P66" s="790"/>
    </row>
    <row r="67" spans="1:20" s="42" customFormat="1" ht="12.75" customHeight="1">
      <c r="A67" s="176" t="s">
        <v>1894</v>
      </c>
      <c r="B67" s="163" t="s">
        <v>696</v>
      </c>
      <c r="D67" s="48"/>
      <c r="E67" s="48"/>
      <c r="F67" s="1673"/>
      <c r="H67" s="170" t="s">
        <v>2569</v>
      </c>
      <c r="J67" s="49"/>
      <c r="M67" s="6"/>
      <c r="N67" s="64" t="s">
        <v>1894</v>
      </c>
      <c r="P67" s="1264">
        <f>O70</f>
        <v>0</v>
      </c>
      <c r="Q67" s="36" t="s">
        <v>6529</v>
      </c>
    </row>
    <row r="68" spans="1:20" s="414" customFormat="1" ht="3" customHeight="1">
      <c r="A68" s="531"/>
      <c r="B68" s="528"/>
      <c r="C68" s="529"/>
      <c r="D68" s="138"/>
      <c r="K68" s="785"/>
      <c r="L68" s="785"/>
      <c r="M68" s="910"/>
      <c r="N68" s="381"/>
      <c r="O68" s="790"/>
      <c r="P68" s="790"/>
    </row>
    <row r="69" spans="1:20" s="42" customFormat="1" ht="12.75" customHeight="1">
      <c r="A69" s="4078" t="s">
        <v>6282</v>
      </c>
      <c r="B69" s="4078"/>
      <c r="C69" s="4078"/>
      <c r="D69" s="4078"/>
      <c r="E69" s="4078"/>
      <c r="F69" s="1260" t="s">
        <v>3542</v>
      </c>
      <c r="G69" s="4325" t="s">
        <v>6284</v>
      </c>
      <c r="H69" s="4325"/>
      <c r="I69" s="4325"/>
      <c r="J69" s="1260" t="s">
        <v>3542</v>
      </c>
      <c r="K69" s="4329" t="s">
        <v>6283</v>
      </c>
      <c r="L69" s="4329"/>
      <c r="M69" s="4329"/>
      <c r="N69" s="4329"/>
      <c r="O69" s="4323" t="s">
        <v>3542</v>
      </c>
      <c r="P69" s="4324"/>
      <c r="R69" s="429"/>
      <c r="S69" s="156"/>
    </row>
    <row r="70" spans="1:20" s="42" customFormat="1" ht="12.75" customHeight="1">
      <c r="A70" s="4322"/>
      <c r="B70" s="4322"/>
      <c r="C70" s="4322"/>
      <c r="D70" s="4322"/>
      <c r="E70" s="4322"/>
      <c r="F70" s="76">
        <f>SUM(F71:F82)</f>
        <v>0</v>
      </c>
      <c r="G70" s="4326"/>
      <c r="H70" s="4327"/>
      <c r="I70" s="4328"/>
      <c r="J70" s="76">
        <f>SUM(J71:J82)</f>
        <v>0</v>
      </c>
      <c r="K70" s="4330"/>
      <c r="L70" s="4331"/>
      <c r="M70" s="4331"/>
      <c r="N70" s="4332"/>
      <c r="O70" s="4313">
        <f>SUM(O71:O82)</f>
        <v>0</v>
      </c>
      <c r="P70" s="4314"/>
      <c r="Q70" s="429"/>
      <c r="R70" s="156"/>
    </row>
    <row r="71" spans="1:20" s="42" customFormat="1" ht="24.75" customHeight="1">
      <c r="A71" s="4315">
        <v>1</v>
      </c>
      <c r="B71" s="4316"/>
      <c r="C71" s="4316"/>
      <c r="D71" s="4316"/>
      <c r="E71" s="4317"/>
      <c r="F71" s="2986"/>
      <c r="G71" s="4315">
        <v>1</v>
      </c>
      <c r="H71" s="4316"/>
      <c r="I71" s="4317"/>
      <c r="J71" s="775" t="s">
        <v>1654</v>
      </c>
      <c r="K71" s="4318">
        <v>1</v>
      </c>
      <c r="L71" s="4319"/>
      <c r="M71" s="4319"/>
      <c r="N71" s="4319"/>
      <c r="O71" s="4320" t="s">
        <v>1654</v>
      </c>
      <c r="P71" s="4321"/>
      <c r="Q71" s="427" t="s">
        <v>1208</v>
      </c>
      <c r="R71" s="156"/>
    </row>
    <row r="72" spans="1:20" s="42" customFormat="1" ht="24.75" customHeight="1">
      <c r="A72" s="4180">
        <v>2</v>
      </c>
      <c r="B72" s="4181"/>
      <c r="C72" s="4181"/>
      <c r="D72" s="4181"/>
      <c r="E72" s="4182"/>
      <c r="F72" s="2987"/>
      <c r="G72" s="4180">
        <v>2</v>
      </c>
      <c r="H72" s="4181"/>
      <c r="I72" s="4182"/>
      <c r="J72" s="2987"/>
      <c r="K72" s="4173">
        <v>2</v>
      </c>
      <c r="L72" s="4174"/>
      <c r="M72" s="4174"/>
      <c r="N72" s="4174"/>
      <c r="O72" s="4216"/>
      <c r="P72" s="4217"/>
      <c r="Q72" s="428"/>
      <c r="R72" s="156"/>
    </row>
    <row r="73" spans="1:20" s="42" customFormat="1" ht="24.75" customHeight="1">
      <c r="A73" s="4180">
        <v>3</v>
      </c>
      <c r="B73" s="4181"/>
      <c r="C73" s="4181"/>
      <c r="D73" s="4181"/>
      <c r="E73" s="4182"/>
      <c r="F73" s="2987"/>
      <c r="G73" s="4180">
        <v>3</v>
      </c>
      <c r="H73" s="4181"/>
      <c r="I73" s="4182"/>
      <c r="J73" s="1003" t="s">
        <v>2691</v>
      </c>
      <c r="K73" s="4173">
        <v>3</v>
      </c>
      <c r="L73" s="4174"/>
      <c r="M73" s="4174"/>
      <c r="N73" s="4174"/>
      <c r="O73" s="4175" t="s">
        <v>2691</v>
      </c>
      <c r="P73" s="4176"/>
      <c r="Q73" s="4171" t="s">
        <v>3971</v>
      </c>
      <c r="R73" s="4172"/>
      <c r="S73" s="1262"/>
      <c r="T73" s="1262"/>
    </row>
    <row r="74" spans="1:20" s="42" customFormat="1" ht="24.75" customHeight="1">
      <c r="A74" s="4180">
        <v>4</v>
      </c>
      <c r="B74" s="4181"/>
      <c r="C74" s="4181"/>
      <c r="D74" s="4181"/>
      <c r="E74" s="4182"/>
      <c r="F74" s="2987"/>
      <c r="G74" s="4180">
        <v>4</v>
      </c>
      <c r="H74" s="4181"/>
      <c r="I74" s="4182"/>
      <c r="J74" s="2987"/>
      <c r="K74" s="4173">
        <v>4</v>
      </c>
      <c r="L74" s="4174"/>
      <c r="M74" s="4174"/>
      <c r="N74" s="4174"/>
      <c r="O74" s="4175" t="s">
        <v>2691</v>
      </c>
      <c r="P74" s="4176"/>
      <c r="Q74" s="4171"/>
      <c r="R74" s="4172"/>
      <c r="S74" s="1262"/>
      <c r="T74" s="1262"/>
    </row>
    <row r="75" spans="1:20" s="42" customFormat="1" ht="24.75" customHeight="1">
      <c r="A75" s="4180">
        <v>5</v>
      </c>
      <c r="B75" s="4181"/>
      <c r="C75" s="4181"/>
      <c r="D75" s="4181"/>
      <c r="E75" s="4182"/>
      <c r="F75" s="2987"/>
      <c r="G75" s="4180">
        <v>5</v>
      </c>
      <c r="H75" s="4181"/>
      <c r="I75" s="4182"/>
      <c r="J75" s="1003" t="s">
        <v>3265</v>
      </c>
      <c r="K75" s="4173">
        <v>5</v>
      </c>
      <c r="L75" s="4174"/>
      <c r="M75" s="4174"/>
      <c r="N75" s="4174"/>
      <c r="O75" s="4216"/>
      <c r="P75" s="4217"/>
      <c r="Q75" s="4171"/>
      <c r="R75" s="4172"/>
      <c r="S75" s="1262"/>
      <c r="T75" s="1262"/>
    </row>
    <row r="76" spans="1:20" s="42" customFormat="1" ht="24" customHeight="1">
      <c r="A76" s="4180">
        <v>6</v>
      </c>
      <c r="B76" s="4181"/>
      <c r="C76" s="4181"/>
      <c r="D76" s="4181"/>
      <c r="E76" s="4182"/>
      <c r="F76" s="2987"/>
      <c r="G76" s="4180">
        <v>6</v>
      </c>
      <c r="H76" s="4181"/>
      <c r="I76" s="4182"/>
      <c r="J76" s="2987"/>
      <c r="K76" s="4173">
        <v>6</v>
      </c>
      <c r="L76" s="4174"/>
      <c r="M76" s="4174"/>
      <c r="N76" s="4174"/>
      <c r="O76" s="4216"/>
      <c r="P76" s="4217"/>
      <c r="Q76" s="4171"/>
      <c r="R76" s="4172"/>
    </row>
    <row r="77" spans="1:20" s="42" customFormat="1" ht="24.75" customHeight="1">
      <c r="A77" s="4180">
        <v>7</v>
      </c>
      <c r="B77" s="4181"/>
      <c r="C77" s="4181"/>
      <c r="D77" s="4181"/>
      <c r="E77" s="4182"/>
      <c r="F77" s="2987"/>
      <c r="G77" s="4180">
        <v>7</v>
      </c>
      <c r="H77" s="4181"/>
      <c r="I77" s="4182"/>
      <c r="J77" s="1003" t="s">
        <v>3266</v>
      </c>
      <c r="K77" s="4173">
        <v>7</v>
      </c>
      <c r="L77" s="4174"/>
      <c r="M77" s="4174"/>
      <c r="N77" s="4174"/>
      <c r="O77" s="4216"/>
      <c r="P77" s="4217"/>
      <c r="Q77" s="156"/>
      <c r="R77" s="156"/>
    </row>
    <row r="78" spans="1:20" s="42" customFormat="1" ht="24.75" customHeight="1">
      <c r="A78" s="4180">
        <v>8</v>
      </c>
      <c r="B78" s="4181"/>
      <c r="C78" s="4181"/>
      <c r="D78" s="4181"/>
      <c r="E78" s="4182"/>
      <c r="F78" s="2987"/>
      <c r="G78" s="4180">
        <v>8</v>
      </c>
      <c r="H78" s="4181"/>
      <c r="I78" s="4182"/>
      <c r="J78" s="2987"/>
      <c r="K78" s="4173">
        <v>8</v>
      </c>
      <c r="L78" s="4174"/>
      <c r="M78" s="4174"/>
      <c r="N78" s="4174"/>
      <c r="O78" s="4216"/>
      <c r="P78" s="4217"/>
      <c r="Q78" s="156"/>
      <c r="R78" s="156"/>
    </row>
    <row r="79" spans="1:20" s="42" customFormat="1" ht="24.75" customHeight="1">
      <c r="A79" s="4180">
        <v>9</v>
      </c>
      <c r="B79" s="4181"/>
      <c r="C79" s="4181"/>
      <c r="D79" s="4181"/>
      <c r="E79" s="4182"/>
      <c r="F79" s="2987"/>
      <c r="G79" s="4180">
        <v>9</v>
      </c>
      <c r="H79" s="4181"/>
      <c r="I79" s="4182"/>
      <c r="J79" s="1003" t="s">
        <v>3267</v>
      </c>
      <c r="K79" s="4173">
        <v>9</v>
      </c>
      <c r="L79" s="4174"/>
      <c r="M79" s="4174"/>
      <c r="N79" s="4174"/>
      <c r="O79" s="4216"/>
      <c r="P79" s="4217"/>
      <c r="Q79" s="156"/>
      <c r="R79" s="156"/>
    </row>
    <row r="80" spans="1:20" s="42" customFormat="1" ht="24.75" customHeight="1">
      <c r="A80" s="4180">
        <v>10</v>
      </c>
      <c r="B80" s="4181"/>
      <c r="C80" s="4181"/>
      <c r="D80" s="4181"/>
      <c r="E80" s="4182"/>
      <c r="F80" s="2987"/>
      <c r="G80" s="4180">
        <v>10</v>
      </c>
      <c r="H80" s="4181"/>
      <c r="I80" s="4182"/>
      <c r="J80" s="2987"/>
      <c r="K80" s="4173">
        <v>10</v>
      </c>
      <c r="L80" s="4174"/>
      <c r="M80" s="4174"/>
      <c r="N80" s="4174"/>
      <c r="O80" s="4216"/>
      <c r="P80" s="4217"/>
      <c r="Q80" s="156"/>
    </row>
    <row r="81" spans="1:19" s="42" customFormat="1" ht="24.75" customHeight="1">
      <c r="A81" s="4180">
        <v>11</v>
      </c>
      <c r="B81" s="4181"/>
      <c r="C81" s="4181"/>
      <c r="D81" s="4181"/>
      <c r="E81" s="4182"/>
      <c r="F81" s="2987"/>
      <c r="G81" s="4180">
        <v>11</v>
      </c>
      <c r="H81" s="4181"/>
      <c r="I81" s="4182"/>
      <c r="J81" s="1003" t="s">
        <v>3268</v>
      </c>
      <c r="K81" s="4180">
        <v>11</v>
      </c>
      <c r="L81" s="4181"/>
      <c r="M81" s="4181"/>
      <c r="N81" s="4182"/>
      <c r="O81" s="4216"/>
      <c r="P81" s="4217"/>
      <c r="Q81" s="156"/>
      <c r="R81" s="156"/>
    </row>
    <row r="82" spans="1:19" s="42" customFormat="1" ht="24.75" customHeight="1">
      <c r="A82" s="4301">
        <v>12</v>
      </c>
      <c r="B82" s="4302"/>
      <c r="C82" s="4302"/>
      <c r="D82" s="4302"/>
      <c r="E82" s="4303"/>
      <c r="F82" s="2988"/>
      <c r="G82" s="4301">
        <v>12</v>
      </c>
      <c r="H82" s="4302"/>
      <c r="I82" s="4303"/>
      <c r="J82" s="2988"/>
      <c r="K82" s="4301">
        <v>12</v>
      </c>
      <c r="L82" s="4302"/>
      <c r="M82" s="4302"/>
      <c r="N82" s="4303"/>
      <c r="O82" s="4352"/>
      <c r="P82" s="4353"/>
    </row>
    <row r="83" spans="1:19" s="43" customFormat="1" ht="3" customHeight="1" thickBot="1">
      <c r="D83" s="39"/>
      <c r="E83" s="36"/>
      <c r="F83" s="777"/>
      <c r="G83" s="777"/>
      <c r="H83" s="777"/>
      <c r="I83" s="777"/>
      <c r="J83" s="783"/>
      <c r="K83" s="783"/>
      <c r="L83" s="783"/>
      <c r="M83" s="60"/>
      <c r="N83" s="777"/>
      <c r="O83" s="2652"/>
      <c r="P83" s="3"/>
    </row>
    <row r="84" spans="1:19" s="101" customFormat="1" ht="13.5" customHeight="1" thickBot="1">
      <c r="A84" s="151" t="s">
        <v>1711</v>
      </c>
      <c r="B84" s="105" t="s">
        <v>3269</v>
      </c>
      <c r="E84" s="57"/>
      <c r="G84" s="211"/>
      <c r="I84" s="1620" t="s">
        <v>6542</v>
      </c>
      <c r="J84" s="1684" t="str">
        <f>IF(OR($M$32="9% Credit Competitive Round only", $M$32="9% Credit &amp; HOME"),"9%",IF(OR($M$32="4% Credit/TE Bond", $M$32="4% Credit/TE Bond &amp; HOME", $M$32="4% Credit/TE Bond &amp; HOME NOFA", $M$32="4% Credit &amp; NHTF", $M$32="4% Credit &amp; NHTF &amp; HOME"),"4%",""))</f>
        <v>9%</v>
      </c>
      <c r="K84" s="1624" t="s">
        <v>367</v>
      </c>
      <c r="L84" s="1625" t="str">
        <f>$M$43</f>
        <v>New Supply</v>
      </c>
      <c r="M84" s="777">
        <v>3</v>
      </c>
      <c r="N84" s="7"/>
      <c r="O84" s="944">
        <f>IF(AND(O88&gt;0,O92&gt;0),"AorB?",MIN($M$84,O88+O92))</f>
        <v>3</v>
      </c>
      <c r="P84" s="944">
        <f>IF(AND(P88&gt;0,P92&gt;0),"AorB?",MIN($M$84,P88+P92))</f>
        <v>0</v>
      </c>
      <c r="Q84" s="108" t="s">
        <v>422</v>
      </c>
      <c r="S84" s="1621"/>
    </row>
    <row r="85" spans="1:19" s="43" customFormat="1" ht="2.25" customHeight="1">
      <c r="A85" s="424"/>
      <c r="B85" s="111"/>
      <c r="E85" s="57"/>
      <c r="F85" s="43" t="s">
        <v>3980</v>
      </c>
      <c r="G85" s="87"/>
      <c r="H85" s="52"/>
      <c r="I85" s="45"/>
      <c r="K85" s="488"/>
      <c r="L85" s="776"/>
      <c r="M85" s="777"/>
      <c r="N85" s="7"/>
      <c r="O85" s="3"/>
      <c r="P85" s="3"/>
      <c r="Q85" s="108"/>
      <c r="R85" s="367"/>
    </row>
    <row r="86" spans="1:19" s="43" customFormat="1" ht="13.5" customHeight="1">
      <c r="A86" s="137" t="s">
        <v>1892</v>
      </c>
      <c r="B86" s="786" t="s">
        <v>6374</v>
      </c>
      <c r="E86" s="57"/>
      <c r="G86" s="87"/>
      <c r="H86" s="55" t="s">
        <v>4065</v>
      </c>
      <c r="I86" s="1316" t="str">
        <f>'Part I-Project Information'!$K$94</f>
        <v>40% of Units at 60% of AMI</v>
      </c>
      <c r="M86" s="777"/>
      <c r="N86" s="7"/>
      <c r="Q86" s="7"/>
      <c r="R86" s="367"/>
    </row>
    <row r="87" spans="1:19" s="101" customFormat="1" ht="9" customHeight="1">
      <c r="A87" s="137"/>
      <c r="B87" s="4187" t="s">
        <v>3974</v>
      </c>
      <c r="C87" s="4187"/>
      <c r="D87" s="4187"/>
      <c r="E87" s="4187"/>
      <c r="F87" s="4187"/>
      <c r="G87" s="4187"/>
      <c r="H87" s="4187"/>
      <c r="I87" s="4187"/>
      <c r="J87" s="4187"/>
      <c r="K87" s="4187"/>
      <c r="L87" s="4187"/>
      <c r="M87" s="777"/>
      <c r="N87" s="7"/>
      <c r="Q87" s="7"/>
      <c r="R87" s="367"/>
    </row>
    <row r="88" spans="1:19" s="101" customFormat="1" ht="13.5" customHeight="1">
      <c r="B88" s="4187"/>
      <c r="C88" s="4187"/>
      <c r="D88" s="4187"/>
      <c r="E88" s="4187"/>
      <c r="F88" s="4187"/>
      <c r="G88" s="4187"/>
      <c r="H88" s="4187"/>
      <c r="I88" s="4187"/>
      <c r="J88" s="4187"/>
      <c r="K88" s="4187"/>
      <c r="L88" s="4187"/>
      <c r="M88" s="782">
        <v>2</v>
      </c>
      <c r="N88" s="381" t="s">
        <v>1892</v>
      </c>
      <c r="O88" s="791">
        <f>IF(OR($P$35="Yes",NOT($J$84="9%")),0,MIN($M88,O89+O90))</f>
        <v>0</v>
      </c>
      <c r="P88" s="791">
        <f>IF(NOT($J$84="9%"),0,MIN($M88, P89+P90))</f>
        <v>0</v>
      </c>
    </row>
    <row r="89" spans="1:19" s="101" customFormat="1" ht="13.5" customHeight="1">
      <c r="A89" s="137"/>
      <c r="B89" s="1279" t="s">
        <v>1895</v>
      </c>
      <c r="C89" s="1268" t="s">
        <v>3975</v>
      </c>
      <c r="D89" s="52"/>
      <c r="H89" s="52" t="s">
        <v>3976</v>
      </c>
      <c r="I89" s="1266"/>
      <c r="J89" s="1318">
        <f>'Part VI-Revenues &amp; Expenses'!B50</f>
        <v>60</v>
      </c>
      <c r="L89" s="4190" t="str">
        <f>IF(AND(O89&gt;0,O90&gt;0), "CHOOSE EITHER A OR B, NOT BOTH!", "")</f>
        <v/>
      </c>
      <c r="M89" s="910">
        <v>2</v>
      </c>
      <c r="N89" s="172" t="s">
        <v>1895</v>
      </c>
      <c r="O89" s="2563"/>
      <c r="P89" s="2989"/>
      <c r="Q89" s="1295" t="str">
        <f>IF(OR($O89=$M89,$O89=0,$O89=""),"","*CHECK!*")</f>
        <v/>
      </c>
      <c r="R89" s="892" t="s">
        <v>4264</v>
      </c>
    </row>
    <row r="90" spans="1:19" s="101" customFormat="1" ht="13.5" customHeight="1">
      <c r="A90" s="1267" t="s">
        <v>3103</v>
      </c>
      <c r="B90" s="1279" t="s">
        <v>1897</v>
      </c>
      <c r="C90" s="1268" t="s">
        <v>3977</v>
      </c>
      <c r="D90" s="52"/>
      <c r="I90" s="1266"/>
      <c r="K90" s="52"/>
      <c r="L90" s="4190"/>
      <c r="M90" s="910">
        <v>2</v>
      </c>
      <c r="N90" s="172" t="s">
        <v>1897</v>
      </c>
      <c r="O90" s="2564"/>
      <c r="P90" s="2990"/>
      <c r="Q90" s="1295" t="str">
        <f>IF(OR($O90=$M90,$O90=0,$O90=""),"","*CHECK!*")</f>
        <v/>
      </c>
      <c r="R90" s="892" t="s">
        <v>4264</v>
      </c>
    </row>
    <row r="91" spans="1:19" s="414" customFormat="1" ht="6.75" customHeight="1">
      <c r="A91" s="531"/>
      <c r="B91" s="528"/>
      <c r="C91" s="529"/>
      <c r="D91" s="138"/>
      <c r="K91" s="785"/>
      <c r="L91" s="785"/>
      <c r="M91" s="910"/>
      <c r="N91" s="381"/>
      <c r="O91" s="790"/>
      <c r="P91" s="790"/>
    </row>
    <row r="92" spans="1:19" s="414" customFormat="1" ht="13.5" customHeight="1">
      <c r="A92" s="137" t="s">
        <v>1894</v>
      </c>
      <c r="B92" s="786" t="s">
        <v>3298</v>
      </c>
      <c r="E92" s="415"/>
      <c r="H92" s="4191" t="s">
        <v>3978</v>
      </c>
      <c r="I92" s="4192"/>
      <c r="J92" s="1271" t="s">
        <v>3979</v>
      </c>
      <c r="M92" s="782">
        <v>3</v>
      </c>
      <c r="N92" s="159" t="s">
        <v>1894</v>
      </c>
      <c r="O92" s="791">
        <f>IF(AND(O93="Yes", O94="Yes"),$M$92,0)</f>
        <v>3</v>
      </c>
      <c r="P92" s="791">
        <f>IF(AND(P93="Yes", P94="Yes"),$M$92,0)</f>
        <v>0</v>
      </c>
    </row>
    <row r="93" spans="1:19" s="414" customFormat="1" ht="13.5" customHeight="1">
      <c r="A93" s="413"/>
      <c r="B93" s="1279" t="s">
        <v>1895</v>
      </c>
      <c r="C93" s="1269">
        <v>0.3</v>
      </c>
      <c r="D93" s="841" t="s">
        <v>3299</v>
      </c>
      <c r="E93" s="415"/>
      <c r="F93" s="774"/>
      <c r="H93" s="2565">
        <v>32</v>
      </c>
      <c r="I93" s="2991"/>
      <c r="J93" s="1270">
        <f>'Part VI-Revenues &amp; Expenses'!P65</f>
        <v>72</v>
      </c>
      <c r="K93" s="806">
        <f>IF(OR('Part VI-Revenues &amp; Expenses'!$P$65="", 'Part VI-Revenues &amp; Expenses'!$P$65=0),0,H93/'Part VI-Revenues &amp; Expenses'!$P$65)</f>
        <v>0.44444444444444442</v>
      </c>
      <c r="L93" s="806">
        <f>IF(OR('Part VI-Revenues &amp; Expenses'!$P$65="", 'Part VI-Revenues &amp; Expenses'!$P$65=0),0,I93/'Part VI-Revenues &amp; Expenses'!$P$65)</f>
        <v>0</v>
      </c>
      <c r="M93" s="910"/>
      <c r="N93" s="381" t="s">
        <v>1895</v>
      </c>
      <c r="O93" s="787" t="str">
        <f>IF(AND(K93 &gt;= $C$93,O94="Yes"),"Yes","No")</f>
        <v>Yes</v>
      </c>
      <c r="P93" s="787" t="str">
        <f>IF(AND(L93 &gt;= $C$93,P94="Yes"),"Yes","No")</f>
        <v>No</v>
      </c>
    </row>
    <row r="94" spans="1:19" s="414" customFormat="1" ht="13.5" customHeight="1">
      <c r="A94" s="531"/>
      <c r="B94" s="1279" t="s">
        <v>1897</v>
      </c>
      <c r="C94" s="809" t="s">
        <v>3467</v>
      </c>
      <c r="E94" s="818"/>
      <c r="F94" s="774"/>
      <c r="I94" s="789"/>
      <c r="J94" s="789"/>
      <c r="K94" s="789"/>
      <c r="L94" s="789"/>
      <c r="M94" s="789"/>
      <c r="N94" s="381" t="s">
        <v>1897</v>
      </c>
      <c r="O94" s="2671" t="s">
        <v>2768</v>
      </c>
      <c r="P94" s="2954"/>
    </row>
    <row r="95" spans="1:19" s="43" customFormat="1" ht="10.5" customHeight="1">
      <c r="A95" s="42"/>
      <c r="B95" s="96" t="s">
        <v>1779</v>
      </c>
      <c r="C95" s="414"/>
      <c r="D95" s="85"/>
      <c r="E95" s="2655"/>
      <c r="F95" s="2655"/>
      <c r="G95" s="2655"/>
      <c r="H95" s="2655"/>
      <c r="I95" s="2655"/>
      <c r="J95" s="2655"/>
      <c r="K95" s="2655"/>
      <c r="L95" s="2655"/>
      <c r="M95" s="2655"/>
      <c r="N95" s="74"/>
      <c r="O95" s="70"/>
      <c r="P95" s="2648"/>
      <c r="Q95" s="414"/>
    </row>
    <row r="96" spans="1:19" s="43" customFormat="1" ht="22.5" customHeight="1">
      <c r="A96" s="3968"/>
      <c r="B96" s="3969"/>
      <c r="C96" s="3969"/>
      <c r="D96" s="3969"/>
      <c r="E96" s="3969"/>
      <c r="F96" s="3969"/>
      <c r="G96" s="3969"/>
      <c r="H96" s="3969"/>
      <c r="I96" s="3969"/>
      <c r="J96" s="3969"/>
      <c r="K96" s="3969"/>
      <c r="L96" s="3969"/>
      <c r="M96" s="3969"/>
      <c r="N96" s="3969"/>
      <c r="O96" s="3969"/>
      <c r="P96" s="3970"/>
      <c r="Q96" s="427"/>
    </row>
    <row r="97" spans="1:21" ht="7.5" customHeight="1" thickBot="1"/>
    <row r="98" spans="1:21" s="43" customFormat="1" ht="13.5" customHeight="1" thickBot="1">
      <c r="A98" s="151" t="s">
        <v>1713</v>
      </c>
      <c r="B98" s="104" t="s">
        <v>3517</v>
      </c>
      <c r="D98" s="41"/>
      <c r="K98" s="1624" t="s">
        <v>367</v>
      </c>
      <c r="L98" s="1625" t="str">
        <f>M43</f>
        <v>New Supply</v>
      </c>
      <c r="M98" s="2648">
        <v>20</v>
      </c>
      <c r="N98" s="439"/>
      <c r="O98" s="1687">
        <f>IF(OR($M101-O102&lt;0,O101-O102&lt;0),0,IF(O101&lt;=$M101,O101-O102,IF(O101&gt;$M101,$M101-O102,0)))</f>
        <v>20</v>
      </c>
      <c r="P98" s="1687">
        <f>IF(OR($M101-P102&lt;0,P101-P102&lt;0),0,IF(P101&lt;=$M101,P101-P102,IF(P101&gt;$M101,$M101-P102,0)))</f>
        <v>0</v>
      </c>
      <c r="Q98" s="108" t="s">
        <v>422</v>
      </c>
    </row>
    <row r="99" spans="1:21" s="43" customFormat="1" ht="15">
      <c r="A99" s="42"/>
      <c r="B99" s="2637" t="s">
        <v>3385</v>
      </c>
      <c r="D99" s="39"/>
      <c r="E99" s="36"/>
      <c r="F99" s="777"/>
      <c r="G99" s="777"/>
      <c r="H99" s="897"/>
      <c r="I99" s="897"/>
      <c r="J99" s="897"/>
      <c r="K99" s="897"/>
      <c r="L99" s="897"/>
      <c r="M99" s="60"/>
      <c r="N99" s="777"/>
      <c r="O99" s="2652"/>
      <c r="P99" s="3"/>
    </row>
    <row r="100" spans="1:21" s="101" customFormat="1" ht="12.75" customHeight="1">
      <c r="A100" s="137"/>
      <c r="B100" s="36" t="s">
        <v>3422</v>
      </c>
      <c r="D100" s="33"/>
      <c r="N100" s="439"/>
      <c r="O100" s="2515" t="s">
        <v>2768</v>
      </c>
      <c r="P100" s="2992"/>
    </row>
    <row r="101" spans="1:21" s="101" customFormat="1" ht="12.75" customHeight="1">
      <c r="A101" s="137" t="s">
        <v>1892</v>
      </c>
      <c r="B101" s="163" t="s">
        <v>1786</v>
      </c>
      <c r="C101" s="4"/>
      <c r="D101" s="4"/>
      <c r="F101" s="291"/>
      <c r="H101" s="753" t="s">
        <v>2564</v>
      </c>
      <c r="I101" s="4354" t="s">
        <v>4247</v>
      </c>
      <c r="J101" s="4355"/>
      <c r="K101" s="4355"/>
      <c r="L101" s="4356"/>
      <c r="M101" s="72">
        <v>20</v>
      </c>
      <c r="N101" s="172" t="s">
        <v>1892</v>
      </c>
      <c r="O101" s="2566">
        <v>20</v>
      </c>
      <c r="P101" s="2993"/>
      <c r="Q101" s="1295"/>
      <c r="R101" s="892" t="s">
        <v>4264</v>
      </c>
    </row>
    <row r="102" spans="1:21" s="101" customFormat="1" ht="12.75" customHeight="1">
      <c r="A102" s="137" t="s">
        <v>1894</v>
      </c>
      <c r="B102" s="163" t="s">
        <v>3416</v>
      </c>
      <c r="D102" s="961"/>
      <c r="F102" s="1317"/>
      <c r="H102" s="753" t="s">
        <v>3483</v>
      </c>
      <c r="I102" s="4357"/>
      <c r="J102" s="4358"/>
      <c r="K102" s="4358"/>
      <c r="L102" s="4359"/>
      <c r="M102" s="2672" t="s">
        <v>1192</v>
      </c>
      <c r="N102" s="439" t="s">
        <v>1894</v>
      </c>
      <c r="O102" s="2567">
        <v>0</v>
      </c>
      <c r="P102" s="2994"/>
      <c r="R102" s="892" t="s">
        <v>4264</v>
      </c>
    </row>
    <row r="103" spans="1:21" s="43" customFormat="1" ht="12.75" customHeight="1" thickBot="1">
      <c r="A103" s="42"/>
      <c r="B103" s="1007" t="s">
        <v>3373</v>
      </c>
      <c r="C103" s="42"/>
      <c r="D103" s="48"/>
      <c r="E103" s="48"/>
      <c r="F103" s="48"/>
      <c r="G103" s="48"/>
      <c r="H103" s="36"/>
      <c r="I103" s="4360"/>
      <c r="J103" s="4361"/>
      <c r="K103" s="4361"/>
      <c r="L103" s="4362"/>
      <c r="M103" s="46"/>
      <c r="N103" s="62"/>
      <c r="O103" s="3"/>
      <c r="P103" s="2652"/>
    </row>
    <row r="104" spans="1:21" s="43" customFormat="1" ht="90" customHeight="1" thickTop="1" thickBot="1">
      <c r="A104" s="4211" t="s">
        <v>6997</v>
      </c>
      <c r="B104" s="4212"/>
      <c r="C104" s="4212"/>
      <c r="D104" s="4212"/>
      <c r="E104" s="4212"/>
      <c r="F104" s="4212"/>
      <c r="G104" s="4212"/>
      <c r="H104" s="4212"/>
      <c r="I104" s="4212"/>
      <c r="J104" s="4212"/>
      <c r="K104" s="4212"/>
      <c r="L104" s="4212"/>
      <c r="M104" s="4212"/>
      <c r="N104" s="4212"/>
      <c r="O104" s="4212"/>
      <c r="P104" s="4213"/>
      <c r="Q104" s="933" t="s">
        <v>1208</v>
      </c>
      <c r="R104" s="428"/>
    </row>
    <row r="105" spans="1:21" s="43" customFormat="1" ht="11.45" customHeight="1" thickTop="1">
      <c r="A105" s="42"/>
      <c r="B105" s="66" t="s">
        <v>1779</v>
      </c>
      <c r="C105" s="42"/>
      <c r="D105" s="135"/>
      <c r="E105" s="2655"/>
      <c r="F105" s="2655"/>
      <c r="G105" s="2655"/>
      <c r="H105" s="2655"/>
      <c r="I105" s="2655"/>
      <c r="J105" s="2655"/>
      <c r="K105" s="2655"/>
      <c r="L105" s="2655"/>
      <c r="M105" s="2655"/>
      <c r="N105" s="74"/>
      <c r="O105" s="70"/>
      <c r="P105" s="2648"/>
      <c r="Q105" s="414"/>
      <c r="R105" s="414"/>
    </row>
    <row r="106" spans="1:21" s="43" customFormat="1" ht="90" customHeight="1">
      <c r="A106" s="3968"/>
      <c r="B106" s="3969"/>
      <c r="C106" s="3969"/>
      <c r="D106" s="3969"/>
      <c r="E106" s="3969"/>
      <c r="F106" s="3969"/>
      <c r="G106" s="3969"/>
      <c r="H106" s="3969"/>
      <c r="I106" s="3969"/>
      <c r="J106" s="3969"/>
      <c r="K106" s="3969"/>
      <c r="L106" s="3969"/>
      <c r="M106" s="3969"/>
      <c r="N106" s="3969"/>
      <c r="O106" s="3969"/>
      <c r="P106" s="3970"/>
      <c r="Q106" s="427"/>
      <c r="R106" s="428"/>
    </row>
    <row r="107" spans="1:21" ht="7.5" customHeight="1" thickBot="1">
      <c r="M107" s="33"/>
      <c r="N107" s="113"/>
      <c r="O107" s="149"/>
      <c r="P107" s="149"/>
    </row>
    <row r="108" spans="1:21" s="43" customFormat="1" ht="13.5" customHeight="1" thickBot="1">
      <c r="A108" s="151" t="s">
        <v>505</v>
      </c>
      <c r="B108" s="104" t="s">
        <v>2501</v>
      </c>
      <c r="D108" s="41"/>
      <c r="H108" s="1622" t="s">
        <v>6381</v>
      </c>
      <c r="I108" s="1705" t="s">
        <v>6372</v>
      </c>
      <c r="J108" s="1625" t="str">
        <f>$M$56</f>
        <v>Rural</v>
      </c>
      <c r="K108" s="1624" t="s">
        <v>367</v>
      </c>
      <c r="L108" s="1625" t="str">
        <f>M43</f>
        <v>New Supply</v>
      </c>
      <c r="M108" s="2648">
        <v>6</v>
      </c>
      <c r="N108" s="439"/>
      <c r="O108" s="1687">
        <f>MAX(O124,O131,O138)</f>
        <v>2</v>
      </c>
      <c r="P108" s="1687">
        <f>MAX(P124,P131,P138)</f>
        <v>0</v>
      </c>
      <c r="Q108" s="108" t="s">
        <v>422</v>
      </c>
      <c r="R108" s="4386" t="s">
        <v>4124</v>
      </c>
      <c r="S108" s="4387"/>
      <c r="T108" s="4387"/>
      <c r="U108" s="4388"/>
    </row>
    <row r="109" spans="1:21" s="43" customFormat="1" ht="17.25" customHeight="1">
      <c r="A109" s="151"/>
      <c r="B109" s="109" t="s">
        <v>3468</v>
      </c>
      <c r="D109" s="41"/>
      <c r="H109" s="163"/>
      <c r="M109" s="2648"/>
      <c r="N109" s="439"/>
      <c r="O109" s="891" t="s">
        <v>3270</v>
      </c>
      <c r="P109" s="891" t="s">
        <v>3271</v>
      </c>
      <c r="Q109" s="108"/>
      <c r="R109" s="4389"/>
      <c r="S109" s="4390"/>
      <c r="T109" s="4390"/>
      <c r="U109" s="4391"/>
    </row>
    <row r="110" spans="1:21" s="43" customFormat="1" ht="11.25" customHeight="1">
      <c r="A110" s="151"/>
      <c r="B110" s="365" t="s">
        <v>1895</v>
      </c>
      <c r="C110" s="36" t="s">
        <v>3983</v>
      </c>
      <c r="D110" s="961"/>
      <c r="E110" s="101"/>
      <c r="F110" s="101"/>
      <c r="G110" s="101"/>
      <c r="H110" s="45"/>
      <c r="I110" s="49"/>
      <c r="M110" s="2648"/>
      <c r="N110" s="439"/>
      <c r="O110" s="2492" t="s">
        <v>2768</v>
      </c>
      <c r="P110" s="2952"/>
      <c r="Q110" s="108"/>
      <c r="R110" s="4389"/>
      <c r="S110" s="4390"/>
      <c r="T110" s="4390"/>
      <c r="U110" s="4391"/>
    </row>
    <row r="111" spans="1:21" s="43" customFormat="1" ht="11.25" customHeight="1">
      <c r="A111" s="151"/>
      <c r="B111" s="365" t="s">
        <v>1897</v>
      </c>
      <c r="C111" s="36" t="s">
        <v>3984</v>
      </c>
      <c r="D111" s="961"/>
      <c r="E111" s="101"/>
      <c r="F111" s="101"/>
      <c r="G111" s="101"/>
      <c r="H111" s="45"/>
      <c r="I111" s="49"/>
      <c r="J111" s="48"/>
      <c r="K111" s="48"/>
      <c r="L111" s="101"/>
      <c r="M111" s="101"/>
      <c r="N111" s="439"/>
      <c r="O111" s="2666" t="s">
        <v>2768</v>
      </c>
      <c r="P111" s="2953"/>
      <c r="Q111" s="108"/>
      <c r="R111" s="4389"/>
      <c r="S111" s="4390"/>
      <c r="T111" s="4390"/>
      <c r="U111" s="4391"/>
    </row>
    <row r="112" spans="1:21" s="43" customFormat="1" ht="11.25" customHeight="1">
      <c r="A112" s="151"/>
      <c r="B112" s="365" t="s">
        <v>2415</v>
      </c>
      <c r="C112" s="36" t="s">
        <v>6385</v>
      </c>
      <c r="D112" s="961"/>
      <c r="E112" s="101"/>
      <c r="F112" s="101"/>
      <c r="G112" s="101"/>
      <c r="H112" s="45"/>
      <c r="I112" s="49"/>
      <c r="J112" s="48"/>
      <c r="K112" s="48"/>
      <c r="L112" s="101"/>
      <c r="M112" s="101"/>
      <c r="N112" s="439"/>
      <c r="O112" s="2666" t="s">
        <v>6877</v>
      </c>
      <c r="P112" s="2953"/>
      <c r="Q112" s="108"/>
      <c r="R112" s="4389"/>
      <c r="S112" s="4390"/>
      <c r="T112" s="4390"/>
      <c r="U112" s="4391"/>
    </row>
    <row r="113" spans="1:21" s="43" customFormat="1" ht="11.25" customHeight="1">
      <c r="A113" s="151"/>
      <c r="B113" s="365" t="s">
        <v>1178</v>
      </c>
      <c r="C113" s="36" t="s">
        <v>6386</v>
      </c>
      <c r="D113" s="961"/>
      <c r="E113" s="101"/>
      <c r="F113" s="101"/>
      <c r="G113" s="101"/>
      <c r="H113" s="45"/>
      <c r="I113" s="49"/>
      <c r="J113" s="48"/>
      <c r="K113" s="48"/>
      <c r="L113" s="101"/>
      <c r="M113" s="101"/>
      <c r="N113" s="439"/>
      <c r="O113" s="2666" t="s">
        <v>2768</v>
      </c>
      <c r="P113" s="2953"/>
      <c r="Q113" s="108"/>
      <c r="R113" s="4389"/>
      <c r="S113" s="4390"/>
      <c r="T113" s="4390"/>
      <c r="U113" s="4391"/>
    </row>
    <row r="114" spans="1:21" s="43" customFormat="1" ht="11.25" customHeight="1">
      <c r="A114" s="151"/>
      <c r="B114" s="365">
        <v>5</v>
      </c>
      <c r="C114" s="36" t="s">
        <v>6547</v>
      </c>
      <c r="D114" s="961"/>
      <c r="E114" s="101"/>
      <c r="F114" s="101"/>
      <c r="G114" s="101"/>
      <c r="H114" s="45"/>
      <c r="I114" s="49"/>
      <c r="J114" s="48"/>
      <c r="K114" s="48"/>
      <c r="L114" s="101"/>
      <c r="M114" s="101"/>
      <c r="N114" s="439"/>
      <c r="O114" s="2671" t="s">
        <v>6877</v>
      </c>
      <c r="P114" s="2954"/>
      <c r="Q114" s="108"/>
      <c r="R114" s="4389"/>
      <c r="S114" s="4390"/>
      <c r="T114" s="4390"/>
      <c r="U114" s="4391"/>
    </row>
    <row r="115" spans="1:21" s="43" customFormat="1" ht="3" customHeight="1">
      <c r="A115" s="151"/>
      <c r="B115" s="104"/>
      <c r="D115" s="41"/>
      <c r="H115" s="45"/>
      <c r="I115" s="49"/>
      <c r="J115" s="48"/>
      <c r="K115" s="48"/>
      <c r="M115" s="2648"/>
      <c r="N115" s="439"/>
      <c r="O115" s="3"/>
      <c r="P115" s="3"/>
      <c r="Q115" s="108"/>
      <c r="R115" s="4389"/>
      <c r="S115" s="4390"/>
      <c r="T115" s="4390"/>
      <c r="U115" s="4391"/>
    </row>
    <row r="116" spans="1:21" s="43" customFormat="1" ht="13.5" customHeight="1">
      <c r="A116" s="151"/>
      <c r="B116" s="109" t="s">
        <v>3472</v>
      </c>
      <c r="D116" s="41"/>
      <c r="F116" s="4372" t="s">
        <v>3346</v>
      </c>
      <c r="G116" s="4372"/>
      <c r="H116" s="4372"/>
      <c r="I116" s="4372"/>
      <c r="J116" s="4372" t="s">
        <v>3347</v>
      </c>
      <c r="K116" s="4372"/>
      <c r="L116" s="4372"/>
      <c r="M116" s="4372"/>
      <c r="N116" s="439"/>
      <c r="O116" s="4373" t="s">
        <v>4066</v>
      </c>
      <c r="P116" s="4374"/>
      <c r="Q116" s="108"/>
      <c r="R116" s="4389"/>
      <c r="S116" s="4390"/>
      <c r="T116" s="4390"/>
      <c r="U116" s="4391"/>
    </row>
    <row r="117" spans="1:21" s="43" customFormat="1" ht="12.75" customHeight="1">
      <c r="A117" s="151"/>
      <c r="C117" s="462" t="s">
        <v>3471</v>
      </c>
      <c r="D117" s="552"/>
      <c r="E117" s="265"/>
      <c r="F117" s="4196" t="s">
        <v>7005</v>
      </c>
      <c r="G117" s="4197"/>
      <c r="H117" s="4194"/>
      <c r="I117" s="4195"/>
      <c r="J117" s="4395" t="s">
        <v>7006</v>
      </c>
      <c r="K117" s="4197"/>
      <c r="L117" s="4194"/>
      <c r="M117" s="4195"/>
      <c r="N117" s="439"/>
      <c r="Q117" s="108"/>
      <c r="R117" s="4389"/>
      <c r="S117" s="4390"/>
      <c r="T117" s="4390"/>
      <c r="U117" s="4391"/>
    </row>
    <row r="118" spans="1:21" s="43" customFormat="1" ht="12.75" customHeight="1">
      <c r="A118" s="4207" t="s">
        <v>3541</v>
      </c>
      <c r="B118" s="4207"/>
      <c r="E118" s="1252" t="s">
        <v>6387</v>
      </c>
      <c r="F118" s="4214" t="s">
        <v>6998</v>
      </c>
      <c r="G118" s="4215"/>
      <c r="H118" s="4177"/>
      <c r="I118" s="4178"/>
      <c r="J118" s="4214" t="s">
        <v>6998</v>
      </c>
      <c r="K118" s="4215"/>
      <c r="L118" s="4177"/>
      <c r="M118" s="4178"/>
      <c r="N118" s="439"/>
      <c r="O118" s="2568" t="s">
        <v>931</v>
      </c>
      <c r="P118" s="2995"/>
      <c r="Q118" s="108"/>
      <c r="R118" s="4389"/>
      <c r="S118" s="4390"/>
      <c r="T118" s="4390"/>
      <c r="U118" s="4391"/>
    </row>
    <row r="119" spans="1:21" s="43" customFormat="1" ht="12.75" customHeight="1">
      <c r="A119" s="4207"/>
      <c r="B119" s="4207"/>
      <c r="C119" s="462" t="s">
        <v>3515</v>
      </c>
      <c r="D119" s="552"/>
      <c r="E119" s="265"/>
      <c r="F119" s="4397" t="s">
        <v>7004</v>
      </c>
      <c r="G119" s="4398"/>
      <c r="H119" s="4363"/>
      <c r="I119" s="4364"/>
      <c r="J119" s="4399" t="s">
        <v>7007</v>
      </c>
      <c r="K119" s="4398"/>
      <c r="L119" s="4363"/>
      <c r="M119" s="4364"/>
      <c r="N119" s="439"/>
      <c r="O119" s="439"/>
      <c r="P119" s="439"/>
      <c r="Q119" s="108"/>
      <c r="R119" s="4389"/>
      <c r="S119" s="4390"/>
      <c r="T119" s="4390"/>
      <c r="U119" s="4391"/>
    </row>
    <row r="120" spans="1:21" s="43" customFormat="1" ht="12.75" customHeight="1">
      <c r="A120" s="4207"/>
      <c r="B120" s="4207"/>
      <c r="E120" s="1252" t="s">
        <v>3514</v>
      </c>
      <c r="F120" s="4214" t="s">
        <v>6998</v>
      </c>
      <c r="G120" s="4215"/>
      <c r="H120" s="4208"/>
      <c r="I120" s="4209"/>
      <c r="J120" s="4214" t="s">
        <v>6998</v>
      </c>
      <c r="K120" s="4215"/>
      <c r="L120" s="4208"/>
      <c r="M120" s="4209"/>
      <c r="N120" s="439"/>
      <c r="O120" s="2568" t="s">
        <v>931</v>
      </c>
      <c r="P120" s="2995"/>
      <c r="Q120" s="108"/>
      <c r="R120" s="4392"/>
      <c r="S120" s="4393"/>
      <c r="T120" s="4393"/>
      <c r="U120" s="4394"/>
    </row>
    <row r="121" spans="1:21" s="43" customFormat="1" ht="9" customHeight="1">
      <c r="A121" s="151"/>
      <c r="B121" s="104"/>
      <c r="D121" s="41"/>
      <c r="H121" s="45"/>
      <c r="I121" s="49"/>
      <c r="J121" s="48"/>
      <c r="K121" s="48"/>
      <c r="M121" s="2648"/>
      <c r="N121" s="439"/>
      <c r="O121" s="3"/>
      <c r="P121" s="3"/>
      <c r="Q121" s="108"/>
      <c r="R121" s="960"/>
      <c r="S121" s="960"/>
      <c r="T121" s="960"/>
      <c r="U121" s="960"/>
    </row>
    <row r="122" spans="1:21" s="43" customFormat="1" ht="12.6" customHeight="1">
      <c r="A122" s="483" t="s">
        <v>6382</v>
      </c>
      <c r="B122" s="104"/>
      <c r="D122" s="41"/>
      <c r="F122" s="61" t="s">
        <v>6295</v>
      </c>
      <c r="I122" s="4210" t="str">
        <f>IF(AND(O124&gt;0,O131&gt;0),"Pick A or B, not both!","")</f>
        <v/>
      </c>
      <c r="J122" s="4210"/>
      <c r="K122" s="4210" t="str">
        <f>IF(AND(P124&gt;0,P131&gt;0),"Pick A or B, not both!","")</f>
        <v/>
      </c>
      <c r="L122" s="4210"/>
      <c r="M122" s="2648"/>
      <c r="N122" s="2648"/>
      <c r="O122" s="2648"/>
      <c r="P122" s="2648"/>
      <c r="Q122" s="108"/>
      <c r="R122" s="960"/>
      <c r="S122" s="960"/>
      <c r="T122" s="960"/>
      <c r="U122" s="960"/>
    </row>
    <row r="123" spans="1:21" s="43" customFormat="1" ht="2.25" customHeight="1">
      <c r="A123" s="483"/>
      <c r="B123" s="104"/>
      <c r="D123" s="41"/>
      <c r="F123" s="61"/>
      <c r="M123" s="2648"/>
      <c r="N123" s="2648"/>
      <c r="O123" s="2648"/>
      <c r="P123" s="2648"/>
      <c r="Q123" s="108"/>
      <c r="R123" s="960"/>
      <c r="S123" s="960"/>
      <c r="T123" s="960"/>
      <c r="U123" s="960"/>
    </row>
    <row r="124" spans="1:21" s="43" customFormat="1" ht="12.6" customHeight="1">
      <c r="A124" s="142" t="s">
        <v>1892</v>
      </c>
      <c r="B124" s="163" t="s">
        <v>3369</v>
      </c>
      <c r="D124" s="41"/>
      <c r="F124" s="45" t="s">
        <v>3424</v>
      </c>
      <c r="M124" s="2648">
        <v>6</v>
      </c>
      <c r="N124" s="381" t="s">
        <v>1892</v>
      </c>
      <c r="O124" s="1688">
        <f>IF(OR($J$108="Atlanta Metro",$J$108="Other Metro"),MIN($M124,O126+O127),0)</f>
        <v>0</v>
      </c>
      <c r="P124" s="1688">
        <f>IF(OR($J$108="Atlanta Metro",$J$108="Other Metro"),MIN($M124,P126+P127),0)</f>
        <v>0</v>
      </c>
      <c r="Q124" s="108"/>
    </row>
    <row r="125" spans="1:21" s="43" customFormat="1" ht="12.6" customHeight="1">
      <c r="A125" s="142"/>
      <c r="B125" s="36" t="s">
        <v>6389</v>
      </c>
      <c r="D125" s="41"/>
      <c r="F125" s="45"/>
      <c r="M125" s="2648"/>
      <c r="N125" s="381"/>
      <c r="O125" s="2671" t="s">
        <v>6877</v>
      </c>
      <c r="P125" s="2954"/>
      <c r="Q125" s="108"/>
    </row>
    <row r="126" spans="1:21" s="401" customFormat="1" ht="36.75" customHeight="1">
      <c r="B126" s="423" t="s">
        <v>1895</v>
      </c>
      <c r="C126" s="4084" t="s">
        <v>6390</v>
      </c>
      <c r="D126" s="4084"/>
      <c r="E126" s="4084"/>
      <c r="F126" s="4084"/>
      <c r="G126" s="4084"/>
      <c r="H126" s="4084"/>
      <c r="I126" s="4198" t="s">
        <v>3513</v>
      </c>
      <c r="J126" s="4199"/>
      <c r="K126" s="4199"/>
      <c r="L126" s="4200"/>
      <c r="M126" s="479">
        <v>6</v>
      </c>
      <c r="N126" s="452" t="s">
        <v>1895</v>
      </c>
      <c r="O126" s="2569"/>
      <c r="P126" s="2996"/>
      <c r="Q126" s="1295"/>
      <c r="R126" s="892" t="s">
        <v>4264</v>
      </c>
    </row>
    <row r="127" spans="1:21" s="401" customFormat="1" ht="12" customHeight="1">
      <c r="A127" s="531" t="s">
        <v>1304</v>
      </c>
      <c r="B127" s="423" t="s">
        <v>1897</v>
      </c>
      <c r="C127" s="4084" t="s">
        <v>6384</v>
      </c>
      <c r="D127" s="4084"/>
      <c r="E127" s="4084"/>
      <c r="F127" s="4084"/>
      <c r="G127" s="534"/>
      <c r="I127" s="4201"/>
      <c r="J127" s="4202"/>
      <c r="K127" s="4202"/>
      <c r="L127" s="4203"/>
      <c r="M127" s="72">
        <v>5</v>
      </c>
      <c r="N127" s="421" t="s">
        <v>1897</v>
      </c>
      <c r="O127" s="2570"/>
      <c r="P127" s="2997"/>
      <c r="Q127" s="1295"/>
      <c r="R127" s="892" t="s">
        <v>4264</v>
      </c>
    </row>
    <row r="128" spans="1:21" s="401" customFormat="1" ht="12" customHeight="1">
      <c r="B128" s="423"/>
      <c r="C128" s="4084"/>
      <c r="D128" s="4084"/>
      <c r="E128" s="4084"/>
      <c r="F128" s="4084"/>
      <c r="G128" s="4006" t="s">
        <v>6388</v>
      </c>
      <c r="H128" s="4193"/>
      <c r="I128" s="4201"/>
      <c r="J128" s="4202"/>
      <c r="K128" s="4202"/>
      <c r="L128" s="4203"/>
      <c r="M128" s="4188" t="str">
        <f>IF(AND(O127&gt;0,O126&gt;0),"Pick A1 or A2!","")</f>
        <v/>
      </c>
      <c r="N128" s="4189"/>
      <c r="O128" s="4189"/>
      <c r="P128" s="4189"/>
      <c r="Q128" s="1295"/>
      <c r="R128" s="1260" t="s">
        <v>6566</v>
      </c>
      <c r="S128" s="1260" t="s">
        <v>6383</v>
      </c>
    </row>
    <row r="129" spans="1:21" s="401" customFormat="1" ht="12" customHeight="1">
      <c r="B129" s="423"/>
      <c r="C129" s="4084"/>
      <c r="D129" s="4084"/>
      <c r="E129" s="4084"/>
      <c r="F129" s="4084"/>
      <c r="G129" s="2571"/>
      <c r="H129" s="2998"/>
      <c r="I129" s="4201"/>
      <c r="J129" s="4202"/>
      <c r="K129" s="4202"/>
      <c r="L129" s="4203"/>
      <c r="Q129" s="895"/>
      <c r="R129" s="1626">
        <v>0.25</v>
      </c>
      <c r="S129" s="1626">
        <v>5</v>
      </c>
    </row>
    <row r="130" spans="1:21" s="401" customFormat="1" ht="12" customHeight="1">
      <c r="B130" s="423"/>
      <c r="C130" s="4084"/>
      <c r="D130" s="4084"/>
      <c r="E130" s="4084"/>
      <c r="F130" s="4084"/>
      <c r="G130" s="1673"/>
      <c r="H130" s="1673"/>
      <c r="I130" s="4204"/>
      <c r="J130" s="4205"/>
      <c r="K130" s="4205"/>
      <c r="L130" s="4206"/>
      <c r="M130" s="101"/>
      <c r="N130" s="101"/>
      <c r="O130" s="101"/>
      <c r="P130" s="101"/>
      <c r="Q130" s="895"/>
      <c r="R130" s="1626">
        <v>0.5</v>
      </c>
      <c r="S130" s="1626">
        <v>4.5</v>
      </c>
    </row>
    <row r="131" spans="1:21" s="401" customFormat="1" ht="12" customHeight="1">
      <c r="A131" s="142" t="s">
        <v>1894</v>
      </c>
      <c r="B131" s="972" t="s">
        <v>3370</v>
      </c>
      <c r="C131" s="573"/>
      <c r="D131" s="573"/>
      <c r="F131" s="959" t="s">
        <v>3423</v>
      </c>
      <c r="I131" s="4183" t="s">
        <v>6999</v>
      </c>
      <c r="J131" s="4184"/>
      <c r="K131" s="4184"/>
      <c r="L131" s="4403" t="s">
        <v>7002</v>
      </c>
      <c r="M131" s="2648">
        <v>3</v>
      </c>
      <c r="N131" s="439" t="s">
        <v>1894</v>
      </c>
      <c r="O131" s="894">
        <f>IF(OR($J$108="Atlanta Metro",$J$108="Other Metro"),MIN($M131,O134+O135+O136),0)</f>
        <v>0</v>
      </c>
      <c r="P131" s="894">
        <f>IF(OR($J$108="Atlanta Metro",$J$108="Other Metro"),MIN($M131,P134+P135+P136),0)</f>
        <v>0</v>
      </c>
      <c r="Q131" s="480"/>
      <c r="R131" s="1627">
        <v>1</v>
      </c>
      <c r="S131" s="1627">
        <v>4</v>
      </c>
    </row>
    <row r="132" spans="1:21" s="43" customFormat="1" ht="11.25" customHeight="1">
      <c r="A132" s="151"/>
      <c r="B132" s="378" t="s">
        <v>3394</v>
      </c>
      <c r="C132" s="170" t="s">
        <v>3982</v>
      </c>
      <c r="D132" s="961"/>
      <c r="F132" s="101"/>
      <c r="G132" s="101"/>
      <c r="H132" s="45"/>
      <c r="I132" s="4185"/>
      <c r="J132" s="4186"/>
      <c r="K132" s="4186"/>
      <c r="L132" s="4404"/>
      <c r="M132" s="101"/>
      <c r="N132" s="378" t="s">
        <v>3394</v>
      </c>
      <c r="O132" s="2500" t="s">
        <v>2768</v>
      </c>
      <c r="P132" s="2964"/>
      <c r="Q132" s="108"/>
      <c r="R132" s="380"/>
      <c r="S132" s="401"/>
      <c r="T132" s="401"/>
      <c r="U132" s="401"/>
    </row>
    <row r="133" spans="1:21" s="43" customFormat="1" ht="11.25" customHeight="1">
      <c r="A133" s="151"/>
      <c r="B133" s="378" t="s">
        <v>3395</v>
      </c>
      <c r="C133" s="170" t="s">
        <v>3981</v>
      </c>
      <c r="D133" s="961"/>
      <c r="F133" s="101"/>
      <c r="G133" s="101"/>
      <c r="H133" s="45"/>
      <c r="I133" s="4292" t="s">
        <v>7003</v>
      </c>
      <c r="J133" s="4293"/>
      <c r="K133" s="4293"/>
      <c r="L133" s="4294"/>
      <c r="M133" s="101"/>
      <c r="N133" s="378" t="s">
        <v>3395</v>
      </c>
      <c r="O133" s="2671" t="s">
        <v>6877</v>
      </c>
      <c r="P133" s="2954"/>
      <c r="Q133" s="108"/>
      <c r="R133" s="380"/>
      <c r="S133" s="401"/>
      <c r="T133" s="401"/>
      <c r="U133" s="401"/>
    </row>
    <row r="134" spans="1:21" s="401" customFormat="1" ht="12" customHeight="1">
      <c r="A134" s="137"/>
      <c r="B134" s="1319" t="s">
        <v>1895</v>
      </c>
      <c r="C134" s="3958" t="s">
        <v>3469</v>
      </c>
      <c r="D134" s="3958"/>
      <c r="E134" s="3958"/>
      <c r="F134" s="3958"/>
      <c r="G134" s="3958"/>
      <c r="H134" s="4396"/>
      <c r="I134" s="4295"/>
      <c r="J134" s="4296"/>
      <c r="K134" s="4296"/>
      <c r="L134" s="4297"/>
      <c r="M134" s="72">
        <v>3</v>
      </c>
      <c r="N134" s="421" t="s">
        <v>1895</v>
      </c>
      <c r="O134" s="2563"/>
      <c r="P134" s="2999"/>
      <c r="Q134" s="895" t="str">
        <f>IF(OR($O134=$M134,$O134=0,$O134=""),"","*CHECK!*")</f>
        <v/>
      </c>
      <c r="R134" s="892" t="s">
        <v>4264</v>
      </c>
    </row>
    <row r="135" spans="1:21" s="43" customFormat="1" ht="12" customHeight="1">
      <c r="A135" s="531" t="s">
        <v>1304</v>
      </c>
      <c r="B135" s="1319" t="s">
        <v>1897</v>
      </c>
      <c r="C135" s="3958" t="s">
        <v>3470</v>
      </c>
      <c r="D135" s="3958"/>
      <c r="E135" s="3958"/>
      <c r="F135" s="3958"/>
      <c r="G135" s="3958"/>
      <c r="H135" s="4396"/>
      <c r="I135" s="4292" t="s">
        <v>7000</v>
      </c>
      <c r="J135" s="4293"/>
      <c r="K135" s="4293"/>
      <c r="L135" s="4294"/>
      <c r="M135" s="72">
        <v>2</v>
      </c>
      <c r="N135" s="421" t="s">
        <v>1897</v>
      </c>
      <c r="O135" s="2563"/>
      <c r="P135" s="2989"/>
      <c r="Q135" s="895" t="str">
        <f>IF(OR($O135=$M135,$O135=0,$O135=""),"","*CHECK!*")</f>
        <v/>
      </c>
      <c r="R135" s="892" t="s">
        <v>4264</v>
      </c>
    </row>
    <row r="136" spans="1:21" s="43" customFormat="1" ht="21.75" customHeight="1">
      <c r="A136" s="1715" t="s">
        <v>1304</v>
      </c>
      <c r="B136" s="1716" t="s">
        <v>2415</v>
      </c>
      <c r="C136" s="4084" t="s">
        <v>6548</v>
      </c>
      <c r="D136" s="4084"/>
      <c r="E136" s="4084"/>
      <c r="F136" s="4084"/>
      <c r="G136" s="4084"/>
      <c r="H136" s="3998"/>
      <c r="I136" s="4295"/>
      <c r="J136" s="4296"/>
      <c r="K136" s="4296"/>
      <c r="L136" s="4297"/>
      <c r="M136" s="479">
        <v>1</v>
      </c>
      <c r="N136" s="452" t="s">
        <v>2415</v>
      </c>
      <c r="O136" s="2572"/>
      <c r="P136" s="3000"/>
      <c r="Q136" s="895" t="str">
        <f>IF(OR($O136=$M136,$O136=0,$O136=""),"","*CHECK!*")</f>
        <v/>
      </c>
      <c r="R136" s="892" t="s">
        <v>4264</v>
      </c>
    </row>
    <row r="137" spans="1:21" s="43" customFormat="1" ht="12.6" customHeight="1">
      <c r="A137" s="483" t="s">
        <v>2607</v>
      </c>
      <c r="B137" s="163"/>
      <c r="E137" s="41"/>
      <c r="I137" s="4292" t="s">
        <v>7001</v>
      </c>
      <c r="J137" s="4293"/>
      <c r="K137" s="4293"/>
      <c r="L137" s="4294"/>
      <c r="M137" s="72"/>
      <c r="N137" s="72"/>
      <c r="O137" s="72"/>
      <c r="P137" s="72"/>
      <c r="Q137" s="367"/>
      <c r="R137" s="367"/>
    </row>
    <row r="138" spans="1:21" s="101" customFormat="1" ht="12" customHeight="1">
      <c r="A138" s="137"/>
      <c r="B138" s="423" t="s">
        <v>1178</v>
      </c>
      <c r="C138" s="163" t="s">
        <v>6391</v>
      </c>
      <c r="D138" s="163"/>
      <c r="E138" s="163"/>
      <c r="F138" s="163"/>
      <c r="G138" s="163"/>
      <c r="H138" s="163"/>
      <c r="I138" s="4298"/>
      <c r="J138" s="4299"/>
      <c r="K138" s="4299"/>
      <c r="L138" s="4300"/>
      <c r="M138" s="72">
        <v>2</v>
      </c>
      <c r="N138" s="421" t="s">
        <v>1178</v>
      </c>
      <c r="O138" s="2573">
        <v>2</v>
      </c>
      <c r="P138" s="3001"/>
      <c r="Q138" s="895" t="str">
        <f>IF(OR($O138=$M138,$O138=0,$O138=""),"","*CHECK!*")</f>
        <v/>
      </c>
      <c r="R138" s="892" t="s">
        <v>4264</v>
      </c>
    </row>
    <row r="139" spans="1:21" s="101" customFormat="1" ht="12" customHeight="1">
      <c r="A139" s="137"/>
      <c r="B139" s="423"/>
      <c r="C139" s="163" t="s">
        <v>6392</v>
      </c>
      <c r="D139" s="163"/>
      <c r="E139" s="163"/>
      <c r="F139" s="163"/>
      <c r="G139" s="163"/>
      <c r="H139" s="163"/>
      <c r="I139" s="163"/>
      <c r="J139" s="163"/>
      <c r="K139" s="163"/>
      <c r="L139" s="163"/>
      <c r="M139" s="163"/>
      <c r="N139" s="163"/>
      <c r="O139" s="163"/>
      <c r="P139" s="163"/>
      <c r="Q139" s="895"/>
      <c r="R139" s="973"/>
    </row>
    <row r="140" spans="1:21" s="43" customFormat="1" ht="12.6" customHeight="1">
      <c r="A140" s="36" t="s">
        <v>3516</v>
      </c>
      <c r="B140" s="163"/>
      <c r="E140" s="41"/>
      <c r="K140" s="48"/>
      <c r="M140" s="72"/>
      <c r="N140" s="72"/>
      <c r="O140" s="72"/>
      <c r="P140" s="72"/>
      <c r="Q140" s="367"/>
      <c r="R140" s="367"/>
    </row>
    <row r="141" spans="1:21" s="43" customFormat="1" ht="11.25" customHeight="1" thickBot="1">
      <c r="A141" s="42"/>
      <c r="B141" s="1007" t="s">
        <v>3373</v>
      </c>
      <c r="C141" s="42"/>
      <c r="D141" s="48"/>
      <c r="E141" s="48"/>
      <c r="F141" s="48"/>
      <c r="G141" s="48"/>
      <c r="H141" s="36"/>
      <c r="K141" s="48"/>
      <c r="M141" s="46"/>
      <c r="N141" s="62"/>
      <c r="O141" s="3"/>
      <c r="P141" s="2652"/>
    </row>
    <row r="142" spans="1:21" s="43" customFormat="1" ht="29.25" customHeight="1" thickTop="1" thickBot="1">
      <c r="A142" s="4211" t="s">
        <v>7008</v>
      </c>
      <c r="B142" s="4212"/>
      <c r="C142" s="4212"/>
      <c r="D142" s="4212"/>
      <c r="E142" s="4212"/>
      <c r="F142" s="4212"/>
      <c r="G142" s="4212"/>
      <c r="H142" s="4212"/>
      <c r="I142" s="4212"/>
      <c r="J142" s="4212"/>
      <c r="K142" s="4212"/>
      <c r="L142" s="4212"/>
      <c r="M142" s="4212"/>
      <c r="N142" s="4212"/>
      <c r="O142" s="4212"/>
      <c r="P142" s="4213"/>
      <c r="Q142" s="933" t="s">
        <v>1208</v>
      </c>
      <c r="R142" s="428"/>
    </row>
    <row r="143" spans="1:21" s="101" customFormat="1" ht="11.45" customHeight="1" thickTop="1">
      <c r="A143" s="42"/>
      <c r="B143" s="96" t="s">
        <v>1779</v>
      </c>
      <c r="C143" s="42"/>
      <c r="D143" s="96"/>
      <c r="E143" s="2659"/>
      <c r="F143" s="2659"/>
      <c r="G143" s="2659"/>
      <c r="H143" s="2659"/>
      <c r="I143" s="2659"/>
      <c r="J143" s="2659"/>
      <c r="K143" s="2659"/>
      <c r="L143" s="2659"/>
      <c r="M143" s="2659"/>
      <c r="N143" s="92"/>
      <c r="O143" s="767"/>
      <c r="P143" s="2648"/>
      <c r="Q143" s="414"/>
    </row>
    <row r="144" spans="1:21" s="43" customFormat="1" ht="11.25" customHeight="1">
      <c r="A144" s="3968"/>
      <c r="B144" s="3969"/>
      <c r="C144" s="3969"/>
      <c r="D144" s="3969"/>
      <c r="E144" s="3969"/>
      <c r="F144" s="3969"/>
      <c r="G144" s="3969"/>
      <c r="H144" s="3969"/>
      <c r="I144" s="3969"/>
      <c r="J144" s="3969"/>
      <c r="K144" s="3969"/>
      <c r="L144" s="3969"/>
      <c r="M144" s="3969"/>
      <c r="N144" s="3969"/>
      <c r="O144" s="3969"/>
      <c r="P144" s="3970"/>
      <c r="Q144" s="427"/>
    </row>
    <row r="145" spans="1:19" ht="3" customHeight="1">
      <c r="B145" s="115"/>
      <c r="C145" s="115"/>
      <c r="D145" s="115"/>
      <c r="E145" s="115"/>
      <c r="R145" s="43"/>
    </row>
    <row r="146" spans="1:19" s="43" customFormat="1" ht="3" customHeight="1" thickBot="1">
      <c r="A146" s="42"/>
      <c r="C146" s="2655"/>
      <c r="D146" s="2655"/>
      <c r="E146" s="2655"/>
      <c r="F146" s="2655"/>
      <c r="G146" s="2655"/>
      <c r="H146" s="2655"/>
      <c r="I146" s="2655"/>
      <c r="J146" s="2655"/>
      <c r="K146" s="2655"/>
      <c r="L146" s="2655"/>
      <c r="M146" s="2655"/>
      <c r="N146" s="74"/>
      <c r="O146" s="70"/>
      <c r="P146" s="777"/>
    </row>
    <row r="147" spans="1:19" s="43" customFormat="1" ht="13.5" customHeight="1" thickBot="1">
      <c r="A147" s="151" t="s">
        <v>742</v>
      </c>
      <c r="B147" s="105" t="s">
        <v>6393</v>
      </c>
      <c r="C147" s="2655"/>
      <c r="D147" s="2655"/>
      <c r="E147" s="2655"/>
      <c r="G147" s="1707" t="s">
        <v>3985</v>
      </c>
      <c r="H147" s="1708" t="str">
        <f>'Part I-Project Information'!$H$77</f>
        <v>Family</v>
      </c>
      <c r="M147" s="777">
        <v>3</v>
      </c>
      <c r="N147" s="74"/>
      <c r="O147" s="2574"/>
      <c r="P147" s="3002"/>
      <c r="Q147" s="1295" t="str">
        <f>IF(OR($O147&lt;=$M147,$O147=0,$O147=""),"","*CHECK!*")</f>
        <v/>
      </c>
      <c r="R147" s="1690" t="s">
        <v>422</v>
      </c>
      <c r="S147" s="892" t="s">
        <v>4264</v>
      </c>
    </row>
    <row r="148" spans="1:19" ht="18.75" customHeight="1">
      <c r="C148" s="2575" t="s">
        <v>6562</v>
      </c>
      <c r="F148" s="2575"/>
      <c r="G148" s="2575"/>
      <c r="H148" s="2575"/>
      <c r="I148" s="2576"/>
      <c r="J148" s="2577"/>
      <c r="K148" s="2578"/>
      <c r="L148" s="2579"/>
      <c r="M148" s="2561"/>
      <c r="N148" s="27"/>
      <c r="O148" s="27"/>
      <c r="P148" s="27"/>
    </row>
    <row r="149" spans="1:19" ht="12" customHeight="1">
      <c r="B149" s="2580"/>
      <c r="C149" s="2580"/>
      <c r="D149" s="2580"/>
      <c r="E149" s="2580"/>
      <c r="H149" s="4179" t="s">
        <v>6572</v>
      </c>
      <c r="I149" s="4179"/>
      <c r="J149" s="4179"/>
      <c r="K149" s="4179" t="s">
        <v>6573</v>
      </c>
      <c r="L149" s="4179"/>
      <c r="M149" s="2561"/>
      <c r="N149" s="27"/>
    </row>
    <row r="150" spans="1:19" ht="12" customHeight="1">
      <c r="B150" s="2580"/>
      <c r="C150" s="2580"/>
      <c r="D150" s="2580"/>
      <c r="E150" s="2580"/>
      <c r="H150" s="4179"/>
      <c r="I150" s="4179"/>
      <c r="J150" s="4179"/>
      <c r="K150" s="4179"/>
      <c r="L150" s="4179"/>
      <c r="M150" s="2561"/>
      <c r="N150" s="27"/>
    </row>
    <row r="151" spans="1:19" ht="12" customHeight="1">
      <c r="B151" s="2561"/>
      <c r="C151" s="2581" t="s">
        <v>6837</v>
      </c>
      <c r="D151" s="1674"/>
      <c r="E151" s="2561"/>
      <c r="H151" s="4179"/>
      <c r="I151" s="4179"/>
      <c r="J151" s="4179"/>
      <c r="K151" s="4179"/>
      <c r="L151" s="4179"/>
      <c r="M151" s="2561"/>
      <c r="N151" s="27"/>
    </row>
    <row r="152" spans="1:19">
      <c r="B152" s="2582"/>
      <c r="C152" s="4308"/>
      <c r="D152" s="4309"/>
      <c r="E152" s="4309"/>
      <c r="F152" s="4309"/>
      <c r="G152" s="4310"/>
      <c r="H152" s="4170"/>
      <c r="I152" s="4170"/>
      <c r="J152" s="4170"/>
      <c r="K152" s="4170"/>
      <c r="L152" s="4170"/>
      <c r="M152" s="2958"/>
      <c r="N152" s="27"/>
    </row>
    <row r="153" spans="1:19">
      <c r="B153" s="2582"/>
      <c r="C153" s="4305"/>
      <c r="D153" s="4306"/>
      <c r="E153" s="4306"/>
      <c r="F153" s="4306"/>
      <c r="G153" s="4307"/>
      <c r="H153" s="4311"/>
      <c r="I153" s="4311"/>
      <c r="J153" s="4311"/>
      <c r="K153" s="4311"/>
      <c r="L153" s="4311"/>
      <c r="M153" s="2953"/>
      <c r="N153" s="27"/>
    </row>
    <row r="154" spans="1:19" ht="15">
      <c r="B154" s="2582"/>
      <c r="C154" s="4305"/>
      <c r="D154" s="4306"/>
      <c r="E154" s="4306"/>
      <c r="F154" s="4306"/>
      <c r="G154" s="4307"/>
      <c r="H154" s="4311"/>
      <c r="I154" s="4311"/>
      <c r="J154" s="4311"/>
      <c r="K154" s="4311"/>
      <c r="L154" s="4311"/>
      <c r="M154" s="2953"/>
      <c r="N154" s="2561"/>
    </row>
    <row r="155" spans="1:19" ht="15">
      <c r="B155" s="2582"/>
      <c r="C155" s="4305"/>
      <c r="D155" s="4306"/>
      <c r="E155" s="4306"/>
      <c r="F155" s="4306"/>
      <c r="G155" s="4307"/>
      <c r="H155" s="4311"/>
      <c r="I155" s="4311"/>
      <c r="J155" s="4311"/>
      <c r="K155" s="4311"/>
      <c r="L155" s="4311"/>
      <c r="M155" s="2953"/>
      <c r="N155" s="2561"/>
    </row>
    <row r="156" spans="1:19" ht="15">
      <c r="B156" s="2582"/>
      <c r="C156" s="4305"/>
      <c r="D156" s="4306"/>
      <c r="E156" s="4306"/>
      <c r="F156" s="4306"/>
      <c r="G156" s="4307"/>
      <c r="H156" s="4311"/>
      <c r="I156" s="4311"/>
      <c r="J156" s="4311"/>
      <c r="K156" s="4311"/>
      <c r="L156" s="4311"/>
      <c r="M156" s="2953"/>
      <c r="N156" s="2561"/>
    </row>
    <row r="157" spans="1:19" ht="15">
      <c r="B157" s="2582"/>
      <c r="C157" s="4423"/>
      <c r="D157" s="4424"/>
      <c r="E157" s="4424"/>
      <c r="F157" s="4424"/>
      <c r="G157" s="4425"/>
      <c r="H157" s="4282"/>
      <c r="I157" s="4282"/>
      <c r="J157" s="4282"/>
      <c r="K157" s="4282"/>
      <c r="L157" s="4282"/>
      <c r="M157" s="2954"/>
      <c r="N157" s="2561"/>
    </row>
    <row r="158" spans="1:19" s="43" customFormat="1" ht="10.5" customHeight="1" thickBot="1">
      <c r="A158" s="42"/>
      <c r="B158" s="1007" t="s">
        <v>3373</v>
      </c>
      <c r="C158" s="42"/>
      <c r="D158" s="48"/>
      <c r="E158" s="48"/>
      <c r="F158" s="48"/>
      <c r="G158" s="48"/>
      <c r="H158" s="36"/>
      <c r="I158" s="36"/>
      <c r="J158" s="36"/>
      <c r="K158" s="36"/>
      <c r="M158" s="46"/>
      <c r="N158" s="62"/>
      <c r="O158" s="3"/>
      <c r="P158" s="2652"/>
    </row>
    <row r="159" spans="1:19" s="43" customFormat="1" ht="21.75" customHeight="1" thickTop="1" thickBot="1">
      <c r="A159" s="4211" t="s">
        <v>7009</v>
      </c>
      <c r="B159" s="4212"/>
      <c r="C159" s="4212"/>
      <c r="D159" s="4212"/>
      <c r="E159" s="4212"/>
      <c r="F159" s="4212"/>
      <c r="G159" s="4212"/>
      <c r="H159" s="4212"/>
      <c r="I159" s="4212"/>
      <c r="J159" s="4212"/>
      <c r="K159" s="4212"/>
      <c r="L159" s="4212"/>
      <c r="M159" s="4212"/>
      <c r="N159" s="4212"/>
      <c r="O159" s="4212"/>
      <c r="P159" s="4213"/>
      <c r="Q159" s="933" t="s">
        <v>1208</v>
      </c>
    </row>
    <row r="160" spans="1:19" s="43" customFormat="1" ht="10.5" customHeight="1" thickTop="1">
      <c r="A160" s="42"/>
      <c r="B160" s="85" t="s">
        <v>1779</v>
      </c>
      <c r="C160" s="97"/>
      <c r="D160" s="85"/>
      <c r="E160" s="98"/>
      <c r="F160" s="2655"/>
      <c r="G160" s="2655"/>
      <c r="H160" s="2655"/>
      <c r="I160" s="2655"/>
      <c r="J160" s="2655"/>
      <c r="K160" s="2655"/>
      <c r="L160" s="2655"/>
      <c r="M160" s="2655"/>
      <c r="N160" s="74"/>
      <c r="O160" s="70"/>
      <c r="P160" s="2648"/>
      <c r="Q160" s="414"/>
    </row>
    <row r="161" spans="1:26" s="43" customFormat="1" ht="11.25" customHeight="1">
      <c r="A161" s="4161"/>
      <c r="B161" s="4162"/>
      <c r="C161" s="4162"/>
      <c r="D161" s="4162"/>
      <c r="E161" s="4162"/>
      <c r="F161" s="4162"/>
      <c r="G161" s="4162"/>
      <c r="H161" s="4162"/>
      <c r="I161" s="4162"/>
      <c r="J161" s="4162"/>
      <c r="K161" s="4162"/>
      <c r="L161" s="4162"/>
      <c r="M161" s="4162"/>
      <c r="N161" s="4162"/>
      <c r="O161" s="4162"/>
      <c r="P161" s="4163"/>
      <c r="Q161" s="427"/>
      <c r="U161" s="1273"/>
    </row>
    <row r="162" spans="1:26" s="43" customFormat="1" ht="3" customHeight="1" thickBot="1">
      <c r="A162" s="42"/>
      <c r="C162" s="2655"/>
      <c r="D162" s="2655"/>
      <c r="E162" s="2655"/>
      <c r="F162" s="2655"/>
      <c r="G162" s="2655"/>
      <c r="H162" s="2655"/>
      <c r="I162" s="2655"/>
      <c r="J162" s="2655"/>
      <c r="K162" s="2655"/>
      <c r="L162" s="2655"/>
      <c r="M162" s="2655"/>
      <c r="N162" s="74"/>
      <c r="O162" s="70"/>
      <c r="P162" s="777"/>
    </row>
    <row r="163" spans="1:26" s="101" customFormat="1" ht="13.5" customHeight="1" thickBot="1">
      <c r="A163" s="151" t="s">
        <v>281</v>
      </c>
      <c r="B163" s="105" t="s">
        <v>3485</v>
      </c>
      <c r="C163" s="91"/>
      <c r="D163" s="59"/>
      <c r="E163" s="59"/>
      <c r="L163" s="1732" t="str">
        <f>IF(AND(O163&gt;0,O165="",O178=""),"Indicate subtotal score(s) in A or B below!","")</f>
        <v/>
      </c>
      <c r="M163" s="2648">
        <v>7</v>
      </c>
      <c r="N163" s="7"/>
      <c r="O163" s="1735">
        <f>O165+O178</f>
        <v>6</v>
      </c>
      <c r="P163" s="1735">
        <f>P165+P178</f>
        <v>0</v>
      </c>
      <c r="Q163" s="108" t="s">
        <v>422</v>
      </c>
      <c r="R163" s="892"/>
      <c r="S163" s="1712"/>
      <c r="T163" s="1712"/>
      <c r="U163" s="1712"/>
    </row>
    <row r="164" spans="1:26" s="43" customFormat="1" ht="2.25" customHeight="1">
      <c r="A164" s="416"/>
      <c r="C164" s="163"/>
      <c r="D164" s="163"/>
      <c r="E164" s="170"/>
      <c r="F164" s="163"/>
      <c r="G164" s="163"/>
      <c r="H164" s="163"/>
      <c r="I164" s="163"/>
      <c r="J164" s="163"/>
      <c r="K164" s="163"/>
      <c r="L164" s="163"/>
      <c r="M164" s="163"/>
      <c r="N164" s="163"/>
      <c r="O164" s="163"/>
      <c r="P164" s="163"/>
      <c r="R164" s="1712"/>
      <c r="S164" s="1712"/>
      <c r="T164" s="1712"/>
      <c r="U164" s="1712"/>
    </row>
    <row r="165" spans="1:26" s="43" customFormat="1" ht="12" customHeight="1">
      <c r="A165" s="137" t="s">
        <v>1892</v>
      </c>
      <c r="B165" s="175" t="s">
        <v>6427</v>
      </c>
      <c r="C165" s="163"/>
      <c r="D165" s="163"/>
      <c r="E165" s="163"/>
      <c r="F165" s="163"/>
      <c r="G165" s="163"/>
      <c r="H165" s="163"/>
      <c r="I165" s="163"/>
      <c r="J165" s="163"/>
      <c r="K165" s="163"/>
      <c r="L165" s="1734" t="str">
        <f>IF( O165&gt;M165,"Check score against maximum point value!", IF(AND(O165&gt;M166,O174="",O175="",O176=""),"Indicate Additional Point score(s) in 2a, 2b or 2c below!",IF(O165&gt;2+O174+O175+O176,"Indicate all Additional Point score(s) in 2a, 2b or 2c below!",IF(AND(O165&gt;=M166,O166&lt;M166),"Additional Points cannot be awarded unless Requirements Points are awarded!",""))))</f>
        <v/>
      </c>
      <c r="M165" s="417">
        <v>5</v>
      </c>
      <c r="N165" s="439" t="s">
        <v>1892</v>
      </c>
      <c r="O165" s="1733">
        <f>MIN(M165,O166+O174+O175+O176)</f>
        <v>4</v>
      </c>
      <c r="P165" s="1733">
        <f>P166+P174+P175+P176</f>
        <v>0</v>
      </c>
      <c r="Q165" s="1295" t="str">
        <f>IF(OR($O165&lt;=$M165,$O165=""),"","*CHECK!*")</f>
        <v/>
      </c>
      <c r="R165" s="892"/>
      <c r="S165" s="1712"/>
      <c r="T165" s="1712"/>
      <c r="U165" s="1712"/>
    </row>
    <row r="166" spans="1:26" s="43" customFormat="1" ht="12.75" customHeight="1">
      <c r="A166" s="416"/>
      <c r="B166" s="1319" t="s">
        <v>1895</v>
      </c>
      <c r="C166" s="133" t="s">
        <v>6571</v>
      </c>
      <c r="D166" s="163"/>
      <c r="E166" s="163"/>
      <c r="F166" s="163"/>
      <c r="G166" s="163"/>
      <c r="H166" s="163"/>
      <c r="I166" s="163"/>
      <c r="J166" s="163"/>
      <c r="K166" s="163"/>
      <c r="L166" s="163"/>
      <c r="M166" s="417">
        <v>2</v>
      </c>
      <c r="N166" s="903" t="s">
        <v>1658</v>
      </c>
      <c r="O166" s="2583">
        <v>2</v>
      </c>
      <c r="P166" s="3003"/>
      <c r="Q166" s="1295" t="str">
        <f>IF(OR($O166=$M166,$O166=0,$O166=""),"","*CHECK!*")</f>
        <v/>
      </c>
      <c r="R166" s="892" t="s">
        <v>4264</v>
      </c>
      <c r="S166" s="1712"/>
      <c r="T166" s="1712"/>
      <c r="U166" s="1712"/>
    </row>
    <row r="167" spans="1:26" s="383" customFormat="1" ht="12" customHeight="1">
      <c r="B167" s="903" t="s">
        <v>2323</v>
      </c>
      <c r="C167" s="4219" t="s">
        <v>6424</v>
      </c>
      <c r="D167" s="4219"/>
      <c r="E167" s="4219"/>
      <c r="F167" s="4219"/>
      <c r="G167" s="4219"/>
      <c r="H167" s="4219"/>
      <c r="I167" s="4219"/>
      <c r="J167" s="4219"/>
      <c r="K167" s="4219"/>
      <c r="L167" s="903"/>
      <c r="M167" s="4289" t="s">
        <v>6301</v>
      </c>
      <c r="N167" s="4289"/>
      <c r="O167" s="4289"/>
      <c r="P167" s="4289"/>
      <c r="S167" s="1712"/>
      <c r="T167" s="1712"/>
      <c r="U167" s="1712"/>
      <c r="V167" s="1408"/>
      <c r="W167" s="1408"/>
      <c r="X167" s="1408"/>
      <c r="Y167" s="1408"/>
      <c r="Z167" s="1408"/>
    </row>
    <row r="168" spans="1:26" s="43" customFormat="1" ht="12.75" customHeight="1">
      <c r="A168" s="364"/>
      <c r="B168" s="366"/>
      <c r="C168" s="4219"/>
      <c r="D168" s="4219"/>
      <c r="E168" s="4219"/>
      <c r="F168" s="4219"/>
      <c r="G168" s="4219"/>
      <c r="H168" s="4219"/>
      <c r="I168" s="4219"/>
      <c r="J168" s="4219"/>
      <c r="K168" s="4219"/>
      <c r="L168" s="903" t="s">
        <v>2323</v>
      </c>
      <c r="M168" s="4286">
        <v>83</v>
      </c>
      <c r="N168" s="4287"/>
      <c r="O168" s="4287"/>
      <c r="P168" s="4288"/>
      <c r="S168" s="1712"/>
      <c r="T168" s="1712"/>
      <c r="U168" s="1712"/>
    </row>
    <row r="169" spans="1:26" s="33" customFormat="1" ht="12.75" customHeight="1">
      <c r="B169" s="366" t="s">
        <v>2324</v>
      </c>
      <c r="C169" s="133" t="s">
        <v>4158</v>
      </c>
      <c r="D169" s="463"/>
      <c r="E169" s="463"/>
      <c r="F169" s="463"/>
      <c r="G169" s="463"/>
      <c r="H169" s="463"/>
      <c r="L169" s="366" t="s">
        <v>2324</v>
      </c>
      <c r="M169" s="4283">
        <v>80</v>
      </c>
      <c r="N169" s="4284"/>
      <c r="O169" s="4284"/>
      <c r="P169" s="4285"/>
      <c r="S169" s="1712"/>
      <c r="T169" s="1712"/>
      <c r="U169" s="1712"/>
      <c r="V169" s="522"/>
      <c r="W169" s="522"/>
      <c r="X169" s="522"/>
      <c r="Y169" s="522"/>
      <c r="Z169" s="522"/>
    </row>
    <row r="170" spans="1:26" s="33" customFormat="1" ht="12.75" customHeight="1">
      <c r="B170" s="366" t="s">
        <v>2325</v>
      </c>
      <c r="C170" s="463" t="s">
        <v>6425</v>
      </c>
      <c r="D170" s="463"/>
      <c r="E170" s="463"/>
      <c r="F170" s="463"/>
      <c r="G170" s="463"/>
      <c r="H170" s="463"/>
      <c r="L170" s="366" t="s">
        <v>2325</v>
      </c>
      <c r="M170" s="4283">
        <v>21</v>
      </c>
      <c r="N170" s="4284"/>
      <c r="O170" s="4284"/>
      <c r="P170" s="4285"/>
      <c r="Q170" s="1402">
        <f>IF(K170="Yes",1,0)</f>
        <v>0</v>
      </c>
      <c r="S170" s="1712"/>
      <c r="T170" s="1712"/>
      <c r="U170" s="1712"/>
      <c r="V170" s="1402" t="e">
        <f>IF(#REF!="Yes",1,0)</f>
        <v>#REF!</v>
      </c>
      <c r="W170" s="522"/>
      <c r="X170" s="522"/>
      <c r="Y170" s="522"/>
      <c r="Z170" s="522"/>
    </row>
    <row r="171" spans="1:26" s="33" customFormat="1" ht="12.75" customHeight="1">
      <c r="A171" s="378"/>
      <c r="B171" s="366" t="s">
        <v>2326</v>
      </c>
      <c r="C171" s="52" t="s">
        <v>6426</v>
      </c>
      <c r="D171" s="463"/>
      <c r="E171" s="463"/>
      <c r="F171" s="463"/>
      <c r="G171" s="463"/>
      <c r="L171" s="366" t="s">
        <v>2326</v>
      </c>
      <c r="M171" s="4279">
        <v>125</v>
      </c>
      <c r="N171" s="4280"/>
      <c r="O171" s="4280"/>
      <c r="P171" s="4281"/>
      <c r="Q171" s="1402">
        <f>IF(K171="Yes",1,0)</f>
        <v>0</v>
      </c>
      <c r="S171" s="1712"/>
      <c r="T171" s="1712"/>
      <c r="U171" s="1712"/>
      <c r="V171" s="1402" t="e">
        <f>IF(#REF!="Yes",1,0)</f>
        <v>#REF!</v>
      </c>
      <c r="W171" s="522"/>
      <c r="X171" s="522"/>
      <c r="Y171" s="522"/>
      <c r="Z171" s="522"/>
    </row>
    <row r="172" spans="1:26" s="43" customFormat="1" ht="4.5" customHeight="1">
      <c r="A172" s="364"/>
      <c r="C172" s="1491"/>
      <c r="D172" s="1491"/>
      <c r="E172" s="1491"/>
      <c r="F172" s="1491"/>
      <c r="G172" s="1491"/>
      <c r="H172" s="1491"/>
      <c r="I172" s="1491"/>
      <c r="K172" s="1004"/>
      <c r="L172" s="1004"/>
      <c r="R172" s="1712"/>
      <c r="S172" s="1712"/>
      <c r="T172" s="1712"/>
      <c r="U172" s="1712"/>
    </row>
    <row r="173" spans="1:26" s="43" customFormat="1" ht="9.75" customHeight="1">
      <c r="A173" s="364"/>
      <c r="B173" s="2584" t="s">
        <v>1897</v>
      </c>
      <c r="C173" s="1006" t="s">
        <v>6549</v>
      </c>
      <c r="D173" s="1491"/>
      <c r="E173" s="1491"/>
      <c r="F173" s="1491"/>
      <c r="G173" s="1491"/>
      <c r="H173" s="1491"/>
      <c r="I173" s="1491"/>
      <c r="K173" s="1004"/>
      <c r="L173" s="1004"/>
      <c r="R173" s="1712"/>
      <c r="S173" s="1712"/>
      <c r="T173" s="1712"/>
      <c r="U173" s="1712"/>
    </row>
    <row r="174" spans="1:26">
      <c r="A174" s="478"/>
      <c r="B174" s="903" t="s">
        <v>2323</v>
      </c>
      <c r="C174" s="4241" t="s">
        <v>6430</v>
      </c>
      <c r="D174" s="4241"/>
      <c r="E174" s="4241"/>
      <c r="F174" s="4241"/>
      <c r="G174" s="4241"/>
      <c r="H174" s="4241"/>
      <c r="I174" s="4241"/>
      <c r="J174" s="4241"/>
      <c r="K174" s="4241"/>
      <c r="L174" s="4241"/>
      <c r="M174" s="971">
        <v>1</v>
      </c>
      <c r="N174" s="903" t="s">
        <v>4284</v>
      </c>
      <c r="O174" s="2585">
        <v>1</v>
      </c>
      <c r="P174" s="3004"/>
      <c r="Q174" s="1295" t="str">
        <f>IF(OR($O174=$M174,$O174=0,$O174=""),"","*CHECK!*")</f>
        <v/>
      </c>
      <c r="R174" s="892" t="s">
        <v>4264</v>
      </c>
    </row>
    <row r="175" spans="1:26" ht="36.75" customHeight="1">
      <c r="A175" s="478"/>
      <c r="B175" s="379" t="s">
        <v>2324</v>
      </c>
      <c r="C175" s="4241" t="s">
        <v>6431</v>
      </c>
      <c r="D175" s="4241"/>
      <c r="E175" s="4241"/>
      <c r="F175" s="4241"/>
      <c r="G175" s="4241"/>
      <c r="H175" s="4241"/>
      <c r="I175" s="4241"/>
      <c r="J175" s="4241"/>
      <c r="K175" s="4241"/>
      <c r="L175" s="4241"/>
      <c r="M175" s="971">
        <v>1</v>
      </c>
      <c r="N175" s="903" t="s">
        <v>6563</v>
      </c>
      <c r="O175" s="2586">
        <v>1</v>
      </c>
      <c r="P175" s="3005"/>
      <c r="Q175" s="1295" t="str">
        <f>IF(OR($O175=$M175,$O175=0,$O175=""),"","*CHECK!*")</f>
        <v/>
      </c>
      <c r="R175" s="892" t="s">
        <v>4264</v>
      </c>
    </row>
    <row r="176" spans="1:26" ht="12" customHeight="1">
      <c r="A176" s="478"/>
      <c r="B176" s="366" t="s">
        <v>2325</v>
      </c>
      <c r="C176" s="898" t="s">
        <v>6565</v>
      </c>
      <c r="D176" s="902"/>
      <c r="E176" s="902"/>
      <c r="F176" s="902"/>
      <c r="G176" s="902"/>
      <c r="H176" s="902"/>
      <c r="I176" s="902"/>
      <c r="J176" s="902"/>
      <c r="K176" s="902"/>
      <c r="L176" s="902"/>
      <c r="M176" s="2660">
        <v>1</v>
      </c>
      <c r="N176" s="378" t="s">
        <v>6564</v>
      </c>
      <c r="O176" s="2587"/>
      <c r="P176" s="3006"/>
      <c r="Q176" s="1295" t="str">
        <f>IF(OR($O176=$M176,$O176=0,$O176=""),"","*CHECK!*")</f>
        <v/>
      </c>
      <c r="R176" s="892" t="s">
        <v>4264</v>
      </c>
    </row>
    <row r="177" spans="1:23" ht="4.5" customHeight="1">
      <c r="A177" s="478"/>
      <c r="B177" s="449"/>
      <c r="C177" s="898"/>
      <c r="D177" s="898"/>
      <c r="E177" s="898"/>
      <c r="F177" s="898"/>
      <c r="G177" s="898"/>
      <c r="H177" s="898"/>
      <c r="M177" s="1293"/>
      <c r="N177" s="27"/>
      <c r="O177" s="27"/>
      <c r="P177" s="27"/>
      <c r="R177" s="157"/>
    </row>
    <row r="178" spans="1:23" ht="12.75" customHeight="1">
      <c r="A178" s="137" t="s">
        <v>1894</v>
      </c>
      <c r="B178" s="175" t="s">
        <v>3986</v>
      </c>
      <c r="D178" s="33"/>
      <c r="F178" s="1275"/>
      <c r="K178" s="985"/>
      <c r="L178" s="367" t="str">
        <f>IF(OR($O178=$M178,$O178=0,$O178=""),"","* * Check Score! * *")</f>
        <v/>
      </c>
      <c r="M178" s="417">
        <v>2</v>
      </c>
      <c r="N178" s="64" t="s">
        <v>1894</v>
      </c>
      <c r="O178" s="2573">
        <v>2</v>
      </c>
      <c r="P178" s="3007"/>
      <c r="Q178" s="895" t="str">
        <f>IF(OR($O178=$M178,$O178=0,$O178=""),"","*CHECK!*")</f>
        <v/>
      </c>
      <c r="R178" s="892" t="s">
        <v>4264</v>
      </c>
    </row>
    <row r="179" spans="1:23" s="101" customFormat="1" ht="10.5" customHeight="1" thickBot="1">
      <c r="A179" s="42"/>
      <c r="B179" s="1007" t="s">
        <v>3373</v>
      </c>
      <c r="C179" s="42"/>
      <c r="D179" s="48"/>
      <c r="E179" s="48"/>
      <c r="F179" s="48"/>
      <c r="G179" s="48"/>
      <c r="H179" s="36"/>
      <c r="I179" s="36"/>
      <c r="J179" s="36"/>
      <c r="K179" s="36"/>
      <c r="M179" s="46"/>
      <c r="N179" s="6"/>
      <c r="O179" s="3"/>
      <c r="P179" s="2648"/>
    </row>
    <row r="180" spans="1:23" s="43" customFormat="1" ht="93" customHeight="1" thickTop="1" thickBot="1">
      <c r="A180" s="4211" t="s">
        <v>7035</v>
      </c>
      <c r="B180" s="4212"/>
      <c r="C180" s="4212"/>
      <c r="D180" s="4212"/>
      <c r="E180" s="4212"/>
      <c r="F180" s="4212"/>
      <c r="G180" s="4212"/>
      <c r="H180" s="4212"/>
      <c r="I180" s="4212"/>
      <c r="J180" s="4212"/>
      <c r="K180" s="4212"/>
      <c r="L180" s="4212"/>
      <c r="M180" s="4212"/>
      <c r="N180" s="4212"/>
      <c r="O180" s="4212"/>
      <c r="P180" s="4213"/>
      <c r="Q180" s="933" t="s">
        <v>1208</v>
      </c>
    </row>
    <row r="181" spans="1:23" s="101" customFormat="1" ht="11.45" customHeight="1" thickTop="1">
      <c r="A181" s="42"/>
      <c r="B181" s="96" t="s">
        <v>1779</v>
      </c>
      <c r="C181" s="42"/>
      <c r="D181" s="96"/>
      <c r="E181" s="2659"/>
      <c r="F181" s="2659"/>
      <c r="G181" s="2659"/>
      <c r="H181" s="2659"/>
      <c r="I181" s="2659"/>
      <c r="J181" s="2659"/>
      <c r="K181" s="2659"/>
      <c r="L181" s="2659"/>
      <c r="M181" s="2659"/>
      <c r="N181" s="92"/>
      <c r="O181" s="767"/>
      <c r="P181" s="2648"/>
      <c r="Q181" s="414"/>
    </row>
    <row r="182" spans="1:23" s="43" customFormat="1" ht="11.25" customHeight="1">
      <c r="A182" s="4161"/>
      <c r="B182" s="4162"/>
      <c r="C182" s="4162"/>
      <c r="D182" s="4162"/>
      <c r="E182" s="4162"/>
      <c r="F182" s="4162"/>
      <c r="G182" s="4162"/>
      <c r="H182" s="4162"/>
      <c r="I182" s="4162"/>
      <c r="J182" s="4162"/>
      <c r="K182" s="4162"/>
      <c r="L182" s="4162"/>
      <c r="M182" s="4162"/>
      <c r="N182" s="4162"/>
      <c r="O182" s="4162"/>
      <c r="P182" s="4163"/>
      <c r="Q182" s="427"/>
    </row>
    <row r="183" spans="1:23" s="43" customFormat="1" ht="3" customHeight="1" thickBot="1">
      <c r="A183" s="42"/>
      <c r="C183" s="2655"/>
      <c r="D183" s="2655"/>
      <c r="E183" s="2655"/>
      <c r="F183" s="2655"/>
      <c r="G183" s="2655"/>
      <c r="H183" s="2655"/>
      <c r="I183" s="2655"/>
      <c r="J183" s="2655"/>
      <c r="K183" s="2655"/>
      <c r="L183" s="2655"/>
      <c r="M183" s="2655"/>
      <c r="N183" s="74"/>
      <c r="O183" s="70"/>
      <c r="P183" s="777"/>
    </row>
    <row r="184" spans="1:23" s="43" customFormat="1" ht="13.5" customHeight="1" thickBot="1">
      <c r="A184" s="151" t="s">
        <v>407</v>
      </c>
      <c r="B184" s="105" t="s">
        <v>3486</v>
      </c>
      <c r="C184" s="2655"/>
      <c r="D184" s="2655"/>
      <c r="E184" s="2655"/>
      <c r="F184" s="2655"/>
      <c r="G184" s="2655"/>
      <c r="H184" s="2655"/>
      <c r="I184" s="2655"/>
      <c r="J184" s="2655"/>
      <c r="K184" s="2655"/>
      <c r="L184" s="2655"/>
      <c r="M184" s="777">
        <v>3</v>
      </c>
      <c r="N184" s="74"/>
      <c r="O184" s="70"/>
      <c r="P184" s="965"/>
      <c r="Q184" s="108" t="s">
        <v>422</v>
      </c>
      <c r="R184" s="892" t="s">
        <v>2553</v>
      </c>
    </row>
    <row r="185" spans="1:23" s="43" customFormat="1" ht="13.5" customHeight="1">
      <c r="A185" s="151"/>
      <c r="B185" s="102" t="s">
        <v>3826</v>
      </c>
      <c r="C185" s="2655"/>
      <c r="D185" s="2655"/>
      <c r="E185" s="2655"/>
      <c r="F185" s="2655"/>
      <c r="G185" s="2655"/>
      <c r="H185" s="2655"/>
      <c r="L185" s="1276" t="str">
        <f>IF(OR(O$147&gt;0,O$199&gt;0),"Applicant is ineligible for points in this section!  Points claimed in VI or IX.","")</f>
        <v/>
      </c>
      <c r="M185" s="777"/>
      <c r="N185" s="74"/>
      <c r="O185" s="2493" t="s">
        <v>2768</v>
      </c>
      <c r="P185" s="3008"/>
      <c r="Q185" s="108"/>
      <c r="R185" s="1713"/>
      <c r="S185" s="1713"/>
      <c r="T185" s="1713"/>
      <c r="U185" s="1713"/>
    </row>
    <row r="186" spans="1:23" s="43" customFormat="1" ht="13.5" customHeight="1">
      <c r="A186" s="151"/>
      <c r="B186" s="2588" t="s">
        <v>6550</v>
      </c>
      <c r="C186" s="2655"/>
      <c r="D186" s="2655"/>
      <c r="E186" s="2655"/>
      <c r="F186" s="2655"/>
      <c r="G186" s="2655"/>
      <c r="H186" s="2655"/>
      <c r="L186" s="1276"/>
      <c r="M186" s="777"/>
      <c r="N186" s="777"/>
      <c r="O186" s="777"/>
      <c r="P186" s="777"/>
      <c r="Q186" s="108"/>
      <c r="R186" s="1713"/>
      <c r="S186" s="1713"/>
      <c r="T186" s="1713"/>
      <c r="U186" s="1713"/>
    </row>
    <row r="187" spans="1:23" ht="11.45" customHeight="1">
      <c r="A187" s="137" t="s">
        <v>719</v>
      </c>
      <c r="B187" s="175" t="s">
        <v>6469</v>
      </c>
      <c r="D187" s="33"/>
      <c r="G187" s="449"/>
      <c r="N187" s="27"/>
      <c r="O187" s="485"/>
      <c r="P187" s="485"/>
      <c r="Q187" s="2637"/>
    </row>
    <row r="188" spans="1:23" s="1407" customFormat="1" ht="12.75" customHeight="1">
      <c r="B188" s="423" t="s">
        <v>1895</v>
      </c>
      <c r="C188" s="4219" t="s">
        <v>6466</v>
      </c>
      <c r="D188" s="4219"/>
      <c r="E188" s="4219"/>
      <c r="F188" s="4219"/>
      <c r="G188" s="4219"/>
      <c r="H188" s="4219"/>
      <c r="I188" s="4219"/>
      <c r="J188" s="4219"/>
      <c r="K188" s="4219"/>
      <c r="L188" s="4219"/>
      <c r="M188" s="966" t="s">
        <v>719</v>
      </c>
      <c r="N188" s="381" t="s">
        <v>1895</v>
      </c>
      <c r="O188" s="2502" t="s">
        <v>2768</v>
      </c>
      <c r="P188" s="2967"/>
      <c r="Q188" s="1013"/>
      <c r="V188" s="1669"/>
      <c r="W188" s="1669"/>
    </row>
    <row r="189" spans="1:23" s="33" customFormat="1" ht="12.75" customHeight="1">
      <c r="A189" s="478"/>
      <c r="B189" s="423" t="s">
        <v>1897</v>
      </c>
      <c r="C189" s="419" t="s">
        <v>6467</v>
      </c>
      <c r="D189" s="848"/>
      <c r="E189" s="848"/>
      <c r="F189" s="848"/>
      <c r="G189" s="848"/>
      <c r="H189" s="848"/>
      <c r="I189" s="848"/>
      <c r="J189" s="848"/>
      <c r="K189" s="848"/>
      <c r="L189" s="848"/>
      <c r="M189" s="848"/>
      <c r="N189" s="381" t="s">
        <v>1897</v>
      </c>
      <c r="O189" s="2666" t="s">
        <v>2768</v>
      </c>
      <c r="P189" s="2953"/>
      <c r="Q189" s="901"/>
      <c r="V189" s="1008"/>
      <c r="W189" s="1008"/>
    </row>
    <row r="190" spans="1:23" s="33" customFormat="1" ht="22.5" customHeight="1">
      <c r="A190" s="478"/>
      <c r="B190" s="423" t="s">
        <v>2415</v>
      </c>
      <c r="C190" s="4241" t="s">
        <v>6470</v>
      </c>
      <c r="D190" s="4241"/>
      <c r="E190" s="4241"/>
      <c r="F190" s="4241"/>
      <c r="G190" s="4241"/>
      <c r="H190" s="4241"/>
      <c r="I190" s="4241"/>
      <c r="J190" s="4241"/>
      <c r="K190" s="4241"/>
      <c r="L190" s="4241"/>
      <c r="M190" s="899"/>
      <c r="N190" s="381" t="s">
        <v>2415</v>
      </c>
      <c r="O190" s="2658" t="s">
        <v>2768</v>
      </c>
      <c r="P190" s="2962"/>
      <c r="Q190" s="901"/>
      <c r="V190" s="1008"/>
      <c r="W190" s="1008"/>
    </row>
    <row r="191" spans="1:23" ht="11.45" customHeight="1">
      <c r="A191" s="137" t="s">
        <v>2020</v>
      </c>
      <c r="B191" s="175" t="s">
        <v>6468</v>
      </c>
      <c r="D191" s="33"/>
      <c r="G191" s="449"/>
      <c r="N191" s="27"/>
      <c r="O191" s="485"/>
      <c r="P191" s="485"/>
      <c r="Q191" s="2637"/>
    </row>
    <row r="192" spans="1:23" s="1407" customFormat="1" ht="23.25" customHeight="1">
      <c r="B192" s="423" t="s">
        <v>1895</v>
      </c>
      <c r="C192" s="4219" t="s">
        <v>6471</v>
      </c>
      <c r="D192" s="4219"/>
      <c r="E192" s="4219"/>
      <c r="F192" s="4219"/>
      <c r="G192" s="4219"/>
      <c r="H192" s="4219"/>
      <c r="I192" s="4219"/>
      <c r="J192" s="4219"/>
      <c r="K192" s="4219"/>
      <c r="L192" s="4219"/>
      <c r="M192" s="966" t="s">
        <v>2020</v>
      </c>
      <c r="N192" s="381" t="s">
        <v>1895</v>
      </c>
      <c r="O192" s="2502" t="s">
        <v>2768</v>
      </c>
      <c r="P192" s="2967"/>
      <c r="Q192" s="1013"/>
      <c r="V192" s="1669"/>
      <c r="W192" s="1669"/>
    </row>
    <row r="193" spans="1:24" s="33" customFormat="1" ht="23.25" customHeight="1">
      <c r="A193" s="478"/>
      <c r="B193" s="423" t="s">
        <v>1897</v>
      </c>
      <c r="C193" s="4241" t="s">
        <v>6551</v>
      </c>
      <c r="D193" s="4241"/>
      <c r="E193" s="4241"/>
      <c r="F193" s="4241"/>
      <c r="G193" s="4241"/>
      <c r="H193" s="4241"/>
      <c r="I193" s="4241"/>
      <c r="J193" s="4241"/>
      <c r="K193" s="4241"/>
      <c r="L193" s="4241"/>
      <c r="M193" s="848"/>
      <c r="N193" s="381" t="s">
        <v>1897</v>
      </c>
      <c r="O193" s="2658" t="s">
        <v>2768</v>
      </c>
      <c r="P193" s="2962"/>
      <c r="Q193" s="901"/>
      <c r="V193" s="1008"/>
      <c r="W193" s="1008"/>
    </row>
    <row r="194" spans="1:24" s="43" customFormat="1" ht="12" customHeight="1" thickBot="1">
      <c r="A194" s="42"/>
      <c r="B194" s="1007" t="s">
        <v>3373</v>
      </c>
      <c r="C194" s="42"/>
      <c r="D194" s="48"/>
      <c r="E194" s="48"/>
      <c r="F194" s="48"/>
      <c r="G194" s="48"/>
      <c r="H194" s="36"/>
      <c r="I194" s="133"/>
      <c r="M194" s="46"/>
      <c r="N194" s="62"/>
      <c r="O194" s="3"/>
      <c r="P194" s="2652"/>
    </row>
    <row r="195" spans="1:24" s="43" customFormat="1" ht="212.25" customHeight="1" thickTop="1" thickBot="1">
      <c r="A195" s="4247" t="s">
        <v>7015</v>
      </c>
      <c r="B195" s="4248"/>
      <c r="C195" s="4248"/>
      <c r="D195" s="4248"/>
      <c r="E195" s="4248"/>
      <c r="F195" s="4248"/>
      <c r="G195" s="4248"/>
      <c r="H195" s="4248"/>
      <c r="I195" s="4248"/>
      <c r="J195" s="4248"/>
      <c r="K195" s="4248"/>
      <c r="L195" s="4248"/>
      <c r="M195" s="4248"/>
      <c r="N195" s="4248"/>
      <c r="O195" s="4248"/>
      <c r="P195" s="4249"/>
      <c r="Q195" s="933" t="s">
        <v>1208</v>
      </c>
    </row>
    <row r="196" spans="1:24" s="43" customFormat="1" ht="10.5" customHeight="1" thickTop="1">
      <c r="A196" s="42"/>
      <c r="B196" s="85" t="s">
        <v>1779</v>
      </c>
      <c r="C196" s="42"/>
      <c r="D196" s="85"/>
      <c r="E196" s="2655"/>
      <c r="F196" s="2655"/>
      <c r="G196" s="2655"/>
      <c r="H196" s="2655"/>
      <c r="I196" s="2655"/>
      <c r="J196" s="2655"/>
      <c r="K196" s="2655"/>
      <c r="L196" s="2655"/>
      <c r="M196" s="2655"/>
      <c r="N196" s="74"/>
      <c r="O196" s="70"/>
      <c r="P196" s="2648"/>
      <c r="Q196" s="414"/>
    </row>
    <row r="197" spans="1:24" s="43" customFormat="1" ht="22.15" customHeight="1">
      <c r="A197" s="4244"/>
      <c r="B197" s="4245"/>
      <c r="C197" s="4245"/>
      <c r="D197" s="4245"/>
      <c r="E197" s="4245"/>
      <c r="F197" s="4245"/>
      <c r="G197" s="4245"/>
      <c r="H197" s="4245"/>
      <c r="I197" s="4245"/>
      <c r="J197" s="4245"/>
      <c r="K197" s="4245"/>
      <c r="L197" s="4245"/>
      <c r="M197" s="4245"/>
      <c r="N197" s="4245"/>
      <c r="O197" s="4245"/>
      <c r="P197" s="4246"/>
      <c r="Q197" s="427"/>
    </row>
    <row r="198" spans="1:24" ht="6.75" customHeight="1" thickBot="1">
      <c r="B198" s="115"/>
      <c r="C198" s="115"/>
      <c r="D198" s="115"/>
      <c r="E198" s="115"/>
      <c r="V198" s="43"/>
      <c r="W198" s="43"/>
      <c r="X198" s="43"/>
    </row>
    <row r="199" spans="1:24" s="101" customFormat="1" ht="13.5" customHeight="1" thickBot="1">
      <c r="A199" s="151" t="s">
        <v>346</v>
      </c>
      <c r="B199" s="105" t="s">
        <v>2606</v>
      </c>
      <c r="C199" s="91"/>
      <c r="D199" s="59"/>
      <c r="E199" s="59"/>
      <c r="M199" s="2648">
        <v>10</v>
      </c>
      <c r="N199" s="7"/>
      <c r="O199" s="944">
        <f>MIN($M$199,O201+O205)</f>
        <v>0</v>
      </c>
      <c r="P199" s="944">
        <f>MIN($M$199,P201+P205)</f>
        <v>0</v>
      </c>
      <c r="Q199" s="108" t="s">
        <v>422</v>
      </c>
      <c r="R199" s="892" t="s">
        <v>4264</v>
      </c>
      <c r="S199" s="1714"/>
      <c r="T199" s="1714"/>
      <c r="U199" s="1714"/>
      <c r="V199" s="43"/>
      <c r="W199" s="43"/>
      <c r="X199" s="43"/>
    </row>
    <row r="200" spans="1:24" s="101" customFormat="1" ht="3" customHeight="1">
      <c r="A200" s="151"/>
      <c r="B200" s="105"/>
      <c r="C200" s="91"/>
      <c r="D200" s="59"/>
      <c r="E200" s="59"/>
      <c r="G200" s="170"/>
      <c r="M200" s="531"/>
      <c r="Q200" s="108"/>
      <c r="S200" s="1714"/>
      <c r="T200" s="1714"/>
      <c r="U200" s="1714"/>
      <c r="V200" s="43"/>
      <c r="W200" s="43"/>
      <c r="X200" s="43"/>
    </row>
    <row r="201" spans="1:24" s="101" customFormat="1" ht="12.75" customHeight="1">
      <c r="A201" s="1671" t="s">
        <v>1892</v>
      </c>
      <c r="B201" s="764" t="s">
        <v>3987</v>
      </c>
      <c r="C201" s="91"/>
      <c r="D201" s="59"/>
      <c r="E201" s="59"/>
      <c r="K201" s="1405"/>
      <c r="M201" s="967">
        <v>5</v>
      </c>
      <c r="N201" s="378" t="s">
        <v>1892</v>
      </c>
      <c r="O201" s="2573"/>
      <c r="P201" s="3007"/>
      <c r="Q201" s="1295" t="str">
        <f>IF(O201&lt;=M201,"","*CHECK!*")</f>
        <v/>
      </c>
      <c r="R201" s="892" t="s">
        <v>4264</v>
      </c>
      <c r="S201" s="1714"/>
      <c r="T201" s="1714"/>
      <c r="U201" s="1714"/>
    </row>
    <row r="202" spans="1:24" ht="12.75" customHeight="1">
      <c r="B202" s="2589"/>
      <c r="C202" s="133" t="s">
        <v>6552</v>
      </c>
      <c r="D202" s="2590"/>
      <c r="E202" s="2591"/>
      <c r="F202" s="2591"/>
      <c r="G202" s="2590"/>
      <c r="H202" s="2590"/>
      <c r="I202" s="2590"/>
      <c r="J202" s="4237"/>
      <c r="K202" s="4238"/>
      <c r="L202" s="4239"/>
      <c r="M202" s="4240"/>
      <c r="N202" s="967"/>
      <c r="R202" s="416"/>
      <c r="S202" s="2590"/>
    </row>
    <row r="203" spans="1:24" ht="12.75" customHeight="1">
      <c r="C203" s="2592" t="s">
        <v>6553</v>
      </c>
      <c r="D203" s="418"/>
      <c r="J203" s="4234"/>
      <c r="K203" s="4235"/>
      <c r="L203" s="4235"/>
      <c r="M203" s="4236"/>
      <c r="N203" s="967"/>
      <c r="O203" s="967"/>
      <c r="P203" s="967"/>
      <c r="R203" s="101"/>
      <c r="S203" s="1714"/>
    </row>
    <row r="204" spans="1:24" ht="6" customHeight="1">
      <c r="A204" s="484"/>
      <c r="B204" s="778"/>
      <c r="C204" s="404"/>
      <c r="E204" s="115"/>
      <c r="M204" s="967"/>
      <c r="N204" s="964"/>
      <c r="O204" s="777"/>
      <c r="P204" s="777"/>
      <c r="S204" s="1714"/>
      <c r="T204" s="1714"/>
      <c r="U204" s="1714"/>
    </row>
    <row r="205" spans="1:24" s="33" customFormat="1" ht="12.75" customHeight="1">
      <c r="A205" s="1670" t="s">
        <v>1894</v>
      </c>
      <c r="B205" s="1279" t="s">
        <v>6472</v>
      </c>
      <c r="C205" s="52"/>
      <c r="E205" s="532"/>
      <c r="G205" s="2670" t="s">
        <v>6534</v>
      </c>
      <c r="H205" s="2593" t="s">
        <v>6506</v>
      </c>
      <c r="K205" s="378"/>
      <c r="L205" s="378"/>
      <c r="M205" s="967">
        <v>5</v>
      </c>
      <c r="N205" s="378" t="s">
        <v>1894</v>
      </c>
      <c r="O205" s="2573"/>
      <c r="P205" s="3007"/>
      <c r="Q205" s="1295" t="str">
        <f>IF(O205&lt;=M205,"","*CHECK!*")</f>
        <v/>
      </c>
      <c r="R205" s="892" t="s">
        <v>4264</v>
      </c>
      <c r="S205" s="1714"/>
      <c r="T205" s="1714"/>
      <c r="U205" s="1714"/>
    </row>
    <row r="206" spans="1:24" ht="7.5" customHeight="1">
      <c r="B206" s="418"/>
      <c r="C206" s="2594"/>
      <c r="D206" s="418"/>
      <c r="N206" s="967"/>
      <c r="O206" s="964"/>
      <c r="P206" s="149"/>
      <c r="Q206" s="149"/>
      <c r="R206" s="2595"/>
      <c r="S206" s="2596"/>
      <c r="T206" s="2597"/>
      <c r="U206" s="2597"/>
      <c r="V206" s="2597"/>
    </row>
    <row r="207" spans="1:24">
      <c r="C207" s="418"/>
      <c r="D207" s="2598" t="s">
        <v>6478</v>
      </c>
      <c r="E207" s="418"/>
      <c r="F207" s="4233" t="s">
        <v>6477</v>
      </c>
      <c r="G207" s="4233"/>
      <c r="H207" s="4233"/>
      <c r="I207" s="4233"/>
      <c r="J207" s="4233"/>
      <c r="K207" s="4233"/>
      <c r="L207" s="4233"/>
      <c r="M207" s="418"/>
      <c r="N207" s="27"/>
      <c r="O207" s="27"/>
      <c r="P207" s="27"/>
    </row>
    <row r="208" spans="1:24" ht="13.5" customHeight="1">
      <c r="B208" s="484"/>
      <c r="C208" s="418"/>
      <c r="D208" s="133" t="s">
        <v>6475</v>
      </c>
      <c r="E208" s="133"/>
      <c r="F208" s="4261"/>
      <c r="G208" s="4262"/>
      <c r="H208" s="4262"/>
      <c r="I208" s="4263"/>
      <c r="J208" s="4230"/>
      <c r="K208" s="4231"/>
      <c r="L208" s="4231"/>
      <c r="M208" s="4232"/>
      <c r="N208" s="27"/>
    </row>
    <row r="209" spans="1:22" ht="13.5" customHeight="1">
      <c r="C209" s="418"/>
      <c r="D209" s="133" t="s">
        <v>6476</v>
      </c>
      <c r="E209" s="133"/>
      <c r="F209" s="4257"/>
      <c r="G209" s="4258"/>
      <c r="H209" s="4258"/>
      <c r="I209" s="4259"/>
      <c r="J209" s="4227"/>
      <c r="K209" s="4228"/>
      <c r="L209" s="4228"/>
      <c r="M209" s="4229"/>
      <c r="N209" s="2599" t="str">
        <f>IF(P205&lt;=N205,"","*CHECK!*")</f>
        <v/>
      </c>
    </row>
    <row r="210" spans="1:22" ht="13.5" customHeight="1">
      <c r="B210" s="484"/>
      <c r="C210" s="418"/>
      <c r="D210" s="133" t="s">
        <v>6473</v>
      </c>
      <c r="E210" s="133"/>
      <c r="F210" s="4257"/>
      <c r="G210" s="4258"/>
      <c r="H210" s="4258"/>
      <c r="I210" s="4259"/>
      <c r="J210" s="4227"/>
      <c r="K210" s="4228"/>
      <c r="L210" s="4228"/>
      <c r="M210" s="4229"/>
      <c r="N210" s="27"/>
    </row>
    <row r="211" spans="1:22" ht="13.5" customHeight="1">
      <c r="B211" s="418"/>
      <c r="C211" s="418"/>
      <c r="D211" s="133" t="s">
        <v>6474</v>
      </c>
      <c r="E211" s="133"/>
      <c r="F211" s="4254"/>
      <c r="G211" s="4255"/>
      <c r="H211" s="4255"/>
      <c r="I211" s="4256"/>
      <c r="J211" s="4267"/>
      <c r="K211" s="4268"/>
      <c r="L211" s="4268"/>
      <c r="M211" s="4269"/>
      <c r="N211" s="418"/>
      <c r="R211" s="2595"/>
    </row>
    <row r="212" spans="1:22" ht="6" customHeight="1">
      <c r="B212" s="418"/>
      <c r="C212" s="2594"/>
      <c r="D212" s="418"/>
      <c r="N212" s="967"/>
      <c r="O212" s="964"/>
      <c r="P212" s="149"/>
      <c r="Q212" s="149"/>
      <c r="R212" s="2595"/>
      <c r="S212" s="2596"/>
      <c r="T212" s="2597"/>
      <c r="U212" s="2597"/>
      <c r="V212" s="2597"/>
    </row>
    <row r="213" spans="1:22" ht="3" customHeight="1">
      <c r="A213" s="484"/>
      <c r="B213" s="778"/>
      <c r="C213" s="404"/>
      <c r="E213" s="115"/>
      <c r="M213" s="967"/>
      <c r="N213" s="964"/>
      <c r="O213" s="777"/>
      <c r="P213" s="777"/>
    </row>
    <row r="214" spans="1:22" s="43" customFormat="1" ht="10.5" customHeight="1" thickBot="1">
      <c r="A214" s="42"/>
      <c r="B214" s="1007" t="s">
        <v>3373</v>
      </c>
      <c r="C214" s="42"/>
      <c r="D214" s="48"/>
      <c r="E214" s="48"/>
      <c r="F214" s="48"/>
      <c r="G214" s="48"/>
      <c r="H214" s="36"/>
      <c r="I214" s="36"/>
      <c r="J214" s="36"/>
      <c r="K214" s="36"/>
      <c r="M214" s="46"/>
      <c r="N214" s="62"/>
      <c r="O214" s="3"/>
      <c r="P214" s="2652"/>
    </row>
    <row r="215" spans="1:22" s="43" customFormat="1" ht="34.9" customHeight="1" thickTop="1" thickBot="1">
      <c r="A215" s="4211" t="s">
        <v>7009</v>
      </c>
      <c r="B215" s="4212"/>
      <c r="C215" s="4212"/>
      <c r="D215" s="4212"/>
      <c r="E215" s="4212"/>
      <c r="F215" s="4212"/>
      <c r="G215" s="4212"/>
      <c r="H215" s="4212"/>
      <c r="I215" s="4212"/>
      <c r="J215" s="4212"/>
      <c r="K215" s="4212"/>
      <c r="L215" s="4212"/>
      <c r="M215" s="4212"/>
      <c r="N215" s="4212"/>
      <c r="O215" s="4212"/>
      <c r="P215" s="4213"/>
      <c r="Q215" s="933" t="s">
        <v>1208</v>
      </c>
    </row>
    <row r="216" spans="1:22" ht="2.25" customHeight="1" thickTop="1">
      <c r="A216" s="484"/>
      <c r="B216" s="778"/>
      <c r="C216" s="404"/>
      <c r="E216" s="115"/>
      <c r="M216" s="967"/>
      <c r="N216" s="964"/>
      <c r="O216" s="777"/>
      <c r="P216" s="777"/>
    </row>
    <row r="217" spans="1:22" s="43" customFormat="1" ht="10.5" customHeight="1">
      <c r="A217" s="42"/>
      <c r="B217" s="85" t="s">
        <v>1779</v>
      </c>
      <c r="C217" s="42"/>
      <c r="D217" s="85"/>
      <c r="E217" s="2655"/>
      <c r="F217" s="2655"/>
      <c r="G217" s="2655"/>
      <c r="H217" s="2655"/>
      <c r="I217" s="2655"/>
      <c r="J217" s="2655"/>
      <c r="K217" s="2655"/>
      <c r="L217" s="2655"/>
      <c r="M217" s="2655"/>
      <c r="N217" s="74"/>
      <c r="O217" s="70"/>
      <c r="P217" s="2648"/>
      <c r="Q217" s="414"/>
    </row>
    <row r="218" spans="1:22" s="43" customFormat="1" ht="11.25" customHeight="1">
      <c r="A218" s="4244"/>
      <c r="B218" s="4245"/>
      <c r="C218" s="4245"/>
      <c r="D218" s="4245"/>
      <c r="E218" s="4245"/>
      <c r="F218" s="4245"/>
      <c r="G218" s="4245"/>
      <c r="H218" s="4245"/>
      <c r="I218" s="4245"/>
      <c r="J218" s="4245"/>
      <c r="K218" s="4245"/>
      <c r="L218" s="4245"/>
      <c r="M218" s="4245"/>
      <c r="N218" s="4245"/>
      <c r="O218" s="4245"/>
      <c r="P218" s="4246"/>
      <c r="Q218" s="427"/>
    </row>
    <row r="219" spans="1:22" s="43" customFormat="1" ht="5.25" customHeight="1" thickBot="1">
      <c r="A219" s="42"/>
      <c r="D219" s="39"/>
      <c r="E219" s="36"/>
      <c r="F219" s="777"/>
      <c r="G219" s="777"/>
      <c r="H219" s="777"/>
      <c r="I219" s="777"/>
      <c r="J219" s="783"/>
      <c r="K219" s="783"/>
      <c r="L219" s="783"/>
      <c r="M219" s="60"/>
      <c r="N219" s="777"/>
      <c r="O219" s="2652"/>
      <c r="P219" s="3"/>
    </row>
    <row r="220" spans="1:22" ht="13.5" customHeight="1" thickBot="1">
      <c r="A220" s="151" t="s">
        <v>347</v>
      </c>
      <c r="B220" s="1403" t="s">
        <v>4238</v>
      </c>
      <c r="C220" s="404"/>
      <c r="E220" s="115"/>
      <c r="G220" s="1706" t="s">
        <v>6542</v>
      </c>
      <c r="H220" s="1623" t="str">
        <f>IF(OR($M$32="9% Credit Competitive Round only", $M$32="9% Credit &amp; HOME"),"9%",IF(OR($M$32="4% Credit/TE Bond", $M$32="4% Credit/TE Bond &amp; HOME", $M$32="4% Credit/TE Bond &amp; HOME NOFA", $M$32="4% Credit &amp; NHTF", $M$32="4% Credit &amp; NHTF &amp; HOME"),"4%",""))</f>
        <v>9%</v>
      </c>
      <c r="J220" s="1705" t="s">
        <v>367</v>
      </c>
      <c r="K220" s="1625" t="str">
        <f>M43</f>
        <v>New Supply</v>
      </c>
      <c r="M220" s="149">
        <v>1</v>
      </c>
      <c r="N220" s="964"/>
      <c r="O220" s="944">
        <f>MIN($M$220,SUM(O222:O223))</f>
        <v>1</v>
      </c>
      <c r="P220" s="944">
        <f>MIN($M$220,SUM(P222:P223))</f>
        <v>0</v>
      </c>
      <c r="Q220" s="108" t="s">
        <v>422</v>
      </c>
    </row>
    <row r="221" spans="1:22" s="43" customFormat="1" ht="12" customHeight="1">
      <c r="A221" s="42"/>
      <c r="B221" s="1710" t="s">
        <v>6543</v>
      </c>
      <c r="D221" s="39"/>
      <c r="E221" s="36"/>
      <c r="F221" s="777"/>
      <c r="G221" s="2660" t="s">
        <v>3273</v>
      </c>
      <c r="H221" s="1277">
        <f>IF('Part VI-Revenues &amp; Expenses'!$P$67=0,0,'Part VI-Revenues &amp; Expenses'!$P$64/'Part VI-Revenues &amp; Expenses'!$P$67)</f>
        <v>0.1111111111111111</v>
      </c>
      <c r="J221" s="449" t="s">
        <v>4161</v>
      </c>
      <c r="K221" s="4350" t="str">
        <f>'Part I-Project Information'!$K$94</f>
        <v>40% of Units at 60% of AMI</v>
      </c>
      <c r="L221" s="4351"/>
      <c r="M221" s="60"/>
      <c r="N221" s="777"/>
      <c r="O221" s="2652"/>
      <c r="P221" s="3"/>
    </row>
    <row r="222" spans="1:22" ht="12" customHeight="1">
      <c r="A222" s="1401" t="s">
        <v>1892</v>
      </c>
      <c r="B222" s="1404" t="s">
        <v>4159</v>
      </c>
      <c r="C222" s="404"/>
      <c r="D222" s="418" t="s">
        <v>4160</v>
      </c>
      <c r="M222" s="72">
        <v>1</v>
      </c>
      <c r="N222" s="439" t="s">
        <v>1892</v>
      </c>
      <c r="O222" s="2600">
        <v>1</v>
      </c>
      <c r="P222" s="3009"/>
      <c r="Q222" s="895" t="str">
        <f>IF(OR($O222=$M222,$O222=0,$O222=""),"","*CHECK!*")</f>
        <v/>
      </c>
      <c r="R222" s="892" t="s">
        <v>4264</v>
      </c>
    </row>
    <row r="223" spans="1:22" ht="12" customHeight="1">
      <c r="A223" s="1401" t="s">
        <v>1894</v>
      </c>
      <c r="B223" s="1404" t="s">
        <v>3975</v>
      </c>
      <c r="C223" s="404"/>
      <c r="D223" s="418" t="s">
        <v>4243</v>
      </c>
      <c r="M223" s="80">
        <v>1</v>
      </c>
      <c r="N223" s="439" t="s">
        <v>1894</v>
      </c>
      <c r="O223" s="2564"/>
      <c r="P223" s="2990"/>
      <c r="Q223" s="895" t="str">
        <f>IF(OR($O223=$M223,$O223=0,$O223=""),"","*CHECK!*")</f>
        <v/>
      </c>
      <c r="R223" s="892" t="s">
        <v>4264</v>
      </c>
    </row>
    <row r="224" spans="1:22" ht="2.25" customHeight="1">
      <c r="A224" s="484"/>
      <c r="B224" s="778"/>
      <c r="C224" s="404"/>
      <c r="E224" s="115"/>
      <c r="M224" s="967"/>
      <c r="N224" s="964"/>
      <c r="O224" s="777"/>
      <c r="P224" s="777"/>
    </row>
    <row r="225" spans="1:27" s="43" customFormat="1" ht="11.25" customHeight="1">
      <c r="A225" s="42"/>
      <c r="B225" s="85" t="s">
        <v>1779</v>
      </c>
      <c r="C225" s="42"/>
      <c r="D225" s="85"/>
      <c r="E225" s="2655"/>
      <c r="F225" s="2655"/>
      <c r="G225" s="2655"/>
      <c r="H225" s="2655"/>
      <c r="I225" s="2655"/>
      <c r="J225" s="2655"/>
      <c r="K225" s="2655"/>
      <c r="L225" s="2655"/>
      <c r="M225" s="2655"/>
      <c r="N225" s="74"/>
      <c r="O225" s="70"/>
      <c r="P225" s="2648"/>
      <c r="Q225" s="414"/>
    </row>
    <row r="226" spans="1:27" s="43" customFormat="1" ht="11.25" customHeight="1">
      <c r="A226" s="4244"/>
      <c r="B226" s="4245"/>
      <c r="C226" s="4245"/>
      <c r="D226" s="4245"/>
      <c r="E226" s="4245"/>
      <c r="F226" s="4245"/>
      <c r="G226" s="4245"/>
      <c r="H226" s="4245"/>
      <c r="I226" s="4245"/>
      <c r="J226" s="4245"/>
      <c r="K226" s="4245"/>
      <c r="L226" s="4245"/>
      <c r="M226" s="4245"/>
      <c r="N226" s="4245"/>
      <c r="O226" s="4245"/>
      <c r="P226" s="4246"/>
      <c r="Q226" s="427"/>
    </row>
    <row r="227" spans="1:27" s="43" customFormat="1" ht="5.25" customHeight="1" thickBot="1">
      <c r="A227" s="42"/>
      <c r="D227" s="39"/>
      <c r="E227" s="36"/>
      <c r="F227" s="777"/>
      <c r="G227" s="777"/>
      <c r="H227" s="777"/>
      <c r="I227" s="777"/>
      <c r="J227" s="783"/>
      <c r="K227" s="783"/>
      <c r="L227" s="783"/>
      <c r="M227" s="60"/>
      <c r="N227" s="777"/>
      <c r="O227" s="2652"/>
      <c r="P227" s="3"/>
    </row>
    <row r="228" spans="1:27" s="101" customFormat="1" ht="13.5" customHeight="1" thickBot="1">
      <c r="A228" s="151" t="s">
        <v>348</v>
      </c>
      <c r="B228" s="105" t="s">
        <v>3487</v>
      </c>
      <c r="C228" s="91"/>
      <c r="D228" s="59"/>
      <c r="E228" s="59"/>
      <c r="G228" s="1710"/>
      <c r="H228" s="170"/>
      <c r="I228" s="170"/>
      <c r="J228" s="170"/>
      <c r="K228" s="170"/>
      <c r="L228" s="170"/>
      <c r="M228" s="2648">
        <v>10</v>
      </c>
      <c r="N228" s="7"/>
      <c r="O228" s="944">
        <f>IF(OR(O163&gt;0,O185&gt;0,O199&gt;0),0,IF(OR(O230="Yes",O231="Yes"),$M$228,0))</f>
        <v>0</v>
      </c>
      <c r="P228" s="944">
        <f>IF(OR(P163&gt;0,P185&gt;0,P199&gt;0),0,IF(OR(P230="Yes",P231="Yes"),$M$228,0))</f>
        <v>0</v>
      </c>
      <c r="Q228" s="108" t="s">
        <v>422</v>
      </c>
      <c r="R228" s="1714"/>
      <c r="S228" s="1714"/>
      <c r="T228" s="1714"/>
      <c r="U228" s="1714"/>
      <c r="V228" s="1714"/>
    </row>
    <row r="229" spans="1:27" s="101" customFormat="1" ht="3" customHeight="1">
      <c r="A229" s="151"/>
      <c r="B229" s="105"/>
      <c r="C229" s="91"/>
      <c r="D229" s="59"/>
      <c r="E229" s="59"/>
      <c r="G229" s="170"/>
      <c r="M229" s="531"/>
      <c r="Q229" s="108"/>
      <c r="R229" s="1714"/>
      <c r="S229" s="1714"/>
      <c r="T229" s="1714"/>
      <c r="U229" s="1714"/>
      <c r="V229" s="1714"/>
      <c r="W229" s="43"/>
      <c r="X229" s="43"/>
    </row>
    <row r="230" spans="1:27" ht="11.25" customHeight="1">
      <c r="A230" s="1401" t="s">
        <v>1892</v>
      </c>
      <c r="B230" s="969" t="s">
        <v>3397</v>
      </c>
      <c r="D230" s="558"/>
      <c r="E230" s="558"/>
      <c r="F230" s="558"/>
      <c r="G230" s="558"/>
      <c r="H230" s="558"/>
      <c r="L230" s="904"/>
      <c r="M230" s="4252" t="str">
        <f>IF(OR(SUM(T230:T231)&gt;1,SUM(Q230:Q231)&gt;1),"Only one category can be met by other means!","")</f>
        <v/>
      </c>
      <c r="N230" s="439" t="s">
        <v>1892</v>
      </c>
      <c r="O230" s="2492"/>
      <c r="P230" s="2952"/>
      <c r="Q230" s="914">
        <f>IF(L230="Yes",1,0)</f>
        <v>0</v>
      </c>
      <c r="R230" s="1714"/>
      <c r="S230" s="1714"/>
      <c r="T230" s="1714"/>
      <c r="U230" s="1714"/>
      <c r="V230" s="1714"/>
    </row>
    <row r="231" spans="1:27" ht="11.25" customHeight="1">
      <c r="A231" s="1401" t="s">
        <v>1894</v>
      </c>
      <c r="B231" s="969" t="s">
        <v>3398</v>
      </c>
      <c r="D231" s="558"/>
      <c r="L231" s="904"/>
      <c r="M231" s="4252"/>
      <c r="N231" s="439" t="s">
        <v>1894</v>
      </c>
      <c r="O231" s="2671"/>
      <c r="P231" s="2954"/>
      <c r="Q231" s="914">
        <f>IF(L231="Yes",1,0)</f>
        <v>0</v>
      </c>
      <c r="R231" s="1714"/>
      <c r="S231" s="1714"/>
      <c r="T231" s="1714"/>
      <c r="U231" s="1714"/>
      <c r="V231" s="1714"/>
    </row>
    <row r="232" spans="1:27" s="43" customFormat="1" ht="10.5" customHeight="1" thickBot="1">
      <c r="A232" s="42"/>
      <c r="B232" s="1007" t="s">
        <v>3373</v>
      </c>
      <c r="C232" s="42"/>
      <c r="D232" s="48"/>
      <c r="E232" s="48"/>
      <c r="F232" s="48"/>
      <c r="G232" s="48"/>
      <c r="H232" s="36"/>
      <c r="I232" s="36"/>
      <c r="J232" s="36"/>
      <c r="K232" s="36"/>
      <c r="M232" s="46"/>
      <c r="N232" s="62"/>
      <c r="O232" s="3"/>
      <c r="P232" s="2652"/>
      <c r="R232" s="1714"/>
      <c r="S232" s="1714"/>
      <c r="T232" s="1714"/>
      <c r="U232" s="1714"/>
      <c r="V232" s="1714"/>
    </row>
    <row r="233" spans="1:27" s="43" customFormat="1" ht="34.9" customHeight="1" thickTop="1" thickBot="1">
      <c r="A233" s="4211" t="s">
        <v>7009</v>
      </c>
      <c r="B233" s="4212"/>
      <c r="C233" s="4212"/>
      <c r="D233" s="4212"/>
      <c r="E233" s="4212"/>
      <c r="F233" s="4212"/>
      <c r="G233" s="4212"/>
      <c r="H233" s="4212"/>
      <c r="I233" s="4212"/>
      <c r="J233" s="4212"/>
      <c r="K233" s="4212"/>
      <c r="L233" s="4212"/>
      <c r="M233" s="4212"/>
      <c r="N233" s="4212"/>
      <c r="O233" s="4212"/>
      <c r="P233" s="4213"/>
      <c r="Q233" s="933" t="s">
        <v>1208</v>
      </c>
    </row>
    <row r="234" spans="1:27" s="43" customFormat="1" ht="10.5" customHeight="1" thickTop="1">
      <c r="A234" s="42"/>
      <c r="B234" s="85" t="s">
        <v>1779</v>
      </c>
      <c r="C234" s="42"/>
      <c r="D234" s="85"/>
      <c r="E234" s="2655"/>
      <c r="F234" s="2655"/>
      <c r="G234" s="2655"/>
      <c r="H234" s="2655"/>
      <c r="I234" s="2655"/>
      <c r="J234" s="2655"/>
      <c r="K234" s="2655"/>
      <c r="L234" s="2655"/>
      <c r="M234" s="2655"/>
      <c r="N234" s="74"/>
      <c r="O234" s="70"/>
      <c r="P234" s="2648"/>
      <c r="Q234" s="414"/>
    </row>
    <row r="235" spans="1:27" s="43" customFormat="1" ht="11.25" customHeight="1">
      <c r="A235" s="4244"/>
      <c r="B235" s="4245"/>
      <c r="C235" s="4245"/>
      <c r="D235" s="4245"/>
      <c r="E235" s="4245"/>
      <c r="F235" s="4245"/>
      <c r="G235" s="4245"/>
      <c r="H235" s="4245"/>
      <c r="I235" s="4245"/>
      <c r="J235" s="4245"/>
      <c r="K235" s="4245"/>
      <c r="L235" s="4245"/>
      <c r="M235" s="4245"/>
      <c r="N235" s="4245"/>
      <c r="O235" s="4245"/>
      <c r="P235" s="4246"/>
      <c r="Q235" s="427"/>
    </row>
    <row r="236" spans="1:27" s="43" customFormat="1" ht="5.25" customHeight="1" thickBot="1">
      <c r="A236" s="42"/>
      <c r="D236" s="39"/>
      <c r="E236" s="36"/>
      <c r="F236" s="777"/>
      <c r="G236" s="777"/>
      <c r="H236" s="777"/>
      <c r="I236" s="777"/>
      <c r="J236" s="783"/>
      <c r="K236" s="783"/>
      <c r="L236" s="783"/>
      <c r="M236" s="60"/>
      <c r="N236" s="777"/>
      <c r="O236" s="2652"/>
      <c r="P236" s="3"/>
    </row>
    <row r="237" spans="1:27" s="43" customFormat="1" ht="13.5" customHeight="1" thickBot="1">
      <c r="A237" s="151" t="s">
        <v>1648</v>
      </c>
      <c r="B237" s="104" t="s">
        <v>4240</v>
      </c>
      <c r="D237" s="41"/>
      <c r="E237" s="41"/>
      <c r="F237" s="41"/>
      <c r="G237" s="41"/>
      <c r="H237" s="41"/>
      <c r="I237" s="41"/>
      <c r="J237" s="41"/>
      <c r="K237" s="41"/>
      <c r="L237" s="41"/>
      <c r="M237" s="2648">
        <v>3</v>
      </c>
      <c r="N237" s="6"/>
      <c r="O237" s="944"/>
      <c r="P237" s="965"/>
      <c r="Q237" s="108" t="s">
        <v>422</v>
      </c>
      <c r="R237" s="892" t="s">
        <v>4264</v>
      </c>
      <c r="S237" s="923"/>
      <c r="T237" s="923"/>
      <c r="U237" s="923"/>
      <c r="V237" s="923"/>
      <c r="W237" s="1495"/>
      <c r="X237" s="1495"/>
    </row>
    <row r="238" spans="1:27" s="99" customFormat="1" ht="11.25">
      <c r="A238" s="423"/>
      <c r="B238" s="898" t="s">
        <v>6554</v>
      </c>
      <c r="C238" s="898"/>
      <c r="D238" s="898"/>
      <c r="E238" s="898"/>
      <c r="F238" s="898"/>
      <c r="G238" s="898"/>
      <c r="H238" s="898"/>
      <c r="I238" s="898"/>
      <c r="J238" s="898"/>
      <c r="K238" s="898"/>
      <c r="L238" s="898"/>
      <c r="M238" s="898"/>
      <c r="N238" s="159"/>
      <c r="O238" s="2507"/>
      <c r="P238" s="2973"/>
      <c r="Q238" s="1722"/>
      <c r="R238" s="1723"/>
      <c r="S238" s="1723"/>
      <c r="T238" s="1723"/>
      <c r="U238" s="899"/>
      <c r="V238" s="899"/>
      <c r="W238" s="899"/>
      <c r="X238" s="899"/>
      <c r="Y238" s="899"/>
      <c r="Z238" s="899"/>
      <c r="AA238" s="899"/>
    </row>
    <row r="239" spans="1:27" s="116" customFormat="1" ht="11.25" customHeight="1">
      <c r="A239" s="365"/>
      <c r="B239" s="423" t="s">
        <v>1895</v>
      </c>
      <c r="C239" s="133" t="s">
        <v>6555</v>
      </c>
      <c r="E239" s="419" t="s">
        <v>3452</v>
      </c>
      <c r="G239" s="2601"/>
      <c r="H239" s="378" t="s">
        <v>587</v>
      </c>
      <c r="I239" s="4304"/>
      <c r="J239" s="4304"/>
      <c r="L239" s="2602" t="s">
        <v>6557</v>
      </c>
      <c r="M239" s="4426"/>
      <c r="N239" s="4426"/>
    </row>
    <row r="240" spans="1:27" s="116" customFormat="1" ht="11.25" customHeight="1">
      <c r="A240" s="365"/>
      <c r="B240" s="423" t="s">
        <v>1897</v>
      </c>
      <c r="C240" s="133" t="s">
        <v>6556</v>
      </c>
      <c r="E240" s="419" t="s">
        <v>3452</v>
      </c>
      <c r="G240" s="2603"/>
      <c r="H240" s="378" t="s">
        <v>587</v>
      </c>
      <c r="I240" s="4253"/>
      <c r="J240" s="4253"/>
      <c r="L240" s="2602" t="s">
        <v>6557</v>
      </c>
      <c r="M240" s="4260"/>
      <c r="N240" s="4260"/>
    </row>
    <row r="241" spans="1:24" s="43" customFormat="1" ht="5.25" customHeight="1">
      <c r="A241" s="42"/>
      <c r="D241" s="39"/>
      <c r="E241" s="36"/>
      <c r="F241" s="777"/>
      <c r="G241" s="777"/>
      <c r="H241" s="777"/>
      <c r="I241" s="777"/>
      <c r="J241" s="783"/>
      <c r="K241" s="783"/>
      <c r="L241" s="783"/>
      <c r="M241" s="60"/>
      <c r="N241" s="777"/>
      <c r="O241" s="2652"/>
      <c r="P241" s="3"/>
    </row>
    <row r="242" spans="1:24" s="43" customFormat="1" ht="10.5" customHeight="1" thickBot="1">
      <c r="A242" s="42"/>
      <c r="B242" s="1007" t="s">
        <v>3373</v>
      </c>
      <c r="C242" s="42"/>
      <c r="D242" s="48"/>
      <c r="E242" s="48"/>
      <c r="F242" s="48"/>
      <c r="G242" s="48"/>
      <c r="H242" s="36"/>
      <c r="I242" s="36"/>
      <c r="J242" s="36"/>
      <c r="K242" s="36"/>
      <c r="M242" s="46"/>
      <c r="N242" s="62"/>
      <c r="O242" s="3"/>
      <c r="P242" s="2652"/>
    </row>
    <row r="243" spans="1:24" s="43" customFormat="1" ht="21.75" customHeight="1" thickTop="1" thickBot="1">
      <c r="A243" s="4211" t="s">
        <v>7009</v>
      </c>
      <c r="B243" s="4212"/>
      <c r="C243" s="4212"/>
      <c r="D243" s="4212"/>
      <c r="E243" s="4212"/>
      <c r="F243" s="4212"/>
      <c r="G243" s="4212"/>
      <c r="H243" s="4212"/>
      <c r="I243" s="4212"/>
      <c r="J243" s="4212"/>
      <c r="K243" s="4212"/>
      <c r="L243" s="4212"/>
      <c r="M243" s="4212"/>
      <c r="N243" s="4212"/>
      <c r="O243" s="4212"/>
      <c r="P243" s="4213"/>
      <c r="Q243" s="933" t="s">
        <v>1208</v>
      </c>
    </row>
    <row r="244" spans="1:24" s="43" customFormat="1" ht="10.5" customHeight="1" thickTop="1">
      <c r="B244" s="85" t="s">
        <v>1779</v>
      </c>
      <c r="C244" s="97"/>
      <c r="D244" s="85"/>
      <c r="E244" s="98"/>
      <c r="F244" s="2655"/>
      <c r="G244" s="2655"/>
      <c r="H244" s="2655"/>
      <c r="I244" s="2655"/>
      <c r="J244" s="2655"/>
      <c r="K244" s="2655"/>
      <c r="L244" s="2655"/>
      <c r="M244" s="2655"/>
      <c r="N244" s="74"/>
      <c r="O244" s="70"/>
      <c r="P244" s="2648"/>
      <c r="Q244" s="414"/>
    </row>
    <row r="245" spans="1:24" s="43" customFormat="1" ht="11.25" customHeight="1">
      <c r="A245" s="4161"/>
      <c r="B245" s="4162"/>
      <c r="C245" s="4162"/>
      <c r="D245" s="4162"/>
      <c r="E245" s="4162"/>
      <c r="F245" s="4162"/>
      <c r="G245" s="4162"/>
      <c r="H245" s="4162"/>
      <c r="I245" s="4162"/>
      <c r="J245" s="4162"/>
      <c r="K245" s="4162"/>
      <c r="L245" s="4162"/>
      <c r="M245" s="4162"/>
      <c r="N245" s="4162"/>
      <c r="O245" s="4162"/>
      <c r="P245" s="4163"/>
      <c r="Q245" s="427"/>
    </row>
    <row r="246" spans="1:24" s="43" customFormat="1" ht="5.25" customHeight="1" thickBot="1">
      <c r="A246" s="42"/>
      <c r="D246" s="39"/>
      <c r="E246" s="36"/>
      <c r="F246" s="777"/>
      <c r="G246" s="777"/>
      <c r="H246" s="777"/>
      <c r="I246" s="777"/>
      <c r="J246" s="783"/>
      <c r="K246" s="783"/>
      <c r="L246" s="783"/>
      <c r="M246" s="60"/>
      <c r="N246" s="777"/>
      <c r="O246" s="2652"/>
      <c r="P246" s="3"/>
    </row>
    <row r="247" spans="1:24" s="43" customFormat="1" ht="13.5" customHeight="1" thickBot="1">
      <c r="A247" s="151" t="s">
        <v>2604</v>
      </c>
      <c r="B247" s="104" t="s">
        <v>4162</v>
      </c>
      <c r="D247" s="41"/>
      <c r="E247" s="55" t="s">
        <v>6568</v>
      </c>
      <c r="G247" s="61"/>
      <c r="M247" s="2648">
        <v>5</v>
      </c>
      <c r="N247" s="6"/>
      <c r="O247" s="944">
        <f>MIN($M247,MAX(O248,O249,O250))</f>
        <v>0</v>
      </c>
      <c r="P247" s="944">
        <f>MIN($M247,MAX(P248,P249,P250))</f>
        <v>0</v>
      </c>
      <c r="Q247" s="108" t="s">
        <v>422</v>
      </c>
      <c r="R247" s="892" t="s">
        <v>4264</v>
      </c>
      <c r="S247" s="1724"/>
      <c r="T247" s="1724"/>
      <c r="U247" s="1724"/>
      <c r="V247" s="1724"/>
      <c r="W247" s="1495"/>
      <c r="X247" s="1495"/>
    </row>
    <row r="248" spans="1:24" s="33" customFormat="1" ht="11.25" customHeight="1">
      <c r="A248" s="137" t="s">
        <v>1892</v>
      </c>
      <c r="B248" s="175" t="s">
        <v>6567</v>
      </c>
      <c r="D248" s="532"/>
      <c r="M248" s="7">
        <v>5</v>
      </c>
      <c r="N248" s="439" t="s">
        <v>1892</v>
      </c>
      <c r="O248" s="2604"/>
      <c r="P248" s="3010"/>
      <c r="Q248" s="895" t="str">
        <f>IF(OR($O248=$M248,$O248=$M248-1,$O248=0,$O248=""),"","*CHECK!*")</f>
        <v/>
      </c>
      <c r="R248" s="892" t="s">
        <v>4264</v>
      </c>
      <c r="S248" s="1724"/>
      <c r="T248" s="1724"/>
      <c r="U248" s="1724"/>
      <c r="V248" s="1724"/>
    </row>
    <row r="249" spans="1:24" s="33" customFormat="1" ht="11.25" customHeight="1">
      <c r="A249" s="137" t="s">
        <v>1894</v>
      </c>
      <c r="B249" s="175" t="s">
        <v>6569</v>
      </c>
      <c r="D249" s="532"/>
      <c r="M249" s="7">
        <v>3</v>
      </c>
      <c r="N249" s="439" t="s">
        <v>1894</v>
      </c>
      <c r="O249" s="2563"/>
      <c r="P249" s="2989"/>
      <c r="Q249" s="895" t="str">
        <f t="shared" ref="Q249:Q250" si="3">IF(OR($O249=$M249,$O249=$M249-1,$O249=0,$O249=""),"","*CHECK!*")</f>
        <v/>
      </c>
      <c r="R249" s="892" t="s">
        <v>4264</v>
      </c>
    </row>
    <row r="250" spans="1:24">
      <c r="A250" s="137" t="s">
        <v>719</v>
      </c>
      <c r="B250" s="175" t="s">
        <v>6570</v>
      </c>
      <c r="E250" s="40" t="s">
        <v>6497</v>
      </c>
      <c r="I250" s="1406"/>
      <c r="L250" s="1675"/>
      <c r="M250" s="7">
        <v>3</v>
      </c>
      <c r="N250" s="439" t="s">
        <v>719</v>
      </c>
      <c r="O250" s="2564"/>
      <c r="P250" s="2990"/>
      <c r="Q250" s="895" t="str">
        <f t="shared" si="3"/>
        <v/>
      </c>
      <c r="R250" s="892" t="s">
        <v>4264</v>
      </c>
    </row>
    <row r="251" spans="1:24" s="43" customFormat="1" ht="10.5" customHeight="1" thickBot="1">
      <c r="A251" s="42"/>
      <c r="B251" s="1007" t="s">
        <v>3373</v>
      </c>
      <c r="C251" s="42"/>
      <c r="D251" s="48"/>
      <c r="E251" s="48"/>
      <c r="F251" s="48"/>
      <c r="G251" s="48"/>
      <c r="H251" s="36"/>
      <c r="I251" s="36"/>
      <c r="J251" s="36"/>
      <c r="K251" s="36"/>
      <c r="M251" s="46"/>
      <c r="N251" s="62"/>
      <c r="O251" s="3"/>
      <c r="P251" s="2652"/>
    </row>
    <row r="252" spans="1:24" s="43" customFormat="1" ht="21.75" customHeight="1" thickTop="1" thickBot="1">
      <c r="A252" s="4211" t="s">
        <v>7009</v>
      </c>
      <c r="B252" s="4212"/>
      <c r="C252" s="4212"/>
      <c r="D252" s="4212"/>
      <c r="E252" s="4212"/>
      <c r="F252" s="4212"/>
      <c r="G252" s="4212"/>
      <c r="H252" s="4212"/>
      <c r="I252" s="4212"/>
      <c r="J252" s="4212"/>
      <c r="K252" s="4212"/>
      <c r="L252" s="4212"/>
      <c r="M252" s="4212"/>
      <c r="N252" s="4212"/>
      <c r="O252" s="4212"/>
      <c r="P252" s="4213"/>
      <c r="Q252" s="933" t="s">
        <v>1208</v>
      </c>
    </row>
    <row r="253" spans="1:24" s="43" customFormat="1" ht="10.5" customHeight="1" thickTop="1">
      <c r="B253" s="85" t="s">
        <v>1779</v>
      </c>
      <c r="C253" s="97"/>
      <c r="D253" s="85"/>
      <c r="E253" s="98"/>
      <c r="F253" s="2655"/>
      <c r="G253" s="2655"/>
      <c r="H253" s="2655"/>
      <c r="I253" s="2655"/>
      <c r="J253" s="2655"/>
      <c r="K253" s="2655"/>
      <c r="L253" s="2655"/>
      <c r="M253" s="2655"/>
      <c r="N253" s="74"/>
      <c r="O253" s="70"/>
      <c r="P253" s="2648"/>
      <c r="Q253" s="414"/>
    </row>
    <row r="254" spans="1:24" s="43" customFormat="1" ht="11.25" customHeight="1">
      <c r="A254" s="4161"/>
      <c r="B254" s="4162"/>
      <c r="C254" s="4162"/>
      <c r="D254" s="4162"/>
      <c r="E254" s="4162"/>
      <c r="F254" s="4162"/>
      <c r="G254" s="4162"/>
      <c r="H254" s="4162"/>
      <c r="I254" s="4162"/>
      <c r="J254" s="4162"/>
      <c r="K254" s="4162"/>
      <c r="L254" s="4162"/>
      <c r="M254" s="4162"/>
      <c r="N254" s="4162"/>
      <c r="O254" s="4162"/>
      <c r="P254" s="4163"/>
      <c r="Q254" s="427"/>
    </row>
    <row r="255" spans="1:24" ht="6" customHeight="1" thickBot="1">
      <c r="B255" s="115"/>
      <c r="C255" s="115"/>
      <c r="D255" s="115"/>
      <c r="E255" s="115"/>
      <c r="T255" s="929"/>
      <c r="U255" s="929"/>
    </row>
    <row r="256" spans="1:24" s="43" customFormat="1" ht="13.5" customHeight="1" thickBot="1">
      <c r="A256" s="152" t="s">
        <v>2148</v>
      </c>
      <c r="B256" s="105" t="s">
        <v>2625</v>
      </c>
      <c r="C256" s="54"/>
      <c r="D256" s="114"/>
      <c r="E256" s="114"/>
      <c r="F256" s="41"/>
      <c r="H256" s="40"/>
      <c r="J256" s="2672"/>
      <c r="K256" s="48"/>
      <c r="L256" s="439" t="s">
        <v>4265</v>
      </c>
      <c r="M256" s="2648">
        <v>4</v>
      </c>
      <c r="N256" s="6"/>
      <c r="O256" s="944">
        <f>IF(AND(O257&gt;0,O261&gt;0),"AorB?",MIN($M256,SUM(O257,O261,O263)))</f>
        <v>4</v>
      </c>
      <c r="P256" s="944">
        <f>IF(AND(P257&gt;0,P261&gt;0),"AorB?",MIN($M256,SUM(P257,P261,P263)))</f>
        <v>0</v>
      </c>
      <c r="Q256" s="108" t="s">
        <v>422</v>
      </c>
      <c r="T256" s="929"/>
      <c r="U256" s="929"/>
    </row>
    <row r="257" spans="1:21" s="101" customFormat="1" ht="11.25" customHeight="1">
      <c r="A257" s="137" t="s">
        <v>1892</v>
      </c>
      <c r="B257" s="163" t="s">
        <v>2131</v>
      </c>
      <c r="D257" s="61"/>
      <c r="E257" s="61"/>
      <c r="F257" s="44"/>
      <c r="G257" s="27"/>
      <c r="L257" s="367"/>
      <c r="M257" s="7">
        <v>3</v>
      </c>
      <c r="N257" s="439" t="s">
        <v>1892</v>
      </c>
      <c r="O257" s="1278">
        <f>IF(OR(AND(O258="Yes",O259="Yes",O260="Yes"),AND(O258="Yes",O260="Yes"),AND(O259="Yes",O260="Yes"),AND(O258="Yes",O259="Yes")),"choose",IF(O258="Yes",$M$258,IF(O259="Yes",$M$259, IF(O260="Yes",$M$260,0))))</f>
        <v>3</v>
      </c>
      <c r="P257" s="1278">
        <f>IF(OR(AND(P258="Yes",P259="Yes",P260="Yes"),AND(P258="Yes",P260="Yes"),AND(P259="Yes",P260="Yes"),AND(P258="Yes",P259="Yes")),"choose",IF(P258="Yes",$M$258,IF(P259="Yes",$M$259, IF(P260="Yes",$M$260,0))))</f>
        <v>0</v>
      </c>
      <c r="Q257" s="895"/>
      <c r="R257" s="943"/>
      <c r="T257" s="929"/>
      <c r="U257" s="929"/>
    </row>
    <row r="258" spans="1:21" s="101" customFormat="1" ht="11.25" customHeight="1">
      <c r="A258" s="137"/>
      <c r="B258" s="365" t="s">
        <v>1895</v>
      </c>
      <c r="C258" s="40" t="s">
        <v>3990</v>
      </c>
      <c r="D258" s="61"/>
      <c r="E258" s="61"/>
      <c r="F258" s="44"/>
      <c r="G258" s="27"/>
      <c r="L258" s="367"/>
      <c r="M258" s="7">
        <v>3</v>
      </c>
      <c r="N258" s="421" t="s">
        <v>1895</v>
      </c>
      <c r="O258" s="2492" t="s">
        <v>2768</v>
      </c>
      <c r="P258" s="2952"/>
      <c r="Q258" s="895"/>
      <c r="R258" s="943"/>
      <c r="T258" s="929"/>
      <c r="U258" s="929"/>
    </row>
    <row r="259" spans="1:21" s="101" customFormat="1" ht="11.25" customHeight="1">
      <c r="A259" s="137"/>
      <c r="B259" s="423" t="s">
        <v>1897</v>
      </c>
      <c r="C259" s="40" t="s">
        <v>3991</v>
      </c>
      <c r="D259" s="61"/>
      <c r="E259" s="61"/>
      <c r="F259" s="44"/>
      <c r="G259" s="27"/>
      <c r="L259" s="367"/>
      <c r="M259" s="7">
        <v>2</v>
      </c>
      <c r="N259" s="779" t="s">
        <v>1897</v>
      </c>
      <c r="O259" s="2666" t="s">
        <v>2771</v>
      </c>
      <c r="P259" s="2953"/>
      <c r="Q259" s="895"/>
      <c r="R259" s="943"/>
      <c r="T259" s="929"/>
      <c r="U259" s="929"/>
    </row>
    <row r="260" spans="1:21" s="101" customFormat="1" ht="10.5" customHeight="1">
      <c r="A260" s="137"/>
      <c r="B260" s="423" t="s">
        <v>2415</v>
      </c>
      <c r="C260" s="40" t="s">
        <v>3992</v>
      </c>
      <c r="D260" s="61"/>
      <c r="E260" s="61"/>
      <c r="F260" s="44"/>
      <c r="G260" s="27"/>
      <c r="K260" s="439"/>
      <c r="M260" s="7">
        <v>1</v>
      </c>
      <c r="N260" s="779" t="s">
        <v>2415</v>
      </c>
      <c r="O260" s="2671" t="s">
        <v>2771</v>
      </c>
      <c r="P260" s="2954"/>
      <c r="R260" s="380"/>
      <c r="T260" s="929"/>
      <c r="U260" s="929"/>
    </row>
    <row r="261" spans="1:21" s="43" customFormat="1" ht="11.25" customHeight="1">
      <c r="A261" s="137" t="s">
        <v>1894</v>
      </c>
      <c r="B261" s="163" t="s">
        <v>4153</v>
      </c>
      <c r="D261" s="57"/>
      <c r="K261" s="52"/>
      <c r="L261" s="367" t="str">
        <f>IF(OR($O261=$M261,$O261=0,$O261=""),"","* * Check Score! * *")</f>
        <v/>
      </c>
      <c r="M261" s="7">
        <v>1</v>
      </c>
      <c r="N261" s="439" t="s">
        <v>1894</v>
      </c>
      <c r="O261" s="977">
        <f>IF(O262="Yes",$M$261,0)</f>
        <v>0</v>
      </c>
      <c r="P261" s="977">
        <f>IF(P262="Yes",$M$261,0)</f>
        <v>0</v>
      </c>
      <c r="Q261" s="895" t="str">
        <f>IF(OR($O261=$M261,$O261=0,$O261=""),"","*CHECK!*")</f>
        <v/>
      </c>
      <c r="R261" s="943"/>
      <c r="T261" s="929"/>
      <c r="U261" s="929"/>
    </row>
    <row r="262" spans="1:21" s="43" customFormat="1" ht="21.75" customHeight="1">
      <c r="A262" s="152"/>
      <c r="B262" s="3967" t="s">
        <v>4154</v>
      </c>
      <c r="C262" s="3967"/>
      <c r="D262" s="3967"/>
      <c r="E262" s="3967"/>
      <c r="F262" s="3967"/>
      <c r="G262" s="3967"/>
      <c r="H262" s="3967"/>
      <c r="I262" s="3967"/>
      <c r="J262" s="3967"/>
      <c r="K262" s="3967"/>
      <c r="L262" s="3967"/>
      <c r="M262" s="7"/>
      <c r="N262" s="439"/>
      <c r="O262" s="2662" t="s">
        <v>2771</v>
      </c>
      <c r="P262" s="3011"/>
      <c r="Q262" s="380"/>
      <c r="R262" s="367"/>
      <c r="T262" s="929"/>
      <c r="U262" s="929"/>
    </row>
    <row r="263" spans="1:21" s="43" customFormat="1" ht="11.25" customHeight="1">
      <c r="A263" s="137" t="s">
        <v>719</v>
      </c>
      <c r="B263" s="163" t="s">
        <v>3993</v>
      </c>
      <c r="D263" s="57"/>
      <c r="H263" s="170"/>
      <c r="K263" s="52"/>
      <c r="L263" s="367"/>
      <c r="M263" s="7">
        <v>1</v>
      </c>
      <c r="N263" s="439" t="s">
        <v>719</v>
      </c>
      <c r="O263" s="977">
        <f>IF(O257=0,0,IF(O264="Yes",$M$263,0))</f>
        <v>1</v>
      </c>
      <c r="P263" s="977">
        <f>IF(P257=0,0,IF(P264="Yes",$M$263,0))</f>
        <v>0</v>
      </c>
      <c r="Q263" s="895" t="str">
        <f>IF(OR($O263=$M263,$O263=0,$O263=""),"","*CHECK!*")</f>
        <v/>
      </c>
      <c r="R263" s="943"/>
      <c r="T263" s="929"/>
      <c r="U263" s="929"/>
    </row>
    <row r="264" spans="1:21" s="43" customFormat="1" ht="33.75" customHeight="1">
      <c r="B264" s="3950" t="s">
        <v>6498</v>
      </c>
      <c r="C264" s="3950"/>
      <c r="D264" s="3950"/>
      <c r="E264" s="3950"/>
      <c r="F264" s="3950"/>
      <c r="G264" s="3950"/>
      <c r="H264" s="3950"/>
      <c r="I264" s="3950"/>
      <c r="J264" s="3950"/>
      <c r="K264" s="3950"/>
      <c r="L264" s="3950"/>
      <c r="M264" s="7"/>
      <c r="N264" s="439"/>
      <c r="O264" s="2658" t="s">
        <v>2768</v>
      </c>
      <c r="P264" s="2962"/>
      <c r="Q264" s="380"/>
      <c r="R264" s="367"/>
      <c r="T264" s="929"/>
      <c r="U264" s="929"/>
    </row>
    <row r="265" spans="1:21" s="43" customFormat="1" ht="22.5" customHeight="1">
      <c r="B265" s="3950" t="s">
        <v>6499</v>
      </c>
      <c r="C265" s="3950"/>
      <c r="D265" s="3950"/>
      <c r="E265" s="3950"/>
      <c r="F265" s="3950"/>
      <c r="G265" s="3950"/>
      <c r="H265" s="3950"/>
      <c r="I265" s="3950"/>
      <c r="J265" s="3950"/>
      <c r="K265" s="3950"/>
      <c r="L265" s="3950"/>
      <c r="M265" s="7"/>
      <c r="N265" s="7"/>
      <c r="O265" s="7"/>
      <c r="P265" s="7"/>
      <c r="Q265" s="380"/>
      <c r="R265" s="367"/>
      <c r="T265" s="929"/>
      <c r="U265" s="929"/>
    </row>
    <row r="266" spans="1:21" s="43" customFormat="1" ht="10.5" customHeight="1">
      <c r="A266" s="42"/>
      <c r="B266" s="85" t="s">
        <v>1779</v>
      </c>
      <c r="C266" s="97"/>
      <c r="D266" s="85"/>
      <c r="E266" s="98"/>
      <c r="F266" s="2655"/>
      <c r="G266" s="2655"/>
      <c r="H266" s="2655"/>
      <c r="I266" s="2655"/>
      <c r="J266" s="2655"/>
      <c r="K266" s="2655"/>
      <c r="L266" s="2655"/>
      <c r="M266" s="2655"/>
      <c r="N266" s="74"/>
      <c r="O266" s="70"/>
      <c r="P266" s="2648"/>
      <c r="Q266" s="414"/>
    </row>
    <row r="267" spans="1:21" s="43" customFormat="1" ht="11.25" customHeight="1">
      <c r="A267" s="4161"/>
      <c r="B267" s="4162"/>
      <c r="C267" s="4162"/>
      <c r="D267" s="4162"/>
      <c r="E267" s="4162"/>
      <c r="F267" s="4162"/>
      <c r="G267" s="4162"/>
      <c r="H267" s="4162"/>
      <c r="I267" s="4162"/>
      <c r="J267" s="4162"/>
      <c r="K267" s="4162"/>
      <c r="L267" s="4162"/>
      <c r="M267" s="4162"/>
      <c r="N267" s="4162"/>
      <c r="O267" s="4162"/>
      <c r="P267" s="4163"/>
      <c r="Q267" s="427"/>
    </row>
    <row r="268" spans="1:21" s="43" customFormat="1" ht="1.5" customHeight="1" thickBot="1">
      <c r="A268" s="42"/>
      <c r="B268" s="42"/>
      <c r="C268" s="2655"/>
      <c r="D268" s="2655"/>
      <c r="E268" s="2655"/>
      <c r="F268" s="2655"/>
      <c r="G268" s="2655"/>
      <c r="H268" s="2655"/>
      <c r="I268" s="2655"/>
      <c r="J268" s="2655"/>
      <c r="K268" s="2655"/>
      <c r="L268" s="2655"/>
      <c r="M268" s="2655"/>
      <c r="N268" s="74"/>
      <c r="O268" s="70"/>
      <c r="P268" s="777"/>
    </row>
    <row r="269" spans="1:21" s="43" customFormat="1" ht="12" customHeight="1" thickBot="1">
      <c r="A269" s="151" t="s">
        <v>3519</v>
      </c>
      <c r="B269" s="105" t="s">
        <v>3488</v>
      </c>
      <c r="C269" s="87"/>
      <c r="D269" s="58"/>
      <c r="E269" s="52"/>
      <c r="G269" s="55"/>
      <c r="I269" s="1706" t="s">
        <v>6542</v>
      </c>
      <c r="J269" s="1623" t="str">
        <f>IF(OR($M$32="9% Credit Competitive Round only", $M$32="9% Credit &amp; HOME"),"9%",IF(OR($M$32="4% Credit/TE Bond", $M$32="4% Credit/TE Bond &amp; HOME", $M$32="4% Credit/TE Bond &amp; HOME NOFA", $M$32="4% Credit &amp; NHTF", $M$32="4% Credit &amp; NHTF &amp; HOME"),"4%",""))</f>
        <v>9%</v>
      </c>
      <c r="K269" s="101"/>
      <c r="L269" s="101"/>
      <c r="M269" s="2648">
        <v>2</v>
      </c>
      <c r="N269" s="6"/>
      <c r="O269" s="6"/>
      <c r="P269" s="974">
        <f>P271+P277</f>
        <v>0</v>
      </c>
      <c r="Q269" s="108" t="s">
        <v>422</v>
      </c>
    </row>
    <row r="270" spans="1:21" s="43" customFormat="1" ht="13.5" customHeight="1">
      <c r="A270" s="151"/>
      <c r="B270" s="52" t="s">
        <v>6500</v>
      </c>
      <c r="C270" s="2655"/>
      <c r="D270" s="2655"/>
      <c r="E270" s="2655"/>
      <c r="F270" s="2655"/>
      <c r="G270" s="2655"/>
      <c r="H270" s="2655"/>
      <c r="I270" s="2655"/>
      <c r="J270" s="2655"/>
      <c r="K270" s="2655"/>
      <c r="L270" s="1276"/>
      <c r="M270" s="777"/>
      <c r="N270" s="74"/>
      <c r="O270" s="2493" t="s">
        <v>2771</v>
      </c>
      <c r="P270" s="3008"/>
      <c r="Q270" s="108"/>
      <c r="T270" s="929"/>
      <c r="U270" s="929"/>
    </row>
    <row r="271" spans="1:21" s="43" customFormat="1" ht="12" customHeight="1">
      <c r="A271" s="137" t="s">
        <v>1892</v>
      </c>
      <c r="B271" s="163" t="s">
        <v>3489</v>
      </c>
      <c r="C271" s="87"/>
      <c r="D271" s="58"/>
      <c r="E271" s="52"/>
      <c r="G271" s="1509">
        <f>'Part VIII-Threshold Criteria'!I380</f>
        <v>0</v>
      </c>
      <c r="I271" s="40" t="s">
        <v>4285</v>
      </c>
      <c r="K271" s="1676" t="str">
        <f>'Part I-Project Information'!H100</f>
        <v>No</v>
      </c>
      <c r="M271" s="72">
        <v>2</v>
      </c>
      <c r="N271" s="439" t="s">
        <v>1892</v>
      </c>
      <c r="P271" s="3012"/>
      <c r="Q271" s="108"/>
      <c r="R271" s="943" t="s">
        <v>2553</v>
      </c>
    </row>
    <row r="272" spans="1:21" s="101" customFormat="1" ht="10.5" customHeight="1">
      <c r="A272" s="137"/>
      <c r="B272" s="365" t="s">
        <v>1895</v>
      </c>
      <c r="C272" s="36" t="s">
        <v>4017</v>
      </c>
      <c r="D272" s="33"/>
      <c r="N272" s="421" t="s">
        <v>4018</v>
      </c>
      <c r="O272" s="2492" t="s">
        <v>2771</v>
      </c>
      <c r="P272" s="2952"/>
      <c r="R272" s="367"/>
    </row>
    <row r="273" spans="1:19" s="101" customFormat="1" ht="10.5" customHeight="1">
      <c r="A273" s="137"/>
      <c r="B273" s="365"/>
      <c r="C273" s="36" t="s">
        <v>6501</v>
      </c>
      <c r="D273" s="33"/>
      <c r="N273" s="421" t="s">
        <v>4019</v>
      </c>
      <c r="O273" s="2666"/>
      <c r="P273" s="2953"/>
      <c r="R273" s="367"/>
    </row>
    <row r="274" spans="1:19" s="101" customFormat="1" ht="10.5" customHeight="1">
      <c r="A274" s="137"/>
      <c r="B274" s="365" t="s">
        <v>1897</v>
      </c>
      <c r="C274" s="36" t="s">
        <v>3495</v>
      </c>
      <c r="D274" s="33"/>
      <c r="N274" s="779" t="s">
        <v>1897</v>
      </c>
      <c r="O274" s="2666"/>
      <c r="P274" s="2953"/>
      <c r="R274" s="367"/>
    </row>
    <row r="275" spans="1:19" s="101" customFormat="1" ht="10.5" customHeight="1">
      <c r="A275" s="137"/>
      <c r="B275" s="365" t="s">
        <v>2415</v>
      </c>
      <c r="C275" s="36" t="s">
        <v>4020</v>
      </c>
      <c r="D275" s="33"/>
      <c r="N275" s="779" t="s">
        <v>2415</v>
      </c>
      <c r="O275" s="2666"/>
      <c r="P275" s="2953"/>
      <c r="R275" s="367"/>
    </row>
    <row r="276" spans="1:19" s="101" customFormat="1" ht="10.5" customHeight="1">
      <c r="B276" s="365" t="s">
        <v>1178</v>
      </c>
      <c r="C276" s="36" t="s">
        <v>3496</v>
      </c>
      <c r="D276" s="33"/>
      <c r="N276" s="779" t="s">
        <v>1178</v>
      </c>
      <c r="O276" s="2671"/>
      <c r="P276" s="2953"/>
      <c r="R276" s="367"/>
    </row>
    <row r="277" spans="1:19" s="43" customFormat="1" ht="12" customHeight="1">
      <c r="A277" s="137" t="s">
        <v>1894</v>
      </c>
      <c r="B277" s="163" t="s">
        <v>3490</v>
      </c>
      <c r="C277" s="87"/>
      <c r="D277" s="58"/>
      <c r="E277" s="52"/>
      <c r="G277" s="1509" t="str">
        <f>'Part I-Project Information'!D171</f>
        <v>Housing Authority of the City of West Point</v>
      </c>
      <c r="I277" s="459"/>
      <c r="L277" s="989"/>
      <c r="M277" s="72">
        <v>2</v>
      </c>
      <c r="N277" s="439" t="s">
        <v>1894</v>
      </c>
      <c r="P277" s="3012"/>
      <c r="Q277" s="108"/>
      <c r="R277" s="943" t="s">
        <v>2553</v>
      </c>
    </row>
    <row r="278" spans="1:19" s="101" customFormat="1" ht="10.5" customHeight="1">
      <c r="A278" s="152"/>
      <c r="B278" s="365" t="s">
        <v>1895</v>
      </c>
      <c r="C278" s="36" t="s">
        <v>4017</v>
      </c>
      <c r="D278" s="52"/>
      <c r="E278" s="52"/>
      <c r="M278" s="2648"/>
      <c r="N278" s="421" t="s">
        <v>4018</v>
      </c>
      <c r="O278" s="2492" t="s">
        <v>2768</v>
      </c>
      <c r="P278" s="2952"/>
      <c r="Q278" s="108"/>
    </row>
    <row r="279" spans="1:19" s="101" customFormat="1" ht="10.5" customHeight="1">
      <c r="A279" s="137"/>
      <c r="B279" s="365"/>
      <c r="C279" s="36" t="s">
        <v>6502</v>
      </c>
      <c r="D279" s="33"/>
      <c r="N279" s="421" t="s">
        <v>4019</v>
      </c>
      <c r="O279" s="2666" t="s">
        <v>2771</v>
      </c>
      <c r="P279" s="2953"/>
      <c r="R279" s="367"/>
    </row>
    <row r="280" spans="1:19" s="101" customFormat="1" ht="10.5" customHeight="1">
      <c r="A280" s="137"/>
      <c r="B280" s="365" t="s">
        <v>1897</v>
      </c>
      <c r="C280" s="36" t="s">
        <v>3507</v>
      </c>
      <c r="D280" s="33"/>
      <c r="N280" s="779" t="s">
        <v>1897</v>
      </c>
      <c r="O280" s="2666" t="s">
        <v>2768</v>
      </c>
      <c r="P280" s="2953"/>
      <c r="R280" s="367"/>
    </row>
    <row r="281" spans="1:19" s="101" customFormat="1" ht="10.5" customHeight="1">
      <c r="B281" s="365" t="s">
        <v>2415</v>
      </c>
      <c r="C281" s="36" t="s">
        <v>3496</v>
      </c>
      <c r="D281" s="33"/>
      <c r="N281" s="779" t="s">
        <v>2415</v>
      </c>
      <c r="O281" s="2671" t="s">
        <v>2768</v>
      </c>
      <c r="P281" s="2954"/>
      <c r="R281" s="367"/>
    </row>
    <row r="282" spans="1:19" s="43" customFormat="1" ht="10.5" customHeight="1">
      <c r="B282" s="85" t="s">
        <v>1779</v>
      </c>
      <c r="C282" s="97"/>
      <c r="D282" s="85"/>
      <c r="E282" s="98"/>
      <c r="F282" s="2655"/>
      <c r="G282" s="2655"/>
      <c r="H282" s="2655"/>
      <c r="I282" s="2655"/>
      <c r="J282" s="2655"/>
      <c r="K282" s="2655"/>
      <c r="L282" s="2655"/>
      <c r="M282" s="2655"/>
      <c r="N282" s="74"/>
      <c r="O282" s="70"/>
      <c r="P282" s="2648"/>
      <c r="Q282" s="414"/>
    </row>
    <row r="283" spans="1:19" s="43" customFormat="1" ht="11.25" customHeight="1">
      <c r="A283" s="4161"/>
      <c r="B283" s="4162"/>
      <c r="C283" s="4162"/>
      <c r="D283" s="4162"/>
      <c r="E283" s="4162"/>
      <c r="F283" s="4162"/>
      <c r="G283" s="4162"/>
      <c r="H283" s="4162"/>
      <c r="I283" s="4162"/>
      <c r="J283" s="4162"/>
      <c r="K283" s="4162"/>
      <c r="L283" s="4162"/>
      <c r="M283" s="4162"/>
      <c r="N283" s="4162"/>
      <c r="O283" s="4162"/>
      <c r="P283" s="4163"/>
      <c r="Q283" s="427"/>
    </row>
    <row r="284" spans="1:19" ht="2.25" customHeight="1"/>
    <row r="285" spans="1:19" s="43" customFormat="1" ht="2.25" customHeight="1" thickBot="1">
      <c r="A285" s="42"/>
      <c r="C285" s="2655"/>
      <c r="D285" s="2655"/>
      <c r="E285" s="2655"/>
      <c r="F285" s="2655"/>
      <c r="G285" s="2655"/>
      <c r="H285" s="2655"/>
      <c r="I285" s="2655"/>
      <c r="J285" s="2655"/>
      <c r="K285" s="2655"/>
      <c r="L285" s="2655"/>
      <c r="M285" s="2655"/>
      <c r="N285" s="74"/>
      <c r="O285" s="70"/>
      <c r="P285" s="777"/>
    </row>
    <row r="286" spans="1:19" s="43" customFormat="1" ht="13.5" customHeight="1" thickBot="1">
      <c r="A286" s="151" t="s">
        <v>3520</v>
      </c>
      <c r="B286" s="104" t="s">
        <v>1597</v>
      </c>
      <c r="D286" s="88"/>
      <c r="E286" s="88"/>
      <c r="G286" s="52"/>
      <c r="M286" s="777">
        <v>2</v>
      </c>
      <c r="N286" s="386"/>
      <c r="O286" s="2605">
        <v>2</v>
      </c>
      <c r="P286" s="965"/>
      <c r="Q286" s="108" t="s">
        <v>422</v>
      </c>
      <c r="R286" s="1725" t="s">
        <v>4264</v>
      </c>
      <c r="S286" s="1725"/>
    </row>
    <row r="287" spans="1:19" s="43" customFormat="1" ht="11.25" customHeight="1">
      <c r="A287" s="137"/>
      <c r="B287" s="112" t="s">
        <v>3274</v>
      </c>
      <c r="D287" s="88"/>
      <c r="E287" s="88"/>
      <c r="G287" s="52"/>
      <c r="I287" s="3814" t="s">
        <v>7010</v>
      </c>
      <c r="J287" s="3815"/>
      <c r="K287" s="3815"/>
      <c r="L287" s="3816"/>
      <c r="M287" s="417"/>
      <c r="N287" s="1673"/>
      <c r="O287" s="989"/>
      <c r="P287" s="989"/>
      <c r="Q287" s="895"/>
      <c r="R287" s="1725"/>
      <c r="S287" s="1725"/>
    </row>
    <row r="288" spans="1:19" s="99" customFormat="1" ht="2.25" customHeight="1">
      <c r="B288" s="177"/>
      <c r="D288" s="116"/>
      <c r="E288" s="116"/>
      <c r="F288" s="116"/>
      <c r="G288" s="116"/>
      <c r="H288" s="116"/>
      <c r="I288" s="116"/>
      <c r="J288" s="116"/>
      <c r="K288" s="116"/>
      <c r="L288" s="116"/>
      <c r="M288" s="116"/>
      <c r="N288" s="439"/>
      <c r="O288" s="439"/>
      <c r="P288" s="439"/>
    </row>
    <row r="289" spans="1:20" s="101" customFormat="1" ht="10.5" customHeight="1" thickBot="1">
      <c r="A289" s="42"/>
      <c r="B289" s="1007" t="s">
        <v>3373</v>
      </c>
      <c r="C289" s="42"/>
      <c r="D289" s="48"/>
      <c r="E289" s="48"/>
      <c r="F289" s="48"/>
      <c r="G289" s="48"/>
      <c r="H289" s="36"/>
      <c r="I289" s="36"/>
      <c r="J289" s="36"/>
      <c r="K289" s="36"/>
      <c r="M289" s="46"/>
      <c r="N289" s="6"/>
      <c r="O289" s="3"/>
      <c r="P289" s="2648"/>
    </row>
    <row r="290" spans="1:20" s="43" customFormat="1" ht="53.25" customHeight="1" thickTop="1" thickBot="1">
      <c r="A290" s="4211" t="s">
        <v>7044</v>
      </c>
      <c r="B290" s="4212"/>
      <c r="C290" s="4212"/>
      <c r="D290" s="4212"/>
      <c r="E290" s="4212"/>
      <c r="F290" s="4212"/>
      <c r="G290" s="4212"/>
      <c r="H290" s="4212"/>
      <c r="I290" s="4212"/>
      <c r="J290" s="4212"/>
      <c r="K290" s="4212"/>
      <c r="L290" s="4212"/>
      <c r="M290" s="4212"/>
      <c r="N290" s="4212"/>
      <c r="O290" s="4212"/>
      <c r="P290" s="4213"/>
      <c r="Q290" s="933" t="s">
        <v>1208</v>
      </c>
    </row>
    <row r="291" spans="1:20" s="101" customFormat="1" ht="10.5" customHeight="1" thickTop="1">
      <c r="A291" s="42"/>
      <c r="B291" s="96" t="s">
        <v>1779</v>
      </c>
      <c r="C291" s="42"/>
      <c r="D291" s="96"/>
      <c r="E291" s="2659"/>
      <c r="F291" s="2659"/>
      <c r="G291" s="2659"/>
      <c r="H291" s="2659"/>
      <c r="I291" s="2659"/>
      <c r="J291" s="2659"/>
      <c r="K291" s="2659"/>
      <c r="L291" s="2659"/>
      <c r="M291" s="2659"/>
      <c r="N291" s="92"/>
      <c r="O291" s="767"/>
      <c r="P291" s="2648"/>
      <c r="Q291" s="414"/>
    </row>
    <row r="292" spans="1:20" s="43" customFormat="1" ht="11.25" customHeight="1">
      <c r="A292" s="4161"/>
      <c r="B292" s="4162"/>
      <c r="C292" s="4162"/>
      <c r="D292" s="4162"/>
      <c r="E292" s="4162"/>
      <c r="F292" s="4162"/>
      <c r="G292" s="4162"/>
      <c r="H292" s="4162"/>
      <c r="I292" s="4162"/>
      <c r="J292" s="4162"/>
      <c r="K292" s="4162"/>
      <c r="L292" s="4162"/>
      <c r="M292" s="4162"/>
      <c r="N292" s="4162"/>
      <c r="O292" s="4162"/>
      <c r="P292" s="4163"/>
      <c r="Q292" s="427"/>
    </row>
    <row r="293" spans="1:20" ht="3" customHeight="1" thickBot="1"/>
    <row r="294" spans="1:20" s="43" customFormat="1" ht="13.5" customHeight="1" thickBot="1">
      <c r="A294" s="151" t="s">
        <v>3518</v>
      </c>
      <c r="B294" s="104" t="s">
        <v>3492</v>
      </c>
      <c r="D294" s="88"/>
      <c r="E294" s="88"/>
      <c r="F294" s="52"/>
      <c r="G294" s="52"/>
      <c r="H294" s="52"/>
      <c r="M294" s="3">
        <v>4</v>
      </c>
      <c r="N294" s="6"/>
      <c r="O294" s="975">
        <f>O301+O321</f>
        <v>1</v>
      </c>
      <c r="P294" s="975">
        <f>P301+P321</f>
        <v>0</v>
      </c>
      <c r="Q294" s="108" t="s">
        <v>422</v>
      </c>
    </row>
    <row r="295" spans="1:20" s="43" customFormat="1" ht="10.5" customHeight="1">
      <c r="A295" s="42"/>
      <c r="B295" s="112" t="s">
        <v>3995</v>
      </c>
      <c r="E295" s="88"/>
      <c r="F295" s="52"/>
      <c r="G295" s="52"/>
      <c r="H295" s="52"/>
      <c r="I295" s="52"/>
      <c r="J295" s="54"/>
      <c r="K295" s="60"/>
      <c r="L295" s="56"/>
      <c r="O295" s="485" t="s">
        <v>2391</v>
      </c>
      <c r="P295" s="485" t="s">
        <v>2391</v>
      </c>
    </row>
    <row r="296" spans="1:20" s="99" customFormat="1" ht="12.75" customHeight="1">
      <c r="B296" s="366" t="s">
        <v>2323</v>
      </c>
      <c r="C296" s="133" t="s">
        <v>2626</v>
      </c>
      <c r="E296" s="88"/>
      <c r="F296" s="52"/>
      <c r="G296" s="52"/>
      <c r="H296" s="52"/>
      <c r="I296" s="52"/>
      <c r="J296" s="54"/>
      <c r="K296" s="60"/>
      <c r="L296" s="4250" t="str">
        <f>IF(OR(O296="No",O296="",O297="No",O297="",O298="No",O298="",O299="No",O299=""),"Unmet criterion results in no points!","")</f>
        <v/>
      </c>
      <c r="M296" s="4250"/>
      <c r="N296" s="366" t="s">
        <v>2323</v>
      </c>
      <c r="O296" s="2492" t="s">
        <v>2768</v>
      </c>
      <c r="P296" s="2952"/>
      <c r="R296" s="4243" t="str">
        <f>IF(OR(P296="No",P296="",P297="No",P297="",P298="No",P298="",P299="No",P299=""),"Unmet criterion results in no points!","")</f>
        <v>Unmet criterion results in no points!</v>
      </c>
      <c r="S296" s="4243" t="e">
        <f>IF(OR(V296="No",V296="",V297="No",V297="",V298="No",V298="",V299="No",V299="",#REF!="No",#REF!="",#REF!="No",#REF!=""),"Unmet criterion results in no points!","")</f>
        <v>#REF!</v>
      </c>
    </row>
    <row r="297" spans="1:20" s="99" customFormat="1" ht="12.75" customHeight="1">
      <c r="B297" s="366" t="s">
        <v>2324</v>
      </c>
      <c r="C297" s="133" t="s">
        <v>3410</v>
      </c>
      <c r="L297" s="4250"/>
      <c r="M297" s="4250"/>
      <c r="N297" s="366" t="s">
        <v>2324</v>
      </c>
      <c r="O297" s="2666" t="s">
        <v>2768</v>
      </c>
      <c r="P297" s="2953"/>
      <c r="R297" s="4243"/>
      <c r="S297" s="4243"/>
    </row>
    <row r="298" spans="1:20" s="99" customFormat="1" ht="12.75" customHeight="1">
      <c r="B298" s="366" t="s">
        <v>2325</v>
      </c>
      <c r="C298" s="133" t="s">
        <v>3409</v>
      </c>
      <c r="L298" s="4250"/>
      <c r="M298" s="4250"/>
      <c r="N298" s="366" t="s">
        <v>2325</v>
      </c>
      <c r="O298" s="2666" t="s">
        <v>6877</v>
      </c>
      <c r="P298" s="2953"/>
      <c r="R298" s="4243"/>
      <c r="S298" s="4243"/>
    </row>
    <row r="299" spans="1:20" s="99" customFormat="1" ht="33.75" customHeight="1">
      <c r="B299" s="379" t="s">
        <v>2326</v>
      </c>
      <c r="C299" s="4241" t="s">
        <v>3994</v>
      </c>
      <c r="D299" s="4241"/>
      <c r="E299" s="4241"/>
      <c r="F299" s="4241"/>
      <c r="G299" s="4241"/>
      <c r="H299" s="4241"/>
      <c r="I299" s="4241"/>
      <c r="J299" s="4241"/>
      <c r="K299" s="4241"/>
      <c r="L299" s="4241"/>
      <c r="M299" s="4241"/>
      <c r="N299" s="379" t="s">
        <v>2326</v>
      </c>
      <c r="O299" s="2658" t="s">
        <v>6877</v>
      </c>
      <c r="P299" s="2962"/>
    </row>
    <row r="300" spans="1:20" ht="3" customHeight="1">
      <c r="C300" s="4241"/>
      <c r="D300" s="4241"/>
      <c r="E300" s="4241"/>
      <c r="F300" s="4241"/>
      <c r="G300" s="4241"/>
      <c r="H300" s="4241"/>
      <c r="I300" s="4241"/>
      <c r="J300" s="4241"/>
      <c r="K300" s="4241"/>
      <c r="L300" s="4241"/>
      <c r="M300" s="4241"/>
    </row>
    <row r="301" spans="1:20" ht="12.75" customHeight="1">
      <c r="A301" s="911" t="s">
        <v>1892</v>
      </c>
      <c r="B301" s="175" t="s">
        <v>3493</v>
      </c>
      <c r="L301" s="367" t="str">
        <f>IF(O301&lt;=M301,"","* * Check Score! * *")</f>
        <v/>
      </c>
      <c r="M301" s="968">
        <v>3</v>
      </c>
      <c r="N301" s="439" t="s">
        <v>1892</v>
      </c>
      <c r="O301" s="2573"/>
      <c r="P301" s="3007"/>
      <c r="Q301" s="895" t="str">
        <f>IF(O301&lt;=M301,"","*CHECK!*")</f>
        <v/>
      </c>
      <c r="R301" s="4242" t="s">
        <v>4264</v>
      </c>
      <c r="S301" s="4242"/>
      <c r="T301" s="1498"/>
    </row>
    <row r="302" spans="1:20" ht="12.75" customHeight="1">
      <c r="A302" s="911"/>
      <c r="B302" s="533" t="s">
        <v>1895</v>
      </c>
      <c r="C302" s="898" t="s">
        <v>3997</v>
      </c>
      <c r="D302" s="898"/>
      <c r="E302" s="898"/>
      <c r="F302" s="898"/>
      <c r="G302" s="898"/>
      <c r="H302" s="898"/>
      <c r="I302" s="898"/>
      <c r="N302" s="27"/>
      <c r="O302" s="27"/>
      <c r="P302" s="27"/>
      <c r="R302" s="4242"/>
      <c r="S302" s="4242"/>
      <c r="T302" s="1498"/>
    </row>
    <row r="303" spans="1:20" ht="12.75" customHeight="1">
      <c r="A303" s="911"/>
      <c r="B303" s="423"/>
      <c r="C303" s="898" t="s">
        <v>3996</v>
      </c>
      <c r="D303" s="898"/>
      <c r="E303" s="898"/>
      <c r="F303" s="898"/>
      <c r="G303" s="898"/>
      <c r="H303" s="898"/>
      <c r="I303" s="898"/>
      <c r="J303" s="4251" t="s">
        <v>1899</v>
      </c>
      <c r="K303" s="4251"/>
      <c r="M303" s="4251" t="s">
        <v>1899</v>
      </c>
      <c r="N303" s="4251"/>
      <c r="O303" s="4251"/>
      <c r="P303" s="4251"/>
      <c r="R303" s="4242"/>
      <c r="S303" s="4242"/>
      <c r="T303" s="1498"/>
    </row>
    <row r="304" spans="1:20" s="43" customFormat="1" ht="12.75" customHeight="1">
      <c r="A304" s="173"/>
      <c r="B304" s="366" t="s">
        <v>2323</v>
      </c>
      <c r="C304" s="36" t="s">
        <v>1423</v>
      </c>
      <c r="I304" s="366" t="s">
        <v>2323</v>
      </c>
      <c r="J304" s="4412"/>
      <c r="K304" s="4413"/>
      <c r="L304" s="366" t="s">
        <v>2323</v>
      </c>
      <c r="M304" s="4264"/>
      <c r="N304" s="4265"/>
      <c r="O304" s="4265"/>
      <c r="P304" s="4266"/>
      <c r="R304" s="367"/>
    </row>
    <row r="305" spans="1:18" ht="12.75" customHeight="1">
      <c r="A305" s="174"/>
      <c r="B305" s="379" t="s">
        <v>2324</v>
      </c>
      <c r="C305" s="36" t="s">
        <v>3276</v>
      </c>
      <c r="I305" s="379" t="s">
        <v>2324</v>
      </c>
      <c r="J305" s="4223"/>
      <c r="K305" s="4224"/>
      <c r="L305" s="379" t="s">
        <v>2324</v>
      </c>
      <c r="M305" s="4220"/>
      <c r="N305" s="4221"/>
      <c r="O305" s="4221"/>
      <c r="P305" s="4222"/>
      <c r="R305" s="367"/>
    </row>
    <row r="306" spans="1:18" ht="12.75" customHeight="1">
      <c r="B306" s="366" t="s">
        <v>2325</v>
      </c>
      <c r="C306" s="36" t="s">
        <v>4155</v>
      </c>
      <c r="I306" s="366" t="s">
        <v>2325</v>
      </c>
      <c r="J306" s="4223"/>
      <c r="K306" s="4224"/>
      <c r="L306" s="366" t="s">
        <v>2325</v>
      </c>
      <c r="M306" s="4220"/>
      <c r="N306" s="4221"/>
      <c r="O306" s="4221"/>
      <c r="P306" s="4222"/>
      <c r="R306" s="367"/>
    </row>
    <row r="307" spans="1:18" ht="12.75" customHeight="1">
      <c r="A307" s="174"/>
      <c r="B307" s="366" t="s">
        <v>2326</v>
      </c>
      <c r="C307" s="36" t="s">
        <v>3191</v>
      </c>
      <c r="I307" s="366" t="s">
        <v>2326</v>
      </c>
      <c r="J307" s="4223"/>
      <c r="K307" s="4224"/>
      <c r="L307" s="366" t="s">
        <v>2326</v>
      </c>
      <c r="M307" s="4220"/>
      <c r="N307" s="4221"/>
      <c r="O307" s="4221"/>
      <c r="P307" s="4222"/>
      <c r="R307" s="367"/>
    </row>
    <row r="308" spans="1:18" s="43" customFormat="1" ht="12.75" customHeight="1">
      <c r="A308" s="173"/>
      <c r="B308" s="379" t="s">
        <v>2327</v>
      </c>
      <c r="C308" s="36" t="s">
        <v>2570</v>
      </c>
      <c r="I308" s="379" t="s">
        <v>2327</v>
      </c>
      <c r="J308" s="4223"/>
      <c r="K308" s="4224"/>
      <c r="L308" s="379" t="s">
        <v>2327</v>
      </c>
      <c r="M308" s="4220"/>
      <c r="N308" s="4221"/>
      <c r="O308" s="4221"/>
      <c r="P308" s="4222"/>
      <c r="R308" s="367"/>
    </row>
    <row r="309" spans="1:18" ht="12.75" customHeight="1">
      <c r="B309" s="366" t="s">
        <v>2343</v>
      </c>
      <c r="C309" s="36" t="s">
        <v>1422</v>
      </c>
      <c r="I309" s="366" t="s">
        <v>2343</v>
      </c>
      <c r="J309" s="4223"/>
      <c r="K309" s="4224"/>
      <c r="L309" s="366" t="s">
        <v>2343</v>
      </c>
      <c r="M309" s="4220"/>
      <c r="N309" s="4221"/>
      <c r="O309" s="4221"/>
      <c r="P309" s="4222"/>
      <c r="R309" s="367"/>
    </row>
    <row r="310" spans="1:18" ht="12.75" customHeight="1">
      <c r="B310" s="366" t="s">
        <v>2344</v>
      </c>
      <c r="C310" s="36" t="s">
        <v>6503</v>
      </c>
      <c r="I310" s="366" t="s">
        <v>2344</v>
      </c>
      <c r="J310" s="4223"/>
      <c r="K310" s="4224"/>
      <c r="L310" s="366" t="s">
        <v>2344</v>
      </c>
      <c r="M310" s="3013"/>
      <c r="N310" s="3014"/>
      <c r="O310" s="3014"/>
      <c r="P310" s="3015"/>
      <c r="R310" s="367"/>
    </row>
    <row r="311" spans="1:18" ht="12.75" customHeight="1">
      <c r="A311" s="174"/>
      <c r="B311" s="378" t="s">
        <v>2345</v>
      </c>
      <c r="C311" s="36" t="s">
        <v>3275</v>
      </c>
      <c r="I311" s="378" t="s">
        <v>2345</v>
      </c>
      <c r="J311" s="4223"/>
      <c r="K311" s="4224"/>
      <c r="L311" s="378" t="s">
        <v>2345</v>
      </c>
      <c r="M311" s="4220"/>
      <c r="N311" s="4221"/>
      <c r="O311" s="4221"/>
      <c r="P311" s="4222"/>
      <c r="R311" s="367"/>
    </row>
    <row r="312" spans="1:18" ht="12.75" customHeight="1">
      <c r="B312" s="378" t="s">
        <v>2346</v>
      </c>
      <c r="C312" s="36" t="s">
        <v>3998</v>
      </c>
      <c r="I312" s="378" t="s">
        <v>2346</v>
      </c>
      <c r="J312" s="4223"/>
      <c r="K312" s="4224"/>
      <c r="L312" s="378" t="s">
        <v>2346</v>
      </c>
      <c r="M312" s="4220"/>
      <c r="N312" s="4221"/>
      <c r="O312" s="4221"/>
      <c r="P312" s="4222"/>
      <c r="R312" s="367"/>
    </row>
    <row r="313" spans="1:18" ht="12.75" customHeight="1">
      <c r="B313" s="378" t="s">
        <v>3277</v>
      </c>
      <c r="C313" s="36" t="s">
        <v>3999</v>
      </c>
      <c r="I313" s="378" t="s">
        <v>3277</v>
      </c>
      <c r="J313" s="4223"/>
      <c r="K313" s="4224"/>
      <c r="L313" s="378" t="s">
        <v>3277</v>
      </c>
      <c r="M313" s="4220"/>
      <c r="N313" s="4221"/>
      <c r="O313" s="4221"/>
      <c r="P313" s="4222"/>
      <c r="R313" s="367"/>
    </row>
    <row r="314" spans="1:18" ht="12.75" customHeight="1" thickBot="1">
      <c r="B314" s="378" t="s">
        <v>6504</v>
      </c>
      <c r="C314" s="36" t="s">
        <v>6505</v>
      </c>
      <c r="I314" s="378" t="s">
        <v>6504</v>
      </c>
      <c r="J314" s="4223"/>
      <c r="K314" s="4224"/>
      <c r="L314" s="378" t="s">
        <v>6504</v>
      </c>
      <c r="M314" s="4428"/>
      <c r="N314" s="4429"/>
      <c r="O314" s="4429"/>
      <c r="P314" s="4430"/>
      <c r="R314" s="367"/>
    </row>
    <row r="315" spans="1:18" ht="12.75" customHeight="1" thickBot="1">
      <c r="B315" s="988" t="s">
        <v>4000</v>
      </c>
      <c r="H315" s="1006" t="s">
        <v>2500</v>
      </c>
      <c r="J315" s="4406">
        <f>SUM(J304:K314)</f>
        <v>0</v>
      </c>
      <c r="K315" s="4407"/>
      <c r="M315" s="4406">
        <f>SUM($M304:$M314)</f>
        <v>0</v>
      </c>
      <c r="N315" s="4411"/>
      <c r="O315" s="4411"/>
      <c r="P315" s="4407"/>
      <c r="R315" s="367"/>
    </row>
    <row r="316" spans="1:18" ht="6" customHeight="1">
      <c r="M316" s="474"/>
      <c r="N316" s="474"/>
      <c r="O316" s="157"/>
      <c r="P316" s="474"/>
    </row>
    <row r="317" spans="1:18" s="43" customFormat="1" ht="12" customHeight="1">
      <c r="A317" s="42"/>
      <c r="B317" s="1279" t="s">
        <v>1897</v>
      </c>
      <c r="C317" s="484" t="s">
        <v>2499</v>
      </c>
      <c r="D317" s="897"/>
      <c r="E317" s="897"/>
      <c r="F317" s="419" t="s">
        <v>6507</v>
      </c>
      <c r="H317" s="27"/>
      <c r="I317" s="27"/>
      <c r="J317" s="4290">
        <f>'Part VI-Revenues &amp; Expenses'!$P$67</f>
        <v>72</v>
      </c>
      <c r="K317" s="4291"/>
      <c r="L317" s="497"/>
      <c r="M317" s="474"/>
      <c r="N317" s="474"/>
      <c r="O317" s="962"/>
      <c r="P317" s="474"/>
    </row>
    <row r="318" spans="1:18" ht="13.5" customHeight="1">
      <c r="C318" s="897"/>
      <c r="D318" s="897"/>
      <c r="E318" s="897"/>
      <c r="F318" s="422" t="s">
        <v>6508</v>
      </c>
      <c r="J318" s="4383">
        <f>J315/J317</f>
        <v>0</v>
      </c>
      <c r="K318" s="4384"/>
      <c r="M318" s="4416">
        <f>IF($J317=0,0,$M315/$J317)</f>
        <v>0</v>
      </c>
      <c r="N318" s="4417"/>
      <c r="O318" s="4417"/>
      <c r="P318" s="4418"/>
    </row>
    <row r="319" spans="1:18" s="43" customFormat="1" ht="12.75" customHeight="1">
      <c r="C319" s="897"/>
      <c r="D319" s="897"/>
      <c r="E319" s="897"/>
      <c r="F319" s="921" t="s">
        <v>6509</v>
      </c>
      <c r="I319" s="27"/>
      <c r="J319" s="4380">
        <f>IF(L296="", IF($J318&gt;=30000, 3,IF($J318&gt;=20000, 2,IF($J318&gt;=10000,1,0))),0)</f>
        <v>0</v>
      </c>
      <c r="K319" s="4382"/>
      <c r="L319" s="482"/>
      <c r="M319" s="4380">
        <f>IF(R296="", IF($M318&gt;=30000, 3,IF($M318&gt;=20000, 2,IF($M318&gt;=10000,1,0))),0)</f>
        <v>0</v>
      </c>
      <c r="N319" s="4381"/>
      <c r="O319" s="4381"/>
      <c r="P319" s="4382"/>
    </row>
    <row r="320" spans="1:18" ht="9" customHeight="1" thickBot="1"/>
    <row r="321" spans="1:22" s="101" customFormat="1" ht="12.75" customHeight="1" thickBot="1">
      <c r="A321" s="1401" t="s">
        <v>1894</v>
      </c>
      <c r="B321" s="177" t="s">
        <v>3278</v>
      </c>
      <c r="D321" s="39"/>
      <c r="E321" s="36"/>
      <c r="F321" s="777"/>
      <c r="H321" s="36"/>
      <c r="I321" s="777"/>
      <c r="J321" s="783"/>
      <c r="K321" s="783"/>
      <c r="L321" s="367" t="str">
        <f>IF(OR($O321=$M321,$O321=0,$O321=""),"","* * Check Score! * *")</f>
        <v/>
      </c>
      <c r="M321" s="535">
        <v>1</v>
      </c>
      <c r="N321" s="64" t="s">
        <v>1894</v>
      </c>
      <c r="O321" s="2605">
        <v>1</v>
      </c>
      <c r="P321" s="965"/>
      <c r="Q321" s="892" t="s">
        <v>4264</v>
      </c>
      <c r="V321" s="929"/>
    </row>
    <row r="322" spans="1:22" s="43" customFormat="1" ht="22.5" customHeight="1">
      <c r="A322" s="137"/>
      <c r="B322" s="423" t="s">
        <v>1895</v>
      </c>
      <c r="C322" s="3950" t="s">
        <v>3494</v>
      </c>
      <c r="D322" s="3950"/>
      <c r="E322" s="3950"/>
      <c r="F322" s="3950"/>
      <c r="G322" s="3950"/>
      <c r="H322" s="3950"/>
      <c r="I322" s="3950"/>
      <c r="J322" s="3950"/>
      <c r="K322" s="3950"/>
      <c r="L322" s="3950"/>
      <c r="M322" s="3950"/>
      <c r="N322" s="1737" t="s">
        <v>1895</v>
      </c>
      <c r="O322" s="2664" t="s">
        <v>2768</v>
      </c>
      <c r="P322" s="2972"/>
      <c r="V322" s="929"/>
    </row>
    <row r="323" spans="1:22" s="43" customFormat="1" ht="12.75" customHeight="1">
      <c r="A323" s="137"/>
      <c r="B323" s="365" t="s">
        <v>1897</v>
      </c>
      <c r="C323" s="52" t="s">
        <v>3404</v>
      </c>
      <c r="D323" s="52"/>
      <c r="E323" s="52"/>
      <c r="F323" s="52"/>
      <c r="G323" s="52"/>
      <c r="H323" s="52"/>
      <c r="I323" s="52"/>
      <c r="J323" s="52"/>
      <c r="K323" s="52"/>
      <c r="M323" s="52"/>
      <c r="N323" s="779" t="s">
        <v>1897</v>
      </c>
      <c r="O323" s="2671" t="s">
        <v>2768</v>
      </c>
      <c r="P323" s="2954"/>
      <c r="V323" s="929"/>
    </row>
    <row r="324" spans="1:22" ht="12.75" customHeight="1">
      <c r="B324" s="365" t="s">
        <v>2415</v>
      </c>
      <c r="C324" s="418" t="s">
        <v>4001</v>
      </c>
      <c r="N324" s="779" t="s">
        <v>2415</v>
      </c>
      <c r="O324" s="2671" t="s">
        <v>2768</v>
      </c>
      <c r="P324" s="2954"/>
    </row>
    <row r="325" spans="1:22" ht="12" customHeight="1" thickBot="1">
      <c r="B325" s="1007" t="s">
        <v>3373</v>
      </c>
    </row>
    <row r="326" spans="1:22" s="43" customFormat="1" ht="42" customHeight="1" thickTop="1" thickBot="1">
      <c r="A326" s="4211" t="s">
        <v>7011</v>
      </c>
      <c r="B326" s="4212"/>
      <c r="C326" s="4212"/>
      <c r="D326" s="4212"/>
      <c r="E326" s="4212"/>
      <c r="F326" s="4212"/>
      <c r="G326" s="4212"/>
      <c r="H326" s="4212"/>
      <c r="I326" s="4212"/>
      <c r="J326" s="4212"/>
      <c r="K326" s="4212"/>
      <c r="L326" s="4212"/>
      <c r="M326" s="4212"/>
      <c r="N326" s="4212"/>
      <c r="O326" s="4212"/>
      <c r="P326" s="4213"/>
      <c r="Q326" s="933" t="s">
        <v>1208</v>
      </c>
    </row>
    <row r="327" spans="1:22" s="101" customFormat="1" ht="11.25" customHeight="1" thickTop="1">
      <c r="A327" s="42"/>
      <c r="B327" s="476" t="s">
        <v>1779</v>
      </c>
      <c r="C327" s="97"/>
      <c r="D327" s="96"/>
      <c r="E327" s="2667"/>
      <c r="F327" s="2659"/>
      <c r="G327" s="2659"/>
      <c r="H327" s="2659"/>
      <c r="I327" s="2659"/>
      <c r="J327" s="2659"/>
      <c r="K327" s="2659"/>
      <c r="L327" s="2659"/>
      <c r="M327" s="2659"/>
      <c r="N327" s="92"/>
      <c r="O327" s="767"/>
      <c r="P327" s="2648"/>
      <c r="Q327" s="414"/>
    </row>
    <row r="328" spans="1:22" s="43" customFormat="1" ht="11.25" customHeight="1">
      <c r="A328" s="4161"/>
      <c r="B328" s="4162"/>
      <c r="C328" s="4162"/>
      <c r="D328" s="4162"/>
      <c r="E328" s="4162"/>
      <c r="F328" s="4162"/>
      <c r="G328" s="4162"/>
      <c r="H328" s="4162"/>
      <c r="I328" s="4162"/>
      <c r="J328" s="4162"/>
      <c r="K328" s="4162"/>
      <c r="L328" s="4162"/>
      <c r="M328" s="4162"/>
      <c r="N328" s="4162"/>
      <c r="O328" s="4162"/>
      <c r="P328" s="4163"/>
      <c r="Q328" s="427"/>
    </row>
    <row r="329" spans="1:22" s="43" customFormat="1" ht="3" customHeight="1" thickBot="1">
      <c r="A329" s="42"/>
      <c r="B329" s="42"/>
      <c r="C329" s="2655"/>
      <c r="D329" s="2655"/>
      <c r="E329" s="2655"/>
      <c r="F329" s="2655"/>
      <c r="G329" s="2655"/>
      <c r="H329" s="2655"/>
      <c r="I329" s="2655"/>
      <c r="J329" s="2655"/>
      <c r="K329" s="2655"/>
      <c r="L329" s="2655"/>
      <c r="M329" s="2655"/>
      <c r="N329" s="74"/>
      <c r="O329" s="70"/>
      <c r="P329" s="777"/>
    </row>
    <row r="330" spans="1:22" s="43" customFormat="1" ht="13.5" customHeight="1" thickBot="1">
      <c r="A330" s="1489" t="s">
        <v>3521</v>
      </c>
      <c r="B330" s="104" t="s">
        <v>2565</v>
      </c>
      <c r="D330" s="40"/>
      <c r="G330" s="61" t="s">
        <v>6295</v>
      </c>
      <c r="I330" s="1672" t="s">
        <v>6542</v>
      </c>
      <c r="J330" s="1623" t="str">
        <f>IF(OR($M$32="9% Credit Competitive Round only", $M$32="9% Credit &amp; HOME"),"9%",IF(OR($M$32="4% Credit/TE Bond", $M$32="4% Credit/TE Bond &amp; HOME", $M$32="4% Credit/TE Bond &amp; HOME NOFA", $M$32="4% Credit &amp; NHTF", $M$32="4% Credit &amp; NHTF &amp; HOME"),"4%",""))</f>
        <v>9%</v>
      </c>
      <c r="K330" s="1624" t="s">
        <v>367</v>
      </c>
      <c r="L330" s="1625" t="str">
        <f>M43</f>
        <v>New Supply</v>
      </c>
      <c r="M330" s="2648">
        <v>2</v>
      </c>
      <c r="N330" s="439"/>
      <c r="O330" s="974">
        <f>MIN($M330,O334+O341)</f>
        <v>0</v>
      </c>
      <c r="P330" s="974">
        <f>MIN($M330,P334+P341)</f>
        <v>0</v>
      </c>
      <c r="Q330" s="108" t="s">
        <v>422</v>
      </c>
      <c r="R330" s="367" t="str">
        <f>IF(OR($O334=$M330,$O334=0,$O334=""),"","* * Check Score! * *")</f>
        <v/>
      </c>
    </row>
    <row r="331" spans="1:22" s="401" customFormat="1" ht="1.5" customHeight="1">
      <c r="B331" s="423"/>
      <c r="F331" s="420"/>
      <c r="G331" s="782"/>
      <c r="M331" s="402"/>
      <c r="N331" s="402"/>
      <c r="O331" s="402"/>
      <c r="P331" s="402"/>
      <c r="Q331" s="170"/>
    </row>
    <row r="332" spans="1:22" s="401" customFormat="1" ht="12.75" customHeight="1">
      <c r="A332" s="152"/>
      <c r="B332" s="781" t="s">
        <v>3192</v>
      </c>
      <c r="D332" s="3814" t="s">
        <v>4068</v>
      </c>
      <c r="E332" s="3815"/>
      <c r="F332" s="3815"/>
      <c r="G332" s="3815"/>
      <c r="H332" s="3815"/>
      <c r="I332" s="3816"/>
      <c r="J332" s="382" t="s">
        <v>2629</v>
      </c>
      <c r="L332" s="491">
        <f>'Part III-Sources of Funds'!$I$53</f>
        <v>0</v>
      </c>
      <c r="M332" s="402"/>
      <c r="N332" s="402"/>
      <c r="O332" s="402"/>
      <c r="P332" s="402"/>
      <c r="Q332" s="170"/>
    </row>
    <row r="333" spans="1:22" s="401" customFormat="1" ht="1.5" customHeight="1">
      <c r="B333" s="423"/>
      <c r="M333" s="402"/>
      <c r="N333" s="402"/>
      <c r="O333" s="402"/>
      <c r="P333" s="402"/>
      <c r="Q333" s="170"/>
    </row>
    <row r="334" spans="1:22" s="401" customFormat="1" ht="12.75" customHeight="1">
      <c r="A334" s="1015" t="s">
        <v>1892</v>
      </c>
      <c r="B334" s="86" t="s">
        <v>4156</v>
      </c>
      <c r="C334" s="382"/>
      <c r="D334" s="382"/>
      <c r="E334" s="382"/>
      <c r="F334" s="382"/>
      <c r="G334" s="382"/>
      <c r="H334" s="382"/>
      <c r="I334" s="382"/>
      <c r="M334" s="402">
        <v>2</v>
      </c>
      <c r="N334" s="159" t="s">
        <v>1892</v>
      </c>
      <c r="O334" s="2573"/>
      <c r="P334" s="3007"/>
      <c r="Q334" s="895" t="str">
        <f>IF(OR($O334=$M334,$O334=0,$O334=""),"","*CHECK!*")</f>
        <v/>
      </c>
      <c r="R334" s="892" t="s">
        <v>4264</v>
      </c>
    </row>
    <row r="335" spans="1:22" s="401" customFormat="1" ht="12" customHeight="1">
      <c r="A335" s="400"/>
      <c r="B335" s="3958" t="s">
        <v>6510</v>
      </c>
      <c r="C335" s="3958"/>
      <c r="D335" s="3958"/>
      <c r="E335" s="3958"/>
      <c r="F335" s="3958"/>
      <c r="G335" s="3958"/>
      <c r="H335" s="3958"/>
      <c r="I335" s="3958"/>
      <c r="J335" s="3958"/>
      <c r="K335" s="3958"/>
      <c r="L335" s="3958"/>
      <c r="M335" s="4427" t="s">
        <v>4069</v>
      </c>
      <c r="N335" s="4427"/>
      <c r="Q335" s="170"/>
    </row>
    <row r="336" spans="1:22" s="401" customFormat="1" ht="12" customHeight="1">
      <c r="B336" s="3958"/>
      <c r="C336" s="3958"/>
      <c r="D336" s="3958"/>
      <c r="E336" s="3958"/>
      <c r="F336" s="3958"/>
      <c r="G336" s="3958"/>
      <c r="H336" s="3958"/>
      <c r="I336" s="3958"/>
      <c r="J336" s="3958"/>
      <c r="K336" s="3958"/>
      <c r="L336" s="3958"/>
      <c r="M336" s="4427"/>
      <c r="N336" s="4427"/>
      <c r="O336" s="4431">
        <f>'Part VI-Revenues &amp; Expenses'!$P$123</f>
        <v>0</v>
      </c>
      <c r="P336" s="4432"/>
      <c r="Q336" s="170"/>
    </row>
    <row r="337" spans="1:19" s="401" customFormat="1" ht="12" customHeight="1">
      <c r="B337" s="3958"/>
      <c r="C337" s="3958"/>
      <c r="D337" s="3958"/>
      <c r="E337" s="3958"/>
      <c r="F337" s="3958"/>
      <c r="G337" s="3958"/>
      <c r="H337" s="3958"/>
      <c r="I337" s="3958"/>
      <c r="J337" s="3958"/>
      <c r="K337" s="3958"/>
      <c r="L337" s="3958"/>
      <c r="M337" s="2637" t="s">
        <v>2627</v>
      </c>
      <c r="N337" s="402"/>
      <c r="O337" s="4376">
        <f>'Part VI-Revenues &amp; Expenses'!$P$67</f>
        <v>72</v>
      </c>
      <c r="P337" s="4377"/>
      <c r="Q337" s="170"/>
    </row>
    <row r="338" spans="1:19" s="401" customFormat="1" ht="12" customHeight="1">
      <c r="B338" s="4433"/>
      <c r="C338" s="4433"/>
      <c r="D338" s="4433"/>
      <c r="E338" s="4433"/>
      <c r="F338" s="4433"/>
      <c r="G338" s="4433"/>
      <c r="H338" s="4433"/>
      <c r="I338" s="4433"/>
      <c r="J338" s="4433"/>
      <c r="K338" s="4433"/>
      <c r="L338" s="4433"/>
      <c r="M338" s="1280" t="s">
        <v>2628</v>
      </c>
      <c r="N338" s="402"/>
      <c r="O338" s="4225">
        <f>IF(O337=0,0,O336/O337)</f>
        <v>0</v>
      </c>
      <c r="P338" s="4226"/>
      <c r="Q338" s="170"/>
    </row>
    <row r="339" spans="1:19" s="43" customFormat="1" ht="27" customHeight="1">
      <c r="A339" s="492"/>
      <c r="B339" s="4144" t="s">
        <v>3566</v>
      </c>
      <c r="C339" s="4145"/>
      <c r="D339" s="4145"/>
      <c r="E339" s="4145"/>
      <c r="F339" s="4145"/>
      <c r="G339" s="4145"/>
      <c r="H339" s="4145"/>
      <c r="I339" s="4145"/>
      <c r="J339" s="4145"/>
      <c r="K339" s="4145"/>
      <c r="L339" s="4145"/>
      <c r="M339" s="4145"/>
      <c r="N339" s="4145"/>
      <c r="O339" s="4145"/>
      <c r="P339" s="4146"/>
      <c r="Q339" s="427" t="s">
        <v>1208</v>
      </c>
      <c r="R339" s="933"/>
      <c r="S339" s="933"/>
    </row>
    <row r="340" spans="1:19" s="401" customFormat="1" ht="1.5" customHeight="1">
      <c r="A340" s="531"/>
      <c r="B340" s="423"/>
      <c r="F340" s="420"/>
      <c r="G340" s="782"/>
      <c r="M340" s="402"/>
      <c r="N340" s="402"/>
      <c r="O340" s="402"/>
      <c r="P340" s="402"/>
      <c r="Q340" s="170"/>
    </row>
    <row r="341" spans="1:19" s="401" customFormat="1" ht="12" customHeight="1">
      <c r="A341" s="493" t="s">
        <v>3565</v>
      </c>
      <c r="B341" s="807" t="s">
        <v>4157</v>
      </c>
      <c r="C341" s="138"/>
      <c r="D341" s="766"/>
      <c r="H341" s="382"/>
      <c r="M341" s="402">
        <v>2</v>
      </c>
      <c r="N341" s="159" t="s">
        <v>1894</v>
      </c>
      <c r="O341" s="2573"/>
      <c r="P341" s="3007"/>
      <c r="Q341" s="895" t="str">
        <f>IF(OR($O341=$M341,$O341=0,$O341=""),"","*CHECK!*")</f>
        <v/>
      </c>
      <c r="R341" s="892" t="s">
        <v>4264</v>
      </c>
    </row>
    <row r="342" spans="1:19" s="401" customFormat="1" ht="11.25" customHeight="1">
      <c r="A342" s="493"/>
      <c r="B342" s="3950" t="s">
        <v>6511</v>
      </c>
      <c r="C342" s="3950"/>
      <c r="D342" s="3950"/>
      <c r="E342" s="3950"/>
      <c r="F342" s="3950"/>
      <c r="G342" s="3950"/>
      <c r="H342" s="3950"/>
      <c r="I342" s="3950"/>
      <c r="J342" s="3950"/>
      <c r="K342" s="3950"/>
      <c r="L342" s="3950"/>
      <c r="M342" s="1320" t="s">
        <v>4002</v>
      </c>
      <c r="O342" s="4409">
        <f>'Part VI-Revenues &amp; Expenses'!$P$125</f>
        <v>0</v>
      </c>
      <c r="P342" s="4410"/>
      <c r="Q342" s="170"/>
    </row>
    <row r="343" spans="1:19" s="401" customFormat="1" ht="11.25" customHeight="1">
      <c r="A343" s="493"/>
      <c r="B343" s="3950"/>
      <c r="C343" s="3950"/>
      <c r="D343" s="3950"/>
      <c r="E343" s="3950"/>
      <c r="F343" s="3950"/>
      <c r="G343" s="3950"/>
      <c r="H343" s="3950"/>
      <c r="I343" s="3950"/>
      <c r="J343" s="3950"/>
      <c r="K343" s="3950"/>
      <c r="L343" s="3950"/>
      <c r="M343" s="1016" t="s">
        <v>2627</v>
      </c>
      <c r="N343" s="402"/>
      <c r="O343" s="4376">
        <f>'Part VI-Revenues &amp; Expenses'!$P$67</f>
        <v>72</v>
      </c>
      <c r="P343" s="4377"/>
      <c r="Q343" s="170"/>
    </row>
    <row r="344" spans="1:19" s="401" customFormat="1" ht="11.25" customHeight="1">
      <c r="A344" s="493"/>
      <c r="B344" s="3950"/>
      <c r="C344" s="3950"/>
      <c r="D344" s="3950"/>
      <c r="E344" s="3950"/>
      <c r="F344" s="3950"/>
      <c r="G344" s="3950"/>
      <c r="H344" s="3950"/>
      <c r="I344" s="3950"/>
      <c r="J344" s="3950"/>
      <c r="K344" s="3950"/>
      <c r="L344" s="3950"/>
      <c r="M344" s="1280" t="s">
        <v>2628</v>
      </c>
      <c r="N344" s="402"/>
      <c r="O344" s="4225">
        <f>IF(O343=0,0,O342/O343)</f>
        <v>0</v>
      </c>
      <c r="P344" s="4226"/>
      <c r="Q344" s="170"/>
    </row>
    <row r="345" spans="1:19" s="43" customFormat="1" ht="11.25" customHeight="1" thickBot="1">
      <c r="A345" s="42"/>
      <c r="B345" s="1007" t="s">
        <v>3373</v>
      </c>
      <c r="C345" s="42"/>
      <c r="D345" s="48"/>
      <c r="E345" s="48"/>
      <c r="F345" s="48"/>
      <c r="G345" s="48"/>
      <c r="H345" s="36"/>
      <c r="I345" s="36"/>
      <c r="J345" s="36"/>
      <c r="K345" s="36"/>
      <c r="M345" s="46"/>
      <c r="N345" s="62"/>
      <c r="O345" s="3"/>
      <c r="P345" s="2652"/>
    </row>
    <row r="346" spans="1:19" s="43" customFormat="1" ht="21" customHeight="1" thickTop="1" thickBot="1">
      <c r="A346" s="4211" t="s">
        <v>7009</v>
      </c>
      <c r="B346" s="4212"/>
      <c r="C346" s="4212"/>
      <c r="D346" s="4212"/>
      <c r="E346" s="4212"/>
      <c r="F346" s="4212"/>
      <c r="G346" s="4212"/>
      <c r="H346" s="4212"/>
      <c r="I346" s="4212"/>
      <c r="J346" s="4212"/>
      <c r="K346" s="4212"/>
      <c r="L346" s="4212"/>
      <c r="M346" s="4212"/>
      <c r="N346" s="4212"/>
      <c r="O346" s="4212"/>
      <c r="P346" s="4213"/>
      <c r="Q346" s="933" t="s">
        <v>1208</v>
      </c>
      <c r="R346" s="428"/>
    </row>
    <row r="347" spans="1:19" s="43" customFormat="1" ht="10.5" customHeight="1" thickTop="1">
      <c r="B347" s="85" t="s">
        <v>1779</v>
      </c>
      <c r="C347" s="97"/>
      <c r="D347" s="85"/>
      <c r="E347" s="98"/>
      <c r="F347" s="2655"/>
      <c r="G347" s="2655"/>
      <c r="H347" s="2655"/>
      <c r="I347" s="2655"/>
      <c r="J347" s="2655"/>
      <c r="K347" s="2655"/>
      <c r="L347" s="2655"/>
      <c r="M347" s="2655"/>
      <c r="N347" s="74"/>
      <c r="O347" s="70"/>
      <c r="P347" s="2648"/>
      <c r="Q347" s="414"/>
    </row>
    <row r="348" spans="1:19" s="43" customFormat="1" ht="22.15" customHeight="1">
      <c r="A348" s="4161"/>
      <c r="B348" s="4162"/>
      <c r="C348" s="4162"/>
      <c r="D348" s="4162"/>
      <c r="E348" s="4162"/>
      <c r="F348" s="4162"/>
      <c r="G348" s="4162"/>
      <c r="H348" s="4162"/>
      <c r="I348" s="4162"/>
      <c r="J348" s="4162"/>
      <c r="K348" s="4162"/>
      <c r="L348" s="4162"/>
      <c r="M348" s="4162"/>
      <c r="N348" s="4162"/>
      <c r="O348" s="4162"/>
      <c r="P348" s="4163"/>
      <c r="Q348" s="427"/>
    </row>
    <row r="349" spans="1:19" s="43" customFormat="1" ht="6" customHeight="1" thickBot="1">
      <c r="A349" s="42"/>
      <c r="B349" s="42"/>
      <c r="C349" s="2655"/>
      <c r="D349" s="2655"/>
      <c r="E349" s="2655"/>
      <c r="F349" s="2655"/>
      <c r="G349" s="2655"/>
      <c r="H349" s="2655"/>
      <c r="I349" s="2655"/>
      <c r="J349" s="2655"/>
      <c r="K349" s="2655"/>
      <c r="L349" s="2655"/>
      <c r="M349" s="2655"/>
      <c r="N349" s="74"/>
      <c r="O349" s="70"/>
      <c r="P349" s="777"/>
    </row>
    <row r="350" spans="1:19" s="101" customFormat="1" ht="14.25" customHeight="1" thickBot="1">
      <c r="A350" s="152" t="s">
        <v>3522</v>
      </c>
      <c r="B350" s="104" t="s">
        <v>4239</v>
      </c>
      <c r="D350" s="45"/>
      <c r="E350" s="45"/>
      <c r="F350" s="39"/>
      <c r="G350" s="36"/>
      <c r="I350" s="36"/>
      <c r="J350" s="36"/>
      <c r="K350" s="36"/>
      <c r="L350" s="367" t="str">
        <f>IF(OR($O350=$M350,$O350&lt;=0,$O350=""),"","* * Check Score! * *")</f>
        <v/>
      </c>
      <c r="M350" s="2648">
        <v>10</v>
      </c>
      <c r="N350" s="6"/>
      <c r="O350" s="944">
        <f>MIN($M$350,O352-O353+O354)</f>
        <v>10</v>
      </c>
      <c r="P350" s="944">
        <f>MIN($M$350,P352-P353+P354)</f>
        <v>10</v>
      </c>
      <c r="Q350" s="108" t="s">
        <v>422</v>
      </c>
    </row>
    <row r="351" spans="1:19" s="101" customFormat="1" ht="1.5" customHeight="1">
      <c r="A351" s="152"/>
      <c r="B351" s="104"/>
      <c r="D351" s="45"/>
      <c r="E351" s="45"/>
      <c r="F351" s="39"/>
      <c r="G351" s="36"/>
      <c r="I351" s="36"/>
      <c r="J351" s="36"/>
      <c r="K351" s="36"/>
      <c r="L351" s="367"/>
      <c r="M351" s="2648"/>
      <c r="N351" s="6"/>
      <c r="O351" s="6"/>
      <c r="P351" s="6"/>
      <c r="Q351" s="108"/>
    </row>
    <row r="352" spans="1:19" s="101" customFormat="1" ht="12.75" customHeight="1">
      <c r="A352" s="152"/>
      <c r="B352" s="86" t="s">
        <v>3300</v>
      </c>
      <c r="D352" s="45"/>
      <c r="E352" s="45"/>
      <c r="F352" s="39"/>
      <c r="G352" s="36"/>
      <c r="I352" s="36"/>
      <c r="J352" s="36"/>
      <c r="K352" s="36"/>
      <c r="L352" s="367"/>
      <c r="M352" s="2648"/>
      <c r="N352" s="6"/>
      <c r="O352" s="977">
        <v>10</v>
      </c>
      <c r="P352" s="977">
        <v>10</v>
      </c>
      <c r="Q352" s="108"/>
    </row>
    <row r="353" spans="1:18" s="101" customFormat="1" ht="12.75" customHeight="1">
      <c r="A353" s="152"/>
      <c r="B353" s="86" t="s">
        <v>3301</v>
      </c>
      <c r="D353" s="45"/>
      <c r="E353" s="45"/>
      <c r="F353" s="39"/>
      <c r="G353" s="36"/>
      <c r="I353" s="36"/>
      <c r="J353" s="36"/>
      <c r="K353" s="36"/>
      <c r="L353" s="367"/>
      <c r="M353" s="2648"/>
      <c r="N353" s="6"/>
      <c r="O353" s="2606">
        <v>0</v>
      </c>
      <c r="P353" s="3010"/>
      <c r="Q353" s="108"/>
    </row>
    <row r="354" spans="1:18" s="101" customFormat="1" ht="12.75" customHeight="1">
      <c r="A354" s="152"/>
      <c r="B354" s="86" t="s">
        <v>3302</v>
      </c>
      <c r="D354" s="45"/>
      <c r="E354" s="45"/>
      <c r="F354" s="39"/>
      <c r="G354" s="36"/>
      <c r="I354" s="36"/>
      <c r="J354" s="36"/>
      <c r="K354" s="36"/>
      <c r="L354" s="367"/>
      <c r="M354" s="2648"/>
      <c r="N354" s="6"/>
      <c r="O354" s="2607">
        <v>5</v>
      </c>
      <c r="P354" s="2990"/>
      <c r="Q354" s="108"/>
    </row>
    <row r="355" spans="1:18" s="101" customFormat="1" ht="12.75" customHeight="1">
      <c r="A355" s="66"/>
      <c r="B355" s="66" t="s">
        <v>1779</v>
      </c>
      <c r="C355" s="50"/>
      <c r="D355" s="66"/>
      <c r="E355" s="2659"/>
      <c r="F355" s="2659"/>
      <c r="G355" s="2659"/>
      <c r="H355" s="2659"/>
      <c r="I355" s="2659"/>
      <c r="J355" s="2659"/>
      <c r="K355" s="2659"/>
      <c r="L355" s="2659"/>
      <c r="M355" s="2659"/>
      <c r="N355" s="92"/>
      <c r="O355" s="767"/>
      <c r="P355" s="2648"/>
    </row>
    <row r="356" spans="1:18" s="43" customFormat="1" ht="12.75" customHeight="1">
      <c r="A356" s="4161"/>
      <c r="B356" s="4162"/>
      <c r="C356" s="4162"/>
      <c r="D356" s="4162"/>
      <c r="E356" s="4162"/>
      <c r="F356" s="4162"/>
      <c r="G356" s="4162"/>
      <c r="H356" s="4162"/>
      <c r="I356" s="4162"/>
      <c r="J356" s="4162"/>
      <c r="K356" s="4162"/>
      <c r="L356" s="4162"/>
      <c r="M356" s="4162"/>
      <c r="N356" s="4162"/>
      <c r="O356" s="4162"/>
      <c r="P356" s="4163"/>
      <c r="Q356" s="933" t="s">
        <v>1208</v>
      </c>
      <c r="R356" s="428"/>
    </row>
    <row r="357" spans="1:18" s="43" customFormat="1" ht="6" customHeight="1" thickBot="1">
      <c r="A357" s="152"/>
      <c r="B357" s="42"/>
      <c r="C357" s="2655"/>
      <c r="D357" s="2655"/>
      <c r="E357" s="2655"/>
      <c r="F357" s="2655"/>
      <c r="G357" s="2655"/>
      <c r="H357" s="2655"/>
      <c r="I357" s="2655"/>
      <c r="J357" s="2655"/>
      <c r="K357" s="2655"/>
      <c r="L357" s="2655"/>
      <c r="M357" s="2655"/>
      <c r="N357" s="74"/>
      <c r="O357" s="70"/>
      <c r="P357" s="777"/>
    </row>
    <row r="358" spans="1:18" s="43" customFormat="1" ht="13.5" customHeight="1" thickBot="1">
      <c r="A358" s="151" t="s">
        <v>3525</v>
      </c>
      <c r="B358" s="105" t="s">
        <v>6512</v>
      </c>
      <c r="C358" s="2655"/>
      <c r="D358" s="2655"/>
      <c r="E358" s="2655"/>
      <c r="F358" s="2655"/>
      <c r="G358" s="61" t="s">
        <v>6295</v>
      </c>
      <c r="H358" s="2655"/>
      <c r="I358" s="178" t="s">
        <v>3985</v>
      </c>
      <c r="J358" s="1292" t="str">
        <f>'Part I-Project Information'!$H$77</f>
        <v>Family</v>
      </c>
      <c r="K358" s="2655"/>
      <c r="L358" s="2655"/>
      <c r="M358" s="777">
        <v>2</v>
      </c>
      <c r="N358" s="74"/>
      <c r="O358" s="2605"/>
      <c r="P358" s="965"/>
      <c r="Q358" s="108" t="s">
        <v>422</v>
      </c>
      <c r="R358" s="892" t="s">
        <v>2553</v>
      </c>
    </row>
    <row r="359" spans="1:18" s="43" customFormat="1" ht="12" customHeight="1" thickBot="1">
      <c r="A359" s="137" t="s">
        <v>1892</v>
      </c>
      <c r="B359" s="175" t="s">
        <v>6515</v>
      </c>
      <c r="C359" s="27"/>
      <c r="E359" s="88"/>
      <c r="F359" s="52"/>
      <c r="G359" s="52"/>
      <c r="H359" s="52"/>
      <c r="K359" s="60"/>
      <c r="L359" s="56"/>
      <c r="M359" s="417">
        <v>2</v>
      </c>
      <c r="N359" s="1736" t="s">
        <v>1892</v>
      </c>
      <c r="P359" s="965"/>
      <c r="Q359" s="108"/>
      <c r="R359" s="892" t="s">
        <v>2553</v>
      </c>
    </row>
    <row r="360" spans="1:18" s="43" customFormat="1" ht="11.25" customHeight="1">
      <c r="A360" s="151"/>
      <c r="B360" s="52" t="s">
        <v>3826</v>
      </c>
      <c r="C360" s="2655"/>
      <c r="D360" s="2655"/>
      <c r="E360" s="2655"/>
      <c r="F360" s="2655"/>
      <c r="G360" s="2655"/>
      <c r="H360" s="2655"/>
      <c r="I360" s="2655"/>
      <c r="J360" s="2655"/>
      <c r="K360" s="2655"/>
      <c r="L360" s="1276"/>
      <c r="M360" s="777"/>
      <c r="N360" s="74"/>
      <c r="O360" s="2493" t="s">
        <v>2771</v>
      </c>
      <c r="P360" s="2963"/>
      <c r="Q360" s="108"/>
    </row>
    <row r="361" spans="1:18" s="101" customFormat="1" ht="11.25" customHeight="1">
      <c r="A361" s="151"/>
      <c r="B361" s="112" t="s">
        <v>6518</v>
      </c>
      <c r="D361" s="783" t="s">
        <v>6558</v>
      </c>
      <c r="E361" s="2659"/>
      <c r="F361" s="2659"/>
      <c r="G361" s="2659"/>
      <c r="H361" s="2659"/>
      <c r="K361" s="2659"/>
      <c r="L361" s="2659"/>
      <c r="N361" s="92"/>
      <c r="O361" s="4415" t="s">
        <v>4262</v>
      </c>
      <c r="P361" s="4415"/>
      <c r="Q361" s="108"/>
    </row>
    <row r="362" spans="1:18" s="414" customFormat="1" ht="10.5" customHeight="1">
      <c r="A362" s="413"/>
      <c r="B362" s="1677" t="s">
        <v>2323</v>
      </c>
      <c r="C362" s="921" t="s">
        <v>6513</v>
      </c>
      <c r="N362" s="425" t="s">
        <v>2323</v>
      </c>
      <c r="O362" s="2608"/>
      <c r="P362" s="3016"/>
    </row>
    <row r="363" spans="1:18" s="401" customFormat="1" ht="21.75" customHeight="1">
      <c r="A363" s="142"/>
      <c r="B363" s="379" t="s">
        <v>2324</v>
      </c>
      <c r="C363" s="4084" t="s">
        <v>6514</v>
      </c>
      <c r="D363" s="4084"/>
      <c r="E363" s="4084"/>
      <c r="F363" s="4084"/>
      <c r="G363" s="4084"/>
      <c r="H363" s="4084"/>
      <c r="I363" s="4084"/>
      <c r="J363" s="4084"/>
      <c r="K363" s="4084"/>
      <c r="L363" s="4084"/>
      <c r="M363" s="4084"/>
      <c r="N363" s="159" t="s">
        <v>2324</v>
      </c>
      <c r="O363" s="2609"/>
      <c r="P363" s="3017"/>
    </row>
    <row r="364" spans="1:18" s="401" customFormat="1" ht="21.75" customHeight="1">
      <c r="A364" s="142"/>
      <c r="B364" s="379" t="s">
        <v>2325</v>
      </c>
      <c r="C364" s="4084" t="s">
        <v>6516</v>
      </c>
      <c r="D364" s="4084"/>
      <c r="E364" s="4084"/>
      <c r="F364" s="4084"/>
      <c r="G364" s="4084"/>
      <c r="H364" s="4084"/>
      <c r="I364" s="4084"/>
      <c r="J364" s="4084"/>
      <c r="K364" s="4084"/>
      <c r="L364" s="4084"/>
      <c r="M364" s="4084"/>
      <c r="N364" s="159" t="s">
        <v>2325</v>
      </c>
      <c r="O364" s="2609"/>
      <c r="P364" s="3017"/>
    </row>
    <row r="365" spans="1:18" s="101" customFormat="1" ht="11.25" customHeight="1">
      <c r="B365" s="366" t="s">
        <v>2326</v>
      </c>
      <c r="C365" s="36" t="s">
        <v>6517</v>
      </c>
      <c r="N365" s="439" t="s">
        <v>2326</v>
      </c>
      <c r="O365" s="2610"/>
      <c r="P365" s="3018"/>
    </row>
    <row r="366" spans="1:18" s="101" customFormat="1" ht="11.25" customHeight="1">
      <c r="A366" s="151"/>
      <c r="B366" s="112" t="s">
        <v>6519</v>
      </c>
      <c r="D366" s="2659"/>
      <c r="E366" s="2659"/>
      <c r="F366" s="2659"/>
      <c r="G366" s="2659"/>
      <c r="H366" s="783" t="s">
        <v>6558</v>
      </c>
      <c r="K366" s="2659"/>
      <c r="L366" s="2659"/>
      <c r="M366" s="777"/>
      <c r="N366" s="92"/>
      <c r="O366" s="4378" t="s">
        <v>4262</v>
      </c>
      <c r="P366" s="4378"/>
      <c r="Q366" s="108"/>
    </row>
    <row r="367" spans="1:18" s="414" customFormat="1" ht="12.75" customHeight="1">
      <c r="A367" s="413"/>
      <c r="B367" s="1677" t="s">
        <v>2323</v>
      </c>
      <c r="C367" s="4379" t="s">
        <v>6520</v>
      </c>
      <c r="D367" s="4379"/>
      <c r="E367" s="4379"/>
      <c r="F367" s="4379"/>
      <c r="G367" s="4379"/>
      <c r="H367" s="4379"/>
      <c r="I367" s="4379"/>
      <c r="J367" s="4379"/>
      <c r="K367" s="4379"/>
      <c r="L367" s="4379"/>
      <c r="N367" s="425" t="s">
        <v>2323</v>
      </c>
      <c r="O367" s="2608"/>
      <c r="P367" s="3016"/>
    </row>
    <row r="368" spans="1:18" s="414" customFormat="1" ht="12.75" customHeight="1">
      <c r="A368" s="413"/>
      <c r="B368" s="1677" t="s">
        <v>2324</v>
      </c>
      <c r="C368" s="4379" t="s">
        <v>6521</v>
      </c>
      <c r="D368" s="4379"/>
      <c r="E368" s="4379"/>
      <c r="F368" s="4379"/>
      <c r="G368" s="4379"/>
      <c r="H368" s="4379"/>
      <c r="I368" s="4379"/>
      <c r="J368" s="4379"/>
      <c r="K368" s="4379"/>
      <c r="L368" s="4379"/>
      <c r="M368" s="921"/>
      <c r="N368" s="425" t="s">
        <v>2324</v>
      </c>
      <c r="O368" s="2611"/>
      <c r="P368" s="3019"/>
    </row>
    <row r="369" spans="1:23" s="33" customFormat="1" ht="5.25" customHeight="1" thickBot="1">
      <c r="A369" s="2660"/>
      <c r="B369" s="558"/>
      <c r="C369" s="1674"/>
      <c r="D369" s="1674"/>
      <c r="E369" s="1674"/>
      <c r="F369" s="1674"/>
      <c r="G369" s="1674"/>
      <c r="H369" s="1674"/>
      <c r="I369" s="1674"/>
      <c r="J369" s="1674"/>
      <c r="K369" s="1674"/>
      <c r="L369" s="1674"/>
      <c r="M369" s="1674"/>
      <c r="Q369" s="898"/>
      <c r="R369" s="43"/>
      <c r="S369" s="43"/>
      <c r="T369" s="43"/>
      <c r="U369" s="43"/>
      <c r="V369" s="929"/>
      <c r="W369" s="929"/>
    </row>
    <row r="370" spans="1:23" ht="11.25" customHeight="1" thickBot="1">
      <c r="A370" s="137" t="s">
        <v>1894</v>
      </c>
      <c r="B370" s="175" t="s">
        <v>6522</v>
      </c>
      <c r="D370" s="33"/>
      <c r="M370" s="417">
        <v>2</v>
      </c>
      <c r="N370" s="1736" t="s">
        <v>1894</v>
      </c>
      <c r="O370" s="2612"/>
      <c r="P370" s="3020"/>
      <c r="Q370" s="892" t="s">
        <v>2553</v>
      </c>
      <c r="S370" s="43"/>
      <c r="T370" s="43"/>
      <c r="U370" s="43"/>
    </row>
    <row r="371" spans="1:23" ht="12" customHeight="1">
      <c r="A371" s="478"/>
      <c r="B371" s="783" t="s">
        <v>6558</v>
      </c>
      <c r="C371" s="478"/>
      <c r="D371" s="478"/>
      <c r="E371" s="478"/>
      <c r="F371" s="478"/>
      <c r="J371" s="902"/>
      <c r="K371" s="902"/>
      <c r="L371" s="902"/>
      <c r="O371" s="4218" t="s">
        <v>4262</v>
      </c>
      <c r="P371" s="4218"/>
      <c r="Q371" s="2637"/>
      <c r="R371" s="43"/>
      <c r="S371" s="43"/>
      <c r="T371" s="43"/>
      <c r="U371" s="43"/>
    </row>
    <row r="372" spans="1:23" s="401" customFormat="1" ht="11.25" customHeight="1">
      <c r="A372" s="1678"/>
      <c r="B372" s="423" t="s">
        <v>1895</v>
      </c>
      <c r="C372" s="4414" t="s">
        <v>6559</v>
      </c>
      <c r="D372" s="4414"/>
      <c r="E372" s="4414"/>
      <c r="F372" s="4414"/>
      <c r="G372" s="4414"/>
      <c r="H372" s="4414"/>
      <c r="I372" s="4414"/>
      <c r="J372" s="4414"/>
      <c r="K372" s="4414"/>
      <c r="L372" s="4414"/>
      <c r="M372" s="4414"/>
      <c r="N372" s="381" t="s">
        <v>1895</v>
      </c>
      <c r="O372" s="2613"/>
      <c r="P372" s="3021"/>
      <c r="Q372" s="1679"/>
    </row>
    <row r="373" spans="1:23" s="101" customFormat="1" ht="11.25" customHeight="1">
      <c r="A373" s="151"/>
      <c r="B373" s="423" t="s">
        <v>1897</v>
      </c>
      <c r="C373" s="2614" t="s">
        <v>6560</v>
      </c>
      <c r="D373" s="2615"/>
      <c r="E373" s="2615"/>
      <c r="F373" s="2615"/>
      <c r="G373" s="2615"/>
      <c r="H373" s="2615"/>
      <c r="I373" s="2615"/>
      <c r="J373" s="2615"/>
      <c r="K373" s="2615"/>
      <c r="L373" s="2615"/>
      <c r="M373" s="2615"/>
      <c r="N373" s="381" t="s">
        <v>1897</v>
      </c>
      <c r="O373" s="2616"/>
      <c r="P373" s="3022"/>
      <c r="Q373" s="108"/>
    </row>
    <row r="374" spans="1:23" s="43" customFormat="1" ht="11.25" customHeight="1" thickBot="1">
      <c r="A374" s="42"/>
      <c r="B374" s="1007" t="s">
        <v>3373</v>
      </c>
      <c r="C374" s="42"/>
      <c r="D374" s="48"/>
      <c r="E374" s="48"/>
      <c r="F374" s="48"/>
      <c r="G374" s="48"/>
      <c r="H374" s="36"/>
      <c r="I374" s="36"/>
      <c r="J374" s="36"/>
      <c r="K374" s="36"/>
      <c r="M374" s="46"/>
      <c r="N374" s="62"/>
      <c r="O374" s="3"/>
      <c r="P374" s="2652"/>
    </row>
    <row r="375" spans="1:23" s="43" customFormat="1" ht="17.25" customHeight="1" thickTop="1" thickBot="1">
      <c r="A375" s="4211" t="s">
        <v>7009</v>
      </c>
      <c r="B375" s="4212"/>
      <c r="C375" s="4212"/>
      <c r="D375" s="4212"/>
      <c r="E375" s="4212"/>
      <c r="F375" s="4212"/>
      <c r="G375" s="4212"/>
      <c r="H375" s="4212"/>
      <c r="I375" s="4212"/>
      <c r="J375" s="4212"/>
      <c r="K375" s="4212"/>
      <c r="L375" s="4212"/>
      <c r="M375" s="4212"/>
      <c r="N375" s="4212"/>
      <c r="O375" s="4212"/>
      <c r="P375" s="4213"/>
      <c r="Q375" s="933" t="s">
        <v>1208</v>
      </c>
      <c r="R375" s="428"/>
    </row>
    <row r="376" spans="1:23" s="43" customFormat="1" ht="10.5" customHeight="1" thickTop="1">
      <c r="B376" s="85" t="s">
        <v>1779</v>
      </c>
      <c r="C376" s="97"/>
      <c r="D376" s="85"/>
      <c r="E376" s="98"/>
      <c r="F376" s="2655"/>
      <c r="G376" s="2655"/>
      <c r="H376" s="2655"/>
      <c r="I376" s="2655"/>
      <c r="J376" s="2655"/>
      <c r="K376" s="2655"/>
      <c r="L376" s="2655"/>
      <c r="M376" s="2655"/>
      <c r="N376" s="74"/>
      <c r="O376" s="70"/>
      <c r="P376" s="2648"/>
      <c r="Q376" s="414"/>
    </row>
    <row r="377" spans="1:23" s="43" customFormat="1" ht="22.15" customHeight="1">
      <c r="A377" s="4161"/>
      <c r="B377" s="4162"/>
      <c r="C377" s="4162"/>
      <c r="D377" s="4162"/>
      <c r="E377" s="4162"/>
      <c r="F377" s="4162"/>
      <c r="G377" s="4162"/>
      <c r="H377" s="4162"/>
      <c r="I377" s="4162"/>
      <c r="J377" s="4162"/>
      <c r="K377" s="4162"/>
      <c r="L377" s="4162"/>
      <c r="M377" s="4162"/>
      <c r="N377" s="4162"/>
      <c r="O377" s="4162"/>
      <c r="P377" s="4163"/>
      <c r="Q377" s="427"/>
    </row>
    <row r="378" spans="1:23" s="43" customFormat="1" ht="4.5" customHeight="1" thickBot="1">
      <c r="A378" s="152"/>
      <c r="B378" s="42"/>
      <c r="C378" s="2655"/>
      <c r="D378" s="2655"/>
      <c r="E378" s="2655"/>
      <c r="F378" s="2655"/>
      <c r="G378" s="2655"/>
      <c r="H378" s="2655"/>
      <c r="I378" s="2655"/>
      <c r="J378" s="2655"/>
      <c r="K378" s="2655"/>
      <c r="L378" s="2655"/>
      <c r="M378" s="2655"/>
      <c r="N378" s="74"/>
      <c r="O378" s="70"/>
      <c r="P378" s="777"/>
    </row>
    <row r="379" spans="1:23" s="101" customFormat="1" ht="11.25" customHeight="1" thickBot="1">
      <c r="A379" s="152" t="s">
        <v>3526</v>
      </c>
      <c r="B379" s="104" t="s">
        <v>6524</v>
      </c>
      <c r="D379" s="45"/>
      <c r="E379" s="45"/>
      <c r="F379" s="39"/>
      <c r="M379" s="2648">
        <v>6</v>
      </c>
      <c r="N379" s="6"/>
      <c r="O379" s="2605"/>
      <c r="P379" s="965"/>
      <c r="Q379" s="108" t="s">
        <v>422</v>
      </c>
      <c r="R379" s="892" t="s">
        <v>2553</v>
      </c>
    </row>
    <row r="380" spans="1:23" s="101" customFormat="1" ht="10.5" customHeight="1">
      <c r="A380" s="66"/>
      <c r="B380" s="66" t="s">
        <v>1779</v>
      </c>
      <c r="C380" s="50"/>
      <c r="D380" s="66"/>
      <c r="E380" s="2659"/>
      <c r="F380" s="2659"/>
      <c r="G380" s="2659"/>
      <c r="H380" s="2659"/>
      <c r="I380" s="2659"/>
      <c r="J380" s="2659"/>
      <c r="K380" s="2659"/>
      <c r="L380" s="2659"/>
      <c r="M380" s="2659"/>
      <c r="N380" s="92"/>
      <c r="O380" s="767"/>
      <c r="P380" s="2648"/>
    </row>
    <row r="381" spans="1:23" s="43" customFormat="1" ht="10.9" customHeight="1">
      <c r="A381" s="4161"/>
      <c r="B381" s="4162"/>
      <c r="C381" s="4162"/>
      <c r="D381" s="4162"/>
      <c r="E381" s="4162"/>
      <c r="F381" s="4162"/>
      <c r="G381" s="4162"/>
      <c r="H381" s="4162"/>
      <c r="I381" s="4162"/>
      <c r="J381" s="4162"/>
      <c r="K381" s="4162"/>
      <c r="L381" s="4162"/>
      <c r="M381" s="4162"/>
      <c r="N381" s="4162"/>
      <c r="O381" s="4162"/>
      <c r="P381" s="4163"/>
      <c r="Q381" s="933" t="s">
        <v>1208</v>
      </c>
      <c r="R381" s="428"/>
    </row>
    <row r="382" spans="1:23" s="43" customFormat="1" ht="4.5" customHeight="1" thickBot="1">
      <c r="A382" s="152"/>
      <c r="B382" s="42"/>
      <c r="C382" s="2655"/>
      <c r="D382" s="2655"/>
      <c r="E382" s="2655"/>
      <c r="F382" s="2655"/>
      <c r="G382" s="2655"/>
      <c r="H382" s="2655"/>
      <c r="I382" s="2655"/>
      <c r="J382" s="2655"/>
      <c r="K382" s="2655"/>
      <c r="L382" s="2655"/>
      <c r="M382" s="2655"/>
      <c r="N382" s="74"/>
      <c r="O382" s="70"/>
      <c r="P382" s="777"/>
    </row>
    <row r="383" spans="1:23" s="101" customFormat="1" ht="11.25" customHeight="1" thickBot="1">
      <c r="A383" s="152" t="s">
        <v>3527</v>
      </c>
      <c r="B383" s="104" t="s">
        <v>6525</v>
      </c>
      <c r="D383" s="45"/>
      <c r="E383" s="45"/>
      <c r="F383" s="557"/>
      <c r="G383" s="36"/>
      <c r="M383" s="2648">
        <v>6</v>
      </c>
      <c r="N383" s="6"/>
      <c r="O383" s="2605"/>
      <c r="P383" s="965"/>
      <c r="Q383" s="108" t="s">
        <v>422</v>
      </c>
      <c r="R383" s="892" t="s">
        <v>2553</v>
      </c>
    </row>
    <row r="384" spans="1:23" s="101" customFormat="1" ht="10.5" customHeight="1">
      <c r="A384" s="66"/>
      <c r="B384" s="66" t="s">
        <v>1779</v>
      </c>
      <c r="C384" s="50"/>
      <c r="D384" s="66"/>
      <c r="E384" s="2659"/>
      <c r="F384" s="2659"/>
      <c r="G384" s="2659"/>
      <c r="H384" s="2659"/>
      <c r="I384" s="2659"/>
      <c r="J384" s="2659"/>
      <c r="K384" s="2659"/>
      <c r="L384" s="2659"/>
      <c r="M384" s="2659"/>
      <c r="N384" s="92"/>
      <c r="O384" s="767"/>
      <c r="P384" s="2648"/>
    </row>
    <row r="385" spans="1:18" s="43" customFormat="1" ht="10.9" customHeight="1">
      <c r="A385" s="4161"/>
      <c r="B385" s="4162"/>
      <c r="C385" s="4162"/>
      <c r="D385" s="4162"/>
      <c r="E385" s="4162"/>
      <c r="F385" s="4162"/>
      <c r="G385" s="4162"/>
      <c r="H385" s="4162"/>
      <c r="I385" s="4162"/>
      <c r="J385" s="4162"/>
      <c r="K385" s="4162"/>
      <c r="L385" s="4162"/>
      <c r="M385" s="4162"/>
      <c r="N385" s="4162"/>
      <c r="O385" s="4162"/>
      <c r="P385" s="4163"/>
      <c r="Q385" s="933" t="s">
        <v>1208</v>
      </c>
      <c r="R385" s="428"/>
    </row>
    <row r="386" spans="1:18" s="43" customFormat="1" ht="4.5" customHeight="1" thickBot="1">
      <c r="A386" s="152"/>
      <c r="B386" s="42"/>
      <c r="C386" s="2655"/>
      <c r="D386" s="2655"/>
      <c r="E386" s="2655"/>
      <c r="F386" s="2655"/>
      <c r="G386" s="2655"/>
      <c r="H386" s="2655"/>
      <c r="I386" s="2655"/>
      <c r="J386" s="2655"/>
      <c r="K386" s="2655"/>
      <c r="L386" s="2655"/>
      <c r="M386" s="2655"/>
      <c r="N386" s="74"/>
      <c r="O386" s="70"/>
      <c r="P386" s="777"/>
    </row>
    <row r="387" spans="1:18" s="101" customFormat="1" ht="11.25" customHeight="1" thickBot="1">
      <c r="A387" s="152" t="s">
        <v>3528</v>
      </c>
      <c r="B387" s="104" t="s">
        <v>6526</v>
      </c>
      <c r="D387" s="45"/>
      <c r="M387" s="2648">
        <v>2</v>
      </c>
      <c r="N387" s="6"/>
      <c r="O387" s="2605"/>
      <c r="P387" s="965"/>
      <c r="Q387" s="108" t="s">
        <v>422</v>
      </c>
      <c r="R387" s="892" t="s">
        <v>2553</v>
      </c>
    </row>
    <row r="388" spans="1:18" s="101" customFormat="1" ht="10.5" customHeight="1">
      <c r="A388" s="66"/>
      <c r="B388" s="66" t="s">
        <v>1779</v>
      </c>
      <c r="C388" s="50"/>
      <c r="D388" s="66"/>
      <c r="E388" s="2659"/>
      <c r="F388" s="2659"/>
      <c r="G388" s="2659"/>
      <c r="H388" s="2659"/>
      <c r="I388" s="2659"/>
      <c r="J388" s="2659"/>
      <c r="K388" s="2659"/>
      <c r="L388" s="2659"/>
      <c r="M388" s="2659"/>
      <c r="N388" s="92"/>
      <c r="O388" s="767"/>
      <c r="P388" s="2648"/>
    </row>
    <row r="389" spans="1:18" s="43" customFormat="1" ht="10.9" customHeight="1">
      <c r="A389" s="4161"/>
      <c r="B389" s="4162"/>
      <c r="C389" s="4162"/>
      <c r="D389" s="4162"/>
      <c r="E389" s="4162"/>
      <c r="F389" s="4162"/>
      <c r="G389" s="4162"/>
      <c r="H389" s="4162"/>
      <c r="I389" s="4162"/>
      <c r="J389" s="4162"/>
      <c r="K389" s="4162"/>
      <c r="L389" s="4162"/>
      <c r="M389" s="4162"/>
      <c r="N389" s="4162"/>
      <c r="O389" s="4162"/>
      <c r="P389" s="4163"/>
      <c r="Q389" s="933" t="s">
        <v>1208</v>
      </c>
      <c r="R389" s="428"/>
    </row>
    <row r="390" spans="1:18" s="43" customFormat="1" ht="4.5" customHeight="1" thickBot="1">
      <c r="A390" s="152"/>
      <c r="B390" s="42"/>
      <c r="C390" s="2655"/>
      <c r="D390" s="2655"/>
      <c r="E390" s="2655"/>
      <c r="F390" s="2655"/>
      <c r="G390" s="2655"/>
      <c r="H390" s="2655"/>
      <c r="I390" s="2655"/>
      <c r="J390" s="2655"/>
      <c r="K390" s="2655"/>
      <c r="L390" s="2655"/>
      <c r="M390" s="2655"/>
      <c r="N390" s="74"/>
      <c r="O390" s="70"/>
      <c r="P390" s="777"/>
    </row>
    <row r="391" spans="1:18" s="101" customFormat="1" ht="11.25" customHeight="1" thickBot="1">
      <c r="A391" s="152" t="s">
        <v>3529</v>
      </c>
      <c r="B391" s="104" t="s">
        <v>6527</v>
      </c>
      <c r="D391" s="45"/>
      <c r="M391" s="2648">
        <v>6</v>
      </c>
      <c r="N391" s="6"/>
      <c r="O391" s="2605"/>
      <c r="P391" s="965"/>
      <c r="Q391" s="108" t="s">
        <v>422</v>
      </c>
      <c r="R391" s="892" t="s">
        <v>2553</v>
      </c>
    </row>
    <row r="392" spans="1:18" s="101" customFormat="1" ht="10.5" customHeight="1">
      <c r="A392" s="66"/>
      <c r="B392" s="66" t="s">
        <v>1779</v>
      </c>
      <c r="C392" s="50"/>
      <c r="D392" s="66"/>
      <c r="E392" s="2659"/>
      <c r="F392" s="2659"/>
      <c r="G392" s="2659"/>
      <c r="H392" s="2659"/>
      <c r="I392" s="2659"/>
      <c r="J392" s="2659"/>
      <c r="K392" s="2659"/>
      <c r="L392" s="2659"/>
      <c r="M392" s="2659"/>
      <c r="N392" s="92"/>
      <c r="O392" s="767"/>
      <c r="P392" s="2648"/>
    </row>
    <row r="393" spans="1:18" s="43" customFormat="1" ht="10.9" customHeight="1">
      <c r="A393" s="4161"/>
      <c r="B393" s="4162"/>
      <c r="C393" s="4162"/>
      <c r="D393" s="4162"/>
      <c r="E393" s="4162"/>
      <c r="F393" s="4162"/>
      <c r="G393" s="4162"/>
      <c r="H393" s="4162"/>
      <c r="I393" s="4162"/>
      <c r="J393" s="4162"/>
      <c r="K393" s="4162"/>
      <c r="L393" s="4162"/>
      <c r="M393" s="4162"/>
      <c r="N393" s="4162"/>
      <c r="O393" s="4162"/>
      <c r="P393" s="4163"/>
      <c r="Q393" s="933" t="s">
        <v>1208</v>
      </c>
      <c r="R393" s="428"/>
    </row>
    <row r="394" spans="1:18" s="43" customFormat="1" ht="4.5" customHeight="1">
      <c r="A394" s="152"/>
      <c r="B394" s="42"/>
      <c r="C394" s="2655"/>
      <c r="D394" s="2655"/>
      <c r="E394" s="2655"/>
      <c r="F394" s="2655"/>
      <c r="G394" s="2655"/>
      <c r="H394" s="2655"/>
      <c r="I394" s="2655"/>
      <c r="J394" s="2655"/>
      <c r="K394" s="2655"/>
      <c r="L394" s="2655"/>
      <c r="M394" s="2655"/>
      <c r="N394" s="74"/>
      <c r="O394" s="70"/>
      <c r="P394" s="777"/>
    </row>
    <row r="395" spans="1:18" s="43" customFormat="1" ht="12" hidden="1" customHeight="1" thickBot="1">
      <c r="A395" s="152" t="s">
        <v>3530</v>
      </c>
      <c r="B395" s="105" t="s">
        <v>6561</v>
      </c>
      <c r="C395" s="87"/>
      <c r="D395" s="58"/>
      <c r="E395" s="52"/>
      <c r="G395" s="55"/>
      <c r="I395" s="1682" t="s">
        <v>6530</v>
      </c>
      <c r="J395" s="2655"/>
      <c r="L395" s="1683">
        <f>F70</f>
        <v>0</v>
      </c>
      <c r="M395" s="2648">
        <v>16</v>
      </c>
      <c r="N395" s="6"/>
      <c r="O395" s="2605"/>
      <c r="P395" s="965"/>
      <c r="Q395" s="108" t="s">
        <v>422</v>
      </c>
    </row>
    <row r="396" spans="1:18" s="43" customFormat="1" ht="10.5" hidden="1" customHeight="1">
      <c r="B396" s="85" t="s">
        <v>1779</v>
      </c>
      <c r="C396" s="97"/>
      <c r="D396" s="85"/>
      <c r="E396" s="98"/>
      <c r="F396" s="2655"/>
      <c r="G396" s="2655"/>
      <c r="H396" s="2655"/>
      <c r="I396" s="2655"/>
      <c r="J396" s="2655"/>
      <c r="K396" s="2655"/>
      <c r="L396" s="2655"/>
      <c r="M396" s="2655"/>
      <c r="N396" s="74"/>
      <c r="O396" s="70"/>
      <c r="P396" s="2648"/>
      <c r="Q396" s="414"/>
    </row>
    <row r="397" spans="1:18" s="43" customFormat="1" ht="11.25" hidden="1" customHeight="1">
      <c r="A397" s="4161"/>
      <c r="B397" s="4162"/>
      <c r="C397" s="4162"/>
      <c r="D397" s="4162"/>
      <c r="E397" s="4162"/>
      <c r="F397" s="4162"/>
      <c r="G397" s="4162"/>
      <c r="H397" s="4162"/>
      <c r="I397" s="4162"/>
      <c r="J397" s="4162"/>
      <c r="K397" s="4162"/>
      <c r="L397" s="4162"/>
      <c r="M397" s="4162"/>
      <c r="N397" s="4162"/>
      <c r="O397" s="4162"/>
      <c r="P397" s="4163"/>
      <c r="Q397" s="427"/>
    </row>
    <row r="398" spans="1:18" ht="2.25" hidden="1" customHeight="1"/>
    <row r="399" spans="1:18" s="43" customFormat="1" ht="2.25" hidden="1" customHeight="1">
      <c r="A399" s="42"/>
      <c r="C399" s="2655"/>
      <c r="D399" s="2655"/>
      <c r="E399" s="2655"/>
      <c r="F399" s="2655"/>
      <c r="G399" s="2655"/>
      <c r="H399" s="2655"/>
      <c r="I399" s="2655"/>
      <c r="J399" s="2655"/>
      <c r="K399" s="2655"/>
      <c r="L399" s="2655"/>
      <c r="M399" s="2655"/>
      <c r="N399" s="74"/>
      <c r="O399" s="70"/>
      <c r="P399" s="777"/>
    </row>
    <row r="400" spans="1:18" s="43" customFormat="1" ht="10.5" customHeight="1" thickBot="1">
      <c r="A400" s="152"/>
      <c r="B400" s="42"/>
      <c r="C400" s="2655"/>
      <c r="D400" s="2655"/>
      <c r="E400" s="2655"/>
      <c r="F400" s="2655"/>
      <c r="G400" s="2655"/>
      <c r="H400" s="2655"/>
      <c r="I400" s="2655"/>
      <c r="J400" s="2655"/>
      <c r="K400" s="2655"/>
      <c r="L400" s="2655"/>
      <c r="M400" s="2655"/>
      <c r="N400" s="74"/>
      <c r="O400" s="70"/>
      <c r="P400" s="777"/>
    </row>
    <row r="401" spans="1:18" s="42" customFormat="1" ht="12.75" customHeight="1" thickTop="1" thickBot="1">
      <c r="A401" s="152"/>
      <c r="B401" s="67"/>
      <c r="C401" s="50"/>
      <c r="D401" s="35"/>
      <c r="E401" s="35"/>
      <c r="F401" s="54"/>
      <c r="G401" s="153" t="s">
        <v>408</v>
      </c>
      <c r="I401" s="154"/>
      <c r="J401" s="154"/>
      <c r="K401" s="154"/>
      <c r="L401" s="101"/>
      <c r="M401" s="1721">
        <f>IF(AND(P33="9%",M43="New Supply"),G58,IF(AND(P33="4%",M43="New Supply"),H58,IF(AND(P33="9%",M43="Rehabilitation"),I58,IF(AND(P33="4%",M43="Rehabilitation"),J58,K58))))</f>
        <v>107</v>
      </c>
      <c r="N401" s="155"/>
      <c r="O401" s="1689">
        <f>-O8-O14+O59+O84+O98+O108+O147+O163+O199+O220+O228+O237+O247+O256+O286+O294+O330+O350+O358+O379+O383+O387+O391+O395</f>
        <v>59</v>
      </c>
      <c r="P401" s="1689">
        <f>-P8-P14+P59+P84+P98+P108+P147+P163+P184+P199+P220+P228+P237+P247+P256+P269+P286+P294+P330+P350+P358+P379+P383+P387+P391+P395</f>
        <v>20</v>
      </c>
    </row>
    <row r="402" spans="1:18" s="157" customFormat="1" ht="6.75" customHeight="1" thickTop="1">
      <c r="A402" s="54"/>
      <c r="B402" s="67"/>
      <c r="C402" s="54"/>
      <c r="D402" s="146"/>
      <c r="E402" s="146"/>
      <c r="F402" s="40"/>
      <c r="G402" s="40"/>
      <c r="H402" s="69"/>
      <c r="I402" s="69"/>
      <c r="J402" s="453"/>
      <c r="K402" s="453"/>
      <c r="L402" s="43"/>
      <c r="M402" s="146"/>
      <c r="N402" s="2648"/>
      <c r="O402" s="2648"/>
      <c r="P402" s="3"/>
    </row>
    <row r="403" spans="1:18" s="43" customFormat="1" ht="22.5" customHeight="1">
      <c r="A403" s="4408" t="s">
        <v>6280</v>
      </c>
      <c r="B403" s="4408"/>
      <c r="C403" s="4408"/>
      <c r="D403" s="4408"/>
      <c r="E403" s="4408"/>
      <c r="F403" s="4408"/>
      <c r="G403" s="4408"/>
      <c r="H403" s="4408"/>
      <c r="I403" s="4408"/>
      <c r="J403" s="4408"/>
      <c r="K403" s="4408"/>
      <c r="L403" s="4408"/>
      <c r="M403" s="4408"/>
      <c r="N403" s="4408"/>
      <c r="O403" s="4408"/>
      <c r="P403" s="4408"/>
    </row>
    <row r="404" spans="1:18" s="43" customFormat="1" ht="300.75" customHeight="1">
      <c r="A404" s="3961" t="s">
        <v>7012</v>
      </c>
      <c r="B404" s="3962"/>
      <c r="C404" s="3962"/>
      <c r="D404" s="3962"/>
      <c r="E404" s="3962"/>
      <c r="F404" s="3962"/>
      <c r="G404" s="3962"/>
      <c r="H404" s="3962"/>
      <c r="I404" s="3962"/>
      <c r="J404" s="3962"/>
      <c r="K404" s="3962"/>
      <c r="L404" s="3962"/>
      <c r="M404" s="3962"/>
      <c r="N404" s="3962"/>
      <c r="O404" s="3962"/>
      <c r="P404" s="3963"/>
      <c r="Q404" s="427" t="s">
        <v>1208</v>
      </c>
      <c r="R404" s="428"/>
    </row>
    <row r="405" spans="1:18" s="157" customFormat="1">
      <c r="A405" s="1831"/>
      <c r="B405" s="1831"/>
      <c r="C405" s="433" t="s">
        <v>1997</v>
      </c>
      <c r="D405" s="433"/>
      <c r="E405" s="433"/>
      <c r="F405" s="433"/>
      <c r="G405" s="433"/>
      <c r="H405" s="433"/>
      <c r="I405" s="433"/>
      <c r="J405" s="1832" t="s">
        <v>1578</v>
      </c>
      <c r="K405" s="433"/>
      <c r="L405" s="433"/>
      <c r="M405" s="433"/>
      <c r="N405" s="1812"/>
      <c r="O405" s="1833"/>
      <c r="P405" s="1833"/>
      <c r="Q405" s="1834"/>
      <c r="R405" s="1831"/>
    </row>
    <row r="406" spans="1:18" s="157" customFormat="1">
      <c r="A406" s="1831"/>
      <c r="B406" s="1831"/>
      <c r="C406" s="433" t="s">
        <v>1998</v>
      </c>
      <c r="D406" s="433"/>
      <c r="E406" s="433"/>
      <c r="F406" s="433"/>
      <c r="G406" s="433"/>
      <c r="H406" s="433"/>
      <c r="I406" s="433"/>
      <c r="J406" s="1832" t="s">
        <v>1579</v>
      </c>
      <c r="K406" s="433"/>
      <c r="L406" s="433"/>
      <c r="M406" s="433"/>
      <c r="N406" s="1812"/>
      <c r="O406" s="1833"/>
      <c r="P406" s="1833"/>
      <c r="Q406" s="1834"/>
      <c r="R406" s="1831"/>
    </row>
    <row r="407" spans="1:18" s="157" customFormat="1">
      <c r="A407" s="1831"/>
      <c r="B407" s="1831"/>
      <c r="C407" s="1835" t="s">
        <v>1999</v>
      </c>
      <c r="D407" s="433"/>
      <c r="E407" s="433"/>
      <c r="F407" s="433"/>
      <c r="G407" s="433"/>
      <c r="H407" s="433"/>
      <c r="I407" s="433"/>
      <c r="J407" s="1832" t="s">
        <v>2389</v>
      </c>
      <c r="K407" s="433"/>
      <c r="L407" s="433"/>
      <c r="M407" s="433"/>
      <c r="N407" s="1812"/>
      <c r="O407" s="1833"/>
      <c r="P407" s="1833"/>
      <c r="Q407" s="1834"/>
      <c r="R407" s="1831"/>
    </row>
    <row r="408" spans="1:18" s="157" customFormat="1">
      <c r="A408" s="1831"/>
      <c r="B408" s="1831"/>
      <c r="C408" s="1835" t="s">
        <v>2000</v>
      </c>
      <c r="D408" s="433"/>
      <c r="E408" s="433"/>
      <c r="F408" s="433"/>
      <c r="G408" s="433"/>
      <c r="H408" s="433"/>
      <c r="I408" s="433"/>
      <c r="J408" s="1832" t="s">
        <v>1580</v>
      </c>
      <c r="K408" s="433"/>
      <c r="L408" s="433"/>
      <c r="M408" s="433"/>
      <c r="N408" s="1812"/>
      <c r="O408" s="1833"/>
      <c r="P408" s="1833"/>
      <c r="Q408" s="1834"/>
      <c r="R408" s="1831"/>
    </row>
    <row r="409" spans="1:18" s="157" customFormat="1">
      <c r="A409" s="1831"/>
      <c r="B409" s="1831"/>
      <c r="C409" s="1835"/>
      <c r="D409" s="433"/>
      <c r="E409" s="433"/>
      <c r="F409" s="433"/>
      <c r="G409" s="433"/>
      <c r="H409" s="433"/>
      <c r="I409" s="433"/>
      <c r="J409" s="1832" t="s">
        <v>1581</v>
      </c>
      <c r="K409" s="433"/>
      <c r="L409" s="433"/>
      <c r="M409" s="433"/>
      <c r="N409" s="1812"/>
      <c r="O409" s="1833"/>
      <c r="P409" s="1833"/>
      <c r="Q409" s="1834"/>
      <c r="R409" s="1831"/>
    </row>
    <row r="410" spans="1:18" s="157" customFormat="1">
      <c r="A410" s="1831"/>
      <c r="B410" s="1831"/>
      <c r="C410" s="433" t="s">
        <v>1691</v>
      </c>
      <c r="D410" s="433"/>
      <c r="E410" s="433"/>
      <c r="F410" s="433"/>
      <c r="G410" s="433"/>
      <c r="H410" s="433"/>
      <c r="I410" s="433"/>
      <c r="J410" s="1832" t="s">
        <v>1582</v>
      </c>
      <c r="K410" s="433"/>
      <c r="L410" s="433"/>
      <c r="M410" s="433"/>
      <c r="N410" s="1812"/>
      <c r="O410" s="1833"/>
      <c r="P410" s="1833"/>
      <c r="Q410" s="1834"/>
      <c r="R410" s="1831"/>
    </row>
    <row r="411" spans="1:18" s="157" customFormat="1">
      <c r="A411" s="1831"/>
      <c r="B411" s="1831"/>
      <c r="C411" s="1836" t="s">
        <v>1341</v>
      </c>
      <c r="D411" s="433"/>
      <c r="E411" s="433"/>
      <c r="F411" s="433"/>
      <c r="G411" s="433"/>
      <c r="H411" s="433"/>
      <c r="I411" s="433"/>
      <c r="J411" s="1832" t="s">
        <v>1583</v>
      </c>
      <c r="K411" s="433"/>
      <c r="L411" s="433"/>
      <c r="M411" s="433"/>
      <c r="N411" s="1812"/>
      <c r="O411" s="1833"/>
      <c r="P411" s="1833"/>
      <c r="Q411" s="1834"/>
      <c r="R411" s="1831"/>
    </row>
    <row r="412" spans="1:18" s="157" customFormat="1">
      <c r="A412" s="1831"/>
      <c r="B412" s="1831"/>
      <c r="C412" s="1836" t="s">
        <v>1342</v>
      </c>
      <c r="D412" s="433"/>
      <c r="E412" s="433"/>
      <c r="F412" s="433"/>
      <c r="G412" s="433"/>
      <c r="H412" s="433"/>
      <c r="I412" s="433"/>
      <c r="J412" s="1832" t="s">
        <v>1584</v>
      </c>
      <c r="K412" s="433"/>
      <c r="L412" s="433"/>
      <c r="M412" s="433"/>
      <c r="N412" s="1812"/>
      <c r="O412" s="1833"/>
      <c r="P412" s="1833"/>
      <c r="Q412" s="1834"/>
      <c r="R412" s="1831"/>
    </row>
    <row r="413" spans="1:18" s="157" customFormat="1">
      <c r="A413" s="1831"/>
      <c r="B413" s="1831"/>
      <c r="C413" s="1837" t="s">
        <v>2038</v>
      </c>
      <c r="D413" s="433"/>
      <c r="E413" s="433"/>
      <c r="F413" s="433"/>
      <c r="G413" s="433"/>
      <c r="H413" s="433"/>
      <c r="I413" s="433"/>
      <c r="J413" s="1832" t="s">
        <v>1585</v>
      </c>
      <c r="K413" s="433"/>
      <c r="L413" s="433"/>
      <c r="M413" s="433"/>
      <c r="N413" s="1812"/>
      <c r="O413" s="1833"/>
      <c r="P413" s="1833"/>
      <c r="Q413" s="1834"/>
      <c r="R413" s="1831"/>
    </row>
    <row r="414" spans="1:18" s="157" customFormat="1">
      <c r="A414" s="1831"/>
      <c r="B414" s="1831"/>
      <c r="C414" s="1837" t="s">
        <v>1338</v>
      </c>
      <c r="D414" s="433"/>
      <c r="E414" s="433"/>
      <c r="F414" s="433"/>
      <c r="G414" s="433"/>
      <c r="H414" s="433"/>
      <c r="I414" s="433"/>
      <c r="J414" s="1832" t="s">
        <v>562</v>
      </c>
      <c r="K414" s="433"/>
      <c r="L414" s="433"/>
      <c r="M414" s="433"/>
      <c r="N414" s="1812"/>
      <c r="O414" s="1833"/>
      <c r="P414" s="1833"/>
      <c r="Q414" s="1834"/>
      <c r="R414" s="1831"/>
    </row>
    <row r="415" spans="1:18" s="157" customFormat="1">
      <c r="A415" s="1831"/>
      <c r="B415" s="1831"/>
      <c r="C415" s="1837" t="s">
        <v>1339</v>
      </c>
      <c r="D415" s="433"/>
      <c r="E415" s="433"/>
      <c r="F415" s="433"/>
      <c r="G415" s="433"/>
      <c r="H415" s="433"/>
      <c r="I415" s="433"/>
      <c r="J415" s="1832" t="s">
        <v>1586</v>
      </c>
      <c r="K415" s="433"/>
      <c r="L415" s="433"/>
      <c r="M415" s="433"/>
      <c r="N415" s="1812"/>
      <c r="O415" s="1833"/>
      <c r="P415" s="1833"/>
      <c r="Q415" s="1834"/>
      <c r="R415" s="1831"/>
    </row>
    <row r="416" spans="1:18" s="157" customFormat="1">
      <c r="A416" s="1831"/>
      <c r="B416" s="1831"/>
      <c r="C416" s="1836" t="s">
        <v>2033</v>
      </c>
      <c r="D416" s="433"/>
      <c r="E416" s="433"/>
      <c r="F416" s="433"/>
      <c r="G416" s="433"/>
      <c r="H416" s="433"/>
      <c r="I416" s="433"/>
      <c r="J416" s="1832" t="s">
        <v>1587</v>
      </c>
      <c r="K416" s="433"/>
      <c r="L416" s="433"/>
      <c r="M416" s="433"/>
      <c r="N416" s="1812"/>
      <c r="O416" s="1833"/>
      <c r="P416" s="1833"/>
      <c r="Q416" s="1834"/>
      <c r="R416" s="1831"/>
    </row>
    <row r="417" spans="1:18" s="157" customFormat="1">
      <c r="A417" s="1831"/>
      <c r="B417" s="1831"/>
      <c r="C417" s="1836" t="s">
        <v>2034</v>
      </c>
      <c r="D417" s="433"/>
      <c r="E417" s="433"/>
      <c r="F417" s="433"/>
      <c r="G417" s="433"/>
      <c r="H417" s="433"/>
      <c r="I417" s="433"/>
      <c r="J417" s="1832" t="s">
        <v>1588</v>
      </c>
      <c r="K417" s="433"/>
      <c r="L417" s="433"/>
      <c r="M417" s="433"/>
      <c r="N417" s="1812"/>
      <c r="O417" s="1833"/>
      <c r="P417" s="1833"/>
      <c r="Q417" s="1834"/>
      <c r="R417" s="1831"/>
    </row>
    <row r="418" spans="1:18" s="157" customFormat="1">
      <c r="A418" s="1831"/>
      <c r="B418" s="1831"/>
      <c r="C418" s="1836" t="s">
        <v>2035</v>
      </c>
      <c r="D418" s="433"/>
      <c r="E418" s="433"/>
      <c r="F418" s="433"/>
      <c r="G418" s="433"/>
      <c r="H418" s="433"/>
      <c r="I418" s="433"/>
      <c r="J418" s="1832" t="s">
        <v>32</v>
      </c>
      <c r="K418" s="433"/>
      <c r="L418" s="433"/>
      <c r="M418" s="433"/>
      <c r="N418" s="1812"/>
      <c r="O418" s="1833"/>
      <c r="P418" s="1833"/>
      <c r="Q418" s="1834"/>
      <c r="R418" s="1831"/>
    </row>
    <row r="419" spans="1:18" s="157" customFormat="1">
      <c r="A419" s="1831"/>
      <c r="B419" s="1831"/>
      <c r="C419" s="1836" t="s">
        <v>2036</v>
      </c>
      <c r="D419" s="433"/>
      <c r="E419" s="433"/>
      <c r="F419" s="433"/>
      <c r="G419" s="433"/>
      <c r="H419" s="433"/>
      <c r="I419" s="433"/>
      <c r="J419" s="433"/>
      <c r="K419" s="433"/>
      <c r="L419" s="433"/>
      <c r="M419" s="433"/>
      <c r="N419" s="1812"/>
      <c r="O419" s="1833"/>
      <c r="P419" s="1833"/>
      <c r="Q419" s="1834"/>
      <c r="R419" s="1831"/>
    </row>
    <row r="420" spans="1:18" s="157" customFormat="1">
      <c r="A420" s="1831"/>
      <c r="B420" s="1831"/>
      <c r="C420" s="1836" t="s">
        <v>2037</v>
      </c>
      <c r="D420" s="433"/>
      <c r="E420" s="433"/>
      <c r="F420" s="433"/>
      <c r="G420" s="433"/>
      <c r="H420" s="433"/>
      <c r="I420" s="433"/>
      <c r="J420" s="1838" t="s">
        <v>3156</v>
      </c>
      <c r="K420" s="433"/>
      <c r="L420" s="433"/>
      <c r="M420" s="433"/>
      <c r="N420" s="1812"/>
      <c r="O420" s="1838" t="s">
        <v>3384</v>
      </c>
      <c r="P420" s="1833"/>
      <c r="Q420" s="1834"/>
      <c r="R420" s="1831"/>
    </row>
    <row r="421" spans="1:18" s="157" customFormat="1">
      <c r="A421" s="1831"/>
      <c r="B421" s="1831"/>
      <c r="C421" s="1836" t="s">
        <v>1340</v>
      </c>
      <c r="D421" s="433"/>
      <c r="E421" s="433"/>
      <c r="F421" s="433"/>
      <c r="G421" s="433"/>
      <c r="H421" s="433"/>
      <c r="I421" s="433"/>
      <c r="J421" s="1832" t="s">
        <v>3157</v>
      </c>
      <c r="K421" s="433"/>
      <c r="L421" s="433"/>
      <c r="M421" s="433"/>
      <c r="N421" s="1812"/>
      <c r="O421" s="1833"/>
      <c r="P421" s="1833"/>
      <c r="Q421" s="1834"/>
      <c r="R421" s="1831"/>
    </row>
    <row r="422" spans="1:18" s="157" customFormat="1">
      <c r="A422" s="1831"/>
      <c r="B422" s="1831"/>
      <c r="C422" s="1836" t="s">
        <v>2178</v>
      </c>
      <c r="D422" s="433"/>
      <c r="E422" s="433"/>
      <c r="F422" s="433"/>
      <c r="G422" s="433"/>
      <c r="H422" s="433"/>
      <c r="I422" s="433"/>
      <c r="J422" s="433" t="s">
        <v>3141</v>
      </c>
      <c r="K422" s="433"/>
      <c r="L422" s="433"/>
      <c r="M422" s="433"/>
      <c r="N422" s="1812"/>
      <c r="O422" s="1833">
        <v>2</v>
      </c>
      <c r="P422" s="1833"/>
      <c r="Q422" s="1834"/>
      <c r="R422" s="1831"/>
    </row>
    <row r="423" spans="1:18" s="157" customFormat="1">
      <c r="A423" s="1831"/>
      <c r="B423" s="1831"/>
      <c r="C423" s="433"/>
      <c r="D423" s="433"/>
      <c r="E423" s="433"/>
      <c r="F423" s="433"/>
      <c r="G423" s="433"/>
      <c r="H423" s="433"/>
      <c r="I423" s="433"/>
      <c r="J423" s="433" t="s">
        <v>3142</v>
      </c>
      <c r="K423" s="433"/>
      <c r="L423" s="433"/>
      <c r="M423" s="433"/>
      <c r="N423" s="1812"/>
      <c r="O423" s="1833">
        <v>2</v>
      </c>
      <c r="P423" s="1833"/>
      <c r="Q423" s="1834"/>
      <c r="R423" s="1831"/>
    </row>
    <row r="424" spans="1:18" s="157" customFormat="1">
      <c r="A424" s="1831"/>
      <c r="B424" s="1831"/>
      <c r="C424" s="433"/>
      <c r="D424" s="433"/>
      <c r="E424" s="433"/>
      <c r="F424" s="433"/>
      <c r="G424" s="4405" t="s">
        <v>1443</v>
      </c>
      <c r="H424" s="4405"/>
      <c r="I424" s="4405"/>
      <c r="J424" s="433" t="s">
        <v>3143</v>
      </c>
      <c r="K424" s="433"/>
      <c r="L424" s="433"/>
      <c r="M424" s="433"/>
      <c r="N424" s="1812"/>
      <c r="O424" s="1833">
        <v>2</v>
      </c>
      <c r="P424" s="1833"/>
      <c r="Q424" s="1834"/>
      <c r="R424" s="1831"/>
    </row>
    <row r="425" spans="1:18" s="157" customFormat="1">
      <c r="A425" s="1831"/>
      <c r="B425" s="1831"/>
      <c r="C425" s="433"/>
      <c r="D425" s="433"/>
      <c r="E425" s="433"/>
      <c r="F425" s="433"/>
      <c r="G425" s="1839" t="s">
        <v>4269</v>
      </c>
      <c r="H425" s="1840" t="s">
        <v>4270</v>
      </c>
      <c r="I425" s="1839" t="s">
        <v>4268</v>
      </c>
      <c r="J425" s="433" t="s">
        <v>3144</v>
      </c>
      <c r="K425" s="433"/>
      <c r="L425" s="1839"/>
      <c r="M425" s="433"/>
      <c r="N425" s="1812"/>
      <c r="O425" s="1833">
        <v>2</v>
      </c>
      <c r="P425" s="1833"/>
      <c r="Q425" s="1834"/>
      <c r="R425" s="1831"/>
    </row>
    <row r="426" spans="1:18" s="157" customFormat="1">
      <c r="A426" s="1831"/>
      <c r="B426" s="1831"/>
      <c r="C426" s="1841"/>
      <c r="D426" s="433"/>
      <c r="E426" s="433"/>
      <c r="F426" s="433"/>
      <c r="G426" s="1842" t="s">
        <v>2403</v>
      </c>
      <c r="H426" s="1840"/>
      <c r="I426" s="1842"/>
      <c r="J426" s="433" t="s">
        <v>3382</v>
      </c>
      <c r="K426" s="433"/>
      <c r="L426" s="1842"/>
      <c r="M426" s="433"/>
      <c r="N426" s="1812"/>
      <c r="O426" s="1833">
        <v>2</v>
      </c>
      <c r="P426" s="1833"/>
      <c r="Q426" s="1834"/>
      <c r="R426" s="1831"/>
    </row>
    <row r="427" spans="1:18" s="157" customFormat="1">
      <c r="A427" s="1831"/>
      <c r="B427" s="1831"/>
      <c r="C427" s="1841"/>
      <c r="D427" s="433"/>
      <c r="E427" s="433"/>
      <c r="F427" s="433"/>
      <c r="G427" s="1842" t="s">
        <v>443</v>
      </c>
      <c r="H427" s="1812" t="s">
        <v>4272</v>
      </c>
      <c r="I427" s="1839" t="s">
        <v>2542</v>
      </c>
      <c r="J427" s="1840" t="s">
        <v>3145</v>
      </c>
      <c r="K427" s="433"/>
      <c r="L427" s="1843"/>
      <c r="M427" s="433"/>
      <c r="N427" s="1812"/>
      <c r="O427" s="1833">
        <v>1</v>
      </c>
      <c r="P427" s="1833"/>
      <c r="Q427" s="1834"/>
      <c r="R427" s="1831"/>
    </row>
    <row r="428" spans="1:18" s="157" customFormat="1">
      <c r="A428" s="1831"/>
      <c r="B428" s="1831"/>
      <c r="C428" s="1841"/>
      <c r="D428" s="433"/>
      <c r="E428" s="433"/>
      <c r="F428" s="433"/>
      <c r="G428" s="1842" t="s">
        <v>1702</v>
      </c>
      <c r="H428" s="1812">
        <v>2020</v>
      </c>
      <c r="I428" s="1812" t="s">
        <v>4271</v>
      </c>
      <c r="J428" s="1840" t="s">
        <v>3146</v>
      </c>
      <c r="K428" s="433"/>
      <c r="L428" s="1843"/>
      <c r="M428" s="433"/>
      <c r="N428" s="1812"/>
      <c r="O428" s="1833">
        <v>1</v>
      </c>
      <c r="P428" s="1833"/>
      <c r="Q428" s="1834"/>
      <c r="R428" s="1831"/>
    </row>
    <row r="429" spans="1:18" s="157" customFormat="1">
      <c r="A429" s="1831"/>
      <c r="B429" s="1831"/>
      <c r="C429" s="1841"/>
      <c r="D429" s="433"/>
      <c r="E429" s="433"/>
      <c r="F429" s="433"/>
      <c r="G429" s="1842" t="s">
        <v>2434</v>
      </c>
      <c r="H429" s="1812" t="s">
        <v>1654</v>
      </c>
      <c r="I429" s="1839" t="s">
        <v>2542</v>
      </c>
      <c r="J429" s="1840" t="s">
        <v>3147</v>
      </c>
      <c r="K429" s="433"/>
      <c r="L429" s="1843"/>
      <c r="M429" s="433"/>
      <c r="N429" s="1812"/>
      <c r="O429" s="1833">
        <v>1</v>
      </c>
      <c r="P429" s="1833"/>
      <c r="Q429" s="1834"/>
      <c r="R429" s="1831"/>
    </row>
    <row r="430" spans="1:18" s="157" customFormat="1">
      <c r="A430" s="1831"/>
      <c r="B430" s="1831"/>
      <c r="C430" s="1841"/>
      <c r="D430" s="433"/>
      <c r="E430" s="433"/>
      <c r="F430" s="433"/>
      <c r="G430" s="1842" t="s">
        <v>996</v>
      </c>
      <c r="H430" s="1812">
        <v>2020</v>
      </c>
      <c r="I430" s="1812" t="s">
        <v>4271</v>
      </c>
      <c r="J430" s="1840" t="s">
        <v>3383</v>
      </c>
      <c r="K430" s="433"/>
      <c r="L430" s="1843"/>
      <c r="M430" s="433"/>
      <c r="N430" s="1812"/>
      <c r="O430" s="1833">
        <v>1</v>
      </c>
      <c r="P430" s="1833"/>
      <c r="Q430" s="1834"/>
      <c r="R430" s="1831"/>
    </row>
    <row r="431" spans="1:18" s="157" customFormat="1">
      <c r="A431" s="1831"/>
      <c r="B431" s="1831"/>
      <c r="C431" s="1841"/>
      <c r="D431" s="433"/>
      <c r="E431" s="433"/>
      <c r="F431" s="433"/>
      <c r="G431" s="1842" t="s">
        <v>3408</v>
      </c>
      <c r="H431" s="1812">
        <v>2019</v>
      </c>
      <c r="I431" s="1812" t="s">
        <v>4271</v>
      </c>
      <c r="J431" s="1840" t="s">
        <v>3155</v>
      </c>
      <c r="K431" s="433"/>
      <c r="L431" s="1843"/>
      <c r="M431" s="433"/>
      <c r="N431" s="1812"/>
      <c r="O431" s="1833">
        <v>1</v>
      </c>
      <c r="P431" s="1833"/>
      <c r="Q431" s="1834"/>
      <c r="R431" s="1831"/>
    </row>
    <row r="432" spans="1:18" s="157" customFormat="1">
      <c r="A432" s="1831"/>
      <c r="B432" s="1831"/>
      <c r="C432" s="1841"/>
      <c r="D432" s="433"/>
      <c r="E432" s="433"/>
      <c r="F432" s="433"/>
      <c r="G432" s="1842" t="s">
        <v>344</v>
      </c>
      <c r="H432" s="1812" t="s">
        <v>1654</v>
      </c>
      <c r="I432" s="1839" t="s">
        <v>2542</v>
      </c>
      <c r="J432" s="1840" t="s">
        <v>3148</v>
      </c>
      <c r="K432" s="433"/>
      <c r="L432" s="1843"/>
      <c r="M432" s="433"/>
      <c r="N432" s="1812"/>
      <c r="O432" s="1833">
        <v>1</v>
      </c>
      <c r="P432" s="1833"/>
      <c r="Q432" s="1834"/>
      <c r="R432" s="1831"/>
    </row>
    <row r="433" spans="1:18" s="157" customFormat="1">
      <c r="A433" s="1831"/>
      <c r="B433" s="1831"/>
      <c r="C433" s="1841"/>
      <c r="D433" s="433"/>
      <c r="E433" s="433"/>
      <c r="F433" s="433"/>
      <c r="G433" s="1842" t="s">
        <v>1678</v>
      </c>
      <c r="H433" s="1812">
        <v>2020</v>
      </c>
      <c r="I433" s="1812" t="s">
        <v>4271</v>
      </c>
      <c r="J433" s="1840" t="s">
        <v>3149</v>
      </c>
      <c r="K433" s="433"/>
      <c r="L433" s="1843"/>
      <c r="M433" s="433"/>
      <c r="N433" s="1812"/>
      <c r="O433" s="1833">
        <v>1</v>
      </c>
      <c r="P433" s="1833"/>
      <c r="Q433" s="1834"/>
      <c r="R433" s="1831"/>
    </row>
    <row r="434" spans="1:18" s="157" customFormat="1">
      <c r="A434" s="1831"/>
      <c r="B434" s="1831"/>
      <c r="C434" s="1841"/>
      <c r="D434" s="433"/>
      <c r="E434" s="433"/>
      <c r="F434" s="433"/>
      <c r="G434" s="1842" t="s">
        <v>1967</v>
      </c>
      <c r="H434" s="1812" t="s">
        <v>4272</v>
      </c>
      <c r="I434" s="1839" t="s">
        <v>2542</v>
      </c>
      <c r="J434" s="1840" t="s">
        <v>3150</v>
      </c>
      <c r="K434" s="433"/>
      <c r="L434" s="1843"/>
      <c r="M434" s="433"/>
      <c r="N434" s="1812"/>
      <c r="O434" s="1833">
        <v>1</v>
      </c>
      <c r="P434" s="1833"/>
      <c r="Q434" s="1834"/>
      <c r="R434" s="1831"/>
    </row>
    <row r="435" spans="1:18" s="157" customFormat="1">
      <c r="A435" s="1831"/>
      <c r="B435" s="1831"/>
      <c r="C435" s="433"/>
      <c r="D435" s="433"/>
      <c r="E435" s="433"/>
      <c r="F435" s="433"/>
      <c r="G435" s="1842" t="s">
        <v>82</v>
      </c>
      <c r="H435" s="1812" t="s">
        <v>4272</v>
      </c>
      <c r="I435" s="1839" t="s">
        <v>2542</v>
      </c>
      <c r="J435" s="1840" t="s">
        <v>3151</v>
      </c>
      <c r="K435" s="433"/>
      <c r="L435" s="1843"/>
      <c r="M435" s="433"/>
      <c r="N435" s="1812"/>
      <c r="O435" s="1833">
        <v>1</v>
      </c>
      <c r="P435" s="1833"/>
      <c r="Q435" s="1834"/>
      <c r="R435" s="1831"/>
    </row>
    <row r="436" spans="1:18" s="157" customFormat="1">
      <c r="A436" s="1831"/>
      <c r="B436" s="1831"/>
      <c r="C436" s="433"/>
      <c r="D436" s="433"/>
      <c r="E436" s="433"/>
      <c r="F436" s="433"/>
      <c r="G436" s="1842" t="s">
        <v>861</v>
      </c>
      <c r="H436" s="1812">
        <v>2019</v>
      </c>
      <c r="I436" s="1812" t="s">
        <v>4271</v>
      </c>
      <c r="J436" s="1840" t="s">
        <v>3154</v>
      </c>
      <c r="K436" s="433"/>
      <c r="L436" s="1843"/>
      <c r="M436" s="433"/>
      <c r="N436" s="1812"/>
      <c r="O436" s="1833">
        <v>1</v>
      </c>
      <c r="P436" s="1833"/>
      <c r="Q436" s="1834"/>
      <c r="R436" s="1831"/>
    </row>
    <row r="437" spans="1:18" s="157" customFormat="1">
      <c r="A437" s="913" t="s">
        <v>2608</v>
      </c>
      <c r="B437" s="1831"/>
      <c r="C437" s="433"/>
      <c r="D437" s="433"/>
      <c r="E437" s="433"/>
      <c r="F437" s="433"/>
      <c r="G437" s="1842" t="s">
        <v>2045</v>
      </c>
      <c r="H437" s="1812" t="s">
        <v>4272</v>
      </c>
      <c r="I437" s="1839" t="s">
        <v>2542</v>
      </c>
      <c r="J437" s="1840" t="s">
        <v>3152</v>
      </c>
      <c r="K437" s="433"/>
      <c r="L437" s="1843"/>
      <c r="M437" s="433"/>
      <c r="N437" s="1812"/>
      <c r="O437" s="1833">
        <v>1</v>
      </c>
      <c r="P437" s="1833"/>
      <c r="Q437" s="1834"/>
      <c r="R437" s="1831"/>
    </row>
    <row r="438" spans="1:18" s="157" customFormat="1">
      <c r="A438" s="913" t="s">
        <v>2623</v>
      </c>
      <c r="B438" s="1831"/>
      <c r="C438" s="433"/>
      <c r="D438" s="433"/>
      <c r="E438" s="433"/>
      <c r="F438" s="433"/>
      <c r="G438" s="1842" t="s">
        <v>1965</v>
      </c>
      <c r="H438" s="1812">
        <v>2019</v>
      </c>
      <c r="I438" s="1812" t="s">
        <v>4271</v>
      </c>
      <c r="J438" s="1840" t="s">
        <v>3153</v>
      </c>
      <c r="K438" s="433"/>
      <c r="L438" s="1843"/>
      <c r="M438" s="433"/>
      <c r="N438" s="1812"/>
      <c r="O438" s="1833">
        <v>1</v>
      </c>
      <c r="P438" s="1833"/>
      <c r="Q438" s="1834"/>
      <c r="R438" s="1831"/>
    </row>
    <row r="439" spans="1:18" s="157" customFormat="1">
      <c r="A439" s="1844" t="s">
        <v>3124</v>
      </c>
      <c r="B439" s="1831"/>
      <c r="C439" s="433"/>
      <c r="D439" s="1841"/>
      <c r="E439" s="1841">
        <v>3</v>
      </c>
      <c r="F439" s="433"/>
      <c r="G439" s="1842" t="s">
        <v>324</v>
      </c>
      <c r="H439" s="1812">
        <v>2019</v>
      </c>
      <c r="I439" s="1812" t="s">
        <v>4271</v>
      </c>
      <c r="J439" s="433"/>
      <c r="K439" s="433"/>
      <c r="L439" s="1843"/>
      <c r="M439" s="433"/>
      <c r="N439" s="1812"/>
      <c r="O439" s="1833"/>
      <c r="P439" s="1833"/>
      <c r="Q439" s="1834"/>
      <c r="R439" s="1831"/>
    </row>
    <row r="440" spans="1:18" s="157" customFormat="1">
      <c r="A440" s="1844" t="s">
        <v>3125</v>
      </c>
      <c r="B440" s="1831"/>
      <c r="C440" s="433"/>
      <c r="D440" s="1841"/>
      <c r="E440" s="1841">
        <v>2</v>
      </c>
      <c r="F440" s="433"/>
      <c r="G440" s="1842" t="s">
        <v>839</v>
      </c>
      <c r="H440" s="1812">
        <v>2019</v>
      </c>
      <c r="I440" s="1812" t="s">
        <v>4271</v>
      </c>
      <c r="J440" s="433"/>
      <c r="K440" s="433"/>
      <c r="L440" s="1843"/>
      <c r="M440" s="433"/>
      <c r="N440" s="1812"/>
      <c r="O440" s="1833"/>
      <c r="P440" s="1833"/>
      <c r="Q440" s="1834"/>
      <c r="R440" s="1831"/>
    </row>
    <row r="441" spans="1:18" s="157" customFormat="1">
      <c r="A441" s="1844" t="s">
        <v>3126</v>
      </c>
      <c r="B441" s="1831"/>
      <c r="C441" s="433"/>
      <c r="D441" s="1841"/>
      <c r="E441" s="1841">
        <v>10</v>
      </c>
      <c r="F441" s="433"/>
      <c r="G441" s="1842" t="s">
        <v>1838</v>
      </c>
      <c r="H441" s="1812">
        <v>2019</v>
      </c>
      <c r="I441" s="1812" t="s">
        <v>4271</v>
      </c>
      <c r="J441" s="1845" t="s">
        <v>3393</v>
      </c>
      <c r="K441" s="433"/>
      <c r="L441" s="1843"/>
      <c r="M441" s="433"/>
      <c r="N441" s="1812"/>
      <c r="O441" s="1833"/>
      <c r="P441" s="1833"/>
      <c r="Q441" s="1834"/>
      <c r="R441" s="1831"/>
    </row>
    <row r="442" spans="1:18" s="157" customFormat="1">
      <c r="A442" s="1844" t="s">
        <v>2624</v>
      </c>
      <c r="B442" s="1831"/>
      <c r="C442" s="433"/>
      <c r="D442" s="1841"/>
      <c r="E442" s="1841"/>
      <c r="F442" s="433"/>
      <c r="G442" s="1842" t="s">
        <v>401</v>
      </c>
      <c r="H442" s="1812">
        <v>2019</v>
      </c>
      <c r="I442" s="1812" t="s">
        <v>4271</v>
      </c>
      <c r="J442" s="1840" t="s">
        <v>3482</v>
      </c>
      <c r="K442" s="433"/>
      <c r="L442" s="1843"/>
      <c r="M442" s="433"/>
      <c r="N442" s="1812"/>
      <c r="O442" s="1833"/>
      <c r="P442" s="1833"/>
      <c r="Q442" s="1834"/>
      <c r="R442" s="1831"/>
    </row>
    <row r="443" spans="1:18" s="157" customFormat="1">
      <c r="A443" s="1831"/>
      <c r="B443" s="1831"/>
      <c r="C443" s="1841"/>
      <c r="D443" s="433"/>
      <c r="E443" s="433"/>
      <c r="F443" s="433"/>
      <c r="G443" s="1842" t="s">
        <v>946</v>
      </c>
      <c r="H443" s="1812">
        <v>2020</v>
      </c>
      <c r="I443" s="1812" t="s">
        <v>4271</v>
      </c>
      <c r="J443" s="1840" t="s">
        <v>3477</v>
      </c>
      <c r="K443" s="433"/>
      <c r="L443" s="1843"/>
      <c r="M443" s="433"/>
      <c r="N443" s="1812"/>
      <c r="O443" s="1833"/>
      <c r="P443" s="1833"/>
      <c r="Q443" s="1834"/>
      <c r="R443" s="1831"/>
    </row>
    <row r="444" spans="1:18" s="157" customFormat="1">
      <c r="A444" s="1831"/>
      <c r="B444" s="1831"/>
      <c r="C444" s="1841"/>
      <c r="D444" s="433"/>
      <c r="E444" s="433"/>
      <c r="F444" s="433"/>
      <c r="G444" s="1842" t="s">
        <v>545</v>
      </c>
      <c r="H444" s="1812">
        <v>2020</v>
      </c>
      <c r="I444" s="1812" t="s">
        <v>4271</v>
      </c>
      <c r="J444" s="1840" t="s">
        <v>3386</v>
      </c>
      <c r="K444" s="1840"/>
      <c r="L444" s="1843"/>
      <c r="M444" s="433"/>
      <c r="N444" s="1812"/>
      <c r="O444" s="1833"/>
      <c r="P444" s="1833"/>
      <c r="Q444" s="1834"/>
      <c r="R444" s="1831"/>
    </row>
    <row r="445" spans="1:18" s="157" customFormat="1">
      <c r="A445" s="1831"/>
      <c r="B445" s="1831"/>
      <c r="C445" s="1841"/>
      <c r="D445" s="433"/>
      <c r="E445" s="433"/>
      <c r="F445" s="433"/>
      <c r="G445" s="1842" t="s">
        <v>833</v>
      </c>
      <c r="H445" s="1812" t="s">
        <v>4272</v>
      </c>
      <c r="I445" s="1839" t="s">
        <v>2542</v>
      </c>
      <c r="J445" s="1840" t="s">
        <v>3473</v>
      </c>
      <c r="K445" s="433"/>
      <c r="L445" s="1843"/>
      <c r="M445" s="433"/>
      <c r="N445" s="1812"/>
      <c r="O445" s="1833"/>
      <c r="P445" s="1833"/>
      <c r="Q445" s="1834"/>
      <c r="R445" s="1831"/>
    </row>
    <row r="446" spans="1:18" s="157" customFormat="1">
      <c r="A446" s="1831"/>
      <c r="B446" s="1831"/>
      <c r="C446" s="1841"/>
      <c r="D446" s="433"/>
      <c r="E446" s="433"/>
      <c r="F446" s="433"/>
      <c r="G446" s="1842" t="s">
        <v>3138</v>
      </c>
      <c r="H446" s="1812">
        <v>2019</v>
      </c>
      <c r="I446" s="1812" t="s">
        <v>4271</v>
      </c>
      <c r="J446" s="1840" t="s">
        <v>3387</v>
      </c>
      <c r="K446" s="1840"/>
      <c r="L446" s="1843"/>
      <c r="M446" s="433"/>
      <c r="N446" s="1812"/>
      <c r="O446" s="1833"/>
      <c r="P446" s="1833"/>
      <c r="Q446" s="1834"/>
      <c r="R446" s="1831"/>
    </row>
    <row r="447" spans="1:18" s="157" customFormat="1">
      <c r="A447" s="1831"/>
      <c r="B447" s="1831"/>
      <c r="C447" s="433"/>
      <c r="D447" s="433"/>
      <c r="E447" s="433"/>
      <c r="F447" s="433"/>
      <c r="G447" s="1842" t="s">
        <v>788</v>
      </c>
      <c r="H447" s="1812">
        <v>2019</v>
      </c>
      <c r="I447" s="1812" t="s">
        <v>4271</v>
      </c>
      <c r="J447" s="1840" t="s">
        <v>3474</v>
      </c>
      <c r="K447" s="433"/>
      <c r="L447" s="1843"/>
      <c r="M447" s="433"/>
      <c r="N447" s="1812"/>
      <c r="O447" s="1833"/>
      <c r="P447" s="1833"/>
      <c r="Q447" s="1834"/>
      <c r="R447" s="1831"/>
    </row>
    <row r="448" spans="1:18" s="157" customFormat="1">
      <c r="A448" s="1831"/>
      <c r="B448" s="1831"/>
      <c r="C448" s="433"/>
      <c r="D448" s="433"/>
      <c r="E448" s="433"/>
      <c r="F448" s="433"/>
      <c r="G448" s="1842" t="s">
        <v>171</v>
      </c>
      <c r="H448" s="1812">
        <v>2019</v>
      </c>
      <c r="I448" s="1812" t="s">
        <v>4271</v>
      </c>
      <c r="J448" s="1840" t="s">
        <v>3388</v>
      </c>
      <c r="K448" s="433"/>
      <c r="L448" s="1840"/>
      <c r="M448" s="433"/>
      <c r="N448" s="1812"/>
      <c r="O448" s="1833"/>
      <c r="P448" s="1833"/>
      <c r="Q448" s="1834"/>
      <c r="R448" s="1831"/>
    </row>
    <row r="449" spans="1:18" s="157" customFormat="1">
      <c r="A449" s="1831"/>
      <c r="B449" s="1831"/>
      <c r="C449" s="433"/>
      <c r="D449" s="433"/>
      <c r="E449" s="433"/>
      <c r="F449" s="433"/>
      <c r="G449" s="1842" t="s">
        <v>3491</v>
      </c>
      <c r="H449" s="1812" t="s">
        <v>4272</v>
      </c>
      <c r="I449" s="1839" t="s">
        <v>2542</v>
      </c>
      <c r="J449" s="1840" t="s">
        <v>3475</v>
      </c>
      <c r="K449" s="433"/>
      <c r="L449" s="1843"/>
      <c r="M449" s="433"/>
      <c r="N449" s="1812"/>
      <c r="O449" s="1833"/>
      <c r="P449" s="1833"/>
      <c r="Q449" s="1834"/>
      <c r="R449" s="1831"/>
    </row>
    <row r="450" spans="1:18" s="157" customFormat="1">
      <c r="A450" s="1831"/>
      <c r="B450" s="1831"/>
      <c r="C450" s="433"/>
      <c r="D450" s="433"/>
      <c r="E450" s="433"/>
      <c r="F450" s="433"/>
      <c r="G450" s="1842" t="s">
        <v>516</v>
      </c>
      <c r="H450" s="1812">
        <v>2020</v>
      </c>
      <c r="I450" s="1812" t="s">
        <v>4271</v>
      </c>
      <c r="J450" s="1840" t="s">
        <v>3478</v>
      </c>
      <c r="K450" s="433"/>
      <c r="L450" s="1843"/>
      <c r="M450" s="433"/>
      <c r="N450" s="1812"/>
      <c r="O450" s="1833"/>
      <c r="P450" s="1833"/>
      <c r="Q450" s="1834"/>
      <c r="R450" s="1831"/>
    </row>
    <row r="451" spans="1:18" s="157" customFormat="1">
      <c r="A451" s="1831"/>
      <c r="B451" s="1831"/>
      <c r="C451" s="433"/>
      <c r="D451" s="433"/>
      <c r="E451" s="433"/>
      <c r="F451" s="433"/>
      <c r="G451" s="1842" t="s">
        <v>380</v>
      </c>
      <c r="H451" s="1812">
        <v>2020</v>
      </c>
      <c r="I451" s="1812" t="s">
        <v>4271</v>
      </c>
      <c r="J451" s="1840" t="s">
        <v>3481</v>
      </c>
      <c r="K451" s="1840"/>
      <c r="L451" s="1840"/>
      <c r="M451" s="433"/>
      <c r="N451" s="1812"/>
      <c r="O451" s="1833"/>
      <c r="P451" s="1833"/>
      <c r="Q451" s="1834"/>
      <c r="R451" s="1831"/>
    </row>
    <row r="452" spans="1:18" s="157" customFormat="1">
      <c r="A452" s="1831"/>
      <c r="B452" s="1831"/>
      <c r="C452" s="433"/>
      <c r="D452" s="1846"/>
      <c r="E452" s="433"/>
      <c r="F452" s="433"/>
      <c r="G452" s="1842" t="s">
        <v>1383</v>
      </c>
      <c r="H452" s="1812" t="s">
        <v>4272</v>
      </c>
      <c r="I452" s="1839" t="s">
        <v>2542</v>
      </c>
      <c r="J452" s="1840" t="s">
        <v>3389</v>
      </c>
      <c r="K452" s="433"/>
      <c r="L452" s="1843"/>
      <c r="M452" s="433"/>
      <c r="N452" s="1812"/>
      <c r="O452" s="1833"/>
      <c r="P452" s="1833"/>
      <c r="Q452" s="1834"/>
      <c r="R452" s="1831"/>
    </row>
    <row r="453" spans="1:18" s="157" customFormat="1">
      <c r="A453" s="1831"/>
      <c r="B453" s="1831"/>
      <c r="C453" s="433"/>
      <c r="D453" s="1846"/>
      <c r="E453" s="433"/>
      <c r="F453" s="433"/>
      <c r="G453" s="1842" t="s">
        <v>1754</v>
      </c>
      <c r="H453" s="1812" t="s">
        <v>4272</v>
      </c>
      <c r="I453" s="1839" t="s">
        <v>2542</v>
      </c>
      <c r="J453" s="1840" t="s">
        <v>3390</v>
      </c>
      <c r="K453" s="433"/>
      <c r="L453" s="1843"/>
      <c r="M453" s="433"/>
      <c r="N453" s="1812"/>
      <c r="O453" s="1833"/>
      <c r="P453" s="1833"/>
      <c r="Q453" s="1834"/>
      <c r="R453" s="1831"/>
    </row>
    <row r="454" spans="1:18" s="157" customFormat="1">
      <c r="A454" s="1831"/>
      <c r="B454" s="1831"/>
      <c r="C454" s="433"/>
      <c r="D454" s="1847"/>
      <c r="E454" s="433"/>
      <c r="F454" s="433"/>
      <c r="G454" s="1842" t="s">
        <v>2027</v>
      </c>
      <c r="H454" s="1812">
        <v>2020</v>
      </c>
      <c r="I454" s="1812" t="s">
        <v>4271</v>
      </c>
      <c r="J454" s="1840" t="s">
        <v>3476</v>
      </c>
      <c r="K454" s="433"/>
      <c r="L454" s="1843"/>
      <c r="M454" s="433"/>
      <c r="N454" s="1812"/>
      <c r="O454" s="1833"/>
      <c r="P454" s="1833"/>
      <c r="Q454" s="1834"/>
      <c r="R454" s="1831"/>
    </row>
    <row r="455" spans="1:18" s="157" customFormat="1">
      <c r="A455" s="1831"/>
      <c r="B455" s="1831"/>
      <c r="C455" s="433"/>
      <c r="D455" s="1847"/>
      <c r="E455" s="1847"/>
      <c r="F455" s="433"/>
      <c r="G455" s="1842" t="s">
        <v>1386</v>
      </c>
      <c r="H455" s="1812">
        <v>2019</v>
      </c>
      <c r="I455" s="1812" t="s">
        <v>4271</v>
      </c>
      <c r="J455" s="1840" t="s">
        <v>3479</v>
      </c>
      <c r="K455" s="433"/>
      <c r="L455" s="1840"/>
      <c r="M455" s="433"/>
      <c r="N455" s="1812"/>
      <c r="O455" s="1833"/>
      <c r="P455" s="1833"/>
      <c r="Q455" s="1834"/>
      <c r="R455" s="1831"/>
    </row>
    <row r="456" spans="1:18" s="157" customFormat="1">
      <c r="A456" s="1831"/>
      <c r="B456" s="1831"/>
      <c r="C456" s="433"/>
      <c r="D456" s="433"/>
      <c r="E456" s="433"/>
      <c r="F456" s="433"/>
      <c r="G456" s="1842" t="s">
        <v>234</v>
      </c>
      <c r="H456" s="1812">
        <v>2019</v>
      </c>
      <c r="I456" s="1812" t="s">
        <v>4271</v>
      </c>
      <c r="J456" s="1840" t="s">
        <v>3480</v>
      </c>
      <c r="K456" s="433"/>
      <c r="L456" s="1843"/>
      <c r="M456" s="433"/>
      <c r="N456" s="1812"/>
      <c r="O456" s="1833"/>
      <c r="P456" s="1833"/>
      <c r="Q456" s="1834"/>
      <c r="R456" s="1831"/>
    </row>
    <row r="457" spans="1:18" s="157" customFormat="1">
      <c r="A457" s="1831"/>
      <c r="B457" s="1831"/>
      <c r="C457" s="433"/>
      <c r="D457" s="433"/>
      <c r="E457" s="433"/>
      <c r="F457" s="433"/>
      <c r="G457" s="1842" t="s">
        <v>1003</v>
      </c>
      <c r="H457" s="1812">
        <v>2020</v>
      </c>
      <c r="I457" s="1812" t="s">
        <v>4271</v>
      </c>
      <c r="J457" s="1840" t="s">
        <v>3391</v>
      </c>
      <c r="K457" s="433"/>
      <c r="L457" s="1843"/>
      <c r="M457" s="433"/>
      <c r="N457" s="1812"/>
      <c r="O457" s="1833"/>
      <c r="P457" s="1833"/>
      <c r="Q457" s="1834"/>
      <c r="R457" s="1831"/>
    </row>
    <row r="458" spans="1:18" s="157" customFormat="1">
      <c r="A458" s="1831"/>
      <c r="B458" s="1831"/>
      <c r="C458" s="1846"/>
      <c r="D458" s="433"/>
      <c r="E458" s="433"/>
      <c r="F458" s="433"/>
      <c r="G458" s="1842" t="s">
        <v>2164</v>
      </c>
      <c r="H458" s="1812">
        <v>2020</v>
      </c>
      <c r="I458" s="1812" t="s">
        <v>4271</v>
      </c>
      <c r="J458" s="1840" t="s">
        <v>3392</v>
      </c>
      <c r="K458" s="433"/>
      <c r="L458" s="1843"/>
      <c r="M458" s="433"/>
      <c r="N458" s="1812"/>
      <c r="O458" s="1833"/>
      <c r="P458" s="1833"/>
      <c r="Q458" s="1834"/>
      <c r="R458" s="1831"/>
    </row>
    <row r="459" spans="1:18" s="157" customFormat="1">
      <c r="A459" s="1831"/>
      <c r="B459" s="1831"/>
      <c r="C459" s="1846"/>
      <c r="D459" s="433"/>
      <c r="E459" s="433"/>
      <c r="F459" s="433"/>
      <c r="G459" s="1842" t="s">
        <v>4266</v>
      </c>
      <c r="H459" s="1812" t="s">
        <v>4272</v>
      </c>
      <c r="I459" s="1839" t="s">
        <v>2542</v>
      </c>
      <c r="J459" s="1840"/>
      <c r="K459" s="433"/>
      <c r="L459" s="1843"/>
      <c r="M459" s="433"/>
      <c r="N459" s="1812"/>
      <c r="O459" s="1833"/>
      <c r="P459" s="1833"/>
      <c r="Q459" s="1834"/>
      <c r="R459" s="1831"/>
    </row>
    <row r="460" spans="1:18" s="157" customFormat="1">
      <c r="A460" s="1831"/>
      <c r="B460" s="1831"/>
      <c r="C460" s="1846"/>
      <c r="D460" s="433"/>
      <c r="E460" s="433"/>
      <c r="F460" s="433"/>
      <c r="G460" s="1842" t="s">
        <v>1798</v>
      </c>
      <c r="H460" s="1812" t="s">
        <v>4272</v>
      </c>
      <c r="I460" s="1839" t="s">
        <v>2542</v>
      </c>
      <c r="J460" s="1840"/>
      <c r="K460" s="433"/>
      <c r="L460" s="1843"/>
      <c r="M460" s="433"/>
      <c r="N460" s="1812"/>
      <c r="O460" s="1833"/>
      <c r="P460" s="1833"/>
      <c r="Q460" s="1834"/>
      <c r="R460" s="1831"/>
    </row>
    <row r="461" spans="1:18" s="157" customFormat="1">
      <c r="A461" s="1831"/>
      <c r="B461" s="1831"/>
      <c r="C461" s="1846"/>
      <c r="D461" s="433"/>
      <c r="E461" s="433"/>
      <c r="F461" s="433"/>
      <c r="G461" s="1842" t="s">
        <v>480</v>
      </c>
      <c r="H461" s="1812" t="s">
        <v>4272</v>
      </c>
      <c r="I461" s="1839" t="s">
        <v>2542</v>
      </c>
      <c r="J461" s="1840"/>
      <c r="K461" s="433"/>
      <c r="L461" s="1843"/>
      <c r="M461" s="433"/>
      <c r="N461" s="1812"/>
      <c r="O461" s="1833"/>
      <c r="P461" s="1833"/>
      <c r="Q461" s="1834"/>
      <c r="R461" s="1831"/>
    </row>
    <row r="462" spans="1:18" s="157" customFormat="1">
      <c r="A462" s="1831"/>
      <c r="B462" s="1831"/>
      <c r="C462" s="1846"/>
      <c r="D462" s="433"/>
      <c r="E462" s="433"/>
      <c r="F462" s="433"/>
      <c r="G462" s="1842" t="s">
        <v>2009</v>
      </c>
      <c r="H462" s="1812" t="s">
        <v>4272</v>
      </c>
      <c r="I462" s="1839" t="s">
        <v>2542</v>
      </c>
      <c r="J462" s="1840"/>
      <c r="K462" s="433"/>
      <c r="L462" s="1843"/>
      <c r="M462" s="433"/>
      <c r="N462" s="1812"/>
      <c r="O462" s="1833"/>
      <c r="P462" s="1833"/>
      <c r="Q462" s="1834"/>
      <c r="R462" s="1831"/>
    </row>
    <row r="463" spans="1:18" s="157" customFormat="1">
      <c r="A463" s="1831"/>
      <c r="B463" s="1831"/>
      <c r="C463" s="1846"/>
      <c r="D463" s="433"/>
      <c r="E463" s="433"/>
      <c r="F463" s="433"/>
      <c r="G463" s="1842" t="s">
        <v>2156</v>
      </c>
      <c r="H463" s="1812">
        <v>2020</v>
      </c>
      <c r="I463" s="1812" t="s">
        <v>4271</v>
      </c>
      <c r="J463" s="1840"/>
      <c r="K463" s="433"/>
      <c r="L463" s="1843"/>
      <c r="M463" s="433"/>
      <c r="N463" s="1812"/>
      <c r="O463" s="1833"/>
      <c r="P463" s="1833"/>
      <c r="Q463" s="1834"/>
      <c r="R463" s="1831"/>
    </row>
    <row r="464" spans="1:18" s="157" customFormat="1">
      <c r="A464" s="1831"/>
      <c r="B464" s="1831"/>
      <c r="C464" s="1846"/>
      <c r="D464" s="433"/>
      <c r="E464" s="433"/>
      <c r="F464" s="433"/>
      <c r="G464" s="1842" t="s">
        <v>2032</v>
      </c>
      <c r="H464" s="1812">
        <v>2020</v>
      </c>
      <c r="I464" s="1812" t="s">
        <v>4271</v>
      </c>
      <c r="J464" s="1840"/>
      <c r="K464" s="433"/>
      <c r="L464" s="1840"/>
      <c r="M464" s="433"/>
      <c r="N464" s="1812"/>
      <c r="O464" s="1833"/>
      <c r="P464" s="1833"/>
      <c r="Q464" s="1834"/>
      <c r="R464" s="1831"/>
    </row>
    <row r="465" spans="1:18" s="157" customFormat="1">
      <c r="A465" s="1831"/>
      <c r="B465" s="1831"/>
      <c r="C465" s="1847"/>
      <c r="D465" s="433"/>
      <c r="E465" s="433"/>
      <c r="F465" s="433"/>
      <c r="G465" s="1842" t="s">
        <v>2229</v>
      </c>
      <c r="H465" s="1812">
        <v>2019</v>
      </c>
      <c r="I465" s="1812" t="s">
        <v>4271</v>
      </c>
      <c r="J465" s="1840"/>
      <c r="K465" s="433"/>
      <c r="L465" s="1840"/>
      <c r="M465" s="433"/>
      <c r="N465" s="1812"/>
      <c r="O465" s="1833"/>
      <c r="P465" s="1833"/>
      <c r="Q465" s="1834"/>
      <c r="R465" s="1831"/>
    </row>
    <row r="466" spans="1:18" s="157" customFormat="1">
      <c r="A466" s="1831"/>
      <c r="B466" s="1831"/>
      <c r="C466" s="1847"/>
      <c r="D466" s="433"/>
      <c r="E466" s="433"/>
      <c r="F466" s="433"/>
      <c r="G466" s="1842" t="s">
        <v>4267</v>
      </c>
      <c r="H466" s="1840"/>
      <c r="I466" s="1840"/>
      <c r="J466" s="1840"/>
      <c r="K466" s="433"/>
      <c r="L466" s="1840"/>
      <c r="M466" s="433"/>
      <c r="N466" s="1812"/>
      <c r="O466" s="1833"/>
      <c r="P466" s="1833"/>
      <c r="Q466" s="1834"/>
      <c r="R466" s="1831"/>
    </row>
    <row r="467" spans="1:18" s="157" customFormat="1">
      <c r="A467" s="1831"/>
      <c r="B467" s="1831"/>
      <c r="C467" s="433"/>
      <c r="D467" s="433"/>
      <c r="E467" s="433"/>
      <c r="F467" s="433"/>
      <c r="G467" s="1842" t="s">
        <v>1617</v>
      </c>
      <c r="H467" s="1812">
        <v>2019</v>
      </c>
      <c r="I467" s="1812" t="s">
        <v>4271</v>
      </c>
      <c r="J467" s="1840"/>
      <c r="K467" s="433"/>
      <c r="L467" s="1840"/>
      <c r="M467" s="433"/>
      <c r="N467" s="1812"/>
      <c r="O467" s="1833"/>
      <c r="P467" s="1833"/>
      <c r="Q467" s="1834"/>
      <c r="R467" s="1831"/>
    </row>
    <row r="468" spans="1:18" s="157" customFormat="1">
      <c r="A468" s="1831"/>
      <c r="B468" s="1831"/>
      <c r="C468" s="433"/>
      <c r="D468" s="433"/>
      <c r="E468" s="433"/>
      <c r="F468" s="433"/>
      <c r="G468" s="1842" t="s">
        <v>1620</v>
      </c>
      <c r="H468" s="1812">
        <v>2020</v>
      </c>
      <c r="I468" s="1812" t="s">
        <v>4271</v>
      </c>
      <c r="J468" s="1840"/>
      <c r="K468" s="1840"/>
      <c r="L468" s="433"/>
      <c r="M468" s="433"/>
      <c r="N468" s="1812"/>
      <c r="O468" s="1833"/>
      <c r="P468" s="1833"/>
      <c r="Q468" s="1834"/>
      <c r="R468" s="1831"/>
    </row>
    <row r="469" spans="1:18" s="157" customFormat="1">
      <c r="A469" s="1831"/>
      <c r="B469" s="1831"/>
      <c r="C469" s="433"/>
      <c r="D469" s="433"/>
      <c r="E469" s="433"/>
      <c r="F469" s="433"/>
      <c r="G469" s="1842" t="s">
        <v>1625</v>
      </c>
      <c r="H469" s="1812">
        <v>2020</v>
      </c>
      <c r="I469" s="1812" t="s">
        <v>4271</v>
      </c>
      <c r="J469" s="1840"/>
      <c r="K469" s="1840"/>
      <c r="L469" s="433"/>
      <c r="M469" s="433"/>
      <c r="N469" s="1812"/>
      <c r="O469" s="1833"/>
      <c r="P469" s="1833"/>
      <c r="Q469" s="1834"/>
      <c r="R469" s="1831"/>
    </row>
    <row r="470" spans="1:18" s="157" customFormat="1">
      <c r="A470" s="1831"/>
      <c r="B470" s="1831"/>
      <c r="C470" s="433"/>
      <c r="D470" s="433"/>
      <c r="E470" s="433"/>
      <c r="F470" s="433"/>
      <c r="G470" s="1842" t="s">
        <v>1633</v>
      </c>
      <c r="H470" s="1812">
        <v>2020</v>
      </c>
      <c r="I470" s="1812" t="s">
        <v>4271</v>
      </c>
      <c r="J470" s="1840"/>
      <c r="K470" s="1840"/>
      <c r="L470" s="433"/>
      <c r="M470" s="433"/>
      <c r="N470" s="1812"/>
      <c r="O470" s="1833"/>
      <c r="P470" s="1833"/>
      <c r="Q470" s="1834"/>
      <c r="R470" s="1831"/>
    </row>
    <row r="471" spans="1:18" s="157" customFormat="1">
      <c r="A471" s="1831"/>
      <c r="B471" s="1831"/>
      <c r="C471" s="433"/>
      <c r="D471" s="433"/>
      <c r="E471" s="433"/>
      <c r="F471" s="433"/>
      <c r="G471" s="1842" t="s">
        <v>1634</v>
      </c>
      <c r="H471" s="1812">
        <v>2019</v>
      </c>
      <c r="I471" s="1812" t="s">
        <v>4271</v>
      </c>
      <c r="J471" s="1840"/>
      <c r="K471" s="1840"/>
      <c r="L471" s="433"/>
      <c r="M471" s="433"/>
      <c r="N471" s="1812"/>
      <c r="O471" s="1833"/>
      <c r="P471" s="1833"/>
      <c r="Q471" s="1834"/>
      <c r="R471" s="1831"/>
    </row>
    <row r="472" spans="1:18" s="157" customFormat="1">
      <c r="A472" s="1831"/>
      <c r="B472" s="1831"/>
      <c r="C472" s="433"/>
      <c r="D472" s="433"/>
      <c r="E472" s="433"/>
      <c r="F472" s="433"/>
      <c r="G472" s="1842" t="s">
        <v>99</v>
      </c>
      <c r="H472" s="1812">
        <v>2020</v>
      </c>
      <c r="I472" s="1812" t="s">
        <v>4271</v>
      </c>
      <c r="J472" s="1840"/>
      <c r="K472" s="1840"/>
      <c r="L472" s="433"/>
      <c r="M472" s="433"/>
      <c r="N472" s="1812"/>
      <c r="O472" s="1833"/>
      <c r="P472" s="1833"/>
      <c r="Q472" s="1834"/>
      <c r="R472" s="1831"/>
    </row>
    <row r="473" spans="1:18" s="157" customFormat="1">
      <c r="A473" s="1831"/>
      <c r="B473" s="1831"/>
      <c r="C473" s="433"/>
      <c r="D473" s="433"/>
      <c r="E473" s="433"/>
      <c r="F473" s="433"/>
      <c r="G473" s="1842" t="s">
        <v>286</v>
      </c>
      <c r="H473" s="1812">
        <v>2020</v>
      </c>
      <c r="I473" s="1812" t="s">
        <v>4271</v>
      </c>
      <c r="J473" s="1840"/>
      <c r="K473" s="1840"/>
      <c r="L473" s="433"/>
      <c r="M473" s="433"/>
      <c r="N473" s="1812"/>
      <c r="O473" s="1833"/>
      <c r="P473" s="1833"/>
      <c r="Q473" s="1834"/>
      <c r="R473" s="1831"/>
    </row>
    <row r="474" spans="1:18" s="157" customFormat="1">
      <c r="A474" s="1831"/>
      <c r="B474" s="1831"/>
      <c r="C474" s="433"/>
      <c r="D474" s="433"/>
      <c r="E474" s="433"/>
      <c r="F474" s="433"/>
      <c r="G474" s="1842" t="s">
        <v>1481</v>
      </c>
      <c r="H474" s="1812" t="s">
        <v>4272</v>
      </c>
      <c r="I474" s="1839" t="s">
        <v>2542</v>
      </c>
      <c r="J474" s="1840"/>
      <c r="K474" s="1840"/>
      <c r="L474" s="433"/>
      <c r="M474" s="433"/>
      <c r="N474" s="1812"/>
      <c r="O474" s="1833"/>
      <c r="P474" s="1833"/>
      <c r="Q474" s="1834"/>
      <c r="R474" s="1831"/>
    </row>
    <row r="475" spans="1:18" s="157" customFormat="1" ht="30" customHeight="1">
      <c r="A475" s="1831"/>
      <c r="B475" s="1831"/>
      <c r="C475" s="433"/>
      <c r="D475" s="433"/>
      <c r="E475" s="433"/>
      <c r="F475" s="433"/>
      <c r="G475" s="1842"/>
      <c r="H475" s="1840"/>
      <c r="I475" s="1840"/>
      <c r="J475" s="1840"/>
      <c r="K475" s="1840"/>
      <c r="L475" s="1831"/>
      <c r="M475" s="1831"/>
      <c r="N475" s="1831"/>
      <c r="O475" s="1831"/>
      <c r="P475" s="1831"/>
      <c r="Q475" s="1831"/>
      <c r="R475" s="1831"/>
    </row>
    <row r="476" spans="1:18" s="157" customFormat="1">
      <c r="N476" s="119"/>
      <c r="O476" s="2646"/>
      <c r="P476" s="2646"/>
    </row>
    <row r="477" spans="1:18" s="157" customFormat="1">
      <c r="N477" s="119"/>
      <c r="O477" s="2646"/>
      <c r="P477" s="2646"/>
    </row>
    <row r="478" spans="1:18" s="157" customFormat="1">
      <c r="N478" s="119"/>
      <c r="O478" s="2646"/>
      <c r="P478" s="2646"/>
    </row>
    <row r="479" spans="1:18" s="157" customFormat="1">
      <c r="N479" s="119"/>
      <c r="O479" s="2646"/>
      <c r="P479" s="2646"/>
    </row>
    <row r="480" spans="1:18" s="157" customFormat="1">
      <c r="N480" s="119"/>
      <c r="O480" s="2646"/>
      <c r="P480" s="2646"/>
    </row>
    <row r="481" spans="1:21" s="157" customFormat="1">
      <c r="N481" s="119"/>
      <c r="O481" s="2646"/>
      <c r="P481" s="2646"/>
    </row>
    <row r="482" spans="1:21" s="157" customFormat="1">
      <c r="N482" s="119"/>
      <c r="O482" s="2646"/>
      <c r="P482" s="2646"/>
    </row>
    <row r="483" spans="1:21" s="157" customFormat="1">
      <c r="N483" s="119"/>
      <c r="O483" s="2646"/>
      <c r="P483" s="2646"/>
    </row>
    <row r="484" spans="1:21" s="157" customFormat="1">
      <c r="N484" s="119"/>
      <c r="O484" s="2646"/>
      <c r="P484" s="2646"/>
    </row>
    <row r="485" spans="1:21" s="157" customFormat="1">
      <c r="N485" s="119"/>
      <c r="O485" s="2646"/>
      <c r="P485" s="2646"/>
    </row>
    <row r="486" spans="1:21" s="157" customFormat="1">
      <c r="N486" s="119"/>
      <c r="O486" s="2646"/>
      <c r="P486" s="2646"/>
    </row>
    <row r="487" spans="1:21" s="157" customFormat="1">
      <c r="N487" s="119"/>
      <c r="O487" s="2646"/>
      <c r="P487" s="2646"/>
    </row>
    <row r="488" spans="1:21" s="157" customFormat="1">
      <c r="N488" s="119"/>
      <c r="O488" s="2646"/>
      <c r="P488" s="2646"/>
    </row>
    <row r="489" spans="1:21" s="157" customFormat="1">
      <c r="N489" s="119"/>
      <c r="O489" s="2646"/>
      <c r="P489" s="2646"/>
    </row>
    <row r="490" spans="1:21">
      <c r="A490" s="157"/>
      <c r="B490" s="157"/>
      <c r="C490" s="157"/>
      <c r="D490" s="157"/>
      <c r="E490" s="157"/>
      <c r="F490" s="157"/>
      <c r="G490" s="157"/>
      <c r="H490" s="157"/>
      <c r="I490" s="157"/>
      <c r="J490" s="157"/>
      <c r="K490" s="157"/>
      <c r="L490" s="157"/>
      <c r="M490" s="157"/>
      <c r="N490" s="119"/>
      <c r="Q490" s="157"/>
      <c r="R490" s="157"/>
      <c r="S490" s="157"/>
      <c r="T490" s="157"/>
      <c r="U490" s="157"/>
    </row>
    <row r="491" spans="1:21">
      <c r="A491" s="157"/>
      <c r="B491" s="157"/>
      <c r="C491" s="157"/>
      <c r="D491" s="157"/>
      <c r="E491" s="157"/>
      <c r="F491" s="157"/>
      <c r="G491" s="157"/>
      <c r="H491" s="157"/>
      <c r="I491" s="157"/>
      <c r="J491" s="157"/>
      <c r="K491" s="157"/>
      <c r="L491" s="157"/>
      <c r="M491" s="157"/>
      <c r="N491" s="119"/>
      <c r="Q491" s="157"/>
      <c r="R491" s="157"/>
      <c r="S491" s="157"/>
      <c r="T491" s="157"/>
      <c r="U491" s="157"/>
    </row>
    <row r="492" spans="1:21">
      <c r="A492" s="157"/>
      <c r="B492" s="157"/>
      <c r="C492" s="157"/>
      <c r="D492" s="157"/>
      <c r="E492" s="157"/>
      <c r="F492" s="157"/>
      <c r="G492" s="157"/>
      <c r="H492" s="157"/>
      <c r="I492" s="157"/>
      <c r="J492" s="157"/>
      <c r="K492" s="157"/>
      <c r="L492" s="157"/>
      <c r="M492" s="157"/>
      <c r="N492" s="119"/>
      <c r="Q492" s="157"/>
      <c r="R492" s="157"/>
      <c r="S492" s="157"/>
      <c r="T492" s="157"/>
      <c r="U492" s="157"/>
    </row>
    <row r="493" spans="1:21">
      <c r="A493" s="157"/>
      <c r="B493" s="157"/>
      <c r="C493" s="157"/>
      <c r="D493" s="157"/>
      <c r="E493" s="157"/>
      <c r="F493" s="157"/>
      <c r="G493" s="157"/>
      <c r="H493" s="157"/>
      <c r="I493" s="157"/>
      <c r="J493" s="157"/>
      <c r="K493" s="157"/>
      <c r="L493" s="157"/>
      <c r="M493" s="157"/>
      <c r="N493" s="119"/>
      <c r="Q493" s="157"/>
      <c r="R493" s="157"/>
      <c r="S493" s="157"/>
      <c r="T493" s="157"/>
      <c r="U493" s="157"/>
    </row>
    <row r="494" spans="1:21">
      <c r="A494" s="157"/>
      <c r="B494" s="157"/>
      <c r="C494" s="157"/>
      <c r="D494" s="157"/>
      <c r="E494" s="157"/>
      <c r="F494" s="157"/>
      <c r="G494" s="157"/>
      <c r="H494" s="157"/>
      <c r="I494" s="157"/>
      <c r="J494" s="157"/>
      <c r="K494" s="157"/>
      <c r="L494" s="157"/>
      <c r="M494" s="157"/>
      <c r="N494" s="119"/>
      <c r="Q494" s="157"/>
      <c r="R494" s="157"/>
      <c r="S494" s="157"/>
      <c r="T494" s="157"/>
      <c r="U494" s="157"/>
    </row>
    <row r="495" spans="1:21">
      <c r="A495" s="157"/>
      <c r="B495" s="157"/>
      <c r="C495" s="157"/>
      <c r="D495" s="157"/>
      <c r="E495" s="157"/>
      <c r="F495" s="157"/>
      <c r="G495" s="157"/>
      <c r="H495" s="157"/>
      <c r="I495" s="157"/>
      <c r="J495" s="157"/>
      <c r="K495" s="157"/>
      <c r="L495" s="157"/>
      <c r="M495" s="157"/>
      <c r="N495" s="119"/>
      <c r="Q495" s="157"/>
      <c r="R495" s="157"/>
      <c r="S495" s="157"/>
      <c r="T495" s="157"/>
      <c r="U495" s="157"/>
    </row>
    <row r="496" spans="1:21">
      <c r="A496" s="157"/>
      <c r="B496" s="157"/>
      <c r="C496" s="157"/>
      <c r="D496" s="157"/>
      <c r="E496" s="157"/>
      <c r="F496" s="157"/>
      <c r="G496" s="157"/>
      <c r="H496" s="157"/>
      <c r="I496" s="157"/>
      <c r="J496" s="157"/>
      <c r="K496" s="157"/>
      <c r="L496" s="157"/>
      <c r="M496" s="157"/>
      <c r="N496" s="119"/>
      <c r="Q496" s="157"/>
      <c r="R496" s="157"/>
      <c r="S496" s="157"/>
      <c r="T496" s="157"/>
      <c r="U496" s="157"/>
    </row>
    <row r="497" spans="1:21">
      <c r="A497" s="157"/>
      <c r="B497" s="157"/>
      <c r="C497" s="157"/>
      <c r="D497" s="157"/>
      <c r="E497" s="157"/>
      <c r="F497" s="157"/>
      <c r="G497" s="157"/>
      <c r="H497" s="157"/>
      <c r="I497" s="157"/>
      <c r="J497" s="157"/>
      <c r="K497" s="157"/>
      <c r="L497" s="157"/>
      <c r="M497" s="157"/>
      <c r="N497" s="119"/>
      <c r="Q497" s="157"/>
      <c r="R497" s="157"/>
      <c r="S497" s="157"/>
      <c r="T497" s="157"/>
      <c r="U497" s="157"/>
    </row>
    <row r="498" spans="1:21">
      <c r="A498" s="157"/>
      <c r="B498" s="157"/>
      <c r="C498" s="157"/>
      <c r="D498" s="157"/>
      <c r="E498" s="157"/>
      <c r="F498" s="157"/>
      <c r="G498" s="157"/>
      <c r="H498" s="157"/>
      <c r="I498" s="157"/>
      <c r="J498" s="157"/>
      <c r="K498" s="157"/>
      <c r="L498" s="157"/>
      <c r="M498" s="157"/>
      <c r="N498" s="119"/>
      <c r="Q498" s="157"/>
      <c r="R498" s="157"/>
      <c r="S498" s="157"/>
      <c r="T498" s="157"/>
      <c r="U498" s="157"/>
    </row>
    <row r="499" spans="1:21">
      <c r="A499" s="157"/>
      <c r="B499" s="157"/>
      <c r="C499" s="157"/>
      <c r="D499" s="157"/>
      <c r="E499" s="157"/>
      <c r="F499" s="157"/>
      <c r="G499" s="157"/>
      <c r="H499" s="157"/>
      <c r="I499" s="157"/>
      <c r="J499" s="157"/>
      <c r="K499" s="157"/>
      <c r="L499" s="157"/>
      <c r="M499" s="157"/>
      <c r="N499" s="119"/>
      <c r="Q499" s="157"/>
      <c r="R499" s="157"/>
      <c r="S499" s="157"/>
      <c r="T499" s="157"/>
      <c r="U499" s="157"/>
    </row>
    <row r="500" spans="1:21">
      <c r="A500" s="157"/>
      <c r="B500" s="157"/>
      <c r="C500" s="157"/>
      <c r="D500" s="157"/>
      <c r="E500" s="157"/>
      <c r="F500" s="157"/>
      <c r="G500" s="157"/>
      <c r="H500" s="157"/>
      <c r="I500" s="157"/>
      <c r="J500" s="157"/>
      <c r="K500" s="157"/>
      <c r="L500" s="157"/>
      <c r="M500" s="157"/>
      <c r="N500" s="119"/>
      <c r="Q500" s="157"/>
      <c r="R500" s="157"/>
      <c r="S500" s="157"/>
      <c r="T500" s="157"/>
      <c r="U500" s="157"/>
    </row>
    <row r="501" spans="1:21">
      <c r="A501" s="157"/>
      <c r="B501" s="157"/>
      <c r="C501" s="157"/>
      <c r="D501" s="157"/>
      <c r="E501" s="157"/>
      <c r="F501" s="157"/>
      <c r="G501" s="157"/>
      <c r="H501" s="157"/>
      <c r="I501" s="157"/>
      <c r="J501" s="157"/>
      <c r="K501" s="157"/>
      <c r="L501" s="157"/>
      <c r="M501" s="157"/>
      <c r="N501" s="119"/>
      <c r="Q501" s="157"/>
      <c r="R501" s="157"/>
      <c r="S501" s="157"/>
      <c r="T501" s="157"/>
      <c r="U501" s="157"/>
    </row>
  </sheetData>
  <sheetProtection algorithmName="SHA-512" hashValue="sfLQGgy5VNc2bQh38Y9UL5KdtDMoFKF4aHII2SNsoURUodmEG2Y+jqQIUCnklma3I3wRrVzvPYQvEKEsN/YuhQ==" saltValue="RexGQ4wB8pwLqJZSWZM6XQ==" spinCount="100000" sheet="1" objects="1" scenarios="1" selectLockedCells="1" selectUnlockedCells="1"/>
  <mergeCells count="279">
    <mergeCell ref="X31:Y31"/>
    <mergeCell ref="Z31:AA31"/>
    <mergeCell ref="AC31:AD31"/>
    <mergeCell ref="AE31:AF31"/>
    <mergeCell ref="C157:G157"/>
    <mergeCell ref="H155:J155"/>
    <mergeCell ref="H156:J156"/>
    <mergeCell ref="K153:L153"/>
    <mergeCell ref="A389:P389"/>
    <mergeCell ref="A385:P385"/>
    <mergeCell ref="A375:P375"/>
    <mergeCell ref="A377:P377"/>
    <mergeCell ref="A381:P381"/>
    <mergeCell ref="M239:N239"/>
    <mergeCell ref="M335:N336"/>
    <mergeCell ref="M314:P314"/>
    <mergeCell ref="O337:P337"/>
    <mergeCell ref="O336:P336"/>
    <mergeCell ref="C322:M322"/>
    <mergeCell ref="J311:K311"/>
    <mergeCell ref="M313:P313"/>
    <mergeCell ref="B335:L338"/>
    <mergeCell ref="J313:K313"/>
    <mergeCell ref="J303:K303"/>
    <mergeCell ref="D332:I332"/>
    <mergeCell ref="M307:P307"/>
    <mergeCell ref="A346:P346"/>
    <mergeCell ref="J319:K319"/>
    <mergeCell ref="G424:I424"/>
    <mergeCell ref="J315:K315"/>
    <mergeCell ref="A243:P243"/>
    <mergeCell ref="A283:P283"/>
    <mergeCell ref="B264:L264"/>
    <mergeCell ref="A290:P290"/>
    <mergeCell ref="A292:P292"/>
    <mergeCell ref="A404:P404"/>
    <mergeCell ref="A403:P403"/>
    <mergeCell ref="O342:P342"/>
    <mergeCell ref="B339:P339"/>
    <mergeCell ref="M315:P315"/>
    <mergeCell ref="J304:K304"/>
    <mergeCell ref="C372:M372"/>
    <mergeCell ref="O361:P361"/>
    <mergeCell ref="C363:M363"/>
    <mergeCell ref="C364:M364"/>
    <mergeCell ref="M318:P318"/>
    <mergeCell ref="J307:K307"/>
    <mergeCell ref="B342:L344"/>
    <mergeCell ref="O343:P343"/>
    <mergeCell ref="O366:P366"/>
    <mergeCell ref="C367:L367"/>
    <mergeCell ref="C368:L368"/>
    <mergeCell ref="A393:P393"/>
    <mergeCell ref="A397:P397"/>
    <mergeCell ref="M319:P319"/>
    <mergeCell ref="J318:K318"/>
    <mergeCell ref="Q16:V17"/>
    <mergeCell ref="R108:U120"/>
    <mergeCell ref="J117:K117"/>
    <mergeCell ref="C135:H135"/>
    <mergeCell ref="C134:H134"/>
    <mergeCell ref="F119:G119"/>
    <mergeCell ref="J119:K119"/>
    <mergeCell ref="I133:L134"/>
    <mergeCell ref="J116:M116"/>
    <mergeCell ref="J120:K120"/>
    <mergeCell ref="O76:P76"/>
    <mergeCell ref="F20:O20"/>
    <mergeCell ref="F22:O22"/>
    <mergeCell ref="F25:O25"/>
    <mergeCell ref="L131:L132"/>
    <mergeCell ref="G72:I72"/>
    <mergeCell ref="Q18:S29"/>
    <mergeCell ref="A73:E73"/>
    <mergeCell ref="F23:O23"/>
    <mergeCell ref="A72:E72"/>
    <mergeCell ref="H152:J152"/>
    <mergeCell ref="H153:J153"/>
    <mergeCell ref="H154:J154"/>
    <mergeCell ref="G31:H31"/>
    <mergeCell ref="J308:K308"/>
    <mergeCell ref="M31:P31"/>
    <mergeCell ref="M55:P55"/>
    <mergeCell ref="M43:P43"/>
    <mergeCell ref="M34:P34"/>
    <mergeCell ref="F116:I116"/>
    <mergeCell ref="O116:P116"/>
    <mergeCell ref="F24:O24"/>
    <mergeCell ref="F26:O26"/>
    <mergeCell ref="A74:E74"/>
    <mergeCell ref="G80:I80"/>
    <mergeCell ref="G76:I76"/>
    <mergeCell ref="K76:N76"/>
    <mergeCell ref="M40:N40"/>
    <mergeCell ref="O72:P72"/>
    <mergeCell ref="K72:N72"/>
    <mergeCell ref="M56:P56"/>
    <mergeCell ref="K80:N80"/>
    <mergeCell ref="O75:P75"/>
    <mergeCell ref="K75:N75"/>
    <mergeCell ref="B265:L265"/>
    <mergeCell ref="A233:P233"/>
    <mergeCell ref="K221:L221"/>
    <mergeCell ref="O81:P81"/>
    <mergeCell ref="K82:N82"/>
    <mergeCell ref="O82:P82"/>
    <mergeCell ref="J118:K118"/>
    <mergeCell ref="A142:P142"/>
    <mergeCell ref="I101:L103"/>
    <mergeCell ref="L120:M120"/>
    <mergeCell ref="H119:I119"/>
    <mergeCell ref="L119:M119"/>
    <mergeCell ref="G75:I75"/>
    <mergeCell ref="C65:P65"/>
    <mergeCell ref="G77:I77"/>
    <mergeCell ref="O77:P77"/>
    <mergeCell ref="G78:I78"/>
    <mergeCell ref="K74:N74"/>
    <mergeCell ref="A75:E75"/>
    <mergeCell ref="O79:P79"/>
    <mergeCell ref="A1:P1"/>
    <mergeCell ref="A3:L4"/>
    <mergeCell ref="O70:P70"/>
    <mergeCell ref="A71:E71"/>
    <mergeCell ref="G71:I71"/>
    <mergeCell ref="K71:N71"/>
    <mergeCell ref="O71:P71"/>
    <mergeCell ref="A69:E70"/>
    <mergeCell ref="O69:P69"/>
    <mergeCell ref="G69:I70"/>
    <mergeCell ref="K69:N70"/>
    <mergeCell ref="F27:O27"/>
    <mergeCell ref="F29:O29"/>
    <mergeCell ref="F16:N16"/>
    <mergeCell ref="F17:O17"/>
    <mergeCell ref="F18:O18"/>
    <mergeCell ref="B6:F6"/>
    <mergeCell ref="F19:O19"/>
    <mergeCell ref="A8:C9"/>
    <mergeCell ref="D8:M9"/>
    <mergeCell ref="M47:P52"/>
    <mergeCell ref="B11:P11"/>
    <mergeCell ref="I31:J31"/>
    <mergeCell ref="F21:O21"/>
    <mergeCell ref="A328:P328"/>
    <mergeCell ref="M309:P309"/>
    <mergeCell ref="J317:K317"/>
    <mergeCell ref="I135:L136"/>
    <mergeCell ref="I137:L138"/>
    <mergeCell ref="K78:N78"/>
    <mergeCell ref="O78:P78"/>
    <mergeCell ref="A82:E82"/>
    <mergeCell ref="G82:I82"/>
    <mergeCell ref="I239:J239"/>
    <mergeCell ref="C156:G156"/>
    <mergeCell ref="C155:G155"/>
    <mergeCell ref="C154:G154"/>
    <mergeCell ref="C153:G153"/>
    <mergeCell ref="C152:G152"/>
    <mergeCell ref="J310:K310"/>
    <mergeCell ref="A182:P182"/>
    <mergeCell ref="A81:E81"/>
    <mergeCell ref="K154:L154"/>
    <mergeCell ref="C127:F130"/>
    <mergeCell ref="K155:L155"/>
    <mergeCell ref="K156:L156"/>
    <mergeCell ref="M311:P311"/>
    <mergeCell ref="J312:K312"/>
    <mergeCell ref="J314:K314"/>
    <mergeCell ref="M312:P312"/>
    <mergeCell ref="J305:K305"/>
    <mergeCell ref="M308:P308"/>
    <mergeCell ref="M304:P304"/>
    <mergeCell ref="J211:M211"/>
    <mergeCell ref="J209:M209"/>
    <mergeCell ref="F28:O28"/>
    <mergeCell ref="M32:P32"/>
    <mergeCell ref="M53:P53"/>
    <mergeCell ref="G73:I73"/>
    <mergeCell ref="K79:N79"/>
    <mergeCell ref="A159:P159"/>
    <mergeCell ref="M171:P171"/>
    <mergeCell ref="K157:L157"/>
    <mergeCell ref="C167:K168"/>
    <mergeCell ref="M170:P170"/>
    <mergeCell ref="M168:P168"/>
    <mergeCell ref="A161:P161"/>
    <mergeCell ref="C175:L175"/>
    <mergeCell ref="C174:L174"/>
    <mergeCell ref="M169:P169"/>
    <mergeCell ref="M167:P167"/>
    <mergeCell ref="H157:J157"/>
    <mergeCell ref="R301:S303"/>
    <mergeCell ref="R296:S298"/>
    <mergeCell ref="A197:P197"/>
    <mergeCell ref="A218:P218"/>
    <mergeCell ref="A235:P235"/>
    <mergeCell ref="A195:P195"/>
    <mergeCell ref="A252:P252"/>
    <mergeCell ref="A254:P254"/>
    <mergeCell ref="I287:L287"/>
    <mergeCell ref="L296:M298"/>
    <mergeCell ref="A267:P267"/>
    <mergeCell ref="M303:P303"/>
    <mergeCell ref="A226:P226"/>
    <mergeCell ref="C299:M300"/>
    <mergeCell ref="M230:M231"/>
    <mergeCell ref="B262:L262"/>
    <mergeCell ref="A245:P245"/>
    <mergeCell ref="I240:J240"/>
    <mergeCell ref="F211:I211"/>
    <mergeCell ref="F210:I210"/>
    <mergeCell ref="M240:N240"/>
    <mergeCell ref="A215:P215"/>
    <mergeCell ref="F209:I209"/>
    <mergeCell ref="F208:I208"/>
    <mergeCell ref="O80:P80"/>
    <mergeCell ref="A80:E80"/>
    <mergeCell ref="K81:N81"/>
    <mergeCell ref="O371:P371"/>
    <mergeCell ref="C188:L188"/>
    <mergeCell ref="C192:L192"/>
    <mergeCell ref="A180:P180"/>
    <mergeCell ref="A356:P356"/>
    <mergeCell ref="M305:P305"/>
    <mergeCell ref="J306:K306"/>
    <mergeCell ref="M306:P306"/>
    <mergeCell ref="J309:K309"/>
    <mergeCell ref="A348:P348"/>
    <mergeCell ref="O338:P338"/>
    <mergeCell ref="O344:P344"/>
    <mergeCell ref="J210:M210"/>
    <mergeCell ref="J208:M208"/>
    <mergeCell ref="F207:L207"/>
    <mergeCell ref="J203:M203"/>
    <mergeCell ref="J202:K202"/>
    <mergeCell ref="L202:M202"/>
    <mergeCell ref="A326:P326"/>
    <mergeCell ref="C193:L193"/>
    <mergeCell ref="C190:L190"/>
    <mergeCell ref="H92:I92"/>
    <mergeCell ref="G128:H128"/>
    <mergeCell ref="L117:M117"/>
    <mergeCell ref="F117:G117"/>
    <mergeCell ref="H117:I117"/>
    <mergeCell ref="I126:L130"/>
    <mergeCell ref="A106:P106"/>
    <mergeCell ref="A118:B120"/>
    <mergeCell ref="H120:I120"/>
    <mergeCell ref="L118:M118"/>
    <mergeCell ref="I122:J122"/>
    <mergeCell ref="K122:L122"/>
    <mergeCell ref="A104:P104"/>
    <mergeCell ref="F120:G120"/>
    <mergeCell ref="F118:G118"/>
    <mergeCell ref="K152:L152"/>
    <mergeCell ref="Q73:R76"/>
    <mergeCell ref="K73:N73"/>
    <mergeCell ref="O73:P73"/>
    <mergeCell ref="A96:P96"/>
    <mergeCell ref="A144:P144"/>
    <mergeCell ref="H118:I118"/>
    <mergeCell ref="O74:P74"/>
    <mergeCell ref="H149:J151"/>
    <mergeCell ref="K149:L151"/>
    <mergeCell ref="G79:I79"/>
    <mergeCell ref="I131:K132"/>
    <mergeCell ref="C136:H136"/>
    <mergeCell ref="G74:I74"/>
    <mergeCell ref="B87:L88"/>
    <mergeCell ref="M128:P128"/>
    <mergeCell ref="C126:H126"/>
    <mergeCell ref="A79:E79"/>
    <mergeCell ref="A78:E78"/>
    <mergeCell ref="A76:E76"/>
    <mergeCell ref="G81:I81"/>
    <mergeCell ref="L89:L90"/>
    <mergeCell ref="K77:N77"/>
    <mergeCell ref="A77:E77"/>
  </mergeCells>
  <conditionalFormatting sqref="O147:P147">
    <cfRule type="cellIs" dxfId="42" priority="130" operator="greaterThan">
      <formula>M147</formula>
    </cfRule>
  </conditionalFormatting>
  <conditionalFormatting sqref="Q131">
    <cfRule type="cellIs" dxfId="41" priority="128" stopIfTrue="1" operator="equal">
      <formula>"* * Check Score! * *"</formula>
    </cfRule>
  </conditionalFormatting>
  <conditionalFormatting sqref="N286:N287">
    <cfRule type="cellIs" dxfId="40" priority="127" stopIfTrue="1" operator="equal">
      <formula>"* * Check Score! * *"</formula>
    </cfRule>
  </conditionalFormatting>
  <conditionalFormatting sqref="R274">
    <cfRule type="cellIs" dxfId="39" priority="119" stopIfTrue="1" operator="equal">
      <formula>"* * Check Score! * *"</formula>
    </cfRule>
  </conditionalFormatting>
  <conditionalFormatting sqref="F100">
    <cfRule type="expression" dxfId="38" priority="167">
      <formula>AND($O$199&gt;0,$O$199&lt;4,OR($I$199="Statutory Redevelopment Plan",$I$199="Redevelopment Zone",$I$199="Local Redevelopment Plan"))</formula>
    </cfRule>
  </conditionalFormatting>
  <conditionalFormatting sqref="O102">
    <cfRule type="cellIs" priority="104" operator="notEqual">
      <formula>$M102</formula>
    </cfRule>
  </conditionalFormatting>
  <conditionalFormatting sqref="O101">
    <cfRule type="cellIs" priority="105" operator="notEqual">
      <formula>$M101</formula>
    </cfRule>
  </conditionalFormatting>
  <conditionalFormatting sqref="L261">
    <cfRule type="cellIs" dxfId="37" priority="94" stopIfTrue="1" operator="equal">
      <formula>"* * Check Score! * *"</formula>
    </cfRule>
  </conditionalFormatting>
  <conditionalFormatting sqref="L258:L259">
    <cfRule type="cellIs" dxfId="36" priority="93" stopIfTrue="1" operator="equal">
      <formula>"* * Check Score! * *"</formula>
    </cfRule>
  </conditionalFormatting>
  <conditionalFormatting sqref="L178">
    <cfRule type="cellIs" dxfId="35" priority="90" stopIfTrue="1" operator="equal">
      <formula>"* * Check Score! * *"</formula>
    </cfRule>
  </conditionalFormatting>
  <conditionalFormatting sqref="L301">
    <cfRule type="cellIs" dxfId="34" priority="86" stopIfTrue="1" operator="equal">
      <formula>"* * Check Score! * *"</formula>
    </cfRule>
  </conditionalFormatting>
  <conditionalFormatting sqref="L321">
    <cfRule type="cellIs" dxfId="33" priority="85" stopIfTrue="1" operator="equal">
      <formula>"* * Check Score! * *"</formula>
    </cfRule>
  </conditionalFormatting>
  <conditionalFormatting sqref="R275">
    <cfRule type="cellIs" dxfId="32" priority="83" stopIfTrue="1" operator="equal">
      <formula>"* * Check Score! * *"</formula>
    </cfRule>
  </conditionalFormatting>
  <conditionalFormatting sqref="O89">
    <cfRule type="cellIs" dxfId="31" priority="77" operator="notEqual">
      <formula>$M89</formula>
    </cfRule>
  </conditionalFormatting>
  <conditionalFormatting sqref="L263">
    <cfRule type="cellIs" dxfId="30" priority="75" stopIfTrue="1" operator="equal">
      <formula>"* * Check Score! * *"</formula>
    </cfRule>
  </conditionalFormatting>
  <conditionalFormatting sqref="R276">
    <cfRule type="cellIs" dxfId="29" priority="74" stopIfTrue="1" operator="equal">
      <formula>"* * Check Score! * *"</formula>
    </cfRule>
  </conditionalFormatting>
  <conditionalFormatting sqref="L89:L90">
    <cfRule type="containsText" dxfId="28" priority="72" operator="containsText" text="CHOOSE EITHER A OR B, NOT BOTH!">
      <formula>NOT(ISERROR(SEARCH("CHOOSE EITHER A OR B, NOT BOTH!",L89)))</formula>
    </cfRule>
  </conditionalFormatting>
  <conditionalFormatting sqref="O127">
    <cfRule type="cellIs" dxfId="27" priority="70" operator="notEqual">
      <formula>$M127</formula>
    </cfRule>
  </conditionalFormatting>
  <conditionalFormatting sqref="O126">
    <cfRule type="cellIs" dxfId="26" priority="71" operator="notEqual">
      <formula>$M126</formula>
    </cfRule>
  </conditionalFormatting>
  <conditionalFormatting sqref="O90">
    <cfRule type="cellIs" dxfId="25" priority="58" operator="notEqual">
      <formula>$M90</formula>
    </cfRule>
  </conditionalFormatting>
  <conditionalFormatting sqref="O135">
    <cfRule type="cellIs" dxfId="24" priority="67" operator="notEqual">
      <formula>$M135</formula>
    </cfRule>
  </conditionalFormatting>
  <conditionalFormatting sqref="O134">
    <cfRule type="cellIs" dxfId="23" priority="68" operator="notEqual">
      <formula>$M134</formula>
    </cfRule>
  </conditionalFormatting>
  <conditionalFormatting sqref="O136">
    <cfRule type="cellIs" dxfId="22" priority="66" operator="notEqual">
      <formula>$M136</formula>
    </cfRule>
  </conditionalFormatting>
  <conditionalFormatting sqref="O138">
    <cfRule type="cellIs" dxfId="21" priority="65" operator="notEqual">
      <formula>$M138</formula>
    </cfRule>
  </conditionalFormatting>
  <conditionalFormatting sqref="O176">
    <cfRule type="cellIs" dxfId="20" priority="60" operator="notEqual">
      <formula>$M176</formula>
    </cfRule>
  </conditionalFormatting>
  <conditionalFormatting sqref="O178">
    <cfRule type="cellIs" dxfId="19" priority="59" operator="notEqual">
      <formula>$M178</formula>
    </cfRule>
  </conditionalFormatting>
  <conditionalFormatting sqref="R273">
    <cfRule type="cellIs" dxfId="18" priority="56" stopIfTrue="1" operator="equal">
      <formula>"* * Check Score! * *"</formula>
    </cfRule>
  </conditionalFormatting>
  <conditionalFormatting sqref="I86">
    <cfRule type="containsText" dxfId="17" priority="55" operator="containsText" text="&lt;&lt; Select Election or Income Averaging &gt;&gt;">
      <formula>NOT(ISERROR(SEARCH("&lt;&lt; Select Election or Income Averaging &gt;&gt;",I86)))</formula>
    </cfRule>
  </conditionalFormatting>
  <conditionalFormatting sqref="O84">
    <cfRule type="containsText" dxfId="16" priority="54" operator="containsText" text="AorB?">
      <formula>NOT(ISERROR(SEARCH("AorB?",O84)))</formula>
    </cfRule>
  </conditionalFormatting>
  <conditionalFormatting sqref="M128">
    <cfRule type="containsText" dxfId="15" priority="53" operator="containsText" text="Pick A1 or A2!">
      <formula>NOT(ISERROR(SEARCH("Pick A1 or A2!",M128)))</formula>
    </cfRule>
  </conditionalFormatting>
  <conditionalFormatting sqref="P176">
    <cfRule type="cellIs" dxfId="14" priority="51" operator="notEqual">
      <formula>$M176</formula>
    </cfRule>
  </conditionalFormatting>
  <conditionalFormatting sqref="L250">
    <cfRule type="cellIs" dxfId="13" priority="48" operator="equal">
      <formula>"Choose option 1 or 2 or 3 or 4!!!"</formula>
    </cfRule>
  </conditionalFormatting>
  <conditionalFormatting sqref="I122">
    <cfRule type="containsText" dxfId="12" priority="47" operator="containsText" text="Pick A1 or A2!">
      <formula>NOT(ISERROR(SEARCH("Pick A1 or A2!",I122)))</formula>
    </cfRule>
  </conditionalFormatting>
  <conditionalFormatting sqref="K122">
    <cfRule type="containsText" dxfId="11" priority="46" operator="containsText" text="Pick A1 or A2!">
      <formula>NOT(ISERROR(SEARCH("Pick A1 or A2!",K122)))</formula>
    </cfRule>
  </conditionalFormatting>
  <conditionalFormatting sqref="O174">
    <cfRule type="cellIs" dxfId="10" priority="45" operator="notEqual">
      <formula>$M174</formula>
    </cfRule>
  </conditionalFormatting>
  <conditionalFormatting sqref="P174">
    <cfRule type="cellIs" dxfId="9" priority="44" operator="notEqual">
      <formula>$M174</formula>
    </cfRule>
  </conditionalFormatting>
  <conditionalFormatting sqref="O175">
    <cfRule type="cellIs" dxfId="8" priority="41" operator="notEqual">
      <formula>$M175</formula>
    </cfRule>
  </conditionalFormatting>
  <conditionalFormatting sqref="P175">
    <cfRule type="cellIs" dxfId="7" priority="40" operator="notEqual">
      <formula>$M175</formula>
    </cfRule>
  </conditionalFormatting>
  <conditionalFormatting sqref="F365">
    <cfRule type="expression" dxfId="6" priority="22">
      <formula>AND(#REF!&gt;0,#REF!&lt;4,OR(#REF!="Statutory Redevelopment Plan",#REF!="Redevelopment Zone",#REF!="Local Redevelopment Plan"))</formula>
    </cfRule>
  </conditionalFormatting>
  <conditionalFormatting sqref="F362">
    <cfRule type="expression" dxfId="5" priority="21">
      <formula>AND(#REF!&gt;0,#REF!&lt;4,OR(#REF!="Statutory Redevelopment Plan",#REF!="Redevelopment Zone",#REF!="Local Redevelopment Plan"))</formula>
    </cfRule>
  </conditionalFormatting>
  <conditionalFormatting sqref="O201">
    <cfRule type="cellIs" dxfId="4" priority="6" operator="greaterThan">
      <formula>$M201</formula>
    </cfRule>
  </conditionalFormatting>
  <conditionalFormatting sqref="O205">
    <cfRule type="cellIs" dxfId="3" priority="5" operator="greaterThan">
      <formula>$M205</formula>
    </cfRule>
  </conditionalFormatting>
  <conditionalFormatting sqref="O237">
    <cfRule type="cellIs" dxfId="2" priority="4" operator="notEqual">
      <formula>$M237</formula>
    </cfRule>
  </conditionalFormatting>
  <conditionalFormatting sqref="O166">
    <cfRule type="cellIs" dxfId="1" priority="2" operator="notEqual">
      <formula>$M166</formula>
    </cfRule>
  </conditionalFormatting>
  <conditionalFormatting sqref="P166">
    <cfRule type="cellIs" dxfId="0" priority="1" operator="notEqual">
      <formula>$M166</formula>
    </cfRule>
  </conditionalFormatting>
  <dataValidations count="16">
    <dataValidation type="list" allowBlank="1" showInputMessage="1" showErrorMessage="1" sqref="D332:I332"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38:P238 O296:P299 O258:P260 O94:P94 O322:P324 O264:P264 O100:P100 O230:P231 O272:P276 O278:P281 K152:K157 O132:P133 O125:P125 O262:P262 O270:P270 O110:P114 O188:P190 O192:P193 O360:P360 M152:M157 H152:H157 O185:P185" xr:uid="{00000000-0002-0000-0C00-00000400000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16:C421 C411:C412" xr:uid="{00000000-0002-0000-0C00-000006000000}"/>
    <dataValidation type="list" allowBlank="1" showInputMessage="1" showErrorMessage="1" sqref="P162 P268 P285 P349 P183 P146 P329 P357 P378 P399:P400 P382 P386 P390 P394" xr:uid="{00000000-0002-0000-0C00-000007000000}">
      <formula1>"Yes, No"</formula1>
    </dataValidation>
    <dataValidation type="whole" operator="equal" allowBlank="1" showInputMessage="1" showErrorMessage="1" sqref="P134:P136" xr:uid="{00000000-0002-0000-0C00-000008000000}">
      <formula1>$M134</formula1>
    </dataValidation>
    <dataValidation type="whole" operator="lessThanOrEqual" allowBlank="1" showInputMessage="1" showErrorMessage="1" sqref="O134 P89" xr:uid="{00000000-0002-0000-0C00-000009000000}">
      <formula1>$M89</formula1>
    </dataValidation>
    <dataValidation type="list" allowBlank="1" showInputMessage="1" showErrorMessage="1" sqref="F71:F82 J72 J74 J76 J78 J80 J82 O72:P72 O75:P82 P17:P30 I31 P64 Z31 AE31" xr:uid="{00000000-0002-0000-0C00-00000B000000}">
      <formula1>"0,1"</formula1>
    </dataValidation>
    <dataValidation type="whole" operator="equal" allowBlank="1" showErrorMessage="1" errorTitle="Incorrect Point Value Entered" error="Please re-check the point value for this criterion." sqref="O89:O90" xr:uid="{00000000-0002-0000-0C00-00000D000000}">
      <formula1>$M89</formula1>
    </dataValidation>
    <dataValidation type="list" allowBlank="1" showInputMessage="1" showErrorMessage="1" sqref="H205" xr:uid="{D4BB9823-B7D6-49FB-973D-05F4B733F2E9}">
      <formula1>"&lt; Select &gt;, 2018, 2019"</formula1>
    </dataValidation>
    <dataValidation type="list" allowBlank="1" showInputMessage="1" showErrorMessage="1" sqref="O362:P365 O367:P368 O372:P373" xr:uid="{D3F9CECA-3167-4E5D-8166-147091DEB0E0}">
      <formula1>"Agree, Disagree, N/a"</formula1>
    </dataValidation>
    <dataValidation type="list" operator="equal" allowBlank="1" showInputMessage="1" showErrorMessage="1" errorTitle="Improper number entered!" error="_x000a_If this deduction does not apply, please either leave blank or enter a zero to show no deduction. Otherwise, if deduction applies, enter a 2." promptTitle="Additional 9% Credit Deduction" prompt="_x000a_If this deduction does not apply, please either leave blank or enter a zero to show no deduction. Otherwise, if deduction applies, enter a 2." sqref="O8:P8" xr:uid="{CEECDE4A-95B3-4776-80B1-227A75AF0F3E}">
      <formula1>"0,2"</formula1>
    </dataValidation>
    <dataValidation type="decimal" operator="lessThanOrEqual" allowBlank="1" showInputMessage="1" showErrorMessage="1" sqref="O101:P101 O126:P127 O147:P147" xr:uid="{30EF78A0-88D0-4CC2-9F78-379DC80615A4}">
      <formula1>$M101</formula1>
    </dataValidation>
    <dataValidation type="list" allowBlank="1" showInputMessage="1" showErrorMessage="1" sqref="J202 L202" xr:uid="{DE70EB1B-055D-44D7-ABE5-D0B7CCD82AC1}">
      <formula1>"Site Census Tract, Other Census Tract"</formula1>
    </dataValidation>
    <dataValidation type="list" allowBlank="1" showInputMessage="1" showErrorMessage="1" sqref="F211 J211" xr:uid="{B55F331E-A48B-4202-B68F-174534F98243}">
      <formula1>"Above 60th Percentile/Below 80th Percentile, At or Above 80th Percentile, At or Below 60th Percentile"</formula1>
    </dataValidation>
    <dataValidation type="list" allowBlank="1" showInputMessage="1" showErrorMessage="1" sqref="J208:J210 F208:F210" xr:uid="{2C4321F4-4673-43BA-A9DD-332A58C6FE9A}">
      <formula1>"Above 60th Percentile, At or Below 60th Percentile"</formula1>
    </dataValidation>
    <dataValidation type="list" allowBlank="1" showInputMessage="1" showErrorMessage="1" sqref="M53:P53" xr:uid="{1CDA6093-5C44-4C41-B7F8-771F6D171DAC}">
      <formula1>"Select Tie Breaker Choice here, New Supply, Rehabilitation"</formula1>
    </dataValidation>
  </dataValidations>
  <printOptions horizontalCentered="1"/>
  <pageMargins left="0.25" right="0.25" top="0.7" bottom="0.4" header="0.5" footer="0.25"/>
  <pageSetup scale="98" fitToHeight="0" orientation="landscape" horizontalDpi="1200" verticalDpi="1200" r:id="rId1"/>
  <headerFooter>
    <oddHeader>&amp;LGeorgia Department of Community Affairs&amp;C2021 Funding Application&amp;RHousing Finance and Development Division</oddHeader>
    <oddFooter>&amp;L&amp;G &amp;F&amp;C&amp;A&amp;R&amp;P of &amp;N</oddFooter>
  </headerFooter>
  <rowBreaks count="10" manualBreakCount="10">
    <brk id="82" max="16383" man="1"/>
    <brk id="107" max="16383" man="1"/>
    <brk id="145" max="16383" man="1"/>
    <brk id="182" max="16383" man="1"/>
    <brk id="218" max="16383" man="1"/>
    <brk id="255" max="16383" man="1"/>
    <brk id="292" max="16383" man="1"/>
    <brk id="328" max="16383" man="1"/>
    <brk id="357" max="16383" man="1"/>
    <brk id="402" max="16383" man="1"/>
  </rowBreaks>
  <ignoredErrors>
    <ignoredError sqref="B62:B64 B89:B90 B93:B94 B126:B127 B134:B136 B281 B302 B110:B111 B274:B275 B272 B278" numberStoredAsText="1"/>
    <ignoredError sqref="G58:K58" formulaRange="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zoomScale="120" zoomScaleNormal="120" workbookViewId="0">
      <selection activeCell="A8" sqref="A8:J8"/>
    </sheetView>
  </sheetViews>
  <sheetFormatPr defaultColWidth="9.140625" defaultRowHeight="15"/>
  <cols>
    <col min="1" max="3" width="12.85546875" style="579" customWidth="1"/>
    <col min="4" max="4" width="15.42578125" style="579" customWidth="1"/>
    <col min="5" max="5" width="4.85546875" style="579" customWidth="1"/>
    <col min="6" max="9" width="12.85546875" style="579" customWidth="1"/>
    <col min="10" max="10" width="5.140625" style="579" customWidth="1"/>
    <col min="11" max="16384" width="9.140625" style="579"/>
  </cols>
  <sheetData>
    <row r="1" spans="1:16" ht="15.75">
      <c r="A1" s="4441" t="s">
        <v>2700</v>
      </c>
      <c r="B1" s="4441"/>
      <c r="C1" s="4441"/>
      <c r="D1" s="4441"/>
      <c r="E1" s="4441"/>
      <c r="F1" s="4441"/>
      <c r="G1" s="4441"/>
      <c r="H1" s="4441"/>
      <c r="I1" s="4441"/>
      <c r="J1" s="4441"/>
    </row>
    <row r="2" spans="1:16" ht="15.75">
      <c r="A2" s="4441" t="str">
        <f>'Sensitivity Analysis'!C8</f>
        <v>West Point Village Phase II</v>
      </c>
      <c r="B2" s="4441"/>
      <c r="C2" s="4441"/>
      <c r="D2" s="4441"/>
      <c r="E2" s="4441"/>
      <c r="F2" s="4441"/>
      <c r="G2" s="4441"/>
      <c r="H2" s="4441"/>
      <c r="I2" s="4441"/>
      <c r="J2" s="4441"/>
    </row>
    <row r="3" spans="1:16" ht="15.75">
      <c r="A3" s="4441" t="str">
        <f>'Subsidy Layering Memo'!F14</f>
        <v>West Point, Troup</v>
      </c>
      <c r="B3" s="4441"/>
      <c r="C3" s="4441"/>
      <c r="D3" s="4441"/>
      <c r="E3" s="4441"/>
      <c r="F3" s="4441"/>
      <c r="G3" s="4441"/>
      <c r="H3" s="4441"/>
      <c r="I3" s="4441"/>
      <c r="J3" s="4441"/>
    </row>
    <row r="4" spans="1:16" ht="15.75">
      <c r="A4" s="4442" t="s">
        <v>2701</v>
      </c>
      <c r="B4" s="4441"/>
      <c r="C4" s="4441"/>
      <c r="D4" s="4441"/>
      <c r="E4" s="4441"/>
      <c r="F4" s="4441"/>
      <c r="G4" s="4441"/>
      <c r="H4" s="4441"/>
      <c r="I4" s="4441"/>
      <c r="J4" s="4441"/>
    </row>
    <row r="5" spans="1:16" ht="5.25" customHeight="1"/>
    <row r="6" spans="1:16" ht="5.25" customHeight="1"/>
    <row r="7" spans="1:16" ht="15.75">
      <c r="A7" s="4443" t="s">
        <v>2702</v>
      </c>
      <c r="B7" s="4443"/>
      <c r="C7" s="4444"/>
      <c r="M7" s="4434"/>
      <c r="N7" s="4434"/>
      <c r="O7" s="4434"/>
      <c r="P7" s="4434"/>
    </row>
    <row r="8" spans="1:16" ht="57" customHeight="1">
      <c r="A8" s="4435" t="s">
        <v>6401</v>
      </c>
      <c r="B8" s="4435"/>
      <c r="C8" s="4435"/>
      <c r="D8" s="4435"/>
      <c r="E8" s="4435"/>
      <c r="F8" s="4435"/>
      <c r="G8" s="4435"/>
      <c r="H8" s="4435"/>
      <c r="I8" s="4435"/>
      <c r="J8" s="4435"/>
      <c r="K8" s="580"/>
    </row>
    <row r="9" spans="1:16" ht="45.75" customHeight="1">
      <c r="A9" s="4435"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West Point, Troup County, Georgia, with the development of 72 units set aside for Family.</v>
      </c>
      <c r="B9" s="4435"/>
      <c r="C9" s="4435"/>
      <c r="D9" s="4435"/>
      <c r="E9" s="4435"/>
      <c r="F9" s="4435"/>
      <c r="G9" s="4435"/>
      <c r="H9" s="4435"/>
      <c r="I9" s="4435"/>
      <c r="J9" s="4435"/>
      <c r="K9" s="580"/>
    </row>
    <row r="10" spans="1:16" ht="15.75">
      <c r="A10" s="581" t="s">
        <v>2703</v>
      </c>
    </row>
    <row r="11" spans="1:16" ht="16.5" customHeight="1">
      <c r="A11" s="4435" t="str">
        <f>'Subsidy Layering Memo'!A50</f>
        <v xml:space="preserve">Ownership entity:  (NAME) LP, a Georgia Limited Partnership, will be the ownership entity for the proposed project. </v>
      </c>
      <c r="B11" s="4437"/>
      <c r="C11" s="4437"/>
      <c r="D11" s="4437"/>
      <c r="E11" s="4437"/>
      <c r="F11" s="4437"/>
      <c r="G11" s="4437"/>
      <c r="H11" s="4437"/>
      <c r="I11" s="4437"/>
      <c r="J11" s="4435"/>
    </row>
    <row r="12" spans="1:16" ht="63.75" customHeight="1">
      <c r="A12" s="4435"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435"/>
      <c r="C12" s="4435"/>
      <c r="D12" s="4435"/>
      <c r="E12" s="4435"/>
      <c r="F12" s="4435"/>
      <c r="G12" s="4435"/>
      <c r="H12" s="4435"/>
      <c r="I12" s="4435"/>
      <c r="J12" s="4435"/>
    </row>
    <row r="13" spans="1:16" ht="48.75" customHeight="1">
      <c r="A13" s="4435"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435"/>
      <c r="C13" s="4435"/>
      <c r="D13" s="4435"/>
      <c r="E13" s="4435"/>
      <c r="F13" s="4435"/>
      <c r="G13" s="4435"/>
      <c r="H13" s="4435"/>
      <c r="I13" s="4435"/>
      <c r="J13" s="4435"/>
    </row>
    <row r="14" spans="1:16" ht="15.75">
      <c r="A14" s="581" t="s">
        <v>2704</v>
      </c>
      <c r="B14" s="582"/>
    </row>
    <row r="15" spans="1:16">
      <c r="A15" s="579" t="s">
        <v>2705</v>
      </c>
      <c r="D15" s="1337" t="s">
        <v>2706</v>
      </c>
    </row>
    <row r="16" spans="1:16">
      <c r="A16" s="579" t="s">
        <v>2707</v>
      </c>
      <c r="D16" s="1335">
        <f>'Sensitivity Analysis'!C25</f>
        <v>2013092</v>
      </c>
    </row>
    <row r="17" spans="1:11">
      <c r="A17" s="583" t="s">
        <v>2708</v>
      </c>
      <c r="D17" s="1336">
        <f>'Sensitivity Analysis'!C13</f>
        <v>72</v>
      </c>
    </row>
    <row r="18" spans="1:11" ht="14.25" customHeight="1"/>
    <row r="19" spans="1:11" ht="15.75">
      <c r="A19" s="581" t="s">
        <v>2709</v>
      </c>
      <c r="B19" s="582"/>
      <c r="C19" s="582"/>
    </row>
    <row r="20" spans="1:11" ht="48.75" customHeight="1">
      <c r="A20" s="4438"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438"/>
      <c r="C20" s="4438"/>
      <c r="D20" s="4438"/>
      <c r="E20" s="4438"/>
      <c r="F20" s="4438"/>
      <c r="G20" s="4438"/>
      <c r="H20" s="4438"/>
      <c r="I20" s="4438"/>
      <c r="J20" s="4438"/>
    </row>
    <row r="21" spans="1:11" ht="72.75" customHeight="1">
      <c r="A21" s="4435" t="str">
        <f>'Subsidy Layering Memo'!A67</f>
        <v>Hudson Housing Capital LLC (Proposed) will make a capital contribution totaling 7572735 via the syndication of the 2021 Federal LIHTC allocation of 900000 per annum.(Same as Federal) will make a capital contribution totaling 5295978 via the syndication of the 2021 State LIHTC allocation of 900000 per annum.</v>
      </c>
      <c r="B21" s="4435"/>
      <c r="C21" s="4435"/>
      <c r="D21" s="4435"/>
      <c r="E21" s="4435"/>
      <c r="F21" s="4435"/>
      <c r="G21" s="4435"/>
      <c r="H21" s="4435"/>
      <c r="I21" s="4435"/>
      <c r="J21" s="4435"/>
    </row>
    <row r="22" spans="1:11" ht="43.5" customHeight="1">
      <c r="A22" s="4440" t="str">
        <f>'Subsidy Layering Memo'!A68</f>
        <v xml:space="preserve">The total equity price per credit will be 1.43 (0.85 Federal tax credit and 0.58 State tax credit) for a (X%) ownership interest of the Federal Credits and a (X%) ownership interest of the State Credits. </v>
      </c>
      <c r="B22" s="4440"/>
      <c r="C22" s="4440"/>
      <c r="D22" s="4440"/>
      <c r="E22" s="4440"/>
      <c r="F22" s="4440"/>
      <c r="G22" s="4440"/>
      <c r="H22" s="4440"/>
      <c r="I22" s="4440"/>
      <c r="J22" s="4440"/>
    </row>
    <row r="23" spans="1:11" ht="15.75">
      <c r="A23" s="581" t="s">
        <v>6402</v>
      </c>
      <c r="B23" s="582"/>
      <c r="C23" s="582"/>
      <c r="D23" s="582"/>
      <c r="E23" s="582"/>
      <c r="F23" s="582"/>
    </row>
    <row r="24" spans="1:11" ht="102.75" customHeight="1">
      <c r="A24" s="4439"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439"/>
      <c r="C24" s="4439"/>
      <c r="D24" s="4439"/>
      <c r="E24" s="4439"/>
      <c r="F24" s="4439"/>
      <c r="G24" s="4439"/>
      <c r="H24" s="4439"/>
      <c r="I24" s="4439"/>
      <c r="J24" s="4439"/>
      <c r="K24" s="1088"/>
    </row>
    <row r="25" spans="1:11" ht="15" customHeight="1">
      <c r="A25" s="4436"/>
      <c r="B25" s="4436"/>
      <c r="C25" s="4436"/>
      <c r="D25" s="4436"/>
      <c r="E25" s="4436"/>
      <c r="F25" s="4436"/>
      <c r="G25" s="4436"/>
      <c r="H25" s="4436"/>
      <c r="I25" s="4436"/>
      <c r="J25" s="4436"/>
      <c r="K25" s="579" t="s">
        <v>232</v>
      </c>
    </row>
    <row r="26" spans="1:11" ht="15" customHeight="1">
      <c r="B26" s="1087"/>
      <c r="C26" s="1087"/>
      <c r="D26" s="1087"/>
      <c r="E26" s="1087"/>
      <c r="F26" s="1087"/>
      <c r="G26" s="1087"/>
      <c r="H26" s="1087"/>
      <c r="I26" s="1087" t="s">
        <v>232</v>
      </c>
      <c r="J26" s="1087"/>
    </row>
    <row r="27" spans="1:11" ht="15.75">
      <c r="A27" s="582" t="s">
        <v>2710</v>
      </c>
    </row>
    <row r="29" spans="1:11" ht="15.75" thickBot="1">
      <c r="A29" s="584"/>
      <c r="B29" s="584"/>
      <c r="C29" s="584"/>
      <c r="D29" s="584"/>
      <c r="F29" s="584"/>
      <c r="G29" s="584"/>
      <c r="H29" s="584"/>
      <c r="I29" s="584"/>
    </row>
    <row r="30" spans="1:11">
      <c r="A30" s="579" t="s">
        <v>2711</v>
      </c>
      <c r="D30" s="579" t="s">
        <v>891</v>
      </c>
      <c r="F30" s="579" t="s">
        <v>2712</v>
      </c>
      <c r="I30" s="579" t="s">
        <v>891</v>
      </c>
      <c r="J30" s="579" t="s">
        <v>232</v>
      </c>
    </row>
  </sheetData>
  <sheetProtection algorithmName="SHA-512" hashValue="+698dQ885c/XmgrpqCoZkR4hfMRKRSKuaCFH7euJbKDs0UJJ1HhZQgxoJvxIxAlrqNUKBaDd95V27kC6kOG5Dg==" saltValue="153tmb08YtjD4xPcP5ld9g==" spinCount="100000" sheet="1" objects="1" scenarios="1"/>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4"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A22" sqref="A22:J22"/>
    </sheetView>
  </sheetViews>
  <sheetFormatPr defaultColWidth="9.140625" defaultRowHeight="14.25"/>
  <cols>
    <col min="1" max="1" width="9.140625" style="588"/>
    <col min="2" max="2" width="7.85546875" style="588" customWidth="1"/>
    <col min="3" max="3" width="14.85546875" style="588" customWidth="1"/>
    <col min="4" max="4" width="20.140625" style="588" customWidth="1"/>
    <col min="5" max="5" width="8" style="588" customWidth="1"/>
    <col min="6" max="6" width="5.140625" style="588" customWidth="1"/>
    <col min="7" max="7" width="5.42578125" style="588" customWidth="1"/>
    <col min="8" max="8" width="8.5703125" style="588" customWidth="1"/>
    <col min="9" max="9" width="28.5703125" style="588" customWidth="1"/>
    <col min="10" max="10" width="4.140625" style="588" hidden="1" customWidth="1"/>
    <col min="11" max="11" width="9.140625" style="588"/>
    <col min="12" max="12" width="16.140625" style="588" customWidth="1"/>
    <col min="13" max="13" width="11.140625" style="588" customWidth="1"/>
    <col min="14" max="14" width="10.85546875" style="588" bestFit="1" customWidth="1"/>
    <col min="15" max="15" width="28.5703125" style="588" customWidth="1"/>
    <col min="16" max="16384" width="9.140625" style="588"/>
  </cols>
  <sheetData>
    <row r="2" spans="1:10" ht="15">
      <c r="A2" s="585" t="s">
        <v>2713</v>
      </c>
      <c r="B2" s="586"/>
      <c r="C2" s="586"/>
      <c r="D2" s="586"/>
      <c r="E2" s="587"/>
      <c r="F2" s="586"/>
      <c r="G2" s="586"/>
      <c r="H2" s="586"/>
      <c r="I2" s="586"/>
      <c r="J2" s="586"/>
    </row>
    <row r="3" spans="1:10" ht="15">
      <c r="A3" s="589"/>
    </row>
    <row r="4" spans="1:10" ht="15">
      <c r="A4" s="589" t="s">
        <v>2714</v>
      </c>
      <c r="D4" s="588" t="s">
        <v>2715</v>
      </c>
    </row>
    <row r="5" spans="1:10" ht="15">
      <c r="A5" s="589"/>
    </row>
    <row r="6" spans="1:10" ht="15">
      <c r="A6" s="589" t="s">
        <v>2716</v>
      </c>
      <c r="D6" s="588" t="s">
        <v>2717</v>
      </c>
    </row>
    <row r="7" spans="1:10" ht="15">
      <c r="A7" s="589"/>
    </row>
    <row r="8" spans="1:10" ht="15">
      <c r="A8" s="589" t="s">
        <v>2718</v>
      </c>
      <c r="D8" s="590" t="s">
        <v>2719</v>
      </c>
    </row>
    <row r="9" spans="1:10" ht="15">
      <c r="A9" s="589"/>
    </row>
    <row r="10" spans="1:10" ht="15">
      <c r="A10" s="589" t="s">
        <v>2720</v>
      </c>
      <c r="D10" s="590" t="s">
        <v>2721</v>
      </c>
    </row>
    <row r="11" spans="1:10" ht="15">
      <c r="A11" s="589"/>
      <c r="D11" s="1334"/>
    </row>
    <row r="12" spans="1:10" ht="15">
      <c r="A12" s="589" t="s">
        <v>2722</v>
      </c>
      <c r="D12" s="588" t="s">
        <v>587</v>
      </c>
      <c r="F12" s="1334" t="str">
        <f>'Sensitivity Analysis'!$C$8</f>
        <v>West Point Village Phase II</v>
      </c>
    </row>
    <row r="13" spans="1:10" ht="15">
      <c r="A13" s="589"/>
      <c r="D13" s="588" t="s">
        <v>2723</v>
      </c>
      <c r="F13" s="1334" t="str">
        <f>'Sensitivity Analysis'!E8</f>
        <v>2021-067</v>
      </c>
    </row>
    <row r="14" spans="1:10" ht="15">
      <c r="A14" s="589"/>
      <c r="D14" s="588" t="s">
        <v>2724</v>
      </c>
      <c r="F14" s="1334" t="str">
        <f>'Sensitivity Analysis'!H8</f>
        <v>West Point, Troup</v>
      </c>
    </row>
    <row r="15" spans="1:10" ht="15">
      <c r="A15" s="589"/>
      <c r="D15" s="588" t="s">
        <v>3065</v>
      </c>
      <c r="F15" s="4445">
        <f>'Sensitivity Analysis'!$C$25</f>
        <v>2013092</v>
      </c>
      <c r="G15" s="4445"/>
      <c r="H15" s="4445"/>
    </row>
    <row r="16" spans="1:10" ht="15">
      <c r="A16" s="589"/>
      <c r="D16" s="591" t="s">
        <v>2725</v>
      </c>
      <c r="F16" s="592">
        <f>'Sensitivity Analysis'!C13</f>
        <v>72</v>
      </c>
      <c r="G16" s="593" t="s">
        <v>3066</v>
      </c>
      <c r="H16" s="1038">
        <f>'Sensitivity Analysis'!E13</f>
        <v>64</v>
      </c>
    </row>
    <row r="17" spans="1:18" ht="15">
      <c r="A17" s="589"/>
      <c r="D17" s="591" t="s">
        <v>2690</v>
      </c>
      <c r="F17" s="592" t="str">
        <f>'Sensitivity Analysis'!C14</f>
        <v>Family</v>
      </c>
    </row>
    <row r="18" spans="1:18" ht="15">
      <c r="A18" s="589"/>
      <c r="D18" s="591" t="s">
        <v>3070</v>
      </c>
      <c r="F18" s="1334" t="str">
        <f>'Sensitivity Analysis'!H15</f>
        <v>Rural</v>
      </c>
    </row>
    <row r="19" spans="1:18" ht="15">
      <c r="A19" s="589"/>
      <c r="D19" s="591" t="s">
        <v>3067</v>
      </c>
      <c r="F19" s="1334" t="str">
        <f>'Sensitivity Analysis'!E16</f>
        <v>No</v>
      </c>
    </row>
    <row r="20" spans="1:18" ht="15">
      <c r="A20" s="589"/>
      <c r="D20" s="591"/>
    </row>
    <row r="21" spans="1:18" ht="15">
      <c r="A21" s="594" t="s">
        <v>6404</v>
      </c>
    </row>
    <row r="22" spans="1:18" ht="111.75" customHeight="1">
      <c r="A22" s="4452" t="s">
        <v>3219</v>
      </c>
      <c r="B22" s="4452"/>
      <c r="C22" s="4452"/>
      <c r="D22" s="4452"/>
      <c r="E22" s="4452"/>
      <c r="F22" s="4452"/>
      <c r="G22" s="4452"/>
      <c r="H22" s="4452"/>
      <c r="I22" s="4452"/>
      <c r="J22" s="4452"/>
      <c r="K22" s="4460" t="s">
        <v>4088</v>
      </c>
      <c r="L22" s="4460"/>
      <c r="M22" s="4460"/>
      <c r="N22" s="4460"/>
      <c r="O22" s="1338"/>
      <c r="P22" s="1338"/>
      <c r="Q22" s="1338"/>
      <c r="R22" s="1338"/>
    </row>
    <row r="23" spans="1:18" ht="0.75" hidden="1" customHeight="1">
      <c r="A23" s="1328"/>
      <c r="B23" s="1328"/>
      <c r="C23" s="1328"/>
      <c r="D23" s="1328"/>
      <c r="E23" s="1328"/>
      <c r="F23" s="1328"/>
      <c r="G23" s="1328"/>
      <c r="H23" s="1328"/>
      <c r="I23" s="1328"/>
      <c r="J23" s="1328"/>
    </row>
    <row r="24" spans="1:18" ht="9.75" hidden="1" customHeight="1">
      <c r="A24" s="4461"/>
      <c r="B24" s="4461"/>
      <c r="C24" s="4461"/>
      <c r="D24" s="4461"/>
      <c r="E24" s="4461"/>
      <c r="F24" s="4461"/>
      <c r="G24" s="4461"/>
      <c r="H24" s="4461"/>
      <c r="I24" s="4461"/>
      <c r="J24" s="4461"/>
    </row>
    <row r="25" spans="1:18" ht="10.5" hidden="1" customHeight="1">
      <c r="A25" s="4440"/>
      <c r="B25" s="4440"/>
      <c r="C25" s="4440"/>
      <c r="D25" s="4440"/>
      <c r="E25" s="4440"/>
      <c r="F25" s="4440"/>
      <c r="G25" s="4440"/>
      <c r="H25" s="4440"/>
      <c r="I25" s="4440"/>
      <c r="J25" s="4440"/>
    </row>
    <row r="26" spans="1:18" ht="15">
      <c r="A26" s="594" t="s">
        <v>6403</v>
      </c>
    </row>
    <row r="27" spans="1:18" ht="14.25" customHeight="1">
      <c r="A27" s="4462" t="s">
        <v>6405</v>
      </c>
      <c r="B27" s="4462"/>
      <c r="C27" s="4462"/>
      <c r="D27" s="4462"/>
      <c r="E27" s="4462"/>
      <c r="F27" s="4462"/>
      <c r="G27" s="4462"/>
      <c r="H27" s="4462"/>
      <c r="I27" s="4462"/>
      <c r="J27" s="4462"/>
    </row>
    <row r="28" spans="1:18" ht="14.25" customHeight="1">
      <c r="A28" s="4462"/>
      <c r="B28" s="4462"/>
      <c r="C28" s="4462"/>
      <c r="D28" s="4462"/>
      <c r="E28" s="4462"/>
      <c r="F28" s="4462"/>
      <c r="G28" s="4462"/>
      <c r="H28" s="4462"/>
      <c r="I28" s="4462"/>
      <c r="J28" s="4462"/>
    </row>
    <row r="29" spans="1:18" ht="6.75" customHeight="1">
      <c r="A29" s="4462"/>
      <c r="B29" s="4462"/>
      <c r="C29" s="4462"/>
      <c r="D29" s="4462"/>
      <c r="E29" s="4462"/>
      <c r="F29" s="4462"/>
      <c r="G29" s="4462"/>
      <c r="H29" s="4462"/>
      <c r="I29" s="4462"/>
      <c r="J29" s="4462"/>
    </row>
    <row r="30" spans="1:18" ht="21.75" customHeight="1">
      <c r="A30" s="4462"/>
      <c r="B30" s="4462"/>
      <c r="C30" s="4462"/>
      <c r="D30" s="4462"/>
      <c r="E30" s="4462"/>
      <c r="F30" s="4462"/>
      <c r="G30" s="4462"/>
      <c r="H30" s="4462"/>
      <c r="I30" s="4462"/>
      <c r="J30" s="4462"/>
    </row>
    <row r="31" spans="1:18" ht="20.25" customHeight="1">
      <c r="A31" s="4462"/>
      <c r="B31" s="4462"/>
      <c r="C31" s="4462"/>
      <c r="D31" s="4462"/>
      <c r="E31" s="4462"/>
      <c r="F31" s="4462"/>
      <c r="G31" s="4462"/>
      <c r="H31" s="4462"/>
      <c r="I31" s="4462"/>
      <c r="J31" s="4462"/>
    </row>
    <row r="32" spans="1:18" ht="54.75" customHeight="1">
      <c r="A32" s="4462"/>
      <c r="B32" s="4462"/>
      <c r="C32" s="4462"/>
      <c r="D32" s="4462"/>
      <c r="E32" s="4462"/>
      <c r="F32" s="4462"/>
      <c r="G32" s="4462"/>
      <c r="H32" s="4462"/>
      <c r="I32" s="4462"/>
      <c r="J32" s="4462"/>
    </row>
    <row r="33" spans="1:10" ht="0.75" hidden="1" customHeight="1">
      <c r="A33" s="4462"/>
      <c r="B33" s="4462"/>
      <c r="C33" s="4462"/>
      <c r="D33" s="4462"/>
      <c r="E33" s="4462"/>
      <c r="F33" s="4462"/>
      <c r="G33" s="4462"/>
      <c r="H33" s="4462"/>
      <c r="I33" s="4462"/>
      <c r="J33" s="4462"/>
    </row>
    <row r="34" spans="1:10" ht="3.75" hidden="1" customHeight="1">
      <c r="A34" s="4462"/>
      <c r="B34" s="4462"/>
      <c r="C34" s="4462"/>
      <c r="D34" s="4462"/>
      <c r="E34" s="4462"/>
      <c r="F34" s="4462"/>
      <c r="G34" s="4462"/>
      <c r="H34" s="4462"/>
      <c r="I34" s="4462"/>
      <c r="J34" s="4462"/>
    </row>
    <row r="35" spans="1:10" ht="5.25" customHeight="1">
      <c r="A35" s="1330"/>
      <c r="B35" s="1330"/>
      <c r="C35" s="1330"/>
      <c r="D35" s="1330"/>
      <c r="E35" s="1330"/>
      <c r="F35" s="1330"/>
      <c r="G35" s="1330"/>
      <c r="H35" s="1330"/>
      <c r="I35" s="1330"/>
      <c r="J35" s="1330"/>
    </row>
    <row r="36" spans="1:10" ht="19.5" customHeight="1">
      <c r="A36" s="4461" t="s">
        <v>6406</v>
      </c>
      <c r="B36" s="4461"/>
      <c r="C36" s="4461"/>
      <c r="D36" s="1328"/>
      <c r="E36" s="1328"/>
      <c r="F36" s="1328"/>
      <c r="G36" s="1328"/>
      <c r="H36" s="1328"/>
      <c r="I36" s="1328"/>
      <c r="J36" s="1328"/>
    </row>
    <row r="37" spans="1:10" ht="22.5" customHeight="1">
      <c r="A37" s="4440" t="s">
        <v>1658</v>
      </c>
      <c r="B37" s="4440"/>
      <c r="C37" s="4440"/>
      <c r="D37" s="4440"/>
      <c r="E37" s="4440"/>
      <c r="F37" s="4440"/>
      <c r="G37" s="4440"/>
      <c r="H37" s="4440"/>
      <c r="I37" s="4440"/>
      <c r="J37" s="4440"/>
    </row>
    <row r="38" spans="1:10" ht="22.5" customHeight="1">
      <c r="A38" s="4440" t="s">
        <v>1659</v>
      </c>
      <c r="B38" s="4440"/>
      <c r="C38" s="4440"/>
      <c r="D38" s="4440"/>
      <c r="E38" s="4440"/>
      <c r="F38" s="4440"/>
      <c r="G38" s="4440"/>
      <c r="H38" s="4440"/>
      <c r="I38" s="4440"/>
      <c r="J38" s="4440"/>
    </row>
    <row r="39" spans="1:10" ht="22.5" customHeight="1">
      <c r="A39" s="4440" t="s">
        <v>1660</v>
      </c>
      <c r="B39" s="4440"/>
      <c r="C39" s="4440"/>
      <c r="D39" s="4440"/>
      <c r="E39" s="4440"/>
      <c r="F39" s="4440"/>
      <c r="G39" s="4440"/>
      <c r="H39" s="4440"/>
      <c r="I39" s="4440"/>
      <c r="J39" s="4440"/>
    </row>
    <row r="40" spans="1:10" ht="22.5" customHeight="1">
      <c r="A40" s="4440" t="s">
        <v>2259</v>
      </c>
      <c r="B40" s="4440"/>
      <c r="C40" s="4440"/>
      <c r="D40" s="4440"/>
      <c r="E40" s="4440"/>
      <c r="F40" s="4440"/>
      <c r="G40" s="4440"/>
      <c r="H40" s="4440"/>
      <c r="I40" s="4440"/>
      <c r="J40" s="4440"/>
    </row>
    <row r="41" spans="1:10" ht="22.5" customHeight="1">
      <c r="A41" s="4440" t="s">
        <v>1487</v>
      </c>
      <c r="B41" s="4440"/>
      <c r="C41" s="4440"/>
      <c r="D41" s="4440"/>
      <c r="E41" s="4440"/>
      <c r="F41" s="4440"/>
      <c r="G41" s="4440"/>
      <c r="H41" s="4440"/>
      <c r="I41" s="4440"/>
      <c r="J41" s="4440"/>
    </row>
    <row r="42" spans="1:10" ht="22.5" customHeight="1">
      <c r="A42" s="4440" t="s">
        <v>1488</v>
      </c>
      <c r="B42" s="4440"/>
      <c r="C42" s="4440"/>
      <c r="D42" s="4440"/>
      <c r="E42" s="4440"/>
      <c r="F42" s="4440"/>
      <c r="G42" s="4440"/>
      <c r="H42" s="4440"/>
      <c r="I42" s="4440"/>
      <c r="J42" s="4440"/>
    </row>
    <row r="43" spans="1:10" ht="22.5" customHeight="1">
      <c r="A43" s="4440" t="s">
        <v>92</v>
      </c>
      <c r="B43" s="4440"/>
      <c r="C43" s="4440"/>
      <c r="D43" s="4440"/>
      <c r="E43" s="4440"/>
      <c r="F43" s="4440"/>
      <c r="G43" s="4440"/>
      <c r="H43" s="4440"/>
      <c r="I43" s="4440"/>
      <c r="J43" s="4440"/>
    </row>
    <row r="44" spans="1:10" ht="22.5" customHeight="1">
      <c r="A44" s="4440" t="s">
        <v>489</v>
      </c>
      <c r="B44" s="4440"/>
      <c r="C44" s="4440"/>
      <c r="D44" s="4440"/>
      <c r="E44" s="4440"/>
      <c r="F44" s="4440"/>
      <c r="G44" s="4440"/>
      <c r="H44" s="4440"/>
      <c r="I44" s="4440"/>
      <c r="J44" s="4440"/>
    </row>
    <row r="45" spans="1:10" ht="2.25" customHeight="1">
      <c r="A45" s="1328"/>
      <c r="B45" s="1328"/>
      <c r="C45" s="1328"/>
      <c r="D45" s="1328"/>
      <c r="E45" s="1328"/>
      <c r="F45" s="1328"/>
      <c r="G45" s="1328"/>
      <c r="H45" s="1328"/>
      <c r="I45" s="1328"/>
      <c r="J45" s="1328"/>
    </row>
    <row r="46" spans="1:10" ht="15">
      <c r="A46" s="594" t="s">
        <v>2726</v>
      </c>
    </row>
    <row r="47" spans="1:10" ht="135" customHeight="1">
      <c r="A47" s="4440" t="s">
        <v>6407</v>
      </c>
      <c r="B47" s="4440"/>
      <c r="C47" s="4440"/>
      <c r="D47" s="4440"/>
      <c r="E47" s="4440"/>
      <c r="F47" s="4440"/>
      <c r="G47" s="4440"/>
      <c r="H47" s="4440"/>
      <c r="I47" s="4440"/>
      <c r="J47" s="4440"/>
    </row>
    <row r="48" spans="1:10" ht="6" customHeight="1">
      <c r="A48" s="1329"/>
      <c r="B48" s="1329"/>
      <c r="C48" s="1329"/>
      <c r="D48" s="1329"/>
      <c r="E48" s="1329"/>
      <c r="F48" s="1329"/>
      <c r="G48" s="1329"/>
      <c r="H48" s="1329"/>
      <c r="I48" s="1329"/>
      <c r="J48" s="1329"/>
    </row>
    <row r="49" spans="1:12" ht="15">
      <c r="A49" s="594" t="s">
        <v>2727</v>
      </c>
    </row>
    <row r="50" spans="1:12" ht="33" customHeight="1">
      <c r="A50" s="4435" t="s">
        <v>3604</v>
      </c>
      <c r="B50" s="4437"/>
      <c r="C50" s="4437"/>
      <c r="D50" s="4437"/>
      <c r="E50" s="4437"/>
      <c r="F50" s="4437"/>
      <c r="G50" s="4437"/>
      <c r="H50" s="4437"/>
      <c r="I50" s="4437"/>
      <c r="J50" s="4435"/>
    </row>
    <row r="51" spans="1:12" ht="3" customHeight="1"/>
    <row r="52" spans="1:12" ht="72.75" customHeight="1">
      <c r="A52" s="4435" t="s">
        <v>3605</v>
      </c>
      <c r="B52" s="4435"/>
      <c r="C52" s="4435"/>
      <c r="D52" s="4435"/>
      <c r="E52" s="4435"/>
      <c r="F52" s="4435"/>
      <c r="G52" s="4435"/>
      <c r="H52" s="4435"/>
      <c r="I52" s="4435"/>
      <c r="J52" s="4435"/>
    </row>
    <row r="53" spans="1:12" ht="3" customHeight="1">
      <c r="A53" s="1328"/>
      <c r="B53" s="1328"/>
      <c r="C53" s="1328"/>
      <c r="D53" s="1328"/>
      <c r="E53" s="1328"/>
      <c r="F53" s="1328"/>
      <c r="G53" s="1328"/>
      <c r="H53" s="1328"/>
      <c r="I53" s="1328"/>
      <c r="J53" s="1328"/>
    </row>
    <row r="54" spans="1:12" ht="56.25" customHeight="1">
      <c r="A54" s="4435" t="s">
        <v>3606</v>
      </c>
      <c r="B54" s="4435"/>
      <c r="C54" s="4435"/>
      <c r="D54" s="4435"/>
      <c r="E54" s="4435"/>
      <c r="F54" s="4435"/>
      <c r="G54" s="4435"/>
      <c r="H54" s="4435"/>
      <c r="I54" s="4435"/>
      <c r="J54" s="4435"/>
    </row>
    <row r="55" spans="1:12" ht="3" customHeight="1">
      <c r="A55" s="1328"/>
      <c r="B55" s="1328"/>
      <c r="C55" s="1328"/>
      <c r="D55" s="1328"/>
      <c r="E55" s="1328"/>
      <c r="F55" s="1328"/>
      <c r="G55" s="1328"/>
      <c r="H55" s="1328"/>
      <c r="I55" s="1328"/>
      <c r="J55" s="1328"/>
    </row>
    <row r="56" spans="1:12" ht="49.5" customHeight="1">
      <c r="A56" s="4435" t="s">
        <v>3607</v>
      </c>
      <c r="B56" s="4435"/>
      <c r="C56" s="4435"/>
      <c r="D56" s="4435"/>
      <c r="E56" s="4435"/>
      <c r="F56" s="4435"/>
      <c r="G56" s="4435"/>
      <c r="H56" s="4435"/>
      <c r="I56" s="4435"/>
      <c r="J56" s="1328"/>
    </row>
    <row r="57" spans="1:12" ht="3" customHeight="1">
      <c r="A57" s="1328"/>
      <c r="B57" s="1328"/>
      <c r="C57" s="1328"/>
      <c r="D57" s="1328"/>
      <c r="E57" s="1328"/>
      <c r="F57" s="1328"/>
      <c r="G57" s="1328"/>
      <c r="H57" s="1328"/>
      <c r="I57" s="1328"/>
      <c r="J57" s="1328"/>
    </row>
    <row r="58" spans="1:12" ht="54.75" customHeight="1">
      <c r="A58" s="4451" t="s">
        <v>3075</v>
      </c>
      <c r="B58" s="4450"/>
      <c r="C58" s="4450"/>
      <c r="D58" s="4450"/>
      <c r="E58" s="4450"/>
      <c r="F58" s="4450"/>
      <c r="G58" s="4450"/>
      <c r="H58" s="4450"/>
      <c r="I58" s="4450"/>
      <c r="J58" s="1328"/>
    </row>
    <row r="59" spans="1:12" ht="3" customHeight="1">
      <c r="A59" s="1328"/>
      <c r="B59" s="1328"/>
      <c r="C59" s="1328"/>
      <c r="D59" s="1328"/>
      <c r="E59" s="1328"/>
      <c r="F59" s="1328"/>
      <c r="G59" s="1328"/>
      <c r="H59" s="1328"/>
      <c r="I59" s="1328"/>
      <c r="J59" s="1328"/>
    </row>
    <row r="60" spans="1:12" ht="62.25" customHeight="1">
      <c r="A60" s="4450" t="s">
        <v>3608</v>
      </c>
      <c r="B60" s="4450"/>
      <c r="C60" s="4450"/>
      <c r="D60" s="4450"/>
      <c r="E60" s="4450"/>
      <c r="F60" s="4450"/>
      <c r="G60" s="4450"/>
      <c r="H60" s="4450"/>
      <c r="I60" s="4450"/>
      <c r="J60" s="4450"/>
    </row>
    <row r="61" spans="1:12" ht="3" customHeight="1"/>
    <row r="62" spans="1:12" ht="73.5" customHeight="1">
      <c r="A62" s="4435" t="s">
        <v>3609</v>
      </c>
      <c r="B62" s="4435"/>
      <c r="C62" s="4435"/>
      <c r="D62" s="4435"/>
      <c r="E62" s="4435"/>
      <c r="F62" s="4435"/>
      <c r="G62" s="4435"/>
      <c r="H62" s="4435"/>
      <c r="I62" s="4435"/>
      <c r="J62" s="4435"/>
    </row>
    <row r="63" spans="1:12" ht="6" customHeight="1">
      <c r="A63" s="1328" t="s">
        <v>232</v>
      </c>
      <c r="B63" s="1328"/>
      <c r="C63" s="1328"/>
      <c r="D63" s="1328"/>
      <c r="E63" s="1328"/>
      <c r="F63" s="1328"/>
      <c r="G63" s="1328"/>
      <c r="H63" s="1328"/>
      <c r="I63" s="1328"/>
      <c r="J63" s="1328"/>
    </row>
    <row r="64" spans="1:12" ht="15">
      <c r="A64" s="594" t="s">
        <v>2728</v>
      </c>
      <c r="L64" s="595" t="s">
        <v>3211</v>
      </c>
    </row>
    <row r="65" spans="1:17" ht="46.5" customHeight="1">
      <c r="A65" s="4452" t="s">
        <v>2729</v>
      </c>
      <c r="B65" s="4452"/>
      <c r="C65" s="4452"/>
      <c r="D65" s="4452"/>
      <c r="E65" s="4452"/>
      <c r="F65" s="4452"/>
      <c r="G65" s="4452"/>
      <c r="H65" s="4452"/>
      <c r="I65" s="4452"/>
      <c r="J65" s="4452"/>
      <c r="L65" s="596">
        <f>'Closing term sheet'!C135</f>
        <v>662430.36000000034</v>
      </c>
      <c r="M65" s="597"/>
      <c r="N65" s="597"/>
      <c r="O65" s="597"/>
    </row>
    <row r="66" spans="1:17" ht="7.5" customHeight="1">
      <c r="A66" s="1328"/>
      <c r="B66" s="1328"/>
      <c r="C66" s="1328"/>
      <c r="D66" s="1328"/>
      <c r="E66" s="1328"/>
      <c r="F66" s="1328"/>
      <c r="G66" s="1328"/>
      <c r="H66" s="1328"/>
      <c r="I66" s="1328"/>
      <c r="J66" s="1328"/>
      <c r="L66" s="598" t="s">
        <v>3212</v>
      </c>
      <c r="M66" s="599" t="s">
        <v>3217</v>
      </c>
      <c r="N66" s="600" t="s">
        <v>3214</v>
      </c>
      <c r="O66" s="598" t="s">
        <v>3213</v>
      </c>
      <c r="P66" s="599" t="s">
        <v>3216</v>
      </c>
      <c r="Q66" s="600" t="s">
        <v>3215</v>
      </c>
    </row>
    <row r="67" spans="1:17" ht="78.75" customHeight="1">
      <c r="A67" s="4450"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Hudson Housing Capital LLC (Proposed) will make a capital contribution totaling 7572735 via the syndication of the 2021 Federal LIHTC allocation of 900000 per annum.(Same as Federal) will make a capital contribution totaling 5295978 via the syndication of the 2021 State LIHTC allocation of 900000 per annum.</v>
      </c>
      <c r="B67" s="4450"/>
      <c r="C67" s="4450"/>
      <c r="D67" s="4450"/>
      <c r="E67" s="4450"/>
      <c r="F67" s="4450"/>
      <c r="G67" s="4450"/>
      <c r="H67" s="4450"/>
      <c r="I67" s="4450"/>
      <c r="J67" s="601"/>
      <c r="L67" s="602">
        <f>'Part III-Sources of Funds'!I51</f>
        <v>7572735</v>
      </c>
      <c r="M67" s="603">
        <f>'Part IV-A-Uses of Funds'!$J$197</f>
        <v>900000</v>
      </c>
      <c r="N67" s="604">
        <f>'Part IV-A-Uses of Funds'!N188</f>
        <v>0.85</v>
      </c>
      <c r="O67" s="602">
        <f>'Part III-Sources of Funds'!I52</f>
        <v>5295977.9999999991</v>
      </c>
      <c r="P67" s="603">
        <f>M67</f>
        <v>900000</v>
      </c>
      <c r="Q67" s="604">
        <f>'Part IV-A-Uses of Funds'!Q188</f>
        <v>0.57999999999999996</v>
      </c>
    </row>
    <row r="68" spans="1:17" ht="39.75" customHeight="1">
      <c r="A68" s="4453" t="str">
        <f>_xlfn.CONCAT("The total equity price per credit will be ",SUM(N67,Q67)," (",N67," Federal tax credit and ",Q67," State tax credit) for a (X%) ownership interest of the Federal Credits and a (X%) ownership interest of the State Credits. ")</f>
        <v xml:space="preserve">The total equity price per credit will be 1.43 (0.85 Federal tax credit and 0.58 State tax credit) for a (X%) ownership interest of the Federal Credits and a (X%) ownership interest of the State Credits. </v>
      </c>
      <c r="B68" s="4453"/>
      <c r="C68" s="4453"/>
      <c r="D68" s="4453"/>
      <c r="E68" s="4453"/>
      <c r="F68" s="4453"/>
      <c r="G68" s="4453"/>
      <c r="H68" s="4453"/>
      <c r="I68" s="4453"/>
      <c r="J68" s="601"/>
      <c r="L68" s="1631"/>
      <c r="M68" s="1631"/>
      <c r="N68" s="1632"/>
      <c r="O68" s="1631"/>
      <c r="P68" s="1631"/>
      <c r="Q68" s="1632"/>
    </row>
    <row r="69" spans="1:17" ht="18.75" customHeight="1">
      <c r="A69" s="605" t="s">
        <v>2730</v>
      </c>
    </row>
    <row r="70" spans="1:17" ht="177" customHeight="1">
      <c r="A70" s="4450" t="s">
        <v>6408</v>
      </c>
      <c r="B70" s="4450"/>
      <c r="C70" s="4450"/>
      <c r="D70" s="4450"/>
      <c r="E70" s="4450"/>
      <c r="F70" s="4450"/>
      <c r="G70" s="4450"/>
      <c r="H70" s="4450"/>
      <c r="I70" s="4450"/>
      <c r="J70" s="4450"/>
      <c r="L70" s="606">
        <f>'Part VII-Pro Forma'!K72</f>
        <v>1304058.6092858065</v>
      </c>
      <c r="M70" s="4454" t="s">
        <v>3218</v>
      </c>
      <c r="N70" s="4455"/>
    </row>
    <row r="71" spans="1:17" ht="6" customHeight="1">
      <c r="A71" s="594"/>
    </row>
    <row r="72" spans="1:17" ht="15">
      <c r="A72" s="594" t="s">
        <v>2731</v>
      </c>
    </row>
    <row r="73" spans="1:17" ht="72.599999999999994" customHeight="1">
      <c r="A73" s="4450" t="s">
        <v>2732</v>
      </c>
      <c r="B73" s="4450"/>
      <c r="C73" s="4450"/>
      <c r="D73" s="4450"/>
      <c r="E73" s="4450"/>
      <c r="F73" s="4450"/>
      <c r="G73" s="4450"/>
      <c r="H73" s="4450"/>
      <c r="I73" s="4450"/>
      <c r="J73" s="4450"/>
    </row>
    <row r="74" spans="1:17" ht="36" customHeight="1">
      <c r="A74" s="4450" t="s">
        <v>2733</v>
      </c>
      <c r="B74" s="4450"/>
      <c r="C74" s="4450"/>
      <c r="D74" s="4450"/>
      <c r="E74" s="4450"/>
      <c r="F74" s="4450"/>
      <c r="G74" s="4450"/>
      <c r="H74" s="4450"/>
      <c r="I74" s="4450"/>
      <c r="J74" s="4450"/>
    </row>
    <row r="75" spans="1:17" ht="6" customHeight="1">
      <c r="A75" s="594"/>
    </row>
    <row r="76" spans="1:17" ht="15">
      <c r="A76" s="594" t="s">
        <v>2734</v>
      </c>
    </row>
    <row r="77" spans="1:17" ht="105.75" customHeight="1">
      <c r="A77" s="4435" t="s">
        <v>2735</v>
      </c>
      <c r="B77" s="4435"/>
      <c r="C77" s="4435"/>
      <c r="D77" s="4435"/>
      <c r="E77" s="4435"/>
      <c r="F77" s="4435"/>
      <c r="G77" s="4435"/>
      <c r="H77" s="4435"/>
      <c r="I77" s="4435"/>
      <c r="J77" s="4435"/>
    </row>
    <row r="78" spans="1:17" ht="6" customHeight="1">
      <c r="A78" s="594"/>
    </row>
    <row r="79" spans="1:17" ht="15">
      <c r="A79" s="594" t="s">
        <v>2736</v>
      </c>
    </row>
    <row r="80" spans="1:17" ht="66" customHeight="1">
      <c r="A80" s="4435" t="s">
        <v>2737</v>
      </c>
      <c r="B80" s="4435"/>
      <c r="C80" s="4435"/>
      <c r="D80" s="4435"/>
      <c r="E80" s="4435"/>
      <c r="F80" s="4435"/>
      <c r="G80" s="4435"/>
      <c r="H80" s="4435"/>
      <c r="I80" s="4435"/>
      <c r="J80" s="4435"/>
    </row>
    <row r="81" spans="1:15" s="1330" customFormat="1" ht="6" customHeight="1">
      <c r="A81" s="4435"/>
      <c r="B81" s="4435"/>
      <c r="C81" s="4435"/>
      <c r="D81" s="4435"/>
      <c r="E81" s="4435"/>
      <c r="F81" s="4435"/>
      <c r="G81" s="4435"/>
      <c r="H81" s="4435"/>
      <c r="I81" s="4435"/>
      <c r="J81" s="4435"/>
    </row>
    <row r="82" spans="1:15" ht="16.5" customHeight="1">
      <c r="A82" s="1332" t="s">
        <v>2738</v>
      </c>
      <c r="B82" s="593"/>
      <c r="C82" s="593"/>
      <c r="D82" s="1334"/>
      <c r="E82" s="593"/>
      <c r="F82" s="593"/>
      <c r="G82" s="593"/>
      <c r="H82" s="593"/>
      <c r="I82" s="593"/>
      <c r="J82" s="607"/>
    </row>
    <row r="83" spans="1:15" s="1330" customFormat="1" ht="63" customHeight="1">
      <c r="A83" s="4435" t="s">
        <v>3811</v>
      </c>
      <c r="B83" s="4435"/>
      <c r="C83" s="4435"/>
      <c r="D83" s="4435"/>
      <c r="E83" s="4435"/>
      <c r="F83" s="4435"/>
      <c r="G83" s="4435"/>
      <c r="H83" s="4435"/>
      <c r="I83" s="4435"/>
      <c r="J83" s="4435"/>
    </row>
    <row r="84" spans="1:15" s="1330" customFormat="1" ht="6" customHeight="1">
      <c r="A84" s="1328"/>
      <c r="B84" s="1328"/>
      <c r="C84" s="1328"/>
      <c r="D84" s="1328"/>
      <c r="E84" s="1328"/>
      <c r="F84" s="1328"/>
      <c r="G84" s="1328"/>
      <c r="H84" s="1328"/>
      <c r="I84" s="1328"/>
      <c r="J84" s="1328"/>
    </row>
    <row r="85" spans="1:15" ht="16.5" customHeight="1">
      <c r="A85" s="4457" t="s">
        <v>2739</v>
      </c>
      <c r="B85" s="4458"/>
      <c r="C85" s="4458"/>
      <c r="D85" s="593"/>
      <c r="E85" s="593"/>
      <c r="F85" s="593"/>
      <c r="G85" s="593"/>
      <c r="H85" s="593"/>
      <c r="I85" s="593"/>
      <c r="J85" s="607"/>
    </row>
    <row r="86" spans="1:15" ht="41.25" customHeight="1">
      <c r="A86" s="4450" t="s">
        <v>6409</v>
      </c>
      <c r="B86" s="4459"/>
      <c r="C86" s="4459"/>
      <c r="D86" s="4459"/>
      <c r="E86" s="4459"/>
      <c r="F86" s="4459"/>
      <c r="G86" s="4459"/>
      <c r="H86" s="4459"/>
      <c r="I86" s="4459"/>
      <c r="J86" s="4459"/>
    </row>
    <row r="87" spans="1:15" ht="6" customHeight="1">
      <c r="A87" s="608"/>
      <c r="B87" s="593"/>
      <c r="C87" s="593"/>
      <c r="D87" s="593"/>
      <c r="E87" s="593"/>
      <c r="F87" s="593"/>
      <c r="G87" s="593"/>
      <c r="H87" s="593"/>
      <c r="I87" s="593"/>
      <c r="J87" s="607"/>
    </row>
    <row r="88" spans="1:15" ht="15">
      <c r="A88" s="594" t="s">
        <v>2740</v>
      </c>
    </row>
    <row r="89" spans="1:15" ht="124.15" customHeight="1">
      <c r="A89" s="4450" t="s">
        <v>2741</v>
      </c>
      <c r="B89" s="4450"/>
      <c r="C89" s="4450"/>
      <c r="D89" s="4450"/>
      <c r="E89" s="4450"/>
      <c r="F89" s="4450"/>
      <c r="G89" s="4450"/>
      <c r="H89" s="4450"/>
      <c r="I89" s="4450"/>
      <c r="J89" s="4450"/>
      <c r="L89" s="4460" t="s">
        <v>2742</v>
      </c>
      <c r="M89" s="4460"/>
      <c r="N89" s="4460"/>
    </row>
    <row r="90" spans="1:15" ht="6" customHeight="1">
      <c r="A90" s="1331"/>
      <c r="B90" s="1331"/>
      <c r="C90" s="1331"/>
      <c r="D90" s="1331"/>
      <c r="E90" s="1331"/>
      <c r="F90" s="1331"/>
      <c r="G90" s="1331"/>
      <c r="H90" s="1331"/>
      <c r="I90" s="1331"/>
      <c r="J90" s="1331"/>
      <c r="L90" s="1333"/>
      <c r="M90" s="1333"/>
      <c r="N90" s="1333"/>
    </row>
    <row r="91" spans="1:15" ht="17.25" customHeight="1">
      <c r="A91" s="594" t="s">
        <v>2743</v>
      </c>
    </row>
    <row r="92" spans="1:15" ht="105" customHeight="1">
      <c r="A92" s="4450" t="s">
        <v>2744</v>
      </c>
      <c r="B92" s="4450"/>
      <c r="C92" s="4450"/>
      <c r="D92" s="4450"/>
      <c r="E92" s="4450"/>
      <c r="F92" s="4450"/>
      <c r="G92" s="4450"/>
      <c r="H92" s="4450"/>
      <c r="I92" s="4450"/>
      <c r="J92" s="4450"/>
      <c r="L92" s="4460" t="s">
        <v>2745</v>
      </c>
      <c r="M92" s="4460"/>
      <c r="N92" s="609" t="e">
        <f>'After-Tax Analysis'!G66</f>
        <v>#VALUE!</v>
      </c>
      <c r="O92" s="610" t="s">
        <v>2746</v>
      </c>
    </row>
    <row r="93" spans="1:15" ht="6" customHeight="1">
      <c r="A93" s="594"/>
    </row>
    <row r="94" spans="1:15" ht="15">
      <c r="A94" s="594" t="s">
        <v>2747</v>
      </c>
    </row>
    <row r="95" spans="1:15" ht="118.5" customHeight="1">
      <c r="A95" s="4435" t="s">
        <v>2748</v>
      </c>
      <c r="B95" s="4435"/>
      <c r="C95" s="4435"/>
      <c r="D95" s="4435"/>
      <c r="E95" s="4435"/>
      <c r="F95" s="4435"/>
      <c r="G95" s="4435"/>
      <c r="H95" s="4435"/>
      <c r="I95" s="4435"/>
      <c r="J95" s="4435"/>
    </row>
    <row r="96" spans="1:15" ht="20.25" customHeight="1">
      <c r="A96" s="4437" t="s">
        <v>2749</v>
      </c>
      <c r="B96" s="4437"/>
      <c r="C96" s="4437"/>
      <c r="D96" s="4435"/>
      <c r="E96" s="1328"/>
      <c r="F96" s="1328"/>
      <c r="G96" s="1328"/>
      <c r="H96" s="1328"/>
      <c r="I96" s="1328"/>
      <c r="J96" s="1328"/>
    </row>
    <row r="97" spans="1:14" ht="109.5" customHeight="1">
      <c r="A97" s="4448" t="s">
        <v>2750</v>
      </c>
      <c r="B97" s="4449"/>
      <c r="C97" s="4449"/>
      <c r="D97" s="4449"/>
      <c r="E97" s="4449"/>
      <c r="F97" s="4449"/>
      <c r="G97" s="4449"/>
      <c r="H97" s="4449"/>
      <c r="I97" s="4449"/>
      <c r="J97" s="4449"/>
    </row>
    <row r="98" spans="1:14" ht="11.25" customHeight="1">
      <c r="A98" s="594"/>
    </row>
    <row r="99" spans="1:14" ht="15">
      <c r="A99" s="594" t="s">
        <v>2751</v>
      </c>
    </row>
    <row r="100" spans="1:14" ht="110.45" customHeight="1">
      <c r="A100" s="4452" t="s">
        <v>2752</v>
      </c>
      <c r="B100" s="4452"/>
      <c r="C100" s="4452"/>
      <c r="D100" s="4452"/>
      <c r="E100" s="4452"/>
      <c r="F100" s="4452"/>
      <c r="G100" s="4452"/>
      <c r="H100" s="4452"/>
      <c r="I100" s="4452"/>
      <c r="J100" s="4452"/>
      <c r="L100" s="1041">
        <f>'Part VII-Pro Forma'!K72</f>
        <v>1304058.6092858065</v>
      </c>
      <c r="M100" s="4456" t="s">
        <v>2753</v>
      </c>
      <c r="N100" s="4456"/>
    </row>
    <row r="101" spans="1:14" ht="11.25" hidden="1" customHeight="1">
      <c r="A101" s="1328"/>
      <c r="B101" s="1328"/>
      <c r="C101" s="1328"/>
      <c r="D101" s="1328"/>
      <c r="E101" s="1328"/>
      <c r="F101" s="1328"/>
      <c r="G101" s="1328"/>
      <c r="H101" s="1328"/>
      <c r="I101" s="1328"/>
      <c r="J101" s="1328"/>
    </row>
    <row r="102" spans="1:14" ht="12" hidden="1" customHeight="1">
      <c r="A102" s="1328"/>
      <c r="B102" s="1328"/>
      <c r="C102" s="1328"/>
      <c r="D102" s="1328"/>
      <c r="E102" s="1328"/>
      <c r="F102" s="1328"/>
      <c r="G102" s="1328"/>
      <c r="H102" s="1328"/>
      <c r="I102" s="1328"/>
      <c r="J102" s="607"/>
    </row>
    <row r="103" spans="1:14" ht="6" customHeight="1">
      <c r="A103" s="1328"/>
      <c r="B103" s="1328"/>
      <c r="C103" s="1328"/>
      <c r="D103" s="1328"/>
      <c r="E103" s="1328"/>
      <c r="F103" s="1328"/>
      <c r="G103" s="1328"/>
      <c r="H103" s="1328"/>
      <c r="I103" s="1328"/>
      <c r="J103" s="607"/>
    </row>
    <row r="104" spans="1:14" ht="17.25" customHeight="1">
      <c r="A104" s="4437" t="s">
        <v>2754</v>
      </c>
      <c r="B104" s="4437"/>
      <c r="C104" s="4437"/>
      <c r="D104" s="1328"/>
      <c r="E104" s="1328"/>
      <c r="F104" s="1328"/>
      <c r="G104" s="1328"/>
      <c r="H104" s="1328"/>
      <c r="I104" s="1328"/>
      <c r="J104" s="607"/>
    </row>
    <row r="105" spans="1:14" ht="37.5" customHeight="1">
      <c r="A105" s="4450" t="s">
        <v>2755</v>
      </c>
      <c r="B105" s="4450"/>
      <c r="C105" s="4450"/>
      <c r="D105" s="4450"/>
      <c r="E105" s="4450"/>
      <c r="F105" s="4450"/>
      <c r="G105" s="4450"/>
      <c r="H105" s="4450"/>
      <c r="I105" s="4450"/>
      <c r="J105" s="4450"/>
    </row>
    <row r="106" spans="1:14" ht="6" customHeight="1">
      <c r="A106" s="594"/>
    </row>
    <row r="107" spans="1:14" ht="15">
      <c r="A107" s="594" t="s">
        <v>2756</v>
      </c>
    </row>
    <row r="108" spans="1:14" ht="43.5" customHeight="1">
      <c r="A108" s="4435" t="s">
        <v>2757</v>
      </c>
      <c r="B108" s="4435"/>
      <c r="C108" s="4435"/>
      <c r="D108" s="4435"/>
      <c r="E108" s="4435"/>
      <c r="F108" s="4435"/>
      <c r="G108" s="4435"/>
      <c r="H108" s="4435"/>
      <c r="I108" s="4435"/>
      <c r="J108" s="4435"/>
    </row>
    <row r="109" spans="1:14" ht="6" customHeight="1">
      <c r="A109" s="1328"/>
      <c r="B109" s="1328"/>
      <c r="C109" s="1328"/>
      <c r="D109" s="1328"/>
      <c r="E109" s="1328"/>
      <c r="F109" s="1328"/>
      <c r="G109" s="1328"/>
      <c r="H109" s="1328"/>
      <c r="I109" s="1328"/>
      <c r="J109" s="1328"/>
    </row>
    <row r="110" spans="1:14" ht="15">
      <c r="A110" s="594" t="s">
        <v>2758</v>
      </c>
    </row>
    <row r="112" spans="1:14" ht="18.75" thickBot="1">
      <c r="A112" s="1564" t="s">
        <v>2759</v>
      </c>
      <c r="B112" s="1564"/>
      <c r="C112" s="1564"/>
      <c r="D112" s="1564"/>
      <c r="E112" s="1564"/>
      <c r="F112" s="1564"/>
      <c r="G112" s="1565"/>
      <c r="H112" s="588" t="s">
        <v>2760</v>
      </c>
      <c r="I112" s="1564"/>
      <c r="J112" s="1564"/>
    </row>
    <row r="115" spans="1:10" ht="13.9" customHeight="1" thickBot="1">
      <c r="G115" s="1565"/>
      <c r="H115" s="588" t="s">
        <v>2761</v>
      </c>
    </row>
    <row r="116" spans="1:10">
      <c r="A116" s="588" t="s">
        <v>2762</v>
      </c>
    </row>
    <row r="119" spans="1:10" ht="15" thickBot="1">
      <c r="A119" s="611"/>
      <c r="B119" s="611"/>
      <c r="C119" s="611"/>
      <c r="D119" s="611"/>
      <c r="E119" s="1562"/>
      <c r="F119" s="611"/>
      <c r="G119" s="611"/>
      <c r="H119" s="611"/>
      <c r="I119" s="611"/>
      <c r="J119" s="611"/>
    </row>
    <row r="120" spans="1:10">
      <c r="A120" s="4446" t="s">
        <v>6273</v>
      </c>
      <c r="B120" s="4446"/>
      <c r="C120" s="4446"/>
      <c r="D120" s="4446"/>
      <c r="E120" s="4447"/>
      <c r="F120" s="1560" t="s">
        <v>6274</v>
      </c>
      <c r="G120" s="1560"/>
      <c r="H120" s="1563"/>
      <c r="I120" s="1563"/>
      <c r="J120" s="1560"/>
    </row>
    <row r="122" spans="1:10" ht="15" thickBot="1">
      <c r="A122" s="588" t="s">
        <v>2763</v>
      </c>
      <c r="B122" s="611"/>
      <c r="C122" s="611"/>
      <c r="H122" s="588" t="s">
        <v>2763</v>
      </c>
      <c r="I122" s="1561"/>
    </row>
    <row r="210" spans="1:1">
      <c r="A210" s="588" t="str">
        <f>'Subsidy Layering Memo'!A37&amp;".  "</f>
        <v xml:space="preserve">1).  </v>
      </c>
    </row>
  </sheetData>
  <sheetProtection algorithmName="SHA-512" hashValue="6IwkkR0WRNoT/3Q0Jyk6Pdrtg5tKZQwLLPckASYMfWeOs/xqFI850benF9pea7qeiquuGUOlinohQ7ye7gI1Yg==" saltValue="c4yWozrCH2h0SSRKvyVLaw==" spinCount="100000" sheet="1" objects="1" scenarios="1"/>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C7" sqref="C7"/>
    </sheetView>
  </sheetViews>
  <sheetFormatPr defaultColWidth="9.140625" defaultRowHeight="12.75"/>
  <cols>
    <col min="1" max="1" width="16.85546875" style="27" customWidth="1"/>
    <col min="2" max="3" width="26.140625" style="27" customWidth="1"/>
    <col min="4" max="4" width="9.42578125" style="27" customWidth="1"/>
    <col min="5" max="5" width="25.5703125" style="27" customWidth="1"/>
    <col min="6" max="6" width="8.5703125" style="27" customWidth="1"/>
    <col min="7" max="7" width="21.85546875" style="27" customWidth="1"/>
    <col min="8" max="8" width="6.5703125" style="27" customWidth="1"/>
    <col min="9" max="9" width="19.140625" style="27" customWidth="1"/>
    <col min="10" max="10" width="6.5703125" style="27" customWidth="1"/>
    <col min="11" max="11" width="18.85546875" style="27" customWidth="1"/>
    <col min="12" max="12" width="7.5703125" style="27" customWidth="1"/>
    <col min="13" max="17" width="10.85546875" style="27" customWidth="1"/>
    <col min="18" max="16384" width="9.140625" style="27"/>
  </cols>
  <sheetData>
    <row r="1" spans="1:14" s="243" customFormat="1" ht="18">
      <c r="A1" s="1033" t="s">
        <v>2764</v>
      </c>
      <c r="B1" s="642"/>
      <c r="C1" s="642"/>
      <c r="D1" s="642"/>
      <c r="E1" s="642"/>
      <c r="F1" s="642"/>
      <c r="G1" s="642"/>
      <c r="H1" s="642"/>
      <c r="I1" s="642"/>
      <c r="J1" s="642"/>
      <c r="K1" s="642"/>
      <c r="L1" s="582"/>
      <c r="M1" s="582"/>
    </row>
    <row r="2" spans="1:14" s="243" customFormat="1" ht="18">
      <c r="A2" s="1033" t="str">
        <f>+"Financial Analysis for:  "&amp;E8&amp;"  "&amp;C8</f>
        <v>Financial Analysis for:  2021-067  West Point Village Phase II</v>
      </c>
      <c r="B2" s="642"/>
      <c r="C2" s="642"/>
      <c r="D2" s="642"/>
      <c r="E2" s="642"/>
      <c r="F2" s="642"/>
      <c r="G2" s="642"/>
      <c r="H2" s="642"/>
      <c r="I2" s="642"/>
      <c r="J2" s="642"/>
      <c r="K2" s="642"/>
      <c r="L2" s="582"/>
      <c r="M2" s="582"/>
    </row>
    <row r="5" spans="1:14" ht="15.75">
      <c r="A5" s="613"/>
      <c r="B5" s="614"/>
      <c r="C5" s="615"/>
      <c r="D5" s="614"/>
      <c r="E5" s="614"/>
      <c r="F5" s="613"/>
      <c r="G5" s="614"/>
      <c r="H5" s="615"/>
      <c r="I5" s="614"/>
      <c r="J5" s="614"/>
      <c r="K5" s="614"/>
      <c r="L5" s="614"/>
      <c r="M5" s="579"/>
    </row>
    <row r="7" spans="1:14" ht="15.75">
      <c r="A7" s="582" t="s">
        <v>2765</v>
      </c>
      <c r="B7" s="579"/>
      <c r="C7" s="616"/>
      <c r="D7" s="617"/>
      <c r="E7" s="617"/>
      <c r="F7" s="582" t="s">
        <v>3077</v>
      </c>
      <c r="G7" s="579"/>
      <c r="H7" s="4464" t="str">
        <f>IF(SUM('Part I-Project Information'!H55:H57)=0,"",IF(MAX('Part I-Project Information'!H55:H57)='Part I-Project Information'!H55,"New Construction", IF(MAX('Part I-Project Information'!H55:H57)='Part I-Project Information'!H56,"Substantial Rehabilitation", IF(MAX('Part I-Project Information'!H55:H57)='Part I-Project Information'!H57,"Acquisition/Rehabilitation","Check core app"))))</f>
        <v>New Construction</v>
      </c>
      <c r="I7" s="4464"/>
      <c r="J7" s="4464"/>
      <c r="K7" s="4464"/>
      <c r="L7" s="579"/>
      <c r="M7" s="579"/>
    </row>
    <row r="8" spans="1:14" ht="15.75">
      <c r="A8" s="582" t="s">
        <v>2766</v>
      </c>
      <c r="B8" s="582"/>
      <c r="C8" s="4464" t="str">
        <f>'Part I-Project Information'!F35</f>
        <v>West Point Village Phase II</v>
      </c>
      <c r="D8" s="4464"/>
      <c r="E8" s="1089" t="str">
        <f>'Part I-Project Information'!O7</f>
        <v>2021-067</v>
      </c>
      <c r="F8" s="618" t="s">
        <v>2767</v>
      </c>
      <c r="G8" s="617"/>
      <c r="H8" s="4464" t="str">
        <f>CONCATENATE('Part I-Project Information'!F39,", ",'Part I-Project Information'!J40)</f>
        <v>West Point, Troup</v>
      </c>
      <c r="I8" s="4464"/>
      <c r="J8" s="4464"/>
      <c r="K8" s="4464"/>
      <c r="L8" s="579"/>
      <c r="M8" s="619"/>
    </row>
    <row r="9" spans="1:14" ht="15.75">
      <c r="A9" s="582" t="s">
        <v>2769</v>
      </c>
      <c r="B9" s="582"/>
      <c r="C9" s="4464" t="s">
        <v>1691</v>
      </c>
      <c r="D9" s="4464"/>
      <c r="E9" s="617"/>
      <c r="F9" s="618" t="s">
        <v>2770</v>
      </c>
      <c r="G9" s="617"/>
      <c r="H9" s="4464" t="str">
        <f>'Part II-Development Team'!H6</f>
        <v>West Point Village Phase II LLC</v>
      </c>
      <c r="I9" s="4464"/>
      <c r="J9" s="4464"/>
      <c r="K9" s="4464"/>
      <c r="L9" s="4464"/>
      <c r="M9" s="619"/>
    </row>
    <row r="10" spans="1:14" ht="15.75">
      <c r="A10" s="582" t="s">
        <v>2772</v>
      </c>
      <c r="B10" s="579"/>
      <c r="C10" s="1089" t="str">
        <f>'Part II-Development Team'!H15</f>
        <v>West Point Village MM LLC</v>
      </c>
      <c r="D10" s="617"/>
      <c r="E10" s="617"/>
      <c r="F10" s="618" t="s">
        <v>3252</v>
      </c>
      <c r="G10" s="617"/>
      <c r="H10" s="4464" t="str">
        <f>'Part II-Development Team'!H34</f>
        <v>Hudson Housing Capital LLC (Proposed)</v>
      </c>
      <c r="I10" s="4464"/>
      <c r="J10" s="4464"/>
      <c r="K10" s="4464" t="str">
        <f>'Part II-Development Team'!H40</f>
        <v>(Same as Federal)</v>
      </c>
      <c r="L10" s="4464"/>
    </row>
    <row r="11" spans="1:14" ht="15.75">
      <c r="A11" s="582" t="s">
        <v>2773</v>
      </c>
      <c r="B11" s="579"/>
      <c r="C11" s="1089" t="str">
        <f>IF('Part II-Development Team'!H21="","",'Part II-Development Team'!H21)</f>
        <v>Collaborative Housing Solutions, Inc.</v>
      </c>
      <c r="D11" s="617"/>
      <c r="E11" s="1035" t="str">
        <f>IF('Part II-Development Team'!H27="","",'Part II-Development Team'!H27)</f>
        <v>Housing Authority of the City of West Point</v>
      </c>
      <c r="F11" s="618" t="s">
        <v>622</v>
      </c>
      <c r="G11" s="617"/>
      <c r="H11" s="4464" t="str">
        <f>'Part II-Development Team'!H55</f>
        <v>Pennrose LLC</v>
      </c>
      <c r="I11" s="4464"/>
      <c r="J11" s="4464"/>
      <c r="K11" s="4464" t="str">
        <f>'Part II-Development Team'!H61</f>
        <v>Collaborative Housing Solutions, Inc.</v>
      </c>
      <c r="L11" s="4464"/>
      <c r="M11" s="4464" t="str">
        <f>'Part II-Development Team'!H67</f>
        <v>Housing Authority of the City of West Point</v>
      </c>
      <c r="N11" s="4464"/>
    </row>
    <row r="12" spans="1:14" ht="15.75">
      <c r="A12" s="582" t="s">
        <v>2774</v>
      </c>
      <c r="B12" s="579"/>
      <c r="C12" s="1089" t="str">
        <f>'Part II-Development Team'!H87</f>
        <v>Capstone Building Corp</v>
      </c>
      <c r="D12" s="617"/>
      <c r="E12" s="617"/>
      <c r="F12" s="618" t="s">
        <v>2775</v>
      </c>
      <c r="G12" s="617"/>
      <c r="H12" s="4464" t="str">
        <f>'Part II-Development Team'!H93</f>
        <v>Pennrose Management Company</v>
      </c>
      <c r="I12" s="4464"/>
      <c r="J12" s="4464"/>
      <c r="K12" s="4464"/>
      <c r="L12" s="579"/>
      <c r="M12" s="579"/>
    </row>
    <row r="13" spans="1:14" ht="15.75">
      <c r="A13" s="582" t="s">
        <v>2776</v>
      </c>
      <c r="B13" s="618"/>
      <c r="C13" s="578">
        <f>'Part VI-Revenues &amp; Expenses'!$P$67</f>
        <v>72</v>
      </c>
      <c r="E13" s="1036">
        <f>'Part VI-Revenues &amp; Expenses'!$P$63</f>
        <v>64</v>
      </c>
      <c r="F13" s="618" t="s">
        <v>3603</v>
      </c>
      <c r="G13" s="617"/>
      <c r="H13" s="1090">
        <f>'Part I-Project Information'!H71</f>
        <v>3</v>
      </c>
      <c r="I13" s="1037"/>
      <c r="J13" s="1037"/>
      <c r="K13" s="1090">
        <f>'Part I-Project Information'!P70</f>
        <v>68720</v>
      </c>
      <c r="L13" s="579"/>
      <c r="M13" s="579"/>
    </row>
    <row r="14" spans="1:14" ht="15.75">
      <c r="A14" s="582" t="s">
        <v>3068</v>
      </c>
      <c r="B14" s="579"/>
      <c r="C14" s="1090" t="str">
        <f>'Part I-Project Information'!H77</f>
        <v>Family</v>
      </c>
      <c r="D14" s="4464" t="str">
        <f>IF('Part I-Project Information'!N69=0,"",'Part I-Project Information'!N69)</f>
        <v/>
      </c>
      <c r="E14" s="4464"/>
      <c r="F14" s="618" t="s">
        <v>2777</v>
      </c>
      <c r="G14" s="617"/>
      <c r="H14" s="4469" t="s">
        <v>3220</v>
      </c>
      <c r="I14" s="4469"/>
      <c r="J14" s="4469"/>
      <c r="K14" s="4469" t="s">
        <v>3220</v>
      </c>
      <c r="L14" s="4469"/>
      <c r="M14" s="579"/>
    </row>
    <row r="15" spans="1:14" ht="15.75">
      <c r="A15" s="582" t="s">
        <v>2778</v>
      </c>
      <c r="B15" s="579"/>
      <c r="C15" s="620" t="s">
        <v>1691</v>
      </c>
      <c r="D15" s="617"/>
      <c r="E15" s="617"/>
      <c r="F15" s="618" t="s">
        <v>3069</v>
      </c>
      <c r="G15" s="617"/>
      <c r="H15" s="1089" t="str">
        <f>'Part I-Project Information'!K41</f>
        <v>Rural</v>
      </c>
      <c r="I15" s="617"/>
      <c r="J15" s="617"/>
      <c r="K15" s="617"/>
      <c r="L15" s="579"/>
      <c r="M15" s="579"/>
    </row>
    <row r="16" spans="1:14" ht="15.75">
      <c r="A16" s="582" t="s">
        <v>3247</v>
      </c>
      <c r="B16" s="579"/>
      <c r="C16" s="1089" t="str">
        <f>'Part I-Project Information'!H100</f>
        <v>No</v>
      </c>
      <c r="D16" s="621" t="s">
        <v>2532</v>
      </c>
      <c r="E16" s="1089" t="str">
        <f>'Part I-Project Information'!H103</f>
        <v>No</v>
      </c>
      <c r="F16" s="618"/>
      <c r="G16" s="617"/>
      <c r="H16" s="617"/>
      <c r="I16" s="617"/>
      <c r="J16" s="617"/>
      <c r="K16" s="617"/>
      <c r="L16" s="579"/>
      <c r="M16" s="579"/>
    </row>
    <row r="17" spans="1:13" ht="15">
      <c r="A17" s="579"/>
      <c r="B17" s="579"/>
      <c r="C17" s="579"/>
      <c r="D17" s="617"/>
      <c r="E17" s="617"/>
      <c r="F17" s="617"/>
      <c r="G17" s="617"/>
      <c r="H17" s="617"/>
      <c r="I17" s="617"/>
      <c r="J17" s="579"/>
      <c r="K17" s="579"/>
      <c r="L17" s="579"/>
      <c r="M17" s="579"/>
    </row>
    <row r="18" spans="1:13" ht="15.75">
      <c r="A18" s="582" t="s">
        <v>3071</v>
      </c>
      <c r="B18" s="579"/>
      <c r="C18" s="1092">
        <f>'Part IV-A-Uses of Funds'!G146</f>
        <v>15238231.279999999</v>
      </c>
      <c r="D18" s="1071">
        <f>IF(C18=0,"",$C$29/C18)</f>
        <v>0.13210798307295413</v>
      </c>
      <c r="E18" s="617" t="s">
        <v>3072</v>
      </c>
      <c r="F18" s="618" t="s">
        <v>3073</v>
      </c>
      <c r="G18" s="617"/>
      <c r="H18" s="4463">
        <f>'Part IV-A-Uses of Funds'!C49</f>
        <v>10577492.279999999</v>
      </c>
      <c r="I18" s="4463"/>
      <c r="J18" s="1070">
        <f>IF(H18=0,"",$C$29/H18)</f>
        <v>0.19031845608683348</v>
      </c>
      <c r="K18" s="4464" t="s">
        <v>3074</v>
      </c>
      <c r="L18" s="4464"/>
      <c r="M18" s="579"/>
    </row>
    <row r="19" spans="1:13" ht="15.75">
      <c r="A19" s="582" t="s">
        <v>2779</v>
      </c>
      <c r="B19" s="579"/>
      <c r="C19" s="1091">
        <f>C18/C13</f>
        <v>211642.10111111111</v>
      </c>
      <c r="D19" s="617"/>
      <c r="E19" s="579"/>
      <c r="F19" s="582" t="s">
        <v>2779</v>
      </c>
      <c r="G19" s="579"/>
      <c r="H19" s="4465">
        <f>H18/C13</f>
        <v>146909.61499999999</v>
      </c>
      <c r="I19" s="4465"/>
      <c r="J19" s="579"/>
      <c r="K19" s="579"/>
      <c r="L19" s="579"/>
      <c r="M19" s="579"/>
    </row>
    <row r="20" spans="1:13" ht="15.75">
      <c r="A20" s="582" t="s">
        <v>2780</v>
      </c>
      <c r="B20" s="579"/>
      <c r="C20" s="1093">
        <f>C18/K13</f>
        <v>221.74376135040745</v>
      </c>
      <c r="D20" s="622"/>
      <c r="E20" s="623"/>
      <c r="F20" s="582" t="s">
        <v>2780</v>
      </c>
      <c r="G20" s="579"/>
      <c r="H20" s="4466">
        <f>H18/K13</f>
        <v>153.92159895227007</v>
      </c>
      <c r="I20" s="4465"/>
      <c r="J20" s="579"/>
      <c r="K20" s="579"/>
      <c r="L20" s="579"/>
      <c r="M20" s="579"/>
    </row>
    <row r="21" spans="1:13" ht="15.75">
      <c r="A21" s="582"/>
      <c r="B21" s="579"/>
      <c r="C21" s="624"/>
      <c r="D21" s="579"/>
      <c r="E21" s="579"/>
      <c r="F21" s="582"/>
      <c r="G21" s="579"/>
      <c r="H21" s="624"/>
      <c r="I21" s="579"/>
      <c r="J21" s="579"/>
      <c r="K21" s="579"/>
      <c r="L21" s="579"/>
      <c r="M21" s="579"/>
    </row>
    <row r="22" spans="1:13" ht="15">
      <c r="A22" s="614"/>
      <c r="B22" s="614"/>
      <c r="C22" s="614"/>
      <c r="D22" s="614"/>
      <c r="E22" s="614"/>
      <c r="F22" s="614"/>
      <c r="G22" s="614"/>
      <c r="H22" s="614"/>
      <c r="I22" s="614"/>
      <c r="J22" s="614"/>
      <c r="K22" s="614"/>
      <c r="L22" s="614"/>
      <c r="M22" s="619"/>
    </row>
    <row r="23" spans="1:13" ht="15.75">
      <c r="A23" s="625" t="s">
        <v>2781</v>
      </c>
      <c r="B23" s="626"/>
      <c r="C23" s="626"/>
      <c r="D23" s="626"/>
      <c r="E23" s="617"/>
      <c r="F23" s="617"/>
      <c r="G23" s="617"/>
      <c r="H23" s="617"/>
      <c r="I23" s="617"/>
      <c r="J23" s="617"/>
      <c r="K23" s="617"/>
      <c r="L23" s="579"/>
      <c r="M23" s="619"/>
    </row>
    <row r="24" spans="1:13" ht="27" customHeight="1">
      <c r="A24" s="579"/>
      <c r="B24" s="579"/>
      <c r="C24" s="579"/>
      <c r="D24" s="627" t="s">
        <v>2782</v>
      </c>
      <c r="E24" s="579"/>
      <c r="F24" s="579"/>
      <c r="G24" s="579"/>
      <c r="H24" s="579"/>
      <c r="I24" s="579"/>
      <c r="J24" s="579"/>
      <c r="K24" s="579"/>
      <c r="L24" s="579"/>
      <c r="M24" s="619"/>
    </row>
    <row r="25" spans="1:13" ht="15.75">
      <c r="A25" s="582" t="s">
        <v>2783</v>
      </c>
      <c r="B25" s="628" t="str">
        <f>'Part III-Sources of Funds'!E40</f>
        <v>Grandbridge Real Estate Capital</v>
      </c>
      <c r="C25" s="629">
        <f>'Part III-Sources of Funds'!I40</f>
        <v>2013092</v>
      </c>
      <c r="D25" s="630" t="s">
        <v>2784</v>
      </c>
      <c r="E25" s="579"/>
      <c r="F25" s="617"/>
      <c r="G25" s="579" t="s">
        <v>2785</v>
      </c>
      <c r="H25" s="579"/>
      <c r="I25" s="579"/>
      <c r="K25" s="629"/>
      <c r="L25" s="617"/>
      <c r="M25" s="619"/>
    </row>
    <row r="26" spans="1:13" ht="15">
      <c r="A26" s="579"/>
      <c r="B26" s="628"/>
      <c r="C26" s="629"/>
      <c r="D26" s="630"/>
      <c r="E26" s="579"/>
      <c r="F26" s="617"/>
      <c r="G26" s="579" t="s">
        <v>2786</v>
      </c>
      <c r="H26" s="579"/>
      <c r="I26" s="579"/>
      <c r="K26" s="631" t="e">
        <f>C29/K25</f>
        <v>#DIV/0!</v>
      </c>
      <c r="L26" s="617"/>
      <c r="M26" s="579"/>
    </row>
    <row r="27" spans="1:13" ht="15">
      <c r="A27" s="579"/>
      <c r="B27" s="628"/>
      <c r="C27" s="629"/>
      <c r="D27" s="630"/>
      <c r="E27" s="579"/>
      <c r="F27" s="617"/>
      <c r="G27" s="579"/>
      <c r="H27" s="579"/>
      <c r="I27" s="579"/>
      <c r="K27" s="617"/>
      <c r="L27" s="617"/>
      <c r="M27" s="579"/>
    </row>
    <row r="28" spans="1:13" ht="15">
      <c r="A28" s="579"/>
      <c r="B28" s="579"/>
      <c r="C28" s="579"/>
      <c r="D28" s="579"/>
      <c r="E28" s="579"/>
      <c r="F28" s="617"/>
      <c r="G28" s="579" t="s">
        <v>2787</v>
      </c>
      <c r="H28" s="579"/>
      <c r="I28" s="579"/>
      <c r="K28" s="629"/>
      <c r="L28" s="617"/>
      <c r="M28" s="579"/>
    </row>
    <row r="29" spans="1:13" ht="16.5" thickBot="1">
      <c r="A29" s="579"/>
      <c r="B29" s="632" t="s">
        <v>2788</v>
      </c>
      <c r="C29" s="633">
        <f>SUM(C25:C27)</f>
        <v>2013092</v>
      </c>
      <c r="D29" s="579"/>
      <c r="E29" s="579"/>
      <c r="F29" s="617"/>
      <c r="G29" s="579" t="s">
        <v>2789</v>
      </c>
      <c r="H29" s="579"/>
      <c r="I29" s="579"/>
      <c r="K29" s="631" t="e">
        <f>C29/K28</f>
        <v>#DIV/0!</v>
      </c>
      <c r="L29" s="617"/>
      <c r="M29" s="579"/>
    </row>
    <row r="30" spans="1:13" ht="16.5" thickTop="1">
      <c r="A30" s="582" t="s">
        <v>2790</v>
      </c>
      <c r="B30" s="632"/>
      <c r="C30" s="634">
        <f>'Part III-Sources of Funds'!$I$51+'Part III-Sources of Funds'!$I$52</f>
        <v>12868713</v>
      </c>
      <c r="D30" s="579"/>
      <c r="E30" s="579"/>
      <c r="F30" s="617"/>
      <c r="G30" s="579"/>
      <c r="H30" s="579"/>
      <c r="I30" s="579"/>
      <c r="K30" s="635"/>
      <c r="L30" s="617"/>
      <c r="M30" s="579"/>
    </row>
    <row r="31" spans="1:13" ht="15">
      <c r="A31" s="636" t="s">
        <v>2791</v>
      </c>
      <c r="B31" s="628">
        <f>'Part III-Sources of Funds'!E41</f>
        <v>0</v>
      </c>
      <c r="C31" s="629">
        <f>'Part III-Sources of Funds'!I41</f>
        <v>0</v>
      </c>
      <c r="D31" s="630"/>
      <c r="E31" s="579"/>
      <c r="F31" s="617"/>
      <c r="G31" s="579"/>
      <c r="H31" s="579"/>
      <c r="I31" s="579"/>
      <c r="K31" s="579"/>
      <c r="L31" s="617"/>
      <c r="M31" s="579"/>
    </row>
    <row r="32" spans="1:13" ht="15">
      <c r="A32" s="636" t="s">
        <v>2791</v>
      </c>
      <c r="B32" s="628">
        <f>'Part III-Sources of Funds'!E42</f>
        <v>0</v>
      </c>
      <c r="C32" s="629">
        <f>'Part III-Sources of Funds'!I42</f>
        <v>0</v>
      </c>
      <c r="D32" s="630"/>
      <c r="E32" s="579" t="s">
        <v>232</v>
      </c>
      <c r="F32" s="617"/>
      <c r="G32" s="579" t="s">
        <v>2792</v>
      </c>
      <c r="H32" s="579"/>
      <c r="I32" s="579"/>
      <c r="K32" s="629"/>
      <c r="L32" s="617"/>
      <c r="M32" s="617"/>
    </row>
    <row r="33" spans="1:13" ht="15">
      <c r="A33" s="636" t="s">
        <v>2791</v>
      </c>
      <c r="B33" s="628">
        <f>'Part III-Sources of Funds'!E43</f>
        <v>0</v>
      </c>
      <c r="C33" s="629">
        <f>'Part III-Sources of Funds'!I43</f>
        <v>0</v>
      </c>
      <c r="D33" s="630"/>
      <c r="E33" s="579"/>
      <c r="F33" s="617"/>
      <c r="G33" s="1039" t="s">
        <v>2793</v>
      </c>
      <c r="H33" s="1039"/>
      <c r="I33" s="1039"/>
      <c r="K33" s="631" t="e">
        <f>$C$29/K32</f>
        <v>#DIV/0!</v>
      </c>
      <c r="L33" s="617"/>
      <c r="M33" s="638"/>
    </row>
    <row r="34" spans="1:13" ht="15.75">
      <c r="A34" s="579"/>
      <c r="B34" s="632" t="s">
        <v>2794</v>
      </c>
      <c r="C34" s="637">
        <f>SUM(C31:C33)</f>
        <v>0</v>
      </c>
      <c r="D34" s="579"/>
      <c r="E34" s="579"/>
      <c r="F34" s="579"/>
      <c r="G34" s="579"/>
      <c r="H34" s="579"/>
      <c r="I34" s="579"/>
      <c r="K34" s="617"/>
      <c r="L34" s="579"/>
      <c r="M34" s="638"/>
    </row>
    <row r="35" spans="1:13" ht="15.75">
      <c r="A35" s="579"/>
      <c r="B35" s="632"/>
      <c r="C35" s="579"/>
      <c r="D35" s="579"/>
      <c r="E35" s="579"/>
      <c r="F35" s="579"/>
      <c r="G35" s="1039" t="s">
        <v>2795</v>
      </c>
      <c r="H35" s="1039"/>
      <c r="I35" s="1039"/>
      <c r="K35" s="639" t="e">
        <f>(C36)/K25</f>
        <v>#DIV/0!</v>
      </c>
      <c r="L35" s="579"/>
      <c r="M35" s="617"/>
    </row>
    <row r="36" spans="1:13" ht="15.75">
      <c r="A36" s="579"/>
      <c r="B36" s="632" t="s">
        <v>2796</v>
      </c>
      <c r="C36" s="637">
        <f>C29+C34</f>
        <v>2013092</v>
      </c>
      <c r="D36" s="579"/>
      <c r="E36" s="579"/>
      <c r="F36" s="579"/>
      <c r="G36" s="579"/>
      <c r="H36" s="579"/>
      <c r="I36" s="579"/>
      <c r="K36" s="617"/>
      <c r="L36" s="579"/>
      <c r="M36" s="617"/>
    </row>
    <row r="37" spans="1:13" ht="15.75">
      <c r="A37" s="579"/>
      <c r="B37" s="632"/>
      <c r="C37" s="640"/>
      <c r="D37" s="579"/>
      <c r="E37" s="579"/>
      <c r="F37" s="579"/>
      <c r="G37" s="1039" t="s">
        <v>2797</v>
      </c>
      <c r="H37" s="1039"/>
      <c r="I37" s="1039"/>
      <c r="K37" s="1040" t="e">
        <f>+(C36)/K32</f>
        <v>#DIV/0!</v>
      </c>
      <c r="L37" s="579"/>
      <c r="M37" s="638"/>
    </row>
    <row r="38" spans="1:13" ht="15.75">
      <c r="A38" s="579"/>
      <c r="B38" s="632" t="s">
        <v>2798</v>
      </c>
      <c r="C38" s="641">
        <f>C36/C18</f>
        <v>0.13210798307295413</v>
      </c>
      <c r="D38" s="579"/>
      <c r="E38" s="579"/>
      <c r="F38" s="579"/>
      <c r="G38" s="579"/>
      <c r="H38" s="579"/>
      <c r="I38" s="579"/>
      <c r="K38" s="617"/>
      <c r="L38" s="579"/>
      <c r="M38" s="638"/>
    </row>
    <row r="39" spans="1:13" ht="15.75">
      <c r="A39" s="579"/>
      <c r="B39" s="632"/>
      <c r="C39" s="640"/>
      <c r="D39" s="579"/>
      <c r="E39" s="579"/>
      <c r="F39" s="579"/>
      <c r="G39" s="579"/>
      <c r="H39" s="579"/>
      <c r="I39" s="579"/>
      <c r="K39" s="617"/>
      <c r="L39" s="579"/>
      <c r="M39" s="579"/>
    </row>
    <row r="40" spans="1:13" ht="15.75">
      <c r="A40" s="579"/>
      <c r="B40" s="632" t="s">
        <v>2799</v>
      </c>
      <c r="C40" s="641">
        <f>C36/H18</f>
        <v>0.19031845608683348</v>
      </c>
      <c r="D40" s="579"/>
      <c r="E40" s="579"/>
      <c r="F40" s="582"/>
      <c r="G40" s="582" t="s">
        <v>2800</v>
      </c>
      <c r="H40" s="579"/>
      <c r="I40" s="579"/>
      <c r="K40" s="631">
        <f>C30/C18</f>
        <v>0.84450175112449144</v>
      </c>
      <c r="L40" s="579"/>
      <c r="M40" s="579"/>
    </row>
    <row r="46" spans="1:13" ht="15.75">
      <c r="A46" s="642" t="s">
        <v>2801</v>
      </c>
      <c r="B46" s="612"/>
      <c r="C46" s="612"/>
      <c r="D46" s="612"/>
      <c r="E46" s="612"/>
      <c r="F46" s="612"/>
      <c r="G46" s="612"/>
      <c r="H46" s="612"/>
      <c r="I46" s="612"/>
      <c r="J46" s="612"/>
      <c r="K46" s="612"/>
      <c r="L46" s="612"/>
      <c r="M46" s="579"/>
    </row>
    <row r="47" spans="1:13" ht="15.75">
      <c r="A47" s="642" t="str">
        <f>C8</f>
        <v>West Point Village Phase II</v>
      </c>
      <c r="B47" s="612"/>
      <c r="C47" s="612"/>
      <c r="D47" s="612"/>
      <c r="E47" s="612"/>
      <c r="F47" s="612"/>
      <c r="G47" s="612"/>
      <c r="H47" s="612"/>
      <c r="I47" s="612"/>
      <c r="J47" s="612"/>
      <c r="K47" s="612"/>
      <c r="L47" s="612"/>
      <c r="M47" s="579"/>
    </row>
    <row r="50" spans="1:14" s="579" customFormat="1" ht="15.75">
      <c r="A50" s="582" t="s">
        <v>2802</v>
      </c>
      <c r="C50" s="643" t="s">
        <v>2803</v>
      </c>
      <c r="E50" s="644" t="s">
        <v>3221</v>
      </c>
      <c r="F50" s="645">
        <v>0.1</v>
      </c>
      <c r="G50" s="644" t="s">
        <v>3222</v>
      </c>
      <c r="H50" s="645">
        <v>0.05</v>
      </c>
      <c r="I50" s="644" t="s">
        <v>3223</v>
      </c>
      <c r="J50" s="645">
        <v>0.03</v>
      </c>
      <c r="K50" s="4467" t="s">
        <v>2804</v>
      </c>
      <c r="L50" s="4468"/>
      <c r="M50" s="27"/>
      <c r="N50" s="27"/>
    </row>
    <row r="51" spans="1:14" s="579" customFormat="1" ht="15.75">
      <c r="A51" s="582"/>
      <c r="C51" s="643"/>
      <c r="E51" s="643"/>
      <c r="F51" s="646"/>
      <c r="G51" s="643"/>
      <c r="H51" s="646"/>
      <c r="I51" s="643"/>
      <c r="J51" s="646"/>
      <c r="K51" s="643"/>
      <c r="M51" s="27"/>
      <c r="N51" s="27"/>
    </row>
    <row r="52" spans="1:14" s="579" customFormat="1" ht="18.75" customHeight="1">
      <c r="B52" s="647" t="s">
        <v>2805</v>
      </c>
      <c r="C52" s="648">
        <f>'Part VII-Pro Forma'!B15</f>
        <v>615108</v>
      </c>
      <c r="D52" s="648"/>
      <c r="E52" s="648">
        <f>$C$52</f>
        <v>615108</v>
      </c>
      <c r="F52" s="648"/>
      <c r="G52" s="648">
        <f>$C$52</f>
        <v>615108</v>
      </c>
      <c r="H52" s="648"/>
      <c r="I52" s="648">
        <f>$C$52</f>
        <v>615108</v>
      </c>
      <c r="J52" s="648"/>
      <c r="K52" s="648">
        <f>$C$52</f>
        <v>615108</v>
      </c>
      <c r="L52" s="649"/>
      <c r="M52" s="27"/>
      <c r="N52" s="27"/>
    </row>
    <row r="53" spans="1:14" s="579" customFormat="1" ht="18.75" customHeight="1">
      <c r="B53" s="647" t="s">
        <v>2808</v>
      </c>
      <c r="C53" s="648">
        <f>'Part VII-Pro Forma'!B16</f>
        <v>12302.16</v>
      </c>
      <c r="D53" s="648"/>
      <c r="E53" s="648">
        <f>$C$53</f>
        <v>12302.16</v>
      </c>
      <c r="F53" s="648"/>
      <c r="G53" s="648">
        <f>$C$53</f>
        <v>12302.16</v>
      </c>
      <c r="H53" s="648"/>
      <c r="I53" s="648">
        <f>$C$53</f>
        <v>12302.16</v>
      </c>
      <c r="J53" s="648"/>
      <c r="K53" s="648">
        <f>$C$53</f>
        <v>12302.16</v>
      </c>
      <c r="L53" s="649"/>
      <c r="M53" s="27"/>
      <c r="N53" s="27"/>
    </row>
    <row r="54" spans="1:14" s="579" customFormat="1" ht="18.75" customHeight="1">
      <c r="B54" s="647" t="s">
        <v>2806</v>
      </c>
      <c r="C54" s="648">
        <f>'Part VII-Pro Forma'!B17</f>
        <v>-43918.711200000005</v>
      </c>
      <c r="D54" s="648"/>
      <c r="E54" s="648">
        <f>-($C$52+E53)*F50</f>
        <v>-62741.016000000003</v>
      </c>
      <c r="F54" s="650"/>
      <c r="G54" s="648">
        <f>-($C$52+G53)*0.07</f>
        <v>-43918.711200000005</v>
      </c>
      <c r="H54" s="648"/>
      <c r="I54" s="648">
        <f>-($C$52+I53)*0.07</f>
        <v>-43918.711200000005</v>
      </c>
      <c r="J54" s="648"/>
      <c r="K54" s="648">
        <f>-($C$52+K53)*L54</f>
        <v>-62741.016000000003</v>
      </c>
      <c r="L54" s="651">
        <v>0.1</v>
      </c>
      <c r="M54" s="27"/>
      <c r="N54" s="27"/>
    </row>
    <row r="55" spans="1:14" s="579" customFormat="1" ht="18.75" customHeight="1">
      <c r="B55" s="647" t="s">
        <v>2807</v>
      </c>
      <c r="C55" s="648">
        <f>'Part VII-Pro Forma'!B18</f>
        <v>0</v>
      </c>
      <c r="D55" s="648"/>
      <c r="E55" s="648">
        <f>$C$55</f>
        <v>0</v>
      </c>
      <c r="F55" s="650"/>
      <c r="G55" s="648">
        <f>$C$55</f>
        <v>0</v>
      </c>
      <c r="H55" s="648"/>
      <c r="I55" s="648">
        <f>$C$55</f>
        <v>0</v>
      </c>
      <c r="J55" s="648"/>
      <c r="K55" s="648">
        <f>$C$55</f>
        <v>0</v>
      </c>
      <c r="L55" s="652"/>
      <c r="M55" s="27"/>
      <c r="N55" s="27"/>
    </row>
    <row r="56" spans="1:14" s="579" customFormat="1" ht="18.75" customHeight="1">
      <c r="B56" s="653" t="s">
        <v>2809</v>
      </c>
      <c r="C56" s="654">
        <f>SUM(C52:C55)</f>
        <v>583491.44880000001</v>
      </c>
      <c r="D56" s="648"/>
      <c r="E56" s="654">
        <f>SUM(E52:E55)</f>
        <v>564669.14400000009</v>
      </c>
      <c r="F56" s="648"/>
      <c r="G56" s="654">
        <f>SUM(G52:G55)</f>
        <v>583491.44880000001</v>
      </c>
      <c r="H56" s="648"/>
      <c r="I56" s="654">
        <f>SUM(I52:I55)</f>
        <v>583491.44880000001</v>
      </c>
      <c r="J56" s="648"/>
      <c r="K56" s="654">
        <f>SUM(K52:K55)</f>
        <v>564669.14400000009</v>
      </c>
      <c r="L56" s="649"/>
      <c r="M56" s="27"/>
      <c r="N56" s="27"/>
    </row>
    <row r="57" spans="1:14" s="579" customFormat="1" ht="24" customHeight="1">
      <c r="B57" s="647"/>
      <c r="C57" s="655"/>
      <c r="D57" s="648"/>
      <c r="E57" s="655"/>
      <c r="F57" s="648"/>
      <c r="G57" s="655"/>
      <c r="H57" s="648"/>
      <c r="I57" s="655"/>
      <c r="J57" s="648"/>
      <c r="K57" s="655"/>
      <c r="L57" s="649"/>
      <c r="M57" s="27"/>
      <c r="N57" s="27"/>
    </row>
    <row r="58" spans="1:14" s="579" customFormat="1" ht="18.75" customHeight="1">
      <c r="B58" s="647" t="s">
        <v>2810</v>
      </c>
      <c r="C58" s="648">
        <f>+'Part VI-Revenues &amp; Expenses'!F224+'Part VI-Revenues &amp; Expenses'!F233+'Part VI-Revenues &amp; Expenses'!L220+'Part VI-Revenues &amp; Expenses'!L228</f>
        <v>169991</v>
      </c>
      <c r="D58" s="648"/>
      <c r="E58" s="648">
        <f>$C$58</f>
        <v>169991</v>
      </c>
      <c r="F58" s="648"/>
      <c r="G58" s="648">
        <f>$C$58</f>
        <v>169991</v>
      </c>
      <c r="H58" s="648"/>
      <c r="I58" s="648">
        <f>$C$58</f>
        <v>169991</v>
      </c>
      <c r="J58" s="648"/>
      <c r="K58" s="648">
        <f>$C$58</f>
        <v>169991</v>
      </c>
      <c r="L58" s="649"/>
      <c r="M58" s="27"/>
      <c r="N58" s="27"/>
    </row>
    <row r="59" spans="1:14" s="579" customFormat="1" ht="18.75" customHeight="1">
      <c r="B59" s="647" t="s">
        <v>2811</v>
      </c>
      <c r="C59" s="648">
        <f>+'Part VI-Revenues &amp; Expenses'!F244</f>
        <v>47600</v>
      </c>
      <c r="D59" s="648"/>
      <c r="E59" s="648">
        <f>$C$59</f>
        <v>47600</v>
      </c>
      <c r="F59" s="648"/>
      <c r="G59" s="648">
        <f>$C$59</f>
        <v>47600</v>
      </c>
      <c r="H59" s="648"/>
      <c r="I59" s="648">
        <f>$C$59</f>
        <v>47600</v>
      </c>
      <c r="J59" s="648"/>
      <c r="K59" s="648">
        <f>$C$59*(1+$L$59)</f>
        <v>49504</v>
      </c>
      <c r="L59" s="656">
        <v>0.04</v>
      </c>
      <c r="M59" s="27"/>
      <c r="N59" s="27"/>
    </row>
    <row r="60" spans="1:14" s="579" customFormat="1" ht="18.75" customHeight="1">
      <c r="B60" s="647" t="s">
        <v>1326</v>
      </c>
      <c r="C60" s="648">
        <f>+'Part VI-Revenues &amp; Expenses'!L237</f>
        <v>39100</v>
      </c>
      <c r="D60" s="648"/>
      <c r="E60" s="648">
        <f>$C$60</f>
        <v>39100</v>
      </c>
      <c r="F60" s="648"/>
      <c r="G60" s="648">
        <f>$C$60</f>
        <v>39100</v>
      </c>
      <c r="H60" s="648"/>
      <c r="I60" s="648">
        <f>$C$60*(1+$J$50)</f>
        <v>40273</v>
      </c>
      <c r="J60" s="650"/>
      <c r="K60" s="648">
        <f>$C$60*(1+$J$50)</f>
        <v>40273</v>
      </c>
      <c r="L60" s="651">
        <v>0.03</v>
      </c>
      <c r="M60" s="27"/>
      <c r="N60" s="27"/>
    </row>
    <row r="61" spans="1:14" s="579" customFormat="1" ht="18.75" customHeight="1">
      <c r="B61" s="647" t="s">
        <v>1327</v>
      </c>
      <c r="C61" s="648">
        <f>+'Part VI-Revenues &amp; Expenses'!L244</f>
        <v>100702</v>
      </c>
      <c r="D61" s="648"/>
      <c r="E61" s="648">
        <f>$C$61</f>
        <v>100702</v>
      </c>
      <c r="F61" s="648"/>
      <c r="G61" s="648">
        <f>$C$61*(1+H50)</f>
        <v>105737.1</v>
      </c>
      <c r="H61" s="650"/>
      <c r="I61" s="648">
        <f>$C$61</f>
        <v>100702</v>
      </c>
      <c r="J61" s="648"/>
      <c r="K61" s="648">
        <f>$C$61*(1+$L$61)</f>
        <v>105737.1</v>
      </c>
      <c r="L61" s="651">
        <v>0.05</v>
      </c>
      <c r="M61" s="27"/>
      <c r="N61" s="27"/>
    </row>
    <row r="62" spans="1:14" s="579" customFormat="1" ht="18.75" customHeight="1">
      <c r="B62" s="653" t="s">
        <v>2812</v>
      </c>
      <c r="C62" s="654">
        <f>SUM(C58:C61)</f>
        <v>357393</v>
      </c>
      <c r="D62" s="648"/>
      <c r="E62" s="654">
        <f>SUM(E58:E61)</f>
        <v>357393</v>
      </c>
      <c r="F62" s="648"/>
      <c r="G62" s="654">
        <f>SUM(G58:G61)</f>
        <v>362428.1</v>
      </c>
      <c r="H62" s="648"/>
      <c r="I62" s="654">
        <f>SUM(I58:I61)</f>
        <v>358566</v>
      </c>
      <c r="J62" s="648"/>
      <c r="K62" s="654">
        <f>SUM(K58:K61)</f>
        <v>365505.1</v>
      </c>
      <c r="L62" s="657"/>
      <c r="M62" s="27"/>
      <c r="N62" s="27"/>
    </row>
    <row r="63" spans="1:14" s="579" customFormat="1" ht="24" customHeight="1">
      <c r="B63" s="658"/>
      <c r="C63" s="655"/>
      <c r="D63" s="655"/>
      <c r="E63" s="655"/>
      <c r="F63" s="655"/>
      <c r="G63" s="655"/>
      <c r="H63" s="655"/>
      <c r="I63" s="655"/>
      <c r="J63" s="655"/>
      <c r="K63" s="655"/>
      <c r="L63" s="657"/>
      <c r="M63" s="27"/>
      <c r="N63" s="27"/>
    </row>
    <row r="64" spans="1:14" s="579" customFormat="1" ht="15.75">
      <c r="A64" s="27"/>
      <c r="B64" s="659" t="s">
        <v>2813</v>
      </c>
      <c r="C64" s="660">
        <f>C56-C62</f>
        <v>226098.44880000001</v>
      </c>
      <c r="D64" s="660"/>
      <c r="E64" s="660">
        <f>E56-E62</f>
        <v>207276.14400000009</v>
      </c>
      <c r="F64" s="660"/>
      <c r="G64" s="660">
        <f>G56-G62</f>
        <v>221063.34880000004</v>
      </c>
      <c r="H64" s="660"/>
      <c r="I64" s="660">
        <f>I56-I62</f>
        <v>224925.44880000001</v>
      </c>
      <c r="J64" s="660"/>
      <c r="K64" s="660">
        <f>K56-K62</f>
        <v>199164.04400000011</v>
      </c>
      <c r="L64" s="33"/>
      <c r="M64" s="27"/>
      <c r="N64" s="27"/>
    </row>
    <row r="65" spans="1:14" s="579" customFormat="1" ht="24" customHeight="1">
      <c r="A65" s="27"/>
      <c r="B65" s="658"/>
      <c r="C65" s="655"/>
      <c r="D65" s="655"/>
      <c r="E65" s="655"/>
      <c r="F65" s="655"/>
      <c r="G65" s="655"/>
      <c r="H65" s="655"/>
      <c r="I65" s="655"/>
      <c r="J65" s="655"/>
      <c r="K65" s="655"/>
      <c r="L65" s="33"/>
      <c r="M65" s="27"/>
      <c r="N65" s="27"/>
    </row>
    <row r="66" spans="1:14" s="579" customFormat="1" ht="15">
      <c r="A66" s="27"/>
      <c r="B66" s="658" t="s">
        <v>2814</v>
      </c>
      <c r="C66" s="655">
        <f>'Part VI-Revenues &amp; Expenses'!Q231</f>
        <v>18000</v>
      </c>
      <c r="D66" s="655"/>
      <c r="E66" s="655">
        <f>$C$66</f>
        <v>18000</v>
      </c>
      <c r="F66" s="655"/>
      <c r="G66" s="655">
        <f>$C$66</f>
        <v>18000</v>
      </c>
      <c r="H66" s="655"/>
      <c r="I66" s="655">
        <f>$C$66</f>
        <v>18000</v>
      </c>
      <c r="J66" s="655"/>
      <c r="K66" s="655">
        <f>$C$66</f>
        <v>18000</v>
      </c>
      <c r="L66" s="33"/>
      <c r="M66" s="27"/>
      <c r="N66" s="27"/>
    </row>
    <row r="67" spans="1:14" s="579" customFormat="1" ht="6" customHeight="1">
      <c r="A67" s="27"/>
      <c r="B67" s="658"/>
      <c r="C67" s="655"/>
      <c r="D67" s="655"/>
      <c r="E67" s="655"/>
      <c r="F67" s="655"/>
      <c r="G67" s="655"/>
      <c r="H67" s="655"/>
      <c r="I67" s="655"/>
      <c r="J67" s="655"/>
      <c r="K67" s="655"/>
      <c r="L67" s="33"/>
      <c r="M67" s="27"/>
      <c r="N67" s="27"/>
    </row>
    <row r="68" spans="1:14" s="579" customFormat="1" ht="15">
      <c r="A68" s="27"/>
      <c r="B68" s="658" t="s">
        <v>2815</v>
      </c>
      <c r="C68" s="655">
        <f>'Part VI-Revenues &amp; Expenses'!Q217</f>
        <v>35009</v>
      </c>
      <c r="D68" s="655"/>
      <c r="E68" s="655">
        <f>$C$68</f>
        <v>35009</v>
      </c>
      <c r="F68" s="655"/>
      <c r="G68" s="655">
        <f>$C$68</f>
        <v>35009</v>
      </c>
      <c r="H68" s="655"/>
      <c r="I68" s="655">
        <f>$C$68</f>
        <v>35009</v>
      </c>
      <c r="J68" s="655"/>
      <c r="K68" s="655">
        <f>$C$68</f>
        <v>35009</v>
      </c>
      <c r="L68" s="33"/>
      <c r="M68" s="27"/>
      <c r="N68" s="27"/>
    </row>
    <row r="69" spans="1:14" s="579" customFormat="1" ht="24" customHeight="1">
      <c r="A69" s="27"/>
      <c r="B69" s="661"/>
      <c r="C69" s="655"/>
      <c r="D69" s="648"/>
      <c r="E69" s="655"/>
      <c r="F69" s="648"/>
      <c r="G69" s="655"/>
      <c r="H69" s="648"/>
      <c r="I69" s="655"/>
      <c r="J69" s="648"/>
      <c r="K69" s="655"/>
      <c r="L69" s="33"/>
      <c r="M69" s="27"/>
      <c r="N69" s="27"/>
    </row>
    <row r="70" spans="1:14" s="579" customFormat="1" ht="15.75">
      <c r="A70" s="27"/>
      <c r="B70" s="662" t="s">
        <v>2816</v>
      </c>
      <c r="C70" s="663">
        <f>C64-C66-C68</f>
        <v>173089.44880000001</v>
      </c>
      <c r="D70" s="664"/>
      <c r="E70" s="663">
        <f>E64-E66-E68</f>
        <v>154267.14400000009</v>
      </c>
      <c r="F70" s="664"/>
      <c r="G70" s="663">
        <f>G64-G66-G68</f>
        <v>168054.34880000004</v>
      </c>
      <c r="H70" s="664"/>
      <c r="I70" s="663">
        <f>I64-I66-I68</f>
        <v>171916.44880000001</v>
      </c>
      <c r="J70" s="664"/>
      <c r="K70" s="663">
        <f>K64-K66-K68</f>
        <v>146155.04400000011</v>
      </c>
      <c r="L70" s="33"/>
      <c r="M70" s="27"/>
      <c r="N70" s="27"/>
    </row>
    <row r="71" spans="1:14" s="579" customFormat="1" ht="30" customHeight="1">
      <c r="A71" s="27"/>
      <c r="B71" s="647"/>
      <c r="C71" s="648"/>
      <c r="D71" s="648"/>
      <c r="E71" s="648"/>
      <c r="F71" s="648"/>
      <c r="G71" s="648"/>
      <c r="H71" s="648"/>
      <c r="I71" s="648"/>
      <c r="J71" s="648"/>
      <c r="K71" s="648"/>
      <c r="L71" s="33"/>
      <c r="M71" s="27"/>
      <c r="N71" s="27"/>
    </row>
    <row r="72" spans="1:14" s="582" customFormat="1" ht="18.75" customHeight="1">
      <c r="A72" s="243"/>
      <c r="B72" s="665" t="s">
        <v>2817</v>
      </c>
      <c r="C72" s="1072">
        <f>-C70/C75</f>
        <v>1.375948720176716</v>
      </c>
      <c r="D72" s="666"/>
      <c r="E72" s="1072">
        <f>-E70/E75</f>
        <v>1.2263236195141045</v>
      </c>
      <c r="F72" s="666"/>
      <c r="G72" s="1072">
        <f>-G70/G75</f>
        <v>1.3359229447814354</v>
      </c>
      <c r="H72" s="666"/>
      <c r="I72" s="1072">
        <f>-I70/I75</f>
        <v>1.3666241318788344</v>
      </c>
      <c r="J72" s="666"/>
      <c r="K72" s="1072">
        <f>-K70/K75</f>
        <v>1.1618376922069888</v>
      </c>
      <c r="L72" s="667"/>
      <c r="M72" s="243"/>
      <c r="N72" s="243"/>
    </row>
    <row r="73" spans="1:14" s="579" customFormat="1" ht="18.75" customHeight="1">
      <c r="A73" s="27"/>
      <c r="B73" s="647" t="s">
        <v>2818</v>
      </c>
      <c r="C73" s="1073">
        <f>C76/C62</f>
        <v>0.13232774599193528</v>
      </c>
      <c r="D73" s="668"/>
      <c r="E73" s="1073">
        <f>E76/E62</f>
        <v>7.9662179514696146E-2</v>
      </c>
      <c r="F73" s="668"/>
      <c r="G73" s="1073">
        <f>G76/G62</f>
        <v>0.11659667151442107</v>
      </c>
      <c r="H73" s="668"/>
      <c r="I73" s="1073">
        <f>I76/I62</f>
        <v>0.12862348946441024</v>
      </c>
      <c r="J73" s="668"/>
      <c r="K73" s="1073">
        <f>K76/K62</f>
        <v>5.569992135074401E-2</v>
      </c>
      <c r="L73" s="33"/>
      <c r="M73" s="27"/>
      <c r="N73" s="27"/>
    </row>
    <row r="74" spans="1:14" s="579" customFormat="1" ht="24" customHeight="1">
      <c r="A74" s="27"/>
      <c r="B74" s="647"/>
      <c r="C74" s="648"/>
      <c r="D74" s="648"/>
      <c r="E74" s="648"/>
      <c r="F74" s="648"/>
      <c r="G74" s="648"/>
      <c r="H74" s="648"/>
      <c r="I74" s="648"/>
      <c r="J74" s="648"/>
      <c r="K74" s="648"/>
      <c r="L74" s="33"/>
      <c r="M74" s="27"/>
      <c r="N74" s="27"/>
    </row>
    <row r="75" spans="1:14" s="579" customFormat="1" ht="18.75" customHeight="1">
      <c r="A75" s="27"/>
      <c r="B75" s="647" t="s">
        <v>2819</v>
      </c>
      <c r="C75" s="648">
        <f>+SUM('Part VII-Pro Forma'!B26:B29)</f>
        <v>-125796.43867670429</v>
      </c>
      <c r="D75" s="648"/>
      <c r="E75" s="648">
        <f>$C$75</f>
        <v>-125796.43867670429</v>
      </c>
      <c r="F75" s="648"/>
      <c r="G75" s="648">
        <f>$C$75</f>
        <v>-125796.43867670429</v>
      </c>
      <c r="H75" s="648"/>
      <c r="I75" s="648">
        <f>$C$75</f>
        <v>-125796.43867670429</v>
      </c>
      <c r="J75" s="648"/>
      <c r="K75" s="648">
        <f>$C$75</f>
        <v>-125796.43867670429</v>
      </c>
      <c r="L75" s="33"/>
      <c r="M75" s="27"/>
      <c r="N75" s="27"/>
    </row>
    <row r="76" spans="1:14" s="579" customFormat="1" ht="18.75" customHeight="1">
      <c r="A76" s="27"/>
      <c r="B76" s="647" t="s">
        <v>1122</v>
      </c>
      <c r="C76" s="648">
        <f>C70+C75</f>
        <v>47293.010123295724</v>
      </c>
      <c r="D76" s="648"/>
      <c r="E76" s="648">
        <f>E70+E75</f>
        <v>28470.705323295799</v>
      </c>
      <c r="F76" s="648"/>
      <c r="G76" s="648">
        <f>G70+G75</f>
        <v>42257.910123295747</v>
      </c>
      <c r="H76" s="648"/>
      <c r="I76" s="648">
        <f>I70+I75</f>
        <v>46120.010123295724</v>
      </c>
      <c r="J76" s="648"/>
      <c r="K76" s="648">
        <f>K70+K75</f>
        <v>20358.605323295822</v>
      </c>
      <c r="L76" s="33"/>
      <c r="M76" s="27"/>
      <c r="N76" s="27"/>
    </row>
    <row r="77" spans="1:14" s="579" customFormat="1" ht="15" hidden="1">
      <c r="A77" s="27"/>
      <c r="B77" s="647" t="s">
        <v>2820</v>
      </c>
      <c r="C77" s="669" t="e">
        <f>PV(intrate/12,30*12,C75/12,0)</f>
        <v>#NAME?</v>
      </c>
      <c r="D77" s="647"/>
      <c r="E77" s="669" t="e">
        <f>PV(intrate/12,30*12,E75/12,0)</f>
        <v>#NAME?</v>
      </c>
      <c r="F77" s="647"/>
      <c r="G77" s="669" t="e">
        <f>PV(intrate/12,30*12,G75/12,0)</f>
        <v>#NAME?</v>
      </c>
      <c r="H77" s="647"/>
      <c r="I77" s="669" t="e">
        <f>PV(intrate/12,30*12,I75/12,0)</f>
        <v>#NAME?</v>
      </c>
      <c r="J77" s="647"/>
      <c r="K77" s="669" t="e">
        <f>PV(intrate/12,30*12,K75/12,0)</f>
        <v>#NAME?</v>
      </c>
      <c r="L77" s="33"/>
      <c r="M77" s="27"/>
      <c r="N77" s="27"/>
    </row>
    <row r="78" spans="1:14" s="579" customFormat="1" ht="15" hidden="1">
      <c r="A78" s="27"/>
      <c r="B78" s="670" t="s">
        <v>2821</v>
      </c>
      <c r="C78" s="657"/>
      <c r="D78" s="657"/>
      <c r="E78" s="657"/>
      <c r="F78" s="657"/>
      <c r="G78" s="657"/>
      <c r="H78" s="657"/>
      <c r="I78" s="657"/>
      <c r="J78" s="657"/>
      <c r="K78" s="657"/>
      <c r="L78" s="33"/>
      <c r="M78" s="27"/>
      <c r="N78" s="27"/>
    </row>
    <row r="79" spans="1:14" s="579" customFormat="1" ht="15" hidden="1">
      <c r="A79" s="27"/>
      <c r="B79" s="657"/>
      <c r="C79" s="657"/>
      <c r="D79" s="657"/>
      <c r="E79" s="657"/>
      <c r="F79" s="657"/>
      <c r="G79" s="657"/>
      <c r="H79" s="657"/>
      <c r="I79" s="657"/>
      <c r="J79" s="657"/>
      <c r="K79" s="657"/>
      <c r="L79" s="33"/>
      <c r="M79" s="27"/>
      <c r="N79" s="27"/>
    </row>
    <row r="80" spans="1:14" s="579" customFormat="1" ht="15.75" hidden="1" thickBot="1">
      <c r="A80" s="27"/>
      <c r="B80" s="657" t="s">
        <v>2822</v>
      </c>
      <c r="C80" s="671" t="e">
        <f>MIN(C77,E77,G77,I77,K77)</f>
        <v>#NAME?</v>
      </c>
      <c r="D80" s="657"/>
      <c r="E80" s="657" t="s">
        <v>2823</v>
      </c>
      <c r="F80" s="672">
        <v>0.06</v>
      </c>
      <c r="G80" s="33"/>
      <c r="H80" s="33"/>
      <c r="I80" s="33"/>
      <c r="J80" s="33"/>
      <c r="K80" s="33"/>
      <c r="L80" s="33"/>
      <c r="M80" s="27"/>
      <c r="N80" s="27"/>
    </row>
    <row r="81" spans="1:14" s="579" customFormat="1" ht="15" hidden="1">
      <c r="A81" s="27"/>
      <c r="B81" s="657" t="s">
        <v>1652</v>
      </c>
      <c r="C81" s="671" t="e">
        <f>MAX(C77,E77,G77,I77,K77)</f>
        <v>#NAME?</v>
      </c>
      <c r="D81" s="657"/>
      <c r="E81" s="657"/>
      <c r="F81" s="657"/>
      <c r="G81" s="33"/>
      <c r="H81" s="33"/>
      <c r="I81" s="33"/>
      <c r="J81" s="33"/>
      <c r="K81" s="33"/>
      <c r="L81" s="33"/>
      <c r="M81" s="27"/>
      <c r="N81" s="27"/>
    </row>
    <row r="82" spans="1:14" s="579" customFormat="1" ht="15">
      <c r="A82" s="27"/>
      <c r="B82" s="657"/>
      <c r="C82" s="657"/>
      <c r="D82" s="657"/>
      <c r="E82" s="657" t="s">
        <v>232</v>
      </c>
      <c r="F82" s="657"/>
      <c r="G82" s="33"/>
      <c r="H82" s="33"/>
      <c r="I82" s="33"/>
      <c r="J82" s="33"/>
      <c r="K82" s="33"/>
      <c r="L82" s="33"/>
      <c r="M82" s="27"/>
      <c r="N82" s="27"/>
    </row>
    <row r="83" spans="1:14" s="579" customFormat="1" ht="15">
      <c r="A83" s="27"/>
      <c r="G83" s="27"/>
      <c r="H83" s="27"/>
      <c r="I83" s="27"/>
      <c r="J83" s="27"/>
      <c r="K83" s="27"/>
      <c r="L83" s="27"/>
      <c r="M83" s="27"/>
      <c r="N83" s="27"/>
    </row>
  </sheetData>
  <sheetProtection algorithmName="SHA-512" hashValue="uBkajStr4OUo+f7mF79Ul1oTNTcFQWyJSNXyrPMTlxr+O4o/zJ0IeMOF1QqeDqORMZCH5vE8qwgJs9CeqzXvhA==" saltValue="X4gMUtndSO5YrT4EQTWLa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E31" sqref="E31"/>
    </sheetView>
  </sheetViews>
  <sheetFormatPr defaultColWidth="9.140625" defaultRowHeight="12.75"/>
  <cols>
    <col min="1" max="1" width="24.85546875" style="1020" customWidth="1"/>
    <col min="2" max="2" width="13.85546875" style="1020" customWidth="1"/>
    <col min="3" max="11" width="10.5703125" style="1020" customWidth="1"/>
    <col min="12" max="12" width="9.85546875" style="1020" customWidth="1"/>
    <col min="13" max="21" width="10.5703125" style="1020" customWidth="1"/>
    <col min="22" max="16384" width="9.140625" style="1020"/>
  </cols>
  <sheetData>
    <row r="1" spans="1:7" ht="3" customHeight="1"/>
    <row r="2" spans="1:7">
      <c r="A2" s="1019" t="s">
        <v>3567</v>
      </c>
    </row>
    <row r="3" spans="1:7" ht="3" customHeight="1"/>
    <row r="4" spans="1:7">
      <c r="A4" s="1020" t="s">
        <v>3568</v>
      </c>
      <c r="B4" s="1021">
        <f>+'Part IV-A-Uses of Funds'!$G$146</f>
        <v>15238231.279999999</v>
      </c>
    </row>
    <row r="5" spans="1:7">
      <c r="A5" s="1020" t="s">
        <v>3599</v>
      </c>
      <c r="B5" s="1021">
        <f>+B18+B26+B38</f>
        <v>2192355.1663165581</v>
      </c>
    </row>
    <row r="6" spans="1:7">
      <c r="A6" s="1020" t="s">
        <v>3569</v>
      </c>
      <c r="B6" s="1022">
        <f>+B5-B4</f>
        <v>-13045876.113683442</v>
      </c>
    </row>
    <row r="7" spans="1:7">
      <c r="A7" s="1020" t="s">
        <v>3570</v>
      </c>
      <c r="B7" s="1023">
        <f>+B6/B4</f>
        <v>-0.85612797666393226</v>
      </c>
    </row>
    <row r="8" spans="1:7" ht="9" customHeight="1"/>
    <row r="9" spans="1:7">
      <c r="A9" s="1020" t="s">
        <v>3571</v>
      </c>
      <c r="B9" s="1021">
        <f>+B18+B26+B33</f>
        <v>2191068.1663165581</v>
      </c>
    </row>
    <row r="10" spans="1:7">
      <c r="A10" s="1020" t="s">
        <v>3569</v>
      </c>
      <c r="B10" s="1022">
        <f>+B9-B4</f>
        <v>-13047163.113683442</v>
      </c>
    </row>
    <row r="11" spans="1:7">
      <c r="A11" s="1020" t="s">
        <v>3570</v>
      </c>
      <c r="B11" s="1023">
        <f>+B10/B4</f>
        <v>-0.85621243528490676</v>
      </c>
    </row>
    <row r="12" spans="1:7" ht="24" customHeight="1"/>
    <row r="13" spans="1:7">
      <c r="A13" s="1019" t="s">
        <v>3572</v>
      </c>
      <c r="D13" s="1078" t="s">
        <v>3816</v>
      </c>
      <c r="E13" s="1079"/>
    </row>
    <row r="14" spans="1:7">
      <c r="A14" s="1020" t="s">
        <v>3573</v>
      </c>
      <c r="B14" s="1024">
        <f>+SUM('Part III-Sources of Funds'!L51:M52)</f>
        <v>12870000</v>
      </c>
      <c r="D14" s="1079"/>
      <c r="E14" s="1079"/>
    </row>
    <row r="15" spans="1:7">
      <c r="A15" s="1020" t="s">
        <v>3574</v>
      </c>
      <c r="B15" s="1025">
        <f>+'Part IV-A-Uses of Funds'!J186</f>
        <v>1322385.2279999997</v>
      </c>
      <c r="D15" s="1079" t="s">
        <v>1952</v>
      </c>
      <c r="G15" s="1080">
        <f>'Part IV-A-Uses of Funds'!J168</f>
        <v>16438316.763555557</v>
      </c>
    </row>
    <row r="16" spans="1:7" ht="12.75" customHeight="1">
      <c r="D16" s="1079" t="s">
        <v>3817</v>
      </c>
      <c r="G16" s="1084">
        <v>3.2800000000000003E-2</v>
      </c>
    </row>
    <row r="17" spans="1:7" ht="12.75" customHeight="1">
      <c r="A17" s="1020" t="s">
        <v>3575</v>
      </c>
      <c r="B17" s="1083">
        <v>1.45</v>
      </c>
      <c r="D17" s="1079" t="s">
        <v>3818</v>
      </c>
      <c r="G17" s="1085">
        <v>1.45</v>
      </c>
    </row>
    <row r="18" spans="1:7" ht="12.75" customHeight="1">
      <c r="A18" s="1020" t="s">
        <v>3576</v>
      </c>
      <c r="B18" s="1026">
        <f>+'Part IV-A-Uses of Funds'!J196*B17*10</f>
        <v>0</v>
      </c>
      <c r="D18" s="1079" t="s">
        <v>3819</v>
      </c>
      <c r="G18" s="1085">
        <v>3.28</v>
      </c>
    </row>
    <row r="19" spans="1:7" ht="12.75" customHeight="1">
      <c r="D19" s="1079" t="s">
        <v>3820</v>
      </c>
      <c r="G19" s="1081">
        <f>+G15*G16*G17*10</f>
        <v>7818063.4527470227</v>
      </c>
    </row>
    <row r="20" spans="1:7">
      <c r="A20" s="1020" t="s">
        <v>3577</v>
      </c>
      <c r="B20" s="1024">
        <f>+B18-B14</f>
        <v>-12870000</v>
      </c>
      <c r="D20" s="1079" t="s">
        <v>3821</v>
      </c>
      <c r="G20" s="1082">
        <f>+B14-G19</f>
        <v>5051936.5472529773</v>
      </c>
    </row>
    <row r="21" spans="1:7">
      <c r="A21" s="1020" t="s">
        <v>3578</v>
      </c>
      <c r="B21" s="1023">
        <f>+B20/B14</f>
        <v>-1</v>
      </c>
      <c r="D21" s="1079" t="s">
        <v>3822</v>
      </c>
      <c r="G21" s="1079" t="str">
        <f>+IF(G20&gt;(B28+B35),"No","Yes")</f>
        <v>No</v>
      </c>
    </row>
    <row r="22" spans="1:7" ht="24" customHeight="1"/>
    <row r="23" spans="1:7">
      <c r="A23" s="1019" t="s">
        <v>3579</v>
      </c>
    </row>
    <row r="24" spans="1:7">
      <c r="A24" s="1020" t="s">
        <v>3580</v>
      </c>
      <c r="B24" s="1027">
        <f>+SUM('Part III-Sources of Funds'!I40:J43)</f>
        <v>2013092</v>
      </c>
    </row>
    <row r="25" spans="1:7">
      <c r="A25" s="1020" t="s">
        <v>3581</v>
      </c>
      <c r="B25" s="1028">
        <f>IF('Part III-Sources of Funds'!E6="Yes","N/A",MAX(B46:P46))</f>
        <v>-12264.873421907381</v>
      </c>
    </row>
    <row r="26" spans="1:7">
      <c r="A26" s="1020" t="s">
        <v>3582</v>
      </c>
      <c r="B26" s="1018">
        <f>IFERROR(PV('Part III-Sources of Funds'!K40,'Part III-Sources of Funds'!L40,B25+B45),B24)</f>
        <v>2191068.1663165581</v>
      </c>
    </row>
    <row r="27" spans="1:7" ht="9" customHeight="1">
      <c r="B27" s="1018"/>
    </row>
    <row r="28" spans="1:7">
      <c r="A28" s="1020" t="s">
        <v>3583</v>
      </c>
      <c r="B28" s="1029">
        <f>+B26-B24</f>
        <v>177976.16631655814</v>
      </c>
      <c r="C28" s="1030"/>
    </row>
    <row r="29" spans="1:7">
      <c r="A29" s="1020" t="s">
        <v>3578</v>
      </c>
      <c r="B29" s="1031">
        <f>+B28/B24</f>
        <v>8.8409355517064372E-2</v>
      </c>
    </row>
    <row r="30" spans="1:7" ht="24" customHeight="1"/>
    <row r="31" spans="1:7">
      <c r="A31" s="1019" t="s">
        <v>3508</v>
      </c>
    </row>
    <row r="32" spans="1:7">
      <c r="A32" s="1020" t="s">
        <v>3584</v>
      </c>
      <c r="B32" s="1032">
        <f>+'Part III-Sources of Funds'!I45</f>
        <v>355139.27999999933</v>
      </c>
    </row>
    <row r="33" spans="1:11">
      <c r="A33" s="1020" t="s">
        <v>3585</v>
      </c>
      <c r="B33" s="1018"/>
    </row>
    <row r="34" spans="1:11" ht="9" customHeight="1">
      <c r="B34" s="1018"/>
    </row>
    <row r="35" spans="1:11">
      <c r="A35" s="1020" t="s">
        <v>3586</v>
      </c>
      <c r="B35" s="1032">
        <f>+B33-B32</f>
        <v>-355139.27999999933</v>
      </c>
    </row>
    <row r="36" spans="1:11">
      <c r="A36" s="1020" t="s">
        <v>3587</v>
      </c>
      <c r="B36" s="1017">
        <f>+B35/B32</f>
        <v>-1</v>
      </c>
    </row>
    <row r="37" spans="1:11" ht="24" customHeight="1">
      <c r="B37" s="1018"/>
    </row>
    <row r="38" spans="1:11">
      <c r="A38" s="1019" t="s">
        <v>3588</v>
      </c>
      <c r="B38" s="1018">
        <f>+SUM('Part III-Sources of Funds'!I44,'Part III-Sources of Funds'!I49,'Part III-Sources of Funds'!I50,'Part III-Sources of Funds'!I53:I59)</f>
        <v>1287</v>
      </c>
    </row>
    <row r="39" spans="1:11">
      <c r="B39" s="1018"/>
    </row>
    <row r="40" spans="1:11">
      <c r="B40" s="1018"/>
    </row>
    <row r="41" spans="1:11">
      <c r="B41" s="1018"/>
    </row>
    <row r="42" spans="1:11">
      <c r="A42" s="1019" t="s">
        <v>3589</v>
      </c>
      <c r="B42" s="1018"/>
    </row>
    <row r="43" spans="1:11">
      <c r="A43" s="1020" t="s">
        <v>2367</v>
      </c>
      <c r="B43" s="1086">
        <v>1</v>
      </c>
      <c r="C43" s="1086">
        <v>2</v>
      </c>
      <c r="D43" s="1086">
        <v>3</v>
      </c>
      <c r="E43" s="1086">
        <v>4</v>
      </c>
      <c r="F43" s="1086">
        <v>5</v>
      </c>
      <c r="G43" s="1086">
        <v>6</v>
      </c>
      <c r="H43" s="1086">
        <v>7</v>
      </c>
      <c r="I43" s="1086">
        <v>8</v>
      </c>
      <c r="J43" s="1086">
        <v>9</v>
      </c>
      <c r="K43" s="1086">
        <v>10</v>
      </c>
    </row>
    <row r="44" spans="1:11">
      <c r="A44" s="1020" t="s">
        <v>1157</v>
      </c>
      <c r="B44" s="1021">
        <f>+'Part VII-Pro Forma'!B25</f>
        <v>173079.44880000001</v>
      </c>
      <c r="C44" s="1021">
        <f>+'Part VII-Pro Forma'!C25</f>
        <v>172786.48777599994</v>
      </c>
      <c r="D44" s="1021">
        <f>+'Part VII-Pro Forma'!D25</f>
        <v>172376.06963152002</v>
      </c>
      <c r="E44" s="1021">
        <f>+'Part VII-Pro Forma'!E25</f>
        <v>171841.72668715037</v>
      </c>
      <c r="F44" s="1021">
        <f>+'Part VII-Pro Forma'!F25</f>
        <v>171176.78055378346</v>
      </c>
      <c r="G44" s="1021">
        <f>+'Part VII-Pro Forma'!G25</f>
        <v>170375.33487773579</v>
      </c>
      <c r="H44" s="1021">
        <f>+'Part VII-Pro Forma'!H25</f>
        <v>169431.26784955361</v>
      </c>
      <c r="I44" s="1021">
        <f>+'Part VII-Pro Forma'!I25</f>
        <v>168337.22446903537</v>
      </c>
      <c r="J44" s="1021">
        <f>+'Part VII-Pro Forma'!J25</f>
        <v>167087.60855878179</v>
      </c>
      <c r="K44" s="1021">
        <f>+'Part VII-Pro Forma'!K25</f>
        <v>165673.574518334</v>
      </c>
    </row>
    <row r="45" spans="1:11">
      <c r="A45" s="1020" t="s">
        <v>3590</v>
      </c>
      <c r="B45" s="1021">
        <f>SUM('Part VII-Pro Forma'!B26:B29)</f>
        <v>-125796.43867670429</v>
      </c>
      <c r="C45" s="1021">
        <f>SUM('Part VII-Pro Forma'!C26:C29)</f>
        <v>-125796.43867670429</v>
      </c>
      <c r="D45" s="1021">
        <f>SUM('Part VII-Pro Forma'!D26:D29)</f>
        <v>-125796.43867670429</v>
      </c>
      <c r="E45" s="1021">
        <f>SUM('Part VII-Pro Forma'!E26:E29)</f>
        <v>-125796.43867670429</v>
      </c>
      <c r="F45" s="1021">
        <f>SUM('Part VII-Pro Forma'!F26:F29)</f>
        <v>-125796.43867670429</v>
      </c>
      <c r="G45" s="1021">
        <f>SUM('Part VII-Pro Forma'!G26:G29)</f>
        <v>-125796.43867670429</v>
      </c>
      <c r="H45" s="1021">
        <f>SUM('Part VII-Pro Forma'!H26:H29)</f>
        <v>-125796.43867670429</v>
      </c>
      <c r="I45" s="1021">
        <f>SUM('Part VII-Pro Forma'!I26:I29)</f>
        <v>-125796.43867670429</v>
      </c>
      <c r="J45" s="1021">
        <f>SUM('Part VII-Pro Forma'!J26:J29)</f>
        <v>-125796.43867670429</v>
      </c>
      <c r="K45" s="1021">
        <f>SUM('Part VII-Pro Forma'!K26:K29)</f>
        <v>-125796.43867670429</v>
      </c>
    </row>
    <row r="46" spans="1:11">
      <c r="A46" s="1020" t="s">
        <v>3591</v>
      </c>
      <c r="B46" s="1022">
        <f t="shared" ref="B46:K46" si="0">-B44/B48-B45</f>
        <v>-18436.435323295722</v>
      </c>
      <c r="C46" s="1022">
        <f t="shared" si="0"/>
        <v>-18192.301136629001</v>
      </c>
      <c r="D46" s="1022">
        <f t="shared" si="0"/>
        <v>-17850.28601622906</v>
      </c>
      <c r="E46" s="1022">
        <f t="shared" si="0"/>
        <v>-17405.00022925435</v>
      </c>
      <c r="F46" s="1022">
        <f t="shared" si="0"/>
        <v>-16850.878451448618</v>
      </c>
      <c r="G46" s="1022">
        <f t="shared" si="0"/>
        <v>-16183.007054742207</v>
      </c>
      <c r="H46" s="1022">
        <f t="shared" si="0"/>
        <v>-15396.284531257072</v>
      </c>
      <c r="I46" s="1022">
        <f t="shared" si="0"/>
        <v>-14484.581714158514</v>
      </c>
      <c r="J46" s="1022">
        <f t="shared" si="0"/>
        <v>-13443.235122280559</v>
      </c>
      <c r="K46" s="1022">
        <f t="shared" si="0"/>
        <v>-12264.873421907381</v>
      </c>
    </row>
    <row r="48" spans="1:11">
      <c r="A48" s="1020" t="s">
        <v>3592</v>
      </c>
      <c r="B48" s="1020">
        <f>IF(B82="NC",1.2,1.25)</f>
        <v>1.2</v>
      </c>
      <c r="C48" s="1020">
        <f>+B48</f>
        <v>1.2</v>
      </c>
      <c r="D48" s="1020">
        <f t="shared" ref="D48:K48" si="1">+C48</f>
        <v>1.2</v>
      </c>
      <c r="E48" s="1020">
        <f t="shared" si="1"/>
        <v>1.2</v>
      </c>
      <c r="F48" s="1020">
        <f t="shared" si="1"/>
        <v>1.2</v>
      </c>
      <c r="G48" s="1020">
        <f t="shared" si="1"/>
        <v>1.2</v>
      </c>
      <c r="H48" s="1020">
        <f t="shared" si="1"/>
        <v>1.2</v>
      </c>
      <c r="I48" s="1020">
        <f t="shared" si="1"/>
        <v>1.2</v>
      </c>
      <c r="J48" s="1020">
        <f t="shared" si="1"/>
        <v>1.2</v>
      </c>
      <c r="K48" s="1020">
        <f t="shared" si="1"/>
        <v>1.2</v>
      </c>
    </row>
    <row r="50" spans="1:17">
      <c r="A50" s="1019" t="s">
        <v>1122</v>
      </c>
    </row>
    <row r="51" spans="1:17">
      <c r="A51" s="1020" t="s">
        <v>1157</v>
      </c>
      <c r="B51" s="1022">
        <f>+B44</f>
        <v>173079.44880000001</v>
      </c>
      <c r="C51" s="1022">
        <f t="shared" ref="C51:K51" si="2">+C44</f>
        <v>172786.48777599994</v>
      </c>
      <c r="D51" s="1022">
        <f t="shared" si="2"/>
        <v>172376.06963152002</v>
      </c>
      <c r="E51" s="1022">
        <f t="shared" si="2"/>
        <v>171841.72668715037</v>
      </c>
      <c r="F51" s="1022">
        <f t="shared" si="2"/>
        <v>171176.78055378346</v>
      </c>
      <c r="G51" s="1022">
        <f t="shared" si="2"/>
        <v>170375.33487773579</v>
      </c>
      <c r="H51" s="1022">
        <f t="shared" si="2"/>
        <v>169431.26784955361</v>
      </c>
      <c r="I51" s="1022">
        <f t="shared" si="2"/>
        <v>168337.22446903537</v>
      </c>
      <c r="J51" s="1022">
        <f t="shared" si="2"/>
        <v>167087.60855878179</v>
      </c>
      <c r="K51" s="1022">
        <f t="shared" si="2"/>
        <v>165673.574518334</v>
      </c>
    </row>
    <row r="52" spans="1:17">
      <c r="A52" s="1020" t="s">
        <v>3593</v>
      </c>
      <c r="B52" s="1022">
        <f>IF($B$25="N/A",B45,B45+$B$25)</f>
        <v>-138061.31209861167</v>
      </c>
      <c r="C52" s="1022">
        <f t="shared" ref="C52:K52" si="3">IF($B$25="N/A",C45,C45+$B$25)</f>
        <v>-138061.31209861167</v>
      </c>
      <c r="D52" s="1022">
        <f t="shared" si="3"/>
        <v>-138061.31209861167</v>
      </c>
      <c r="E52" s="1022">
        <f t="shared" si="3"/>
        <v>-138061.31209861167</v>
      </c>
      <c r="F52" s="1022">
        <f t="shared" si="3"/>
        <v>-138061.31209861167</v>
      </c>
      <c r="G52" s="1022">
        <f t="shared" si="3"/>
        <v>-138061.31209861167</v>
      </c>
      <c r="H52" s="1022">
        <f t="shared" si="3"/>
        <v>-138061.31209861167</v>
      </c>
      <c r="I52" s="1022">
        <f t="shared" si="3"/>
        <v>-138061.31209861167</v>
      </c>
      <c r="J52" s="1022">
        <f t="shared" si="3"/>
        <v>-138061.31209861167</v>
      </c>
      <c r="K52" s="1022">
        <f t="shared" si="3"/>
        <v>-138061.31209861167</v>
      </c>
    </row>
    <row r="53" spans="1:17">
      <c r="A53" s="1020" t="s">
        <v>3594</v>
      </c>
      <c r="B53" s="1021">
        <f>+'Part VII-Pro Forma'!B31</f>
        <v>0</v>
      </c>
      <c r="C53" s="1021">
        <f>+'Part VII-Pro Forma'!C31</f>
        <v>0</v>
      </c>
      <c r="D53" s="1021">
        <f>+'Part VII-Pro Forma'!D31</f>
        <v>0</v>
      </c>
      <c r="E53" s="1021">
        <f>+'Part VII-Pro Forma'!E31</f>
        <v>0</v>
      </c>
      <c r="F53" s="1021">
        <f>+'Part VII-Pro Forma'!F31</f>
        <v>0</v>
      </c>
      <c r="G53" s="1021">
        <f>+'Part VII-Pro Forma'!G31</f>
        <v>0</v>
      </c>
      <c r="H53" s="1021">
        <f>+'Part VII-Pro Forma'!H31</f>
        <v>0</v>
      </c>
      <c r="I53" s="1021">
        <f>+'Part VII-Pro Forma'!I31</f>
        <v>0</v>
      </c>
      <c r="J53" s="1021">
        <f>+'Part VII-Pro Forma'!J31</f>
        <v>0</v>
      </c>
      <c r="K53" s="1021">
        <f>+'Part VII-Pro Forma'!K31</f>
        <v>0</v>
      </c>
    </row>
    <row r="54" spans="1:17">
      <c r="A54" s="1020" t="s">
        <v>3595</v>
      </c>
      <c r="B54" s="1022">
        <f>+SUM(B51:B53)</f>
        <v>35018.136701388343</v>
      </c>
      <c r="C54" s="1022">
        <f t="shared" ref="C54:K54" si="4">+SUM(C51:C53)</f>
        <v>34725.175677388266</v>
      </c>
      <c r="D54" s="1022">
        <f t="shared" si="4"/>
        <v>34314.757532908348</v>
      </c>
      <c r="E54" s="1022">
        <f t="shared" si="4"/>
        <v>33780.414588538697</v>
      </c>
      <c r="F54" s="1022">
        <f t="shared" si="4"/>
        <v>33115.468455171795</v>
      </c>
      <c r="G54" s="1022">
        <f t="shared" si="4"/>
        <v>32314.02277912412</v>
      </c>
      <c r="H54" s="1022">
        <f t="shared" si="4"/>
        <v>31369.955750941939</v>
      </c>
      <c r="I54" s="1022">
        <f t="shared" si="4"/>
        <v>30275.912370423699</v>
      </c>
      <c r="J54" s="1022">
        <f t="shared" si="4"/>
        <v>29026.296460170124</v>
      </c>
      <c r="K54" s="1022">
        <f t="shared" si="4"/>
        <v>27612.262419722334</v>
      </c>
    </row>
    <row r="55" spans="1:17">
      <c r="A55" s="1020" t="s">
        <v>3508</v>
      </c>
      <c r="B55" s="1022">
        <f>-B54</f>
        <v>-35018.136701388343</v>
      </c>
      <c r="C55" s="1022">
        <f t="shared" ref="C55:K55" si="5">-C54</f>
        <v>-34725.175677388266</v>
      </c>
      <c r="D55" s="1022">
        <f t="shared" si="5"/>
        <v>-34314.757532908348</v>
      </c>
      <c r="E55" s="1022">
        <f t="shared" si="5"/>
        <v>-33780.414588538697</v>
      </c>
      <c r="F55" s="1022">
        <f t="shared" si="5"/>
        <v>-33115.468455171795</v>
      </c>
      <c r="G55" s="1022">
        <f t="shared" si="5"/>
        <v>-32314.02277912412</v>
      </c>
      <c r="H55" s="1022">
        <f t="shared" si="5"/>
        <v>-31369.955750941939</v>
      </c>
      <c r="I55" s="1022">
        <f t="shared" si="5"/>
        <v>-30275.912370423699</v>
      </c>
      <c r="J55" s="1022">
        <f t="shared" si="5"/>
        <v>-29026.296460170124</v>
      </c>
      <c r="K55" s="1022">
        <f t="shared" si="5"/>
        <v>-27612.262419722334</v>
      </c>
    </row>
    <row r="56" spans="1:17">
      <c r="A56" s="1020" t="s">
        <v>3596</v>
      </c>
      <c r="B56" s="1022">
        <f>+B54+B55</f>
        <v>0</v>
      </c>
      <c r="C56" s="1022">
        <f t="shared" ref="C56:K56" si="6">+C54+C55</f>
        <v>0</v>
      </c>
      <c r="D56" s="1022">
        <f t="shared" si="6"/>
        <v>0</v>
      </c>
      <c r="E56" s="1022">
        <f t="shared" si="6"/>
        <v>0</v>
      </c>
      <c r="F56" s="1022">
        <f t="shared" si="6"/>
        <v>0</v>
      </c>
      <c r="G56" s="1022">
        <f t="shared" si="6"/>
        <v>0</v>
      </c>
      <c r="H56" s="1022">
        <f t="shared" si="6"/>
        <v>0</v>
      </c>
      <c r="I56" s="1022">
        <f t="shared" si="6"/>
        <v>0</v>
      </c>
      <c r="J56" s="1022">
        <f t="shared" si="6"/>
        <v>0</v>
      </c>
      <c r="K56" s="1022">
        <f t="shared" si="6"/>
        <v>0</v>
      </c>
    </row>
    <row r="58" spans="1:17">
      <c r="A58" s="1020" t="s">
        <v>3597</v>
      </c>
      <c r="B58" s="1021">
        <f>IF($B$26="","",-FV('Part III-Sources of Funds'!$K$40/12,12,B52/12,B26))</f>
        <v>2167475.6062736898</v>
      </c>
      <c r="C58" s="1021">
        <f>IF($B$26="","",-FV('Part III-Sources of Funds'!$K$40/12,12,C52/12,B58))</f>
        <v>2142614.1938389847</v>
      </c>
      <c r="D58" s="1021">
        <f>IF($B$26="","",-FV('Part III-Sources of Funds'!$K$40/12,12,D52/12,C58))</f>
        <v>2116415.6877368316</v>
      </c>
      <c r="E58" s="1021">
        <f>IF($B$26="","",-FV('Part III-Sources of Funds'!$K$40/12,12,E52/12,D58))</f>
        <v>2088808.1765470637</v>
      </c>
      <c r="F58" s="1021">
        <f>IF($B$26="","",-FV('Part III-Sources of Funds'!$K$40/12,12,F52/12,E58))</f>
        <v>2059715.8813176604</v>
      </c>
      <c r="G58" s="1021">
        <f>IF($B$26="","",-FV('Part III-Sources of Funds'!$K$40/12,12,G52/12,F58))</f>
        <v>2029058.9475615879</v>
      </c>
      <c r="H58" s="1021">
        <f>IF($B$26="","",-FV('Part III-Sources of Funds'!$K$40/12,12,H52/12,G58))</f>
        <v>1996753.2260668345</v>
      </c>
      <c r="I58" s="1021">
        <f>IF($B$26="","",-FV('Part III-Sources of Funds'!$K$40/12,12,I52/12,H58))</f>
        <v>1962710.0419180014</v>
      </c>
      <c r="J58" s="1021">
        <f>IF($B$26="","",-FV('Part III-Sources of Funds'!$K$40/12,12,J52/12,I58))</f>
        <v>1926835.9510954337</v>
      </c>
      <c r="K58" s="1021">
        <f>IF($B$26="","",-FV('Part III-Sources of Funds'!$K$40/12,12,K52/12,J58))</f>
        <v>1889032.4839837961</v>
      </c>
    </row>
    <row r="59" spans="1:17">
      <c r="A59" s="1020" t="s">
        <v>3509</v>
      </c>
      <c r="B59" s="1021" t="str">
        <f>IF(B33="","",-FV('Part III-Sources of Funds'!$K$45/12,12,B55/12,B33))</f>
        <v/>
      </c>
      <c r="C59" s="1021" t="str">
        <f>IF($B$33="","",-FV('Part III-Sources of Funds'!$K$45/12,12,C55/12,B59))</f>
        <v/>
      </c>
      <c r="D59" s="1021" t="str">
        <f>IF($B$33="","",-FV('Part III-Sources of Funds'!$K$45/12,12,D55/12,C59))</f>
        <v/>
      </c>
      <c r="E59" s="1021" t="str">
        <f>IF($B$33="","",-FV('Part III-Sources of Funds'!$K$45/12,12,E55/12,D59))</f>
        <v/>
      </c>
      <c r="F59" s="1021" t="str">
        <f>IF($B$33="","",-FV('Part III-Sources of Funds'!$K$45/12,12,F55/12,E59))</f>
        <v/>
      </c>
      <c r="G59" s="1021" t="str">
        <f>IF($B$33="","",-FV('Part III-Sources of Funds'!$K$45/12,12,G55/12,F59))</f>
        <v/>
      </c>
      <c r="H59" s="1021" t="str">
        <f>IF($B$33="","",-FV('Part III-Sources of Funds'!$K$45/12,12,H55/12,G59))</f>
        <v/>
      </c>
      <c r="I59" s="1021" t="str">
        <f>IF($B$33="","",-FV('Part III-Sources of Funds'!$K$45/12,12,I55/12,H59))</f>
        <v/>
      </c>
      <c r="J59" s="1021" t="str">
        <f>IF($B$33="","",-FV('Part III-Sources of Funds'!$K$45/12,12,J55/12,I59))</f>
        <v/>
      </c>
      <c r="K59" s="1021" t="str">
        <f>IF($B$33="","",-FV('Part III-Sources of Funds'!$K$45/12,12,K55/12,J59))</f>
        <v/>
      </c>
      <c r="L59" s="1021" t="str">
        <f>IF($B$33="","",-FV('Part III-Sources of Funds'!$K$45/12,12,B75/12,K59))</f>
        <v/>
      </c>
      <c r="M59" s="1021" t="str">
        <f>IF($B$33="","",-FV('Part III-Sources of Funds'!$K$45/12,12,C75/12,L59))</f>
        <v/>
      </c>
      <c r="N59" s="1021" t="str">
        <f>IF($B$33="","",-FV('Part III-Sources of Funds'!$K$45/12,12,D75/12,M59))</f>
        <v/>
      </c>
      <c r="O59" s="1021" t="str">
        <f>IF($B$33="","",-FV('Part III-Sources of Funds'!$K$45/12,12,E75/12,N59))</f>
        <v/>
      </c>
      <c r="P59" s="1021" t="str">
        <f>IF($B$33="","",-FV('Part III-Sources of Funds'!$K$45/12,12,F75/12,O59))</f>
        <v/>
      </c>
      <c r="Q59" s="1021"/>
    </row>
    <row r="60" spans="1:17" ht="18.75" customHeight="1"/>
    <row r="61" spans="1:17" ht="18.75" customHeight="1"/>
    <row r="62" spans="1:17">
      <c r="A62" s="1019" t="s">
        <v>3589</v>
      </c>
    </row>
    <row r="63" spans="1:17">
      <c r="A63" s="1020" t="s">
        <v>2367</v>
      </c>
      <c r="B63" s="1086">
        <v>11</v>
      </c>
      <c r="C63" s="1086">
        <v>12</v>
      </c>
      <c r="D63" s="1086">
        <v>13</v>
      </c>
      <c r="E63" s="1086">
        <v>14</v>
      </c>
      <c r="F63" s="1086">
        <v>15</v>
      </c>
      <c r="G63" s="1086">
        <v>16</v>
      </c>
      <c r="H63" s="1086">
        <v>17</v>
      </c>
      <c r="I63" s="1086">
        <v>18</v>
      </c>
      <c r="J63" s="1086">
        <v>19</v>
      </c>
      <c r="K63" s="1086">
        <v>20</v>
      </c>
    </row>
    <row r="64" spans="1:17">
      <c r="A64" s="1020" t="s">
        <v>1157</v>
      </c>
      <c r="B64" s="1021">
        <f>+'Part VII-Pro Forma'!B57</f>
        <v>164090.01881072851</v>
      </c>
      <c r="C64" s="1021">
        <f>+'Part VII-Pro Forma'!C57</f>
        <v>162326.57117303176</v>
      </c>
      <c r="D64" s="1021">
        <f>+'Part VII-Pro Forma'!D57</f>
        <v>160377.58554216399</v>
      </c>
      <c r="E64" s="1021">
        <f>+'Part VII-Pro Forma'!E57</f>
        <v>158232.13068704872</v>
      </c>
      <c r="F64" s="1021">
        <f>+'Part VII-Pro Forma'!F57</f>
        <v>155884.98053785248</v>
      </c>
      <c r="G64" s="1021">
        <f>+'Part VII-Pro Forma'!G57</f>
        <v>153324.6042027839</v>
      </c>
      <c r="H64" s="1021">
        <f>+'Part VII-Pro Forma'!H57</f>
        <v>150542.15566263971</v>
      </c>
      <c r="I64" s="1021">
        <f>+'Part VII-Pro Forma'!I57</f>
        <v>147529.46313296651</v>
      </c>
      <c r="J64" s="1021">
        <f>+'Part VII-Pro Forma'!J57</f>
        <v>144276.01808341188</v>
      </c>
      <c r="K64" s="1021">
        <f>+'Part VII-Pro Forma'!K57</f>
        <v>140770.96390349968</v>
      </c>
    </row>
    <row r="65" spans="1:11">
      <c r="A65" s="1020" t="s">
        <v>3590</v>
      </c>
      <c r="B65" s="1021">
        <f>SUM('Part VII-Pro Forma'!B58:B61)</f>
        <v>-125796.43867670429</v>
      </c>
      <c r="C65" s="1021">
        <f>SUM('Part VII-Pro Forma'!C58:C61)</f>
        <v>-125796.43867670429</v>
      </c>
      <c r="D65" s="1021">
        <f>SUM('Part VII-Pro Forma'!D58:D61)</f>
        <v>-125796.43867670429</v>
      </c>
      <c r="E65" s="1021">
        <f>SUM('Part VII-Pro Forma'!E58:E61)</f>
        <v>-125796.43867670429</v>
      </c>
      <c r="F65" s="1021">
        <f>SUM('Part VII-Pro Forma'!F58:F61)</f>
        <v>-125796.43867670429</v>
      </c>
      <c r="G65" s="1021">
        <f>SUM('Part VII-Pro Forma'!G58:G61)</f>
        <v>-125796.43867670429</v>
      </c>
      <c r="H65" s="1021">
        <f>SUM('Part VII-Pro Forma'!H58:H61)</f>
        <v>-125796.43867670429</v>
      </c>
      <c r="I65" s="1021">
        <f>SUM('Part VII-Pro Forma'!I58:I61)</f>
        <v>-125796.43867670429</v>
      </c>
      <c r="J65" s="1021">
        <f>SUM('Part VII-Pro Forma'!J58:J61)</f>
        <v>-125796.43867670429</v>
      </c>
      <c r="K65" s="1021">
        <f>SUM('Part VII-Pro Forma'!K58:K61)</f>
        <v>-125796.43867670429</v>
      </c>
    </row>
    <row r="66" spans="1:11">
      <c r="A66" s="1020" t="s">
        <v>3591</v>
      </c>
      <c r="B66" s="1022">
        <f t="shared" ref="B66:K66" si="7">-B64/B68-B65</f>
        <v>-10945.243665569476</v>
      </c>
      <c r="C66" s="1022">
        <f t="shared" si="7"/>
        <v>-9475.703967488851</v>
      </c>
      <c r="D66" s="1022">
        <f t="shared" si="7"/>
        <v>-7851.5492750990525</v>
      </c>
      <c r="E66" s="1022">
        <f t="shared" si="7"/>
        <v>-6063.670229169642</v>
      </c>
      <c r="F66" s="1022">
        <f t="shared" si="7"/>
        <v>-4107.7117715061177</v>
      </c>
      <c r="G66" s="1022">
        <f t="shared" si="7"/>
        <v>-1974.0648256156273</v>
      </c>
      <c r="H66" s="1022">
        <f t="shared" si="7"/>
        <v>344.64229117119976</v>
      </c>
      <c r="I66" s="1022">
        <f t="shared" si="7"/>
        <v>2855.2193992321845</v>
      </c>
      <c r="J66" s="1022">
        <f t="shared" si="7"/>
        <v>5566.4236071943888</v>
      </c>
      <c r="K66" s="1022">
        <f t="shared" si="7"/>
        <v>8487.3020904545556</v>
      </c>
    </row>
    <row r="68" spans="1:11">
      <c r="A68" s="1020" t="s">
        <v>3592</v>
      </c>
      <c r="B68" s="1020">
        <f>+K48</f>
        <v>1.2</v>
      </c>
      <c r="C68" s="1020">
        <f t="shared" ref="C68:K68" si="8">+B68</f>
        <v>1.2</v>
      </c>
      <c r="D68" s="1020">
        <f t="shared" si="8"/>
        <v>1.2</v>
      </c>
      <c r="E68" s="1020">
        <f t="shared" si="8"/>
        <v>1.2</v>
      </c>
      <c r="F68" s="1020">
        <f t="shared" si="8"/>
        <v>1.2</v>
      </c>
      <c r="G68" s="1020">
        <f t="shared" si="8"/>
        <v>1.2</v>
      </c>
      <c r="H68" s="1020">
        <f t="shared" si="8"/>
        <v>1.2</v>
      </c>
      <c r="I68" s="1020">
        <f t="shared" si="8"/>
        <v>1.2</v>
      </c>
      <c r="J68" s="1020">
        <f t="shared" si="8"/>
        <v>1.2</v>
      </c>
      <c r="K68" s="1020">
        <f t="shared" si="8"/>
        <v>1.2</v>
      </c>
    </row>
    <row r="70" spans="1:11">
      <c r="A70" s="1019" t="s">
        <v>1122</v>
      </c>
    </row>
    <row r="71" spans="1:11">
      <c r="A71" s="1020" t="s">
        <v>1157</v>
      </c>
      <c r="B71" s="1022">
        <f t="shared" ref="B71:G71" si="9">+B64</f>
        <v>164090.01881072851</v>
      </c>
      <c r="C71" s="1022">
        <f t="shared" si="9"/>
        <v>162326.57117303176</v>
      </c>
      <c r="D71" s="1022">
        <f t="shared" si="9"/>
        <v>160377.58554216399</v>
      </c>
      <c r="E71" s="1022">
        <f t="shared" si="9"/>
        <v>158232.13068704872</v>
      </c>
      <c r="F71" s="1022">
        <f t="shared" si="9"/>
        <v>155884.98053785248</v>
      </c>
      <c r="G71" s="1022">
        <f t="shared" si="9"/>
        <v>153324.6042027839</v>
      </c>
      <c r="H71" s="1022">
        <f>+H64</f>
        <v>150542.15566263971</v>
      </c>
      <c r="I71" s="1022">
        <f>+I64</f>
        <v>147529.46313296651</v>
      </c>
      <c r="J71" s="1022">
        <f>+J64</f>
        <v>144276.01808341188</v>
      </c>
      <c r="K71" s="1022">
        <f>+K64</f>
        <v>140770.96390349968</v>
      </c>
    </row>
    <row r="72" spans="1:11">
      <c r="A72" s="1020" t="s">
        <v>3593</v>
      </c>
      <c r="B72" s="1022">
        <f t="shared" ref="B72:G72" si="10">IF($B$25="N/A",B65,B65+$B$25)</f>
        <v>-138061.31209861167</v>
      </c>
      <c r="C72" s="1022">
        <f t="shared" si="10"/>
        <v>-138061.31209861167</v>
      </c>
      <c r="D72" s="1022">
        <f t="shared" si="10"/>
        <v>-138061.31209861167</v>
      </c>
      <c r="E72" s="1022">
        <f t="shared" si="10"/>
        <v>-138061.31209861167</v>
      </c>
      <c r="F72" s="1022">
        <f t="shared" si="10"/>
        <v>-138061.31209861167</v>
      </c>
      <c r="G72" s="1022">
        <f t="shared" si="10"/>
        <v>-138061.31209861167</v>
      </c>
      <c r="H72" s="1022">
        <f>IF($B$25="N/A",H65,H65+$B$25)</f>
        <v>-138061.31209861167</v>
      </c>
      <c r="I72" s="1022">
        <f>IF($B$25="N/A",I65,I65+$B$25)</f>
        <v>-138061.31209861167</v>
      </c>
      <c r="J72" s="1022">
        <f>IF($B$25="N/A",J65,J65+$B$25)</f>
        <v>-138061.31209861167</v>
      </c>
      <c r="K72" s="1022">
        <f>IF($B$25="N/A",K65,K65+$B$25)</f>
        <v>-138061.31209861167</v>
      </c>
    </row>
    <row r="73" spans="1:11">
      <c r="A73" s="1020" t="s">
        <v>3594</v>
      </c>
      <c r="B73" s="1021">
        <f>+'Part VII-Pro Forma'!B63</f>
        <v>0</v>
      </c>
      <c r="C73" s="1021">
        <f>+'Part VII-Pro Forma'!C63</f>
        <v>0</v>
      </c>
      <c r="D73" s="1021">
        <f>+'Part VII-Pro Forma'!D63</f>
        <v>0</v>
      </c>
      <c r="E73" s="1021">
        <f>+'Part VII-Pro Forma'!E63</f>
        <v>0</v>
      </c>
      <c r="F73" s="1021">
        <f>+'Part VII-Pro Forma'!F63</f>
        <v>0</v>
      </c>
      <c r="G73" s="1021">
        <f>+'Part VII-Pro Forma'!G63</f>
        <v>0</v>
      </c>
      <c r="H73" s="1021">
        <f>+'Part VII-Pro Forma'!H63</f>
        <v>0</v>
      </c>
      <c r="I73" s="1021">
        <f>+'Part VII-Pro Forma'!I63</f>
        <v>0</v>
      </c>
      <c r="J73" s="1021">
        <f>+'Part VII-Pro Forma'!J63</f>
        <v>0</v>
      </c>
      <c r="K73" s="1021">
        <f>+'Part VII-Pro Forma'!K63</f>
        <v>0</v>
      </c>
    </row>
    <row r="74" spans="1:11">
      <c r="A74" s="1020" t="s">
        <v>3595</v>
      </c>
      <c r="B74" s="1022">
        <f t="shared" ref="B74:G74" si="11">+SUM(B71:B73)</f>
        <v>26028.706712116837</v>
      </c>
      <c r="C74" s="1022">
        <f t="shared" si="11"/>
        <v>24265.259074420086</v>
      </c>
      <c r="D74" s="1022">
        <f t="shared" si="11"/>
        <v>22316.273443552316</v>
      </c>
      <c r="E74" s="1022">
        <f t="shared" si="11"/>
        <v>20170.818588437047</v>
      </c>
      <c r="F74" s="1022">
        <f t="shared" si="11"/>
        <v>17823.668439240806</v>
      </c>
      <c r="G74" s="1022">
        <f t="shared" si="11"/>
        <v>15263.292104172229</v>
      </c>
      <c r="H74" s="1022">
        <f>+SUM(H71:H73)</f>
        <v>12480.843564028037</v>
      </c>
      <c r="I74" s="1022">
        <f>+SUM(I71:I73)</f>
        <v>9468.1510343548434</v>
      </c>
      <c r="J74" s="1022">
        <f>+SUM(J71:J73)</f>
        <v>6214.70598480021</v>
      </c>
      <c r="K74" s="1022">
        <f>+SUM(K71:K73)</f>
        <v>2709.6518048880098</v>
      </c>
    </row>
    <row r="75" spans="1:11">
      <c r="A75" s="1020" t="s">
        <v>3508</v>
      </c>
      <c r="B75" s="1022">
        <f t="shared" ref="B75:G75" si="12">-B74</f>
        <v>-26028.706712116837</v>
      </c>
      <c r="C75" s="1022">
        <f t="shared" si="12"/>
        <v>-24265.259074420086</v>
      </c>
      <c r="D75" s="1022">
        <f t="shared" si="12"/>
        <v>-22316.273443552316</v>
      </c>
      <c r="E75" s="1022">
        <f t="shared" si="12"/>
        <v>-20170.818588437047</v>
      </c>
      <c r="F75" s="1022">
        <f t="shared" si="12"/>
        <v>-17823.668439240806</v>
      </c>
      <c r="G75" s="1022">
        <f t="shared" si="12"/>
        <v>-15263.292104172229</v>
      </c>
      <c r="H75" s="1022">
        <f>-H74</f>
        <v>-12480.843564028037</v>
      </c>
      <c r="I75" s="1022">
        <f>-I74</f>
        <v>-9468.1510343548434</v>
      </c>
      <c r="J75" s="1022">
        <f>-J74</f>
        <v>-6214.70598480021</v>
      </c>
      <c r="K75" s="1022">
        <f>-K74</f>
        <v>-2709.6518048880098</v>
      </c>
    </row>
    <row r="76" spans="1:11">
      <c r="A76" s="1020" t="s">
        <v>3596</v>
      </c>
      <c r="B76" s="1022">
        <f t="shared" ref="B76:G76" si="13">+B74+B75</f>
        <v>0</v>
      </c>
      <c r="C76" s="1022">
        <f t="shared" si="13"/>
        <v>0</v>
      </c>
      <c r="D76" s="1022">
        <f t="shared" si="13"/>
        <v>0</v>
      </c>
      <c r="E76" s="1022">
        <f t="shared" si="13"/>
        <v>0</v>
      </c>
      <c r="F76" s="1022">
        <f t="shared" si="13"/>
        <v>0</v>
      </c>
      <c r="G76" s="1022">
        <f t="shared" si="13"/>
        <v>0</v>
      </c>
      <c r="H76" s="1022">
        <f>+H74+H75</f>
        <v>0</v>
      </c>
      <c r="I76" s="1022">
        <f>+I74+I75</f>
        <v>0</v>
      </c>
      <c r="J76" s="1022">
        <f>+J74+J75</f>
        <v>0</v>
      </c>
      <c r="K76" s="1022">
        <f>+K74+K75</f>
        <v>0</v>
      </c>
    </row>
    <row r="78" spans="1:11">
      <c r="A78" s="1020" t="s">
        <v>3597</v>
      </c>
      <c r="B78" s="1021">
        <f>IF($B$26="","",-FV('Part III-Sources of Funds'!$K$40/12,12,B72/12,K58))</f>
        <v>1849195.8750860549</v>
      </c>
      <c r="C78" s="1021">
        <f>IF($B$26="","",-FV('Part III-Sources of Funds'!$K$40/12,12,C72/12,B78))</f>
        <v>1807216.7782009693</v>
      </c>
      <c r="D78" s="1021">
        <f>IF($B$26="","",-FV('Part III-Sources of Funds'!$K$40/12,12,D72/12,C78))</f>
        <v>1762979.966282289</v>
      </c>
      <c r="E78" s="1021">
        <f>IF($B$26="","",-FV('Part III-Sources of Funds'!$K$40/12,12,E72/12,D78))</f>
        <v>1716364.0151558141</v>
      </c>
      <c r="F78" s="1021">
        <f>IF($B$26="","",-FV('Part III-Sources of Funds'!$K$40/12,12,F72/12,E78))</f>
        <v>1667240.9702261621</v>
      </c>
      <c r="G78" s="1021">
        <f>IF($B$26="","",-FV('Part III-Sources of Funds'!$K$40/12,12,G72/12,F78))</f>
        <v>1615475.9952583956</v>
      </c>
      <c r="H78" s="1021">
        <f>IF($B$26="","",-FV('Part III-Sources of Funds'!$K$40/12,12,H72/12,G78))</f>
        <v>1560927.0022704627</v>
      </c>
      <c r="I78" s="1021">
        <f>IF($B$26="","",-FV('Part III-Sources of Funds'!$K$40/12,12,I72/12,H78))</f>
        <v>1503444.2615205557</v>
      </c>
      <c r="J78" s="1021">
        <f>IF($B$26="","",-FV('Part III-Sources of Funds'!$K$40/12,12,J72/12,I78))</f>
        <v>1442869.9905188531</v>
      </c>
      <c r="K78" s="1021">
        <f>IF($B$26="","",-FV('Part III-Sources of Funds'!$K$40/12,12,K72/12,J78))</f>
        <v>1379037.9209355384</v>
      </c>
    </row>
    <row r="79" spans="1:11">
      <c r="A79" s="1020" t="s">
        <v>3509</v>
      </c>
    </row>
    <row r="82" spans="1:2">
      <c r="A82" s="1020" t="s">
        <v>3598</v>
      </c>
      <c r="B82" s="1083" t="s">
        <v>1300</v>
      </c>
    </row>
  </sheetData>
  <sheetProtection algorithmName="SHA-512" hashValue="JtuIUVJ/IgqyioTszm9HZLqf5rtsjMcxE7OP7KlQ4mxCh0KlaXCLZjHZuqermReacyBiBenoEGoKPdVENIrukw==" saltValue="B66CXVcT4W3noXUUut2k5A=="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85546875" style="588" customWidth="1"/>
    <col min="2" max="2" width="1.85546875" style="588" customWidth="1"/>
    <col min="3" max="3" width="13" style="588" customWidth="1"/>
    <col min="4" max="4" width="11.140625" style="588" customWidth="1"/>
    <col min="5" max="5" width="14.85546875" style="588" customWidth="1"/>
    <col min="6" max="6" width="15.140625" style="588" customWidth="1"/>
    <col min="7" max="7" width="11.85546875" style="588" customWidth="1"/>
    <col min="8" max="8" width="11.42578125" style="588" customWidth="1"/>
    <col min="9" max="9" width="10.5703125" style="588" customWidth="1"/>
    <col min="10" max="10" width="6" style="588" customWidth="1"/>
    <col min="11" max="11" width="12.85546875" style="588" customWidth="1"/>
    <col min="12" max="12" width="10.85546875" style="588" customWidth="1"/>
    <col min="13" max="13" width="26.140625" style="588" customWidth="1"/>
    <col min="14" max="14" width="9.140625" style="588"/>
    <col min="15" max="15" width="12.42578125" style="588" customWidth="1"/>
    <col min="16" max="16" width="9.140625" style="588"/>
    <col min="17" max="17" width="11.85546875" style="588" bestFit="1" customWidth="1"/>
    <col min="18" max="16384" width="9.140625" style="588"/>
  </cols>
  <sheetData>
    <row r="1" spans="1:15" ht="13.5" customHeight="1">
      <c r="A1" s="589" t="s">
        <v>2824</v>
      </c>
      <c r="B1" s="673"/>
      <c r="C1" s="588" t="str">
        <f>'Sensitivity Analysis'!C8</f>
        <v>West Point Village Phase II</v>
      </c>
    </row>
    <row r="2" spans="1:15" ht="13.5" customHeight="1"/>
    <row r="3" spans="1:15" ht="13.5" customHeight="1">
      <c r="A3" s="589" t="s">
        <v>2825</v>
      </c>
      <c r="C3" s="588" t="s">
        <v>2826</v>
      </c>
      <c r="E3" s="674">
        <f>SUM('Part IV-A-Uses of Funds'!J162,'Part IV-A-Uses of Funds'!M162,'Part IV-A-Uses of Funds'!P162)</f>
        <v>14225466.43</v>
      </c>
      <c r="F3" s="1094" t="s">
        <v>2827</v>
      </c>
      <c r="H3" s="1074">
        <v>27.5</v>
      </c>
      <c r="I3" s="588" t="s">
        <v>2356</v>
      </c>
      <c r="K3" s="593" t="s">
        <v>2848</v>
      </c>
      <c r="M3" s="1094"/>
      <c r="O3" s="675"/>
    </row>
    <row r="4" spans="1:15" ht="13.5" customHeight="1">
      <c r="C4" s="588" t="s">
        <v>3248</v>
      </c>
      <c r="E4" s="674">
        <f>SUM('Part IV-A-Uses of Funds'!G97:H101)</f>
        <v>80000</v>
      </c>
      <c r="F4" s="1094" t="s">
        <v>3813</v>
      </c>
      <c r="H4" s="589">
        <f>'Part III-Sources of Funds'!M40</f>
        <v>35</v>
      </c>
      <c r="I4" s="588" t="s">
        <v>2356</v>
      </c>
      <c r="K4" s="676" t="s">
        <v>3076</v>
      </c>
      <c r="M4" s="1094"/>
    </row>
    <row r="5" spans="1:15" ht="13.5" customHeight="1">
      <c r="C5" s="588" t="s">
        <v>3249</v>
      </c>
      <c r="E5" s="674">
        <f>SUM('Part IV-A-Uses of Funds'!G105:H111)</f>
        <v>140100</v>
      </c>
      <c r="F5" s="1094" t="s">
        <v>3812</v>
      </c>
      <c r="H5" s="1074">
        <v>15</v>
      </c>
      <c r="I5" s="588" t="s">
        <v>2356</v>
      </c>
      <c r="K5" s="675">
        <f>-E6</f>
        <v>-12868713</v>
      </c>
    </row>
    <row r="6" spans="1:15" ht="13.5" customHeight="1">
      <c r="C6" s="588" t="s">
        <v>2828</v>
      </c>
      <c r="E6" s="677">
        <f>'Part III-Sources of Funds'!$I$51+'Part III-Sources of Funds'!$I$52</f>
        <v>12868713</v>
      </c>
      <c r="F6" s="1094" t="s">
        <v>2829</v>
      </c>
      <c r="H6" s="678">
        <v>0.35</v>
      </c>
      <c r="K6" s="675" t="e">
        <f>C24</f>
        <v>#VALUE!</v>
      </c>
      <c r="M6" s="588" t="s">
        <v>2830</v>
      </c>
      <c r="O6" s="679">
        <f>'Sensitivity Analysis'!K32</f>
        <v>0</v>
      </c>
    </row>
    <row r="7" spans="1:15" ht="13.5" customHeight="1">
      <c r="K7" s="675" t="e">
        <f>D24</f>
        <v>#VALUE!</v>
      </c>
      <c r="O7" s="680"/>
    </row>
    <row r="8" spans="1:15" ht="13.5" customHeight="1">
      <c r="A8" s="589" t="s">
        <v>2367</v>
      </c>
      <c r="C8" s="681">
        <v>1</v>
      </c>
      <c r="D8" s="681">
        <v>2</v>
      </c>
      <c r="E8" s="681">
        <v>3</v>
      </c>
      <c r="F8" s="681">
        <v>4</v>
      </c>
      <c r="G8" s="681">
        <v>5</v>
      </c>
      <c r="H8" s="681">
        <v>6</v>
      </c>
      <c r="I8" s="681">
        <v>7</v>
      </c>
      <c r="K8" s="675" t="e">
        <f>E24</f>
        <v>#VALUE!</v>
      </c>
      <c r="M8" s="588" t="s">
        <v>2831</v>
      </c>
      <c r="O8" s="1047" t="e">
        <f>'Part VII-Pro Forma'!$K$72+'Part VII-Pro Forma'!$K$73+'Part VII-Pro Forma'!$K$74</f>
        <v>#VALUE!</v>
      </c>
    </row>
    <row r="9" spans="1:15" ht="13.5" customHeight="1">
      <c r="A9" s="588" t="s">
        <v>2832</v>
      </c>
      <c r="C9" s="682">
        <f>'Part VII-Pro Forma'!B33</f>
        <v>0</v>
      </c>
      <c r="D9" s="682">
        <f>'Part VII-Pro Forma'!C33</f>
        <v>0</v>
      </c>
      <c r="E9" s="682">
        <f>'Part VII-Pro Forma'!D33</f>
        <v>0</v>
      </c>
      <c r="F9" s="682">
        <f>'Part VII-Pro Forma'!E33</f>
        <v>0</v>
      </c>
      <c r="G9" s="682">
        <f>'Part VII-Pro Forma'!F33</f>
        <v>0</v>
      </c>
      <c r="H9" s="682">
        <f>'Part VII-Pro Forma'!G33</f>
        <v>0</v>
      </c>
      <c r="I9" s="682">
        <f>'Part VII-Pro Forma'!H33</f>
        <v>0</v>
      </c>
      <c r="K9" s="675" t="e">
        <f>F24</f>
        <v>#VALUE!</v>
      </c>
      <c r="N9" s="683" t="s">
        <v>2834</v>
      </c>
    </row>
    <row r="10" spans="1:15" ht="13.5" customHeight="1">
      <c r="A10" s="588" t="s">
        <v>2833</v>
      </c>
      <c r="C10" s="1044">
        <f>'Part III-Sources of Funds'!I40-'Part VII-Pro Forma'!B40</f>
        <v>20600.110572204692</v>
      </c>
      <c r="D10" s="684">
        <f>'Part VII-Pro Forma'!B40-'Part VII-Pro Forma'!C40</f>
        <v>21708.023385572247</v>
      </c>
      <c r="E10" s="684">
        <f>'Part VII-Pro Forma'!C40-'Part VII-Pro Forma'!D40</f>
        <v>22875.52184037189</v>
      </c>
      <c r="F10" s="684">
        <f>'Part VII-Pro Forma'!D40-'Part VII-Pro Forma'!E40</f>
        <v>24105.810564822517</v>
      </c>
      <c r="G10" s="684">
        <f>'Part VII-Pro Forma'!E40-'Part VII-Pro Forma'!F40</f>
        <v>25402.266538093332</v>
      </c>
      <c r="H10" s="684">
        <f>'Part VII-Pro Forma'!F40-'Part VII-Pro Forma'!G40</f>
        <v>26768.448359665927</v>
      </c>
      <c r="I10" s="684">
        <f>'Part VII-Pro Forma'!G40-'Part VII-Pro Forma'!H40</f>
        <v>28208.10601721541</v>
      </c>
      <c r="K10" s="675" t="e">
        <f>G24</f>
        <v>#VALUE!</v>
      </c>
      <c r="N10" s="683" t="s">
        <v>2835</v>
      </c>
      <c r="O10" s="680"/>
    </row>
    <row r="11" spans="1:15" ht="13.5" customHeight="1">
      <c r="A11" s="588" t="s">
        <v>2833</v>
      </c>
      <c r="C11" s="1044" t="e">
        <f>'Part III-Sources of Funds'!I41-'Part VII-Pro Forma'!B41</f>
        <v>#VALUE!</v>
      </c>
      <c r="D11" s="684" t="e">
        <f>'Part VII-Pro Forma'!B41-'Part VII-Pro Forma'!C41</f>
        <v>#VALUE!</v>
      </c>
      <c r="E11" s="684" t="e">
        <f>'Part VII-Pro Forma'!C41-'Part VII-Pro Forma'!D41</f>
        <v>#VALUE!</v>
      </c>
      <c r="F11" s="684" t="e">
        <f>'Part VII-Pro Forma'!D41-'Part VII-Pro Forma'!E41</f>
        <v>#VALUE!</v>
      </c>
      <c r="G11" s="684" t="e">
        <f>'Part VII-Pro Forma'!E41-'Part VII-Pro Forma'!F41</f>
        <v>#VALUE!</v>
      </c>
      <c r="H11" s="684" t="e">
        <f>'Part VII-Pro Forma'!F41-'Part VII-Pro Forma'!G41</f>
        <v>#VALUE!</v>
      </c>
      <c r="I11" s="684" t="e">
        <f>'Part VII-Pro Forma'!G41-'Part VII-Pro Forma'!H41</f>
        <v>#VALUE!</v>
      </c>
      <c r="K11" s="675" t="e">
        <f>H24</f>
        <v>#VALUE!</v>
      </c>
      <c r="O11" s="680"/>
    </row>
    <row r="12" spans="1:15" ht="13.5" customHeight="1">
      <c r="A12" s="588" t="s">
        <v>2833</v>
      </c>
      <c r="C12" s="1044" t="e">
        <f>'Part III-Sources of Funds'!I42-'Part VII-Pro Forma'!B42</f>
        <v>#VALUE!</v>
      </c>
      <c r="D12" s="684" t="e">
        <f>'Part VII-Pro Forma'!B42-'Part VII-Pro Forma'!C42</f>
        <v>#VALUE!</v>
      </c>
      <c r="E12" s="684" t="e">
        <f>'Part VII-Pro Forma'!C42-'Part VII-Pro Forma'!D42</f>
        <v>#VALUE!</v>
      </c>
      <c r="F12" s="684" t="e">
        <f>'Part VII-Pro Forma'!D42-'Part VII-Pro Forma'!E42</f>
        <v>#VALUE!</v>
      </c>
      <c r="G12" s="684" t="e">
        <f>'Part VII-Pro Forma'!E42-'Part VII-Pro Forma'!F42</f>
        <v>#VALUE!</v>
      </c>
      <c r="H12" s="684" t="e">
        <f>'Part VII-Pro Forma'!F42-'Part VII-Pro Forma'!G42</f>
        <v>#VALUE!</v>
      </c>
      <c r="I12" s="684" t="e">
        <f>'Part VII-Pro Forma'!G42-'Part VII-Pro Forma'!H42</f>
        <v>#VALUE!</v>
      </c>
      <c r="K12" s="675" t="e">
        <f>I24</f>
        <v>#VALUE!</v>
      </c>
      <c r="M12" s="588" t="s">
        <v>2837</v>
      </c>
      <c r="N12" s="685">
        <v>0.06</v>
      </c>
      <c r="O12" s="680">
        <f>N12*O6</f>
        <v>0</v>
      </c>
    </row>
    <row r="13" spans="1:15" ht="13.5" customHeight="1">
      <c r="A13" s="686" t="s">
        <v>3250</v>
      </c>
      <c r="B13" s="687"/>
      <c r="C13" s="1045">
        <f>'Part VII-Pro Forma'!B23</f>
        <v>-18000</v>
      </c>
      <c r="D13" s="1045">
        <f>'Part VII-Pro Forma'!C23</f>
        <v>-18540</v>
      </c>
      <c r="E13" s="1045">
        <f>'Part VII-Pro Forma'!D23</f>
        <v>-19096.2</v>
      </c>
      <c r="F13" s="1045">
        <f>'Part VII-Pro Forma'!E23</f>
        <v>-19669.085999999999</v>
      </c>
      <c r="G13" s="1045">
        <f>'Part VII-Pro Forma'!F23</f>
        <v>-20259.158579999999</v>
      </c>
      <c r="H13" s="1045">
        <f>'Part VII-Pro Forma'!G23</f>
        <v>-20866.933337399998</v>
      </c>
      <c r="I13" s="1045">
        <f>'Part VII-Pro Forma'!H23</f>
        <v>-21492.941337521999</v>
      </c>
      <c r="K13" s="675" t="e">
        <f>C44</f>
        <v>#VALUE!</v>
      </c>
      <c r="O13" s="680"/>
    </row>
    <row r="14" spans="1:15" ht="13.5" customHeight="1">
      <c r="A14" s="686" t="s">
        <v>3251</v>
      </c>
      <c r="B14" s="687"/>
      <c r="C14" s="1045">
        <f>'Part VII-Pro Forma'!B32</f>
        <v>-47283.010123295724</v>
      </c>
      <c r="D14" s="1045">
        <f>'Part VII-Pro Forma'!C32</f>
        <v>-46990.049099295647</v>
      </c>
      <c r="E14" s="1045">
        <f>'Part VII-Pro Forma'!D32</f>
        <v>-46579.63095481573</v>
      </c>
      <c r="F14" s="1045">
        <f>'Part VII-Pro Forma'!E32</f>
        <v>-46045.288010446078</v>
      </c>
      <c r="G14" s="1045">
        <f>'Part VII-Pro Forma'!F32</f>
        <v>-45380.341877079176</v>
      </c>
      <c r="H14" s="1045">
        <f>'Part VII-Pro Forma'!G32</f>
        <v>-44578.896201031501</v>
      </c>
      <c r="I14" s="1045">
        <f>'Part VII-Pro Forma'!H32</f>
        <v>-43634.82917284932</v>
      </c>
      <c r="K14" s="675" t="e">
        <f>D44</f>
        <v>#VALUE!</v>
      </c>
      <c r="M14" s="588" t="s">
        <v>2840</v>
      </c>
      <c r="O14" s="680" t="e">
        <f>O6-O8-O12</f>
        <v>#VALUE!</v>
      </c>
    </row>
    <row r="15" spans="1:15" ht="13.5" customHeight="1">
      <c r="A15" s="688" t="s">
        <v>2836</v>
      </c>
      <c r="C15" s="689">
        <f t="shared" ref="C15:I15" si="0">$E$3/$H$3</f>
        <v>517289.68836363638</v>
      </c>
      <c r="D15" s="689">
        <f t="shared" si="0"/>
        <v>517289.68836363638</v>
      </c>
      <c r="E15" s="689">
        <f t="shared" si="0"/>
        <v>517289.68836363638</v>
      </c>
      <c r="F15" s="689">
        <f t="shared" si="0"/>
        <v>517289.68836363638</v>
      </c>
      <c r="G15" s="689">
        <f t="shared" si="0"/>
        <v>517289.68836363638</v>
      </c>
      <c r="H15" s="689">
        <f t="shared" si="0"/>
        <v>517289.68836363638</v>
      </c>
      <c r="I15" s="689">
        <f t="shared" si="0"/>
        <v>517289.68836363638</v>
      </c>
      <c r="K15" s="675" t="e">
        <f>E44</f>
        <v>#VALUE!</v>
      </c>
      <c r="O15" s="680"/>
    </row>
    <row r="16" spans="1:15" ht="13.5" customHeight="1">
      <c r="A16" s="688" t="s">
        <v>2838</v>
      </c>
      <c r="C16" s="689">
        <f>IF(C$8&lt;=$H$4,($E$4/$H$4),0)+IF(C$8&lt;=$H$5,($E$5/$H$5),0)</f>
        <v>11625.714285714286</v>
      </c>
      <c r="D16" s="689">
        <f t="shared" ref="D16:I16" si="1">IF(D$8&lt;=$H$4,($E$4/$H$4),0)+IF(D$8&lt;=$H$5,($E$5/$H$5),0)</f>
        <v>11625.714285714286</v>
      </c>
      <c r="E16" s="689">
        <f t="shared" si="1"/>
        <v>11625.714285714286</v>
      </c>
      <c r="F16" s="689">
        <f t="shared" si="1"/>
        <v>11625.714285714286</v>
      </c>
      <c r="G16" s="689">
        <f t="shared" si="1"/>
        <v>11625.714285714286</v>
      </c>
      <c r="H16" s="689">
        <f t="shared" si="1"/>
        <v>11625.714285714286</v>
      </c>
      <c r="I16" s="689">
        <f t="shared" si="1"/>
        <v>11625.714285714286</v>
      </c>
      <c r="K16" s="675" t="e">
        <f>F44</f>
        <v>#VALUE!</v>
      </c>
      <c r="M16" s="588" t="s">
        <v>2842</v>
      </c>
      <c r="O16" s="680">
        <f>E3</f>
        <v>14225466.43</v>
      </c>
    </row>
    <row r="17" spans="1:17" ht="13.5" customHeight="1">
      <c r="A17" s="688" t="s">
        <v>2839</v>
      </c>
      <c r="C17" s="684" t="e">
        <f t="shared" ref="C17:I17" si="2">C9+C10+C11+C12+C13+C14-C15-C16</f>
        <v>#VALUE!</v>
      </c>
      <c r="D17" s="684" t="e">
        <f t="shared" si="2"/>
        <v>#VALUE!</v>
      </c>
      <c r="E17" s="684" t="e">
        <f t="shared" si="2"/>
        <v>#VALUE!</v>
      </c>
      <c r="F17" s="684" t="e">
        <f t="shared" si="2"/>
        <v>#VALUE!</v>
      </c>
      <c r="G17" s="684" t="e">
        <f t="shared" si="2"/>
        <v>#VALUE!</v>
      </c>
      <c r="H17" s="684" t="e">
        <f t="shared" si="2"/>
        <v>#VALUE!</v>
      </c>
      <c r="I17" s="684" t="e">
        <f t="shared" si="2"/>
        <v>#VALUE!</v>
      </c>
      <c r="K17" s="675" t="e">
        <f>G44</f>
        <v>#VALUE!</v>
      </c>
      <c r="M17" s="588" t="s">
        <v>2836</v>
      </c>
      <c r="O17" s="680">
        <f>20*(E3/H3)</f>
        <v>10345793.767272728</v>
      </c>
    </row>
    <row r="18" spans="1:17" ht="13.5" customHeight="1">
      <c r="A18" s="688" t="s">
        <v>2841</v>
      </c>
      <c r="C18" s="690" t="e">
        <f t="shared" ref="C18:I18" si="3">C17*$H$6</f>
        <v>#VALUE!</v>
      </c>
      <c r="D18" s="690" t="e">
        <f t="shared" si="3"/>
        <v>#VALUE!</v>
      </c>
      <c r="E18" s="690" t="e">
        <f t="shared" si="3"/>
        <v>#VALUE!</v>
      </c>
      <c r="F18" s="690" t="e">
        <f t="shared" si="3"/>
        <v>#VALUE!</v>
      </c>
      <c r="G18" s="690" t="e">
        <f t="shared" si="3"/>
        <v>#VALUE!</v>
      </c>
      <c r="H18" s="690" t="e">
        <f t="shared" si="3"/>
        <v>#VALUE!</v>
      </c>
      <c r="I18" s="690" t="e">
        <f t="shared" si="3"/>
        <v>#VALUE!</v>
      </c>
      <c r="K18" s="675" t="e">
        <f>H44</f>
        <v>#VALUE!</v>
      </c>
      <c r="O18" s="680"/>
    </row>
    <row r="19" spans="1:17" ht="13.5" customHeight="1">
      <c r="A19" s="688"/>
      <c r="C19" s="682"/>
      <c r="D19" s="682"/>
      <c r="E19" s="682"/>
      <c r="F19" s="682"/>
      <c r="G19" s="682"/>
      <c r="H19" s="682"/>
      <c r="I19" s="682"/>
      <c r="K19" s="675" t="e">
        <f>I44</f>
        <v>#VALUE!</v>
      </c>
      <c r="M19" s="588" t="s">
        <v>2846</v>
      </c>
      <c r="O19" s="680">
        <f>O16-O17</f>
        <v>3879672.6627272721</v>
      </c>
    </row>
    <row r="20" spans="1:17" ht="13.5" customHeight="1">
      <c r="A20" s="588" t="s">
        <v>2843</v>
      </c>
      <c r="C20" s="684" t="e">
        <f t="shared" ref="C20:I20" si="4">C9-C18</f>
        <v>#VALUE!</v>
      </c>
      <c r="D20" s="684" t="e">
        <f t="shared" si="4"/>
        <v>#VALUE!</v>
      </c>
      <c r="E20" s="684" t="e">
        <f t="shared" si="4"/>
        <v>#VALUE!</v>
      </c>
      <c r="F20" s="684" t="e">
        <f t="shared" si="4"/>
        <v>#VALUE!</v>
      </c>
      <c r="G20" s="684" t="e">
        <f t="shared" si="4"/>
        <v>#VALUE!</v>
      </c>
      <c r="H20" s="684" t="e">
        <f t="shared" si="4"/>
        <v>#VALUE!</v>
      </c>
      <c r="I20" s="684" t="e">
        <f t="shared" si="4"/>
        <v>#VALUE!</v>
      </c>
      <c r="K20" s="675" t="e">
        <f>C64</f>
        <v>#VALUE!</v>
      </c>
      <c r="O20" s="680"/>
    </row>
    <row r="21" spans="1:17" ht="13.5" customHeight="1">
      <c r="A21" s="588" t="s">
        <v>2844</v>
      </c>
      <c r="C21" s="690">
        <f>'Part IV-A-Uses of Funds'!$J$197</f>
        <v>900000</v>
      </c>
      <c r="D21" s="690">
        <f t="shared" ref="D21:I21" si="5">C21</f>
        <v>900000</v>
      </c>
      <c r="E21" s="690">
        <f t="shared" si="5"/>
        <v>900000</v>
      </c>
      <c r="F21" s="690">
        <f t="shared" si="5"/>
        <v>900000</v>
      </c>
      <c r="G21" s="690">
        <f t="shared" si="5"/>
        <v>900000</v>
      </c>
      <c r="H21" s="690">
        <f t="shared" si="5"/>
        <v>900000</v>
      </c>
      <c r="I21" s="690">
        <f t="shared" si="5"/>
        <v>900000</v>
      </c>
      <c r="J21" s="588" t="s">
        <v>232</v>
      </c>
      <c r="K21" s="675" t="e">
        <f>D64</f>
        <v>#VALUE!</v>
      </c>
      <c r="O21" s="680"/>
    </row>
    <row r="22" spans="1:17" ht="13.5" customHeight="1">
      <c r="A22" s="588" t="s">
        <v>2845</v>
      </c>
      <c r="C22" s="690">
        <f>C21</f>
        <v>900000</v>
      </c>
      <c r="D22" s="690">
        <f t="shared" ref="D22:I22" si="6">D21</f>
        <v>900000</v>
      </c>
      <c r="E22" s="690">
        <f t="shared" si="6"/>
        <v>900000</v>
      </c>
      <c r="F22" s="690">
        <f t="shared" si="6"/>
        <v>900000</v>
      </c>
      <c r="G22" s="690">
        <f t="shared" si="6"/>
        <v>900000</v>
      </c>
      <c r="H22" s="690">
        <f t="shared" si="6"/>
        <v>900000</v>
      </c>
      <c r="I22" s="690">
        <f t="shared" si="6"/>
        <v>900000</v>
      </c>
      <c r="K22" s="675" t="e">
        <f>E64</f>
        <v>#VALUE!</v>
      </c>
      <c r="M22" s="588" t="s">
        <v>2830</v>
      </c>
      <c r="O22" s="680">
        <f>O6</f>
        <v>0</v>
      </c>
    </row>
    <row r="23" spans="1:17" ht="13.5" customHeight="1">
      <c r="A23" s="588" t="s">
        <v>2847</v>
      </c>
      <c r="C23" s="682">
        <v>0</v>
      </c>
      <c r="D23" s="682">
        <v>0</v>
      </c>
      <c r="E23" s="682">
        <v>0</v>
      </c>
      <c r="F23" s="682">
        <v>0</v>
      </c>
      <c r="G23" s="682">
        <v>0</v>
      </c>
      <c r="H23" s="682">
        <v>0</v>
      </c>
      <c r="I23" s="682">
        <v>0</v>
      </c>
      <c r="K23" s="675" t="e">
        <f>F64</f>
        <v>#VALUE!</v>
      </c>
      <c r="M23" s="588" t="s">
        <v>2849</v>
      </c>
      <c r="O23" s="680">
        <f>O19</f>
        <v>3879672.6627272721</v>
      </c>
    </row>
    <row r="24" spans="1:17" ht="13.5" customHeight="1">
      <c r="A24" s="588" t="s">
        <v>2848</v>
      </c>
      <c r="C24" s="684" t="e">
        <f t="shared" ref="C24:I24" si="7">SUM(C20:C23)</f>
        <v>#VALUE!</v>
      </c>
      <c r="D24" s="684" t="e">
        <f t="shared" si="7"/>
        <v>#VALUE!</v>
      </c>
      <c r="E24" s="684" t="e">
        <f t="shared" si="7"/>
        <v>#VALUE!</v>
      </c>
      <c r="F24" s="684" t="e">
        <f t="shared" si="7"/>
        <v>#VALUE!</v>
      </c>
      <c r="G24" s="684" t="e">
        <f t="shared" si="7"/>
        <v>#VALUE!</v>
      </c>
      <c r="H24" s="684" t="e">
        <f t="shared" si="7"/>
        <v>#VALUE!</v>
      </c>
      <c r="I24" s="684" t="e">
        <f t="shared" si="7"/>
        <v>#VALUE!</v>
      </c>
      <c r="K24" s="675" t="e">
        <f>G64</f>
        <v>#VALUE!</v>
      </c>
      <c r="O24" s="680"/>
    </row>
    <row r="25" spans="1:17" ht="13.5" customHeight="1">
      <c r="K25" s="675" t="e">
        <f>H64</f>
        <v>#VALUE!</v>
      </c>
      <c r="M25" s="588" t="s">
        <v>2850</v>
      </c>
      <c r="O25" s="680">
        <f>O22-O23</f>
        <v>-3879672.6627272721</v>
      </c>
      <c r="Q25" s="691"/>
    </row>
    <row r="26" spans="1:17" ht="13.5" customHeight="1">
      <c r="A26" s="692"/>
      <c r="B26" s="692"/>
      <c r="C26" s="692"/>
      <c r="D26" s="692"/>
      <c r="E26" s="692"/>
      <c r="F26" s="692"/>
      <c r="G26" s="692"/>
      <c r="H26" s="692"/>
      <c r="I26" s="692"/>
      <c r="K26" s="675"/>
      <c r="O26" s="680"/>
    </row>
    <row r="27" spans="1:17" ht="13.5" customHeight="1">
      <c r="K27" s="675"/>
      <c r="M27" s="588" t="s">
        <v>2851</v>
      </c>
      <c r="N27" s="693"/>
      <c r="O27" s="685">
        <v>0.2</v>
      </c>
    </row>
    <row r="28" spans="1:17" ht="13.5" customHeight="1">
      <c r="A28" s="589" t="s">
        <v>2367</v>
      </c>
      <c r="B28" s="589"/>
      <c r="C28" s="681">
        <v>8</v>
      </c>
      <c r="D28" s="681">
        <v>9</v>
      </c>
      <c r="E28" s="681">
        <v>10</v>
      </c>
      <c r="F28" s="681">
        <v>11</v>
      </c>
      <c r="G28" s="681">
        <v>12</v>
      </c>
      <c r="H28" s="681">
        <v>13</v>
      </c>
      <c r="I28" s="681">
        <v>14</v>
      </c>
      <c r="N28" s="693"/>
      <c r="O28" s="693"/>
    </row>
    <row r="29" spans="1:17" ht="13.5" customHeight="1">
      <c r="A29" s="588" t="s">
        <v>2832</v>
      </c>
      <c r="C29" s="682">
        <f>'Part VII-Pro Forma'!I33</f>
        <v>7893.5512311448692</v>
      </c>
      <c r="D29" s="682">
        <f>'Part VII-Pro Forma'!J33</f>
        <v>41291.169882077505</v>
      </c>
      <c r="E29" s="682">
        <f>'Part VII-Pro Forma'!K33</f>
        <v>39877.135841629715</v>
      </c>
      <c r="F29" s="682">
        <f>'Part VII-Pro Forma'!B65</f>
        <v>38293.580134024218</v>
      </c>
      <c r="G29" s="682">
        <f>'Part VII-Pro Forma'!C65</f>
        <v>36530.132496327467</v>
      </c>
      <c r="H29" s="682">
        <f>'Part VII-Pro Forma'!D65</f>
        <v>34581.146865459697</v>
      </c>
      <c r="I29" s="682">
        <f>'Part VII-Pro Forma'!E65</f>
        <v>32435.692010344428</v>
      </c>
      <c r="N29" s="693"/>
      <c r="O29" s="693"/>
    </row>
    <row r="30" spans="1:17" ht="13.5" customHeight="1">
      <c r="A30" s="588" t="s">
        <v>2833</v>
      </c>
      <c r="C30" s="684">
        <f>'Part VII-Pro Forma'!H40-'Part VII-Pro Forma'!I40</f>
        <v>29725.19117982965</v>
      </c>
      <c r="D30" s="684">
        <f>'Part VII-Pro Forma'!I40-'Part VII-Pro Forma'!J40</f>
        <v>31323.868044815259</v>
      </c>
      <c r="E30" s="684">
        <f>'Part VII-Pro Forma'!J40-'Part VII-Pro Forma'!K40</f>
        <v>33008.524767867522</v>
      </c>
      <c r="F30" s="1042">
        <f>'Part VII-Pro Forma'!K40-'Part VII-Pro Forma'!B72</f>
        <v>34783.785507973516</v>
      </c>
      <c r="G30" s="1042">
        <f>'Part VII-Pro Forma'!B72-'Part VII-Pro Forma'!C72</f>
        <v>36654.523120115744</v>
      </c>
      <c r="H30" s="1042">
        <f>'Part VII-Pro Forma'!C72-'Part VII-Pro Forma'!D72</f>
        <v>38625.872530610999</v>
      </c>
      <c r="I30" s="1042">
        <f>'Part VII-Pro Forma'!D72-'Part VII-Pro Forma'!E72</f>
        <v>40703.244831801625</v>
      </c>
    </row>
    <row r="31" spans="1:17" ht="13.5" customHeight="1">
      <c r="A31" s="588" t="s">
        <v>2833</v>
      </c>
      <c r="C31" s="684" t="e">
        <f>'Part VII-Pro Forma'!H41-'Part VII-Pro Forma'!I41</f>
        <v>#VALUE!</v>
      </c>
      <c r="D31" s="684" t="e">
        <f>'Part VII-Pro Forma'!I41-'Part VII-Pro Forma'!J41</f>
        <v>#VALUE!</v>
      </c>
      <c r="E31" s="684" t="e">
        <f>'Part VII-Pro Forma'!J41-'Part VII-Pro Forma'!K41</f>
        <v>#VALUE!</v>
      </c>
      <c r="F31" s="1042" t="e">
        <f>'Part VII-Pro Forma'!K41-'Part VII-Pro Forma'!B73</f>
        <v>#VALUE!</v>
      </c>
      <c r="G31" s="1042" t="e">
        <f>'Part VII-Pro Forma'!B73-'Part VII-Pro Forma'!C73</f>
        <v>#VALUE!</v>
      </c>
      <c r="H31" s="1042" t="e">
        <f>'Part VII-Pro Forma'!C73-'Part VII-Pro Forma'!D73</f>
        <v>#VALUE!</v>
      </c>
      <c r="I31" s="1042" t="e">
        <f>'Part VII-Pro Forma'!D73-'Part VII-Pro Forma'!E73</f>
        <v>#VALUE!</v>
      </c>
      <c r="K31" s="588" t="s">
        <v>232</v>
      </c>
      <c r="M31" s="588" t="s">
        <v>2852</v>
      </c>
      <c r="O31" s="682">
        <f>O25*O27</f>
        <v>-775934.53254545445</v>
      </c>
    </row>
    <row r="32" spans="1:17" ht="13.5" customHeight="1">
      <c r="A32" s="588" t="s">
        <v>2833</v>
      </c>
      <c r="C32" s="684" t="e">
        <f>'Part VII-Pro Forma'!H42-'Part VII-Pro Forma'!I42</f>
        <v>#VALUE!</v>
      </c>
      <c r="D32" s="684" t="e">
        <f>'Part VII-Pro Forma'!I42-'Part VII-Pro Forma'!J42</f>
        <v>#VALUE!</v>
      </c>
      <c r="E32" s="684" t="e">
        <f>'Part VII-Pro Forma'!J42-'Part VII-Pro Forma'!K42</f>
        <v>#VALUE!</v>
      </c>
      <c r="F32" s="1042" t="e">
        <f>'Part VII-Pro Forma'!K42-'Part VII-Pro Forma'!B74</f>
        <v>#VALUE!</v>
      </c>
      <c r="G32" s="1042" t="e">
        <f>'Part VII-Pro Forma'!B74-'Part VII-Pro Forma'!C74</f>
        <v>#VALUE!</v>
      </c>
      <c r="H32" s="1042" t="e">
        <f>'Part VII-Pro Forma'!C74-'Part VII-Pro Forma'!D74</f>
        <v>#VALUE!</v>
      </c>
      <c r="I32" s="1042" t="e">
        <f>'Part VII-Pro Forma'!D74-'Part VII-Pro Forma'!E74</f>
        <v>#VALUE!</v>
      </c>
    </row>
    <row r="33" spans="1:15" ht="13.5" customHeight="1">
      <c r="A33" s="686" t="s">
        <v>3250</v>
      </c>
      <c r="B33" s="687"/>
      <c r="C33" s="1045">
        <f>'Part VII-Pro Forma'!I23</f>
        <v>-22137.72957764766</v>
      </c>
      <c r="D33" s="1045">
        <f>'Part VII-Pro Forma'!J23</f>
        <v>-22801.861464977086</v>
      </c>
      <c r="E33" s="1045">
        <f>'Part VII-Pro Forma'!K23</f>
        <v>-23485.9173089264</v>
      </c>
      <c r="F33" s="1045">
        <f>'Part VII-Pro Forma'!B55</f>
        <v>-24190.494828194191</v>
      </c>
      <c r="G33" s="1045">
        <f>'Part VII-Pro Forma'!C55</f>
        <v>-24916.209673040019</v>
      </c>
      <c r="H33" s="1045">
        <f>'Part VII-Pro Forma'!D55</f>
        <v>-25663.695963231214</v>
      </c>
      <c r="I33" s="1045">
        <f>'Part VII-Pro Forma'!E55</f>
        <v>-26433.606842128149</v>
      </c>
      <c r="K33" s="588" t="s">
        <v>232</v>
      </c>
      <c r="M33" s="588" t="s">
        <v>2853</v>
      </c>
      <c r="O33" s="682" t="e">
        <f>O14-O31</f>
        <v>#VALUE!</v>
      </c>
    </row>
    <row r="34" spans="1:15" ht="13.5" customHeight="1">
      <c r="A34" s="686" t="s">
        <v>3251</v>
      </c>
      <c r="B34" s="687"/>
      <c r="C34" s="1045">
        <f>'Part VII-Pro Forma'!I32</f>
        <v>-34647.234561186211</v>
      </c>
      <c r="D34" s="1045">
        <f>'Part VII-Pro Forma'!J32</f>
        <v>0</v>
      </c>
      <c r="E34" s="1045">
        <f>'Part VII-Pro Forma'!K32</f>
        <v>0</v>
      </c>
      <c r="F34" s="1045">
        <f>'Part VII-Pro Forma'!B64</f>
        <v>0</v>
      </c>
      <c r="G34" s="1045">
        <f>'Part VII-Pro Forma'!C64</f>
        <v>0</v>
      </c>
      <c r="H34" s="1045">
        <f>'Part VII-Pro Forma'!D64</f>
        <v>0</v>
      </c>
      <c r="I34" s="1045">
        <f>'Part VII-Pro Forma'!E64</f>
        <v>0</v>
      </c>
    </row>
    <row r="35" spans="1:15" ht="13.5" customHeight="1">
      <c r="A35" s="688" t="s">
        <v>2836</v>
      </c>
      <c r="C35" s="689">
        <f t="shared" ref="C35:I35" si="8">$E$3/$H$3</f>
        <v>517289.68836363638</v>
      </c>
      <c r="D35" s="689">
        <f t="shared" si="8"/>
        <v>517289.68836363638</v>
      </c>
      <c r="E35" s="689">
        <f t="shared" si="8"/>
        <v>517289.68836363638</v>
      </c>
      <c r="F35" s="689">
        <f t="shared" si="8"/>
        <v>517289.68836363638</v>
      </c>
      <c r="G35" s="689">
        <f t="shared" si="8"/>
        <v>517289.68836363638</v>
      </c>
      <c r="H35" s="689">
        <f t="shared" si="8"/>
        <v>517289.68836363638</v>
      </c>
      <c r="I35" s="689">
        <f t="shared" si="8"/>
        <v>517289.68836363638</v>
      </c>
    </row>
    <row r="36" spans="1:15" ht="13.5" customHeight="1">
      <c r="A36" s="688" t="s">
        <v>2838</v>
      </c>
      <c r="C36" s="682">
        <f>IF(C$28&lt;=$H$4,($E$4/$H$4),0)+IF(C$28&lt;=$H$5,($E$5/$H$5),0)</f>
        <v>11625.714285714286</v>
      </c>
      <c r="D36" s="682">
        <f t="shared" ref="D36:I36" si="9">IF(D$28&lt;=$H$4,($E$4/$H$4),0)+IF(D$28&lt;=$H$5,($E$5/$H$5),0)</f>
        <v>11625.714285714286</v>
      </c>
      <c r="E36" s="682">
        <f t="shared" si="9"/>
        <v>11625.714285714286</v>
      </c>
      <c r="F36" s="682">
        <f t="shared" si="9"/>
        <v>11625.714285714286</v>
      </c>
      <c r="G36" s="682">
        <f t="shared" si="9"/>
        <v>11625.714285714286</v>
      </c>
      <c r="H36" s="682">
        <f t="shared" si="9"/>
        <v>11625.714285714286</v>
      </c>
      <c r="I36" s="682">
        <f t="shared" si="9"/>
        <v>11625.714285714286</v>
      </c>
    </row>
    <row r="37" spans="1:15" ht="13.5" customHeight="1">
      <c r="A37" s="688" t="s">
        <v>2839</v>
      </c>
      <c r="C37" s="684" t="e">
        <f t="shared" ref="C37:I37" si="10">C29+C30+C31+C32+C33+C34-C35-C36</f>
        <v>#VALUE!</v>
      </c>
      <c r="D37" s="684" t="e">
        <f t="shared" si="10"/>
        <v>#VALUE!</v>
      </c>
      <c r="E37" s="684" t="e">
        <f t="shared" si="10"/>
        <v>#VALUE!</v>
      </c>
      <c r="F37" s="684" t="e">
        <f t="shared" si="10"/>
        <v>#VALUE!</v>
      </c>
      <c r="G37" s="684" t="e">
        <f t="shared" si="10"/>
        <v>#VALUE!</v>
      </c>
      <c r="H37" s="684" t="e">
        <f t="shared" si="10"/>
        <v>#VALUE!</v>
      </c>
      <c r="I37" s="684" t="e">
        <f t="shared" si="10"/>
        <v>#VALUE!</v>
      </c>
    </row>
    <row r="38" spans="1:15" ht="13.5" customHeight="1">
      <c r="A38" s="588" t="s">
        <v>2841</v>
      </c>
      <c r="C38" s="690" t="e">
        <f t="shared" ref="C38:I38" si="11">C37*$H$6</f>
        <v>#VALUE!</v>
      </c>
      <c r="D38" s="690" t="e">
        <f t="shared" si="11"/>
        <v>#VALUE!</v>
      </c>
      <c r="E38" s="690" t="e">
        <f t="shared" si="11"/>
        <v>#VALUE!</v>
      </c>
      <c r="F38" s="690" t="e">
        <f t="shared" si="11"/>
        <v>#VALUE!</v>
      </c>
      <c r="G38" s="690" t="e">
        <f t="shared" si="11"/>
        <v>#VALUE!</v>
      </c>
      <c r="H38" s="690" t="e">
        <f t="shared" si="11"/>
        <v>#VALUE!</v>
      </c>
      <c r="I38" s="690" t="e">
        <f t="shared" si="11"/>
        <v>#VALUE!</v>
      </c>
    </row>
    <row r="39" spans="1:15" ht="13.5" customHeight="1">
      <c r="C39" s="684"/>
      <c r="D39" s="684"/>
      <c r="E39" s="684"/>
      <c r="F39" s="684"/>
      <c r="G39" s="684"/>
      <c r="H39" s="684"/>
      <c r="I39" s="684"/>
    </row>
    <row r="40" spans="1:15" ht="13.5" customHeight="1">
      <c r="A40" s="588" t="s">
        <v>2843</v>
      </c>
      <c r="C40" s="684" t="e">
        <f t="shared" ref="C40:I40" si="12">C29-C38</f>
        <v>#VALUE!</v>
      </c>
      <c r="D40" s="684" t="e">
        <f t="shared" si="12"/>
        <v>#VALUE!</v>
      </c>
      <c r="E40" s="684" t="e">
        <f t="shared" si="12"/>
        <v>#VALUE!</v>
      </c>
      <c r="F40" s="684" t="e">
        <f t="shared" si="12"/>
        <v>#VALUE!</v>
      </c>
      <c r="G40" s="684" t="e">
        <f t="shared" si="12"/>
        <v>#VALUE!</v>
      </c>
      <c r="H40" s="684" t="e">
        <f t="shared" si="12"/>
        <v>#VALUE!</v>
      </c>
      <c r="I40" s="684" t="e">
        <f t="shared" si="12"/>
        <v>#VALUE!</v>
      </c>
    </row>
    <row r="41" spans="1:15" ht="13.5" customHeight="1">
      <c r="A41" s="588" t="s">
        <v>2844</v>
      </c>
      <c r="C41" s="690">
        <f>C21</f>
        <v>900000</v>
      </c>
      <c r="D41" s="690">
        <f>C41</f>
        <v>900000</v>
      </c>
      <c r="E41" s="690">
        <f>D41</f>
        <v>900000</v>
      </c>
      <c r="F41" s="690">
        <v>0</v>
      </c>
      <c r="G41" s="690">
        <v>0</v>
      </c>
      <c r="H41" s="690">
        <v>0</v>
      </c>
      <c r="I41" s="690">
        <v>0</v>
      </c>
    </row>
    <row r="42" spans="1:15" ht="13.5" customHeight="1">
      <c r="A42" s="588" t="s">
        <v>2845</v>
      </c>
      <c r="C42" s="690">
        <f>C22</f>
        <v>900000</v>
      </c>
      <c r="D42" s="690">
        <f>C42</f>
        <v>900000</v>
      </c>
      <c r="E42" s="690">
        <f>D42</f>
        <v>900000</v>
      </c>
      <c r="F42" s="690">
        <v>0</v>
      </c>
      <c r="G42" s="690">
        <v>0</v>
      </c>
      <c r="H42" s="690">
        <v>0</v>
      </c>
      <c r="I42" s="690">
        <v>0</v>
      </c>
    </row>
    <row r="43" spans="1:15" ht="13.5" customHeight="1">
      <c r="A43" s="588" t="s">
        <v>2847</v>
      </c>
      <c r="C43" s="684">
        <v>0</v>
      </c>
      <c r="D43" s="684">
        <v>0</v>
      </c>
      <c r="E43" s="684">
        <v>0</v>
      </c>
      <c r="F43" s="684">
        <v>0</v>
      </c>
      <c r="G43" s="684">
        <v>0</v>
      </c>
      <c r="H43" s="684">
        <v>0</v>
      </c>
      <c r="I43" s="684">
        <v>0</v>
      </c>
    </row>
    <row r="44" spans="1:15" ht="13.5" customHeight="1">
      <c r="A44" s="588" t="s">
        <v>2848</v>
      </c>
      <c r="C44" s="684" t="e">
        <f t="shared" ref="C44:I44" si="13">SUM(C40:C43)</f>
        <v>#VALUE!</v>
      </c>
      <c r="D44" s="684" t="e">
        <f t="shared" si="13"/>
        <v>#VALUE!</v>
      </c>
      <c r="E44" s="684" t="e">
        <f t="shared" si="13"/>
        <v>#VALUE!</v>
      </c>
      <c r="F44" s="684" t="e">
        <f t="shared" si="13"/>
        <v>#VALUE!</v>
      </c>
      <c r="G44" s="684" t="e">
        <f t="shared" si="13"/>
        <v>#VALUE!</v>
      </c>
      <c r="H44" s="684" t="e">
        <f t="shared" si="13"/>
        <v>#VALUE!</v>
      </c>
      <c r="I44" s="684" t="e">
        <f t="shared" si="13"/>
        <v>#VALUE!</v>
      </c>
    </row>
    <row r="45" spans="1:15" ht="13.5" customHeight="1"/>
    <row r="46" spans="1:15" ht="13.5" customHeight="1">
      <c r="A46" s="692"/>
      <c r="B46" s="692"/>
      <c r="C46" s="692"/>
      <c r="D46" s="692"/>
      <c r="E46" s="692"/>
      <c r="F46" s="692"/>
      <c r="G46" s="692"/>
      <c r="H46" s="692"/>
      <c r="I46" s="692"/>
    </row>
    <row r="47" spans="1:15" ht="13.5" customHeight="1">
      <c r="I47" s="593"/>
    </row>
    <row r="48" spans="1:15" ht="13.5" customHeight="1">
      <c r="A48" s="589" t="s">
        <v>2367</v>
      </c>
      <c r="B48" s="589"/>
      <c r="C48" s="681">
        <v>15</v>
      </c>
      <c r="D48" s="589">
        <v>16</v>
      </c>
      <c r="E48" s="589">
        <v>17</v>
      </c>
      <c r="F48" s="589">
        <v>18</v>
      </c>
      <c r="G48" s="589">
        <v>19</v>
      </c>
      <c r="H48" s="589">
        <v>20</v>
      </c>
    </row>
    <row r="49" spans="1:10" ht="13.5" customHeight="1">
      <c r="A49" s="588" t="s">
        <v>2832</v>
      </c>
      <c r="C49" s="682">
        <f>'Part VII-Pro Forma'!F65</f>
        <v>30088.541861148187</v>
      </c>
      <c r="D49" s="682">
        <f>'Part VII-Pro Forma'!G62</f>
        <v>0</v>
      </c>
      <c r="E49" s="682">
        <f>'Part VII-Pro Forma'!H62</f>
        <v>0</v>
      </c>
      <c r="F49" s="682">
        <f>'Part VII-Pro Forma'!I62</f>
        <v>0</v>
      </c>
      <c r="G49" s="682">
        <f>'Part VII-Pro Forma'!J62</f>
        <v>0</v>
      </c>
      <c r="H49" s="682">
        <f>'Part VII-Pro Forma'!K62</f>
        <v>0</v>
      </c>
    </row>
    <row r="50" spans="1:10" ht="13.5" customHeight="1">
      <c r="A50" s="588" t="s">
        <v>2833</v>
      </c>
      <c r="C50" s="1043">
        <f>'Part VII-Pro Forma'!E72-'Part VII-Pro Forma'!F72</f>
        <v>42892.342134785838</v>
      </c>
      <c r="D50" s="1043">
        <f>'Part VII-Pro Forma'!F72-'Part VII-Pro Forma'!G72</f>
        <v>45199.17322095437</v>
      </c>
      <c r="E50" s="1043">
        <f>'Part VII-Pro Forma'!G72-'Part VII-Pro Forma'!H72</f>
        <v>47630.070035298821</v>
      </c>
      <c r="F50" s="1043">
        <f>'Part VII-Pro Forma'!H72-'Part VII-Pro Forma'!I72</f>
        <v>50191.705066758208</v>
      </c>
      <c r="G50" s="1043">
        <f>'Part VII-Pro Forma'!I72-'Part VII-Pro Forma'!J72</f>
        <v>52891.109663316747</v>
      </c>
      <c r="H50" s="1043">
        <f>'Part VII-Pro Forma'!J72-'Part VII-Pro Forma'!K72</f>
        <v>55735.693332119146</v>
      </c>
    </row>
    <row r="51" spans="1:10" ht="13.5" customHeight="1">
      <c r="A51" s="588" t="s">
        <v>2833</v>
      </c>
      <c r="C51" s="1043" t="e">
        <f>'Part VII-Pro Forma'!E73-'Part VII-Pro Forma'!F73</f>
        <v>#VALUE!</v>
      </c>
      <c r="D51" s="1043" t="e">
        <f>'Part VII-Pro Forma'!F73-'Part VII-Pro Forma'!G73</f>
        <v>#VALUE!</v>
      </c>
      <c r="E51" s="1043" t="e">
        <f>'Part VII-Pro Forma'!G73-'Part VII-Pro Forma'!H73</f>
        <v>#VALUE!</v>
      </c>
      <c r="F51" s="1043" t="e">
        <f>'Part VII-Pro Forma'!H73-'Part VII-Pro Forma'!I73</f>
        <v>#VALUE!</v>
      </c>
      <c r="G51" s="1043" t="e">
        <f>'Part VII-Pro Forma'!I73-'Part VII-Pro Forma'!J73</f>
        <v>#VALUE!</v>
      </c>
      <c r="H51" s="1043" t="e">
        <f>'Part VII-Pro Forma'!J73-'Part VII-Pro Forma'!K73</f>
        <v>#VALUE!</v>
      </c>
    </row>
    <row r="52" spans="1:10" ht="13.5" customHeight="1">
      <c r="A52" s="588" t="s">
        <v>2833</v>
      </c>
      <c r="C52" s="694" t="e">
        <f>'Part VII-Pro Forma'!E74-'Part VII-Pro Forma'!F74</f>
        <v>#VALUE!</v>
      </c>
      <c r="D52" s="694" t="e">
        <f>'Part VII-Pro Forma'!F74-'Part VII-Pro Forma'!G74</f>
        <v>#VALUE!</v>
      </c>
      <c r="E52" s="694" t="e">
        <f>'Part VII-Pro Forma'!G74-'Part VII-Pro Forma'!H74</f>
        <v>#VALUE!</v>
      </c>
      <c r="F52" s="694" t="e">
        <f>'Part VII-Pro Forma'!H74-'Part VII-Pro Forma'!I74</f>
        <v>#VALUE!</v>
      </c>
      <c r="G52" s="694" t="e">
        <f>'Part VII-Pro Forma'!I74-'Part VII-Pro Forma'!J74</f>
        <v>#VALUE!</v>
      </c>
      <c r="H52" s="694" t="e">
        <f>'Part VII-Pro Forma'!J74-'Part VII-Pro Forma'!K74</f>
        <v>#VALUE!</v>
      </c>
    </row>
    <row r="53" spans="1:10" ht="13.5" customHeight="1">
      <c r="A53" s="686" t="s">
        <v>3250</v>
      </c>
      <c r="B53" s="687"/>
      <c r="C53" s="1045">
        <f>'Part VII-Pro Forma'!F55</f>
        <v>-27226.615047391999</v>
      </c>
      <c r="D53" s="1045">
        <f>'Part VII-Pro Forma'!G55</f>
        <v>-28043.413498813759</v>
      </c>
      <c r="E53" s="1045">
        <f>'Part VII-Pro Forma'!H55</f>
        <v>-28884.715903778168</v>
      </c>
      <c r="F53" s="1045">
        <f>'Part VII-Pro Forma'!I55</f>
        <v>-29751.257380891511</v>
      </c>
      <c r="G53" s="1045">
        <f>'Part VII-Pro Forma'!J55</f>
        <v>-30643.795102318258</v>
      </c>
      <c r="H53" s="1045">
        <f>'Part VII-Pro Forma'!K55</f>
        <v>-31563.108955387805</v>
      </c>
    </row>
    <row r="54" spans="1:10" ht="13.5" customHeight="1">
      <c r="A54" s="686" t="s">
        <v>3251</v>
      </c>
      <c r="C54" s="1046">
        <f>'Part VII-Pro Forma'!F64</f>
        <v>0</v>
      </c>
      <c r="D54" s="1046">
        <f>'Part VII-Pro Forma'!G64</f>
        <v>0</v>
      </c>
      <c r="E54" s="1046">
        <f>'Part VII-Pro Forma'!H64</f>
        <v>0</v>
      </c>
      <c r="F54" s="1046">
        <f>'Part VII-Pro Forma'!I64</f>
        <v>0</v>
      </c>
      <c r="G54" s="1046">
        <f>'Part VII-Pro Forma'!J64</f>
        <v>0</v>
      </c>
      <c r="H54" s="1046">
        <f>'Part VII-Pro Forma'!K64</f>
        <v>0</v>
      </c>
    </row>
    <row r="55" spans="1:10" ht="13.5" customHeight="1">
      <c r="A55" s="688" t="s">
        <v>2836</v>
      </c>
      <c r="C55" s="689">
        <f t="shared" ref="C55:H55" si="14">$E$3/$H$3</f>
        <v>517289.68836363638</v>
      </c>
      <c r="D55" s="689">
        <f t="shared" si="14"/>
        <v>517289.68836363638</v>
      </c>
      <c r="E55" s="689">
        <f t="shared" si="14"/>
        <v>517289.68836363638</v>
      </c>
      <c r="F55" s="689">
        <f t="shared" si="14"/>
        <v>517289.68836363638</v>
      </c>
      <c r="G55" s="689">
        <f t="shared" si="14"/>
        <v>517289.68836363638</v>
      </c>
      <c r="H55" s="689">
        <f t="shared" si="14"/>
        <v>517289.68836363638</v>
      </c>
    </row>
    <row r="56" spans="1:10" ht="13.5" customHeight="1">
      <c r="A56" s="688" t="s">
        <v>2838</v>
      </c>
      <c r="C56" s="682">
        <f t="shared" ref="C56:H56" si="15">IF(C$48&lt;=$H$4,($E$4/$H$4),0)+IF(C$48&lt;=$H$5,($E$5/$H$5),0)</f>
        <v>11625.714285714286</v>
      </c>
      <c r="D56" s="682">
        <f t="shared" si="15"/>
        <v>2285.7142857142858</v>
      </c>
      <c r="E56" s="682">
        <f t="shared" si="15"/>
        <v>2285.7142857142858</v>
      </c>
      <c r="F56" s="682">
        <f t="shared" si="15"/>
        <v>2285.7142857142858</v>
      </c>
      <c r="G56" s="682">
        <f t="shared" si="15"/>
        <v>2285.7142857142858</v>
      </c>
      <c r="H56" s="682">
        <f t="shared" si="15"/>
        <v>2285.7142857142858</v>
      </c>
    </row>
    <row r="57" spans="1:10" ht="13.5" customHeight="1">
      <c r="A57" s="688" t="s">
        <v>2839</v>
      </c>
      <c r="C57" s="682" t="e">
        <f t="shared" ref="C57:H57" si="16">C49+C50+C51+C52+C53+C54-C55-C56</f>
        <v>#VALUE!</v>
      </c>
      <c r="D57" s="682" t="e">
        <f t="shared" si="16"/>
        <v>#VALUE!</v>
      </c>
      <c r="E57" s="682" t="e">
        <f t="shared" si="16"/>
        <v>#VALUE!</v>
      </c>
      <c r="F57" s="682" t="e">
        <f t="shared" si="16"/>
        <v>#VALUE!</v>
      </c>
      <c r="G57" s="682" t="e">
        <f t="shared" si="16"/>
        <v>#VALUE!</v>
      </c>
      <c r="H57" s="682" t="e">
        <f t="shared" si="16"/>
        <v>#VALUE!</v>
      </c>
    </row>
    <row r="58" spans="1:10" ht="13.5" customHeight="1">
      <c r="A58" s="588" t="s">
        <v>2841</v>
      </c>
      <c r="C58" s="689" t="e">
        <f t="shared" ref="C58:H58" si="17">C57*$H$6</f>
        <v>#VALUE!</v>
      </c>
      <c r="D58" s="689" t="e">
        <f t="shared" si="17"/>
        <v>#VALUE!</v>
      </c>
      <c r="E58" s="689" t="e">
        <f t="shared" si="17"/>
        <v>#VALUE!</v>
      </c>
      <c r="F58" s="689" t="e">
        <f t="shared" si="17"/>
        <v>#VALUE!</v>
      </c>
      <c r="G58" s="689" t="e">
        <f t="shared" si="17"/>
        <v>#VALUE!</v>
      </c>
      <c r="H58" s="689" t="e">
        <f t="shared" si="17"/>
        <v>#VALUE!</v>
      </c>
      <c r="J58" s="588" t="s">
        <v>232</v>
      </c>
    </row>
    <row r="59" spans="1:10" s="695" customFormat="1" ht="16.5" customHeight="1">
      <c r="A59" s="588"/>
      <c r="B59" s="588"/>
      <c r="C59" s="682"/>
      <c r="D59" s="682"/>
      <c r="E59" s="682"/>
      <c r="F59" s="682"/>
      <c r="G59" s="682"/>
      <c r="H59" s="682"/>
      <c r="I59" s="588"/>
      <c r="J59" s="588"/>
    </row>
    <row r="60" spans="1:10">
      <c r="A60" s="588" t="s">
        <v>2843</v>
      </c>
      <c r="C60" s="682" t="e">
        <f t="shared" ref="C60:H60" si="18">C49-C58</f>
        <v>#VALUE!</v>
      </c>
      <c r="D60" s="682" t="e">
        <f t="shared" si="18"/>
        <v>#VALUE!</v>
      </c>
      <c r="E60" s="682" t="e">
        <f t="shared" si="18"/>
        <v>#VALUE!</v>
      </c>
      <c r="F60" s="682" t="e">
        <f t="shared" si="18"/>
        <v>#VALUE!</v>
      </c>
      <c r="G60" s="682" t="e">
        <f t="shared" si="18"/>
        <v>#VALUE!</v>
      </c>
      <c r="H60" s="682" t="e">
        <f t="shared" si="18"/>
        <v>#VALUE!</v>
      </c>
    </row>
    <row r="61" spans="1:10">
      <c r="A61" s="588" t="s">
        <v>2844</v>
      </c>
      <c r="C61" s="689">
        <v>0</v>
      </c>
      <c r="D61" s="689">
        <v>0</v>
      </c>
      <c r="E61" s="689">
        <v>0</v>
      </c>
      <c r="F61" s="689">
        <v>0</v>
      </c>
      <c r="G61" s="689">
        <v>0</v>
      </c>
      <c r="H61" s="682">
        <v>0</v>
      </c>
    </row>
    <row r="62" spans="1:10">
      <c r="A62" s="588" t="s">
        <v>2845</v>
      </c>
      <c r="C62" s="689">
        <v>0</v>
      </c>
      <c r="D62" s="682">
        <v>0</v>
      </c>
      <c r="E62" s="682">
        <v>0</v>
      </c>
      <c r="F62" s="682">
        <v>0</v>
      </c>
      <c r="G62" s="682">
        <v>0</v>
      </c>
      <c r="H62" s="682">
        <v>0</v>
      </c>
    </row>
    <row r="63" spans="1:10">
      <c r="A63" s="588" t="s">
        <v>2847</v>
      </c>
      <c r="C63" s="682">
        <v>0</v>
      </c>
      <c r="D63" s="682">
        <v>0</v>
      </c>
      <c r="E63" s="682">
        <v>0</v>
      </c>
      <c r="F63" s="682">
        <v>0</v>
      </c>
      <c r="G63" s="682">
        <v>0</v>
      </c>
      <c r="H63" s="682" t="e">
        <f>O33</f>
        <v>#VALUE!</v>
      </c>
    </row>
    <row r="64" spans="1:10">
      <c r="A64" s="588" t="s">
        <v>2848</v>
      </c>
      <c r="C64" s="682" t="e">
        <f t="shared" ref="C64:H64" si="19">SUM(C60:C63)</f>
        <v>#VALUE!</v>
      </c>
      <c r="D64" s="682" t="e">
        <f t="shared" si="19"/>
        <v>#VALUE!</v>
      </c>
      <c r="E64" s="682" t="e">
        <f t="shared" si="19"/>
        <v>#VALUE!</v>
      </c>
      <c r="F64" s="682" t="e">
        <f t="shared" si="19"/>
        <v>#VALUE!</v>
      </c>
      <c r="G64" s="682" t="e">
        <f t="shared" si="19"/>
        <v>#VALUE!</v>
      </c>
      <c r="H64" s="682" t="e">
        <f t="shared" si="19"/>
        <v>#VALUE!</v>
      </c>
    </row>
    <row r="66" spans="1:10" ht="15">
      <c r="A66" s="696"/>
      <c r="B66" s="697"/>
      <c r="C66" s="697"/>
      <c r="D66" s="697"/>
      <c r="E66" s="697"/>
      <c r="F66" s="698" t="s">
        <v>2854</v>
      </c>
      <c r="G66" s="4470" t="e">
        <f>IRR(K5:K25)</f>
        <v>#VALUE!</v>
      </c>
      <c r="H66" s="4471"/>
      <c r="I66" s="695"/>
      <c r="J66" s="695"/>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zl8BqPOLKGP6cfFKSG1y/1JU1O+GZ2GSgChQC3kbGeTm7ruq8KC62iealxnWnTDASAccKOvQrPF+D4joIjIr/w==" saltValue="b9as7qwdw0hhQBEZhHLya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K1"/>
    </sheetView>
  </sheetViews>
  <sheetFormatPr defaultColWidth="9.140625" defaultRowHeight="12.75"/>
  <cols>
    <col min="1" max="1" width="6.42578125" style="499" customWidth="1"/>
    <col min="2" max="2" width="16.7109375" style="499" customWidth="1"/>
    <col min="3" max="3" width="4.7109375" style="499" customWidth="1"/>
    <col min="4" max="4" width="6.42578125" style="499" customWidth="1"/>
    <col min="5" max="5" width="16.7109375" style="499" customWidth="1"/>
    <col min="6" max="6" width="4.7109375" style="499" customWidth="1"/>
    <col min="7" max="7" width="6.42578125" style="499" customWidth="1"/>
    <col min="8" max="8" width="16.7109375" style="499" customWidth="1"/>
    <col min="9" max="9" width="4.7109375" style="499" customWidth="1"/>
    <col min="10" max="10" width="6.42578125" style="499" customWidth="1"/>
    <col min="11" max="11" width="16.7109375" style="499" customWidth="1"/>
    <col min="12" max="16384" width="9.140625" style="499"/>
  </cols>
  <sheetData>
    <row r="1" spans="1:11" s="1543" customFormat="1" ht="17.45" customHeight="1">
      <c r="A1" s="4473" t="str">
        <f>'Sensitivity Analysis'!C8</f>
        <v>West Point Village Phase II</v>
      </c>
      <c r="B1" s="4473"/>
      <c r="C1" s="4473"/>
      <c r="D1" s="4473"/>
      <c r="E1" s="4473"/>
      <c r="F1" s="4473"/>
      <c r="G1" s="4473"/>
      <c r="H1" s="4473"/>
      <c r="I1" s="4473"/>
      <c r="J1" s="4473"/>
      <c r="K1" s="4473"/>
    </row>
    <row r="2" spans="1:11" s="1543" customFormat="1" ht="17.45" customHeight="1">
      <c r="A2" s="4472" t="s">
        <v>3005</v>
      </c>
      <c r="B2" s="4472"/>
      <c r="C2" s="4472"/>
      <c r="D2" s="4472"/>
      <c r="E2" s="4472"/>
      <c r="F2" s="4472"/>
      <c r="G2" s="4472"/>
      <c r="H2" s="4472"/>
      <c r="I2" s="4472"/>
      <c r="J2" s="4472"/>
      <c r="K2" s="4472"/>
    </row>
    <row r="3" spans="1:11" ht="9" customHeight="1">
      <c r="A3" s="1542"/>
      <c r="B3" s="1542"/>
      <c r="C3" s="1542"/>
      <c r="D3" s="1542"/>
      <c r="E3" s="1542"/>
      <c r="G3" s="1542"/>
      <c r="H3" s="1542"/>
      <c r="J3" s="1542"/>
      <c r="K3" s="1542"/>
    </row>
    <row r="4" spans="1:11" ht="12.6" customHeight="1">
      <c r="A4" s="4474" t="s">
        <v>6269</v>
      </c>
      <c r="B4" s="4474"/>
      <c r="C4" s="1544"/>
      <c r="D4" s="4474" t="s">
        <v>6270</v>
      </c>
      <c r="E4" s="4474"/>
      <c r="F4" s="1545"/>
      <c r="G4" s="4474" t="s">
        <v>6271</v>
      </c>
      <c r="H4" s="4474"/>
      <c r="I4" s="1545"/>
      <c r="J4" s="4474" t="s">
        <v>6429</v>
      </c>
      <c r="K4" s="4474"/>
    </row>
    <row r="5" spans="1:11" ht="25.9" customHeight="1">
      <c r="A5" s="4475" t="str">
        <f>'Part III-Sources of Funds'!E40</f>
        <v>Grandbridge Real Estate Capital</v>
      </c>
      <c r="B5" s="4476"/>
      <c r="C5" s="1543"/>
      <c r="D5" s="4475">
        <f>'Part III-Sources of Funds'!E41</f>
        <v>0</v>
      </c>
      <c r="E5" s="4476"/>
      <c r="F5" s="1546"/>
      <c r="G5" s="4475">
        <f>'Part III-Sources of Funds'!E42</f>
        <v>0</v>
      </c>
      <c r="H5" s="4476"/>
      <c r="I5" s="1546"/>
      <c r="J5" s="4475">
        <f>'Part III-Sources of Funds'!E43</f>
        <v>0</v>
      </c>
      <c r="K5" s="4476"/>
    </row>
    <row r="6" spans="1:11" ht="9" customHeight="1"/>
    <row r="7" spans="1:11" ht="15.75">
      <c r="A7" s="1048"/>
      <c r="B7" s="1048" t="s">
        <v>2855</v>
      </c>
      <c r="D7" s="1048"/>
      <c r="E7" s="1048" t="s">
        <v>2855</v>
      </c>
      <c r="G7" s="1048"/>
      <c r="H7" s="1048" t="s">
        <v>2855</v>
      </c>
      <c r="J7" s="1048"/>
      <c r="K7" s="1048" t="s">
        <v>2855</v>
      </c>
    </row>
    <row r="8" spans="1:11" ht="15.75">
      <c r="A8" s="1075" t="s">
        <v>2367</v>
      </c>
      <c r="B8" s="1075" t="s">
        <v>2856</v>
      </c>
      <c r="D8" s="1075" t="s">
        <v>2367</v>
      </c>
      <c r="E8" s="1075" t="s">
        <v>2856</v>
      </c>
      <c r="G8" s="1075" t="s">
        <v>2367</v>
      </c>
      <c r="H8" s="1075" t="s">
        <v>2856</v>
      </c>
      <c r="J8" s="1075" t="s">
        <v>2367</v>
      </c>
      <c r="K8" s="1075" t="s">
        <v>2856</v>
      </c>
    </row>
    <row r="9" spans="1:11" ht="6" customHeight="1">
      <c r="A9" s="1049"/>
      <c r="B9" s="1049"/>
      <c r="D9" s="1049"/>
      <c r="E9" s="1049"/>
      <c r="G9" s="1049"/>
      <c r="H9" s="1049"/>
      <c r="J9" s="1049"/>
      <c r="K9" s="1049"/>
    </row>
    <row r="10" spans="1:11" ht="20.25" customHeight="1">
      <c r="A10" s="1050">
        <v>1</v>
      </c>
      <c r="B10" s="1051">
        <f>-'Part VII-Pro Forma'!$B26/12</f>
        <v>10483.036556392024</v>
      </c>
      <c r="D10" s="1050">
        <v>1</v>
      </c>
      <c r="E10" s="1051">
        <f>-'Part VII-Pro Forma'!$B27/12</f>
        <v>0</v>
      </c>
      <c r="G10" s="1050">
        <v>1</v>
      </c>
      <c r="H10" s="1051">
        <f>-'Part VII-Pro Forma'!$B28/12</f>
        <v>0</v>
      </c>
      <c r="J10" s="1050">
        <v>1</v>
      </c>
      <c r="K10" s="1051">
        <f>-'Part VII-Pro Forma'!$B29/12</f>
        <v>0</v>
      </c>
    </row>
    <row r="11" spans="1:11" ht="20.25" customHeight="1">
      <c r="A11" s="1050">
        <v>2</v>
      </c>
      <c r="B11" s="1051">
        <f>-'Part VII-Pro Forma'!$C26/12</f>
        <v>10483.036556392024</v>
      </c>
      <c r="D11" s="1050">
        <v>2</v>
      </c>
      <c r="E11" s="1051">
        <f>-'Part VII-Pro Forma'!$C27/12</f>
        <v>0</v>
      </c>
      <c r="G11" s="1050">
        <v>2</v>
      </c>
      <c r="H11" s="1051">
        <f>-'Part VII-Pro Forma'!$C28/12</f>
        <v>0</v>
      </c>
      <c r="J11" s="1050">
        <v>2</v>
      </c>
      <c r="K11" s="1051">
        <f>-'Part VII-Pro Forma'!$C29/12</f>
        <v>0</v>
      </c>
    </row>
    <row r="12" spans="1:11" ht="20.25" customHeight="1">
      <c r="A12" s="1050">
        <v>3</v>
      </c>
      <c r="B12" s="1051">
        <f>-'Part VII-Pro Forma'!$D26/12</f>
        <v>10483.036556392024</v>
      </c>
      <c r="D12" s="1050">
        <v>3</v>
      </c>
      <c r="E12" s="1051">
        <f>-'Part VII-Pro Forma'!$D27/12</f>
        <v>0</v>
      </c>
      <c r="G12" s="1050">
        <v>3</v>
      </c>
      <c r="H12" s="1051">
        <f>-'Part VII-Pro Forma'!$D28/12</f>
        <v>0</v>
      </c>
      <c r="J12" s="1050">
        <v>3</v>
      </c>
      <c r="K12" s="1051">
        <f>-'Part VII-Pro Forma'!$D29/12</f>
        <v>0</v>
      </c>
    </row>
    <row r="13" spans="1:11" ht="20.25" customHeight="1">
      <c r="A13" s="1052">
        <v>4</v>
      </c>
      <c r="B13" s="1051">
        <f>-'Part VII-Pro Forma'!$E26/12</f>
        <v>10483.036556392024</v>
      </c>
      <c r="D13" s="1052">
        <v>4</v>
      </c>
      <c r="E13" s="1051">
        <f>-'Part VII-Pro Forma'!$E27/12</f>
        <v>0</v>
      </c>
      <c r="G13" s="1052">
        <v>4</v>
      </c>
      <c r="H13" s="1051">
        <f>-'Part VII-Pro Forma'!$E28/12</f>
        <v>0</v>
      </c>
      <c r="J13" s="1052">
        <v>4</v>
      </c>
      <c r="K13" s="1051">
        <f>-'Part VII-Pro Forma'!$E29/12</f>
        <v>0</v>
      </c>
    </row>
    <row r="14" spans="1:11" ht="20.25" customHeight="1">
      <c r="A14" s="1549">
        <v>5</v>
      </c>
      <c r="B14" s="1548">
        <f>-'Part VII-Pro Forma'!$F26/12</f>
        <v>10483.036556392024</v>
      </c>
      <c r="D14" s="1549">
        <v>5</v>
      </c>
      <c r="E14" s="1548">
        <f>-'Part VII-Pro Forma'!$F27/12</f>
        <v>0</v>
      </c>
      <c r="G14" s="1549">
        <v>5</v>
      </c>
      <c r="H14" s="1548">
        <f>-'Part VII-Pro Forma'!$F28/12</f>
        <v>0</v>
      </c>
      <c r="J14" s="1549">
        <v>5</v>
      </c>
      <c r="K14" s="1548">
        <f>-'Part VII-Pro Forma'!$F29/12</f>
        <v>0</v>
      </c>
    </row>
    <row r="15" spans="1:11" ht="20.25" customHeight="1">
      <c r="A15" s="1050">
        <v>6</v>
      </c>
      <c r="B15" s="1051">
        <f>-'Part VII-Pro Forma'!$G26/12</f>
        <v>10483.036556392024</v>
      </c>
      <c r="D15" s="1050">
        <v>6</v>
      </c>
      <c r="E15" s="1051">
        <f>-'Part VII-Pro Forma'!$G27/12</f>
        <v>0</v>
      </c>
      <c r="G15" s="1050">
        <v>6</v>
      </c>
      <c r="H15" s="1051">
        <f>-'Part VII-Pro Forma'!$G28/12</f>
        <v>0</v>
      </c>
      <c r="J15" s="1050">
        <v>6</v>
      </c>
      <c r="K15" s="1051">
        <f>-'Part VII-Pro Forma'!$G29/12</f>
        <v>0</v>
      </c>
    </row>
    <row r="16" spans="1:11" ht="20.25" customHeight="1">
      <c r="A16" s="1050">
        <v>7</v>
      </c>
      <c r="B16" s="1051">
        <f>-'Part VII-Pro Forma'!$H26/12</f>
        <v>10483.036556392024</v>
      </c>
      <c r="D16" s="1050">
        <v>7</v>
      </c>
      <c r="E16" s="1051">
        <f>-'Part VII-Pro Forma'!$H27/12</f>
        <v>0</v>
      </c>
      <c r="G16" s="1050">
        <v>7</v>
      </c>
      <c r="H16" s="1051">
        <f>-'Part VII-Pro Forma'!$H28/12</f>
        <v>0</v>
      </c>
      <c r="J16" s="1050">
        <v>7</v>
      </c>
      <c r="K16" s="1051">
        <f>-'Part VII-Pro Forma'!$H29/12</f>
        <v>0</v>
      </c>
    </row>
    <row r="17" spans="1:11" ht="20.25" customHeight="1">
      <c r="A17" s="1052">
        <v>8</v>
      </c>
      <c r="B17" s="1051">
        <f>-'Part VII-Pro Forma'!$I26/12</f>
        <v>10483.036556392024</v>
      </c>
      <c r="D17" s="1052">
        <v>8</v>
      </c>
      <c r="E17" s="1051">
        <f>-'Part VII-Pro Forma'!$I27/12</f>
        <v>0</v>
      </c>
      <c r="G17" s="1052">
        <v>8</v>
      </c>
      <c r="H17" s="1051">
        <f>-'Part VII-Pro Forma'!$I28/12</f>
        <v>0</v>
      </c>
      <c r="J17" s="1052">
        <v>8</v>
      </c>
      <c r="K17" s="1051">
        <f>-'Part VII-Pro Forma'!$I29/12</f>
        <v>0</v>
      </c>
    </row>
    <row r="18" spans="1:11" ht="20.25" customHeight="1">
      <c r="A18" s="1050">
        <v>9</v>
      </c>
      <c r="B18" s="1051">
        <f>-'Part VII-Pro Forma'!$J26/12</f>
        <v>10483.036556392024</v>
      </c>
      <c r="D18" s="1050">
        <v>9</v>
      </c>
      <c r="E18" s="1051">
        <f>-'Part VII-Pro Forma'!$J27/12</f>
        <v>0</v>
      </c>
      <c r="G18" s="1050">
        <v>9</v>
      </c>
      <c r="H18" s="1051">
        <f>-'Part VII-Pro Forma'!$J28/12</f>
        <v>0</v>
      </c>
      <c r="J18" s="1050">
        <v>9</v>
      </c>
      <c r="K18" s="1051">
        <f>-'Part VII-Pro Forma'!$J29/12</f>
        <v>0</v>
      </c>
    </row>
    <row r="19" spans="1:11" ht="20.25" customHeight="1">
      <c r="A19" s="1547">
        <v>10</v>
      </c>
      <c r="B19" s="1548">
        <f>-'Part VII-Pro Forma'!$K26/12</f>
        <v>10483.036556392024</v>
      </c>
      <c r="D19" s="1547">
        <v>10</v>
      </c>
      <c r="E19" s="1548">
        <f>-'Part VII-Pro Forma'!$K27/12</f>
        <v>0</v>
      </c>
      <c r="G19" s="1547">
        <v>10</v>
      </c>
      <c r="H19" s="1548">
        <f>-'Part VII-Pro Forma'!$K28/12</f>
        <v>0</v>
      </c>
      <c r="J19" s="1547">
        <v>10</v>
      </c>
      <c r="K19" s="1548">
        <f>-'Part VII-Pro Forma'!$K29/12</f>
        <v>0</v>
      </c>
    </row>
    <row r="20" spans="1:11" ht="20.25" customHeight="1">
      <c r="A20" s="1052">
        <v>11</v>
      </c>
      <c r="B20" s="1051">
        <f>-'Part VII-Pro Forma'!$B58/12</f>
        <v>10483.036556392024</v>
      </c>
      <c r="D20" s="1052">
        <v>11</v>
      </c>
      <c r="E20" s="1051">
        <f>-'Part VII-Pro Forma'!$B59/12</f>
        <v>0</v>
      </c>
      <c r="G20" s="1052">
        <v>11</v>
      </c>
      <c r="H20" s="1051">
        <f>-'Part VII-Pro Forma'!$B60/12</f>
        <v>0</v>
      </c>
      <c r="J20" s="1052">
        <v>11</v>
      </c>
      <c r="K20" s="1051">
        <f>-'Part VII-Pro Forma'!$B61/12</f>
        <v>0</v>
      </c>
    </row>
    <row r="21" spans="1:11" ht="20.25" customHeight="1">
      <c r="A21" s="1050">
        <v>12</v>
      </c>
      <c r="B21" s="1051">
        <f>-'Part VII-Pro Forma'!$C58/12</f>
        <v>10483.036556392024</v>
      </c>
      <c r="D21" s="1050">
        <v>12</v>
      </c>
      <c r="E21" s="1051">
        <f>-'Part VII-Pro Forma'!$C59/12</f>
        <v>0</v>
      </c>
      <c r="G21" s="1050">
        <v>12</v>
      </c>
      <c r="H21" s="1051">
        <f>-'Part VII-Pro Forma'!$C60/12</f>
        <v>0</v>
      </c>
      <c r="J21" s="1050">
        <v>12</v>
      </c>
      <c r="K21" s="1051">
        <f>-'Part VII-Pro Forma'!$C61/12</f>
        <v>0</v>
      </c>
    </row>
    <row r="22" spans="1:11" ht="20.25" customHeight="1">
      <c r="A22" s="1050">
        <v>13</v>
      </c>
      <c r="B22" s="1051">
        <f>-'Part VII-Pro Forma'!$D58/12</f>
        <v>10483.036556392024</v>
      </c>
      <c r="D22" s="1050">
        <v>13</v>
      </c>
      <c r="E22" s="1051">
        <f>-'Part VII-Pro Forma'!$D59/12</f>
        <v>0</v>
      </c>
      <c r="G22" s="1050">
        <v>13</v>
      </c>
      <c r="H22" s="1051">
        <f>-'Part VII-Pro Forma'!$D60/12</f>
        <v>0</v>
      </c>
      <c r="J22" s="1050">
        <v>13</v>
      </c>
      <c r="K22" s="1051">
        <f>-'Part VII-Pro Forma'!$D61/12</f>
        <v>0</v>
      </c>
    </row>
    <row r="23" spans="1:11" ht="20.25" customHeight="1">
      <c r="A23" s="1050">
        <v>14</v>
      </c>
      <c r="B23" s="1051">
        <f>-'Part VII-Pro Forma'!$E58/12</f>
        <v>10483.036556392024</v>
      </c>
      <c r="D23" s="1050">
        <v>14</v>
      </c>
      <c r="E23" s="1051">
        <f>-'Part VII-Pro Forma'!$E59/12</f>
        <v>0</v>
      </c>
      <c r="G23" s="1050">
        <v>14</v>
      </c>
      <c r="H23" s="1051">
        <f>-'Part VII-Pro Forma'!$E60/12</f>
        <v>0</v>
      </c>
      <c r="J23" s="1050">
        <v>14</v>
      </c>
      <c r="K23" s="1051">
        <f>-'Part VII-Pro Forma'!$E61/12</f>
        <v>0</v>
      </c>
    </row>
    <row r="24" spans="1:11" ht="20.25" customHeight="1">
      <c r="A24" s="1547">
        <v>15</v>
      </c>
      <c r="B24" s="1548">
        <f>-'Part VII-Pro Forma'!$F58/12</f>
        <v>10483.036556392024</v>
      </c>
      <c r="D24" s="1547">
        <v>15</v>
      </c>
      <c r="E24" s="1548">
        <f>-'Part VII-Pro Forma'!$F59/12</f>
        <v>0</v>
      </c>
      <c r="G24" s="1547">
        <v>15</v>
      </c>
      <c r="H24" s="1548">
        <f>-'Part VII-Pro Forma'!$F60/12</f>
        <v>0</v>
      </c>
      <c r="J24" s="1547">
        <v>15</v>
      </c>
      <c r="K24" s="1548">
        <f>-'Part VII-Pro Forma'!$F61/12</f>
        <v>0</v>
      </c>
    </row>
    <row r="25" spans="1:11" ht="20.25" customHeight="1">
      <c r="A25" s="1050">
        <v>16</v>
      </c>
      <c r="B25" s="1051">
        <f>-'Part VII-Pro Forma'!$G58/12</f>
        <v>10483.036556392024</v>
      </c>
      <c r="D25" s="1050">
        <v>16</v>
      </c>
      <c r="E25" s="1051">
        <f>-'Part VII-Pro Forma'!$G59/12</f>
        <v>0</v>
      </c>
      <c r="G25" s="1050">
        <v>16</v>
      </c>
      <c r="H25" s="1051">
        <f>-'Part VII-Pro Forma'!$G60/12</f>
        <v>0</v>
      </c>
      <c r="J25" s="1050">
        <v>16</v>
      </c>
      <c r="K25" s="1051">
        <f>-'Part VII-Pro Forma'!$G61/12</f>
        <v>0</v>
      </c>
    </row>
    <row r="26" spans="1:11" ht="20.25" customHeight="1">
      <c r="A26" s="1050">
        <v>17</v>
      </c>
      <c r="B26" s="1051">
        <f>-'Part VII-Pro Forma'!$H58/12</f>
        <v>10483.036556392024</v>
      </c>
      <c r="D26" s="1050">
        <v>17</v>
      </c>
      <c r="E26" s="1051">
        <f>-'Part VII-Pro Forma'!$H59/12</f>
        <v>0</v>
      </c>
      <c r="G26" s="1050">
        <v>17</v>
      </c>
      <c r="H26" s="1051">
        <f>-'Part VII-Pro Forma'!$H60/12</f>
        <v>0</v>
      </c>
      <c r="J26" s="1050">
        <v>17</v>
      </c>
      <c r="K26" s="1051">
        <f>-'Part VII-Pro Forma'!$H61/12</f>
        <v>0</v>
      </c>
    </row>
    <row r="27" spans="1:11" ht="20.25" customHeight="1">
      <c r="A27" s="1050">
        <v>18</v>
      </c>
      <c r="B27" s="1051">
        <f>-'Part VII-Pro Forma'!$I58/12</f>
        <v>10483.036556392024</v>
      </c>
      <c r="D27" s="1050">
        <v>18</v>
      </c>
      <c r="E27" s="1051">
        <f>-'Part VII-Pro Forma'!$I59/12</f>
        <v>0</v>
      </c>
      <c r="G27" s="1050">
        <v>18</v>
      </c>
      <c r="H27" s="1051">
        <f>-'Part VII-Pro Forma'!$I60/12</f>
        <v>0</v>
      </c>
      <c r="J27" s="1050">
        <v>18</v>
      </c>
      <c r="K27" s="1051">
        <f>-'Part VII-Pro Forma'!$I61/12</f>
        <v>0</v>
      </c>
    </row>
    <row r="28" spans="1:11" ht="20.25" customHeight="1">
      <c r="A28" s="1050">
        <v>19</v>
      </c>
      <c r="B28" s="1051">
        <f>-'Part VII-Pro Forma'!$J58/12</f>
        <v>10483.036556392024</v>
      </c>
      <c r="D28" s="1050">
        <v>19</v>
      </c>
      <c r="E28" s="1051">
        <f>-'Part VII-Pro Forma'!$J59/12</f>
        <v>0</v>
      </c>
      <c r="G28" s="1050">
        <v>19</v>
      </c>
      <c r="H28" s="1051">
        <f>-'Part VII-Pro Forma'!$J60/12</f>
        <v>0</v>
      </c>
      <c r="J28" s="1050">
        <v>19</v>
      </c>
      <c r="K28" s="1051">
        <f>-'Part VII-Pro Forma'!$J61/12</f>
        <v>0</v>
      </c>
    </row>
    <row r="29" spans="1:11" ht="20.25" customHeight="1">
      <c r="A29" s="1547">
        <v>20</v>
      </c>
      <c r="B29" s="1548">
        <f>-'Part VII-Pro Forma'!$K58/12</f>
        <v>10483.036556392024</v>
      </c>
      <c r="D29" s="1547">
        <v>20</v>
      </c>
      <c r="E29" s="1548">
        <f>-'Part VII-Pro Forma'!$K59/12</f>
        <v>0</v>
      </c>
      <c r="G29" s="1547">
        <v>20</v>
      </c>
      <c r="H29" s="1548">
        <f>-'Part VII-Pro Forma'!$K60/12</f>
        <v>0</v>
      </c>
      <c r="J29" s="1547">
        <v>20</v>
      </c>
      <c r="K29" s="1548">
        <f>-'Part VII-Pro Forma'!$K61/12</f>
        <v>0</v>
      </c>
    </row>
    <row r="30" spans="1:11" ht="20.25" customHeight="1">
      <c r="A30" s="1050">
        <v>21</v>
      </c>
      <c r="B30" s="1051">
        <f>-'Part VII-Pro Forma'!$B90/12</f>
        <v>10483.036556392024</v>
      </c>
      <c r="D30" s="1050">
        <v>21</v>
      </c>
      <c r="E30" s="1051">
        <f>-'Part VII-Pro Forma'!$B91/12</f>
        <v>0</v>
      </c>
      <c r="G30" s="1050">
        <v>21</v>
      </c>
      <c r="H30" s="1051">
        <f>-'Part VII-Pro Forma'!$B92/12</f>
        <v>0</v>
      </c>
      <c r="J30" s="1050">
        <v>21</v>
      </c>
      <c r="K30" s="1051">
        <f>-'Part VII-Pro Forma'!$B93/12</f>
        <v>0</v>
      </c>
    </row>
    <row r="31" spans="1:11" ht="20.25" customHeight="1">
      <c r="A31" s="1050">
        <v>22</v>
      </c>
      <c r="B31" s="1051">
        <f>-'Part VII-Pro Forma'!$C90/12</f>
        <v>10483.036556392024</v>
      </c>
      <c r="D31" s="1050">
        <v>22</v>
      </c>
      <c r="E31" s="1051">
        <f>-'Part VII-Pro Forma'!$C91/12</f>
        <v>0</v>
      </c>
      <c r="G31" s="1050">
        <v>22</v>
      </c>
      <c r="H31" s="1051">
        <f>-'Part VII-Pro Forma'!$C92/12</f>
        <v>0</v>
      </c>
      <c r="J31" s="1050">
        <v>22</v>
      </c>
      <c r="K31" s="1051">
        <f>-'Part VII-Pro Forma'!$C93/12</f>
        <v>0</v>
      </c>
    </row>
    <row r="32" spans="1:11" ht="20.25" customHeight="1">
      <c r="A32" s="1050">
        <v>23</v>
      </c>
      <c r="B32" s="1051">
        <f>-'Part VII-Pro Forma'!$D90/12</f>
        <v>10483.036556392024</v>
      </c>
      <c r="D32" s="1050">
        <v>23</v>
      </c>
      <c r="E32" s="1051">
        <f>-'Part VII-Pro Forma'!$D91/12</f>
        <v>0</v>
      </c>
      <c r="G32" s="1050">
        <v>23</v>
      </c>
      <c r="H32" s="1051">
        <f>-'Part VII-Pro Forma'!$D92/12</f>
        <v>0</v>
      </c>
      <c r="J32" s="1050">
        <v>23</v>
      </c>
      <c r="K32" s="1051">
        <f>-'Part VII-Pro Forma'!$D93/12</f>
        <v>0</v>
      </c>
    </row>
    <row r="33" spans="1:11" ht="20.25" customHeight="1">
      <c r="A33" s="1050">
        <v>24</v>
      </c>
      <c r="B33" s="1051">
        <f>-'Part VII-Pro Forma'!$E90/12</f>
        <v>10483.036556392024</v>
      </c>
      <c r="D33" s="1050">
        <v>24</v>
      </c>
      <c r="E33" s="1051">
        <f>-'Part VII-Pro Forma'!$E91/12</f>
        <v>0</v>
      </c>
      <c r="G33" s="1050">
        <v>24</v>
      </c>
      <c r="H33" s="1051">
        <f>-'Part VII-Pro Forma'!$E92/12</f>
        <v>0</v>
      </c>
      <c r="J33" s="1050">
        <v>24</v>
      </c>
      <c r="K33" s="1051">
        <f>-'Part VII-Pro Forma'!$E93/12</f>
        <v>0</v>
      </c>
    </row>
    <row r="34" spans="1:11" ht="20.25" customHeight="1">
      <c r="A34" s="1547">
        <v>25</v>
      </c>
      <c r="B34" s="1548">
        <f>-'Part VII-Pro Forma'!$F90/12</f>
        <v>10483.036556392024</v>
      </c>
      <c r="D34" s="1547">
        <v>25</v>
      </c>
      <c r="E34" s="1548">
        <f>-'Part VII-Pro Forma'!$F91/12</f>
        <v>0</v>
      </c>
      <c r="G34" s="1547">
        <v>25</v>
      </c>
      <c r="H34" s="1548">
        <f>-'Part VII-Pro Forma'!$F92/12</f>
        <v>0</v>
      </c>
      <c r="J34" s="1547">
        <v>25</v>
      </c>
      <c r="K34" s="1548">
        <f>-'Part VII-Pro Forma'!$F93/12</f>
        <v>0</v>
      </c>
    </row>
    <row r="35" spans="1:11" ht="20.25" customHeight="1">
      <c r="A35" s="1050">
        <v>26</v>
      </c>
      <c r="B35" s="1051">
        <f>-'Part VII-Pro Forma'!$G90/12</f>
        <v>10483.036556392024</v>
      </c>
      <c r="D35" s="1050">
        <v>26</v>
      </c>
      <c r="E35" s="1051">
        <f>-'Part VII-Pro Forma'!$G91/12</f>
        <v>0</v>
      </c>
      <c r="G35" s="1050">
        <v>26</v>
      </c>
      <c r="H35" s="1051">
        <f>-'Part VII-Pro Forma'!$G92/12</f>
        <v>0</v>
      </c>
      <c r="J35" s="1050">
        <v>26</v>
      </c>
      <c r="K35" s="1051">
        <f>-'Part VII-Pro Forma'!$G93/12</f>
        <v>0</v>
      </c>
    </row>
    <row r="36" spans="1:11" ht="20.25" customHeight="1">
      <c r="A36" s="1050">
        <v>27</v>
      </c>
      <c r="B36" s="1051">
        <f>-'Part VII-Pro Forma'!$H90/12</f>
        <v>10483.036556392024</v>
      </c>
      <c r="D36" s="1050">
        <v>27</v>
      </c>
      <c r="E36" s="1051">
        <f>-'Part VII-Pro Forma'!$H91/12</f>
        <v>0</v>
      </c>
      <c r="G36" s="1050">
        <v>27</v>
      </c>
      <c r="H36" s="1051">
        <f>-'Part VII-Pro Forma'!$H92/12</f>
        <v>0</v>
      </c>
      <c r="J36" s="1050">
        <v>27</v>
      </c>
      <c r="K36" s="1051">
        <f>-'Part VII-Pro Forma'!$H93/12</f>
        <v>0</v>
      </c>
    </row>
    <row r="37" spans="1:11" ht="20.25" customHeight="1">
      <c r="A37" s="1050">
        <v>28</v>
      </c>
      <c r="B37" s="1051">
        <f>-'Part VII-Pro Forma'!$I90/12</f>
        <v>10483.036556392024</v>
      </c>
      <c r="D37" s="1050">
        <v>28</v>
      </c>
      <c r="E37" s="1051">
        <f>-'Part VII-Pro Forma'!$I91/12</f>
        <v>0</v>
      </c>
      <c r="G37" s="1050">
        <v>28</v>
      </c>
      <c r="H37" s="1051">
        <f>-'Part VII-Pro Forma'!$I92/12</f>
        <v>0</v>
      </c>
      <c r="J37" s="1050">
        <v>28</v>
      </c>
      <c r="K37" s="1051">
        <f>-'Part VII-Pro Forma'!$I93/12</f>
        <v>0</v>
      </c>
    </row>
    <row r="38" spans="1:11" ht="20.25" customHeight="1">
      <c r="A38" s="1050">
        <v>29</v>
      </c>
      <c r="B38" s="1051">
        <f>-'Part VII-Pro Forma'!$J90/12</f>
        <v>10483.036556392024</v>
      </c>
      <c r="D38" s="1050">
        <v>29</v>
      </c>
      <c r="E38" s="1051">
        <f>-'Part VII-Pro Forma'!$J91/12</f>
        <v>0</v>
      </c>
      <c r="G38" s="1050">
        <v>29</v>
      </c>
      <c r="H38" s="1051">
        <f>-'Part VII-Pro Forma'!$J92/12</f>
        <v>0</v>
      </c>
      <c r="J38" s="1050">
        <v>29</v>
      </c>
      <c r="K38" s="1051">
        <f>-'Part VII-Pro Forma'!$J93/12</f>
        <v>0</v>
      </c>
    </row>
    <row r="39" spans="1:11" ht="20.25" customHeight="1">
      <c r="A39" s="1547">
        <v>30</v>
      </c>
      <c r="B39" s="1548">
        <f>-'Part VII-Pro Forma'!$K90/12</f>
        <v>10483.036556392024</v>
      </c>
      <c r="D39" s="1547">
        <v>30</v>
      </c>
      <c r="E39" s="1548">
        <f>-'Part VII-Pro Forma'!$K91/12</f>
        <v>0</v>
      </c>
      <c r="G39" s="1547">
        <v>30</v>
      </c>
      <c r="H39" s="1548">
        <f>-'Part VII-Pro Forma'!$K92/12</f>
        <v>0</v>
      </c>
      <c r="J39" s="1547">
        <v>30</v>
      </c>
      <c r="K39" s="1548">
        <f>-'Part VII-Pro Forma'!$K93/12</f>
        <v>0</v>
      </c>
    </row>
    <row r="40" spans="1:11" ht="20.25" customHeight="1">
      <c r="A40" s="1052">
        <v>31</v>
      </c>
      <c r="B40" s="1051">
        <f>-'Part VII-Pro Forma'!$B120/12</f>
        <v>10483.036556392024</v>
      </c>
      <c r="D40" s="1052">
        <v>31</v>
      </c>
      <c r="E40" s="1051">
        <f>-'Part VII-Pro Forma'!$B121/12</f>
        <v>0</v>
      </c>
      <c r="G40" s="1052">
        <v>31</v>
      </c>
      <c r="H40" s="1051">
        <f>-'Part VII-Pro Forma'!$B122/12</f>
        <v>0</v>
      </c>
      <c r="J40" s="1052">
        <v>31</v>
      </c>
      <c r="K40" s="1051">
        <f>-'Part VII-Pro Forma'!$B123/12</f>
        <v>0</v>
      </c>
    </row>
    <row r="41" spans="1:11" ht="20.25" customHeight="1">
      <c r="A41" s="1052">
        <v>32</v>
      </c>
      <c r="B41" s="1051">
        <f>-'Part VII-Pro Forma'!$C120/12</f>
        <v>10483.036556392024</v>
      </c>
      <c r="D41" s="1052">
        <v>32</v>
      </c>
      <c r="E41" s="1051">
        <f>-'Part VII-Pro Forma'!$C121/12</f>
        <v>0</v>
      </c>
      <c r="G41" s="1052">
        <v>32</v>
      </c>
      <c r="H41" s="1051">
        <f>-'Part VII-Pro Forma'!$C122/12</f>
        <v>0</v>
      </c>
      <c r="J41" s="1052">
        <v>32</v>
      </c>
      <c r="K41" s="1051">
        <f>-'Part VII-Pro Forma'!$C123/12</f>
        <v>0</v>
      </c>
    </row>
    <row r="42" spans="1:11" ht="20.25" customHeight="1">
      <c r="A42" s="1050">
        <v>33</v>
      </c>
      <c r="B42" s="1051">
        <f>-'Part VII-Pro Forma'!$D120/12</f>
        <v>10483.036556392024</v>
      </c>
      <c r="D42" s="1050">
        <v>33</v>
      </c>
      <c r="E42" s="1051">
        <f>-'Part VII-Pro Forma'!$D121/12</f>
        <v>0</v>
      </c>
      <c r="G42" s="1050">
        <v>33</v>
      </c>
      <c r="H42" s="1051">
        <f>-'Part VII-Pro Forma'!$D122/12</f>
        <v>0</v>
      </c>
      <c r="J42" s="1050">
        <v>33</v>
      </c>
      <c r="K42" s="1051">
        <f>-'Part VII-Pro Forma'!$D123/12</f>
        <v>0</v>
      </c>
    </row>
    <row r="43" spans="1:11" ht="20.25" customHeight="1">
      <c r="A43" s="1050">
        <v>34</v>
      </c>
      <c r="B43" s="1051">
        <f>-'Part VII-Pro Forma'!$E120/12</f>
        <v>10483.036556392024</v>
      </c>
      <c r="D43" s="1050">
        <v>34</v>
      </c>
      <c r="E43" s="1051">
        <f>-'Part VII-Pro Forma'!$E121/12</f>
        <v>0</v>
      </c>
      <c r="G43" s="1050">
        <v>34</v>
      </c>
      <c r="H43" s="1051">
        <f>-'Part VII-Pro Forma'!$E122/12</f>
        <v>0</v>
      </c>
      <c r="J43" s="1050">
        <v>34</v>
      </c>
      <c r="K43" s="1051">
        <f>-'Part VII-Pro Forma'!$E123/12</f>
        <v>0</v>
      </c>
    </row>
    <row r="44" spans="1:11" ht="20.25" customHeight="1">
      <c r="A44" s="1050">
        <v>35</v>
      </c>
      <c r="B44" s="1051">
        <f>-'Part VII-Pro Forma'!$F120/12</f>
        <v>10483.036556392024</v>
      </c>
      <c r="D44" s="1050">
        <v>35</v>
      </c>
      <c r="E44" s="1051">
        <f>-'Part VII-Pro Forma'!$F121/12</f>
        <v>0</v>
      </c>
      <c r="G44" s="1050">
        <v>35</v>
      </c>
      <c r="H44" s="1051">
        <f>-'Part VII-Pro Forma'!$F122/12</f>
        <v>0</v>
      </c>
      <c r="J44" s="1050">
        <v>35</v>
      </c>
      <c r="K44" s="1051">
        <f>-'Part VII-Pro Forma'!$F123/12</f>
        <v>0</v>
      </c>
    </row>
  </sheetData>
  <sheetProtection algorithmName="SHA-512" hashValue="q20d97G28AQzqH4qPVWe28KPjasVuAl5QFIsikyCu1Ze2Zvj8f0Gqd9yy5wP34iNA6Gyb6WCje6CiQ03inZ9mg==" saltValue="CWG8l5xKotdOtiAgBOc7vg=="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6" orientation="portrait" r:id="rId1"/>
  <headerFooter>
    <oddFooter>&amp;LGeorgia Department of Community Affairs&amp;ROffice of Housing Finance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91"/>
  <sheetViews>
    <sheetView showGridLines="0" topLeftCell="A2" zoomScale="110" zoomScaleNormal="110" workbookViewId="0">
      <selection activeCell="A2" sqref="A1:XFD1048576"/>
    </sheetView>
  </sheetViews>
  <sheetFormatPr defaultColWidth="9.140625" defaultRowHeight="12.75"/>
  <cols>
    <col min="1" max="1" width="3.140625" style="307" customWidth="1"/>
    <col min="2" max="2" width="2.140625" style="325" customWidth="1"/>
    <col min="3" max="16" width="8.85546875" style="307" customWidth="1"/>
    <col min="17" max="17" width="9.140625" style="307"/>
    <col min="18" max="18" width="10.28515625" style="307" bestFit="1" customWidth="1"/>
    <col min="19" max="19" width="9.140625" style="307"/>
    <col min="20" max="20" width="10.28515625" style="307" bestFit="1" customWidth="1"/>
    <col min="21" max="25" width="9.140625" style="307"/>
    <col min="26" max="26" width="9.140625" style="1753"/>
    <col min="27" max="16384" width="9.140625" style="307"/>
  </cols>
  <sheetData>
    <row r="1" spans="1:26" s="2674" customFormat="1" ht="9" hidden="1" customHeight="1">
      <c r="A1" s="2673"/>
      <c r="B1" s="2673" t="s">
        <v>6618</v>
      </c>
      <c r="C1" s="2673"/>
      <c r="D1" s="2673"/>
      <c r="E1" s="2673"/>
      <c r="F1" s="2673" t="s">
        <v>6619</v>
      </c>
      <c r="G1" s="2673" t="s">
        <v>6620</v>
      </c>
      <c r="H1" s="2673" t="s">
        <v>6621</v>
      </c>
      <c r="I1" s="2673" t="s">
        <v>6622</v>
      </c>
      <c r="J1" s="2673" t="s">
        <v>6623</v>
      </c>
      <c r="K1" s="2673" t="s">
        <v>6624</v>
      </c>
      <c r="L1" s="2673"/>
      <c r="M1" s="2673"/>
      <c r="N1" s="2673" t="s">
        <v>6625</v>
      </c>
      <c r="O1" s="2673" t="s">
        <v>6626</v>
      </c>
      <c r="P1" s="2673" t="s">
        <v>6627</v>
      </c>
      <c r="Z1" s="1773">
        <v>1</v>
      </c>
    </row>
    <row r="2" spans="1:26" s="289" customFormat="1" ht="14.1" customHeight="1">
      <c r="A2" s="3357" t="str">
        <f>CONCATENATE("PART ONE - PROJECT INFORMATION"," - ",$O$7," ",$F$35,", ",'Part I-Project Information'!F39,", ",'Part I-Project Information'!J40," County")</f>
        <v>PART ONE - PROJECT INFORMATION - 2021-067 West Point Village Phase II, West Point, Troup County</v>
      </c>
      <c r="B2" s="3358"/>
      <c r="C2" s="3358"/>
      <c r="D2" s="3358"/>
      <c r="E2" s="3358"/>
      <c r="F2" s="3358"/>
      <c r="G2" s="3358"/>
      <c r="H2" s="3358"/>
      <c r="I2" s="3358"/>
      <c r="J2" s="3358"/>
      <c r="K2" s="3358"/>
      <c r="L2" s="3358"/>
      <c r="M2" s="3358"/>
      <c r="N2" s="3358"/>
      <c r="O2" s="3358"/>
      <c r="P2" s="3359"/>
      <c r="Z2" s="1773">
        <v>2</v>
      </c>
    </row>
    <row r="3" spans="1:26" s="289" customFormat="1" ht="6" customHeight="1">
      <c r="A3" s="772"/>
      <c r="B3" s="772"/>
      <c r="C3" s="772"/>
      <c r="D3" s="772"/>
      <c r="E3" s="772"/>
      <c r="F3" s="772"/>
      <c r="G3" s="772"/>
      <c r="H3" s="772"/>
      <c r="I3" s="772"/>
      <c r="J3" s="772"/>
      <c r="K3" s="772"/>
      <c r="L3" s="772"/>
      <c r="M3" s="772"/>
      <c r="N3" s="772"/>
      <c r="O3" s="772"/>
      <c r="P3" s="772"/>
      <c r="Z3" s="1773">
        <v>3</v>
      </c>
    </row>
    <row r="4" spans="1:26" s="289" customFormat="1" ht="37.5" customHeight="1">
      <c r="A4" s="3368" t="s">
        <v>6281</v>
      </c>
      <c r="B4" s="3368"/>
      <c r="C4" s="3368"/>
      <c r="D4" s="3368"/>
      <c r="E4" s="3368"/>
      <c r="F4" s="3368"/>
      <c r="G4" s="3368"/>
      <c r="H4" s="3368"/>
      <c r="I4" s="3368"/>
      <c r="J4" s="3368"/>
      <c r="K4" s="3368"/>
      <c r="L4" s="3368"/>
      <c r="M4" s="3368"/>
      <c r="N4" s="3368"/>
      <c r="O4" s="3368"/>
      <c r="P4" s="3368"/>
      <c r="Z4" s="1773">
        <v>4</v>
      </c>
    </row>
    <row r="5" spans="1:26" s="289" customFormat="1" ht="6" customHeight="1">
      <c r="A5" s="772"/>
      <c r="B5" s="772"/>
      <c r="C5" s="772"/>
      <c r="D5" s="772"/>
      <c r="E5" s="772"/>
      <c r="F5" s="772"/>
      <c r="G5" s="772"/>
      <c r="H5" s="772"/>
      <c r="I5" s="772"/>
      <c r="J5" s="772"/>
      <c r="K5" s="772"/>
      <c r="L5" s="772"/>
      <c r="M5" s="772"/>
      <c r="N5" s="772"/>
      <c r="O5" s="772"/>
      <c r="P5" s="772"/>
      <c r="Z5" s="1773">
        <v>5</v>
      </c>
    </row>
    <row r="6" spans="1:26" s="289" customFormat="1" ht="12" customHeight="1" thickBot="1">
      <c r="B6" s="1662" t="s">
        <v>2258</v>
      </c>
      <c r="F6" s="290"/>
      <c r="G6" s="266" t="s">
        <v>3988</v>
      </c>
      <c r="L6" s="772"/>
      <c r="P6" s="936" t="s">
        <v>3428</v>
      </c>
      <c r="Z6" s="1773">
        <v>6</v>
      </c>
    </row>
    <row r="7" spans="1:26" s="289" customFormat="1" ht="12" customHeight="1" thickBot="1">
      <c r="B7" s="3369" t="s">
        <v>6850</v>
      </c>
      <c r="C7" s="3369"/>
      <c r="D7" s="3369"/>
      <c r="E7" s="1067"/>
      <c r="F7" s="292"/>
      <c r="G7" s="266" t="s">
        <v>6294</v>
      </c>
      <c r="H7" s="2629"/>
      <c r="I7" s="2629"/>
      <c r="J7" s="2629"/>
      <c r="O7" s="3360" t="s">
        <v>7048</v>
      </c>
      <c r="P7" s="3361"/>
      <c r="Z7" s="1773">
        <v>7</v>
      </c>
    </row>
    <row r="8" spans="1:26" s="289" customFormat="1" ht="12" customHeight="1">
      <c r="B8" s="3369"/>
      <c r="C8" s="3369"/>
      <c r="D8" s="3369"/>
      <c r="E8" s="1067"/>
      <c r="F8" s="490"/>
      <c r="G8" s="170" t="s">
        <v>3078</v>
      </c>
      <c r="H8" s="2629"/>
      <c r="I8" s="2629"/>
      <c r="J8" s="2629"/>
      <c r="Z8" s="1773">
        <v>8</v>
      </c>
    </row>
    <row r="9" spans="1:26" s="289" customFormat="1" ht="6" customHeight="1">
      <c r="A9" s="1711"/>
      <c r="B9" s="3369"/>
      <c r="C9" s="3369"/>
      <c r="D9" s="3369"/>
      <c r="E9" s="2629"/>
      <c r="H9" s="2629"/>
      <c r="I9" s="2629"/>
      <c r="M9" s="2629"/>
      <c r="Z9" s="1773">
        <v>9</v>
      </c>
    </row>
    <row r="10" spans="1:26" s="289" customFormat="1" ht="13.35" customHeight="1">
      <c r="A10" s="291" t="s">
        <v>586</v>
      </c>
      <c r="B10" s="291" t="s">
        <v>2269</v>
      </c>
      <c r="D10" s="267"/>
      <c r="E10" s="293"/>
      <c r="F10" s="2621" t="s">
        <v>3402</v>
      </c>
      <c r="I10" s="3362">
        <f>'Part IV-A-Uses of Funds'!$J$197</f>
        <v>900000</v>
      </c>
      <c r="J10" s="3363"/>
      <c r="L10" s="289" t="s">
        <v>3403</v>
      </c>
      <c r="O10" s="3364">
        <f>'Part III-Sources of Funds'!$I$6</f>
        <v>0</v>
      </c>
      <c r="P10" s="3365"/>
      <c r="Z10" s="1773">
        <v>10</v>
      </c>
    </row>
    <row r="11" spans="1:26" s="289" customFormat="1" ht="6" customHeight="1">
      <c r="A11" s="291"/>
      <c r="B11" s="291"/>
      <c r="D11" s="267"/>
      <c r="E11" s="293"/>
      <c r="F11" s="293"/>
      <c r="I11" s="294"/>
      <c r="N11" s="295"/>
      <c r="Z11" s="1773">
        <v>11</v>
      </c>
    </row>
    <row r="12" spans="1:26" s="289" customFormat="1" ht="13.35" customHeight="1">
      <c r="A12" s="294" t="s">
        <v>710</v>
      </c>
      <c r="B12" s="291" t="s">
        <v>1947</v>
      </c>
      <c r="F12" s="3347" t="s">
        <v>6852</v>
      </c>
      <c r="G12" s="3348"/>
      <c r="H12" s="3349"/>
      <c r="I12" s="2675" t="s">
        <v>3345</v>
      </c>
      <c r="J12" s="474" t="s">
        <v>6606</v>
      </c>
      <c r="K12" s="299"/>
      <c r="L12" s="2629"/>
      <c r="O12" s="3366" t="s">
        <v>6853</v>
      </c>
      <c r="P12" s="3367"/>
      <c r="Z12" s="1773">
        <v>12</v>
      </c>
    </row>
    <row r="13" spans="1:26" s="289" customFormat="1" ht="12.75" customHeight="1">
      <c r="A13" s="1711"/>
      <c r="B13" s="1326"/>
      <c r="C13" s="1326"/>
      <c r="D13" s="1326"/>
      <c r="E13" s="1326"/>
      <c r="H13" s="2629"/>
      <c r="J13" s="1011" t="s">
        <v>4082</v>
      </c>
      <c r="K13" s="1662"/>
      <c r="M13" s="2629"/>
      <c r="O13" s="3370" t="s">
        <v>2771</v>
      </c>
      <c r="P13" s="3371"/>
      <c r="Z13" s="1773">
        <v>13</v>
      </c>
    </row>
    <row r="14" spans="1:26" s="289" customFormat="1" ht="3" customHeight="1">
      <c r="A14" s="1711"/>
      <c r="B14" s="1326"/>
      <c r="C14" s="1326"/>
      <c r="D14" s="1326"/>
      <c r="E14" s="1326"/>
      <c r="H14" s="2629"/>
      <c r="J14" s="475"/>
      <c r="K14" s="1662"/>
      <c r="M14" s="2629"/>
      <c r="Z14" s="1773">
        <v>14</v>
      </c>
    </row>
    <row r="15" spans="1:26" s="289" customFormat="1" ht="12.75" customHeight="1">
      <c r="A15" s="1711"/>
      <c r="B15" s="1326" t="s">
        <v>4286</v>
      </c>
      <c r="C15" s="1326"/>
      <c r="D15" s="1326"/>
      <c r="E15" s="1326"/>
      <c r="F15" s="2676" t="s">
        <v>2771</v>
      </c>
      <c r="G15" s="2620" t="s">
        <v>4287</v>
      </c>
      <c r="N15" s="3347" t="s">
        <v>4083</v>
      </c>
      <c r="O15" s="3348"/>
      <c r="P15" s="3349"/>
      <c r="Z15" s="1773">
        <v>15</v>
      </c>
    </row>
    <row r="16" spans="1:26" s="289" customFormat="1" ht="12.75" customHeight="1">
      <c r="A16" s="1711"/>
      <c r="B16" s="289" t="s">
        <v>4280</v>
      </c>
      <c r="D16" s="299"/>
      <c r="F16" s="3279"/>
      <c r="G16" s="3345"/>
      <c r="H16" s="3345"/>
      <c r="I16" s="3346"/>
      <c r="J16" s="289" t="s">
        <v>4118</v>
      </c>
      <c r="L16" s="3160"/>
      <c r="M16" s="3162"/>
      <c r="N16" s="289" t="s">
        <v>4117</v>
      </c>
      <c r="P16" s="2677"/>
      <c r="Z16" s="1773">
        <v>16</v>
      </c>
    </row>
    <row r="17" spans="1:26" s="289" customFormat="1" ht="12.75" customHeight="1">
      <c r="A17" s="1711"/>
      <c r="B17" s="289" t="s">
        <v>3401</v>
      </c>
      <c r="F17" s="2676"/>
      <c r="G17" s="289" t="s">
        <v>4075</v>
      </c>
      <c r="H17" s="2629"/>
      <c r="I17" s="170"/>
      <c r="J17" s="475"/>
      <c r="N17" s="3351" t="s">
        <v>2674</v>
      </c>
      <c r="O17" s="3352"/>
      <c r="P17" s="3353"/>
      <c r="Z17" s="1773">
        <v>17</v>
      </c>
    </row>
    <row r="18" spans="1:26" s="289" customFormat="1" ht="6" customHeight="1">
      <c r="I18" s="267"/>
      <c r="J18" s="267"/>
      <c r="K18" s="267"/>
      <c r="L18" s="267"/>
      <c r="M18" s="267"/>
      <c r="N18" s="267"/>
      <c r="O18" s="267"/>
      <c r="P18" s="267"/>
      <c r="Z18" s="1773">
        <v>18</v>
      </c>
    </row>
    <row r="19" spans="1:26" s="289" customFormat="1" ht="13.35" customHeight="1">
      <c r="A19" s="294" t="s">
        <v>712</v>
      </c>
      <c r="B19" s="291" t="s">
        <v>3824</v>
      </c>
      <c r="D19" s="2621"/>
      <c r="E19" s="293"/>
      <c r="G19" s="296"/>
      <c r="H19" s="296"/>
      <c r="I19" s="296"/>
      <c r="L19" s="295"/>
      <c r="Z19" s="1773">
        <v>19</v>
      </c>
    </row>
    <row r="20" spans="1:26" s="289" customFormat="1" ht="1.5" customHeight="1">
      <c r="A20" s="294"/>
      <c r="B20" s="293"/>
      <c r="C20" s="291"/>
      <c r="D20" s="2621"/>
      <c r="E20" s="293"/>
      <c r="G20" s="296"/>
      <c r="H20" s="296"/>
      <c r="I20" s="296"/>
      <c r="K20" s="295"/>
      <c r="L20" s="295"/>
      <c r="O20" s="772"/>
      <c r="Z20" s="1773">
        <v>20</v>
      </c>
    </row>
    <row r="21" spans="1:26" s="289" customFormat="1" ht="13.35" customHeight="1">
      <c r="B21" s="289" t="s">
        <v>3434</v>
      </c>
      <c r="F21" s="3136" t="s">
        <v>6854</v>
      </c>
      <c r="G21" s="3137"/>
      <c r="H21" s="3138"/>
      <c r="I21" s="1246" t="s">
        <v>1716</v>
      </c>
      <c r="J21" s="3136" t="s">
        <v>6856</v>
      </c>
      <c r="K21" s="3137"/>
      <c r="L21" s="3138"/>
      <c r="M21" s="321" t="s">
        <v>1889</v>
      </c>
      <c r="N21" s="3160" t="s">
        <v>6857</v>
      </c>
      <c r="O21" s="3161"/>
      <c r="P21" s="3162"/>
      <c r="Z21" s="1773">
        <v>21</v>
      </c>
    </row>
    <row r="22" spans="1:26" s="289" customFormat="1" ht="13.35" customHeight="1">
      <c r="B22" s="2621" t="s">
        <v>1890</v>
      </c>
      <c r="F22" s="3290" t="s">
        <v>6858</v>
      </c>
      <c r="G22" s="3156"/>
      <c r="H22" s="3156"/>
      <c r="I22" s="3151"/>
      <c r="J22" s="3156"/>
      <c r="K22" s="3291"/>
      <c r="L22" s="3187"/>
      <c r="M22" s="3354" t="s">
        <v>3433</v>
      </c>
      <c r="N22" s="3355"/>
      <c r="O22" s="3355"/>
      <c r="P22" s="3355"/>
      <c r="Z22" s="1773">
        <v>22</v>
      </c>
    </row>
    <row r="23" spans="1:26" s="289" customFormat="1" ht="13.35" customHeight="1">
      <c r="B23" s="2621" t="s">
        <v>588</v>
      </c>
      <c r="F23" s="3290" t="s">
        <v>1195</v>
      </c>
      <c r="G23" s="3156"/>
      <c r="H23" s="3292"/>
      <c r="I23" s="2621" t="s">
        <v>1717</v>
      </c>
      <c r="J23" s="2678" t="s">
        <v>1305</v>
      </c>
      <c r="M23" s="3354"/>
      <c r="N23" s="3354"/>
      <c r="O23" s="3354"/>
      <c r="P23" s="3354"/>
      <c r="Z23" s="1773">
        <v>23</v>
      </c>
    </row>
    <row r="24" spans="1:26" s="289" customFormat="1" ht="13.35" customHeight="1">
      <c r="B24" s="2620" t="s">
        <v>2127</v>
      </c>
      <c r="F24" s="3328">
        <v>187073535</v>
      </c>
      <c r="G24" s="3356"/>
      <c r="H24" s="3329"/>
      <c r="I24" s="2621" t="s">
        <v>1643</v>
      </c>
      <c r="J24" s="3350">
        <v>2673868668</v>
      </c>
      <c r="K24" s="3135"/>
      <c r="L24" s="2623" t="s">
        <v>1642</v>
      </c>
      <c r="M24" s="2679"/>
      <c r="N24" s="2620" t="s">
        <v>1644</v>
      </c>
      <c r="O24" s="3133">
        <v>2673868668</v>
      </c>
      <c r="P24" s="3135"/>
      <c r="Z24" s="1773">
        <v>24</v>
      </c>
    </row>
    <row r="25" spans="1:26" s="289" customFormat="1" ht="13.35" customHeight="1">
      <c r="B25" s="2620" t="s">
        <v>1893</v>
      </c>
      <c r="F25" s="3150" t="s">
        <v>6859</v>
      </c>
      <c r="G25" s="3151"/>
      <c r="H25" s="3151"/>
      <c r="I25" s="3300"/>
      <c r="J25" s="3151"/>
      <c r="K25" s="3152"/>
      <c r="N25" s="2620" t="s">
        <v>1888</v>
      </c>
      <c r="O25" s="3275"/>
      <c r="P25" s="3277"/>
      <c r="Z25" s="1773">
        <v>25</v>
      </c>
    </row>
    <row r="26" spans="1:26" s="289" customFormat="1" ht="13.5" customHeight="1">
      <c r="A26" s="1711"/>
      <c r="B26" s="291" t="s">
        <v>3823</v>
      </c>
      <c r="C26" s="297"/>
      <c r="D26" s="2628"/>
      <c r="E26" s="2628"/>
      <c r="F26" s="2628"/>
      <c r="H26" s="2629"/>
      <c r="I26" s="2628"/>
      <c r="J26" s="297"/>
      <c r="K26" s="2628"/>
      <c r="P26" s="298"/>
      <c r="Z26" s="1773">
        <v>26</v>
      </c>
    </row>
    <row r="27" spans="1:26" s="289" customFormat="1" ht="13.35" customHeight="1">
      <c r="B27" s="289" t="s">
        <v>3434</v>
      </c>
      <c r="F27" s="3136" t="s">
        <v>6854</v>
      </c>
      <c r="G27" s="3137"/>
      <c r="H27" s="3138"/>
      <c r="I27" s="1246" t="s">
        <v>1716</v>
      </c>
      <c r="J27" s="3136" t="s">
        <v>6855</v>
      </c>
      <c r="K27" s="3137"/>
      <c r="L27" s="3138"/>
      <c r="M27" s="321" t="s">
        <v>1889</v>
      </c>
      <c r="N27" s="3160" t="s">
        <v>6860</v>
      </c>
      <c r="O27" s="3161"/>
      <c r="P27" s="3162"/>
      <c r="Z27" s="1773">
        <v>27</v>
      </c>
    </row>
    <row r="28" spans="1:26" s="289" customFormat="1" ht="13.35" customHeight="1">
      <c r="B28" s="2621" t="s">
        <v>1890</v>
      </c>
      <c r="F28" s="3290" t="s">
        <v>6861</v>
      </c>
      <c r="G28" s="3156"/>
      <c r="H28" s="3156"/>
      <c r="I28" s="3151"/>
      <c r="J28" s="3156"/>
      <c r="K28" s="3291"/>
      <c r="L28" s="3187"/>
      <c r="M28" s="3354" t="s">
        <v>3433</v>
      </c>
      <c r="N28" s="3355"/>
      <c r="O28" s="3355"/>
      <c r="P28" s="3355"/>
      <c r="Z28" s="1773">
        <v>28</v>
      </c>
    </row>
    <row r="29" spans="1:26" s="289" customFormat="1" ht="13.35" customHeight="1">
      <c r="B29" s="2621" t="s">
        <v>588</v>
      </c>
      <c r="F29" s="3290" t="s">
        <v>1159</v>
      </c>
      <c r="G29" s="3156"/>
      <c r="H29" s="3292"/>
      <c r="I29" s="2621" t="s">
        <v>1717</v>
      </c>
      <c r="J29" s="2678" t="s">
        <v>815</v>
      </c>
      <c r="M29" s="3354"/>
      <c r="N29" s="3354"/>
      <c r="O29" s="3354"/>
      <c r="P29" s="3354"/>
      <c r="Z29" s="1773">
        <v>29</v>
      </c>
    </row>
    <row r="30" spans="1:26" s="289" customFormat="1" ht="13.35" customHeight="1">
      <c r="B30" s="2620" t="s">
        <v>2127</v>
      </c>
      <c r="F30" s="3328">
        <v>303081884</v>
      </c>
      <c r="G30" s="3356"/>
      <c r="H30" s="3329"/>
      <c r="I30" s="2621" t="s">
        <v>1643</v>
      </c>
      <c r="J30" s="3350"/>
      <c r="K30" s="3135"/>
      <c r="L30" s="2623" t="s">
        <v>1642</v>
      </c>
      <c r="M30" s="2679"/>
      <c r="N30" s="2620" t="s">
        <v>1644</v>
      </c>
      <c r="O30" s="3133">
        <v>4047591733</v>
      </c>
      <c r="P30" s="3135"/>
      <c r="Z30" s="1773">
        <v>30</v>
      </c>
    </row>
    <row r="31" spans="1:26" s="289" customFormat="1" ht="13.35" customHeight="1">
      <c r="B31" s="2620" t="s">
        <v>1893</v>
      </c>
      <c r="F31" s="3150" t="s">
        <v>6862</v>
      </c>
      <c r="G31" s="3151"/>
      <c r="H31" s="3151"/>
      <c r="I31" s="3300"/>
      <c r="J31" s="3151"/>
      <c r="K31" s="3152"/>
      <c r="N31" s="2620" t="s">
        <v>1888</v>
      </c>
      <c r="O31" s="3275"/>
      <c r="P31" s="3277"/>
      <c r="Z31" s="1773">
        <v>31</v>
      </c>
    </row>
    <row r="32" spans="1:26" s="289" customFormat="1" ht="6" customHeight="1">
      <c r="A32" s="1711"/>
      <c r="B32" s="1711"/>
      <c r="C32" s="297"/>
      <c r="D32" s="2628"/>
      <c r="E32" s="2628"/>
      <c r="F32" s="2628"/>
      <c r="H32" s="2629"/>
      <c r="I32" s="2628"/>
      <c r="J32" s="297"/>
      <c r="K32" s="2628"/>
      <c r="P32" s="298"/>
      <c r="Z32" s="1773">
        <v>32</v>
      </c>
    </row>
    <row r="33" spans="1:26" s="289" customFormat="1" ht="13.35" customHeight="1">
      <c r="A33" s="294" t="s">
        <v>1711</v>
      </c>
      <c r="B33" s="291" t="s">
        <v>1415</v>
      </c>
      <c r="D33" s="267"/>
      <c r="E33" s="293"/>
      <c r="F33" s="293"/>
      <c r="G33" s="2621"/>
      <c r="H33" s="293"/>
      <c r="I33" s="293"/>
      <c r="J33" s="296"/>
      <c r="L33" s="295"/>
      <c r="M33" s="295"/>
      <c r="Z33" s="1773">
        <v>33</v>
      </c>
    </row>
    <row r="34" spans="1:26" s="289" customFormat="1" ht="1.5" customHeight="1">
      <c r="A34" s="294"/>
      <c r="B34" s="291"/>
      <c r="D34" s="267"/>
      <c r="E34" s="293"/>
      <c r="F34" s="293"/>
      <c r="G34" s="2621"/>
      <c r="H34" s="293"/>
      <c r="I34" s="293"/>
      <c r="J34" s="296"/>
      <c r="L34" s="295"/>
      <c r="Z34" s="1773">
        <v>34</v>
      </c>
    </row>
    <row r="35" spans="1:26" s="289" customFormat="1" ht="13.35" customHeight="1">
      <c r="A35" s="291"/>
      <c r="B35" s="289" t="s">
        <v>587</v>
      </c>
      <c r="D35" s="299"/>
      <c r="F35" s="3136" t="s">
        <v>6864</v>
      </c>
      <c r="G35" s="3137"/>
      <c r="H35" s="3137"/>
      <c r="I35" s="3137"/>
      <c r="J35" s="3137"/>
      <c r="K35" s="3138"/>
      <c r="L35" s="2620" t="s">
        <v>2096</v>
      </c>
      <c r="O35" s="3136" t="s">
        <v>6865</v>
      </c>
      <c r="P35" s="3138"/>
      <c r="Z35" s="1773">
        <v>35</v>
      </c>
    </row>
    <row r="36" spans="1:26" s="289" customFormat="1" ht="13.35" customHeight="1">
      <c r="A36" s="300"/>
      <c r="B36" s="289" t="s">
        <v>2547</v>
      </c>
      <c r="D36" s="301"/>
      <c r="F36" s="3153" t="s">
        <v>6863</v>
      </c>
      <c r="G36" s="3154"/>
      <c r="H36" s="3154"/>
      <c r="I36" s="3154"/>
      <c r="J36" s="3154"/>
      <c r="K36" s="3155"/>
      <c r="L36" s="289" t="s">
        <v>3320</v>
      </c>
      <c r="O36" s="3186" t="s">
        <v>6866</v>
      </c>
      <c r="P36" s="3292"/>
      <c r="Z36" s="1773">
        <v>36</v>
      </c>
    </row>
    <row r="37" spans="1:26" s="289" customFormat="1" ht="13.35" customHeight="1">
      <c r="A37" s="300"/>
      <c r="B37" s="289" t="s">
        <v>2571</v>
      </c>
      <c r="D37" s="301"/>
      <c r="F37" s="3186"/>
      <c r="G37" s="3156"/>
      <c r="H37" s="3156"/>
      <c r="I37" s="3291"/>
      <c r="J37" s="3156"/>
      <c r="K37" s="3292"/>
      <c r="L37" s="2620" t="s">
        <v>1957</v>
      </c>
      <c r="N37" s="2679" t="s">
        <v>2771</v>
      </c>
      <c r="O37" s="2629" t="s">
        <v>3319</v>
      </c>
      <c r="P37" s="2680"/>
      <c r="Z37" s="1773">
        <v>37</v>
      </c>
    </row>
    <row r="38" spans="1:26" s="289" customFormat="1" ht="13.35" customHeight="1">
      <c r="A38" s="300"/>
      <c r="B38" s="289" t="s">
        <v>3362</v>
      </c>
      <c r="D38" s="301"/>
      <c r="F38" s="289" t="s">
        <v>3346</v>
      </c>
      <c r="G38" s="3325">
        <v>32.876573</v>
      </c>
      <c r="H38" s="3326"/>
      <c r="I38" s="2623" t="s">
        <v>3347</v>
      </c>
      <c r="J38" s="3327" t="s">
        <v>6868</v>
      </c>
      <c r="K38" s="3326"/>
      <c r="L38" s="2620" t="s">
        <v>2179</v>
      </c>
      <c r="O38" s="3332">
        <v>5.03</v>
      </c>
      <c r="P38" s="3333"/>
      <c r="Z38" s="1773">
        <v>38</v>
      </c>
    </row>
    <row r="39" spans="1:26" s="289" customFormat="1" ht="13.35" customHeight="1">
      <c r="A39" s="1711"/>
      <c r="B39" s="289" t="s">
        <v>588</v>
      </c>
      <c r="F39" s="3136" t="s">
        <v>287</v>
      </c>
      <c r="G39" s="3343"/>
      <c r="H39" s="3344"/>
      <c r="I39" s="305" t="s">
        <v>2548</v>
      </c>
      <c r="J39" s="3328">
        <v>318330000</v>
      </c>
      <c r="K39" s="3329"/>
      <c r="L39" s="356" t="str">
        <f>IF(AND(NOT(F35=""),NOT(F39="Select from list"),J39=""),"Enter Zip!","")</f>
        <v/>
      </c>
      <c r="M39" s="303" t="s">
        <v>2692</v>
      </c>
      <c r="O39" s="3330" t="s">
        <v>6869</v>
      </c>
      <c r="P39" s="3331"/>
      <c r="Z39" s="1773">
        <v>39</v>
      </c>
    </row>
    <row r="40" spans="1:26" s="289" customFormat="1" ht="13.35" customHeight="1">
      <c r="A40" s="1711"/>
      <c r="B40" s="2628" t="s">
        <v>4097</v>
      </c>
      <c r="D40" s="2628"/>
      <c r="F40" s="3186" t="s">
        <v>6867</v>
      </c>
      <c r="G40" s="3291"/>
      <c r="H40" s="3187"/>
      <c r="I40" s="302" t="s">
        <v>589</v>
      </c>
      <c r="J40" s="3337" t="str">
        <f>IF(F39="","",VLOOKUP(F39,'DCA Underwriting Assumptions'!$T$174:$U$803,2,FALSE))</f>
        <v>Troup</v>
      </c>
      <c r="K40" s="3338"/>
      <c r="M40" s="2620" t="s">
        <v>431</v>
      </c>
      <c r="N40" s="2681" t="s">
        <v>2771</v>
      </c>
      <c r="O40" s="2629" t="s">
        <v>432</v>
      </c>
      <c r="P40" s="2677" t="s">
        <v>2768</v>
      </c>
      <c r="Z40" s="1773">
        <v>40</v>
      </c>
    </row>
    <row r="41" spans="1:26" s="289" customFormat="1" ht="13.35" customHeight="1">
      <c r="A41" s="1711"/>
      <c r="B41" s="291"/>
      <c r="C41" s="289" t="s">
        <v>1494</v>
      </c>
      <c r="F41" s="2682" t="s">
        <v>2768</v>
      </c>
      <c r="G41" s="2634"/>
      <c r="H41" s="2635"/>
      <c r="I41" s="1617"/>
      <c r="J41" s="2623" t="s">
        <v>2609</v>
      </c>
      <c r="K41" s="1362" t="str">
        <f>IF(OR(F41="Yes",I41="Yes"),"Rural","Urban")</f>
        <v>Rural</v>
      </c>
      <c r="M41" s="2620" t="s">
        <v>2486</v>
      </c>
      <c r="N41" s="1363" t="str">
        <f>VLOOKUP($J$40,'DCA Underwriting Assumptions'!$G$174:$J$333,4)</f>
        <v>Non-MSA</v>
      </c>
      <c r="O41" s="3339" t="str">
        <f>IF($F$39="","",VLOOKUP($J$40,'DCA Underwriting Assumptions'!$G$174:$L$333,3,FALSE))</f>
        <v>Troup Co.</v>
      </c>
      <c r="P41" s="3340"/>
      <c r="Z41" s="1773">
        <v>41</v>
      </c>
    </row>
    <row r="42" spans="1:26" s="289" customFormat="1" ht="6" customHeight="1">
      <c r="A42" s="1711"/>
      <c r="B42" s="291"/>
      <c r="C42" s="291"/>
      <c r="I42" s="2621"/>
      <c r="J42" s="2628"/>
      <c r="L42" s="2644"/>
      <c r="M42" s="2644"/>
      <c r="N42" s="2644"/>
      <c r="O42" s="2644"/>
      <c r="P42" s="2644"/>
      <c r="Z42" s="1773">
        <v>42</v>
      </c>
    </row>
    <row r="43" spans="1:26" s="289" customFormat="1" ht="13.35" customHeight="1">
      <c r="A43" s="1711"/>
      <c r="C43" s="289" t="s">
        <v>2577</v>
      </c>
      <c r="F43" s="3341" t="s">
        <v>2591</v>
      </c>
      <c r="G43" s="3341"/>
      <c r="H43" s="3342" t="s">
        <v>706</v>
      </c>
      <c r="I43" s="3342"/>
      <c r="J43" s="3342" t="s">
        <v>707</v>
      </c>
      <c r="K43" s="3342"/>
      <c r="L43" s="468" t="s">
        <v>4015</v>
      </c>
      <c r="Z43" s="1773">
        <v>43</v>
      </c>
    </row>
    <row r="44" spans="1:26" s="289" customFormat="1" ht="13.35" customHeight="1">
      <c r="A44" s="1711"/>
      <c r="B44" s="289" t="s">
        <v>2590</v>
      </c>
      <c r="D44" s="291"/>
      <c r="F44" s="3334">
        <v>3</v>
      </c>
      <c r="G44" s="3335"/>
      <c r="H44" s="3334">
        <v>29</v>
      </c>
      <c r="I44" s="3335"/>
      <c r="J44" s="3334">
        <v>133</v>
      </c>
      <c r="K44" s="3335"/>
      <c r="L44" s="464" t="s">
        <v>1235</v>
      </c>
      <c r="N44" s="3336" t="s">
        <v>1236</v>
      </c>
      <c r="O44" s="3336"/>
      <c r="P44" s="3336"/>
      <c r="Z44" s="1773">
        <v>44</v>
      </c>
    </row>
    <row r="45" spans="1:26" s="289" customFormat="1" ht="12.75" customHeight="1">
      <c r="A45" s="1711"/>
      <c r="B45" s="2621" t="s">
        <v>708</v>
      </c>
      <c r="F45" s="3286"/>
      <c r="G45" s="3287"/>
      <c r="H45" s="3286"/>
      <c r="I45" s="3287"/>
      <c r="J45" s="3286"/>
      <c r="K45" s="3287"/>
      <c r="L45" s="464" t="s">
        <v>2589</v>
      </c>
      <c r="N45" s="3288" t="s">
        <v>2588</v>
      </c>
      <c r="O45" s="3288"/>
      <c r="Z45" s="1773">
        <v>45</v>
      </c>
    </row>
    <row r="46" spans="1:26" s="289" customFormat="1" ht="3" customHeight="1">
      <c r="A46" s="1711"/>
      <c r="I46" s="2644"/>
      <c r="J46" s="2644"/>
      <c r="K46" s="2644"/>
      <c r="L46" s="2628"/>
      <c r="M46" s="2628"/>
      <c r="N46" s="2628"/>
      <c r="O46" s="2628"/>
      <c r="P46" s="2628"/>
      <c r="Z46" s="1773">
        <v>46</v>
      </c>
    </row>
    <row r="47" spans="1:26" s="289" customFormat="1" ht="13.35" customHeight="1">
      <c r="A47" s="1711"/>
      <c r="B47" s="291" t="s">
        <v>607</v>
      </c>
      <c r="F47" s="3295" t="s">
        <v>6870</v>
      </c>
      <c r="G47" s="3296"/>
      <c r="H47" s="3296"/>
      <c r="I47" s="3297"/>
      <c r="J47" s="3296"/>
      <c r="K47" s="3298"/>
      <c r="L47" s="771" t="s">
        <v>2552</v>
      </c>
      <c r="M47" s="3299" t="s">
        <v>6873</v>
      </c>
      <c r="N47" s="3300"/>
      <c r="O47" s="3300"/>
      <c r="P47" s="3301"/>
      <c r="Z47" s="1773">
        <v>47</v>
      </c>
    </row>
    <row r="48" spans="1:26" s="289" customFormat="1" ht="13.35" customHeight="1">
      <c r="A48" s="1711"/>
      <c r="B48" s="289" t="s">
        <v>608</v>
      </c>
      <c r="F48" s="3302" t="s">
        <v>6871</v>
      </c>
      <c r="G48" s="3303"/>
      <c r="H48" s="3304"/>
      <c r="I48" s="916" t="s">
        <v>1889</v>
      </c>
      <c r="J48" s="3153" t="s">
        <v>6872</v>
      </c>
      <c r="K48" s="3155"/>
      <c r="L48" s="771"/>
      <c r="Z48" s="1773">
        <v>48</v>
      </c>
    </row>
    <row r="49" spans="1:26" s="289" customFormat="1" ht="13.35" customHeight="1">
      <c r="A49" s="1711"/>
      <c r="B49" s="289" t="s">
        <v>1890</v>
      </c>
      <c r="F49" s="3305" t="s">
        <v>6875</v>
      </c>
      <c r="G49" s="3306"/>
      <c r="H49" s="3307"/>
      <c r="I49" s="3308"/>
      <c r="J49" s="3306"/>
      <c r="K49" s="3309"/>
      <c r="L49" s="2622" t="s">
        <v>588</v>
      </c>
      <c r="M49" s="3310" t="s">
        <v>287</v>
      </c>
      <c r="N49" s="3311"/>
      <c r="O49" s="3311"/>
      <c r="P49" s="3312"/>
      <c r="Z49" s="1773">
        <v>49</v>
      </c>
    </row>
    <row r="50" spans="1:26" s="289" customFormat="1" ht="13.35" customHeight="1">
      <c r="A50" s="1711"/>
      <c r="B50" s="2620" t="s">
        <v>2127</v>
      </c>
      <c r="F50" s="3314">
        <v>318330487</v>
      </c>
      <c r="G50" s="3315"/>
      <c r="H50" s="2623" t="s">
        <v>1891</v>
      </c>
      <c r="I50" s="3316">
        <v>7067732441</v>
      </c>
      <c r="J50" s="3317"/>
      <c r="K50" s="3318"/>
      <c r="L50" s="2621" t="s">
        <v>1718</v>
      </c>
      <c r="M50" s="3319" t="s">
        <v>6874</v>
      </c>
      <c r="N50" s="3320"/>
      <c r="O50" s="3320"/>
      <c r="P50" s="3321"/>
      <c r="Z50" s="1773">
        <v>50</v>
      </c>
    </row>
    <row r="51" spans="1:26" s="289" customFormat="1" ht="6" customHeight="1">
      <c r="A51" s="1711"/>
      <c r="B51" s="1711"/>
      <c r="C51" s="304"/>
      <c r="D51" s="305"/>
      <c r="E51" s="305"/>
      <c r="F51" s="2629"/>
      <c r="G51" s="2629"/>
      <c r="H51" s="2629"/>
      <c r="I51" s="2629"/>
      <c r="J51" s="305"/>
      <c r="K51" s="2629"/>
      <c r="L51" s="2629"/>
      <c r="N51" s="2628"/>
      <c r="O51" s="2628"/>
      <c r="P51" s="298"/>
      <c r="Z51" s="1773">
        <v>51</v>
      </c>
    </row>
    <row r="52" spans="1:26" s="289" customFormat="1" ht="12" customHeight="1">
      <c r="A52" s="294" t="s">
        <v>1713</v>
      </c>
      <c r="B52" s="291" t="s">
        <v>1416</v>
      </c>
      <c r="F52" s="306"/>
      <c r="I52" s="2620"/>
      <c r="J52" s="2628"/>
      <c r="K52" s="2628"/>
      <c r="L52" s="2628"/>
      <c r="M52" s="2628"/>
      <c r="Z52" s="1773">
        <v>52</v>
      </c>
    </row>
    <row r="53" spans="1:26" s="289" customFormat="1" ht="1.5" customHeight="1">
      <c r="A53" s="1711"/>
      <c r="B53" s="291"/>
      <c r="C53" s="291"/>
      <c r="I53" s="2620"/>
      <c r="J53" s="2628"/>
      <c r="K53" s="2628"/>
      <c r="L53" s="2628"/>
      <c r="M53" s="2628"/>
      <c r="N53" s="2628"/>
      <c r="O53" s="2628"/>
      <c r="P53" s="2628"/>
      <c r="Q53" s="2628"/>
      <c r="Z53" s="1773">
        <v>53</v>
      </c>
    </row>
    <row r="54" spans="1:26" s="289" customFormat="1">
      <c r="A54" s="1711"/>
      <c r="B54" s="1711" t="s">
        <v>1892</v>
      </c>
      <c r="C54" s="291" t="s">
        <v>688</v>
      </c>
      <c r="I54" s="2628"/>
      <c r="J54" s="2628"/>
      <c r="K54" s="465"/>
      <c r="L54" s="2628"/>
      <c r="M54" s="467"/>
      <c r="N54" s="467"/>
      <c r="O54" s="467"/>
      <c r="P54" s="467"/>
      <c r="Q54" s="2629"/>
      <c r="Z54" s="1773">
        <v>54</v>
      </c>
    </row>
    <row r="55" spans="1:26" ht="13.35" customHeight="1">
      <c r="B55" s="1711"/>
      <c r="C55" s="289" t="s">
        <v>2191</v>
      </c>
      <c r="D55" s="289"/>
      <c r="E55" s="289"/>
      <c r="H55" s="930">
        <f>'Part VI-Revenues &amp; Expenses'!$P$115</f>
        <v>72</v>
      </c>
      <c r="K55" s="2621" t="s">
        <v>3312</v>
      </c>
      <c r="L55" s="289"/>
      <c r="M55" s="804" t="s">
        <v>3311</v>
      </c>
      <c r="N55" s="308">
        <f>'Part VI-Revenues &amp; Expenses'!$P$122</f>
        <v>0</v>
      </c>
      <c r="O55" s="805" t="s">
        <v>3116</v>
      </c>
      <c r="P55" s="308">
        <f>'Part VI-Revenues &amp; Expenses'!$P$123</f>
        <v>0</v>
      </c>
      <c r="Q55" s="2629"/>
      <c r="Z55" s="1773">
        <v>55</v>
      </c>
    </row>
    <row r="56" spans="1:26" s="289" customFormat="1">
      <c r="A56" s="1711"/>
      <c r="B56" s="1711"/>
      <c r="C56" s="309" t="s">
        <v>336</v>
      </c>
      <c r="H56" s="931">
        <f>'Part VI-Revenues &amp; Expenses'!$P$121</f>
        <v>0</v>
      </c>
      <c r="K56" s="309" t="s">
        <v>350</v>
      </c>
      <c r="P56" s="308">
        <f>'Part VI-Revenues &amp; Expenses'!$P$125</f>
        <v>0</v>
      </c>
      <c r="Z56" s="1773">
        <v>56</v>
      </c>
    </row>
    <row r="57" spans="1:26" s="289" customFormat="1" ht="13.35" customHeight="1">
      <c r="B57" s="1711"/>
      <c r="C57" s="2621" t="s">
        <v>335</v>
      </c>
      <c r="D57" s="2628"/>
      <c r="H57" s="932">
        <f>'Part VI-Revenues &amp; Expenses'!$P$118</f>
        <v>0</v>
      </c>
      <c r="I57" s="454" t="s">
        <v>2696</v>
      </c>
      <c r="K57" s="289" t="s">
        <v>337</v>
      </c>
      <c r="P57" s="2683"/>
      <c r="Q57" s="2629"/>
      <c r="Z57" s="1773">
        <v>57</v>
      </c>
    </row>
    <row r="58" spans="1:26" s="289" customFormat="1" ht="3.6" customHeight="1">
      <c r="A58" s="1711"/>
      <c r="P58" s="2628"/>
      <c r="Z58" s="1773">
        <v>58</v>
      </c>
    </row>
    <row r="59" spans="1:26" s="289" customFormat="1">
      <c r="A59" s="1711"/>
      <c r="B59" s="1711" t="s">
        <v>1894</v>
      </c>
      <c r="C59" s="291" t="s">
        <v>2192</v>
      </c>
      <c r="H59" s="2684" t="s">
        <v>2771</v>
      </c>
      <c r="K59" s="2628"/>
      <c r="L59" s="2628"/>
      <c r="M59" s="2628"/>
      <c r="N59" s="2628"/>
      <c r="O59" s="467"/>
      <c r="P59" s="465"/>
      <c r="Q59" s="2628"/>
      <c r="Z59" s="1773">
        <v>59</v>
      </c>
    </row>
    <row r="60" spans="1:26" s="289" customFormat="1" ht="3" customHeight="1">
      <c r="A60" s="1711"/>
      <c r="I60" s="2628"/>
      <c r="J60" s="465"/>
      <c r="K60" s="466"/>
      <c r="L60" s="465"/>
      <c r="M60" s="466"/>
      <c r="N60" s="466"/>
      <c r="O60" s="466"/>
      <c r="P60" s="466"/>
      <c r="Q60" s="2628"/>
      <c r="Z60" s="1773">
        <v>60</v>
      </c>
    </row>
    <row r="61" spans="1:26" s="289" customFormat="1" ht="13.35" customHeight="1">
      <c r="A61" s="1711"/>
      <c r="B61" s="300" t="s">
        <v>719</v>
      </c>
      <c r="C61" s="299" t="s">
        <v>2172</v>
      </c>
      <c r="D61" s="2628"/>
      <c r="I61" s="2632" t="s">
        <v>3256</v>
      </c>
      <c r="J61" s="300" t="s">
        <v>2020</v>
      </c>
      <c r="K61" s="310" t="s">
        <v>2197</v>
      </c>
      <c r="M61" s="2628"/>
      <c r="N61" s="2628"/>
      <c r="O61" s="2628"/>
      <c r="P61" s="2629"/>
      <c r="Q61" s="2629"/>
      <c r="R61" s="2629"/>
      <c r="S61" s="2628"/>
      <c r="Z61" s="1773">
        <v>61</v>
      </c>
    </row>
    <row r="62" spans="1:26" s="289" customFormat="1" ht="13.35" customHeight="1">
      <c r="A62" s="1711"/>
      <c r="B62" s="2619"/>
      <c r="C62" s="297" t="s">
        <v>2173</v>
      </c>
      <c r="D62" s="2628"/>
      <c r="E62" s="2628"/>
      <c r="H62" s="750">
        <f>'Part VI-Revenues &amp; Expenses'!$P$63</f>
        <v>64</v>
      </c>
      <c r="I62" s="575">
        <f>'Part VI-Revenues &amp; Expenses'!$P$100</f>
        <v>32</v>
      </c>
      <c r="J62" s="1711"/>
      <c r="K62" s="297" t="s">
        <v>2599</v>
      </c>
      <c r="M62" s="2628"/>
      <c r="N62" s="2628"/>
      <c r="O62" s="2628"/>
      <c r="P62" s="750">
        <f>'Part VI-Revenues &amp; Expenses'!P164</f>
        <v>58820</v>
      </c>
      <c r="Z62" s="1773">
        <v>62</v>
      </c>
    </row>
    <row r="63" spans="1:26" s="289" customFormat="1" ht="13.35" customHeight="1">
      <c r="A63" s="1711"/>
      <c r="C63" s="297" t="s">
        <v>242</v>
      </c>
      <c r="D63" s="2628"/>
      <c r="E63" s="2628"/>
      <c r="H63" s="1747">
        <f>'Part VI-Revenues &amp; Expenses'!$P$64</f>
        <v>8</v>
      </c>
      <c r="J63" s="1711"/>
      <c r="K63" s="297" t="s">
        <v>2600</v>
      </c>
      <c r="M63" s="2628"/>
      <c r="N63" s="2628"/>
      <c r="O63" s="2628"/>
      <c r="P63" s="1747">
        <f>'Part VI-Revenues &amp; Expenses'!$P$165</f>
        <v>7340</v>
      </c>
      <c r="Z63" s="1773">
        <v>63</v>
      </c>
    </row>
    <row r="64" spans="1:26" s="289" customFormat="1" ht="13.35" customHeight="1">
      <c r="A64" s="1711"/>
      <c r="C64" s="297" t="s">
        <v>2296</v>
      </c>
      <c r="D64" s="2628"/>
      <c r="E64" s="2628"/>
      <c r="H64" s="1747">
        <f>H62+H63</f>
        <v>72</v>
      </c>
      <c r="J64" s="1711"/>
      <c r="K64" s="297" t="s">
        <v>2601</v>
      </c>
      <c r="M64" s="2628"/>
      <c r="N64" s="2628"/>
      <c r="O64" s="2628"/>
      <c r="P64" s="1747">
        <f>P62+P63</f>
        <v>66160</v>
      </c>
      <c r="Z64" s="1773">
        <v>64</v>
      </c>
    </row>
    <row r="65" spans="1:26" s="289" customFormat="1" ht="13.35" customHeight="1">
      <c r="A65" s="1711"/>
      <c r="C65" s="297" t="s">
        <v>2297</v>
      </c>
      <c r="D65" s="2628"/>
      <c r="E65" s="2628"/>
      <c r="H65" s="751">
        <f>'Part VI-Revenues &amp; Expenses'!$P$66</f>
        <v>0</v>
      </c>
      <c r="J65" s="1711"/>
      <c r="K65" s="297" t="s">
        <v>2602</v>
      </c>
      <c r="M65" s="2628"/>
      <c r="N65" s="2628"/>
      <c r="O65" s="2628"/>
      <c r="P65" s="751">
        <f>'Part VI-Revenues &amp; Expenses'!$P$167</f>
        <v>0</v>
      </c>
      <c r="Z65" s="1773">
        <v>65</v>
      </c>
    </row>
    <row r="66" spans="1:26" s="289" customFormat="1" ht="13.35" customHeight="1">
      <c r="A66" s="1711"/>
      <c r="C66" s="297" t="s">
        <v>1712</v>
      </c>
      <c r="D66" s="2628"/>
      <c r="E66" s="2628"/>
      <c r="H66" s="311">
        <f>+H64+H65</f>
        <v>72</v>
      </c>
      <c r="J66" s="2628"/>
      <c r="K66" s="297" t="s">
        <v>1369</v>
      </c>
      <c r="M66" s="2628"/>
      <c r="N66" s="2628"/>
      <c r="O66" s="2628"/>
      <c r="P66" s="311">
        <f>+P64+P65</f>
        <v>66160</v>
      </c>
      <c r="Z66" s="1773">
        <v>66</v>
      </c>
    </row>
    <row r="67" spans="1:26" s="289" customFormat="1" ht="3" customHeight="1">
      <c r="A67" s="1711"/>
      <c r="I67" s="2629"/>
      <c r="L67" s="2629"/>
      <c r="M67" s="2629"/>
      <c r="N67" s="2628"/>
      <c r="P67" s="298"/>
      <c r="Z67" s="1773">
        <v>67</v>
      </c>
    </row>
    <row r="68" spans="1:26" s="289" customFormat="1" ht="11.25" customHeight="1">
      <c r="A68" s="1711"/>
      <c r="H68" s="2623" t="s">
        <v>3440</v>
      </c>
      <c r="I68" s="2623" t="s">
        <v>2542</v>
      </c>
      <c r="L68" s="2629"/>
      <c r="M68" s="2629"/>
      <c r="N68" s="2628"/>
      <c r="P68" s="298"/>
      <c r="Z68" s="1773">
        <v>68</v>
      </c>
    </row>
    <row r="69" spans="1:26" s="289" customFormat="1" ht="13.35" customHeight="1">
      <c r="A69" s="1711"/>
      <c r="B69" s="1711" t="s">
        <v>1656</v>
      </c>
      <c r="C69" s="299" t="s">
        <v>2193</v>
      </c>
      <c r="D69" s="312" t="s">
        <v>1905</v>
      </c>
      <c r="G69" s="2628"/>
      <c r="H69" s="2685">
        <v>3</v>
      </c>
      <c r="I69" s="2685"/>
      <c r="K69" s="297" t="s">
        <v>4070</v>
      </c>
      <c r="O69" s="2628"/>
      <c r="P69" s="2686">
        <v>2560</v>
      </c>
      <c r="Z69" s="1773">
        <v>69</v>
      </c>
    </row>
    <row r="70" spans="1:26" s="289" customFormat="1" ht="13.35" customHeight="1">
      <c r="A70" s="1711"/>
      <c r="B70" s="1711"/>
      <c r="D70" s="2619" t="s">
        <v>1906</v>
      </c>
      <c r="H70" s="2687"/>
      <c r="I70" s="2687"/>
      <c r="K70" s="297" t="s">
        <v>241</v>
      </c>
      <c r="O70" s="2628"/>
      <c r="P70" s="311">
        <f>+P66+P69</f>
        <v>68720</v>
      </c>
      <c r="Z70" s="1773">
        <v>70</v>
      </c>
    </row>
    <row r="71" spans="1:26" s="289" customFormat="1" ht="13.35" customHeight="1">
      <c r="A71" s="1711"/>
      <c r="B71" s="1711"/>
      <c r="D71" s="2619" t="s">
        <v>1907</v>
      </c>
      <c r="H71" s="311">
        <f>+H69+H70</f>
        <v>3</v>
      </c>
      <c r="I71" s="311">
        <f>+I69+I70</f>
        <v>0</v>
      </c>
      <c r="Z71" s="1773">
        <v>71</v>
      </c>
    </row>
    <row r="72" spans="1:26" s="289" customFormat="1" ht="3" customHeight="1">
      <c r="A72" s="1711"/>
      <c r="B72" s="1711"/>
      <c r="C72" s="2628"/>
      <c r="D72" s="2628"/>
      <c r="E72" s="2628"/>
      <c r="F72" s="2628"/>
      <c r="G72" s="2629"/>
      <c r="I72" s="297"/>
      <c r="J72" s="2628"/>
      <c r="P72" s="298"/>
      <c r="Z72" s="1773">
        <v>72</v>
      </c>
    </row>
    <row r="73" spans="1:26" s="289" customFormat="1" ht="13.35" customHeight="1">
      <c r="A73" s="1711"/>
      <c r="B73" s="1711" t="s">
        <v>1657</v>
      </c>
      <c r="C73" s="299" t="s">
        <v>2635</v>
      </c>
      <c r="D73" s="2628"/>
      <c r="E73" s="2628"/>
      <c r="F73" s="2628"/>
      <c r="G73" s="2628"/>
      <c r="H73" s="2686">
        <v>111</v>
      </c>
      <c r="K73" s="3313" t="s">
        <v>6776</v>
      </c>
      <c r="L73" s="3313"/>
      <c r="M73" s="3313"/>
      <c r="N73" s="3313"/>
      <c r="O73" s="3313"/>
      <c r="P73" s="3313"/>
      <c r="Z73" s="1773">
        <v>73</v>
      </c>
    </row>
    <row r="74" spans="1:26" s="289" customFormat="1" ht="6" customHeight="1">
      <c r="A74" s="1711"/>
      <c r="B74" s="1711"/>
      <c r="C74" s="297"/>
      <c r="D74" s="2628"/>
      <c r="E74" s="2628"/>
      <c r="F74" s="2628"/>
      <c r="G74" s="2629"/>
      <c r="H74" s="2628"/>
      <c r="I74" s="297"/>
      <c r="J74" s="297"/>
      <c r="K74" s="3313"/>
      <c r="L74" s="3313"/>
      <c r="M74" s="3313"/>
      <c r="N74" s="3313"/>
      <c r="O74" s="3313"/>
      <c r="P74" s="3313"/>
      <c r="Z74" s="1773">
        <v>74</v>
      </c>
    </row>
    <row r="75" spans="1:26" s="289" customFormat="1" ht="13.35" customHeight="1">
      <c r="A75" s="1711" t="s">
        <v>505</v>
      </c>
      <c r="B75" s="313" t="s">
        <v>1146</v>
      </c>
      <c r="D75" s="313"/>
      <c r="E75" s="313"/>
      <c r="F75" s="2628"/>
      <c r="G75" s="2629"/>
      <c r="H75" s="477"/>
      <c r="K75" s="3313"/>
      <c r="L75" s="3313"/>
      <c r="M75" s="3313"/>
      <c r="N75" s="3313"/>
      <c r="O75" s="3313"/>
      <c r="P75" s="3313"/>
      <c r="Z75" s="1773">
        <v>75</v>
      </c>
    </row>
    <row r="76" spans="1:26" s="289" customFormat="1" ht="3" customHeight="1">
      <c r="A76" s="1711"/>
      <c r="C76" s="1298"/>
      <c r="D76" s="1298"/>
      <c r="E76" s="1298"/>
      <c r="F76" s="2628"/>
      <c r="G76" s="2629"/>
      <c r="K76" s="2628"/>
      <c r="P76" s="298"/>
      <c r="Z76" s="1773">
        <v>76</v>
      </c>
    </row>
    <row r="77" spans="1:26" s="289" customFormat="1" ht="13.35" customHeight="1">
      <c r="A77" s="1711"/>
      <c r="B77" s="1711" t="s">
        <v>1892</v>
      </c>
      <c r="C77" s="1662" t="s">
        <v>6601</v>
      </c>
      <c r="D77" s="1298"/>
      <c r="E77" s="1739" t="s">
        <v>6602</v>
      </c>
      <c r="F77" s="2628"/>
      <c r="G77" s="2629"/>
      <c r="H77" s="3262" t="s">
        <v>2697</v>
      </c>
      <c r="I77" s="3264"/>
      <c r="J77" s="3263"/>
      <c r="K77" s="3159" t="s">
        <v>1692</v>
      </c>
      <c r="L77" s="3159"/>
      <c r="M77" s="3160"/>
      <c r="N77" s="3161"/>
      <c r="O77" s="3161"/>
      <c r="P77" s="3162"/>
      <c r="Z77" s="1773">
        <v>77</v>
      </c>
    </row>
    <row r="78" spans="1:26" s="289" customFormat="1" ht="3" customHeight="1">
      <c r="A78" s="1711"/>
      <c r="B78" s="1711"/>
      <c r="D78" s="2619"/>
      <c r="E78" s="2619"/>
      <c r="F78" s="2619"/>
      <c r="G78" s="2619"/>
      <c r="I78" s="2629"/>
      <c r="K78" s="2620"/>
      <c r="L78" s="2620"/>
      <c r="M78" s="2629"/>
      <c r="N78" s="2628"/>
      <c r="P78" s="298"/>
      <c r="Z78" s="1773">
        <v>78</v>
      </c>
    </row>
    <row r="79" spans="1:26" s="289" customFormat="1">
      <c r="A79" s="1711"/>
      <c r="B79" s="1711"/>
      <c r="E79" s="170" t="s">
        <v>6603</v>
      </c>
      <c r="K79" s="3163" t="s">
        <v>4024</v>
      </c>
      <c r="L79" s="314" t="s">
        <v>2697</v>
      </c>
      <c r="M79" s="2688">
        <v>72</v>
      </c>
      <c r="N79" s="314" t="s">
        <v>2698</v>
      </c>
      <c r="O79" s="2688">
        <v>0</v>
      </c>
      <c r="P79" s="2621" t="s">
        <v>4023</v>
      </c>
      <c r="Z79" s="1773">
        <v>79</v>
      </c>
    </row>
    <row r="80" spans="1:26" s="289" customFormat="1">
      <c r="A80" s="1711"/>
      <c r="B80" s="1711"/>
      <c r="D80" s="2620"/>
      <c r="E80" s="1298"/>
      <c r="J80" s="1296"/>
      <c r="K80" s="3163"/>
      <c r="L80" s="301" t="s">
        <v>2699</v>
      </c>
      <c r="M80" s="2687">
        <v>0</v>
      </c>
      <c r="N80" s="301" t="s">
        <v>3430</v>
      </c>
      <c r="O80" s="2687">
        <v>0</v>
      </c>
      <c r="P80" s="2689">
        <v>0</v>
      </c>
      <c r="Z80" s="1773">
        <v>80</v>
      </c>
    </row>
    <row r="81" spans="1:26" s="289" customFormat="1" ht="9" customHeight="1">
      <c r="A81" s="1711"/>
      <c r="B81" s="1711"/>
      <c r="D81" s="2619"/>
      <c r="E81" s="2619"/>
      <c r="F81" s="2619"/>
      <c r="G81" s="2619"/>
      <c r="I81" s="2629"/>
      <c r="K81" s="2620"/>
      <c r="L81" s="2620"/>
      <c r="M81" s="2629"/>
      <c r="N81" s="2628"/>
      <c r="P81" s="298"/>
      <c r="Z81" s="1773">
        <v>81</v>
      </c>
    </row>
    <row r="82" spans="1:26" s="289" customFormat="1" ht="13.35" customHeight="1">
      <c r="A82" s="1711"/>
      <c r="B82" s="1711"/>
      <c r="C82" s="1662" t="s">
        <v>6604</v>
      </c>
      <c r="D82" s="1298"/>
      <c r="E82" s="1739" t="s">
        <v>6605</v>
      </c>
      <c r="F82" s="2628"/>
      <c r="G82" s="2629"/>
      <c r="H82" s="3322" t="s">
        <v>6777</v>
      </c>
      <c r="I82" s="3323"/>
      <c r="J82" s="3324"/>
      <c r="K82" s="3159" t="s">
        <v>1692</v>
      </c>
      <c r="L82" s="3159"/>
      <c r="M82" s="3160"/>
      <c r="N82" s="3161"/>
      <c r="O82" s="3161"/>
      <c r="P82" s="3162"/>
      <c r="Z82" s="1773">
        <v>82</v>
      </c>
    </row>
    <row r="83" spans="1:26" s="289" customFormat="1" ht="3" customHeight="1">
      <c r="A83" s="1711"/>
      <c r="B83" s="1711"/>
      <c r="D83" s="2619"/>
      <c r="E83" s="2619"/>
      <c r="F83" s="2619"/>
      <c r="G83" s="2619"/>
      <c r="I83" s="2629"/>
      <c r="K83" s="2620"/>
      <c r="L83" s="2620"/>
      <c r="M83" s="2629"/>
      <c r="N83" s="2628"/>
      <c r="P83" s="298"/>
      <c r="Z83" s="1773">
        <v>83</v>
      </c>
    </row>
    <row r="84" spans="1:26" s="289" customFormat="1">
      <c r="A84" s="1711"/>
      <c r="B84" s="1711"/>
      <c r="E84" s="1298"/>
      <c r="K84" s="3163" t="s">
        <v>4024</v>
      </c>
      <c r="L84" s="314" t="s">
        <v>2697</v>
      </c>
      <c r="M84" s="2688"/>
      <c r="N84" s="314" t="s">
        <v>2698</v>
      </c>
      <c r="O84" s="2688"/>
      <c r="P84" s="2621" t="s">
        <v>4023</v>
      </c>
      <c r="Z84" s="1773">
        <v>84</v>
      </c>
    </row>
    <row r="85" spans="1:26" s="289" customFormat="1">
      <c r="A85" s="1711"/>
      <c r="B85" s="1711"/>
      <c r="D85" s="2620"/>
      <c r="E85" s="1298"/>
      <c r="J85" s="1296"/>
      <c r="K85" s="3163"/>
      <c r="L85" s="301" t="s">
        <v>2699</v>
      </c>
      <c r="M85" s="2687"/>
      <c r="N85" s="301" t="s">
        <v>3430</v>
      </c>
      <c r="O85" s="2687"/>
      <c r="P85" s="2689"/>
      <c r="Z85" s="1773">
        <v>85</v>
      </c>
    </row>
    <row r="86" spans="1:26" s="289" customFormat="1" ht="9" customHeight="1">
      <c r="A86" s="1711"/>
      <c r="B86" s="1711"/>
      <c r="D86" s="2619"/>
      <c r="E86" s="2619"/>
      <c r="F86" s="2619"/>
      <c r="G86" s="2619"/>
      <c r="I86" s="2629"/>
      <c r="K86" s="2620"/>
      <c r="L86" s="2620"/>
      <c r="M86" s="2629"/>
      <c r="N86" s="2628"/>
      <c r="P86" s="298"/>
      <c r="Z86" s="1773">
        <v>86</v>
      </c>
    </row>
    <row r="87" spans="1:26" s="289" customFormat="1">
      <c r="A87" s="1711"/>
      <c r="B87" s="1711" t="s">
        <v>1894</v>
      </c>
      <c r="C87" s="299" t="s">
        <v>1361</v>
      </c>
      <c r="D87" s="2628"/>
      <c r="E87" s="312"/>
      <c r="F87" s="2619" t="s">
        <v>764</v>
      </c>
      <c r="H87" s="750">
        <f>'Part VIII-Threshold Criteria'!K321</f>
        <v>4</v>
      </c>
      <c r="K87" s="3159" t="s">
        <v>495</v>
      </c>
      <c r="L87" s="3159"/>
      <c r="N87" s="1748">
        <f>IF('Part VI-Revenues &amp; Expenses'!$P$67=0,0,H87/'Part VI-Revenues &amp; Expenses'!$P$67)</f>
        <v>5.5555555555555552E-2</v>
      </c>
      <c r="O87" s="301" t="s">
        <v>3329</v>
      </c>
      <c r="P87" s="815">
        <f>'DCA Underwriting Assumptions'!$Q$155</f>
        <v>0.05</v>
      </c>
      <c r="Z87" s="1773">
        <v>87</v>
      </c>
    </row>
    <row r="88" spans="1:26" s="289" customFormat="1">
      <c r="A88" s="1711"/>
      <c r="B88" s="1711"/>
      <c r="D88" s="2619" t="s">
        <v>2633</v>
      </c>
      <c r="E88" s="2619"/>
      <c r="F88" s="2619" t="s">
        <v>764</v>
      </c>
      <c r="H88" s="751">
        <f>'Part VIII-Threshold Criteria'!K322</f>
        <v>2</v>
      </c>
      <c r="K88" s="2628" t="s">
        <v>2634</v>
      </c>
      <c r="L88" s="2628"/>
      <c r="N88" s="1749">
        <f>IF(H87=0,0,H88/H87)</f>
        <v>0.5</v>
      </c>
      <c r="O88" s="301" t="s">
        <v>3329</v>
      </c>
      <c r="P88" s="815">
        <f>'DCA Underwriting Assumptions'!$Q$156</f>
        <v>0.4</v>
      </c>
      <c r="Z88" s="1773">
        <v>88</v>
      </c>
    </row>
    <row r="89" spans="1:26" s="289" customFormat="1" ht="9" customHeight="1">
      <c r="A89" s="1711"/>
      <c r="B89" s="1711"/>
      <c r="D89" s="2619"/>
      <c r="E89" s="2619"/>
      <c r="F89" s="2619"/>
      <c r="I89" s="2629"/>
      <c r="K89" s="2620"/>
      <c r="L89" s="2620"/>
      <c r="M89" s="2629"/>
      <c r="N89" s="2629"/>
      <c r="P89" s="2623"/>
      <c r="Z89" s="1773">
        <v>89</v>
      </c>
    </row>
    <row r="90" spans="1:26" s="289" customFormat="1">
      <c r="A90" s="1711"/>
      <c r="B90" s="1711" t="s">
        <v>719</v>
      </c>
      <c r="C90" s="299" t="s">
        <v>1758</v>
      </c>
      <c r="D90" s="312"/>
      <c r="E90" s="312"/>
      <c r="F90" s="2619" t="s">
        <v>764</v>
      </c>
      <c r="H90" s="575">
        <f>'Part VIII-Threshold Criteria'!K324</f>
        <v>2</v>
      </c>
      <c r="K90" s="3159" t="s">
        <v>495</v>
      </c>
      <c r="L90" s="3159"/>
      <c r="N90" s="1364">
        <f>IF('Part VI-Revenues &amp; Expenses'!$P$67=0,0,H90/'Part VI-Revenues &amp; Expenses'!$P$67)</f>
        <v>2.7777777777777776E-2</v>
      </c>
      <c r="O90" s="301" t="s">
        <v>3329</v>
      </c>
      <c r="P90" s="815">
        <f>'DCA Underwriting Assumptions'!$Q$157</f>
        <v>0.02</v>
      </c>
      <c r="Z90" s="1773">
        <v>90</v>
      </c>
    </row>
    <row r="91" spans="1:26" s="289" customFormat="1">
      <c r="A91" s="1711"/>
      <c r="B91" s="1711"/>
      <c r="D91" s="2619"/>
      <c r="E91" s="2619"/>
      <c r="F91" s="2619"/>
      <c r="G91" s="2619"/>
      <c r="I91" s="2629"/>
      <c r="J91" s="2629"/>
      <c r="K91" s="2629"/>
      <c r="L91" s="2629"/>
      <c r="M91" s="2629"/>
      <c r="N91" s="2628"/>
      <c r="P91" s="298"/>
      <c r="Z91" s="1773">
        <v>91</v>
      </c>
    </row>
    <row r="92" spans="1:26" s="289" customFormat="1" ht="13.35" customHeight="1">
      <c r="A92" s="315" t="s">
        <v>742</v>
      </c>
      <c r="B92" s="1298" t="s">
        <v>3989</v>
      </c>
      <c r="D92" s="2619"/>
      <c r="E92" s="2619"/>
      <c r="F92" s="2619"/>
      <c r="G92" s="2619"/>
      <c r="H92" s="2619"/>
      <c r="I92" s="2629"/>
      <c r="M92" s="2629"/>
      <c r="N92" s="2628"/>
      <c r="P92" s="298"/>
      <c r="Z92" s="1773">
        <v>92</v>
      </c>
    </row>
    <row r="93" spans="1:26" s="289" customFormat="1" ht="1.5" customHeight="1">
      <c r="A93" s="1711"/>
      <c r="B93" s="1711"/>
      <c r="C93" s="1298"/>
      <c r="D93" s="2619"/>
      <c r="E93" s="2619"/>
      <c r="F93" s="2619"/>
      <c r="L93" s="2629"/>
      <c r="M93" s="2629"/>
      <c r="N93" s="2628"/>
      <c r="Z93" s="1773">
        <v>93</v>
      </c>
    </row>
    <row r="94" spans="1:26" s="289" customFormat="1" ht="13.35" customHeight="1">
      <c r="A94" s="1711"/>
      <c r="B94" s="1711" t="s">
        <v>1892</v>
      </c>
      <c r="C94" s="1662" t="s">
        <v>2270</v>
      </c>
      <c r="D94" s="2619"/>
      <c r="F94" s="2620"/>
      <c r="K94" s="3262" t="s">
        <v>6876</v>
      </c>
      <c r="L94" s="3264"/>
      <c r="M94" s="3263"/>
      <c r="N94" s="2628"/>
      <c r="Z94" s="1773">
        <v>94</v>
      </c>
    </row>
    <row r="95" spans="1:26" s="289" customFormat="1" ht="1.5" customHeight="1">
      <c r="A95" s="1711"/>
      <c r="B95" s="1711"/>
      <c r="D95" s="2619"/>
      <c r="F95" s="2619"/>
      <c r="G95" s="2619"/>
      <c r="H95" s="454" t="s">
        <v>4096</v>
      </c>
      <c r="L95" s="2629"/>
      <c r="M95" s="2629"/>
      <c r="Z95" s="1773">
        <v>95</v>
      </c>
    </row>
    <row r="96" spans="1:26" s="289" customFormat="1" ht="13.35" customHeight="1">
      <c r="B96" s="1711" t="s">
        <v>1894</v>
      </c>
      <c r="C96" s="291" t="s">
        <v>1473</v>
      </c>
      <c r="K96" s="2621" t="s">
        <v>4010</v>
      </c>
      <c r="N96" s="316"/>
      <c r="P96" s="2690" t="s">
        <v>6877</v>
      </c>
      <c r="Z96" s="1773">
        <v>96</v>
      </c>
    </row>
    <row r="97" spans="1:26" s="289" customFormat="1" ht="4.5" customHeight="1">
      <c r="A97" s="1711"/>
      <c r="B97" s="1711"/>
      <c r="C97" s="291"/>
      <c r="D97" s="2619"/>
      <c r="E97" s="2619"/>
      <c r="F97" s="2619"/>
      <c r="G97" s="2619"/>
      <c r="I97" s="2629"/>
      <c r="J97" s="2629"/>
      <c r="K97" s="2629"/>
      <c r="L97" s="2629"/>
      <c r="M97" s="2629"/>
      <c r="N97" s="2628"/>
      <c r="P97" s="298"/>
      <c r="Z97" s="1773">
        <v>97</v>
      </c>
    </row>
    <row r="98" spans="1:26" s="289" customFormat="1" ht="13.35" customHeight="1">
      <c r="A98" s="315" t="s">
        <v>281</v>
      </c>
      <c r="B98" s="1298" t="s">
        <v>1948</v>
      </c>
      <c r="D98" s="2619"/>
      <c r="Z98" s="1773">
        <v>98</v>
      </c>
    </row>
    <row r="99" spans="1:26" s="289" customFormat="1" ht="1.5" customHeight="1">
      <c r="A99" s="1711"/>
      <c r="B99" s="1711"/>
      <c r="D99" s="2619"/>
      <c r="N99" s="2628"/>
      <c r="P99" s="298"/>
      <c r="Z99" s="1773">
        <v>99</v>
      </c>
    </row>
    <row r="100" spans="1:26" s="289" customFormat="1" ht="13.35" customHeight="1">
      <c r="A100" s="315"/>
      <c r="B100" s="1711" t="s">
        <v>1892</v>
      </c>
      <c r="C100" s="291" t="s">
        <v>2555</v>
      </c>
      <c r="F100" s="312" t="s">
        <v>2479</v>
      </c>
      <c r="H100" s="2691" t="s">
        <v>2771</v>
      </c>
      <c r="K100" s="2620" t="s">
        <v>932</v>
      </c>
      <c r="M100" s="2679" t="s">
        <v>2771</v>
      </c>
      <c r="O100" s="295" t="s">
        <v>3929</v>
      </c>
      <c r="P100" s="2692" t="s">
        <v>2771</v>
      </c>
      <c r="Z100" s="1773">
        <v>100</v>
      </c>
    </row>
    <row r="101" spans="1:26" s="289" customFormat="1" ht="13.35" customHeight="1">
      <c r="A101" s="315"/>
      <c r="B101" s="1711"/>
      <c r="C101" s="291"/>
      <c r="F101" s="2619" t="s">
        <v>3445</v>
      </c>
      <c r="H101" s="2693" t="s">
        <v>2771</v>
      </c>
      <c r="K101" s="2620" t="s">
        <v>6314</v>
      </c>
      <c r="P101" s="2693" t="s">
        <v>2771</v>
      </c>
      <c r="Z101" s="1773">
        <v>101</v>
      </c>
    </row>
    <row r="102" spans="1:26" s="289" customFormat="1" ht="2.25" customHeight="1">
      <c r="A102" s="1711"/>
      <c r="B102" s="1711"/>
      <c r="C102" s="1298"/>
      <c r="F102" s="2619"/>
      <c r="H102" s="2619"/>
      <c r="J102" s="2629"/>
      <c r="K102" s="2629"/>
      <c r="L102" s="2629"/>
      <c r="M102" s="2629"/>
      <c r="N102" s="2629"/>
      <c r="P102" s="298"/>
      <c r="Z102" s="1773">
        <v>102</v>
      </c>
    </row>
    <row r="103" spans="1:26" s="289" customFormat="1" ht="13.35" customHeight="1">
      <c r="A103" s="315"/>
      <c r="B103" s="1711" t="s">
        <v>1894</v>
      </c>
      <c r="C103" s="291" t="s">
        <v>2556</v>
      </c>
      <c r="F103" s="2620" t="s">
        <v>2532</v>
      </c>
      <c r="H103" s="2684" t="s">
        <v>2771</v>
      </c>
      <c r="J103" s="2629"/>
      <c r="K103" s="2638"/>
      <c r="L103" s="2629"/>
      <c r="Z103" s="1773">
        <v>103</v>
      </c>
    </row>
    <row r="104" spans="1:26" s="289" customFormat="1" ht="4.5" customHeight="1">
      <c r="A104" s="1711"/>
      <c r="B104" s="1711"/>
      <c r="C104" s="291"/>
      <c r="D104" s="2619"/>
      <c r="E104" s="2619"/>
      <c r="F104" s="2619"/>
      <c r="G104" s="2619"/>
      <c r="I104" s="2629"/>
      <c r="J104" s="2629"/>
      <c r="K104" s="2629"/>
      <c r="L104" s="2629"/>
      <c r="M104" s="2629"/>
      <c r="N104" s="2628"/>
      <c r="P104" s="298"/>
      <c r="Z104" s="1773">
        <v>104</v>
      </c>
    </row>
    <row r="105" spans="1:26" s="289" customFormat="1" ht="13.35" customHeight="1">
      <c r="A105" s="315" t="s">
        <v>407</v>
      </c>
      <c r="B105" s="1298" t="s">
        <v>6313</v>
      </c>
      <c r="D105" s="2619"/>
      <c r="H105" s="3262" t="s">
        <v>2478</v>
      </c>
      <c r="I105" s="3263"/>
      <c r="J105" s="2629"/>
      <c r="Z105" s="1773">
        <v>105</v>
      </c>
    </row>
    <row r="106" spans="1:26" s="289" customFormat="1" ht="4.5" customHeight="1">
      <c r="A106" s="1711"/>
      <c r="D106" s="305"/>
      <c r="E106" s="2628"/>
      <c r="I106" s="305"/>
      <c r="J106" s="297"/>
      <c r="K106" s="2628"/>
      <c r="P106" s="298"/>
      <c r="Z106" s="1773">
        <v>106</v>
      </c>
    </row>
    <row r="107" spans="1:26" s="289" customFormat="1" ht="13.35" customHeight="1">
      <c r="A107" s="315" t="s">
        <v>346</v>
      </c>
      <c r="B107" s="310" t="s">
        <v>1144</v>
      </c>
      <c r="D107" s="2628"/>
      <c r="E107" s="2628"/>
      <c r="F107" s="2628"/>
      <c r="G107" s="2628"/>
      <c r="H107" s="2628"/>
      <c r="I107" s="305"/>
      <c r="J107" s="297"/>
      <c r="K107" s="2628"/>
      <c r="P107" s="298"/>
      <c r="Z107" s="1773">
        <v>107</v>
      </c>
    </row>
    <row r="108" spans="1:26" s="289" customFormat="1" ht="3" customHeight="1">
      <c r="A108" s="315"/>
      <c r="B108" s="1711"/>
      <c r="C108" s="310"/>
      <c r="D108" s="2628"/>
      <c r="E108" s="2628"/>
      <c r="F108" s="2628"/>
      <c r="G108" s="2628"/>
      <c r="H108" s="2628"/>
      <c r="I108" s="305"/>
      <c r="J108" s="297"/>
      <c r="K108" s="2628"/>
      <c r="Z108" s="1773">
        <v>108</v>
      </c>
    </row>
    <row r="109" spans="1:26" s="289" customFormat="1" ht="13.35" customHeight="1">
      <c r="A109" s="1711"/>
      <c r="B109" s="1711"/>
      <c r="C109" s="297" t="s">
        <v>525</v>
      </c>
      <c r="D109" s="2628"/>
      <c r="E109" s="3136"/>
      <c r="F109" s="3137"/>
      <c r="G109" s="3137"/>
      <c r="H109" s="3137"/>
      <c r="I109" s="3137"/>
      <c r="J109" s="3137"/>
      <c r="K109" s="3137"/>
      <c r="L109" s="3138"/>
      <c r="M109" s="3289" t="s">
        <v>526</v>
      </c>
      <c r="N109" s="3289"/>
      <c r="O109" s="3194"/>
      <c r="P109" s="3195"/>
      <c r="Z109" s="1773">
        <v>109</v>
      </c>
    </row>
    <row r="110" spans="1:26" s="289" customFormat="1" ht="13.35" customHeight="1">
      <c r="C110" s="2621" t="s">
        <v>982</v>
      </c>
      <c r="D110" s="301"/>
      <c r="E110" s="3290"/>
      <c r="F110" s="3156"/>
      <c r="G110" s="3156"/>
      <c r="H110" s="3291"/>
      <c r="I110" s="3156"/>
      <c r="J110" s="3291"/>
      <c r="K110" s="3156"/>
      <c r="L110" s="3292"/>
      <c r="M110" s="3289" t="s">
        <v>775</v>
      </c>
      <c r="N110" s="3289"/>
      <c r="O110" s="3293"/>
      <c r="P110" s="3294"/>
      <c r="Z110" s="1773">
        <v>110</v>
      </c>
    </row>
    <row r="111" spans="1:26" s="289" customFormat="1" ht="13.35" customHeight="1">
      <c r="C111" s="2621" t="s">
        <v>588</v>
      </c>
      <c r="E111" s="3153"/>
      <c r="F111" s="3267"/>
      <c r="G111" s="3268"/>
      <c r="H111" s="2623" t="s">
        <v>1717</v>
      </c>
      <c r="I111" s="2694"/>
      <c r="J111" s="317" t="s">
        <v>2127</v>
      </c>
      <c r="K111" s="3282"/>
      <c r="L111" s="3283"/>
      <c r="M111" s="267" t="s">
        <v>3305</v>
      </c>
      <c r="N111" s="267"/>
      <c r="O111" s="3284"/>
      <c r="P111" s="3285"/>
      <c r="Z111" s="1773">
        <v>111</v>
      </c>
    </row>
    <row r="112" spans="1:26" s="289" customFormat="1" ht="13.35" customHeight="1">
      <c r="C112" s="289" t="s">
        <v>2098</v>
      </c>
      <c r="E112" s="3153"/>
      <c r="F112" s="3267"/>
      <c r="G112" s="3268"/>
      <c r="H112" s="846" t="s">
        <v>1889</v>
      </c>
      <c r="I112" s="3269"/>
      <c r="J112" s="3270"/>
      <c r="K112" s="3271"/>
      <c r="L112" s="2645" t="s">
        <v>1893</v>
      </c>
      <c r="M112" s="3136"/>
      <c r="N112" s="3272"/>
      <c r="O112" s="3273"/>
      <c r="P112" s="3274"/>
      <c r="Z112" s="1773">
        <v>112</v>
      </c>
    </row>
    <row r="113" spans="1:26" s="289" customFormat="1" ht="13.35" customHeight="1">
      <c r="C113" s="2621" t="s">
        <v>2097</v>
      </c>
      <c r="E113" s="3275"/>
      <c r="F113" s="3276"/>
      <c r="G113" s="3277"/>
      <c r="H113" s="846" t="s">
        <v>1719</v>
      </c>
      <c r="I113" s="3275"/>
      <c r="J113" s="3278"/>
      <c r="K113" s="2623" t="s">
        <v>2552</v>
      </c>
      <c r="L113" s="3279"/>
      <c r="M113" s="3280"/>
      <c r="N113" s="3280"/>
      <c r="O113" s="3280"/>
      <c r="P113" s="3281"/>
      <c r="Z113" s="1773">
        <v>113</v>
      </c>
    </row>
    <row r="114" spans="1:26" s="289" customFormat="1" ht="3" customHeight="1">
      <c r="A114" s="1711"/>
      <c r="B114" s="1711"/>
      <c r="G114" s="305"/>
      <c r="H114" s="2629"/>
      <c r="I114" s="2629"/>
      <c r="M114" s="298"/>
      <c r="Z114" s="1773">
        <v>114</v>
      </c>
    </row>
    <row r="115" spans="1:26" s="289" customFormat="1" ht="13.35" customHeight="1">
      <c r="A115" s="315" t="s">
        <v>347</v>
      </c>
      <c r="B115" s="1298" t="s">
        <v>1596</v>
      </c>
      <c r="D115" s="305"/>
      <c r="E115" s="305"/>
      <c r="F115" s="2629"/>
      <c r="G115" s="2629"/>
      <c r="H115" s="2629"/>
      <c r="N115" s="2628"/>
      <c r="O115" s="2628"/>
      <c r="P115" s="298"/>
      <c r="Z115" s="1773">
        <v>115</v>
      </c>
    </row>
    <row r="116" spans="1:26" s="289" customFormat="1" ht="1.5" customHeight="1">
      <c r="A116" s="315"/>
      <c r="B116" s="1298"/>
      <c r="D116" s="305"/>
      <c r="E116" s="305"/>
      <c r="F116" s="2629"/>
      <c r="G116" s="2629"/>
      <c r="H116" s="2629"/>
      <c r="I116" s="2629"/>
      <c r="J116" s="305"/>
      <c r="K116" s="2629"/>
      <c r="L116" s="2629"/>
      <c r="N116" s="2628"/>
      <c r="O116" s="2628"/>
      <c r="P116" s="298"/>
      <c r="Z116" s="1773">
        <v>116</v>
      </c>
    </row>
    <row r="117" spans="1:26" s="289" customFormat="1" ht="13.35" customHeight="1">
      <c r="B117" s="312" t="s">
        <v>2058</v>
      </c>
      <c r="D117" s="318"/>
      <c r="E117" s="318"/>
      <c r="F117" s="318"/>
      <c r="G117" s="318"/>
      <c r="H117" s="318"/>
      <c r="I117" s="318"/>
      <c r="J117" s="318"/>
      <c r="K117" s="318"/>
      <c r="L117" s="318"/>
      <c r="M117" s="318"/>
      <c r="N117" s="318"/>
      <c r="O117" s="318"/>
      <c r="P117" s="318"/>
      <c r="Z117" s="1773">
        <v>117</v>
      </c>
    </row>
    <row r="118" spans="1:26" s="289" customFormat="1" ht="1.5" customHeight="1">
      <c r="A118" s="1711"/>
      <c r="B118" s="1711"/>
      <c r="C118" s="319"/>
      <c r="D118" s="319"/>
      <c r="E118" s="319"/>
      <c r="F118" s="319"/>
      <c r="G118" s="319"/>
      <c r="H118" s="319"/>
      <c r="I118" s="319"/>
      <c r="J118" s="319"/>
      <c r="K118" s="319"/>
      <c r="L118" s="319"/>
      <c r="M118" s="319"/>
      <c r="N118" s="319"/>
      <c r="O118" s="319"/>
      <c r="P118" s="319"/>
      <c r="Z118" s="1773">
        <v>118</v>
      </c>
    </row>
    <row r="119" spans="1:26" s="289" customFormat="1" ht="13.35" customHeight="1">
      <c r="A119" s="1711"/>
      <c r="B119" s="1711" t="s">
        <v>1892</v>
      </c>
      <c r="C119" s="1298" t="s">
        <v>1362</v>
      </c>
      <c r="D119" s="2619"/>
      <c r="E119" s="2619"/>
      <c r="F119" s="2629"/>
      <c r="G119" s="2629"/>
      <c r="H119" s="2695">
        <v>3</v>
      </c>
      <c r="N119" s="2628"/>
      <c r="O119" s="2628"/>
      <c r="Z119" s="1773">
        <v>119</v>
      </c>
    </row>
    <row r="120" spans="1:26" s="289" customFormat="1" ht="1.5" customHeight="1">
      <c r="A120" s="1711"/>
      <c r="B120" s="1711"/>
      <c r="C120" s="319"/>
      <c r="D120" s="319"/>
      <c r="E120" s="319"/>
      <c r="F120" s="319"/>
      <c r="G120" s="319"/>
      <c r="H120" s="319"/>
      <c r="J120" s="319"/>
      <c r="M120" s="319"/>
      <c r="N120" s="319"/>
      <c r="O120" s="319"/>
      <c r="Z120" s="1773">
        <v>120</v>
      </c>
    </row>
    <row r="121" spans="1:26" s="289" customFormat="1" ht="13.35" customHeight="1">
      <c r="A121" s="1711"/>
      <c r="B121" s="1711" t="s">
        <v>1894</v>
      </c>
      <c r="C121" s="1298" t="s">
        <v>397</v>
      </c>
      <c r="D121" s="2619"/>
      <c r="E121" s="2619"/>
      <c r="F121" s="2629"/>
      <c r="G121" s="2629"/>
      <c r="H121" s="2696">
        <v>2748500</v>
      </c>
      <c r="J121" s="305"/>
      <c r="K121" s="2620"/>
      <c r="N121" s="2628"/>
      <c r="Z121" s="1773">
        <v>121</v>
      </c>
    </row>
    <row r="122" spans="1:26" s="289" customFormat="1" ht="1.5" customHeight="1">
      <c r="A122" s="1711"/>
      <c r="B122" s="1711"/>
      <c r="C122" s="319"/>
      <c r="D122" s="319"/>
      <c r="E122" s="319"/>
      <c r="F122" s="319"/>
      <c r="G122" s="319"/>
      <c r="H122" s="319"/>
      <c r="I122" s="319"/>
      <c r="J122" s="319"/>
      <c r="K122" s="319"/>
      <c r="M122" s="319"/>
      <c r="N122" s="319"/>
      <c r="O122" s="319"/>
      <c r="P122" s="319"/>
      <c r="Z122" s="1773">
        <v>122</v>
      </c>
    </row>
    <row r="123" spans="1:26" s="289" customFormat="1" ht="13.35" customHeight="1">
      <c r="B123" s="1711" t="s">
        <v>719</v>
      </c>
      <c r="C123" s="1298" t="s">
        <v>291</v>
      </c>
      <c r="D123" s="2619"/>
      <c r="E123" s="2619"/>
      <c r="F123" s="2629"/>
      <c r="G123" s="2629"/>
      <c r="H123" s="2629"/>
      <c r="I123" s="2629"/>
      <c r="J123" s="305"/>
      <c r="K123" s="2629"/>
      <c r="L123" s="2629"/>
      <c r="N123" s="2628"/>
      <c r="O123" s="2628"/>
      <c r="Z123" s="1773">
        <v>123</v>
      </c>
    </row>
    <row r="124" spans="1:26" s="289" customFormat="1" ht="13.35" customHeight="1">
      <c r="B124" s="1711"/>
      <c r="C124" s="2619" t="s">
        <v>2040</v>
      </c>
      <c r="D124" s="2619"/>
      <c r="F124" s="2619" t="s">
        <v>1093</v>
      </c>
      <c r="G124" s="2629"/>
      <c r="H124" s="2629"/>
      <c r="I124" s="2629" t="s">
        <v>1246</v>
      </c>
      <c r="J124" s="2619" t="s">
        <v>2040</v>
      </c>
      <c r="K124" s="2619"/>
      <c r="M124" s="2619" t="s">
        <v>1093</v>
      </c>
      <c r="N124" s="2629"/>
      <c r="O124" s="2629"/>
      <c r="P124" s="2629" t="s">
        <v>1246</v>
      </c>
      <c r="Z124" s="1773">
        <v>124</v>
      </c>
    </row>
    <row r="125" spans="1:26" s="289" customFormat="1" ht="13.35" customHeight="1">
      <c r="A125" s="1711"/>
      <c r="B125" s="1711"/>
      <c r="C125" s="3265" t="s">
        <v>6940</v>
      </c>
      <c r="D125" s="3168"/>
      <c r="E125" s="3266"/>
      <c r="F125" s="3167" t="s">
        <v>7019</v>
      </c>
      <c r="G125" s="3168"/>
      <c r="H125" s="3266"/>
      <c r="I125" s="2697" t="s">
        <v>7020</v>
      </c>
      <c r="J125" s="3265" t="s">
        <v>6940</v>
      </c>
      <c r="K125" s="3168"/>
      <c r="L125" s="3266"/>
      <c r="M125" s="3167" t="s">
        <v>7030</v>
      </c>
      <c r="N125" s="3168"/>
      <c r="O125" s="3266"/>
      <c r="P125" s="2697" t="s">
        <v>7020</v>
      </c>
      <c r="Z125" s="1773">
        <v>125</v>
      </c>
    </row>
    <row r="126" spans="1:26" s="289" customFormat="1" ht="13.35" customHeight="1">
      <c r="A126" s="1711"/>
      <c r="B126" s="1711"/>
      <c r="C126" s="3175" t="s">
        <v>6854</v>
      </c>
      <c r="D126" s="3173"/>
      <c r="E126" s="3176"/>
      <c r="F126" s="3172" t="s">
        <v>7019</v>
      </c>
      <c r="G126" s="3173"/>
      <c r="H126" s="3176"/>
      <c r="I126" s="2698" t="s">
        <v>7020</v>
      </c>
      <c r="J126" s="3175" t="s">
        <v>6854</v>
      </c>
      <c r="K126" s="3173"/>
      <c r="L126" s="3176"/>
      <c r="M126" s="3172" t="s">
        <v>7030</v>
      </c>
      <c r="N126" s="3173"/>
      <c r="O126" s="3176"/>
      <c r="P126" s="2698" t="s">
        <v>7020</v>
      </c>
      <c r="Z126" s="1773">
        <v>126</v>
      </c>
    </row>
    <row r="127" spans="1:26" s="289" customFormat="1" ht="13.35" customHeight="1">
      <c r="A127" s="1711"/>
      <c r="B127" s="1711"/>
      <c r="C127" s="3175" t="s">
        <v>7027</v>
      </c>
      <c r="D127" s="3173"/>
      <c r="E127" s="3176"/>
      <c r="F127" s="3172" t="s">
        <v>7019</v>
      </c>
      <c r="G127" s="3173"/>
      <c r="H127" s="3176"/>
      <c r="I127" s="2698" t="s">
        <v>7020</v>
      </c>
      <c r="J127" s="3175" t="s">
        <v>7027</v>
      </c>
      <c r="K127" s="3173"/>
      <c r="L127" s="3176"/>
      <c r="M127" s="3172" t="s">
        <v>7030</v>
      </c>
      <c r="N127" s="3173"/>
      <c r="O127" s="3176"/>
      <c r="P127" s="2698" t="s">
        <v>7020</v>
      </c>
      <c r="Z127" s="1773">
        <v>127</v>
      </c>
    </row>
    <row r="128" spans="1:26" s="289" customFormat="1" ht="13.35" customHeight="1">
      <c r="A128" s="1711"/>
      <c r="B128" s="1711"/>
      <c r="C128" s="3170" t="s">
        <v>7028</v>
      </c>
      <c r="D128" s="3171"/>
      <c r="E128" s="3171"/>
      <c r="F128" s="3172" t="s">
        <v>7019</v>
      </c>
      <c r="G128" s="3173"/>
      <c r="H128" s="3176"/>
      <c r="I128" s="2698" t="s">
        <v>7020</v>
      </c>
      <c r="J128" s="3175" t="s">
        <v>375</v>
      </c>
      <c r="K128" s="3173"/>
      <c r="L128" s="3176"/>
      <c r="M128" s="3172" t="s">
        <v>7030</v>
      </c>
      <c r="N128" s="3173"/>
      <c r="O128" s="3176"/>
      <c r="P128" s="2698" t="s">
        <v>7020</v>
      </c>
      <c r="Z128" s="1773">
        <v>128</v>
      </c>
    </row>
    <row r="129" spans="1:26" s="289" customFormat="1" ht="13.35" customHeight="1">
      <c r="A129" s="1711"/>
      <c r="B129" s="1711"/>
      <c r="C129" s="3175" t="s">
        <v>531</v>
      </c>
      <c r="D129" s="3173"/>
      <c r="E129" s="3176"/>
      <c r="F129" s="3172" t="s">
        <v>7019</v>
      </c>
      <c r="G129" s="3173"/>
      <c r="H129" s="3176"/>
      <c r="I129" s="2698" t="s">
        <v>7020</v>
      </c>
      <c r="J129" s="3170" t="s">
        <v>7033</v>
      </c>
      <c r="K129" s="3171"/>
      <c r="L129" s="3171"/>
      <c r="M129" s="3172" t="s">
        <v>7029</v>
      </c>
      <c r="N129" s="3173"/>
      <c r="O129" s="3176"/>
      <c r="P129" s="2698" t="s">
        <v>7020</v>
      </c>
      <c r="Z129" s="1773">
        <v>129</v>
      </c>
    </row>
    <row r="130" spans="1:26" s="289" customFormat="1" ht="13.35" customHeight="1">
      <c r="A130" s="1711"/>
      <c r="B130" s="1711"/>
      <c r="C130" s="3177" t="s">
        <v>7032</v>
      </c>
      <c r="D130" s="3178"/>
      <c r="E130" s="3179"/>
      <c r="F130" s="3258" t="s">
        <v>7029</v>
      </c>
      <c r="G130" s="3178"/>
      <c r="H130" s="3179"/>
      <c r="I130" s="2699" t="s">
        <v>7020</v>
      </c>
      <c r="J130" s="3170" t="s">
        <v>7034</v>
      </c>
      <c r="K130" s="3171"/>
      <c r="L130" s="3171"/>
      <c r="M130" s="3172" t="s">
        <v>7029</v>
      </c>
      <c r="N130" s="3173"/>
      <c r="O130" s="3176"/>
      <c r="P130" s="2698" t="s">
        <v>7020</v>
      </c>
      <c r="Z130" s="1773">
        <v>130</v>
      </c>
    </row>
    <row r="131" spans="1:26" s="289" customFormat="1" ht="1.5" customHeight="1">
      <c r="A131" s="1711"/>
      <c r="B131" s="1711"/>
      <c r="C131" s="319"/>
      <c r="D131" s="319"/>
      <c r="E131" s="319"/>
      <c r="F131" s="319"/>
      <c r="G131" s="319"/>
      <c r="H131" s="319"/>
      <c r="I131" s="319"/>
      <c r="J131" s="319"/>
      <c r="K131" s="319"/>
      <c r="L131" s="319"/>
      <c r="M131" s="319"/>
      <c r="N131" s="319"/>
      <c r="O131" s="319"/>
      <c r="P131" s="319"/>
      <c r="Z131" s="1773">
        <v>131</v>
      </c>
    </row>
    <row r="132" spans="1:26" s="289" customFormat="1" ht="13.35" customHeight="1">
      <c r="A132" s="1711"/>
      <c r="B132" s="1711" t="s">
        <v>2020</v>
      </c>
      <c r="C132" s="3164" t="s">
        <v>1760</v>
      </c>
      <c r="D132" s="3164"/>
      <c r="E132" s="3164"/>
      <c r="F132" s="3164"/>
      <c r="G132" s="3164"/>
      <c r="H132" s="3164"/>
      <c r="I132" s="3164"/>
      <c r="J132" s="3164"/>
      <c r="K132" s="3164"/>
      <c r="L132" s="3164"/>
      <c r="M132" s="3164"/>
      <c r="N132" s="3164"/>
      <c r="O132" s="3164"/>
      <c r="P132" s="3164"/>
      <c r="Z132" s="1773">
        <v>132</v>
      </c>
    </row>
    <row r="133" spans="1:26" s="289" customFormat="1" ht="13.35" customHeight="1">
      <c r="A133" s="1711"/>
      <c r="B133" s="1711"/>
      <c r="C133" s="3164"/>
      <c r="D133" s="3164"/>
      <c r="E133" s="3164"/>
      <c r="F133" s="3164"/>
      <c r="G133" s="3164"/>
      <c r="H133" s="3164"/>
      <c r="I133" s="3164"/>
      <c r="J133" s="3164"/>
      <c r="K133" s="3164"/>
      <c r="L133" s="3164"/>
      <c r="M133" s="3164"/>
      <c r="N133" s="3164"/>
      <c r="O133" s="3164"/>
      <c r="P133" s="3164"/>
      <c r="Z133" s="1773">
        <v>133</v>
      </c>
    </row>
    <row r="134" spans="1:26" s="289" customFormat="1" ht="13.35" customHeight="1">
      <c r="B134" s="1711"/>
      <c r="C134" s="2619" t="s">
        <v>2040</v>
      </c>
      <c r="D134" s="2619"/>
      <c r="F134" s="2619" t="s">
        <v>1093</v>
      </c>
      <c r="G134" s="2629"/>
      <c r="H134" s="2629"/>
      <c r="I134" s="2629"/>
      <c r="J134" s="2619" t="s">
        <v>2040</v>
      </c>
      <c r="K134" s="2619"/>
      <c r="M134" s="2619" t="s">
        <v>1093</v>
      </c>
      <c r="N134" s="2629"/>
      <c r="O134" s="2629"/>
      <c r="P134" s="2629"/>
      <c r="Z134" s="1773">
        <v>134</v>
      </c>
    </row>
    <row r="135" spans="1:26" s="289" customFormat="1" ht="13.35" customHeight="1">
      <c r="A135" s="1711"/>
      <c r="B135" s="1711"/>
      <c r="C135" s="3165" t="s">
        <v>6940</v>
      </c>
      <c r="D135" s="3166"/>
      <c r="E135" s="3166"/>
      <c r="F135" s="3167" t="s">
        <v>7030</v>
      </c>
      <c r="G135" s="3168"/>
      <c r="H135" s="3168"/>
      <c r="I135" s="3169"/>
      <c r="J135" s="3165">
        <v>7</v>
      </c>
      <c r="K135" s="3166"/>
      <c r="L135" s="3166"/>
      <c r="M135" s="3167"/>
      <c r="N135" s="3168"/>
      <c r="O135" s="3168"/>
      <c r="P135" s="3169"/>
      <c r="Z135" s="1773">
        <v>135</v>
      </c>
    </row>
    <row r="136" spans="1:26" s="289" customFormat="1" ht="13.35" customHeight="1">
      <c r="A136" s="1711"/>
      <c r="B136" s="1711"/>
      <c r="C136" s="3170" t="s">
        <v>6854</v>
      </c>
      <c r="D136" s="3171"/>
      <c r="E136" s="3171"/>
      <c r="F136" s="3172" t="s">
        <v>7030</v>
      </c>
      <c r="G136" s="3173"/>
      <c r="H136" s="3173"/>
      <c r="I136" s="3174"/>
      <c r="J136" s="3170">
        <v>8</v>
      </c>
      <c r="K136" s="3171"/>
      <c r="L136" s="3171"/>
      <c r="M136" s="3172"/>
      <c r="N136" s="3173"/>
      <c r="O136" s="3173"/>
      <c r="P136" s="3174"/>
      <c r="Z136" s="1773">
        <v>136</v>
      </c>
    </row>
    <row r="137" spans="1:26" s="289" customFormat="1" ht="13.35" customHeight="1">
      <c r="A137" s="1711"/>
      <c r="B137" s="1711"/>
      <c r="C137" s="3170" t="s">
        <v>7027</v>
      </c>
      <c r="D137" s="3171"/>
      <c r="E137" s="3171"/>
      <c r="F137" s="3172" t="s">
        <v>7030</v>
      </c>
      <c r="G137" s="3173"/>
      <c r="H137" s="3173"/>
      <c r="I137" s="3174"/>
      <c r="J137" s="3170">
        <v>9</v>
      </c>
      <c r="K137" s="3171"/>
      <c r="L137" s="3171"/>
      <c r="M137" s="3172"/>
      <c r="N137" s="3173"/>
      <c r="O137" s="3173"/>
      <c r="P137" s="3174"/>
      <c r="Z137" s="1773">
        <v>137</v>
      </c>
    </row>
    <row r="138" spans="1:26" s="289" customFormat="1" ht="13.35" customHeight="1">
      <c r="A138" s="1711"/>
      <c r="B138" s="1711"/>
      <c r="C138" s="3170" t="s">
        <v>375</v>
      </c>
      <c r="D138" s="3171"/>
      <c r="E138" s="3171"/>
      <c r="F138" s="3172" t="s">
        <v>7030</v>
      </c>
      <c r="G138" s="3173"/>
      <c r="H138" s="3173"/>
      <c r="I138" s="3174"/>
      <c r="J138" s="3170">
        <v>10</v>
      </c>
      <c r="K138" s="3171"/>
      <c r="L138" s="3171"/>
      <c r="M138" s="3172"/>
      <c r="N138" s="3173"/>
      <c r="O138" s="3173"/>
      <c r="P138" s="3174"/>
      <c r="Z138" s="1773">
        <v>138</v>
      </c>
    </row>
    <row r="139" spans="1:26" s="289" customFormat="1" ht="13.35" customHeight="1">
      <c r="A139" s="1711"/>
      <c r="B139" s="1711"/>
      <c r="C139" s="3170">
        <v>5</v>
      </c>
      <c r="D139" s="3171"/>
      <c r="E139" s="3171"/>
      <c r="F139" s="3172"/>
      <c r="G139" s="3173"/>
      <c r="H139" s="3173"/>
      <c r="I139" s="3174"/>
      <c r="J139" s="3170">
        <v>11</v>
      </c>
      <c r="K139" s="3171"/>
      <c r="L139" s="3171"/>
      <c r="M139" s="3172"/>
      <c r="N139" s="3173"/>
      <c r="O139" s="3173"/>
      <c r="P139" s="3174"/>
      <c r="Z139" s="1773">
        <v>139</v>
      </c>
    </row>
    <row r="140" spans="1:26" s="289" customFormat="1" ht="13.35" customHeight="1">
      <c r="A140" s="1711"/>
      <c r="B140" s="1711"/>
      <c r="C140" s="3259">
        <v>6</v>
      </c>
      <c r="D140" s="3260"/>
      <c r="E140" s="3260"/>
      <c r="F140" s="3258"/>
      <c r="G140" s="3178"/>
      <c r="H140" s="3178"/>
      <c r="I140" s="3261"/>
      <c r="J140" s="3259">
        <v>12</v>
      </c>
      <c r="K140" s="3260"/>
      <c r="L140" s="3260"/>
      <c r="M140" s="3258"/>
      <c r="N140" s="3178"/>
      <c r="O140" s="3178"/>
      <c r="P140" s="3261"/>
      <c r="Z140" s="1773">
        <v>140</v>
      </c>
    </row>
    <row r="141" spans="1:26" s="289" customFormat="1" ht="3" customHeight="1" thickBot="1">
      <c r="A141" s="1711"/>
      <c r="B141" s="1711"/>
      <c r="C141" s="2619"/>
      <c r="D141" s="2619"/>
      <c r="E141" s="2619"/>
      <c r="F141" s="2629"/>
      <c r="G141" s="2629"/>
      <c r="H141" s="2629"/>
      <c r="I141" s="2629"/>
      <c r="J141" s="305"/>
      <c r="K141" s="2629"/>
      <c r="L141" s="2629"/>
      <c r="N141" s="2628"/>
      <c r="O141" s="2628"/>
      <c r="P141" s="298"/>
      <c r="Z141" s="1773">
        <v>141</v>
      </c>
    </row>
    <row r="142" spans="1:26" s="289" customFormat="1" ht="14.45" customHeight="1" thickBot="1">
      <c r="A142" s="291" t="s">
        <v>348</v>
      </c>
      <c r="B142" s="299" t="s">
        <v>4027</v>
      </c>
      <c r="D142" s="299"/>
      <c r="E142" s="299"/>
      <c r="F142" s="299"/>
      <c r="I142" s="2700" t="s">
        <v>2771</v>
      </c>
      <c r="K142" s="289" t="s">
        <v>6479</v>
      </c>
      <c r="M142" s="2629"/>
      <c r="N142" s="2628"/>
      <c r="O142" s="2628"/>
      <c r="P142" s="298"/>
      <c r="Z142" s="1773">
        <v>142</v>
      </c>
    </row>
    <row r="143" spans="1:26" s="289" customFormat="1" ht="6" customHeight="1">
      <c r="A143" s="315"/>
      <c r="B143" s="1711"/>
      <c r="C143" s="1298"/>
      <c r="D143" s="1298"/>
      <c r="E143" s="1298"/>
      <c r="F143" s="1298"/>
      <c r="G143" s="2629"/>
      <c r="M143" s="2629"/>
      <c r="N143" s="2628"/>
      <c r="O143" s="2628"/>
      <c r="Z143" s="1773">
        <v>143</v>
      </c>
    </row>
    <row r="144" spans="1:26" s="289" customFormat="1" ht="12" customHeight="1">
      <c r="A144" s="1711"/>
      <c r="B144" s="1711" t="s">
        <v>1892</v>
      </c>
      <c r="C144" s="294" t="s">
        <v>6398</v>
      </c>
      <c r="I144" s="2691"/>
      <c r="K144" s="289" t="s">
        <v>6480</v>
      </c>
      <c r="M144" s="2629"/>
      <c r="N144" s="2628"/>
      <c r="O144" s="3180"/>
      <c r="P144" s="3181"/>
      <c r="Z144" s="1773">
        <v>144</v>
      </c>
    </row>
    <row r="145" spans="1:26" s="289" customFormat="1" ht="12" customHeight="1">
      <c r="A145" s="1711"/>
      <c r="B145" s="1711"/>
      <c r="C145" s="2619" t="s">
        <v>2308</v>
      </c>
      <c r="D145" s="2619"/>
      <c r="E145" s="2619"/>
      <c r="F145" s="2629"/>
      <c r="I145" s="2701"/>
      <c r="K145" s="289" t="s">
        <v>6482</v>
      </c>
      <c r="N145" s="2628"/>
      <c r="O145" s="3208"/>
      <c r="P145" s="3209"/>
      <c r="Z145" s="1773">
        <v>145</v>
      </c>
    </row>
    <row r="146" spans="1:26" s="289" customFormat="1" ht="12" customHeight="1">
      <c r="A146" s="1711"/>
      <c r="B146" s="1711"/>
      <c r="C146" s="320" t="s">
        <v>1636</v>
      </c>
      <c r="D146" s="2621"/>
      <c r="I146" s="2680"/>
      <c r="K146" s="289" t="s">
        <v>6483</v>
      </c>
      <c r="O146" s="3210"/>
      <c r="P146" s="3211"/>
      <c r="Z146" s="1773">
        <v>146</v>
      </c>
    </row>
    <row r="147" spans="1:26" s="289" customFormat="1" ht="12" customHeight="1">
      <c r="A147" s="1711"/>
      <c r="B147" s="1711"/>
      <c r="C147" s="2619" t="s">
        <v>2309</v>
      </c>
      <c r="D147" s="2619"/>
      <c r="E147" s="1298"/>
      <c r="F147" s="2629"/>
      <c r="I147" s="2701"/>
      <c r="K147" s="267" t="s">
        <v>2142</v>
      </c>
      <c r="O147" s="3136" t="s">
        <v>464</v>
      </c>
      <c r="P147" s="3138"/>
      <c r="Z147" s="1773">
        <v>147</v>
      </c>
    </row>
    <row r="148" spans="1:26" s="289" customFormat="1" ht="12" customHeight="1">
      <c r="A148" s="1711"/>
      <c r="B148" s="1711"/>
      <c r="C148" s="2619" t="s">
        <v>2307</v>
      </c>
      <c r="F148" s="2629" t="s">
        <v>6396</v>
      </c>
      <c r="G148" s="3184"/>
      <c r="H148" s="3185"/>
      <c r="I148" s="2702"/>
      <c r="K148" s="267" t="s">
        <v>2143</v>
      </c>
      <c r="O148" s="3186" t="s">
        <v>464</v>
      </c>
      <c r="P148" s="3187"/>
      <c r="Z148" s="1773">
        <v>148</v>
      </c>
    </row>
    <row r="149" spans="1:26" s="289" customFormat="1" ht="12" customHeight="1">
      <c r="A149" s="1711"/>
      <c r="B149" s="1711"/>
      <c r="C149" s="2619" t="s">
        <v>2070</v>
      </c>
      <c r="D149" s="2619"/>
      <c r="E149" s="2619"/>
      <c r="F149" s="2629"/>
      <c r="I149" s="3157"/>
      <c r="J149" s="3158"/>
      <c r="N149" s="2628"/>
      <c r="O149" s="2628"/>
      <c r="P149" s="298"/>
      <c r="Z149" s="1773">
        <v>149</v>
      </c>
    </row>
    <row r="150" spans="1:26" s="289" customFormat="1" ht="6" customHeight="1">
      <c r="A150" s="1711"/>
      <c r="B150" s="1711"/>
      <c r="C150" s="2619"/>
      <c r="D150" s="2619"/>
      <c r="E150" s="2619"/>
      <c r="F150" s="2629"/>
      <c r="G150" s="2629"/>
      <c r="M150" s="2629"/>
      <c r="N150" s="2628"/>
      <c r="O150" s="2628"/>
      <c r="P150" s="298"/>
      <c r="Z150" s="1773">
        <v>150</v>
      </c>
    </row>
    <row r="151" spans="1:26" s="289" customFormat="1" ht="12" customHeight="1">
      <c r="A151" s="1711"/>
      <c r="B151" s="1711" t="s">
        <v>1894</v>
      </c>
      <c r="C151" s="294" t="s">
        <v>6481</v>
      </c>
      <c r="I151" s="2691"/>
      <c r="K151" s="289" t="s">
        <v>6480</v>
      </c>
      <c r="M151" s="2629"/>
      <c r="N151" s="2628"/>
      <c r="O151" s="3180"/>
      <c r="P151" s="3181"/>
      <c r="Z151" s="1773">
        <v>151</v>
      </c>
    </row>
    <row r="152" spans="1:26" s="289" customFormat="1" ht="12" customHeight="1">
      <c r="A152" s="1711"/>
      <c r="B152" s="1711"/>
      <c r="C152" s="2619" t="s">
        <v>6397</v>
      </c>
      <c r="D152" s="2619"/>
      <c r="E152" s="2619"/>
      <c r="F152" s="2629"/>
      <c r="I152" s="2701"/>
      <c r="K152" s="289" t="s">
        <v>6482</v>
      </c>
      <c r="N152" s="2628"/>
      <c r="O152" s="3208"/>
      <c r="P152" s="3209"/>
      <c r="Z152" s="1773">
        <v>152</v>
      </c>
    </row>
    <row r="153" spans="1:26" s="289" customFormat="1" ht="12" customHeight="1">
      <c r="A153" s="1711"/>
      <c r="B153" s="1711"/>
      <c r="C153" s="320" t="s">
        <v>1636</v>
      </c>
      <c r="D153" s="2621"/>
      <c r="I153" s="2680"/>
      <c r="K153" s="289" t="s">
        <v>6483</v>
      </c>
      <c r="O153" s="3210"/>
      <c r="P153" s="3211"/>
      <c r="Z153" s="1773">
        <v>153</v>
      </c>
    </row>
    <row r="154" spans="1:26" s="289" customFormat="1" ht="12" customHeight="1">
      <c r="A154" s="1711"/>
      <c r="B154" s="1711"/>
      <c r="C154" s="2619" t="s">
        <v>2309</v>
      </c>
      <c r="D154" s="2619"/>
      <c r="E154" s="1298"/>
      <c r="F154" s="2629"/>
      <c r="I154" s="2701"/>
      <c r="K154" s="267" t="s">
        <v>2142</v>
      </c>
      <c r="O154" s="3136" t="s">
        <v>464</v>
      </c>
      <c r="P154" s="3138"/>
      <c r="Z154" s="1773">
        <v>154</v>
      </c>
    </row>
    <row r="155" spans="1:26" s="289" customFormat="1" ht="12" customHeight="1">
      <c r="A155" s="1711"/>
      <c r="B155" s="1711"/>
      <c r="C155" s="2619" t="s">
        <v>2307</v>
      </c>
      <c r="F155" s="2629" t="s">
        <v>6396</v>
      </c>
      <c r="G155" s="3184"/>
      <c r="H155" s="3185"/>
      <c r="I155" s="2702"/>
      <c r="K155" s="267" t="s">
        <v>2143</v>
      </c>
      <c r="O155" s="3186" t="s">
        <v>464</v>
      </c>
      <c r="P155" s="3187"/>
      <c r="Z155" s="1773">
        <v>155</v>
      </c>
    </row>
    <row r="156" spans="1:26" s="289" customFormat="1" ht="12" customHeight="1">
      <c r="A156" s="1711"/>
      <c r="B156" s="1711"/>
      <c r="C156" s="2619" t="s">
        <v>2070</v>
      </c>
      <c r="D156" s="2619"/>
      <c r="E156" s="2619"/>
      <c r="F156" s="2629"/>
      <c r="I156" s="3157"/>
      <c r="J156" s="3158"/>
      <c r="N156" s="2628"/>
      <c r="O156" s="2628"/>
      <c r="P156" s="298"/>
      <c r="Z156" s="1773">
        <v>156</v>
      </c>
    </row>
    <row r="157" spans="1:26" s="289" customFormat="1" ht="6" customHeight="1">
      <c r="A157" s="1711"/>
      <c r="B157" s="1711"/>
      <c r="C157" s="2619"/>
      <c r="D157" s="2619"/>
      <c r="E157" s="2619"/>
      <c r="F157" s="2629"/>
      <c r="G157" s="2629"/>
      <c r="M157" s="2629"/>
      <c r="N157" s="2628"/>
      <c r="O157" s="2628"/>
      <c r="P157" s="298"/>
      <c r="Z157" s="1773">
        <v>157</v>
      </c>
    </row>
    <row r="158" spans="1:26" s="289" customFormat="1" ht="12" customHeight="1">
      <c r="A158" s="1711"/>
      <c r="B158" s="1711" t="s">
        <v>719</v>
      </c>
      <c r="C158" s="1327" t="s">
        <v>2549</v>
      </c>
      <c r="D158" s="2619"/>
      <c r="E158" s="312" t="s">
        <v>4085</v>
      </c>
      <c r="F158" s="312"/>
      <c r="G158" s="312"/>
      <c r="I158" s="2703"/>
      <c r="K158" s="312" t="s">
        <v>4087</v>
      </c>
      <c r="L158" s="312"/>
      <c r="M158" s="312"/>
      <c r="O158" s="2704"/>
      <c r="P158" s="298"/>
      <c r="Z158" s="1773">
        <v>158</v>
      </c>
    </row>
    <row r="159" spans="1:26" s="289" customFormat="1" ht="12" customHeight="1">
      <c r="A159" s="1711"/>
      <c r="C159" s="1298"/>
      <c r="D159" s="2619"/>
      <c r="E159" s="312" t="s">
        <v>4086</v>
      </c>
      <c r="F159" s="312"/>
      <c r="G159" s="312"/>
      <c r="I159" s="2705"/>
      <c r="K159" s="312"/>
      <c r="L159" s="312"/>
      <c r="M159" s="312"/>
      <c r="P159" s="298"/>
      <c r="Z159" s="1773">
        <v>159</v>
      </c>
    </row>
    <row r="160" spans="1:26" s="289" customFormat="1" ht="6" customHeight="1">
      <c r="A160" s="1711"/>
      <c r="B160" s="1711"/>
      <c r="C160" s="2619"/>
      <c r="D160" s="2619"/>
      <c r="E160" s="2619"/>
      <c r="F160" s="2629"/>
      <c r="N160" s="2628"/>
      <c r="O160" s="2628"/>
      <c r="P160" s="298"/>
      <c r="Z160" s="1773">
        <v>160</v>
      </c>
    </row>
    <row r="161" spans="1:26" s="289" customFormat="1" ht="12" customHeight="1">
      <c r="A161" s="1711"/>
      <c r="B161" s="1711" t="s">
        <v>2020</v>
      </c>
      <c r="C161" s="1298" t="s">
        <v>4084</v>
      </c>
      <c r="D161" s="2619"/>
      <c r="E161" s="2619"/>
      <c r="F161" s="2629"/>
      <c r="I161" s="2695"/>
      <c r="N161" s="2628"/>
      <c r="O161" s="2628"/>
      <c r="P161" s="298"/>
      <c r="Z161" s="1773">
        <v>161</v>
      </c>
    </row>
    <row r="162" spans="1:26" s="289" customFormat="1" ht="9" customHeight="1">
      <c r="A162" s="1711"/>
      <c r="B162" s="1711"/>
      <c r="C162" s="2619"/>
      <c r="D162" s="2619"/>
      <c r="E162" s="2619"/>
      <c r="F162" s="2629"/>
      <c r="G162" s="2629"/>
      <c r="H162" s="2629"/>
      <c r="I162" s="2629"/>
      <c r="J162" s="305"/>
      <c r="K162" s="2629"/>
      <c r="L162" s="2629"/>
      <c r="N162" s="2628"/>
      <c r="O162" s="2628"/>
      <c r="Z162" s="1773">
        <v>162</v>
      </c>
    </row>
    <row r="163" spans="1:26" s="289" customFormat="1" ht="13.35" customHeight="1">
      <c r="A163" s="315" t="s">
        <v>1648</v>
      </c>
      <c r="B163" s="313" t="s">
        <v>1145</v>
      </c>
      <c r="D163" s="313"/>
      <c r="E163" s="313"/>
      <c r="F163" s="313"/>
      <c r="G163" s="2629"/>
      <c r="H163" s="2629"/>
      <c r="I163" s="2629"/>
      <c r="J163" s="305"/>
      <c r="K163" s="2629"/>
      <c r="L163" s="2629"/>
      <c r="N163" s="2628"/>
      <c r="O163" s="2628"/>
      <c r="P163" s="3182" t="s">
        <v>1714</v>
      </c>
      <c r="Z163" s="1773">
        <v>163</v>
      </c>
    </row>
    <row r="164" spans="1:26" s="289" customFormat="1" ht="6" customHeight="1">
      <c r="A164" s="315"/>
      <c r="B164" s="1711"/>
      <c r="C164" s="1298"/>
      <c r="D164" s="1298"/>
      <c r="E164" s="1298"/>
      <c r="F164" s="1298"/>
      <c r="G164" s="2629"/>
      <c r="H164" s="2629"/>
      <c r="I164" s="2629"/>
      <c r="J164" s="305"/>
      <c r="K164" s="2629"/>
      <c r="L164" s="2629"/>
      <c r="N164" s="2628"/>
      <c r="O164" s="2628"/>
      <c r="P164" s="3182"/>
      <c r="Z164" s="1773">
        <v>164</v>
      </c>
    </row>
    <row r="165" spans="1:26" s="289" customFormat="1" ht="13.35" customHeight="1">
      <c r="A165" s="1711"/>
      <c r="B165" s="1711" t="s">
        <v>1892</v>
      </c>
      <c r="C165" s="304" t="s">
        <v>1736</v>
      </c>
      <c r="F165" s="2629"/>
      <c r="G165" s="2629"/>
      <c r="H165" s="2629"/>
      <c r="I165" s="2629"/>
      <c r="J165" s="305"/>
      <c r="K165" s="2629"/>
      <c r="L165" s="2629"/>
      <c r="N165" s="2628"/>
      <c r="O165" s="2628"/>
      <c r="P165" s="3182"/>
      <c r="Z165" s="1773">
        <v>165</v>
      </c>
    </row>
    <row r="166" spans="1:26" s="289" customFormat="1" ht="12.6" customHeight="1">
      <c r="A166" s="1711"/>
      <c r="B166" s="1711"/>
      <c r="C166" s="312" t="s">
        <v>1466</v>
      </c>
      <c r="D166" s="305"/>
      <c r="E166" s="305"/>
      <c r="F166" s="2629"/>
      <c r="G166" s="2629"/>
      <c r="H166" s="2629"/>
      <c r="I166" s="2704" t="s">
        <v>2768</v>
      </c>
      <c r="N166" s="2628"/>
      <c r="O166" s="2628"/>
      <c r="P166" s="3183"/>
      <c r="Z166" s="1773">
        <v>166</v>
      </c>
    </row>
    <row r="167" spans="1:26" s="289" customFormat="1" ht="12.6" customHeight="1">
      <c r="A167" s="1711"/>
      <c r="B167" s="1711"/>
      <c r="C167" s="469" t="s">
        <v>6302</v>
      </c>
      <c r="D167" s="842"/>
      <c r="E167" s="842"/>
      <c r="F167" s="842"/>
      <c r="I167" s="289" t="s">
        <v>3962</v>
      </c>
      <c r="K167" s="469"/>
      <c r="L167" s="469"/>
      <c r="N167" s="2688">
        <v>32</v>
      </c>
      <c r="P167" s="1257">
        <f>IF('Part VI-Revenues &amp; Expenses'!$P$65=0,0,N167/'Part VI-Revenues &amp; Expenses'!$P$65)</f>
        <v>0.44444444444444442</v>
      </c>
      <c r="Z167" s="1773">
        <v>167</v>
      </c>
    </row>
    <row r="168" spans="1:26" s="289" customFormat="1" ht="12.6" customHeight="1">
      <c r="A168" s="1711"/>
      <c r="B168" s="1711"/>
      <c r="D168" s="842"/>
      <c r="E168" s="842"/>
      <c r="F168" s="842"/>
      <c r="I168" s="289" t="s">
        <v>3961</v>
      </c>
      <c r="K168" s="469"/>
      <c r="L168" s="469"/>
      <c r="N168" s="2706">
        <v>32</v>
      </c>
      <c r="P168" s="1258">
        <f>IF('Part VI-Revenues &amp; Expenses'!$P$65=0,0,N168/'Part VI-Revenues &amp; Expenses'!$P$65)</f>
        <v>0.44444444444444442</v>
      </c>
      <c r="Z168" s="1773">
        <v>168</v>
      </c>
    </row>
    <row r="169" spans="1:26" s="289" customFormat="1" ht="12" customHeight="1">
      <c r="A169" s="1711"/>
      <c r="B169" s="1711"/>
      <c r="C169" s="312" t="s">
        <v>6303</v>
      </c>
      <c r="D169" s="305"/>
      <c r="E169" s="305"/>
      <c r="F169" s="2629"/>
      <c r="G169" s="2629"/>
      <c r="H169" s="2629"/>
      <c r="I169" s="2704" t="s">
        <v>2768</v>
      </c>
      <c r="J169" s="2621" t="s">
        <v>6304</v>
      </c>
      <c r="N169" s="2687">
        <v>344</v>
      </c>
      <c r="P169" s="1259">
        <f>IF('Part VI-Revenues &amp; Expenses'!$P$65=0,0,N169/'Part VI-Revenues &amp; Expenses'!$P$65)</f>
        <v>4.7777777777777777</v>
      </c>
      <c r="Z169" s="1773">
        <v>169</v>
      </c>
    </row>
    <row r="170" spans="1:26" s="289" customFormat="1" ht="3" customHeight="1">
      <c r="A170" s="1711"/>
      <c r="B170" s="1711"/>
      <c r="Z170" s="1773">
        <v>170</v>
      </c>
    </row>
    <row r="171" spans="1:26" s="289" customFormat="1" ht="12.6" customHeight="1">
      <c r="A171" s="1711"/>
      <c r="B171" s="1711"/>
      <c r="C171" s="289" t="s">
        <v>1715</v>
      </c>
      <c r="D171" s="3136" t="s">
        <v>531</v>
      </c>
      <c r="E171" s="3137"/>
      <c r="F171" s="3137"/>
      <c r="G171" s="3137"/>
      <c r="H171" s="3138"/>
      <c r="I171" s="2621" t="s">
        <v>3927</v>
      </c>
      <c r="N171" s="3133">
        <v>7066451202</v>
      </c>
      <c r="O171" s="3134"/>
      <c r="P171" s="3135"/>
      <c r="Z171" s="1773">
        <v>171</v>
      </c>
    </row>
    <row r="172" spans="1:26" s="289" customFormat="1" ht="12.6" customHeight="1">
      <c r="A172" s="1711"/>
      <c r="B172" s="1711"/>
      <c r="C172" s="2621" t="s">
        <v>3928</v>
      </c>
      <c r="D172" s="3153" t="s">
        <v>6878</v>
      </c>
      <c r="E172" s="3154"/>
      <c r="F172" s="3156"/>
      <c r="G172" s="3154"/>
      <c r="H172" s="3155"/>
      <c r="I172" s="2627" t="s">
        <v>1716</v>
      </c>
      <c r="J172" s="3136" t="s">
        <v>6880</v>
      </c>
      <c r="K172" s="3137"/>
      <c r="L172" s="3138"/>
      <c r="M172" s="1247" t="s">
        <v>1889</v>
      </c>
      <c r="N172" s="3153" t="s">
        <v>6882</v>
      </c>
      <c r="O172" s="3154"/>
      <c r="P172" s="3155"/>
      <c r="Z172" s="1773">
        <v>172</v>
      </c>
    </row>
    <row r="173" spans="1:26" s="289" customFormat="1" ht="12.6" customHeight="1">
      <c r="A173" s="1711"/>
      <c r="B173" s="1711"/>
      <c r="C173" s="2621" t="s">
        <v>588</v>
      </c>
      <c r="D173" s="3153" t="s">
        <v>287</v>
      </c>
      <c r="E173" s="3155"/>
      <c r="F173" s="1245" t="s">
        <v>2127</v>
      </c>
      <c r="G173" s="3142">
        <v>318331747</v>
      </c>
      <c r="H173" s="3143"/>
      <c r="I173" s="321" t="s">
        <v>1719</v>
      </c>
      <c r="J173" s="3139">
        <v>7702277657</v>
      </c>
      <c r="K173" s="3140"/>
      <c r="L173" s="3141"/>
      <c r="M173" s="1246" t="s">
        <v>1888</v>
      </c>
      <c r="N173" s="3139"/>
      <c r="O173" s="3140"/>
      <c r="P173" s="3141"/>
      <c r="Z173" s="1773">
        <v>173</v>
      </c>
    </row>
    <row r="174" spans="1:26" s="289" customFormat="1" ht="12.6" customHeight="1">
      <c r="A174" s="1711"/>
      <c r="B174" s="1711"/>
      <c r="C174" s="289" t="s">
        <v>2552</v>
      </c>
      <c r="D174" s="3150" t="s">
        <v>6879</v>
      </c>
      <c r="E174" s="3151"/>
      <c r="F174" s="3151"/>
      <c r="G174" s="3151"/>
      <c r="H174" s="3152"/>
      <c r="I174" s="321" t="s">
        <v>1718</v>
      </c>
      <c r="J174" s="3150" t="s">
        <v>6881</v>
      </c>
      <c r="K174" s="3151"/>
      <c r="L174" s="3151"/>
      <c r="M174" s="3151"/>
      <c r="N174" s="3151"/>
      <c r="O174" s="3151"/>
      <c r="P174" s="3152"/>
      <c r="Z174" s="1773">
        <v>174</v>
      </c>
    </row>
    <row r="175" spans="1:26" s="289" customFormat="1" ht="12" customHeight="1">
      <c r="A175" s="1711"/>
      <c r="B175" s="1711"/>
      <c r="C175" s="289" t="s">
        <v>3963</v>
      </c>
      <c r="E175" s="322"/>
      <c r="F175" s="322"/>
      <c r="G175" s="322"/>
      <c r="H175" s="2629"/>
      <c r="I175" s="2704" t="s">
        <v>2768</v>
      </c>
      <c r="J175" s="3144" t="s">
        <v>731</v>
      </c>
      <c r="K175" s="3145"/>
      <c r="L175" s="2695">
        <v>2044</v>
      </c>
      <c r="M175" s="322"/>
      <c r="N175" s="2629"/>
      <c r="O175" s="322"/>
      <c r="P175" s="322"/>
      <c r="Z175" s="1773">
        <v>175</v>
      </c>
    </row>
    <row r="176" spans="1:26" s="289" customFormat="1" ht="12" customHeight="1">
      <c r="A176" s="1711"/>
      <c r="B176" s="1711"/>
      <c r="C176" s="3149" t="s">
        <v>6523</v>
      </c>
      <c r="D176" s="3149"/>
      <c r="E176" s="3149"/>
      <c r="F176" s="3149"/>
      <c r="G176" s="3149"/>
      <c r="H176" s="3149"/>
      <c r="I176" s="3149"/>
      <c r="J176" s="3149"/>
      <c r="K176" s="842"/>
      <c r="M176" s="842"/>
      <c r="Z176" s="1773">
        <v>176</v>
      </c>
    </row>
    <row r="177" spans="1:26" s="289" customFormat="1" ht="12" customHeight="1">
      <c r="A177" s="1711"/>
      <c r="B177" s="1711"/>
      <c r="C177" s="3149"/>
      <c r="D177" s="3149"/>
      <c r="E177" s="3149"/>
      <c r="F177" s="3149"/>
      <c r="G177" s="3149"/>
      <c r="H177" s="3149"/>
      <c r="I177" s="3149"/>
      <c r="J177" s="3149"/>
      <c r="K177" s="842"/>
      <c r="L177" s="2704"/>
      <c r="M177" s="842"/>
      <c r="N177" s="3216" t="s">
        <v>731</v>
      </c>
      <c r="O177" s="3145"/>
      <c r="P177" s="2695"/>
      <c r="Z177" s="1773">
        <v>177</v>
      </c>
    </row>
    <row r="178" spans="1:26" s="289" customFormat="1" ht="6" customHeight="1">
      <c r="A178" s="1711"/>
      <c r="B178" s="1711"/>
      <c r="Z178" s="1773">
        <v>178</v>
      </c>
    </row>
    <row r="179" spans="1:26" s="289" customFormat="1" ht="12.6" customHeight="1">
      <c r="A179" s="1711"/>
      <c r="B179" s="1711" t="s">
        <v>1894</v>
      </c>
      <c r="C179" s="1662" t="s">
        <v>2550</v>
      </c>
      <c r="D179" s="1662"/>
      <c r="E179" s="1662"/>
      <c r="F179" s="1662"/>
      <c r="G179" s="1662"/>
      <c r="I179" s="2692" t="s">
        <v>2771</v>
      </c>
      <c r="J179" s="3217" t="s">
        <v>731</v>
      </c>
      <c r="K179" s="3218"/>
      <c r="L179" s="2692"/>
      <c r="M179" s="3146" t="s">
        <v>2221</v>
      </c>
      <c r="N179" s="3147"/>
      <c r="O179" s="3148"/>
      <c r="P179" s="2707"/>
      <c r="Z179" s="1773">
        <v>179</v>
      </c>
    </row>
    <row r="180" spans="1:26" s="289" customFormat="1" ht="12.6" customHeight="1">
      <c r="A180" s="1711"/>
      <c r="B180" s="1711"/>
      <c r="C180" s="1662" t="s">
        <v>2551</v>
      </c>
      <c r="D180" s="1662"/>
      <c r="E180" s="1662"/>
      <c r="F180" s="1662"/>
      <c r="G180" s="1662"/>
      <c r="I180" s="2693" t="s">
        <v>2768</v>
      </c>
      <c r="J180" s="3217" t="s">
        <v>731</v>
      </c>
      <c r="K180" s="3218"/>
      <c r="L180" s="2693">
        <v>2054</v>
      </c>
      <c r="M180" s="3146" t="s">
        <v>2221</v>
      </c>
      <c r="N180" s="3147"/>
      <c r="O180" s="3148"/>
      <c r="P180" s="2708">
        <v>15</v>
      </c>
      <c r="Z180" s="1773">
        <v>180</v>
      </c>
    </row>
    <row r="181" spans="1:26" s="289" customFormat="1" ht="6" customHeight="1">
      <c r="A181" s="1711"/>
      <c r="B181" s="1711"/>
      <c r="C181" s="1662"/>
      <c r="D181" s="1662"/>
      <c r="E181" s="291"/>
      <c r="F181" s="1662"/>
      <c r="G181" s="1662"/>
      <c r="J181" s="2628"/>
      <c r="K181" s="361"/>
      <c r="M181" s="2628"/>
      <c r="O181" s="2629"/>
      <c r="P181" s="298"/>
      <c r="Z181" s="1773">
        <v>181</v>
      </c>
    </row>
    <row r="182" spans="1:26" s="289" customFormat="1" ht="12.6" customHeight="1">
      <c r="A182" s="1711"/>
      <c r="B182" s="1711" t="s">
        <v>719</v>
      </c>
      <c r="C182" s="1662" t="s">
        <v>1677</v>
      </c>
      <c r="D182" s="1662"/>
      <c r="E182" s="1662"/>
      <c r="F182" s="1662"/>
      <c r="G182" s="1662"/>
      <c r="I182" s="2684" t="s">
        <v>2771</v>
      </c>
      <c r="L182" s="166"/>
      <c r="M182" s="166"/>
      <c r="P182" s="298"/>
      <c r="Z182" s="1773">
        <v>182</v>
      </c>
    </row>
    <row r="183" spans="1:26" s="289" customFormat="1" ht="1.5" customHeight="1">
      <c r="A183" s="1711"/>
      <c r="B183" s="1711"/>
      <c r="C183" s="2621"/>
      <c r="E183" s="322"/>
      <c r="F183" s="322"/>
      <c r="G183" s="322"/>
      <c r="I183" s="322"/>
      <c r="J183" s="322"/>
      <c r="K183" s="2629"/>
      <c r="L183" s="322"/>
      <c r="M183" s="322"/>
      <c r="N183" s="2629"/>
      <c r="O183" s="322"/>
      <c r="P183" s="322"/>
      <c r="Z183" s="1773">
        <v>183</v>
      </c>
    </row>
    <row r="184" spans="1:26" s="27" customFormat="1" ht="13.5">
      <c r="B184" s="1711" t="s">
        <v>2020</v>
      </c>
      <c r="C184" s="2709" t="s">
        <v>6800</v>
      </c>
      <c r="D184" s="1613"/>
      <c r="E184" s="481"/>
      <c r="F184" s="481"/>
      <c r="G184" s="481"/>
      <c r="H184" s="481"/>
      <c r="I184" s="481"/>
      <c r="J184" s="481"/>
      <c r="K184" s="481"/>
      <c r="L184" s="481"/>
      <c r="M184" s="481"/>
      <c r="N184" s="481"/>
      <c r="O184" s="481"/>
      <c r="P184" s="481"/>
      <c r="Z184" s="1773">
        <v>184</v>
      </c>
    </row>
    <row r="185" spans="1:26" s="27" customFormat="1" ht="12" customHeight="1">
      <c r="B185" s="325"/>
      <c r="C185" s="2710" t="s">
        <v>1895</v>
      </c>
      <c r="D185" s="267" t="s">
        <v>6487</v>
      </c>
      <c r="E185" s="307"/>
      <c r="F185" s="1613"/>
      <c r="G185" s="1613"/>
      <c r="H185" s="1613"/>
      <c r="I185" s="481"/>
      <c r="J185" s="481"/>
      <c r="K185" s="481"/>
      <c r="L185" s="2711" t="s">
        <v>2771</v>
      </c>
      <c r="M185" s="267" t="s">
        <v>6488</v>
      </c>
      <c r="N185" s="1613"/>
      <c r="O185" s="3212"/>
      <c r="P185" s="3213"/>
      <c r="Z185" s="1773">
        <v>185</v>
      </c>
    </row>
    <row r="186" spans="1:26" s="27" customFormat="1" ht="12" customHeight="1">
      <c r="B186" s="325"/>
      <c r="C186" s="2710" t="s">
        <v>1897</v>
      </c>
      <c r="D186" s="267" t="s">
        <v>6617</v>
      </c>
      <c r="E186" s="307"/>
      <c r="F186" s="1613"/>
      <c r="G186" s="1613"/>
      <c r="H186" s="1613"/>
      <c r="I186" s="481"/>
      <c r="J186" s="481"/>
      <c r="K186" s="481"/>
      <c r="L186" s="2712"/>
      <c r="M186" s="267" t="s">
        <v>6488</v>
      </c>
      <c r="N186" s="1613"/>
      <c r="O186" s="3214"/>
      <c r="P186" s="3215"/>
      <c r="Z186" s="1773">
        <v>186</v>
      </c>
    </row>
    <row r="187" spans="1:26" s="27" customFormat="1" ht="12" customHeight="1">
      <c r="B187" s="325"/>
      <c r="C187" s="2710" t="s">
        <v>2415</v>
      </c>
      <c r="D187" s="267" t="s">
        <v>6489</v>
      </c>
      <c r="E187" s="307"/>
      <c r="F187" s="1613"/>
      <c r="G187" s="1613"/>
      <c r="H187" s="1613"/>
      <c r="I187" s="481"/>
      <c r="J187" s="481"/>
      <c r="K187" s="481"/>
      <c r="L187" s="2713" t="s">
        <v>2771</v>
      </c>
      <c r="M187" s="267" t="s">
        <v>6488</v>
      </c>
      <c r="N187" s="1613"/>
      <c r="O187" s="3219"/>
      <c r="P187" s="3220"/>
      <c r="Z187" s="1773">
        <v>187</v>
      </c>
    </row>
    <row r="188" spans="1:26" s="27" customFormat="1" ht="3" customHeight="1">
      <c r="B188" s="119"/>
      <c r="C188" s="157"/>
      <c r="D188" s="481"/>
      <c r="E188" s="481"/>
      <c r="F188" s="481"/>
      <c r="G188" s="481"/>
      <c r="H188" s="481"/>
      <c r="I188" s="481"/>
      <c r="J188" s="481"/>
      <c r="K188" s="481"/>
      <c r="L188" s="1613"/>
      <c r="M188" s="1613"/>
      <c r="N188" s="1613"/>
      <c r="O188" s="1613"/>
      <c r="P188" s="1613"/>
      <c r="Z188" s="1773">
        <v>188</v>
      </c>
    </row>
    <row r="189" spans="1:26" s="27" customFormat="1" ht="13.5">
      <c r="B189" s="1691"/>
      <c r="C189" s="2709" t="s">
        <v>6803</v>
      </c>
      <c r="D189" s="1613"/>
      <c r="E189" s="1613"/>
      <c r="F189" s="1613"/>
      <c r="G189" s="1613"/>
      <c r="H189" s="3221" t="str">
        <f>IF(AND(O185="",O186="",O187=""),"",MIN(O185:P187))</f>
        <v/>
      </c>
      <c r="I189" s="3222"/>
      <c r="J189" s="307"/>
      <c r="K189" s="1613"/>
      <c r="L189" s="307"/>
      <c r="M189" s="307"/>
      <c r="N189" s="307"/>
      <c r="O189" s="307"/>
      <c r="P189" s="307"/>
      <c r="Z189" s="1773">
        <v>189</v>
      </c>
    </row>
    <row r="190" spans="1:26" s="27" customFormat="1" ht="3.75" customHeight="1">
      <c r="A190" s="2714"/>
      <c r="B190" s="267"/>
      <c r="C190" s="267"/>
      <c r="D190" s="267"/>
      <c r="E190" s="267"/>
      <c r="F190" s="267"/>
      <c r="G190" s="267"/>
      <c r="H190" s="267"/>
      <c r="I190" s="267"/>
      <c r="J190" s="267"/>
      <c r="K190" s="267"/>
      <c r="L190" s="267"/>
      <c r="M190" s="267"/>
      <c r="N190" s="2715"/>
      <c r="O190" s="2715"/>
      <c r="P190" s="2716"/>
      <c r="Z190" s="1773">
        <v>190</v>
      </c>
    </row>
    <row r="191" spans="1:26" s="27" customFormat="1" ht="12.75" customHeight="1">
      <c r="A191" s="2717"/>
      <c r="B191" s="2718"/>
      <c r="C191" s="2719" t="s">
        <v>6790</v>
      </c>
      <c r="D191" s="2720"/>
      <c r="E191" s="2720"/>
      <c r="F191" s="2720"/>
      <c r="G191" s="307"/>
      <c r="H191" s="3251" t="s">
        <v>6805</v>
      </c>
      <c r="I191" s="3252"/>
      <c r="J191" s="3239" t="s">
        <v>6789</v>
      </c>
      <c r="K191" s="3240"/>
      <c r="L191" s="3232" t="s">
        <v>6788</v>
      </c>
      <c r="M191" s="3232"/>
      <c r="N191" s="3232"/>
      <c r="O191" s="3232"/>
      <c r="P191" s="3232"/>
      <c r="Z191" s="1773">
        <v>191</v>
      </c>
    </row>
    <row r="192" spans="1:26" s="27" customFormat="1">
      <c r="A192" s="2717"/>
      <c r="B192" s="166"/>
      <c r="C192" s="2721" t="s">
        <v>6801</v>
      </c>
      <c r="D192" s="2722"/>
      <c r="E192" s="2722"/>
      <c r="F192" s="2723" t="s">
        <v>6782</v>
      </c>
      <c r="G192" s="2723" t="s">
        <v>6783</v>
      </c>
      <c r="H192" s="2724" t="str">
        <f>IF($H$189="","",$H$189)</f>
        <v/>
      </c>
      <c r="I192" s="2725" t="s">
        <v>6784</v>
      </c>
      <c r="J192" s="3241"/>
      <c r="K192" s="3242"/>
      <c r="L192" s="3233"/>
      <c r="M192" s="3233"/>
      <c r="N192" s="3233"/>
      <c r="O192" s="3233"/>
      <c r="P192" s="3233"/>
      <c r="R192" s="307"/>
      <c r="S192" s="307"/>
      <c r="T192" s="307"/>
      <c r="U192" s="307"/>
      <c r="V192" s="307"/>
      <c r="Z192" s="1773">
        <v>192</v>
      </c>
    </row>
    <row r="193" spans="1:26" s="27" customFormat="1" ht="12" customHeight="1">
      <c r="A193" s="2726"/>
      <c r="B193" s="325"/>
      <c r="C193" s="166" t="s">
        <v>6785</v>
      </c>
      <c r="D193" s="359"/>
      <c r="E193" s="2633"/>
      <c r="F193" s="2727">
        <v>0</v>
      </c>
      <c r="G193" s="2727">
        <v>0</v>
      </c>
      <c r="H193" s="2728">
        <v>0</v>
      </c>
      <c r="I193" s="2728">
        <v>0</v>
      </c>
      <c r="J193" s="3246"/>
      <c r="K193" s="3247"/>
      <c r="L193" s="3248"/>
      <c r="M193" s="3249"/>
      <c r="N193" s="3249"/>
      <c r="O193" s="3249"/>
      <c r="P193" s="3250"/>
      <c r="R193" s="307"/>
      <c r="S193" s="307"/>
      <c r="T193" s="307"/>
      <c r="U193" s="307"/>
      <c r="V193" s="307"/>
      <c r="Z193" s="1773">
        <v>193</v>
      </c>
    </row>
    <row r="194" spans="1:26" s="27" customFormat="1" ht="12" customHeight="1">
      <c r="A194" s="2729"/>
      <c r="B194" s="325"/>
      <c r="C194" s="166" t="s">
        <v>6786</v>
      </c>
      <c r="D194" s="359"/>
      <c r="E194" s="2633"/>
      <c r="F194" s="2730">
        <v>0</v>
      </c>
      <c r="G194" s="2730">
        <v>0</v>
      </c>
      <c r="H194" s="2731">
        <v>0</v>
      </c>
      <c r="I194" s="2731">
        <v>0</v>
      </c>
      <c r="J194" s="3237"/>
      <c r="K194" s="3238"/>
      <c r="L194" s="3234"/>
      <c r="M194" s="3235"/>
      <c r="N194" s="3235"/>
      <c r="O194" s="3235"/>
      <c r="P194" s="3236"/>
      <c r="R194" s="307"/>
      <c r="S194" s="307"/>
      <c r="T194" s="307"/>
      <c r="U194" s="307"/>
      <c r="V194" s="307"/>
      <c r="Z194" s="1773">
        <v>194</v>
      </c>
    </row>
    <row r="195" spans="1:26" s="27" customFormat="1" ht="12" customHeight="1">
      <c r="A195" s="2729"/>
      <c r="B195" s="325"/>
      <c r="C195" s="166" t="s">
        <v>6490</v>
      </c>
      <c r="D195" s="166"/>
      <c r="E195" s="289"/>
      <c r="F195" s="2730">
        <v>0</v>
      </c>
      <c r="G195" s="2730">
        <v>0</v>
      </c>
      <c r="H195" s="2731">
        <v>0</v>
      </c>
      <c r="I195" s="2731">
        <v>0</v>
      </c>
      <c r="J195" s="3237"/>
      <c r="K195" s="3238"/>
      <c r="L195" s="3234"/>
      <c r="M195" s="3235"/>
      <c r="N195" s="3235"/>
      <c r="O195" s="3235"/>
      <c r="P195" s="3236"/>
      <c r="R195" s="307"/>
      <c r="S195" s="307"/>
      <c r="T195" s="307"/>
      <c r="U195" s="307"/>
      <c r="V195" s="307"/>
      <c r="Z195" s="1773">
        <v>195</v>
      </c>
    </row>
    <row r="196" spans="1:26" s="27" customFormat="1" ht="12" customHeight="1">
      <c r="A196" s="2729"/>
      <c r="B196" s="325"/>
      <c r="C196" s="166" t="s">
        <v>6787</v>
      </c>
      <c r="D196" s="166"/>
      <c r="E196" s="289"/>
      <c r="F196" s="2730">
        <v>0</v>
      </c>
      <c r="G196" s="2730">
        <v>0</v>
      </c>
      <c r="H196" s="2731">
        <v>0</v>
      </c>
      <c r="I196" s="2731">
        <v>0</v>
      </c>
      <c r="J196" s="3237"/>
      <c r="K196" s="3238"/>
      <c r="L196" s="3234"/>
      <c r="M196" s="3235"/>
      <c r="N196" s="3235"/>
      <c r="O196" s="3235"/>
      <c r="P196" s="3236"/>
      <c r="R196" s="307"/>
      <c r="S196" s="307"/>
      <c r="T196" s="307"/>
      <c r="U196" s="307"/>
      <c r="V196" s="307"/>
      <c r="Z196" s="1773">
        <v>196</v>
      </c>
    </row>
    <row r="197" spans="1:26" s="27" customFormat="1" ht="12" customHeight="1">
      <c r="A197" s="2732"/>
      <c r="B197" s="325"/>
      <c r="C197" s="3243" t="s">
        <v>6802</v>
      </c>
      <c r="D197" s="3244"/>
      <c r="E197" s="3245"/>
      <c r="F197" s="2733">
        <v>0</v>
      </c>
      <c r="G197" s="2733">
        <v>0</v>
      </c>
      <c r="H197" s="2734">
        <v>0</v>
      </c>
      <c r="I197" s="2734">
        <v>0</v>
      </c>
      <c r="J197" s="3253"/>
      <c r="K197" s="3254"/>
      <c r="L197" s="3255"/>
      <c r="M197" s="3256"/>
      <c r="N197" s="3256"/>
      <c r="O197" s="3256"/>
      <c r="P197" s="3257"/>
      <c r="R197" s="307"/>
      <c r="S197" s="307"/>
      <c r="T197" s="307"/>
      <c r="U197" s="307"/>
      <c r="V197" s="307"/>
      <c r="Z197" s="1773">
        <v>197</v>
      </c>
    </row>
    <row r="198" spans="1:26" s="27" customFormat="1" ht="13.5" customHeight="1">
      <c r="A198" s="2732"/>
      <c r="B198" s="489" t="s">
        <v>6804</v>
      </c>
      <c r="C198" s="287"/>
      <c r="D198" s="287"/>
      <c r="E198" s="2735"/>
      <c r="F198" s="2736"/>
      <c r="G198" s="2737"/>
      <c r="H198" s="2738"/>
      <c r="I198" s="2739"/>
      <c r="J198" s="2740"/>
      <c r="K198" s="2740"/>
      <c r="L198" s="2740"/>
      <c r="M198" s="2740"/>
      <c r="N198" s="2741"/>
      <c r="O198" s="2741"/>
      <c r="P198" s="2742"/>
      <c r="Z198" s="1773">
        <v>198</v>
      </c>
    </row>
    <row r="199" spans="1:26" s="27" customFormat="1" ht="22.5" customHeight="1">
      <c r="A199" s="2732"/>
      <c r="B199" s="3223" t="s">
        <v>6883</v>
      </c>
      <c r="C199" s="3224"/>
      <c r="D199" s="3224"/>
      <c r="E199" s="3224"/>
      <c r="F199" s="3224"/>
      <c r="G199" s="3224"/>
      <c r="H199" s="3224"/>
      <c r="I199" s="3224"/>
      <c r="J199" s="3224"/>
      <c r="K199" s="3224"/>
      <c r="L199" s="3224"/>
      <c r="M199" s="3224"/>
      <c r="N199" s="3224"/>
      <c r="O199" s="3224"/>
      <c r="P199" s="3225"/>
      <c r="Z199" s="1773">
        <v>199</v>
      </c>
    </row>
    <row r="200" spans="1:26" s="27" customFormat="1" ht="22.5" customHeight="1">
      <c r="A200" s="2732"/>
      <c r="B200" s="3226"/>
      <c r="C200" s="3227"/>
      <c r="D200" s="3227"/>
      <c r="E200" s="3227"/>
      <c r="F200" s="3227"/>
      <c r="G200" s="3227"/>
      <c r="H200" s="3227"/>
      <c r="I200" s="3227"/>
      <c r="J200" s="3227"/>
      <c r="K200" s="3227"/>
      <c r="L200" s="3227"/>
      <c r="M200" s="3227"/>
      <c r="N200" s="3227"/>
      <c r="O200" s="3227"/>
      <c r="P200" s="3228"/>
      <c r="Z200" s="1773">
        <v>200</v>
      </c>
    </row>
    <row r="201" spans="1:26" s="27" customFormat="1" ht="22.5" customHeight="1">
      <c r="A201" s="2743"/>
      <c r="B201" s="3229"/>
      <c r="C201" s="3230"/>
      <c r="D201" s="3230"/>
      <c r="E201" s="3230"/>
      <c r="F201" s="3230"/>
      <c r="G201" s="3230"/>
      <c r="H201" s="3230"/>
      <c r="I201" s="3230"/>
      <c r="J201" s="3230"/>
      <c r="K201" s="3230"/>
      <c r="L201" s="3230"/>
      <c r="M201" s="3230"/>
      <c r="N201" s="3230"/>
      <c r="O201" s="3230"/>
      <c r="P201" s="3231"/>
      <c r="Z201" s="1773">
        <v>201</v>
      </c>
    </row>
    <row r="202" spans="1:26" s="289" customFormat="1" ht="6" customHeight="1">
      <c r="A202" s="1711"/>
      <c r="B202" s="1711"/>
      <c r="M202" s="2620"/>
      <c r="N202" s="1298"/>
      <c r="O202" s="1298"/>
      <c r="P202" s="1628"/>
      <c r="Z202" s="1773">
        <v>202</v>
      </c>
    </row>
    <row r="203" spans="1:26" s="289" customFormat="1" ht="13.35" customHeight="1">
      <c r="A203" s="1711"/>
      <c r="B203" s="1711" t="s">
        <v>1656</v>
      </c>
      <c r="C203" s="1662" t="s">
        <v>1543</v>
      </c>
      <c r="D203" s="2619"/>
      <c r="E203" s="2619"/>
      <c r="F203" s="2619"/>
      <c r="G203" s="2619"/>
      <c r="H203" s="2629"/>
      <c r="J203" s="297"/>
      <c r="K203" s="305"/>
      <c r="M203" s="2628"/>
      <c r="O203" s="2629"/>
      <c r="P203" s="298"/>
      <c r="Z203" s="1773">
        <v>203</v>
      </c>
    </row>
    <row r="204" spans="1:26" s="289" customFormat="1" ht="12.6" customHeight="1">
      <c r="A204" s="1711"/>
      <c r="B204" s="1711"/>
      <c r="C204" s="2628" t="s">
        <v>2110</v>
      </c>
      <c r="D204" s="299"/>
      <c r="E204" s="2628"/>
      <c r="F204" s="2628"/>
      <c r="I204" s="2744" t="s">
        <v>2771</v>
      </c>
      <c r="L204" s="2628" t="s">
        <v>1544</v>
      </c>
      <c r="M204" s="2628"/>
      <c r="N204" s="2628"/>
      <c r="P204" s="2744" t="s">
        <v>2768</v>
      </c>
      <c r="Z204" s="1773">
        <v>204</v>
      </c>
    </row>
    <row r="205" spans="1:26" s="289" customFormat="1" ht="12.6" customHeight="1">
      <c r="A205" s="1711"/>
      <c r="B205" s="1711"/>
      <c r="C205" s="2628" t="s">
        <v>2111</v>
      </c>
      <c r="I205" s="2702" t="s">
        <v>2771</v>
      </c>
      <c r="L205" s="2628" t="s">
        <v>6545</v>
      </c>
      <c r="M205" s="2628"/>
      <c r="N205" s="2628"/>
      <c r="P205" s="2702" t="s">
        <v>2771</v>
      </c>
      <c r="Z205" s="1773">
        <v>205</v>
      </c>
    </row>
    <row r="206" spans="1:26" s="289" customFormat="1" ht="12.6" customHeight="1">
      <c r="A206" s="1711"/>
      <c r="C206" s="2628" t="s">
        <v>2566</v>
      </c>
      <c r="I206" s="2702" t="s">
        <v>2771</v>
      </c>
      <c r="L206" s="2628" t="s">
        <v>2540</v>
      </c>
      <c r="N206" s="3188"/>
      <c r="O206" s="3189"/>
      <c r="P206" s="2702" t="s">
        <v>2771</v>
      </c>
      <c r="Z206" s="1773">
        <v>206</v>
      </c>
    </row>
    <row r="207" spans="1:26" s="289" customFormat="1" ht="12.6" customHeight="1">
      <c r="A207" s="1711"/>
      <c r="B207" s="1711"/>
      <c r="C207" s="2628" t="s">
        <v>1237</v>
      </c>
      <c r="D207" s="324"/>
      <c r="I207" s="2702" t="s">
        <v>2771</v>
      </c>
      <c r="K207" s="299"/>
      <c r="L207" s="2628" t="s">
        <v>3206</v>
      </c>
      <c r="M207" s="2628"/>
      <c r="N207" s="2628"/>
      <c r="P207" s="2702" t="s">
        <v>2771</v>
      </c>
      <c r="Z207" s="1773">
        <v>207</v>
      </c>
    </row>
    <row r="208" spans="1:26" s="289" customFormat="1" ht="12.6" customHeight="1">
      <c r="A208" s="1711"/>
      <c r="B208" s="291"/>
      <c r="C208" s="2628" t="s">
        <v>4126</v>
      </c>
      <c r="I208" s="2702" t="s">
        <v>2771</v>
      </c>
      <c r="J208" s="323" t="s">
        <v>2584</v>
      </c>
      <c r="O208" s="3190"/>
      <c r="P208" s="3191"/>
      <c r="Z208" s="1773">
        <v>208</v>
      </c>
    </row>
    <row r="209" spans="1:26" s="289" customFormat="1" ht="12.6" customHeight="1">
      <c r="A209" s="1711"/>
      <c r="B209" s="291"/>
      <c r="C209" s="2628" t="s">
        <v>1723</v>
      </c>
      <c r="I209" s="2702" t="s">
        <v>2771</v>
      </c>
      <c r="J209" s="323" t="s">
        <v>2584</v>
      </c>
      <c r="O209" s="3206"/>
      <c r="P209" s="3207"/>
      <c r="Z209" s="1773">
        <v>209</v>
      </c>
    </row>
    <row r="210" spans="1:26" s="289" customFormat="1" ht="12.6" customHeight="1">
      <c r="A210" s="1711"/>
      <c r="B210" s="1711"/>
      <c r="C210" s="2628" t="s">
        <v>2689</v>
      </c>
      <c r="I210" s="2702" t="s">
        <v>2771</v>
      </c>
      <c r="J210" s="323" t="s">
        <v>2584</v>
      </c>
      <c r="O210" s="3192"/>
      <c r="P210" s="3193"/>
      <c r="Z210" s="1773">
        <v>210</v>
      </c>
    </row>
    <row r="211" spans="1:26" s="289" customFormat="1" ht="12.6" customHeight="1">
      <c r="A211" s="1711"/>
      <c r="B211" s="1711"/>
      <c r="C211" s="289" t="s">
        <v>6399</v>
      </c>
      <c r="I211" s="2705" t="s">
        <v>2771</v>
      </c>
      <c r="J211" s="323"/>
      <c r="Z211" s="1773">
        <v>211</v>
      </c>
    </row>
    <row r="212" spans="1:26" s="289" customFormat="1" ht="3" customHeight="1">
      <c r="A212" s="1711"/>
      <c r="B212" s="1711"/>
      <c r="P212" s="297"/>
      <c r="Z212" s="1773">
        <v>212</v>
      </c>
    </row>
    <row r="213" spans="1:26" s="289" customFormat="1" ht="13.35" customHeight="1">
      <c r="B213" s="1711" t="s">
        <v>1657</v>
      </c>
      <c r="C213" s="294" t="s">
        <v>709</v>
      </c>
      <c r="F213" s="2621" t="s">
        <v>609</v>
      </c>
      <c r="I213" s="3194"/>
      <c r="J213" s="3195"/>
      <c r="Z213" s="1773">
        <v>213</v>
      </c>
    </row>
    <row r="214" spans="1:26" s="289" customFormat="1" ht="12.6" customHeight="1">
      <c r="A214" s="1711"/>
      <c r="B214" s="1711"/>
      <c r="D214" s="2619"/>
      <c r="E214" s="2619"/>
      <c r="F214" s="2621" t="s">
        <v>265</v>
      </c>
      <c r="I214" s="3202"/>
      <c r="J214" s="3203"/>
      <c r="Z214" s="1773">
        <v>214</v>
      </c>
    </row>
    <row r="215" spans="1:26" s="289" customFormat="1" ht="12.6" customHeight="1">
      <c r="A215" s="1711"/>
      <c r="B215" s="1711"/>
      <c r="D215" s="2619"/>
      <c r="E215" s="2619"/>
      <c r="F215" s="2621" t="s">
        <v>2191</v>
      </c>
      <c r="I215" s="3204">
        <v>45323</v>
      </c>
      <c r="J215" s="3205"/>
      <c r="Z215" s="1773">
        <v>215</v>
      </c>
    </row>
    <row r="216" spans="1:26" s="289" customFormat="1" ht="2.25" customHeight="1">
      <c r="B216" s="291"/>
      <c r="C216" s="2628"/>
      <c r="H216" s="2628"/>
      <c r="L216" s="307"/>
      <c r="M216" s="307"/>
      <c r="N216" s="307"/>
      <c r="O216" s="307"/>
      <c r="P216" s="295"/>
      <c r="Z216" s="1773">
        <v>216</v>
      </c>
    </row>
    <row r="217" spans="1:26" ht="12" customHeight="1">
      <c r="A217" s="315" t="s">
        <v>2604</v>
      </c>
      <c r="C217" s="315" t="s">
        <v>543</v>
      </c>
      <c r="M217" s="315" t="s">
        <v>2148</v>
      </c>
      <c r="N217" s="315" t="s">
        <v>74</v>
      </c>
      <c r="Z217" s="1773">
        <v>217</v>
      </c>
    </row>
    <row r="218" spans="1:26" ht="103.5" customHeight="1">
      <c r="A218" s="3196" t="s">
        <v>6884</v>
      </c>
      <c r="B218" s="3197"/>
      <c r="C218" s="3197"/>
      <c r="D218" s="3197"/>
      <c r="E218" s="3197"/>
      <c r="F218" s="3197"/>
      <c r="G218" s="3197"/>
      <c r="H218" s="3197"/>
      <c r="I218" s="3197"/>
      <c r="J218" s="3197"/>
      <c r="K218" s="3197"/>
      <c r="L218" s="3198"/>
      <c r="M218" s="3199"/>
      <c r="N218" s="3200"/>
      <c r="O218" s="3200"/>
      <c r="P218" s="3201"/>
      <c r="Q218" s="3132" t="s">
        <v>2541</v>
      </c>
      <c r="R218" s="3132"/>
      <c r="S218" s="3132"/>
      <c r="T218" s="3132"/>
      <c r="U218" s="3132"/>
      <c r="Z218" s="1773">
        <v>218</v>
      </c>
    </row>
    <row r="219" spans="1:26" ht="12" customHeight="1">
      <c r="Q219" s="3132"/>
      <c r="R219" s="3132"/>
      <c r="S219" s="3132"/>
      <c r="T219" s="3132"/>
      <c r="U219" s="3132"/>
      <c r="Z219" s="1774"/>
    </row>
    <row r="220" spans="1:26">
      <c r="Z220" s="1774"/>
    </row>
    <row r="222" spans="1:26">
      <c r="P222" s="937"/>
      <c r="Q222" s="937"/>
      <c r="R222" s="937"/>
    </row>
    <row r="223" spans="1:26">
      <c r="P223" s="937"/>
      <c r="Q223" s="937"/>
      <c r="R223" s="937"/>
    </row>
    <row r="224" spans="1:26">
      <c r="P224" s="937"/>
      <c r="Q224" s="937"/>
      <c r="R224" s="937"/>
    </row>
    <row r="225" spans="1:44">
      <c r="P225" s="937"/>
      <c r="Q225" s="937"/>
      <c r="R225" s="937"/>
    </row>
    <row r="226" spans="1:44" s="457" customFormat="1" ht="12" customHeight="1">
      <c r="A226" s="307"/>
      <c r="B226" s="325"/>
      <c r="C226" s="307"/>
      <c r="D226" s="307"/>
      <c r="E226" s="307"/>
      <c r="F226" s="307"/>
      <c r="G226" s="307"/>
      <c r="H226" s="307"/>
      <c r="I226" s="307"/>
      <c r="J226" s="307"/>
      <c r="K226" s="307"/>
      <c r="L226" s="307"/>
      <c r="M226" s="307"/>
      <c r="N226" s="307"/>
      <c r="O226" s="307"/>
      <c r="P226" s="937"/>
      <c r="Q226" s="937"/>
      <c r="R226" s="937"/>
      <c r="X226" s="307"/>
      <c r="Y226" s="307"/>
      <c r="Z226" s="1753"/>
      <c r="AA226" s="307"/>
      <c r="AB226" s="307"/>
      <c r="AC226" s="307"/>
      <c r="AD226" s="307"/>
      <c r="AE226" s="307"/>
      <c r="AF226" s="307"/>
      <c r="AG226" s="307"/>
      <c r="AH226" s="307"/>
      <c r="AI226" s="307"/>
      <c r="AJ226" s="307"/>
      <c r="AK226" s="307"/>
      <c r="AL226" s="307"/>
      <c r="AM226" s="307"/>
      <c r="AN226" s="307"/>
      <c r="AO226" s="307"/>
      <c r="AP226" s="307"/>
      <c r="AQ226" s="307"/>
      <c r="AR226" s="307"/>
    </row>
    <row r="227" spans="1:44" s="457" customFormat="1" ht="23.1" customHeight="1">
      <c r="A227" s="307"/>
      <c r="B227" s="307"/>
      <c r="C227" s="307"/>
      <c r="D227" s="307"/>
      <c r="E227" s="307"/>
      <c r="F227" s="307"/>
      <c r="G227" s="307"/>
      <c r="H227" s="307"/>
      <c r="I227" s="307"/>
      <c r="J227" s="307"/>
      <c r="K227" s="307"/>
      <c r="L227" s="307"/>
      <c r="M227" s="307"/>
      <c r="N227" s="307"/>
      <c r="O227" s="307"/>
      <c r="P227" s="938"/>
      <c r="Q227" s="937"/>
      <c r="R227" s="937"/>
      <c r="T227" s="487"/>
      <c r="U227" s="486"/>
      <c r="X227" s="307"/>
      <c r="Y227" s="307"/>
      <c r="Z227" s="1753"/>
      <c r="AA227" s="307"/>
      <c r="AB227" s="307"/>
      <c r="AC227" s="307"/>
      <c r="AD227" s="307"/>
      <c r="AE227" s="307"/>
      <c r="AF227" s="307"/>
      <c r="AG227" s="307"/>
      <c r="AH227" s="307"/>
      <c r="AI227" s="307"/>
      <c r="AJ227" s="307"/>
      <c r="AK227" s="307"/>
      <c r="AL227" s="307"/>
      <c r="AM227" s="307"/>
      <c r="AN227" s="307"/>
      <c r="AO227" s="307"/>
      <c r="AP227" s="307"/>
      <c r="AQ227" s="307"/>
      <c r="AR227" s="307"/>
    </row>
    <row r="228" spans="1:44" s="457" customFormat="1" ht="12" customHeight="1">
      <c r="A228" s="307"/>
      <c r="B228" s="307"/>
      <c r="C228" s="307"/>
      <c r="D228" s="307"/>
      <c r="E228" s="307"/>
      <c r="F228" s="307"/>
      <c r="G228" s="307"/>
      <c r="H228" s="307"/>
      <c r="I228" s="307"/>
      <c r="J228" s="307"/>
      <c r="K228" s="307"/>
      <c r="L228" s="307"/>
      <c r="M228" s="307"/>
      <c r="N228" s="307"/>
      <c r="O228" s="307"/>
      <c r="P228" s="939"/>
      <c r="Q228" s="937"/>
      <c r="R228" s="937"/>
      <c r="T228" s="458"/>
      <c r="U228" s="458"/>
      <c r="X228" s="307"/>
      <c r="Y228" s="307"/>
      <c r="Z228" s="1753"/>
      <c r="AA228" s="307"/>
      <c r="AB228" s="307"/>
      <c r="AC228" s="307"/>
      <c r="AD228" s="307"/>
      <c r="AE228" s="307"/>
      <c r="AF228" s="307"/>
      <c r="AG228" s="307"/>
      <c r="AH228" s="307"/>
      <c r="AI228" s="307"/>
      <c r="AJ228" s="307"/>
      <c r="AK228" s="307"/>
      <c r="AL228" s="307"/>
      <c r="AM228" s="307"/>
      <c r="AN228" s="307"/>
      <c r="AO228" s="307"/>
      <c r="AP228" s="307"/>
      <c r="AQ228" s="307"/>
      <c r="AR228" s="307"/>
    </row>
    <row r="229" spans="1:44" s="457" customFormat="1" ht="12" customHeight="1">
      <c r="A229" s="307"/>
      <c r="B229" s="307"/>
      <c r="C229" s="307"/>
      <c r="D229" s="307"/>
      <c r="E229" s="307"/>
      <c r="F229" s="307"/>
      <c r="G229" s="307"/>
      <c r="H229" s="307"/>
      <c r="I229" s="307"/>
      <c r="J229" s="307"/>
      <c r="K229" s="307"/>
      <c r="L229" s="307"/>
      <c r="M229" s="307"/>
      <c r="N229" s="307"/>
      <c r="O229" s="307"/>
      <c r="P229" s="939"/>
      <c r="Q229" s="937"/>
      <c r="R229" s="937"/>
      <c r="T229" s="458"/>
      <c r="U229" s="458"/>
      <c r="X229" s="307"/>
      <c r="Y229" s="307"/>
      <c r="Z229" s="1753"/>
      <c r="AA229" s="307"/>
      <c r="AB229" s="307"/>
      <c r="AC229" s="307"/>
      <c r="AD229" s="307"/>
      <c r="AE229" s="307"/>
      <c r="AF229" s="307"/>
      <c r="AG229" s="307"/>
      <c r="AH229" s="307"/>
      <c r="AI229" s="307"/>
      <c r="AJ229" s="307"/>
      <c r="AK229" s="307"/>
      <c r="AL229" s="307"/>
      <c r="AM229" s="307"/>
      <c r="AN229" s="307"/>
      <c r="AO229" s="307"/>
      <c r="AP229" s="307"/>
      <c r="AQ229" s="307"/>
      <c r="AR229" s="307"/>
    </row>
    <row r="230" spans="1:44" s="937" customFormat="1" ht="12" customHeight="1">
      <c r="P230" s="939"/>
      <c r="T230" s="1694"/>
      <c r="U230" s="1694"/>
      <c r="Z230" s="1753"/>
    </row>
    <row r="231" spans="1:44" s="457" customFormat="1" ht="12" customHeight="1">
      <c r="A231" s="307"/>
      <c r="B231" s="307"/>
      <c r="C231" s="307"/>
      <c r="D231" s="307"/>
      <c r="E231" s="307"/>
      <c r="F231" s="307"/>
      <c r="G231" s="307"/>
      <c r="H231" s="307"/>
      <c r="I231" s="307"/>
      <c r="J231" s="307"/>
      <c r="K231" s="307"/>
      <c r="L231" s="307"/>
      <c r="M231" s="307"/>
      <c r="N231" s="307"/>
      <c r="O231" s="307"/>
      <c r="P231" s="939"/>
      <c r="Q231" s="937"/>
      <c r="R231" s="937"/>
      <c r="T231" s="458"/>
      <c r="U231" s="458"/>
      <c r="X231" s="307"/>
      <c r="Y231" s="307"/>
      <c r="Z231" s="1753"/>
      <c r="AA231" s="307"/>
      <c r="AB231" s="307"/>
      <c r="AC231" s="307"/>
      <c r="AD231" s="307"/>
      <c r="AE231" s="307"/>
      <c r="AF231" s="307"/>
      <c r="AG231" s="307"/>
      <c r="AH231" s="307"/>
      <c r="AI231" s="307"/>
      <c r="AJ231" s="307"/>
      <c r="AK231" s="307"/>
      <c r="AL231" s="307"/>
      <c r="AM231" s="307"/>
      <c r="AN231" s="307"/>
      <c r="AO231" s="307"/>
      <c r="AP231" s="307"/>
      <c r="AQ231" s="307"/>
      <c r="AR231" s="307"/>
    </row>
    <row r="232" spans="1:44" s="457" customFormat="1" ht="12" customHeight="1">
      <c r="A232" s="307"/>
      <c r="B232" s="307"/>
      <c r="C232" s="307"/>
      <c r="D232" s="307"/>
      <c r="E232" s="307"/>
      <c r="F232" s="307"/>
      <c r="G232" s="307"/>
      <c r="H232" s="307"/>
      <c r="I232" s="307"/>
      <c r="J232" s="307"/>
      <c r="K232" s="307"/>
      <c r="L232" s="307"/>
      <c r="M232" s="307"/>
      <c r="N232" s="307"/>
      <c r="O232" s="307"/>
      <c r="P232" s="939"/>
      <c r="Q232" s="937"/>
      <c r="R232" s="937"/>
      <c r="T232" s="458"/>
      <c r="U232" s="458"/>
      <c r="X232" s="307"/>
      <c r="Y232" s="307"/>
      <c r="Z232" s="1753"/>
      <c r="AA232" s="307"/>
      <c r="AB232" s="307"/>
      <c r="AC232" s="307"/>
      <c r="AD232" s="307"/>
      <c r="AE232" s="307"/>
      <c r="AF232" s="307"/>
      <c r="AG232" s="307"/>
      <c r="AH232" s="307"/>
      <c r="AI232" s="307"/>
      <c r="AJ232" s="307"/>
      <c r="AK232" s="307"/>
      <c r="AL232" s="307"/>
      <c r="AM232" s="307"/>
      <c r="AN232" s="307"/>
      <c r="AO232" s="307"/>
      <c r="AP232" s="307"/>
      <c r="AQ232" s="307"/>
      <c r="AR232" s="307"/>
    </row>
    <row r="233" spans="1:44" s="457" customFormat="1" ht="12" customHeight="1">
      <c r="A233" s="307"/>
      <c r="B233" s="307"/>
      <c r="C233" s="307"/>
      <c r="D233" s="307"/>
      <c r="E233" s="307"/>
      <c r="F233" s="307"/>
      <c r="G233" s="307"/>
      <c r="H233" s="307"/>
      <c r="I233" s="307"/>
      <c r="J233" s="307"/>
      <c r="K233" s="307"/>
      <c r="L233" s="307"/>
      <c r="M233" s="307"/>
      <c r="N233" s="307"/>
      <c r="O233" s="307"/>
      <c r="P233" s="939"/>
      <c r="Q233" s="937"/>
      <c r="R233" s="937"/>
      <c r="T233" s="458"/>
      <c r="U233" s="458"/>
      <c r="X233" s="307"/>
      <c r="Y233" s="307"/>
      <c r="Z233" s="1753"/>
      <c r="AA233" s="307"/>
      <c r="AB233" s="307"/>
      <c r="AC233" s="307"/>
      <c r="AD233" s="307"/>
      <c r="AE233" s="307"/>
      <c r="AF233" s="307"/>
      <c r="AG233" s="307"/>
      <c r="AH233" s="307"/>
      <c r="AI233" s="307"/>
      <c r="AJ233" s="307"/>
      <c r="AK233" s="307"/>
      <c r="AL233" s="307"/>
      <c r="AM233" s="307"/>
      <c r="AN233" s="307"/>
      <c r="AO233" s="307"/>
      <c r="AP233" s="307"/>
      <c r="AQ233" s="307"/>
      <c r="AR233" s="307"/>
    </row>
    <row r="234" spans="1:44" s="457" customFormat="1" ht="12" customHeight="1">
      <c r="A234" s="307"/>
      <c r="B234" s="307"/>
      <c r="C234" s="307"/>
      <c r="D234" s="307"/>
      <c r="E234" s="307"/>
      <c r="F234" s="307"/>
      <c r="G234" s="307"/>
      <c r="H234" s="307"/>
      <c r="I234" s="307"/>
      <c r="J234" s="307"/>
      <c r="K234" s="307"/>
      <c r="L234" s="307"/>
      <c r="M234" s="307"/>
      <c r="N234" s="307"/>
      <c r="O234" s="307"/>
      <c r="P234" s="939"/>
      <c r="Q234" s="937"/>
      <c r="R234" s="937"/>
      <c r="T234" s="458"/>
      <c r="U234" s="458"/>
      <c r="X234" s="307"/>
      <c r="Y234" s="307"/>
      <c r="Z234" s="1753"/>
      <c r="AA234" s="307"/>
      <c r="AB234" s="307"/>
      <c r="AC234" s="307"/>
      <c r="AD234" s="307"/>
      <c r="AE234" s="307"/>
      <c r="AF234" s="307"/>
      <c r="AG234" s="307"/>
      <c r="AH234" s="307"/>
      <c r="AI234" s="307"/>
      <c r="AJ234" s="307"/>
      <c r="AK234" s="307"/>
      <c r="AL234" s="307"/>
      <c r="AM234" s="307"/>
      <c r="AN234" s="307"/>
      <c r="AO234" s="307"/>
      <c r="AP234" s="307"/>
      <c r="AQ234" s="307"/>
      <c r="AR234" s="307"/>
    </row>
    <row r="235" spans="1:44" s="457" customFormat="1" ht="12" customHeight="1">
      <c r="A235" s="307"/>
      <c r="B235" s="307"/>
      <c r="C235" s="307"/>
      <c r="D235" s="307"/>
      <c r="E235" s="307"/>
      <c r="F235" s="307"/>
      <c r="G235" s="307"/>
      <c r="H235" s="307"/>
      <c r="I235" s="307"/>
      <c r="J235" s="307"/>
      <c r="K235" s="307"/>
      <c r="L235" s="307"/>
      <c r="M235" s="307"/>
      <c r="N235" s="307"/>
      <c r="O235" s="307"/>
      <c r="P235" s="939"/>
      <c r="Q235" s="2745"/>
      <c r="R235" s="937"/>
      <c r="X235" s="307"/>
      <c r="Y235" s="307"/>
      <c r="Z235" s="1753"/>
      <c r="AA235" s="307"/>
      <c r="AB235" s="307"/>
      <c r="AC235" s="307"/>
      <c r="AD235" s="307"/>
      <c r="AE235" s="307"/>
      <c r="AF235" s="307"/>
      <c r="AG235" s="307"/>
      <c r="AH235" s="307"/>
      <c r="AI235" s="307"/>
      <c r="AJ235" s="307"/>
      <c r="AK235" s="307"/>
      <c r="AL235" s="307"/>
      <c r="AM235" s="307"/>
      <c r="AN235" s="307"/>
      <c r="AO235" s="307"/>
      <c r="AP235" s="307"/>
      <c r="AQ235" s="307"/>
      <c r="AR235" s="307"/>
    </row>
    <row r="236" spans="1:44" s="457" customFormat="1" ht="12" customHeight="1">
      <c r="A236" s="307"/>
      <c r="B236" s="307"/>
      <c r="C236" s="307"/>
      <c r="D236" s="307"/>
      <c r="E236" s="307"/>
      <c r="F236" s="307"/>
      <c r="G236" s="307"/>
      <c r="H236" s="307"/>
      <c r="I236" s="307"/>
      <c r="J236" s="307"/>
      <c r="K236" s="307"/>
      <c r="L236" s="307"/>
      <c r="M236" s="307"/>
      <c r="N236" s="307"/>
      <c r="O236" s="307"/>
      <c r="P236" s="939"/>
      <c r="Q236" s="2745"/>
      <c r="R236" s="937"/>
      <c r="X236" s="307"/>
      <c r="Y236" s="307"/>
      <c r="Z236" s="1753"/>
      <c r="AA236" s="307"/>
      <c r="AB236" s="307"/>
      <c r="AC236" s="307"/>
      <c r="AD236" s="307"/>
      <c r="AE236" s="307"/>
      <c r="AF236" s="307"/>
      <c r="AG236" s="307"/>
      <c r="AH236" s="307"/>
      <c r="AI236" s="307"/>
      <c r="AJ236" s="307"/>
      <c r="AK236" s="307"/>
      <c r="AL236" s="307"/>
      <c r="AM236" s="307"/>
      <c r="AN236" s="307"/>
      <c r="AO236" s="307"/>
      <c r="AP236" s="307"/>
      <c r="AQ236" s="307"/>
      <c r="AR236" s="307"/>
    </row>
    <row r="237" spans="1:44" s="457" customFormat="1" ht="12" customHeight="1">
      <c r="A237" s="307"/>
      <c r="B237" s="307"/>
      <c r="C237" s="307"/>
      <c r="D237" s="307"/>
      <c r="E237" s="307"/>
      <c r="F237" s="307"/>
      <c r="G237" s="307"/>
      <c r="H237" s="307"/>
      <c r="I237" s="307"/>
      <c r="J237" s="307"/>
      <c r="K237" s="307"/>
      <c r="L237" s="307"/>
      <c r="M237" s="307"/>
      <c r="N237" s="307"/>
      <c r="O237" s="307"/>
      <c r="P237" s="939"/>
      <c r="Q237" s="2745"/>
      <c r="R237" s="937"/>
      <c r="X237" s="307"/>
      <c r="Y237" s="307"/>
      <c r="Z237" s="1753"/>
      <c r="AA237" s="307"/>
      <c r="AB237" s="307"/>
      <c r="AC237" s="307"/>
      <c r="AD237" s="307"/>
      <c r="AE237" s="307"/>
      <c r="AF237" s="307"/>
      <c r="AG237" s="307"/>
      <c r="AH237" s="307"/>
      <c r="AI237" s="307"/>
      <c r="AJ237" s="307"/>
      <c r="AK237" s="307"/>
      <c r="AL237" s="307"/>
      <c r="AM237" s="307"/>
      <c r="AN237" s="307"/>
      <c r="AO237" s="307"/>
      <c r="AP237" s="307"/>
      <c r="AQ237" s="307"/>
      <c r="AR237" s="307"/>
    </row>
    <row r="238" spans="1:44" s="457" customFormat="1" ht="12" customHeight="1">
      <c r="A238" s="307"/>
      <c r="B238" s="307"/>
      <c r="C238" s="307"/>
      <c r="D238" s="307"/>
      <c r="E238" s="307"/>
      <c r="F238" s="307"/>
      <c r="G238" s="307"/>
      <c r="H238" s="307"/>
      <c r="I238" s="307"/>
      <c r="J238" s="307"/>
      <c r="K238" s="307"/>
      <c r="L238" s="307"/>
      <c r="M238" s="307"/>
      <c r="N238" s="307"/>
      <c r="O238" s="307"/>
      <c r="P238" s="939"/>
      <c r="Q238" s="2745"/>
      <c r="R238" s="937"/>
      <c r="X238" s="307"/>
      <c r="Y238" s="307"/>
      <c r="Z238" s="1753"/>
      <c r="AA238" s="307"/>
      <c r="AB238" s="307"/>
      <c r="AC238" s="307"/>
      <c r="AD238" s="307"/>
      <c r="AE238" s="307"/>
      <c r="AF238" s="307"/>
      <c r="AG238" s="307"/>
      <c r="AH238" s="307"/>
      <c r="AI238" s="307"/>
      <c r="AJ238" s="307"/>
      <c r="AK238" s="307"/>
      <c r="AL238" s="307"/>
      <c r="AM238" s="307"/>
      <c r="AN238" s="307"/>
      <c r="AO238" s="307"/>
      <c r="AP238" s="307"/>
      <c r="AQ238" s="307"/>
      <c r="AR238" s="307"/>
    </row>
    <row r="239" spans="1:44" s="457" customFormat="1" ht="12" customHeight="1">
      <c r="A239" s="307"/>
      <c r="B239" s="307"/>
      <c r="C239" s="307"/>
      <c r="D239" s="279"/>
      <c r="E239" s="307"/>
      <c r="F239" s="307"/>
      <c r="G239" s="307"/>
      <c r="H239" s="307"/>
      <c r="I239" s="307"/>
      <c r="J239" s="913" t="s">
        <v>2674</v>
      </c>
      <c r="K239" s="307"/>
      <c r="L239" s="307"/>
      <c r="M239" s="307"/>
      <c r="N239" s="307"/>
      <c r="O239" s="307"/>
      <c r="P239" s="939"/>
      <c r="Q239" s="2745"/>
      <c r="R239" s="937"/>
      <c r="X239" s="307"/>
      <c r="Y239" s="307"/>
      <c r="Z239" s="1753"/>
      <c r="AA239" s="307"/>
      <c r="AB239" s="307"/>
      <c r="AC239" s="307"/>
      <c r="AD239" s="307"/>
      <c r="AE239" s="307"/>
      <c r="AF239" s="307"/>
      <c r="AG239" s="307"/>
      <c r="AH239" s="307"/>
      <c r="AI239" s="307"/>
      <c r="AJ239" s="307"/>
      <c r="AK239" s="307"/>
      <c r="AL239" s="307"/>
      <c r="AM239" s="307"/>
      <c r="AN239" s="307"/>
      <c r="AO239" s="307"/>
      <c r="AP239" s="307"/>
      <c r="AQ239" s="307"/>
      <c r="AR239" s="307"/>
    </row>
    <row r="240" spans="1:44" s="457" customFormat="1" ht="12" customHeight="1">
      <c r="A240" s="307"/>
      <c r="B240" s="307"/>
      <c r="C240" s="307"/>
      <c r="D240" s="279"/>
      <c r="E240" s="307"/>
      <c r="F240" s="307"/>
      <c r="G240" s="307"/>
      <c r="H240" s="307"/>
      <c r="I240" s="307"/>
      <c r="J240" s="913" t="s">
        <v>2675</v>
      </c>
      <c r="K240" s="307"/>
      <c r="L240" s="307"/>
      <c r="M240" s="307"/>
      <c r="N240" s="307"/>
      <c r="O240" s="307"/>
      <c r="P240" s="939"/>
      <c r="Q240" s="2745"/>
      <c r="R240" s="937"/>
      <c r="X240" s="307"/>
      <c r="Y240" s="307"/>
      <c r="Z240" s="1753"/>
      <c r="AA240" s="307"/>
      <c r="AB240" s="307"/>
      <c r="AC240" s="307"/>
      <c r="AD240" s="307"/>
      <c r="AE240" s="307"/>
      <c r="AF240" s="307"/>
      <c r="AG240" s="307"/>
      <c r="AH240" s="307"/>
      <c r="AI240" s="307"/>
      <c r="AJ240" s="307"/>
      <c r="AK240" s="307"/>
      <c r="AL240" s="307"/>
      <c r="AM240" s="307"/>
      <c r="AN240" s="307"/>
      <c r="AO240" s="307"/>
      <c r="AP240" s="307"/>
      <c r="AQ240" s="307"/>
      <c r="AR240" s="307"/>
    </row>
    <row r="241" spans="1:44" s="457" customFormat="1" ht="12" customHeight="1">
      <c r="A241" s="307"/>
      <c r="B241" s="307"/>
      <c r="C241" s="307"/>
      <c r="D241" s="279"/>
      <c r="E241" s="307"/>
      <c r="F241" s="307"/>
      <c r="G241" s="307"/>
      <c r="H241" s="307"/>
      <c r="I241" s="307"/>
      <c r="J241" s="913" t="s">
        <v>2676</v>
      </c>
      <c r="K241" s="307"/>
      <c r="L241" s="307"/>
      <c r="M241" s="307"/>
      <c r="N241" s="307"/>
      <c r="O241" s="307"/>
      <c r="P241" s="939"/>
      <c r="Q241" s="2745"/>
      <c r="R241" s="937"/>
      <c r="X241" s="307"/>
      <c r="Y241" s="307"/>
      <c r="Z241" s="1753"/>
      <c r="AA241" s="307"/>
      <c r="AB241" s="307"/>
      <c r="AC241" s="307"/>
      <c r="AD241" s="307"/>
      <c r="AE241" s="307"/>
      <c r="AF241" s="307"/>
      <c r="AG241" s="307"/>
      <c r="AH241" s="307"/>
      <c r="AI241" s="307"/>
      <c r="AJ241" s="307"/>
      <c r="AK241" s="307"/>
      <c r="AL241" s="307"/>
      <c r="AM241" s="307"/>
      <c r="AN241" s="307"/>
      <c r="AO241" s="307"/>
      <c r="AP241" s="307"/>
      <c r="AQ241" s="307"/>
      <c r="AR241" s="307"/>
    </row>
    <row r="242" spans="1:44" s="457" customFormat="1" ht="12" customHeight="1">
      <c r="A242" s="307"/>
      <c r="B242" s="307"/>
      <c r="C242" s="307"/>
      <c r="D242" s="279"/>
      <c r="E242" s="307"/>
      <c r="F242" s="307"/>
      <c r="G242" s="307"/>
      <c r="H242" s="307"/>
      <c r="I242" s="307"/>
      <c r="J242" s="913" t="s">
        <v>2677</v>
      </c>
      <c r="K242" s="307"/>
      <c r="L242" s="307"/>
      <c r="M242" s="307"/>
      <c r="N242" s="307"/>
      <c r="O242" s="307"/>
      <c r="P242" s="939"/>
      <c r="Q242" s="2745"/>
      <c r="R242" s="937"/>
      <c r="X242" s="307"/>
      <c r="Y242" s="307"/>
      <c r="Z242" s="1753"/>
      <c r="AA242" s="307"/>
      <c r="AB242" s="307"/>
      <c r="AC242" s="307"/>
      <c r="AD242" s="307"/>
      <c r="AE242" s="307"/>
      <c r="AF242" s="307"/>
      <c r="AG242" s="307"/>
      <c r="AH242" s="307"/>
      <c r="AI242" s="307"/>
      <c r="AJ242" s="307"/>
      <c r="AK242" s="307"/>
      <c r="AL242" s="307"/>
      <c r="AM242" s="307"/>
      <c r="AN242" s="307"/>
      <c r="AO242" s="307"/>
      <c r="AP242" s="307"/>
      <c r="AQ242" s="307"/>
      <c r="AR242" s="307"/>
    </row>
    <row r="243" spans="1:44" s="457" customFormat="1" ht="12" customHeight="1">
      <c r="A243" s="307"/>
      <c r="B243" s="307"/>
      <c r="C243" s="307"/>
      <c r="D243" s="279"/>
      <c r="E243" s="307"/>
      <c r="F243" s="307"/>
      <c r="G243" s="307"/>
      <c r="H243" s="307"/>
      <c r="I243" s="307"/>
      <c r="J243" s="913" t="s">
        <v>2678</v>
      </c>
      <c r="K243" s="307"/>
      <c r="L243" s="307"/>
      <c r="M243" s="307"/>
      <c r="N243" s="307"/>
      <c r="O243" s="307"/>
      <c r="P243" s="939"/>
      <c r="Q243" s="2745"/>
      <c r="R243" s="937"/>
      <c r="X243" s="307"/>
      <c r="Y243" s="307"/>
      <c r="Z243" s="1753"/>
      <c r="AA243" s="307"/>
      <c r="AB243" s="307"/>
      <c r="AC243" s="307"/>
      <c r="AD243" s="307"/>
      <c r="AE243" s="307"/>
      <c r="AF243" s="307"/>
      <c r="AG243" s="307"/>
      <c r="AH243" s="307"/>
      <c r="AI243" s="307"/>
      <c r="AJ243" s="307"/>
      <c r="AK243" s="307"/>
      <c r="AL243" s="307"/>
      <c r="AM243" s="307"/>
      <c r="AN243" s="307"/>
      <c r="AO243" s="307"/>
      <c r="AP243" s="307"/>
      <c r="AQ243" s="307"/>
      <c r="AR243" s="307"/>
    </row>
    <row r="244" spans="1:44" s="457" customFormat="1" ht="12" customHeight="1">
      <c r="A244" s="307"/>
      <c r="B244" s="307"/>
      <c r="C244" s="307"/>
      <c r="D244" s="279"/>
      <c r="E244" s="307"/>
      <c r="F244" s="307"/>
      <c r="G244" s="307"/>
      <c r="H244" s="307"/>
      <c r="I244" s="307"/>
      <c r="J244" s="913" t="s">
        <v>2679</v>
      </c>
      <c r="K244" s="307"/>
      <c r="L244" s="307"/>
      <c r="M244" s="307"/>
      <c r="N244" s="307"/>
      <c r="O244" s="307"/>
      <c r="P244" s="939"/>
      <c r="Q244" s="2745"/>
      <c r="R244" s="937"/>
      <c r="X244" s="307"/>
      <c r="Y244" s="307"/>
      <c r="Z244" s="1753"/>
      <c r="AA244" s="307"/>
      <c r="AB244" s="307"/>
      <c r="AC244" s="307"/>
      <c r="AD244" s="307"/>
      <c r="AE244" s="307"/>
      <c r="AF244" s="307"/>
      <c r="AG244" s="307"/>
      <c r="AH244" s="307"/>
      <c r="AI244" s="307"/>
      <c r="AJ244" s="307"/>
      <c r="AK244" s="307"/>
      <c r="AL244" s="307"/>
      <c r="AM244" s="307"/>
      <c r="AN244" s="307"/>
      <c r="AO244" s="307"/>
      <c r="AP244" s="307"/>
      <c r="AQ244" s="307"/>
      <c r="AR244" s="307"/>
    </row>
    <row r="245" spans="1:44" s="457" customFormat="1" ht="12" customHeight="1">
      <c r="A245" s="307"/>
      <c r="B245" s="307"/>
      <c r="C245" s="307"/>
      <c r="D245" s="279"/>
      <c r="E245" s="307"/>
      <c r="F245" s="307"/>
      <c r="G245" s="307"/>
      <c r="H245" s="307"/>
      <c r="I245" s="307"/>
      <c r="J245" s="913" t="s">
        <v>2680</v>
      </c>
      <c r="K245" s="307"/>
      <c r="L245" s="307"/>
      <c r="M245" s="307"/>
      <c r="N245" s="307"/>
      <c r="O245" s="307"/>
      <c r="P245" s="939"/>
      <c r="Q245" s="2745"/>
      <c r="R245" s="937"/>
      <c r="X245" s="307"/>
      <c r="Y245" s="307"/>
      <c r="Z245" s="1753"/>
      <c r="AA245" s="307"/>
      <c r="AB245" s="307"/>
      <c r="AC245" s="307"/>
      <c r="AD245" s="307"/>
      <c r="AE245" s="307"/>
      <c r="AF245" s="307"/>
      <c r="AG245" s="307"/>
      <c r="AH245" s="307"/>
      <c r="AI245" s="307"/>
      <c r="AJ245" s="307"/>
      <c r="AK245" s="307"/>
      <c r="AL245" s="307"/>
      <c r="AM245" s="307"/>
      <c r="AN245" s="307"/>
      <c r="AO245" s="307"/>
      <c r="AP245" s="307"/>
      <c r="AQ245" s="307"/>
      <c r="AR245" s="307"/>
    </row>
    <row r="246" spans="1:44" s="457" customFormat="1" ht="12" customHeight="1">
      <c r="A246" s="307"/>
      <c r="B246" s="307"/>
      <c r="C246" s="307"/>
      <c r="D246" s="279"/>
      <c r="E246" s="307"/>
      <c r="F246" s="307"/>
      <c r="G246" s="307"/>
      <c r="H246" s="307"/>
      <c r="I246" s="307"/>
      <c r="J246" s="913" t="s">
        <v>2681</v>
      </c>
      <c r="K246" s="307"/>
      <c r="L246" s="307"/>
      <c r="M246" s="307"/>
      <c r="N246" s="307"/>
      <c r="O246" s="307"/>
      <c r="P246" s="939"/>
      <c r="Q246" s="2745"/>
      <c r="R246" s="937"/>
      <c r="X246" s="307"/>
      <c r="Y246" s="307"/>
      <c r="Z246" s="1753"/>
      <c r="AA246" s="307"/>
      <c r="AB246" s="307"/>
      <c r="AC246" s="307"/>
      <c r="AD246" s="307"/>
      <c r="AE246" s="307"/>
      <c r="AF246" s="307"/>
      <c r="AG246" s="307"/>
      <c r="AH246" s="307"/>
      <c r="AI246" s="307"/>
      <c r="AJ246" s="307"/>
      <c r="AK246" s="307"/>
      <c r="AL246" s="307"/>
      <c r="AM246" s="307"/>
      <c r="AN246" s="307"/>
      <c r="AO246" s="307"/>
      <c r="AP246" s="307"/>
      <c r="AQ246" s="307"/>
      <c r="AR246" s="307"/>
    </row>
    <row r="247" spans="1:44" s="457" customFormat="1" ht="12" customHeight="1">
      <c r="A247" s="307"/>
      <c r="B247" s="307"/>
      <c r="C247" s="307"/>
      <c r="D247" s="279"/>
      <c r="E247" s="307"/>
      <c r="F247" s="307"/>
      <c r="G247" s="307"/>
      <c r="H247" s="307"/>
      <c r="I247" s="307"/>
      <c r="J247" s="913" t="s">
        <v>2682</v>
      </c>
      <c r="K247" s="307"/>
      <c r="L247" s="307"/>
      <c r="M247" s="307"/>
      <c r="N247" s="307"/>
      <c r="O247" s="307"/>
      <c r="P247" s="939"/>
      <c r="Q247" s="2745"/>
      <c r="R247" s="937"/>
      <c r="X247" s="307"/>
      <c r="Y247" s="307"/>
      <c r="Z247" s="1753"/>
      <c r="AA247" s="307"/>
      <c r="AB247" s="307"/>
      <c r="AC247" s="307"/>
      <c r="AD247" s="307"/>
      <c r="AE247" s="307"/>
      <c r="AF247" s="307"/>
      <c r="AG247" s="307"/>
      <c r="AH247" s="307"/>
      <c r="AI247" s="307"/>
      <c r="AJ247" s="307"/>
      <c r="AK247" s="307"/>
      <c r="AL247" s="307"/>
      <c r="AM247" s="307"/>
      <c r="AN247" s="307"/>
      <c r="AO247" s="307"/>
      <c r="AP247" s="307"/>
      <c r="AQ247" s="307"/>
      <c r="AR247" s="307"/>
    </row>
    <row r="248" spans="1:44" s="457" customFormat="1" ht="12" customHeight="1">
      <c r="A248" s="307"/>
      <c r="B248" s="307"/>
      <c r="C248" s="307"/>
      <c r="D248" s="279"/>
      <c r="E248" s="307"/>
      <c r="F248" s="307"/>
      <c r="G248" s="307"/>
      <c r="H248" s="307"/>
      <c r="I248" s="307"/>
      <c r="J248" s="913" t="s">
        <v>3429</v>
      </c>
      <c r="K248" s="307"/>
      <c r="L248" s="307"/>
      <c r="M248" s="307"/>
      <c r="N248" s="307"/>
      <c r="O248" s="307"/>
      <c r="P248" s="939"/>
      <c r="Q248" s="2745"/>
      <c r="R248" s="937"/>
      <c r="X248" s="307"/>
      <c r="Y248" s="307"/>
      <c r="Z248" s="1753"/>
      <c r="AA248" s="307"/>
      <c r="AB248" s="307"/>
      <c r="AC248" s="307"/>
      <c r="AD248" s="307"/>
      <c r="AE248" s="307"/>
      <c r="AF248" s="307"/>
      <c r="AG248" s="307"/>
      <c r="AH248" s="307"/>
      <c r="AI248" s="307"/>
      <c r="AJ248" s="307"/>
      <c r="AK248" s="307"/>
      <c r="AL248" s="307"/>
      <c r="AM248" s="307"/>
      <c r="AN248" s="307"/>
      <c r="AO248" s="307"/>
      <c r="AP248" s="307"/>
      <c r="AQ248" s="307"/>
      <c r="AR248" s="307"/>
    </row>
    <row r="249" spans="1:44" s="457" customFormat="1" ht="12" customHeight="1">
      <c r="A249" s="307"/>
      <c r="B249" s="307"/>
      <c r="C249" s="307"/>
      <c r="D249" s="279"/>
      <c r="E249" s="307"/>
      <c r="F249" s="307"/>
      <c r="G249" s="307"/>
      <c r="H249" s="307"/>
      <c r="I249" s="307"/>
      <c r="J249" s="307"/>
      <c r="K249" s="307"/>
      <c r="L249" s="307"/>
      <c r="M249" s="307"/>
      <c r="N249" s="307"/>
      <c r="O249" s="307"/>
      <c r="P249" s="939"/>
      <c r="Q249" s="2745"/>
      <c r="R249" s="937"/>
      <c r="X249" s="307"/>
      <c r="Y249" s="307"/>
      <c r="Z249" s="1753"/>
      <c r="AA249" s="307"/>
      <c r="AB249" s="307"/>
      <c r="AC249" s="307"/>
      <c r="AD249" s="307"/>
      <c r="AE249" s="307"/>
      <c r="AF249" s="307"/>
      <c r="AG249" s="307"/>
      <c r="AH249" s="307"/>
      <c r="AI249" s="307"/>
      <c r="AJ249" s="307"/>
      <c r="AK249" s="307"/>
      <c r="AL249" s="307"/>
      <c r="AM249" s="307"/>
      <c r="AN249" s="307"/>
      <c r="AO249" s="307"/>
      <c r="AP249" s="307"/>
      <c r="AQ249" s="307"/>
      <c r="AR249" s="307"/>
    </row>
    <row r="250" spans="1:44" s="457" customFormat="1" ht="12" customHeight="1">
      <c r="A250" s="307"/>
      <c r="B250" s="307"/>
      <c r="C250" s="307"/>
      <c r="D250" s="279"/>
      <c r="E250" s="307"/>
      <c r="F250" s="307"/>
      <c r="G250" s="307"/>
      <c r="H250" s="307"/>
      <c r="I250" s="307"/>
      <c r="J250" s="307"/>
      <c r="K250" s="307"/>
      <c r="L250" s="307"/>
      <c r="M250" s="307"/>
      <c r="N250" s="307"/>
      <c r="O250" s="307"/>
      <c r="P250" s="939"/>
      <c r="Q250" s="2745"/>
      <c r="R250" s="937"/>
      <c r="X250" s="307"/>
      <c r="Y250" s="307"/>
      <c r="Z250" s="1753"/>
      <c r="AA250" s="307"/>
      <c r="AB250" s="307"/>
      <c r="AC250" s="307"/>
      <c r="AD250" s="307"/>
      <c r="AE250" s="307"/>
      <c r="AF250" s="307"/>
      <c r="AG250" s="307"/>
      <c r="AH250" s="307"/>
      <c r="AI250" s="307"/>
      <c r="AJ250" s="307"/>
      <c r="AK250" s="307"/>
      <c r="AL250" s="307"/>
      <c r="AM250" s="307"/>
      <c r="AN250" s="307"/>
      <c r="AO250" s="307"/>
      <c r="AP250" s="307"/>
      <c r="AQ250" s="307"/>
      <c r="AR250" s="307"/>
    </row>
    <row r="251" spans="1:44" s="457" customFormat="1" ht="12" customHeight="1">
      <c r="A251" s="307"/>
      <c r="B251" s="307"/>
      <c r="C251" s="307"/>
      <c r="D251" s="279"/>
      <c r="E251" s="307"/>
      <c r="F251" s="307"/>
      <c r="G251" s="307"/>
      <c r="H251" s="307"/>
      <c r="I251" s="307"/>
      <c r="J251" s="307"/>
      <c r="K251" s="307"/>
      <c r="L251" s="307"/>
      <c r="M251" s="307"/>
      <c r="N251" s="307"/>
      <c r="O251" s="307"/>
      <c r="P251" s="939"/>
      <c r="Q251" s="2745"/>
      <c r="R251" s="937"/>
      <c r="X251" s="307"/>
      <c r="Y251" s="307"/>
      <c r="Z251" s="1753"/>
      <c r="AA251" s="307"/>
      <c r="AB251" s="307"/>
      <c r="AC251" s="307"/>
      <c r="AD251" s="307"/>
      <c r="AE251" s="307"/>
      <c r="AF251" s="307"/>
      <c r="AG251" s="307"/>
      <c r="AH251" s="307"/>
      <c r="AI251" s="307"/>
      <c r="AJ251" s="307"/>
      <c r="AK251" s="307"/>
      <c r="AL251" s="307"/>
      <c r="AM251" s="307"/>
      <c r="AN251" s="307"/>
      <c r="AO251" s="307"/>
      <c r="AP251" s="307"/>
      <c r="AQ251" s="307"/>
      <c r="AR251" s="307"/>
    </row>
    <row r="252" spans="1:44" s="457" customFormat="1" ht="12" customHeight="1">
      <c r="A252" s="307"/>
      <c r="B252" s="307"/>
      <c r="C252" s="307"/>
      <c r="D252" s="279"/>
      <c r="E252" s="307"/>
      <c r="F252" s="307"/>
      <c r="G252" s="307"/>
      <c r="H252" s="307"/>
      <c r="I252" s="307"/>
      <c r="J252" s="307"/>
      <c r="K252" s="307"/>
      <c r="L252" s="307"/>
      <c r="M252" s="307"/>
      <c r="N252" s="307"/>
      <c r="O252" s="307"/>
      <c r="P252" s="939"/>
      <c r="Q252" s="2745"/>
      <c r="R252" s="937"/>
      <c r="X252" s="307"/>
      <c r="Y252" s="307"/>
      <c r="Z252" s="1753"/>
      <c r="AA252" s="307"/>
      <c r="AB252" s="307"/>
      <c r="AC252" s="307"/>
      <c r="AD252" s="307"/>
      <c r="AE252" s="307"/>
      <c r="AF252" s="307"/>
      <c r="AG252" s="307"/>
      <c r="AH252" s="307"/>
      <c r="AI252" s="307"/>
      <c r="AJ252" s="307"/>
      <c r="AK252" s="307"/>
      <c r="AL252" s="307"/>
      <c r="AM252" s="307"/>
      <c r="AN252" s="307"/>
      <c r="AO252" s="307"/>
      <c r="AP252" s="307"/>
      <c r="AQ252" s="307"/>
      <c r="AR252" s="307"/>
    </row>
    <row r="253" spans="1:44" s="457" customFormat="1" ht="12" customHeight="1">
      <c r="A253" s="307"/>
      <c r="B253" s="307"/>
      <c r="C253" s="307"/>
      <c r="E253" s="307"/>
      <c r="F253" s="307"/>
      <c r="G253" s="307"/>
      <c r="H253" s="307"/>
      <c r="I253" s="307"/>
      <c r="J253" s="307"/>
      <c r="K253" s="307"/>
      <c r="L253" s="307"/>
      <c r="M253" s="307"/>
      <c r="N253" s="307"/>
      <c r="O253" s="307"/>
      <c r="P253" s="939"/>
      <c r="Q253" s="2745"/>
      <c r="R253" s="937"/>
      <c r="X253" s="307"/>
      <c r="Y253" s="307"/>
      <c r="Z253" s="1753"/>
      <c r="AA253" s="307"/>
      <c r="AB253" s="307"/>
      <c r="AC253" s="307"/>
      <c r="AD253" s="307"/>
      <c r="AE253" s="307"/>
      <c r="AF253" s="307"/>
      <c r="AG253" s="307"/>
      <c r="AH253" s="307"/>
      <c r="AI253" s="307"/>
      <c r="AJ253" s="307"/>
      <c r="AK253" s="307"/>
      <c r="AL253" s="307"/>
      <c r="AM253" s="307"/>
      <c r="AN253" s="307"/>
      <c r="AO253" s="307"/>
      <c r="AP253" s="307"/>
      <c r="AQ253" s="307"/>
      <c r="AR253" s="307"/>
    </row>
    <row r="254" spans="1:44" s="457" customFormat="1" ht="12" customHeight="1">
      <c r="A254" s="307"/>
      <c r="B254" s="307"/>
      <c r="C254" s="307"/>
      <c r="E254" s="307"/>
      <c r="F254" s="307"/>
      <c r="G254" s="307"/>
      <c r="H254" s="307"/>
      <c r="I254" s="307"/>
      <c r="J254" s="307"/>
      <c r="K254" s="307"/>
      <c r="L254" s="307"/>
      <c r="M254" s="307"/>
      <c r="N254" s="307"/>
      <c r="O254" s="307"/>
      <c r="P254" s="2746"/>
      <c r="Q254" s="937"/>
      <c r="R254" s="937"/>
      <c r="X254" s="307"/>
      <c r="Y254" s="307"/>
      <c r="Z254" s="1753"/>
      <c r="AA254" s="307"/>
      <c r="AB254" s="307"/>
      <c r="AC254" s="307"/>
      <c r="AD254" s="307"/>
      <c r="AE254" s="307"/>
      <c r="AF254" s="307"/>
      <c r="AG254" s="307"/>
      <c r="AH254" s="307"/>
      <c r="AI254" s="307"/>
      <c r="AJ254" s="307"/>
      <c r="AK254" s="307"/>
      <c r="AL254" s="307"/>
      <c r="AM254" s="307"/>
      <c r="AN254" s="307"/>
      <c r="AO254" s="307"/>
      <c r="AP254" s="307"/>
      <c r="AQ254" s="307"/>
      <c r="AR254" s="307"/>
    </row>
    <row r="255" spans="1:44" s="457" customFormat="1" ht="12" customHeight="1">
      <c r="A255" s="307"/>
      <c r="B255" s="307"/>
      <c r="C255" s="307"/>
      <c r="D255" s="279"/>
      <c r="E255" s="307"/>
      <c r="F255" s="307"/>
      <c r="G255" s="307"/>
      <c r="H255" s="307"/>
      <c r="I255" s="307"/>
      <c r="J255" s="307"/>
      <c r="K255" s="307"/>
      <c r="L255" s="307"/>
      <c r="M255" s="307"/>
      <c r="N255" s="307"/>
      <c r="O255" s="307"/>
      <c r="P255" s="939"/>
      <c r="Q255" s="2745"/>
      <c r="R255" s="937"/>
      <c r="X255" s="307"/>
      <c r="Y255" s="307"/>
      <c r="Z255" s="1753"/>
      <c r="AA255" s="307"/>
      <c r="AB255" s="307"/>
      <c r="AC255" s="307"/>
      <c r="AD255" s="307"/>
      <c r="AE255" s="307"/>
      <c r="AF255" s="307"/>
      <c r="AG255" s="307"/>
      <c r="AH255" s="307"/>
      <c r="AI255" s="307"/>
      <c r="AJ255" s="307"/>
      <c r="AK255" s="307"/>
      <c r="AL255" s="307"/>
      <c r="AM255" s="307"/>
      <c r="AN255" s="307"/>
      <c r="AO255" s="307"/>
      <c r="AP255" s="307"/>
      <c r="AQ255" s="307"/>
      <c r="AR255" s="307"/>
    </row>
    <row r="256" spans="1:44" s="457" customFormat="1" ht="12" customHeight="1">
      <c r="A256" s="307"/>
      <c r="B256" s="307"/>
      <c r="C256" s="307"/>
      <c r="E256" s="307"/>
      <c r="F256" s="307"/>
      <c r="G256" s="307"/>
      <c r="H256" s="307"/>
      <c r="I256" s="307"/>
      <c r="J256" s="307"/>
      <c r="K256" s="307"/>
      <c r="L256" s="307"/>
      <c r="M256" s="307"/>
      <c r="N256" s="307"/>
      <c r="O256" s="307"/>
      <c r="P256" s="939"/>
      <c r="Q256" s="2745"/>
      <c r="R256" s="937"/>
      <c r="X256" s="307"/>
      <c r="Y256" s="307"/>
      <c r="Z256" s="1753"/>
      <c r="AA256" s="307"/>
      <c r="AB256" s="307"/>
      <c r="AC256" s="307"/>
      <c r="AD256" s="307"/>
      <c r="AE256" s="307"/>
      <c r="AF256" s="307"/>
      <c r="AG256" s="307"/>
      <c r="AH256" s="307"/>
      <c r="AI256" s="307"/>
      <c r="AJ256" s="307"/>
      <c r="AK256" s="307"/>
      <c r="AL256" s="307"/>
      <c r="AM256" s="307"/>
      <c r="AN256" s="307"/>
      <c r="AO256" s="307"/>
      <c r="AP256" s="307"/>
      <c r="AQ256" s="307"/>
      <c r="AR256" s="307"/>
    </row>
    <row r="257" spans="1:44" s="457" customFormat="1" ht="12" customHeight="1">
      <c r="A257" s="307"/>
      <c r="B257" s="307"/>
      <c r="C257" s="307"/>
      <c r="D257" s="307"/>
      <c r="E257" s="307"/>
      <c r="F257" s="307"/>
      <c r="G257" s="307"/>
      <c r="H257" s="307"/>
      <c r="I257" s="307"/>
      <c r="J257" s="307"/>
      <c r="K257" s="307"/>
      <c r="L257" s="307"/>
      <c r="M257" s="307"/>
      <c r="N257" s="307"/>
      <c r="O257" s="307"/>
      <c r="P257" s="939"/>
      <c r="Q257" s="2745"/>
      <c r="R257" s="937"/>
      <c r="X257" s="307"/>
      <c r="Y257" s="307"/>
      <c r="Z257" s="1753"/>
      <c r="AA257" s="307"/>
      <c r="AB257" s="307"/>
      <c r="AC257" s="307"/>
      <c r="AD257" s="307"/>
      <c r="AE257" s="307"/>
      <c r="AF257" s="307"/>
      <c r="AG257" s="307"/>
      <c r="AH257" s="307"/>
      <c r="AI257" s="307"/>
      <c r="AJ257" s="307"/>
      <c r="AK257" s="307"/>
      <c r="AL257" s="307"/>
      <c r="AM257" s="307"/>
      <c r="AN257" s="307"/>
      <c r="AO257" s="307"/>
      <c r="AP257" s="307"/>
      <c r="AQ257" s="307"/>
      <c r="AR257" s="307"/>
    </row>
    <row r="258" spans="1:44" s="457" customFormat="1" ht="12" customHeight="1">
      <c r="A258" s="307"/>
      <c r="B258" s="307"/>
      <c r="C258" s="307"/>
      <c r="D258" s="307"/>
      <c r="E258" s="307"/>
      <c r="F258" s="307"/>
      <c r="G258" s="307"/>
      <c r="H258" s="307"/>
      <c r="I258" s="307"/>
      <c r="J258" s="307"/>
      <c r="K258" s="307"/>
      <c r="L258" s="307"/>
      <c r="M258" s="307"/>
      <c r="N258" s="307"/>
      <c r="O258" s="307"/>
      <c r="P258" s="2746"/>
      <c r="Q258" s="937"/>
      <c r="R258" s="937"/>
      <c r="X258" s="307"/>
      <c r="Y258" s="307"/>
      <c r="Z258" s="1753"/>
      <c r="AA258" s="307"/>
      <c r="AB258" s="307"/>
      <c r="AC258" s="307"/>
      <c r="AD258" s="307"/>
      <c r="AE258" s="307"/>
      <c r="AF258" s="307"/>
      <c r="AG258" s="307"/>
      <c r="AH258" s="307"/>
      <c r="AI258" s="307"/>
      <c r="AJ258" s="307"/>
      <c r="AK258" s="307"/>
      <c r="AL258" s="307"/>
      <c r="AM258" s="307"/>
      <c r="AN258" s="307"/>
      <c r="AO258" s="307"/>
      <c r="AP258" s="307"/>
      <c r="AQ258" s="307"/>
      <c r="AR258" s="307"/>
    </row>
    <row r="259" spans="1:44" s="457" customFormat="1" ht="12" customHeight="1">
      <c r="A259" s="307"/>
      <c r="B259" s="307"/>
      <c r="C259" s="307"/>
      <c r="D259" s="307"/>
      <c r="E259" s="307"/>
      <c r="F259" s="307"/>
      <c r="G259" s="307"/>
      <c r="H259" s="307"/>
      <c r="I259" s="307"/>
      <c r="J259" s="307"/>
      <c r="K259" s="307"/>
      <c r="L259" s="307"/>
      <c r="M259" s="307"/>
      <c r="N259" s="307"/>
      <c r="O259" s="307"/>
      <c r="P259" s="939"/>
      <c r="Q259" s="2745"/>
      <c r="R259" s="937"/>
      <c r="X259" s="307"/>
      <c r="Y259" s="307"/>
      <c r="Z259" s="1753"/>
      <c r="AA259" s="307"/>
      <c r="AB259" s="307"/>
      <c r="AC259" s="307"/>
      <c r="AD259" s="307"/>
      <c r="AE259" s="307"/>
      <c r="AF259" s="307"/>
      <c r="AG259" s="307"/>
      <c r="AH259" s="307"/>
      <c r="AI259" s="307"/>
      <c r="AJ259" s="307"/>
      <c r="AK259" s="307"/>
      <c r="AL259" s="307"/>
      <c r="AM259" s="307"/>
      <c r="AN259" s="307"/>
      <c r="AO259" s="307"/>
      <c r="AP259" s="307"/>
      <c r="AQ259" s="307"/>
      <c r="AR259" s="307"/>
    </row>
    <row r="260" spans="1:44" s="457" customFormat="1" ht="12" customHeight="1">
      <c r="A260" s="307"/>
      <c r="B260" s="307"/>
      <c r="C260" s="307"/>
      <c r="D260" s="307"/>
      <c r="E260" s="307"/>
      <c r="F260" s="307"/>
      <c r="G260" s="307"/>
      <c r="H260" s="307"/>
      <c r="I260" s="307"/>
      <c r="J260" s="307"/>
      <c r="K260" s="307"/>
      <c r="L260" s="307"/>
      <c r="M260" s="307"/>
      <c r="N260" s="307"/>
      <c r="O260" s="307"/>
      <c r="P260" s="939"/>
      <c r="Q260" s="2745"/>
      <c r="R260" s="937"/>
      <c r="X260" s="307"/>
      <c r="Y260" s="307"/>
      <c r="Z260" s="1753"/>
      <c r="AA260" s="307"/>
      <c r="AB260" s="307"/>
      <c r="AC260" s="307"/>
      <c r="AD260" s="307"/>
      <c r="AE260" s="307"/>
      <c r="AF260" s="307"/>
      <c r="AG260" s="307"/>
      <c r="AH260" s="307"/>
      <c r="AI260" s="307"/>
      <c r="AJ260" s="307"/>
      <c r="AK260" s="307"/>
      <c r="AL260" s="307"/>
      <c r="AM260" s="307"/>
      <c r="AN260" s="307"/>
      <c r="AO260" s="307"/>
      <c r="AP260" s="307"/>
      <c r="AQ260" s="307"/>
      <c r="AR260" s="307"/>
    </row>
    <row r="261" spans="1:44" s="457" customFormat="1" ht="12" customHeight="1">
      <c r="A261" s="307"/>
      <c r="B261" s="307"/>
      <c r="C261" s="307"/>
      <c r="D261" s="307"/>
      <c r="E261" s="307"/>
      <c r="F261" s="307"/>
      <c r="G261" s="307"/>
      <c r="H261" s="307"/>
      <c r="I261" s="307"/>
      <c r="J261" s="307"/>
      <c r="K261" s="307"/>
      <c r="L261" s="307"/>
      <c r="M261" s="307"/>
      <c r="N261" s="307"/>
      <c r="O261" s="307"/>
      <c r="P261" s="939"/>
      <c r="Q261" s="2745"/>
      <c r="R261" s="937"/>
      <c r="X261" s="307"/>
      <c r="Y261" s="307"/>
      <c r="Z261" s="1753"/>
      <c r="AA261" s="307"/>
      <c r="AB261" s="307"/>
      <c r="AC261" s="307"/>
      <c r="AD261" s="307"/>
      <c r="AE261" s="307"/>
      <c r="AF261" s="307"/>
      <c r="AG261" s="307"/>
      <c r="AH261" s="307"/>
      <c r="AI261" s="307"/>
      <c r="AJ261" s="307"/>
      <c r="AK261" s="307"/>
      <c r="AL261" s="307"/>
      <c r="AM261" s="307"/>
      <c r="AN261" s="307"/>
      <c r="AO261" s="307"/>
      <c r="AP261" s="307"/>
      <c r="AQ261" s="307"/>
      <c r="AR261" s="307"/>
    </row>
    <row r="262" spans="1:44" s="457" customFormat="1" ht="12" customHeight="1">
      <c r="A262" s="307"/>
      <c r="B262" s="307"/>
      <c r="C262" s="307"/>
      <c r="D262" s="307"/>
      <c r="E262" s="307"/>
      <c r="F262" s="307"/>
      <c r="G262" s="307"/>
      <c r="H262" s="307"/>
      <c r="I262" s="307"/>
      <c r="J262" s="307"/>
      <c r="K262" s="307"/>
      <c r="L262" s="307"/>
      <c r="M262" s="307"/>
      <c r="N262" s="307"/>
      <c r="O262" s="307"/>
      <c r="P262" s="939"/>
      <c r="Q262" s="2745"/>
      <c r="R262" s="937"/>
      <c r="X262" s="307"/>
      <c r="Y262" s="307"/>
      <c r="Z262" s="1753"/>
      <c r="AA262" s="307"/>
      <c r="AB262" s="307"/>
      <c r="AC262" s="307"/>
      <c r="AD262" s="307"/>
      <c r="AE262" s="307"/>
      <c r="AF262" s="307"/>
      <c r="AG262" s="307"/>
      <c r="AH262" s="307"/>
      <c r="AI262" s="307"/>
      <c r="AJ262" s="307"/>
      <c r="AK262" s="307"/>
      <c r="AL262" s="307"/>
      <c r="AM262" s="307"/>
      <c r="AN262" s="307"/>
      <c r="AO262" s="307"/>
      <c r="AP262" s="307"/>
      <c r="AQ262" s="307"/>
      <c r="AR262" s="307"/>
    </row>
    <row r="263" spans="1:44" s="457" customFormat="1" ht="12" customHeight="1">
      <c r="A263" s="307"/>
      <c r="B263" s="307"/>
      <c r="C263" s="307"/>
      <c r="D263" s="307"/>
      <c r="E263" s="307"/>
      <c r="F263" s="307"/>
      <c r="G263" s="307"/>
      <c r="H263" s="307"/>
      <c r="I263" s="307"/>
      <c r="J263" s="307"/>
      <c r="K263" s="307"/>
      <c r="L263" s="307"/>
      <c r="M263" s="307"/>
      <c r="N263" s="307"/>
      <c r="O263" s="307"/>
      <c r="P263" s="939"/>
      <c r="Q263" s="2745"/>
      <c r="R263" s="937"/>
      <c r="X263" s="307"/>
      <c r="Y263" s="307"/>
      <c r="Z263" s="1753"/>
      <c r="AA263" s="307"/>
      <c r="AB263" s="307"/>
      <c r="AC263" s="307"/>
      <c r="AD263" s="307"/>
      <c r="AE263" s="307"/>
      <c r="AF263" s="307"/>
      <c r="AG263" s="307"/>
      <c r="AH263" s="307"/>
      <c r="AI263" s="307"/>
      <c r="AJ263" s="307"/>
      <c r="AK263" s="307"/>
      <c r="AL263" s="307"/>
      <c r="AM263" s="307"/>
      <c r="AN263" s="307"/>
      <c r="AO263" s="307"/>
      <c r="AP263" s="307"/>
      <c r="AQ263" s="307"/>
      <c r="AR263" s="307"/>
    </row>
    <row r="264" spans="1:44" s="457" customFormat="1" ht="12" customHeight="1">
      <c r="A264" s="307"/>
      <c r="B264" s="307"/>
      <c r="C264" s="307"/>
      <c r="D264" s="307"/>
      <c r="E264" s="307"/>
      <c r="F264" s="307"/>
      <c r="G264" s="307"/>
      <c r="H264" s="307"/>
      <c r="I264" s="307"/>
      <c r="J264" s="307"/>
      <c r="K264" s="307"/>
      <c r="L264" s="307"/>
      <c r="M264" s="307"/>
      <c r="N264" s="307"/>
      <c r="O264" s="307"/>
      <c r="P264" s="939"/>
      <c r="Q264" s="2745"/>
      <c r="R264" s="937"/>
      <c r="X264" s="307"/>
      <c r="Y264" s="307"/>
      <c r="Z264" s="1753"/>
      <c r="AA264" s="307"/>
      <c r="AB264" s="307"/>
      <c r="AC264" s="307"/>
      <c r="AD264" s="307"/>
      <c r="AE264" s="307"/>
      <c r="AF264" s="307"/>
      <c r="AG264" s="307"/>
      <c r="AH264" s="307"/>
      <c r="AI264" s="307"/>
      <c r="AJ264" s="307"/>
      <c r="AK264" s="307"/>
      <c r="AL264" s="307"/>
      <c r="AM264" s="307"/>
      <c r="AN264" s="307"/>
      <c r="AO264" s="307"/>
      <c r="AP264" s="307"/>
      <c r="AQ264" s="307"/>
      <c r="AR264" s="307"/>
    </row>
    <row r="265" spans="1:44" s="457" customFormat="1" ht="12" customHeight="1">
      <c r="A265" s="307"/>
      <c r="B265" s="307"/>
      <c r="C265" s="307"/>
      <c r="D265" s="307"/>
      <c r="E265" s="307"/>
      <c r="F265" s="307"/>
      <c r="G265" s="307"/>
      <c r="H265" s="307"/>
      <c r="I265" s="307"/>
      <c r="J265" s="307"/>
      <c r="K265" s="307"/>
      <c r="L265" s="307"/>
      <c r="M265" s="307"/>
      <c r="N265" s="307"/>
      <c r="O265" s="307"/>
      <c r="P265" s="939"/>
      <c r="Q265" s="2745"/>
      <c r="R265" s="937"/>
      <c r="X265" s="307"/>
      <c r="Y265" s="307"/>
      <c r="Z265" s="1753"/>
      <c r="AA265" s="307"/>
      <c r="AB265" s="307"/>
      <c r="AC265" s="307"/>
      <c r="AD265" s="307"/>
      <c r="AE265" s="307"/>
      <c r="AF265" s="307"/>
      <c r="AG265" s="307"/>
      <c r="AH265" s="307"/>
      <c r="AI265" s="307"/>
      <c r="AJ265" s="307"/>
      <c r="AK265" s="307"/>
      <c r="AL265" s="307"/>
      <c r="AM265" s="307"/>
      <c r="AN265" s="307"/>
      <c r="AO265" s="307"/>
      <c r="AP265" s="307"/>
      <c r="AQ265" s="307"/>
      <c r="AR265" s="307"/>
    </row>
    <row r="266" spans="1:44" s="457" customFormat="1" ht="12" customHeight="1">
      <c r="A266" s="307"/>
      <c r="B266" s="307"/>
      <c r="C266" s="307"/>
      <c r="D266" s="307"/>
      <c r="E266" s="307"/>
      <c r="F266" s="307"/>
      <c r="G266" s="307"/>
      <c r="H266" s="307"/>
      <c r="I266" s="307"/>
      <c r="J266" s="307"/>
      <c r="K266" s="307"/>
      <c r="L266" s="307"/>
      <c r="M266" s="307"/>
      <c r="N266" s="307"/>
      <c r="O266" s="307"/>
      <c r="P266" s="939"/>
      <c r="Q266" s="2745"/>
      <c r="R266" s="937"/>
      <c r="X266" s="307"/>
      <c r="Y266" s="307"/>
      <c r="Z266" s="1753"/>
      <c r="AA266" s="307"/>
      <c r="AB266" s="307"/>
      <c r="AC266" s="307"/>
      <c r="AD266" s="307"/>
      <c r="AE266" s="307"/>
      <c r="AF266" s="307"/>
      <c r="AG266" s="307"/>
      <c r="AH266" s="307"/>
      <c r="AI266" s="307"/>
      <c r="AJ266" s="307"/>
      <c r="AK266" s="307"/>
      <c r="AL266" s="307"/>
      <c r="AM266" s="307"/>
      <c r="AN266" s="307"/>
      <c r="AO266" s="307"/>
      <c r="AP266" s="307"/>
      <c r="AQ266" s="307"/>
      <c r="AR266" s="307"/>
    </row>
    <row r="267" spans="1:44" s="457" customFormat="1" ht="12" customHeight="1">
      <c r="A267" s="307"/>
      <c r="B267" s="307"/>
      <c r="C267" s="307"/>
      <c r="D267" s="307"/>
      <c r="E267" s="307"/>
      <c r="F267" s="307"/>
      <c r="G267" s="307"/>
      <c r="H267" s="307"/>
      <c r="I267" s="307"/>
      <c r="J267" s="307"/>
      <c r="K267" s="307"/>
      <c r="L267" s="307"/>
      <c r="M267" s="307"/>
      <c r="N267" s="307"/>
      <c r="O267" s="307"/>
      <c r="P267" s="939"/>
      <c r="Q267" s="2745"/>
      <c r="R267" s="937"/>
      <c r="X267" s="307"/>
      <c r="Y267" s="307"/>
      <c r="Z267" s="1753"/>
      <c r="AA267" s="307"/>
      <c r="AB267" s="307"/>
      <c r="AC267" s="307"/>
      <c r="AD267" s="307"/>
      <c r="AE267" s="307"/>
      <c r="AF267" s="307"/>
      <c r="AG267" s="307"/>
      <c r="AH267" s="307"/>
      <c r="AI267" s="307"/>
      <c r="AJ267" s="307"/>
      <c r="AK267" s="307"/>
      <c r="AL267" s="307"/>
      <c r="AM267" s="307"/>
      <c r="AN267" s="307"/>
      <c r="AO267" s="307"/>
      <c r="AP267" s="307"/>
      <c r="AQ267" s="307"/>
      <c r="AR267" s="307"/>
    </row>
    <row r="268" spans="1:44" s="457" customFormat="1" ht="12" customHeight="1">
      <c r="A268" s="307"/>
      <c r="B268" s="307"/>
      <c r="C268" s="307"/>
      <c r="D268" s="307"/>
      <c r="E268" s="307"/>
      <c r="F268" s="307"/>
      <c r="G268" s="307"/>
      <c r="H268" s="307"/>
      <c r="I268" s="307"/>
      <c r="J268" s="307"/>
      <c r="K268" s="307"/>
      <c r="L268" s="307"/>
      <c r="M268" s="307"/>
      <c r="N268" s="307"/>
      <c r="O268" s="307"/>
      <c r="P268" s="939"/>
      <c r="Q268" s="2745"/>
      <c r="R268" s="937"/>
      <c r="X268" s="307"/>
      <c r="Y268" s="307"/>
      <c r="Z268" s="1753"/>
      <c r="AA268" s="307"/>
      <c r="AB268" s="307"/>
      <c r="AC268" s="307"/>
      <c r="AD268" s="307"/>
      <c r="AE268" s="307"/>
      <c r="AF268" s="307"/>
      <c r="AG268" s="307"/>
      <c r="AH268" s="307"/>
      <c r="AI268" s="307"/>
      <c r="AJ268" s="307"/>
      <c r="AK268" s="307"/>
      <c r="AL268" s="307"/>
      <c r="AM268" s="307"/>
      <c r="AN268" s="307"/>
      <c r="AO268" s="307"/>
      <c r="AP268" s="307"/>
      <c r="AQ268" s="307"/>
      <c r="AR268" s="307"/>
    </row>
    <row r="269" spans="1:44" s="457" customFormat="1" ht="12" customHeight="1">
      <c r="A269" s="307"/>
      <c r="B269" s="307"/>
      <c r="C269" s="307"/>
      <c r="D269" s="307"/>
      <c r="E269" s="307"/>
      <c r="F269" s="307"/>
      <c r="G269" s="307"/>
      <c r="H269" s="307"/>
      <c r="I269" s="307"/>
      <c r="J269" s="307"/>
      <c r="K269" s="307"/>
      <c r="L269" s="307"/>
      <c r="M269" s="307"/>
      <c r="N269" s="307"/>
      <c r="O269" s="307"/>
      <c r="P269" s="939"/>
      <c r="Q269" s="2745"/>
      <c r="R269" s="937"/>
      <c r="X269" s="307"/>
      <c r="Y269" s="307"/>
      <c r="Z269" s="1753"/>
      <c r="AA269" s="307"/>
      <c r="AB269" s="307"/>
      <c r="AC269" s="307"/>
      <c r="AD269" s="307"/>
      <c r="AE269" s="307"/>
      <c r="AF269" s="307"/>
      <c r="AG269" s="307"/>
      <c r="AH269" s="307"/>
      <c r="AI269" s="307"/>
      <c r="AJ269" s="307"/>
      <c r="AK269" s="307"/>
      <c r="AL269" s="307"/>
      <c r="AM269" s="307"/>
      <c r="AN269" s="307"/>
      <c r="AO269" s="307"/>
      <c r="AP269" s="307"/>
      <c r="AQ269" s="307"/>
      <c r="AR269" s="307"/>
    </row>
    <row r="270" spans="1:44" s="457" customFormat="1" ht="12" customHeight="1">
      <c r="A270" s="307"/>
      <c r="B270" s="307"/>
      <c r="C270" s="307"/>
      <c r="D270" s="307"/>
      <c r="E270" s="307"/>
      <c r="F270" s="307"/>
      <c r="G270" s="307"/>
      <c r="H270" s="307"/>
      <c r="I270" s="307"/>
      <c r="J270" s="307"/>
      <c r="K270" s="307"/>
      <c r="L270" s="307"/>
      <c r="M270" s="307"/>
      <c r="N270" s="307"/>
      <c r="O270" s="307"/>
      <c r="P270" s="939"/>
      <c r="Q270" s="2745"/>
      <c r="R270" s="937"/>
      <c r="X270" s="307"/>
      <c r="Y270" s="307"/>
      <c r="Z270" s="1753"/>
      <c r="AA270" s="307"/>
      <c r="AB270" s="307"/>
      <c r="AC270" s="307"/>
      <c r="AD270" s="307"/>
      <c r="AE270" s="307"/>
      <c r="AF270" s="307"/>
      <c r="AG270" s="307"/>
      <c r="AH270" s="307"/>
      <c r="AI270" s="307"/>
      <c r="AJ270" s="307"/>
      <c r="AK270" s="307"/>
      <c r="AL270" s="307"/>
      <c r="AM270" s="307"/>
      <c r="AN270" s="307"/>
      <c r="AO270" s="307"/>
      <c r="AP270" s="307"/>
      <c r="AQ270" s="307"/>
      <c r="AR270" s="307"/>
    </row>
    <row r="271" spans="1:44" s="457" customFormat="1" ht="12" customHeight="1">
      <c r="A271" s="307"/>
      <c r="B271" s="307"/>
      <c r="C271" s="307"/>
      <c r="D271" s="307"/>
      <c r="E271" s="307"/>
      <c r="F271" s="307"/>
      <c r="G271" s="307"/>
      <c r="H271" s="307"/>
      <c r="I271" s="307"/>
      <c r="J271" s="307"/>
      <c r="K271" s="307"/>
      <c r="L271" s="307"/>
      <c r="M271" s="307"/>
      <c r="N271" s="307"/>
      <c r="O271" s="307"/>
      <c r="P271" s="939"/>
      <c r="Q271" s="2745"/>
      <c r="R271" s="937"/>
      <c r="X271" s="307"/>
      <c r="Y271" s="307"/>
      <c r="Z271" s="1753"/>
      <c r="AA271" s="307"/>
      <c r="AB271" s="307"/>
      <c r="AC271" s="307"/>
      <c r="AD271" s="307"/>
      <c r="AE271" s="307"/>
      <c r="AF271" s="307"/>
      <c r="AG271" s="307"/>
      <c r="AH271" s="307"/>
      <c r="AI271" s="307"/>
      <c r="AJ271" s="307"/>
      <c r="AK271" s="307"/>
      <c r="AL271" s="307"/>
      <c r="AM271" s="307"/>
      <c r="AN271" s="307"/>
      <c r="AO271" s="307"/>
      <c r="AP271" s="307"/>
      <c r="AQ271" s="307"/>
      <c r="AR271" s="307"/>
    </row>
    <row r="272" spans="1:44" s="457" customFormat="1" ht="12" customHeight="1">
      <c r="A272" s="307"/>
      <c r="B272" s="307"/>
      <c r="C272" s="307"/>
      <c r="D272" s="307"/>
      <c r="E272" s="307"/>
      <c r="F272" s="307"/>
      <c r="G272" s="307"/>
      <c r="H272" s="307"/>
      <c r="I272" s="307"/>
      <c r="J272" s="307"/>
      <c r="K272" s="307"/>
      <c r="L272" s="307"/>
      <c r="M272" s="307"/>
      <c r="N272" s="307"/>
      <c r="O272" s="307"/>
      <c r="P272" s="2747"/>
      <c r="Q272" s="2745"/>
      <c r="R272" s="939"/>
      <c r="S272" s="2748"/>
      <c r="X272" s="307"/>
      <c r="Y272" s="307"/>
      <c r="Z272" s="1753"/>
      <c r="AA272" s="307"/>
      <c r="AB272" s="307"/>
      <c r="AC272" s="307"/>
      <c r="AD272" s="307"/>
      <c r="AE272" s="307"/>
      <c r="AF272" s="307"/>
      <c r="AG272" s="307"/>
      <c r="AH272" s="307"/>
      <c r="AI272" s="307"/>
      <c r="AJ272" s="307"/>
      <c r="AK272" s="307"/>
      <c r="AL272" s="307"/>
      <c r="AM272" s="307"/>
      <c r="AN272" s="307"/>
      <c r="AO272" s="307"/>
      <c r="AP272" s="307"/>
      <c r="AQ272" s="307"/>
      <c r="AR272" s="307"/>
    </row>
    <row r="273" spans="1:44" s="457" customFormat="1" ht="12" customHeight="1">
      <c r="A273" s="307"/>
      <c r="B273" s="307"/>
      <c r="C273" s="307"/>
      <c r="D273" s="307"/>
      <c r="E273" s="307"/>
      <c r="F273" s="307"/>
      <c r="G273" s="307"/>
      <c r="H273" s="307"/>
      <c r="I273" s="307"/>
      <c r="J273" s="307"/>
      <c r="K273" s="307"/>
      <c r="L273" s="307"/>
      <c r="M273" s="307"/>
      <c r="N273" s="307"/>
      <c r="O273" s="307"/>
      <c r="P273" s="939"/>
      <c r="Q273" s="2745"/>
      <c r="R273" s="939"/>
      <c r="S273" s="2748"/>
      <c r="X273" s="307"/>
      <c r="Y273" s="307"/>
      <c r="Z273" s="1753"/>
      <c r="AA273" s="307"/>
      <c r="AB273" s="307"/>
      <c r="AC273" s="307"/>
      <c r="AD273" s="307"/>
      <c r="AE273" s="307"/>
      <c r="AF273" s="307"/>
      <c r="AG273" s="307"/>
      <c r="AH273" s="307"/>
      <c r="AI273" s="307"/>
      <c r="AJ273" s="307"/>
      <c r="AK273" s="307"/>
      <c r="AL273" s="307"/>
      <c r="AM273" s="307"/>
      <c r="AN273" s="307"/>
      <c r="AO273" s="307"/>
      <c r="AP273" s="307"/>
      <c r="AQ273" s="307"/>
      <c r="AR273" s="307"/>
    </row>
    <row r="274" spans="1:44" s="457" customFormat="1" ht="12" customHeight="1">
      <c r="A274" s="307"/>
      <c r="B274" s="307"/>
      <c r="C274" s="307"/>
      <c r="D274" s="307"/>
      <c r="E274" s="307"/>
      <c r="F274" s="307"/>
      <c r="G274" s="307"/>
      <c r="H274" s="307"/>
      <c r="I274" s="307"/>
      <c r="J274" s="307"/>
      <c r="K274" s="307"/>
      <c r="L274" s="307"/>
      <c r="M274" s="307"/>
      <c r="N274" s="307"/>
      <c r="O274" s="307"/>
      <c r="P274" s="939"/>
      <c r="Q274" s="2745"/>
      <c r="R274" s="939"/>
      <c r="S274" s="2748"/>
      <c r="X274" s="307"/>
      <c r="Y274" s="307"/>
      <c r="Z274" s="1753"/>
      <c r="AA274" s="307"/>
      <c r="AB274" s="307"/>
      <c r="AC274" s="307"/>
      <c r="AD274" s="307"/>
      <c r="AE274" s="307"/>
      <c r="AF274" s="307"/>
      <c r="AG274" s="307"/>
      <c r="AH274" s="307"/>
      <c r="AI274" s="307"/>
      <c r="AJ274" s="307"/>
      <c r="AK274" s="307"/>
      <c r="AL274" s="307"/>
      <c r="AM274" s="307"/>
      <c r="AN274" s="307"/>
      <c r="AO274" s="307"/>
      <c r="AP274" s="307"/>
      <c r="AQ274" s="307"/>
      <c r="AR274" s="307"/>
    </row>
    <row r="275" spans="1:44" s="457" customFormat="1" ht="12" customHeight="1">
      <c r="A275" s="307"/>
      <c r="B275" s="307"/>
      <c r="C275" s="307"/>
      <c r="D275" s="307"/>
      <c r="E275" s="307"/>
      <c r="F275" s="307"/>
      <c r="G275" s="307"/>
      <c r="H275" s="307"/>
      <c r="I275" s="307"/>
      <c r="J275" s="307"/>
      <c r="K275" s="307"/>
      <c r="L275" s="307"/>
      <c r="M275" s="307"/>
      <c r="N275" s="307"/>
      <c r="O275" s="307"/>
      <c r="P275" s="939"/>
      <c r="Q275" s="2745"/>
      <c r="R275" s="939"/>
      <c r="S275" s="2748"/>
      <c r="X275" s="307"/>
      <c r="Y275" s="307"/>
      <c r="Z275" s="1753"/>
      <c r="AA275" s="307"/>
      <c r="AB275" s="307"/>
      <c r="AC275" s="307"/>
      <c r="AD275" s="307"/>
      <c r="AE275" s="307"/>
      <c r="AF275" s="307"/>
      <c r="AG275" s="307"/>
      <c r="AH275" s="307"/>
      <c r="AI275" s="307"/>
      <c r="AJ275" s="307"/>
      <c r="AK275" s="307"/>
      <c r="AL275" s="307"/>
      <c r="AM275" s="307"/>
      <c r="AN275" s="307"/>
      <c r="AO275" s="307"/>
      <c r="AP275" s="307"/>
      <c r="AQ275" s="307"/>
      <c r="AR275" s="307"/>
    </row>
    <row r="276" spans="1:44" s="457" customFormat="1" ht="12" customHeight="1">
      <c r="A276" s="307"/>
      <c r="B276" s="307"/>
      <c r="C276" s="307"/>
      <c r="D276" s="307"/>
      <c r="E276" s="307"/>
      <c r="F276" s="307"/>
      <c r="G276" s="307"/>
      <c r="H276" s="307"/>
      <c r="I276" s="307"/>
      <c r="J276" s="307"/>
      <c r="K276" s="307"/>
      <c r="L276" s="307"/>
      <c r="M276" s="307"/>
      <c r="N276" s="307"/>
      <c r="O276" s="307"/>
      <c r="P276" s="939"/>
      <c r="Q276" s="937"/>
      <c r="R276" s="937"/>
      <c r="X276" s="307"/>
      <c r="Y276" s="307"/>
      <c r="Z276" s="1753"/>
      <c r="AA276" s="307"/>
      <c r="AB276" s="307"/>
      <c r="AC276" s="307"/>
      <c r="AD276" s="307"/>
      <c r="AE276" s="307"/>
      <c r="AF276" s="307"/>
      <c r="AG276" s="307"/>
      <c r="AH276" s="307"/>
      <c r="AI276" s="307"/>
      <c r="AJ276" s="307"/>
      <c r="AK276" s="307"/>
      <c r="AL276" s="307"/>
      <c r="AM276" s="307"/>
      <c r="AN276" s="307"/>
      <c r="AO276" s="307"/>
      <c r="AP276" s="307"/>
      <c r="AQ276" s="307"/>
      <c r="AR276" s="307"/>
    </row>
    <row r="277" spans="1:44" s="457" customFormat="1" ht="12" customHeight="1">
      <c r="A277" s="307"/>
      <c r="B277" s="307"/>
      <c r="C277" s="307"/>
      <c r="D277" s="307"/>
      <c r="E277" s="307"/>
      <c r="F277" s="307"/>
      <c r="G277" s="307"/>
      <c r="H277" s="307"/>
      <c r="I277" s="307"/>
      <c r="J277" s="307"/>
      <c r="K277" s="307"/>
      <c r="L277" s="307"/>
      <c r="M277" s="307"/>
      <c r="N277" s="307"/>
      <c r="O277" s="307"/>
      <c r="P277" s="2746"/>
      <c r="Q277" s="937"/>
      <c r="R277" s="937"/>
      <c r="X277" s="307"/>
      <c r="Y277" s="307"/>
      <c r="Z277" s="1753"/>
      <c r="AA277" s="307"/>
      <c r="AB277" s="307"/>
      <c r="AC277" s="307"/>
      <c r="AD277" s="307"/>
      <c r="AE277" s="307"/>
      <c r="AF277" s="307"/>
      <c r="AG277" s="307"/>
      <c r="AH277" s="307"/>
      <c r="AI277" s="307"/>
      <c r="AJ277" s="307"/>
      <c r="AK277" s="307"/>
      <c r="AL277" s="307"/>
      <c r="AM277" s="307"/>
      <c r="AN277" s="307"/>
      <c r="AO277" s="307"/>
      <c r="AP277" s="307"/>
      <c r="AQ277" s="307"/>
      <c r="AR277" s="307"/>
    </row>
    <row r="278" spans="1:44" s="457" customFormat="1" ht="12" customHeight="1">
      <c r="A278" s="307"/>
      <c r="B278" s="307"/>
      <c r="C278" s="307"/>
      <c r="D278" s="307"/>
      <c r="E278" s="307"/>
      <c r="F278" s="307"/>
      <c r="G278" s="307"/>
      <c r="H278" s="307"/>
      <c r="I278" s="307"/>
      <c r="J278" s="307"/>
      <c r="K278" s="307"/>
      <c r="L278" s="307"/>
      <c r="M278" s="307"/>
      <c r="N278" s="307"/>
      <c r="O278" s="307"/>
      <c r="P278" s="939"/>
      <c r="Q278" s="2745"/>
      <c r="R278" s="937"/>
      <c r="X278" s="307"/>
      <c r="Y278" s="307"/>
      <c r="Z278" s="1753"/>
      <c r="AA278" s="307"/>
      <c r="AB278" s="307"/>
      <c r="AC278" s="307"/>
      <c r="AD278" s="307"/>
      <c r="AE278" s="307"/>
      <c r="AF278" s="307"/>
      <c r="AG278" s="307"/>
      <c r="AH278" s="307"/>
      <c r="AI278" s="307"/>
      <c r="AJ278" s="307"/>
      <c r="AK278" s="307"/>
      <c r="AL278" s="307"/>
      <c r="AM278" s="307"/>
      <c r="AN278" s="307"/>
      <c r="AO278" s="307"/>
      <c r="AP278" s="307"/>
      <c r="AQ278" s="307"/>
      <c r="AR278" s="307"/>
    </row>
    <row r="279" spans="1:44" s="457" customFormat="1" ht="12" customHeight="1">
      <c r="A279" s="307"/>
      <c r="B279" s="307"/>
      <c r="C279" s="307"/>
      <c r="D279" s="307"/>
      <c r="E279" s="307"/>
      <c r="F279" s="307"/>
      <c r="G279" s="307"/>
      <c r="H279" s="307"/>
      <c r="I279" s="307"/>
      <c r="J279" s="307"/>
      <c r="K279" s="307"/>
      <c r="L279" s="307"/>
      <c r="M279" s="307"/>
      <c r="N279" s="307"/>
      <c r="O279" s="307"/>
      <c r="P279" s="939"/>
      <c r="Q279" s="2745"/>
      <c r="R279" s="937"/>
      <c r="X279" s="307"/>
      <c r="Y279" s="307"/>
      <c r="Z279" s="1753"/>
      <c r="AA279" s="307"/>
      <c r="AB279" s="307"/>
      <c r="AC279" s="307"/>
      <c r="AD279" s="307"/>
      <c r="AE279" s="307"/>
      <c r="AF279" s="307"/>
      <c r="AG279" s="307"/>
      <c r="AH279" s="307"/>
      <c r="AI279" s="307"/>
      <c r="AJ279" s="307"/>
      <c r="AK279" s="307"/>
      <c r="AL279" s="307"/>
      <c r="AM279" s="307"/>
      <c r="AN279" s="307"/>
      <c r="AO279" s="307"/>
      <c r="AP279" s="307"/>
      <c r="AQ279" s="307"/>
      <c r="AR279" s="307"/>
    </row>
    <row r="280" spans="1:44" s="457" customFormat="1" ht="12" customHeight="1">
      <c r="A280" s="307"/>
      <c r="B280" s="307"/>
      <c r="C280" s="307"/>
      <c r="D280" s="307"/>
      <c r="E280" s="307"/>
      <c r="F280" s="307"/>
      <c r="G280" s="307"/>
      <c r="H280" s="307"/>
      <c r="I280" s="307"/>
      <c r="J280" s="307"/>
      <c r="K280" s="307"/>
      <c r="L280" s="307"/>
      <c r="M280" s="307"/>
      <c r="N280" s="307"/>
      <c r="O280" s="307"/>
      <c r="P280" s="2747"/>
      <c r="Q280" s="2745"/>
      <c r="R280" s="937"/>
      <c r="X280" s="307"/>
      <c r="Y280" s="307"/>
      <c r="Z280" s="1753"/>
      <c r="AA280" s="307"/>
      <c r="AB280" s="307"/>
      <c r="AC280" s="307"/>
      <c r="AD280" s="307"/>
      <c r="AE280" s="307"/>
      <c r="AF280" s="307"/>
      <c r="AG280" s="307"/>
      <c r="AH280" s="307"/>
      <c r="AI280" s="307"/>
      <c r="AJ280" s="307"/>
      <c r="AK280" s="307"/>
      <c r="AL280" s="307"/>
      <c r="AM280" s="307"/>
      <c r="AN280" s="307"/>
      <c r="AO280" s="307"/>
      <c r="AP280" s="307"/>
      <c r="AQ280" s="307"/>
      <c r="AR280" s="307"/>
    </row>
    <row r="281" spans="1:44" s="457" customFormat="1" ht="12" customHeight="1">
      <c r="A281" s="307"/>
      <c r="B281" s="307"/>
      <c r="C281" s="307"/>
      <c r="D281" s="307"/>
      <c r="E281" s="307"/>
      <c r="F281" s="307"/>
      <c r="G281" s="307"/>
      <c r="H281" s="307"/>
      <c r="I281" s="307"/>
      <c r="J281" s="307"/>
      <c r="K281" s="307"/>
      <c r="L281" s="307"/>
      <c r="M281" s="307"/>
      <c r="N281" s="307"/>
      <c r="O281" s="307"/>
      <c r="P281" s="939"/>
      <c r="Q281" s="2745"/>
      <c r="R281" s="937"/>
      <c r="X281" s="307"/>
      <c r="Y281" s="307"/>
      <c r="Z281" s="1753"/>
      <c r="AA281" s="307"/>
      <c r="AB281" s="307"/>
      <c r="AC281" s="307"/>
      <c r="AD281" s="307"/>
      <c r="AE281" s="307"/>
      <c r="AF281" s="307"/>
      <c r="AG281" s="307"/>
      <c r="AH281" s="307"/>
      <c r="AI281" s="307"/>
      <c r="AJ281" s="307"/>
      <c r="AK281" s="307"/>
      <c r="AL281" s="307"/>
      <c r="AM281" s="307"/>
      <c r="AN281" s="307"/>
      <c r="AO281" s="307"/>
      <c r="AP281" s="307"/>
      <c r="AQ281" s="307"/>
      <c r="AR281" s="307"/>
    </row>
    <row r="282" spans="1:44" s="457" customFormat="1" ht="12" customHeight="1">
      <c r="A282" s="307"/>
      <c r="B282" s="307"/>
      <c r="C282" s="307"/>
      <c r="D282" s="307"/>
      <c r="E282" s="307"/>
      <c r="F282" s="307"/>
      <c r="G282" s="307"/>
      <c r="H282" s="307"/>
      <c r="I282" s="307"/>
      <c r="J282" s="307"/>
      <c r="K282" s="307"/>
      <c r="L282" s="307"/>
      <c r="M282" s="307"/>
      <c r="N282" s="307"/>
      <c r="O282" s="307"/>
      <c r="P282" s="939"/>
      <c r="Q282" s="2745"/>
      <c r="R282" s="937"/>
      <c r="X282" s="307"/>
      <c r="Y282" s="307"/>
      <c r="Z282" s="1753"/>
      <c r="AA282" s="307"/>
      <c r="AB282" s="307"/>
      <c r="AC282" s="307"/>
      <c r="AD282" s="307"/>
      <c r="AE282" s="307"/>
      <c r="AF282" s="307"/>
      <c r="AG282" s="307"/>
      <c r="AH282" s="307"/>
      <c r="AI282" s="307"/>
      <c r="AJ282" s="307"/>
      <c r="AK282" s="307"/>
      <c r="AL282" s="307"/>
      <c r="AM282" s="307"/>
      <c r="AN282" s="307"/>
      <c r="AO282" s="307"/>
      <c r="AP282" s="307"/>
      <c r="AQ282" s="307"/>
      <c r="AR282" s="307"/>
    </row>
    <row r="283" spans="1:44" s="457" customFormat="1" ht="12" customHeight="1">
      <c r="A283" s="307"/>
      <c r="B283" s="307"/>
      <c r="C283" s="307"/>
      <c r="D283" s="307"/>
      <c r="E283" s="307"/>
      <c r="F283" s="307"/>
      <c r="G283" s="307"/>
      <c r="H283" s="307"/>
      <c r="I283" s="307"/>
      <c r="J283" s="307"/>
      <c r="K283" s="307"/>
      <c r="L283" s="307"/>
      <c r="M283" s="307"/>
      <c r="N283" s="307"/>
      <c r="O283" s="307"/>
      <c r="P283" s="939"/>
      <c r="Q283" s="2745"/>
      <c r="R283" s="937"/>
      <c r="X283" s="307"/>
      <c r="Y283" s="307"/>
      <c r="Z283" s="1753"/>
      <c r="AA283" s="307"/>
      <c r="AB283" s="307"/>
      <c r="AC283" s="307"/>
      <c r="AD283" s="307"/>
      <c r="AE283" s="307"/>
      <c r="AF283" s="307"/>
      <c r="AG283" s="307"/>
      <c r="AH283" s="307"/>
      <c r="AI283" s="307"/>
      <c r="AJ283" s="307"/>
      <c r="AK283" s="307"/>
      <c r="AL283" s="307"/>
      <c r="AM283" s="307"/>
      <c r="AN283" s="307"/>
      <c r="AO283" s="307"/>
      <c r="AP283" s="307"/>
      <c r="AQ283" s="307"/>
      <c r="AR283" s="307"/>
    </row>
    <row r="284" spans="1:44" s="457" customFormat="1" ht="12" customHeight="1">
      <c r="A284" s="307"/>
      <c r="B284" s="307"/>
      <c r="C284" s="307"/>
      <c r="D284" s="307"/>
      <c r="E284" s="307"/>
      <c r="F284" s="307"/>
      <c r="G284" s="307"/>
      <c r="H284" s="307"/>
      <c r="I284" s="307"/>
      <c r="J284" s="307"/>
      <c r="K284" s="307"/>
      <c r="L284" s="307"/>
      <c r="M284" s="307"/>
      <c r="N284" s="307"/>
      <c r="O284" s="307"/>
      <c r="P284" s="939"/>
      <c r="Q284" s="2745"/>
      <c r="R284" s="937"/>
      <c r="X284" s="307"/>
      <c r="Y284" s="307"/>
      <c r="Z284" s="1753"/>
      <c r="AA284" s="307"/>
      <c r="AB284" s="307"/>
      <c r="AC284" s="307"/>
      <c r="AD284" s="307"/>
      <c r="AE284" s="307"/>
      <c r="AF284" s="307"/>
      <c r="AG284" s="307"/>
      <c r="AH284" s="307"/>
      <c r="AI284" s="307"/>
      <c r="AJ284" s="307"/>
      <c r="AK284" s="307"/>
      <c r="AL284" s="307"/>
      <c r="AM284" s="307"/>
      <c r="AN284" s="307"/>
      <c r="AO284" s="307"/>
      <c r="AP284" s="307"/>
      <c r="AQ284" s="307"/>
      <c r="AR284" s="307"/>
    </row>
    <row r="285" spans="1:44" s="457" customFormat="1" ht="12" customHeight="1">
      <c r="A285" s="307"/>
      <c r="B285" s="307"/>
      <c r="C285" s="307"/>
      <c r="D285" s="307"/>
      <c r="E285" s="307"/>
      <c r="F285" s="307"/>
      <c r="G285" s="307"/>
      <c r="H285" s="307"/>
      <c r="I285" s="307"/>
      <c r="J285" s="307"/>
      <c r="K285" s="307"/>
      <c r="L285" s="307"/>
      <c r="M285" s="307"/>
      <c r="N285" s="307"/>
      <c r="O285" s="307"/>
      <c r="P285" s="939"/>
      <c r="Q285" s="2745"/>
      <c r="R285" s="937"/>
      <c r="X285" s="307"/>
      <c r="Y285" s="307"/>
      <c r="Z285" s="1753"/>
      <c r="AA285" s="307"/>
      <c r="AB285" s="307"/>
      <c r="AC285" s="307"/>
      <c r="AD285" s="307"/>
      <c r="AE285" s="307"/>
      <c r="AF285" s="307"/>
      <c r="AG285" s="307"/>
      <c r="AH285" s="307"/>
      <c r="AI285" s="307"/>
      <c r="AJ285" s="307"/>
      <c r="AK285" s="307"/>
      <c r="AL285" s="307"/>
      <c r="AM285" s="307"/>
      <c r="AN285" s="307"/>
      <c r="AO285" s="307"/>
      <c r="AP285" s="307"/>
      <c r="AQ285" s="307"/>
      <c r="AR285" s="307"/>
    </row>
    <row r="286" spans="1:44" s="457" customFormat="1" ht="12" customHeight="1">
      <c r="A286" s="307"/>
      <c r="B286" s="307"/>
      <c r="C286" s="307"/>
      <c r="D286" s="307"/>
      <c r="E286" s="307"/>
      <c r="F286" s="307"/>
      <c r="G286" s="307"/>
      <c r="H286" s="307"/>
      <c r="I286" s="307"/>
      <c r="J286" s="307"/>
      <c r="K286" s="307"/>
      <c r="L286" s="307"/>
      <c r="M286" s="307"/>
      <c r="N286" s="307"/>
      <c r="O286" s="307"/>
      <c r="P286" s="939"/>
      <c r="Q286" s="2745"/>
      <c r="R286" s="937"/>
      <c r="X286" s="307"/>
      <c r="Y286" s="307"/>
      <c r="Z286" s="1753"/>
      <c r="AA286" s="307"/>
      <c r="AB286" s="307"/>
      <c r="AC286" s="307"/>
      <c r="AD286" s="307"/>
      <c r="AE286" s="307"/>
      <c r="AF286" s="307"/>
      <c r="AG286" s="307"/>
      <c r="AH286" s="307"/>
      <c r="AI286" s="307"/>
      <c r="AJ286" s="307"/>
      <c r="AK286" s="307"/>
      <c r="AL286" s="307"/>
      <c r="AM286" s="307"/>
      <c r="AN286" s="307"/>
      <c r="AO286" s="307"/>
      <c r="AP286" s="307"/>
      <c r="AQ286" s="307"/>
      <c r="AR286" s="307"/>
    </row>
    <row r="287" spans="1:44" s="457" customFormat="1" ht="12" customHeight="1">
      <c r="A287" s="307"/>
      <c r="B287" s="307"/>
      <c r="C287" s="307"/>
      <c r="D287" s="307"/>
      <c r="E287" s="307"/>
      <c r="F287" s="307"/>
      <c r="G287" s="307"/>
      <c r="H287" s="307"/>
      <c r="I287" s="307"/>
      <c r="J287" s="307"/>
      <c r="K287" s="307"/>
      <c r="L287" s="307"/>
      <c r="M287" s="307"/>
      <c r="N287" s="307"/>
      <c r="O287" s="307"/>
      <c r="P287" s="939"/>
      <c r="Q287" s="2745"/>
      <c r="R287" s="937"/>
      <c r="X287" s="307"/>
      <c r="Y287" s="307"/>
      <c r="Z287" s="1753"/>
      <c r="AA287" s="307"/>
      <c r="AB287" s="307"/>
      <c r="AC287" s="307"/>
      <c r="AD287" s="307"/>
      <c r="AE287" s="307"/>
      <c r="AF287" s="307"/>
      <c r="AG287" s="307"/>
      <c r="AH287" s="307"/>
      <c r="AI287" s="307"/>
      <c r="AJ287" s="307"/>
      <c r="AK287" s="307"/>
      <c r="AL287" s="307"/>
      <c r="AM287" s="307"/>
      <c r="AN287" s="307"/>
      <c r="AO287" s="307"/>
      <c r="AP287" s="307"/>
      <c r="AQ287" s="307"/>
      <c r="AR287" s="307"/>
    </row>
    <row r="288" spans="1:44" s="457" customFormat="1" ht="12" customHeight="1">
      <c r="A288" s="307"/>
      <c r="B288" s="307"/>
      <c r="C288" s="307"/>
      <c r="D288" s="307"/>
      <c r="E288" s="307"/>
      <c r="F288" s="307"/>
      <c r="G288" s="307"/>
      <c r="H288" s="307"/>
      <c r="I288" s="307"/>
      <c r="J288" s="307"/>
      <c r="K288" s="307"/>
      <c r="L288" s="307"/>
      <c r="M288" s="307"/>
      <c r="N288" s="307"/>
      <c r="O288" s="307"/>
      <c r="P288" s="2747"/>
      <c r="Q288" s="2745"/>
      <c r="R288" s="937"/>
      <c r="X288" s="307"/>
      <c r="Y288" s="307"/>
      <c r="Z288" s="1753"/>
      <c r="AA288" s="307"/>
      <c r="AB288" s="307"/>
      <c r="AC288" s="307"/>
      <c r="AD288" s="307"/>
      <c r="AE288" s="307"/>
      <c r="AF288" s="307"/>
      <c r="AG288" s="307"/>
      <c r="AH288" s="307"/>
      <c r="AI288" s="307"/>
      <c r="AJ288" s="307"/>
      <c r="AK288" s="307"/>
      <c r="AL288" s="307"/>
      <c r="AM288" s="307"/>
      <c r="AN288" s="307"/>
      <c r="AO288" s="307"/>
      <c r="AP288" s="307"/>
      <c r="AQ288" s="307"/>
      <c r="AR288" s="307"/>
    </row>
    <row r="289" spans="1:44" s="457" customFormat="1" ht="12" customHeight="1">
      <c r="A289" s="307"/>
      <c r="B289" s="307"/>
      <c r="C289" s="307"/>
      <c r="D289" s="307"/>
      <c r="E289" s="307"/>
      <c r="F289" s="307"/>
      <c r="G289" s="307"/>
      <c r="H289" s="307"/>
      <c r="I289" s="307"/>
      <c r="J289" s="307"/>
      <c r="K289" s="307"/>
      <c r="L289" s="307"/>
      <c r="M289" s="307"/>
      <c r="N289" s="307"/>
      <c r="O289" s="307"/>
      <c r="P289" s="939"/>
      <c r="Q289" s="2745"/>
      <c r="R289" s="937"/>
      <c r="X289" s="307"/>
      <c r="Y289" s="307"/>
      <c r="Z289" s="1753"/>
      <c r="AA289" s="307"/>
      <c r="AB289" s="307"/>
      <c r="AC289" s="307"/>
      <c r="AD289" s="307"/>
      <c r="AE289" s="307"/>
      <c r="AF289" s="307"/>
      <c r="AG289" s="307"/>
      <c r="AH289" s="307"/>
      <c r="AI289" s="307"/>
      <c r="AJ289" s="307"/>
      <c r="AK289" s="307"/>
      <c r="AL289" s="307"/>
      <c r="AM289" s="307"/>
      <c r="AN289" s="307"/>
      <c r="AO289" s="307"/>
      <c r="AP289" s="307"/>
      <c r="AQ289" s="307"/>
      <c r="AR289" s="307"/>
    </row>
    <row r="290" spans="1:44" s="457" customFormat="1" ht="12" customHeight="1">
      <c r="A290" s="307"/>
      <c r="B290" s="307"/>
      <c r="C290" s="307"/>
      <c r="D290" s="307"/>
      <c r="E290" s="307"/>
      <c r="F290" s="307"/>
      <c r="G290" s="307"/>
      <c r="H290" s="307"/>
      <c r="I290" s="307"/>
      <c r="J290" s="307"/>
      <c r="K290" s="307"/>
      <c r="L290" s="307"/>
      <c r="M290" s="307"/>
      <c r="N290" s="307"/>
      <c r="O290" s="307"/>
      <c r="P290" s="939"/>
      <c r="Q290" s="2745"/>
      <c r="R290" s="937"/>
      <c r="X290" s="307"/>
      <c r="Y290" s="307"/>
      <c r="Z290" s="1753"/>
      <c r="AA290" s="307"/>
      <c r="AB290" s="307"/>
      <c r="AC290" s="307"/>
      <c r="AD290" s="307"/>
      <c r="AE290" s="307"/>
      <c r="AF290" s="307"/>
      <c r="AG290" s="307"/>
      <c r="AH290" s="307"/>
      <c r="AI290" s="307"/>
      <c r="AJ290" s="307"/>
      <c r="AK290" s="307"/>
      <c r="AL290" s="307"/>
      <c r="AM290" s="307"/>
      <c r="AN290" s="307"/>
      <c r="AO290" s="307"/>
      <c r="AP290" s="307"/>
      <c r="AQ290" s="307"/>
      <c r="AR290" s="307"/>
    </row>
    <row r="291" spans="1:44" s="457" customFormat="1" ht="12" customHeight="1">
      <c r="A291" s="307"/>
      <c r="B291" s="307"/>
      <c r="C291" s="307"/>
      <c r="D291" s="307"/>
      <c r="E291" s="307"/>
      <c r="F291" s="307"/>
      <c r="G291" s="307"/>
      <c r="H291" s="307"/>
      <c r="I291" s="307"/>
      <c r="J291" s="307"/>
      <c r="K291" s="307"/>
      <c r="L291" s="307"/>
      <c r="M291" s="307"/>
      <c r="N291" s="307"/>
      <c r="O291" s="307"/>
      <c r="P291" s="939"/>
      <c r="Q291" s="2745"/>
      <c r="R291" s="937"/>
      <c r="X291" s="307"/>
      <c r="Y291" s="307"/>
      <c r="Z291" s="1753"/>
      <c r="AA291" s="307"/>
      <c r="AB291" s="307"/>
      <c r="AC291" s="307"/>
      <c r="AD291" s="307"/>
      <c r="AE291" s="307"/>
      <c r="AF291" s="307"/>
      <c r="AG291" s="307"/>
      <c r="AH291" s="307"/>
      <c r="AI291" s="307"/>
      <c r="AJ291" s="307"/>
      <c r="AK291" s="307"/>
      <c r="AL291" s="307"/>
      <c r="AM291" s="307"/>
      <c r="AN291" s="307"/>
      <c r="AO291" s="307"/>
      <c r="AP291" s="307"/>
      <c r="AQ291" s="307"/>
      <c r="AR291" s="307"/>
    </row>
    <row r="292" spans="1:44" s="457" customFormat="1" ht="12" customHeight="1">
      <c r="A292" s="307"/>
      <c r="B292" s="307"/>
      <c r="C292" s="307"/>
      <c r="D292" s="307"/>
      <c r="E292" s="307"/>
      <c r="F292" s="307"/>
      <c r="G292" s="307"/>
      <c r="H292" s="307"/>
      <c r="I292" s="307"/>
      <c r="J292" s="307"/>
      <c r="K292" s="307"/>
      <c r="L292" s="307"/>
      <c r="M292" s="307"/>
      <c r="N292" s="307"/>
      <c r="O292" s="307"/>
      <c r="P292" s="939"/>
      <c r="Q292" s="2745"/>
      <c r="R292" s="937"/>
      <c r="X292" s="307"/>
      <c r="Y292" s="307"/>
      <c r="Z292" s="1753"/>
      <c r="AA292" s="307"/>
      <c r="AB292" s="307"/>
      <c r="AC292" s="307"/>
      <c r="AD292" s="307"/>
      <c r="AE292" s="307"/>
      <c r="AF292" s="307"/>
      <c r="AG292" s="307"/>
      <c r="AH292" s="307"/>
      <c r="AI292" s="307"/>
      <c r="AJ292" s="307"/>
      <c r="AK292" s="307"/>
      <c r="AL292" s="307"/>
      <c r="AM292" s="307"/>
      <c r="AN292" s="307"/>
      <c r="AO292" s="307"/>
      <c r="AP292" s="307"/>
      <c r="AQ292" s="307"/>
      <c r="AR292" s="307"/>
    </row>
    <row r="293" spans="1:44" s="457" customFormat="1" ht="12" customHeight="1">
      <c r="A293" s="307"/>
      <c r="B293" s="307"/>
      <c r="C293" s="307"/>
      <c r="D293" s="307"/>
      <c r="E293" s="307"/>
      <c r="F293" s="307"/>
      <c r="G293" s="307"/>
      <c r="H293" s="307"/>
      <c r="I293" s="307"/>
      <c r="J293" s="307"/>
      <c r="K293" s="307"/>
      <c r="L293" s="307"/>
      <c r="M293" s="307"/>
      <c r="N293" s="307"/>
      <c r="O293" s="307"/>
      <c r="P293" s="939"/>
      <c r="Q293" s="2745"/>
      <c r="R293" s="937"/>
      <c r="X293" s="307"/>
      <c r="Y293" s="307"/>
      <c r="Z293" s="1753"/>
      <c r="AA293" s="307"/>
      <c r="AB293" s="307"/>
      <c r="AC293" s="307"/>
      <c r="AD293" s="307"/>
      <c r="AE293" s="307"/>
      <c r="AF293" s="307"/>
      <c r="AG293" s="307"/>
      <c r="AH293" s="307"/>
      <c r="AI293" s="307"/>
      <c r="AJ293" s="307"/>
      <c r="AK293" s="307"/>
      <c r="AL293" s="307"/>
      <c r="AM293" s="307"/>
      <c r="AN293" s="307"/>
      <c r="AO293" s="307"/>
      <c r="AP293" s="307"/>
      <c r="AQ293" s="307"/>
      <c r="AR293" s="307"/>
    </row>
    <row r="294" spans="1:44" s="457" customFormat="1" ht="12" customHeight="1">
      <c r="A294" s="307"/>
      <c r="B294" s="307"/>
      <c r="C294" s="307"/>
      <c r="D294" s="307"/>
      <c r="E294" s="307"/>
      <c r="F294" s="307"/>
      <c r="G294" s="307"/>
      <c r="H294" s="307"/>
      <c r="I294" s="307"/>
      <c r="J294" s="307"/>
      <c r="K294" s="307"/>
      <c r="L294" s="307"/>
      <c r="M294" s="307"/>
      <c r="N294" s="307"/>
      <c r="O294" s="307"/>
      <c r="P294" s="939"/>
      <c r="Q294" s="2745"/>
      <c r="R294" s="937"/>
      <c r="X294" s="307"/>
      <c r="Y294" s="307"/>
      <c r="Z294" s="1753"/>
      <c r="AA294" s="307"/>
      <c r="AB294" s="307"/>
      <c r="AC294" s="307"/>
      <c r="AD294" s="307"/>
      <c r="AE294" s="307"/>
      <c r="AF294" s="307"/>
      <c r="AG294" s="307"/>
      <c r="AH294" s="307"/>
      <c r="AI294" s="307"/>
      <c r="AJ294" s="307"/>
      <c r="AK294" s="307"/>
      <c r="AL294" s="307"/>
      <c r="AM294" s="307"/>
      <c r="AN294" s="307"/>
      <c r="AO294" s="307"/>
      <c r="AP294" s="307"/>
      <c r="AQ294" s="307"/>
      <c r="AR294" s="307"/>
    </row>
    <row r="295" spans="1:44" s="457" customFormat="1" ht="12" customHeight="1">
      <c r="A295" s="307"/>
      <c r="B295" s="307"/>
      <c r="C295" s="307"/>
      <c r="D295" s="307"/>
      <c r="E295" s="307"/>
      <c r="F295" s="307"/>
      <c r="G295" s="307"/>
      <c r="H295" s="307"/>
      <c r="I295" s="307"/>
      <c r="J295" s="307"/>
      <c r="K295" s="307"/>
      <c r="L295" s="307"/>
      <c r="M295" s="307"/>
      <c r="N295" s="307"/>
      <c r="O295" s="307"/>
      <c r="P295" s="939"/>
      <c r="Q295" s="2745"/>
      <c r="R295" s="937"/>
      <c r="X295" s="307"/>
      <c r="Y295" s="307"/>
      <c r="Z295" s="1753"/>
      <c r="AA295" s="307"/>
      <c r="AB295" s="307"/>
      <c r="AC295" s="307"/>
      <c r="AD295" s="307"/>
      <c r="AE295" s="307"/>
      <c r="AF295" s="307"/>
      <c r="AG295" s="307"/>
      <c r="AH295" s="307"/>
      <c r="AI295" s="307"/>
      <c r="AJ295" s="307"/>
      <c r="AK295" s="307"/>
      <c r="AL295" s="307"/>
      <c r="AM295" s="307"/>
      <c r="AN295" s="307"/>
      <c r="AO295" s="307"/>
      <c r="AP295" s="307"/>
      <c r="AQ295" s="307"/>
      <c r="AR295" s="307"/>
    </row>
    <row r="296" spans="1:44" s="457" customFormat="1" ht="12" customHeight="1">
      <c r="A296" s="307"/>
      <c r="B296" s="307"/>
      <c r="C296" s="307"/>
      <c r="D296" s="307"/>
      <c r="E296" s="307"/>
      <c r="F296" s="307"/>
      <c r="G296" s="307"/>
      <c r="H296" s="307"/>
      <c r="I296" s="307"/>
      <c r="J296" s="307"/>
      <c r="K296" s="307"/>
      <c r="L296" s="307"/>
      <c r="M296" s="307"/>
      <c r="N296" s="307"/>
      <c r="O296" s="307"/>
      <c r="P296" s="939"/>
      <c r="Q296" s="2745"/>
      <c r="R296" s="937"/>
      <c r="X296" s="307"/>
      <c r="Y296" s="307"/>
      <c r="Z296" s="1753"/>
      <c r="AA296" s="307"/>
      <c r="AB296" s="307"/>
      <c r="AC296" s="307"/>
      <c r="AD296" s="307"/>
      <c r="AE296" s="307"/>
      <c r="AF296" s="307"/>
      <c r="AG296" s="307"/>
      <c r="AH296" s="307"/>
      <c r="AI296" s="307"/>
      <c r="AJ296" s="307"/>
      <c r="AK296" s="307"/>
      <c r="AL296" s="307"/>
      <c r="AM296" s="307"/>
      <c r="AN296" s="307"/>
      <c r="AO296" s="307"/>
      <c r="AP296" s="307"/>
      <c r="AQ296" s="307"/>
      <c r="AR296" s="307"/>
    </row>
    <row r="297" spans="1:44" s="457" customFormat="1" ht="12" customHeight="1">
      <c r="A297" s="307"/>
      <c r="B297" s="307"/>
      <c r="C297" s="307"/>
      <c r="D297" s="307"/>
      <c r="E297" s="307"/>
      <c r="F297" s="307"/>
      <c r="G297" s="307"/>
      <c r="H297" s="307"/>
      <c r="I297" s="307"/>
      <c r="J297" s="307"/>
      <c r="K297" s="307"/>
      <c r="L297" s="307"/>
      <c r="M297" s="307"/>
      <c r="N297" s="307"/>
      <c r="O297" s="307"/>
      <c r="P297" s="939"/>
      <c r="Q297" s="2745"/>
      <c r="R297" s="937"/>
      <c r="X297" s="307"/>
      <c r="Y297" s="307"/>
      <c r="Z297" s="1753"/>
      <c r="AA297" s="307"/>
      <c r="AB297" s="307"/>
      <c r="AC297" s="307"/>
      <c r="AD297" s="307"/>
      <c r="AE297" s="307"/>
      <c r="AF297" s="307"/>
      <c r="AG297" s="307"/>
      <c r="AH297" s="307"/>
      <c r="AI297" s="307"/>
      <c r="AJ297" s="307"/>
      <c r="AK297" s="307"/>
      <c r="AL297" s="307"/>
      <c r="AM297" s="307"/>
      <c r="AN297" s="307"/>
      <c r="AO297" s="307"/>
      <c r="AP297" s="307"/>
      <c r="AQ297" s="307"/>
      <c r="AR297" s="307"/>
    </row>
    <row r="298" spans="1:44" s="457" customFormat="1" ht="12" customHeight="1">
      <c r="A298" s="307"/>
      <c r="B298" s="307"/>
      <c r="C298" s="307"/>
      <c r="D298" s="307"/>
      <c r="E298" s="307"/>
      <c r="F298" s="307"/>
      <c r="G298" s="307"/>
      <c r="H298" s="307"/>
      <c r="I298" s="307"/>
      <c r="J298" s="307"/>
      <c r="K298" s="307"/>
      <c r="L298" s="307"/>
      <c r="M298" s="307"/>
      <c r="N298" s="307"/>
      <c r="O298" s="307"/>
      <c r="P298" s="939"/>
      <c r="Q298" s="2745"/>
      <c r="R298" s="937"/>
      <c r="X298" s="307"/>
      <c r="Y298" s="307"/>
      <c r="Z298" s="1753"/>
      <c r="AA298" s="307"/>
      <c r="AB298" s="307"/>
      <c r="AC298" s="307"/>
      <c r="AD298" s="307"/>
      <c r="AE298" s="307"/>
      <c r="AF298" s="307"/>
      <c r="AG298" s="307"/>
      <c r="AH298" s="307"/>
      <c r="AI298" s="307"/>
      <c r="AJ298" s="307"/>
      <c r="AK298" s="307"/>
      <c r="AL298" s="307"/>
      <c r="AM298" s="307"/>
      <c r="AN298" s="307"/>
      <c r="AO298" s="307"/>
      <c r="AP298" s="307"/>
      <c r="AQ298" s="307"/>
      <c r="AR298" s="307"/>
    </row>
    <row r="299" spans="1:44" s="457" customFormat="1" ht="12" customHeight="1">
      <c r="A299" s="307"/>
      <c r="B299" s="307"/>
      <c r="C299" s="307"/>
      <c r="D299" s="307"/>
      <c r="E299" s="307"/>
      <c r="F299" s="307"/>
      <c r="G299" s="307"/>
      <c r="H299" s="307"/>
      <c r="I299" s="307"/>
      <c r="J299" s="307"/>
      <c r="K299" s="307"/>
      <c r="L299" s="307"/>
      <c r="M299" s="307"/>
      <c r="N299" s="307"/>
      <c r="O299" s="307"/>
      <c r="P299" s="939"/>
      <c r="Q299" s="2745"/>
      <c r="R299" s="937"/>
      <c r="X299" s="307"/>
      <c r="Y299" s="307"/>
      <c r="Z299" s="1753"/>
      <c r="AA299" s="307"/>
      <c r="AB299" s="307"/>
      <c r="AC299" s="307"/>
      <c r="AD299" s="307"/>
      <c r="AE299" s="307"/>
      <c r="AF299" s="307"/>
      <c r="AG299" s="307"/>
      <c r="AH299" s="307"/>
      <c r="AI299" s="307"/>
      <c r="AJ299" s="307"/>
      <c r="AK299" s="307"/>
      <c r="AL299" s="307"/>
      <c r="AM299" s="307"/>
      <c r="AN299" s="307"/>
      <c r="AO299" s="307"/>
      <c r="AP299" s="307"/>
      <c r="AQ299" s="307"/>
      <c r="AR299" s="307"/>
    </row>
    <row r="300" spans="1:44" s="457" customFormat="1" ht="12" customHeight="1">
      <c r="A300" s="307"/>
      <c r="B300" s="307"/>
      <c r="C300" s="307"/>
      <c r="D300" s="307"/>
      <c r="E300" s="307"/>
      <c r="F300" s="307"/>
      <c r="G300" s="307"/>
      <c r="H300" s="307"/>
      <c r="I300" s="307"/>
      <c r="J300" s="307"/>
      <c r="K300" s="307"/>
      <c r="L300" s="307"/>
      <c r="M300" s="307"/>
      <c r="N300" s="307"/>
      <c r="O300" s="307"/>
      <c r="P300" s="939"/>
      <c r="Q300" s="2745"/>
      <c r="R300" s="937"/>
      <c r="X300" s="307"/>
      <c r="Y300" s="307"/>
      <c r="Z300" s="1753"/>
      <c r="AA300" s="307"/>
      <c r="AB300" s="307"/>
      <c r="AC300" s="307"/>
      <c r="AD300" s="307"/>
      <c r="AE300" s="307"/>
      <c r="AF300" s="307"/>
      <c r="AG300" s="307"/>
      <c r="AH300" s="307"/>
      <c r="AI300" s="307"/>
      <c r="AJ300" s="307"/>
      <c r="AK300" s="307"/>
      <c r="AL300" s="307"/>
      <c r="AM300" s="307"/>
      <c r="AN300" s="307"/>
      <c r="AO300" s="307"/>
      <c r="AP300" s="307"/>
      <c r="AQ300" s="307"/>
      <c r="AR300" s="307"/>
    </row>
    <row r="301" spans="1:44" s="457" customFormat="1" ht="12" customHeight="1">
      <c r="A301" s="307"/>
      <c r="B301" s="307"/>
      <c r="C301" s="307"/>
      <c r="D301" s="307"/>
      <c r="E301" s="307"/>
      <c r="F301" s="307"/>
      <c r="G301" s="307"/>
      <c r="H301" s="307"/>
      <c r="I301" s="307"/>
      <c r="J301" s="307"/>
      <c r="K301" s="307"/>
      <c r="L301" s="307"/>
      <c r="M301" s="307"/>
      <c r="N301" s="307"/>
      <c r="O301" s="307"/>
      <c r="P301" s="939"/>
      <c r="Q301" s="2745"/>
      <c r="R301" s="937"/>
      <c r="X301" s="307"/>
      <c r="Y301" s="307"/>
      <c r="Z301" s="1753"/>
      <c r="AA301" s="307"/>
      <c r="AB301" s="307"/>
      <c r="AC301" s="307"/>
      <c r="AD301" s="307"/>
      <c r="AE301" s="307"/>
      <c r="AF301" s="307"/>
      <c r="AG301" s="307"/>
      <c r="AH301" s="307"/>
      <c r="AI301" s="307"/>
      <c r="AJ301" s="307"/>
      <c r="AK301" s="307"/>
      <c r="AL301" s="307"/>
      <c r="AM301" s="307"/>
      <c r="AN301" s="307"/>
      <c r="AO301" s="307"/>
      <c r="AP301" s="307"/>
      <c r="AQ301" s="307"/>
      <c r="AR301" s="307"/>
    </row>
    <row r="302" spans="1:44" s="457" customFormat="1" ht="12" customHeight="1">
      <c r="A302" s="307"/>
      <c r="B302" s="307"/>
      <c r="C302" s="307"/>
      <c r="D302" s="307"/>
      <c r="E302" s="307"/>
      <c r="F302" s="307"/>
      <c r="G302" s="307"/>
      <c r="H302" s="307"/>
      <c r="I302" s="307"/>
      <c r="J302" s="307"/>
      <c r="K302" s="307"/>
      <c r="L302" s="307"/>
      <c r="M302" s="307"/>
      <c r="N302" s="307"/>
      <c r="O302" s="307"/>
      <c r="P302" s="939"/>
      <c r="Q302" s="2745"/>
      <c r="R302" s="937"/>
      <c r="X302" s="307"/>
      <c r="Y302" s="307"/>
      <c r="Z302" s="1753"/>
      <c r="AA302" s="307"/>
      <c r="AB302" s="307"/>
      <c r="AC302" s="307"/>
      <c r="AD302" s="307"/>
      <c r="AE302" s="307"/>
      <c r="AF302" s="307"/>
      <c r="AG302" s="307"/>
      <c r="AH302" s="307"/>
      <c r="AI302" s="307"/>
      <c r="AJ302" s="307"/>
      <c r="AK302" s="307"/>
      <c r="AL302" s="307"/>
      <c r="AM302" s="307"/>
      <c r="AN302" s="307"/>
      <c r="AO302" s="307"/>
      <c r="AP302" s="307"/>
      <c r="AQ302" s="307"/>
      <c r="AR302" s="307"/>
    </row>
    <row r="303" spans="1:44" s="457" customFormat="1" ht="12" customHeight="1">
      <c r="A303" s="307"/>
      <c r="B303" s="307"/>
      <c r="C303" s="307"/>
      <c r="D303" s="307"/>
      <c r="E303" s="307"/>
      <c r="F303" s="307"/>
      <c r="G303" s="307"/>
      <c r="H303" s="307"/>
      <c r="I303" s="307"/>
      <c r="J303" s="307"/>
      <c r="K303" s="307"/>
      <c r="L303" s="307"/>
      <c r="M303" s="307"/>
      <c r="N303" s="307"/>
      <c r="O303" s="307"/>
      <c r="P303" s="940"/>
      <c r="Q303" s="2745"/>
      <c r="R303" s="937"/>
      <c r="X303" s="307"/>
      <c r="Y303" s="307"/>
      <c r="Z303" s="1753"/>
      <c r="AA303" s="307"/>
      <c r="AB303" s="307"/>
      <c r="AC303" s="307"/>
      <c r="AD303" s="307"/>
      <c r="AE303" s="307"/>
      <c r="AF303" s="307"/>
      <c r="AG303" s="307"/>
      <c r="AH303" s="307"/>
      <c r="AI303" s="307"/>
      <c r="AJ303" s="307"/>
      <c r="AK303" s="307"/>
      <c r="AL303" s="307"/>
      <c r="AM303" s="307"/>
      <c r="AN303" s="307"/>
      <c r="AO303" s="307"/>
      <c r="AP303" s="307"/>
      <c r="AQ303" s="307"/>
      <c r="AR303" s="307"/>
    </row>
    <row r="304" spans="1:44" s="457" customFormat="1" ht="12" customHeight="1">
      <c r="A304" s="307"/>
      <c r="B304" s="307"/>
      <c r="C304" s="307"/>
      <c r="D304" s="307"/>
      <c r="E304" s="307"/>
      <c r="F304" s="307"/>
      <c r="G304" s="307"/>
      <c r="H304" s="307"/>
      <c r="I304" s="307"/>
      <c r="J304" s="307"/>
      <c r="K304" s="307"/>
      <c r="L304" s="307"/>
      <c r="M304" s="307"/>
      <c r="N304" s="307"/>
      <c r="O304" s="307"/>
      <c r="P304" s="939"/>
      <c r="Q304" s="2745"/>
      <c r="R304" s="937"/>
      <c r="X304" s="307"/>
      <c r="Y304" s="307"/>
      <c r="Z304" s="1753"/>
      <c r="AA304" s="307"/>
      <c r="AB304" s="307"/>
      <c r="AC304" s="307"/>
      <c r="AD304" s="307"/>
      <c r="AE304" s="307"/>
      <c r="AF304" s="307"/>
      <c r="AG304" s="307"/>
      <c r="AH304" s="307"/>
      <c r="AI304" s="307"/>
      <c r="AJ304" s="307"/>
      <c r="AK304" s="307"/>
      <c r="AL304" s="307"/>
      <c r="AM304" s="307"/>
      <c r="AN304" s="307"/>
      <c r="AO304" s="307"/>
      <c r="AP304" s="307"/>
      <c r="AQ304" s="307"/>
      <c r="AR304" s="307"/>
    </row>
    <row r="305" spans="1:44" s="457" customFormat="1" ht="12" customHeight="1">
      <c r="A305" s="307"/>
      <c r="B305" s="307"/>
      <c r="C305" s="307"/>
      <c r="D305" s="307"/>
      <c r="E305" s="307"/>
      <c r="F305" s="307"/>
      <c r="G305" s="307"/>
      <c r="H305" s="307"/>
      <c r="I305" s="307"/>
      <c r="J305" s="307"/>
      <c r="K305" s="307"/>
      <c r="L305" s="307"/>
      <c r="M305" s="307"/>
      <c r="N305" s="307"/>
      <c r="O305" s="307"/>
      <c r="P305" s="939"/>
      <c r="Q305" s="2745"/>
      <c r="R305" s="937"/>
      <c r="X305" s="307"/>
      <c r="Y305" s="307"/>
      <c r="Z305" s="1753"/>
      <c r="AA305" s="307"/>
      <c r="AB305" s="307"/>
      <c r="AC305" s="307"/>
      <c r="AD305" s="307"/>
      <c r="AE305" s="307"/>
      <c r="AF305" s="307"/>
      <c r="AG305" s="307"/>
      <c r="AH305" s="307"/>
      <c r="AI305" s="307"/>
      <c r="AJ305" s="307"/>
      <c r="AK305" s="307"/>
      <c r="AL305" s="307"/>
      <c r="AM305" s="307"/>
      <c r="AN305" s="307"/>
      <c r="AO305" s="307"/>
      <c r="AP305" s="307"/>
      <c r="AQ305" s="307"/>
      <c r="AR305" s="307"/>
    </row>
    <row r="306" spans="1:44" s="457" customFormat="1" ht="12" customHeight="1">
      <c r="A306" s="307"/>
      <c r="B306" s="307"/>
      <c r="C306" s="307"/>
      <c r="D306" s="307"/>
      <c r="E306" s="307"/>
      <c r="F306" s="307"/>
      <c r="G306" s="307"/>
      <c r="H306" s="307"/>
      <c r="I306" s="307"/>
      <c r="J306" s="307"/>
      <c r="K306" s="307"/>
      <c r="L306" s="307"/>
      <c r="M306" s="307"/>
      <c r="N306" s="307"/>
      <c r="O306" s="307"/>
      <c r="P306" s="939"/>
      <c r="Q306" s="2745"/>
      <c r="R306" s="937"/>
      <c r="X306" s="307"/>
      <c r="Y306" s="307"/>
      <c r="Z306" s="1753"/>
      <c r="AA306" s="307"/>
      <c r="AB306" s="307"/>
      <c r="AC306" s="307"/>
      <c r="AD306" s="307"/>
      <c r="AE306" s="307"/>
      <c r="AF306" s="307"/>
      <c r="AG306" s="307"/>
      <c r="AH306" s="307"/>
      <c r="AI306" s="307"/>
      <c r="AJ306" s="307"/>
      <c r="AK306" s="307"/>
      <c r="AL306" s="307"/>
      <c r="AM306" s="307"/>
      <c r="AN306" s="307"/>
      <c r="AO306" s="307"/>
      <c r="AP306" s="307"/>
      <c r="AQ306" s="307"/>
      <c r="AR306" s="307"/>
    </row>
    <row r="307" spans="1:44" s="457" customFormat="1" ht="12" customHeight="1">
      <c r="A307" s="307"/>
      <c r="B307" s="307"/>
      <c r="C307" s="307"/>
      <c r="D307" s="307"/>
      <c r="E307" s="307"/>
      <c r="F307" s="307"/>
      <c r="G307" s="307"/>
      <c r="H307" s="307"/>
      <c r="I307" s="307"/>
      <c r="J307" s="307"/>
      <c r="K307" s="307"/>
      <c r="L307" s="307"/>
      <c r="M307" s="307"/>
      <c r="N307" s="307"/>
      <c r="O307" s="307"/>
      <c r="P307" s="939"/>
      <c r="Q307" s="2745"/>
      <c r="R307" s="937"/>
      <c r="X307" s="307"/>
      <c r="Y307" s="307"/>
      <c r="Z307" s="1753"/>
      <c r="AA307" s="307"/>
      <c r="AB307" s="307"/>
      <c r="AC307" s="307"/>
      <c r="AD307" s="307"/>
      <c r="AE307" s="307"/>
      <c r="AF307" s="307"/>
      <c r="AG307" s="307"/>
      <c r="AH307" s="307"/>
      <c r="AI307" s="307"/>
      <c r="AJ307" s="307"/>
      <c r="AK307" s="307"/>
      <c r="AL307" s="307"/>
      <c r="AM307" s="307"/>
      <c r="AN307" s="307"/>
      <c r="AO307" s="307"/>
      <c r="AP307" s="307"/>
      <c r="AQ307" s="307"/>
      <c r="AR307" s="307"/>
    </row>
    <row r="308" spans="1:44" s="457" customFormat="1" ht="12" customHeight="1">
      <c r="A308" s="307"/>
      <c r="B308" s="307"/>
      <c r="C308" s="307"/>
      <c r="D308" s="307"/>
      <c r="E308" s="307"/>
      <c r="F308" s="307"/>
      <c r="G308" s="307"/>
      <c r="H308" s="307"/>
      <c r="I308" s="307"/>
      <c r="J308" s="307"/>
      <c r="K308" s="307"/>
      <c r="L308" s="307"/>
      <c r="M308" s="307"/>
      <c r="N308" s="307"/>
      <c r="O308" s="307"/>
      <c r="P308" s="939"/>
      <c r="Q308" s="2745"/>
      <c r="R308" s="937"/>
      <c r="X308" s="307"/>
      <c r="Y308" s="307"/>
      <c r="Z308" s="1753"/>
      <c r="AA308" s="307"/>
      <c r="AB308" s="307"/>
      <c r="AC308" s="307"/>
      <c r="AD308" s="307"/>
      <c r="AE308" s="307"/>
      <c r="AF308" s="307"/>
      <c r="AG308" s="307"/>
      <c r="AH308" s="307"/>
      <c r="AI308" s="307"/>
      <c r="AJ308" s="307"/>
      <c r="AK308" s="307"/>
      <c r="AL308" s="307"/>
      <c r="AM308" s="307"/>
      <c r="AN308" s="307"/>
      <c r="AO308" s="307"/>
      <c r="AP308" s="307"/>
      <c r="AQ308" s="307"/>
      <c r="AR308" s="307"/>
    </row>
    <row r="309" spans="1:44" s="457" customFormat="1" ht="12" customHeight="1">
      <c r="A309" s="307"/>
      <c r="B309" s="307"/>
      <c r="C309" s="307"/>
      <c r="D309" s="307"/>
      <c r="E309" s="307"/>
      <c r="F309" s="307"/>
      <c r="G309" s="307"/>
      <c r="H309" s="307"/>
      <c r="I309" s="307"/>
      <c r="J309" s="307"/>
      <c r="K309" s="307"/>
      <c r="L309" s="307"/>
      <c r="M309" s="307"/>
      <c r="N309" s="307"/>
      <c r="O309" s="307"/>
      <c r="P309" s="939"/>
      <c r="Q309" s="2745"/>
      <c r="R309" s="937"/>
      <c r="X309" s="307"/>
      <c r="Y309" s="307"/>
      <c r="Z309" s="1753"/>
      <c r="AA309" s="307"/>
      <c r="AB309" s="307"/>
      <c r="AC309" s="307"/>
      <c r="AD309" s="307"/>
      <c r="AE309" s="307"/>
      <c r="AF309" s="307"/>
      <c r="AG309" s="307"/>
      <c r="AH309" s="307"/>
      <c r="AI309" s="307"/>
      <c r="AJ309" s="307"/>
      <c r="AK309" s="307"/>
      <c r="AL309" s="307"/>
      <c r="AM309" s="307"/>
      <c r="AN309" s="307"/>
      <c r="AO309" s="307"/>
      <c r="AP309" s="307"/>
      <c r="AQ309" s="307"/>
      <c r="AR309" s="307"/>
    </row>
    <row r="310" spans="1:44" s="457" customFormat="1" ht="12" customHeight="1">
      <c r="A310" s="307"/>
      <c r="B310" s="307"/>
      <c r="C310" s="307"/>
      <c r="D310" s="307"/>
      <c r="E310" s="307"/>
      <c r="F310" s="307"/>
      <c r="G310" s="307"/>
      <c r="H310" s="307"/>
      <c r="I310" s="307"/>
      <c r="J310" s="307"/>
      <c r="K310" s="307"/>
      <c r="L310" s="307"/>
      <c r="M310" s="307"/>
      <c r="N310" s="307"/>
      <c r="O310" s="307"/>
      <c r="P310" s="939"/>
      <c r="Q310" s="2745"/>
      <c r="R310" s="937"/>
      <c r="X310" s="307"/>
      <c r="Y310" s="307"/>
      <c r="Z310" s="1753"/>
      <c r="AA310" s="307"/>
      <c r="AB310" s="307"/>
      <c r="AC310" s="307"/>
      <c r="AD310" s="307"/>
      <c r="AE310" s="307"/>
      <c r="AF310" s="307"/>
      <c r="AG310" s="307"/>
      <c r="AH310" s="307"/>
      <c r="AI310" s="307"/>
      <c r="AJ310" s="307"/>
      <c r="AK310" s="307"/>
      <c r="AL310" s="307"/>
      <c r="AM310" s="307"/>
      <c r="AN310" s="307"/>
      <c r="AO310" s="307"/>
      <c r="AP310" s="307"/>
      <c r="AQ310" s="307"/>
      <c r="AR310" s="307"/>
    </row>
    <row r="311" spans="1:44" s="457" customFormat="1" ht="12" customHeight="1">
      <c r="A311" s="307"/>
      <c r="B311" s="307"/>
      <c r="C311" s="307"/>
      <c r="D311" s="307"/>
      <c r="E311" s="307"/>
      <c r="F311" s="307"/>
      <c r="G311" s="307"/>
      <c r="H311" s="307"/>
      <c r="I311" s="307"/>
      <c r="J311" s="307"/>
      <c r="K311" s="307"/>
      <c r="L311" s="307"/>
      <c r="M311" s="307"/>
      <c r="N311" s="307"/>
      <c r="O311" s="307"/>
      <c r="P311" s="939"/>
      <c r="Q311" s="2745"/>
      <c r="R311" s="937"/>
      <c r="X311" s="307"/>
      <c r="Y311" s="307"/>
      <c r="Z311" s="1753"/>
      <c r="AA311" s="307"/>
      <c r="AB311" s="307"/>
      <c r="AC311" s="307"/>
      <c r="AD311" s="307"/>
      <c r="AE311" s="307"/>
      <c r="AF311" s="307"/>
      <c r="AG311" s="307"/>
      <c r="AH311" s="307"/>
      <c r="AI311" s="307"/>
      <c r="AJ311" s="307"/>
      <c r="AK311" s="307"/>
      <c r="AL311" s="307"/>
      <c r="AM311" s="307"/>
      <c r="AN311" s="307"/>
      <c r="AO311" s="307"/>
      <c r="AP311" s="307"/>
      <c r="AQ311" s="307"/>
      <c r="AR311" s="307"/>
    </row>
    <row r="312" spans="1:44" s="457" customFormat="1" ht="12" customHeight="1">
      <c r="A312" s="307"/>
      <c r="B312" s="307"/>
      <c r="C312" s="307"/>
      <c r="D312" s="307"/>
      <c r="E312" s="307"/>
      <c r="F312" s="307"/>
      <c r="G312" s="307"/>
      <c r="H312" s="307"/>
      <c r="I312" s="307"/>
      <c r="J312" s="307"/>
      <c r="K312" s="307"/>
      <c r="L312" s="307"/>
      <c r="M312" s="307"/>
      <c r="N312" s="307"/>
      <c r="O312" s="307"/>
      <c r="P312" s="939"/>
      <c r="Q312" s="2745"/>
      <c r="R312" s="937"/>
      <c r="X312" s="307"/>
      <c r="Y312" s="307"/>
      <c r="Z312" s="1753"/>
      <c r="AA312" s="307"/>
      <c r="AB312" s="307"/>
      <c r="AC312" s="307"/>
      <c r="AD312" s="307"/>
      <c r="AE312" s="307"/>
      <c r="AF312" s="307"/>
      <c r="AG312" s="307"/>
      <c r="AH312" s="307"/>
      <c r="AI312" s="307"/>
      <c r="AJ312" s="307"/>
      <c r="AK312" s="307"/>
      <c r="AL312" s="307"/>
      <c r="AM312" s="307"/>
      <c r="AN312" s="307"/>
      <c r="AO312" s="307"/>
      <c r="AP312" s="307"/>
      <c r="AQ312" s="307"/>
      <c r="AR312" s="307"/>
    </row>
    <row r="313" spans="1:44" s="457" customFormat="1" ht="12" customHeight="1">
      <c r="A313" s="307"/>
      <c r="B313" s="307"/>
      <c r="C313" s="307"/>
      <c r="D313" s="307"/>
      <c r="E313" s="307"/>
      <c r="F313" s="307"/>
      <c r="G313" s="307"/>
      <c r="H313" s="307"/>
      <c r="I313" s="307"/>
      <c r="J313" s="307"/>
      <c r="K313" s="307"/>
      <c r="L313" s="307"/>
      <c r="M313" s="307"/>
      <c r="N313" s="307"/>
      <c r="O313" s="307"/>
      <c r="P313" s="939"/>
      <c r="Q313" s="2745"/>
      <c r="R313" s="937"/>
      <c r="X313" s="307"/>
      <c r="Y313" s="307"/>
      <c r="Z313" s="1753"/>
      <c r="AA313" s="307"/>
      <c r="AB313" s="307"/>
      <c r="AC313" s="307"/>
      <c r="AD313" s="307"/>
      <c r="AE313" s="307"/>
      <c r="AF313" s="307"/>
      <c r="AG313" s="307"/>
      <c r="AH313" s="307"/>
      <c r="AI313" s="307"/>
      <c r="AJ313" s="307"/>
      <c r="AK313" s="307"/>
      <c r="AL313" s="307"/>
      <c r="AM313" s="307"/>
      <c r="AN313" s="307"/>
      <c r="AO313" s="307"/>
      <c r="AP313" s="307"/>
      <c r="AQ313" s="307"/>
      <c r="AR313" s="307"/>
    </row>
    <row r="314" spans="1:44" s="457" customFormat="1" ht="12" customHeight="1">
      <c r="A314" s="307"/>
      <c r="B314" s="307"/>
      <c r="C314" s="307"/>
      <c r="D314" s="307"/>
      <c r="E314" s="307"/>
      <c r="F314" s="307"/>
      <c r="G314" s="307"/>
      <c r="H314" s="307"/>
      <c r="I314" s="307"/>
      <c r="J314" s="307"/>
      <c r="K314" s="307"/>
      <c r="L314" s="307"/>
      <c r="M314" s="307"/>
      <c r="N314" s="307"/>
      <c r="O314" s="307"/>
      <c r="P314" s="939"/>
      <c r="Q314" s="2745"/>
      <c r="R314" s="937"/>
      <c r="X314" s="307"/>
      <c r="Y314" s="307"/>
      <c r="Z314" s="1753"/>
      <c r="AA314" s="307"/>
      <c r="AB314" s="307"/>
      <c r="AC314" s="307"/>
      <c r="AD314" s="307"/>
      <c r="AE314" s="307"/>
      <c r="AF314" s="307"/>
      <c r="AG314" s="307"/>
      <c r="AH314" s="307"/>
      <c r="AI314" s="307"/>
      <c r="AJ314" s="307"/>
      <c r="AK314" s="307"/>
      <c r="AL314" s="307"/>
      <c r="AM314" s="307"/>
      <c r="AN314" s="307"/>
      <c r="AO314" s="307"/>
      <c r="AP314" s="307"/>
      <c r="AQ314" s="307"/>
      <c r="AR314" s="307"/>
    </row>
    <row r="315" spans="1:44" s="457" customFormat="1" ht="12" customHeight="1">
      <c r="A315" s="307"/>
      <c r="B315" s="307"/>
      <c r="C315" s="307"/>
      <c r="D315" s="307"/>
      <c r="E315" s="307"/>
      <c r="F315" s="307"/>
      <c r="G315" s="307"/>
      <c r="H315" s="307"/>
      <c r="I315" s="307"/>
      <c r="J315" s="307"/>
      <c r="K315" s="307"/>
      <c r="L315" s="307"/>
      <c r="M315" s="307"/>
      <c r="N315" s="307"/>
      <c r="O315" s="307"/>
      <c r="P315" s="939"/>
      <c r="Q315" s="2745"/>
      <c r="R315" s="937"/>
      <c r="X315" s="307"/>
      <c r="Y315" s="307"/>
      <c r="Z315" s="1753"/>
      <c r="AA315" s="307"/>
      <c r="AB315" s="307"/>
      <c r="AC315" s="307"/>
      <c r="AD315" s="307"/>
      <c r="AE315" s="307"/>
      <c r="AF315" s="307"/>
      <c r="AG315" s="307"/>
      <c r="AH315" s="307"/>
      <c r="AI315" s="307"/>
      <c r="AJ315" s="307"/>
      <c r="AK315" s="307"/>
      <c r="AL315" s="307"/>
      <c r="AM315" s="307"/>
      <c r="AN315" s="307"/>
      <c r="AO315" s="307"/>
      <c r="AP315" s="307"/>
      <c r="AQ315" s="307"/>
      <c r="AR315" s="307"/>
    </row>
    <row r="316" spans="1:44" s="457" customFormat="1" ht="12" customHeight="1">
      <c r="A316" s="307"/>
      <c r="B316" s="307"/>
      <c r="C316" s="307"/>
      <c r="D316" s="307"/>
      <c r="E316" s="307"/>
      <c r="F316" s="307"/>
      <c r="G316" s="307"/>
      <c r="H316" s="307"/>
      <c r="I316" s="307"/>
      <c r="J316" s="307"/>
      <c r="K316" s="307"/>
      <c r="L316" s="307"/>
      <c r="M316" s="307"/>
      <c r="N316" s="307"/>
      <c r="O316" s="307"/>
      <c r="P316" s="939"/>
      <c r="Q316" s="2745"/>
      <c r="R316" s="937"/>
      <c r="X316" s="307"/>
      <c r="Y316" s="307"/>
      <c r="Z316" s="1753"/>
      <c r="AA316" s="307"/>
      <c r="AB316" s="307"/>
      <c r="AC316" s="307"/>
      <c r="AD316" s="307"/>
      <c r="AE316" s="307"/>
      <c r="AF316" s="307"/>
      <c r="AG316" s="307"/>
      <c r="AH316" s="307"/>
      <c r="AI316" s="307"/>
      <c r="AJ316" s="307"/>
      <c r="AK316" s="307"/>
      <c r="AL316" s="307"/>
      <c r="AM316" s="307"/>
      <c r="AN316" s="307"/>
      <c r="AO316" s="307"/>
      <c r="AP316" s="307"/>
      <c r="AQ316" s="307"/>
      <c r="AR316" s="307"/>
    </row>
    <row r="317" spans="1:44" s="457" customFormat="1" ht="12" customHeight="1">
      <c r="A317" s="307"/>
      <c r="B317" s="307"/>
      <c r="C317" s="307"/>
      <c r="D317" s="307"/>
      <c r="E317" s="307"/>
      <c r="F317" s="307"/>
      <c r="G317" s="307"/>
      <c r="H317" s="307"/>
      <c r="I317" s="307"/>
      <c r="J317" s="307"/>
      <c r="K317" s="307"/>
      <c r="L317" s="307"/>
      <c r="M317" s="307"/>
      <c r="N317" s="307"/>
      <c r="O317" s="307"/>
      <c r="P317" s="939"/>
      <c r="Q317" s="2745"/>
      <c r="R317" s="937"/>
      <c r="X317" s="307"/>
      <c r="Y317" s="307"/>
      <c r="Z317" s="1753"/>
      <c r="AA317" s="307"/>
      <c r="AB317" s="307"/>
      <c r="AC317" s="307"/>
      <c r="AD317" s="307"/>
      <c r="AE317" s="307"/>
      <c r="AF317" s="307"/>
      <c r="AG317" s="307"/>
      <c r="AH317" s="307"/>
      <c r="AI317" s="307"/>
      <c r="AJ317" s="307"/>
      <c r="AK317" s="307"/>
      <c r="AL317" s="307"/>
      <c r="AM317" s="307"/>
      <c r="AN317" s="307"/>
      <c r="AO317" s="307"/>
      <c r="AP317" s="307"/>
      <c r="AQ317" s="307"/>
      <c r="AR317" s="307"/>
    </row>
    <row r="318" spans="1:44" s="457" customFormat="1" ht="12" customHeight="1">
      <c r="A318" s="307"/>
      <c r="B318" s="307"/>
      <c r="C318" s="307"/>
      <c r="D318" s="307"/>
      <c r="E318" s="307"/>
      <c r="F318" s="307"/>
      <c r="G318" s="307"/>
      <c r="H318" s="307"/>
      <c r="I318" s="307"/>
      <c r="J318" s="307"/>
      <c r="K318" s="307"/>
      <c r="L318" s="307"/>
      <c r="M318" s="307"/>
      <c r="N318" s="307"/>
      <c r="O318" s="307"/>
      <c r="P318" s="939"/>
      <c r="Q318" s="2745"/>
      <c r="R318" s="937"/>
      <c r="X318" s="307"/>
      <c r="Y318" s="307"/>
      <c r="Z318" s="1753"/>
      <c r="AA318" s="307"/>
      <c r="AB318" s="307"/>
      <c r="AC318" s="307"/>
      <c r="AD318" s="307"/>
      <c r="AE318" s="307"/>
      <c r="AF318" s="307"/>
      <c r="AG318" s="307"/>
      <c r="AH318" s="307"/>
      <c r="AI318" s="307"/>
      <c r="AJ318" s="307"/>
      <c r="AK318" s="307"/>
      <c r="AL318" s="307"/>
      <c r="AM318" s="307"/>
      <c r="AN318" s="307"/>
      <c r="AO318" s="307"/>
      <c r="AP318" s="307"/>
      <c r="AQ318" s="307"/>
      <c r="AR318" s="307"/>
    </row>
    <row r="319" spans="1:44" s="457" customFormat="1" ht="12" customHeight="1">
      <c r="A319" s="307"/>
      <c r="B319" s="307"/>
      <c r="C319" s="307"/>
      <c r="D319" s="307"/>
      <c r="E319" s="307"/>
      <c r="F319" s="307"/>
      <c r="G319" s="307"/>
      <c r="H319" s="307"/>
      <c r="I319" s="307"/>
      <c r="J319" s="307"/>
      <c r="K319" s="307"/>
      <c r="L319" s="307"/>
      <c r="M319" s="307"/>
      <c r="N319" s="307"/>
      <c r="O319" s="307"/>
      <c r="P319" s="939"/>
      <c r="Q319" s="2745"/>
      <c r="R319" s="937"/>
      <c r="X319" s="307"/>
      <c r="Y319" s="307"/>
      <c r="Z319" s="1753"/>
      <c r="AA319" s="307"/>
      <c r="AB319" s="307"/>
      <c r="AC319" s="307"/>
      <c r="AD319" s="307"/>
      <c r="AE319" s="307"/>
      <c r="AF319" s="307"/>
      <c r="AG319" s="307"/>
      <c r="AH319" s="307"/>
      <c r="AI319" s="307"/>
      <c r="AJ319" s="307"/>
      <c r="AK319" s="307"/>
      <c r="AL319" s="307"/>
      <c r="AM319" s="307"/>
      <c r="AN319" s="307"/>
      <c r="AO319" s="307"/>
      <c r="AP319" s="307"/>
      <c r="AQ319" s="307"/>
      <c r="AR319" s="307"/>
    </row>
    <row r="320" spans="1:44" s="457" customFormat="1" ht="12" customHeight="1">
      <c r="A320" s="307"/>
      <c r="B320" s="307"/>
      <c r="C320" s="307"/>
      <c r="D320" s="307"/>
      <c r="E320" s="307"/>
      <c r="F320" s="307"/>
      <c r="G320" s="307"/>
      <c r="H320" s="307"/>
      <c r="I320" s="307"/>
      <c r="J320" s="307"/>
      <c r="K320" s="307"/>
      <c r="L320" s="307"/>
      <c r="M320" s="307"/>
      <c r="N320" s="307"/>
      <c r="O320" s="307"/>
      <c r="P320" s="939"/>
      <c r="Q320" s="2745"/>
      <c r="R320" s="937"/>
      <c r="X320" s="307"/>
      <c r="Y320" s="307"/>
      <c r="Z320" s="1753"/>
      <c r="AA320" s="307"/>
      <c r="AB320" s="307"/>
      <c r="AC320" s="307"/>
      <c r="AD320" s="307"/>
      <c r="AE320" s="307"/>
      <c r="AF320" s="307"/>
      <c r="AG320" s="307"/>
      <c r="AH320" s="307"/>
      <c r="AI320" s="307"/>
      <c r="AJ320" s="307"/>
      <c r="AK320" s="307"/>
      <c r="AL320" s="307"/>
      <c r="AM320" s="307"/>
      <c r="AN320" s="307"/>
      <c r="AO320" s="307"/>
      <c r="AP320" s="307"/>
      <c r="AQ320" s="307"/>
      <c r="AR320" s="307"/>
    </row>
    <row r="321" spans="1:44" s="457" customFormat="1" ht="12" customHeight="1">
      <c r="A321" s="307"/>
      <c r="B321" s="307"/>
      <c r="C321" s="307"/>
      <c r="D321" s="307"/>
      <c r="E321" s="307"/>
      <c r="F321" s="307"/>
      <c r="G321" s="307"/>
      <c r="H321" s="307"/>
      <c r="I321" s="307"/>
      <c r="J321" s="307"/>
      <c r="K321" s="307"/>
      <c r="L321" s="307"/>
      <c r="M321" s="307"/>
      <c r="N321" s="307"/>
      <c r="O321" s="307"/>
      <c r="P321" s="939"/>
      <c r="Q321" s="2745"/>
      <c r="R321" s="937"/>
      <c r="X321" s="307"/>
      <c r="Y321" s="307"/>
      <c r="Z321" s="1753"/>
      <c r="AA321" s="307"/>
      <c r="AB321" s="307"/>
      <c r="AC321" s="307"/>
      <c r="AD321" s="307"/>
      <c r="AE321" s="307"/>
      <c r="AF321" s="307"/>
      <c r="AG321" s="307"/>
      <c r="AH321" s="307"/>
      <c r="AI321" s="307"/>
      <c r="AJ321" s="307"/>
      <c r="AK321" s="307"/>
      <c r="AL321" s="307"/>
      <c r="AM321" s="307"/>
      <c r="AN321" s="307"/>
      <c r="AO321" s="307"/>
      <c r="AP321" s="307"/>
      <c r="AQ321" s="307"/>
      <c r="AR321" s="307"/>
    </row>
    <row r="322" spans="1:44" s="457" customFormat="1" ht="12" customHeight="1">
      <c r="A322" s="307"/>
      <c r="B322" s="307"/>
      <c r="C322" s="307"/>
      <c r="D322" s="307"/>
      <c r="E322" s="307"/>
      <c r="F322" s="307"/>
      <c r="G322" s="307"/>
      <c r="H322" s="307"/>
      <c r="I322" s="307"/>
      <c r="J322" s="307"/>
      <c r="K322" s="307"/>
      <c r="L322" s="307"/>
      <c r="M322" s="307"/>
      <c r="N322" s="307"/>
      <c r="O322" s="307"/>
      <c r="P322" s="939"/>
      <c r="Q322" s="2745"/>
      <c r="R322" s="937"/>
      <c r="X322" s="307"/>
      <c r="Y322" s="307"/>
      <c r="Z322" s="1753"/>
      <c r="AA322" s="307"/>
      <c r="AB322" s="307"/>
      <c r="AC322" s="307"/>
      <c r="AD322" s="307"/>
      <c r="AE322" s="307"/>
      <c r="AF322" s="307"/>
      <c r="AG322" s="307"/>
      <c r="AH322" s="307"/>
      <c r="AI322" s="307"/>
      <c r="AJ322" s="307"/>
      <c r="AK322" s="307"/>
      <c r="AL322" s="307"/>
      <c r="AM322" s="307"/>
      <c r="AN322" s="307"/>
      <c r="AO322" s="307"/>
      <c r="AP322" s="307"/>
      <c r="AQ322" s="307"/>
      <c r="AR322" s="307"/>
    </row>
    <row r="323" spans="1:44" s="457" customFormat="1" ht="12" customHeight="1">
      <c r="A323" s="307"/>
      <c r="B323" s="307"/>
      <c r="C323" s="307"/>
      <c r="D323" s="307"/>
      <c r="E323" s="307"/>
      <c r="F323" s="307"/>
      <c r="G323" s="307"/>
      <c r="H323" s="307"/>
      <c r="I323" s="307"/>
      <c r="J323" s="307"/>
      <c r="K323" s="307"/>
      <c r="L323" s="307"/>
      <c r="M323" s="307"/>
      <c r="N323" s="307"/>
      <c r="O323" s="307"/>
      <c r="P323" s="939"/>
      <c r="Q323" s="2745"/>
      <c r="R323" s="937"/>
      <c r="X323" s="307"/>
      <c r="Y323" s="307"/>
      <c r="Z323" s="1753"/>
      <c r="AA323" s="307"/>
      <c r="AB323" s="307"/>
      <c r="AC323" s="307"/>
      <c r="AD323" s="307"/>
      <c r="AE323" s="307"/>
      <c r="AF323" s="307"/>
      <c r="AG323" s="307"/>
      <c r="AH323" s="307"/>
      <c r="AI323" s="307"/>
      <c r="AJ323" s="307"/>
      <c r="AK323" s="307"/>
      <c r="AL323" s="307"/>
      <c r="AM323" s="307"/>
      <c r="AN323" s="307"/>
      <c r="AO323" s="307"/>
      <c r="AP323" s="307"/>
      <c r="AQ323" s="307"/>
      <c r="AR323" s="307"/>
    </row>
    <row r="324" spans="1:44" s="457" customFormat="1" ht="12" customHeight="1">
      <c r="A324" s="307"/>
      <c r="B324" s="307"/>
      <c r="C324" s="307"/>
      <c r="D324" s="307"/>
      <c r="E324" s="307"/>
      <c r="F324" s="307"/>
      <c r="G324" s="307"/>
      <c r="H324" s="307"/>
      <c r="I324" s="307"/>
      <c r="J324" s="307"/>
      <c r="K324" s="307"/>
      <c r="L324" s="307"/>
      <c r="M324" s="307"/>
      <c r="N324" s="307"/>
      <c r="O324" s="307"/>
      <c r="P324" s="939"/>
      <c r="Q324" s="2745"/>
      <c r="R324" s="937"/>
      <c r="X324" s="307"/>
      <c r="Y324" s="307"/>
      <c r="Z324" s="1753"/>
      <c r="AA324" s="307"/>
      <c r="AB324" s="307"/>
      <c r="AC324" s="307"/>
      <c r="AD324" s="307"/>
      <c r="AE324" s="307"/>
      <c r="AF324" s="307"/>
      <c r="AG324" s="307"/>
      <c r="AH324" s="307"/>
      <c r="AI324" s="307"/>
      <c r="AJ324" s="307"/>
      <c r="AK324" s="307"/>
      <c r="AL324" s="307"/>
      <c r="AM324" s="307"/>
      <c r="AN324" s="307"/>
      <c r="AO324" s="307"/>
      <c r="AP324" s="307"/>
      <c r="AQ324" s="307"/>
      <c r="AR324" s="307"/>
    </row>
    <row r="325" spans="1:44" s="457" customFormat="1" ht="12" customHeight="1">
      <c r="A325" s="307"/>
      <c r="B325" s="307"/>
      <c r="C325" s="307"/>
      <c r="D325" s="307"/>
      <c r="E325" s="307"/>
      <c r="F325" s="307"/>
      <c r="G325" s="307"/>
      <c r="H325" s="307"/>
      <c r="I325" s="307"/>
      <c r="J325" s="307"/>
      <c r="K325" s="307"/>
      <c r="L325" s="307"/>
      <c r="M325" s="307"/>
      <c r="N325" s="307"/>
      <c r="O325" s="307"/>
      <c r="P325" s="939"/>
      <c r="Q325" s="2745"/>
      <c r="R325" s="937"/>
      <c r="X325" s="307"/>
      <c r="Y325" s="307"/>
      <c r="Z325" s="1753"/>
      <c r="AA325" s="307"/>
      <c r="AB325" s="307"/>
      <c r="AC325" s="307"/>
      <c r="AD325" s="307"/>
      <c r="AE325" s="307"/>
      <c r="AF325" s="307"/>
      <c r="AG325" s="307"/>
      <c r="AH325" s="307"/>
      <c r="AI325" s="307"/>
      <c r="AJ325" s="307"/>
      <c r="AK325" s="307"/>
      <c r="AL325" s="307"/>
      <c r="AM325" s="307"/>
      <c r="AN325" s="307"/>
      <c r="AO325" s="307"/>
      <c r="AP325" s="307"/>
      <c r="AQ325" s="307"/>
      <c r="AR325" s="307"/>
    </row>
    <row r="326" spans="1:44" s="457" customFormat="1" ht="12" customHeight="1">
      <c r="A326" s="307"/>
      <c r="B326" s="307"/>
      <c r="C326" s="307"/>
      <c r="D326" s="307"/>
      <c r="E326" s="307"/>
      <c r="F326" s="307"/>
      <c r="G326" s="307"/>
      <c r="H326" s="307"/>
      <c r="I326" s="307"/>
      <c r="J326" s="307"/>
      <c r="K326" s="307"/>
      <c r="L326" s="307"/>
      <c r="M326" s="307"/>
      <c r="N326" s="307"/>
      <c r="O326" s="307"/>
      <c r="P326" s="939"/>
      <c r="Q326" s="2745"/>
      <c r="R326" s="937"/>
      <c r="X326" s="307"/>
      <c r="Y326" s="307"/>
      <c r="Z326" s="1753"/>
      <c r="AA326" s="307"/>
      <c r="AB326" s="307"/>
      <c r="AC326" s="307"/>
      <c r="AD326" s="307"/>
      <c r="AE326" s="307"/>
      <c r="AF326" s="307"/>
      <c r="AG326" s="307"/>
      <c r="AH326" s="307"/>
      <c r="AI326" s="307"/>
      <c r="AJ326" s="307"/>
      <c r="AK326" s="307"/>
      <c r="AL326" s="307"/>
      <c r="AM326" s="307"/>
      <c r="AN326" s="307"/>
      <c r="AO326" s="307"/>
      <c r="AP326" s="307"/>
      <c r="AQ326" s="307"/>
      <c r="AR326" s="307"/>
    </row>
    <row r="327" spans="1:44" s="457" customFormat="1" ht="12" customHeight="1">
      <c r="A327" s="307"/>
      <c r="B327" s="307"/>
      <c r="C327" s="307"/>
      <c r="D327" s="307"/>
      <c r="E327" s="307"/>
      <c r="F327" s="307"/>
      <c r="G327" s="307"/>
      <c r="H327" s="307"/>
      <c r="I327" s="307"/>
      <c r="J327" s="307"/>
      <c r="K327" s="307"/>
      <c r="L327" s="307"/>
      <c r="M327" s="307"/>
      <c r="N327" s="307"/>
      <c r="O327" s="307"/>
      <c r="P327" s="939"/>
      <c r="Q327" s="2745"/>
      <c r="R327" s="937"/>
      <c r="X327" s="307"/>
      <c r="Y327" s="307"/>
      <c r="Z327" s="1753"/>
      <c r="AA327" s="307"/>
      <c r="AB327" s="307"/>
      <c r="AC327" s="307"/>
      <c r="AD327" s="307"/>
      <c r="AE327" s="307"/>
      <c r="AF327" s="307"/>
      <c r="AG327" s="307"/>
      <c r="AH327" s="307"/>
      <c r="AI327" s="307"/>
      <c r="AJ327" s="307"/>
      <c r="AK327" s="307"/>
      <c r="AL327" s="307"/>
      <c r="AM327" s="307"/>
      <c r="AN327" s="307"/>
      <c r="AO327" s="307"/>
      <c r="AP327" s="307"/>
      <c r="AQ327" s="307"/>
      <c r="AR327" s="307"/>
    </row>
    <row r="328" spans="1:44" s="457" customFormat="1" ht="12" customHeight="1">
      <c r="A328" s="307"/>
      <c r="B328" s="307"/>
      <c r="C328" s="307"/>
      <c r="D328" s="307"/>
      <c r="E328" s="307"/>
      <c r="F328" s="307"/>
      <c r="G328" s="307"/>
      <c r="H328" s="307"/>
      <c r="I328" s="307"/>
      <c r="J328" s="307"/>
      <c r="K328" s="307"/>
      <c r="L328" s="307"/>
      <c r="M328" s="307"/>
      <c r="N328" s="307"/>
      <c r="O328" s="307"/>
      <c r="P328" s="939"/>
      <c r="Q328" s="2745"/>
      <c r="R328" s="937"/>
      <c r="X328" s="307"/>
      <c r="Y328" s="307"/>
      <c r="Z328" s="1753"/>
      <c r="AA328" s="307"/>
      <c r="AB328" s="307"/>
      <c r="AC328" s="307"/>
      <c r="AD328" s="307"/>
      <c r="AE328" s="307"/>
      <c r="AF328" s="307"/>
      <c r="AG328" s="307"/>
      <c r="AH328" s="307"/>
      <c r="AI328" s="307"/>
      <c r="AJ328" s="307"/>
      <c r="AK328" s="307"/>
      <c r="AL328" s="307"/>
      <c r="AM328" s="307"/>
      <c r="AN328" s="307"/>
      <c r="AO328" s="307"/>
      <c r="AP328" s="307"/>
      <c r="AQ328" s="307"/>
      <c r="AR328" s="307"/>
    </row>
    <row r="329" spans="1:44" s="457" customFormat="1" ht="12" customHeight="1">
      <c r="A329" s="307"/>
      <c r="B329" s="307"/>
      <c r="C329" s="307"/>
      <c r="D329" s="307"/>
      <c r="E329" s="307"/>
      <c r="F329" s="307"/>
      <c r="G329" s="307"/>
      <c r="H329" s="307"/>
      <c r="I329" s="307"/>
      <c r="J329" s="307"/>
      <c r="K329" s="307"/>
      <c r="L329" s="307"/>
      <c r="M329" s="307"/>
      <c r="N329" s="307"/>
      <c r="O329" s="307"/>
      <c r="P329" s="939"/>
      <c r="Q329" s="2745"/>
      <c r="R329" s="937"/>
      <c r="X329" s="307"/>
      <c r="Y329" s="307"/>
      <c r="Z329" s="1753"/>
      <c r="AA329" s="307"/>
      <c r="AB329" s="307"/>
      <c r="AC329" s="307"/>
      <c r="AD329" s="307"/>
      <c r="AE329" s="307"/>
      <c r="AF329" s="307"/>
      <c r="AG329" s="307"/>
      <c r="AH329" s="307"/>
      <c r="AI329" s="307"/>
      <c r="AJ329" s="307"/>
      <c r="AK329" s="307"/>
      <c r="AL329" s="307"/>
      <c r="AM329" s="307"/>
      <c r="AN329" s="307"/>
      <c r="AO329" s="307"/>
      <c r="AP329" s="307"/>
      <c r="AQ329" s="307"/>
      <c r="AR329" s="307"/>
    </row>
    <row r="330" spans="1:44" s="457" customFormat="1" ht="12" customHeight="1">
      <c r="A330" s="307"/>
      <c r="B330" s="307"/>
      <c r="C330" s="307"/>
      <c r="D330" s="307"/>
      <c r="E330" s="307"/>
      <c r="F330" s="307"/>
      <c r="G330" s="307"/>
      <c r="H330" s="307"/>
      <c r="I330" s="307"/>
      <c r="J330" s="307"/>
      <c r="K330" s="307"/>
      <c r="L330" s="307"/>
      <c r="M330" s="307"/>
      <c r="N330" s="307"/>
      <c r="O330" s="307"/>
      <c r="P330" s="2747"/>
      <c r="Q330" s="2745"/>
      <c r="R330" s="937"/>
      <c r="X330" s="307"/>
      <c r="Y330" s="307"/>
      <c r="Z330" s="1753"/>
      <c r="AA330" s="307"/>
      <c r="AB330" s="307"/>
      <c r="AC330" s="307"/>
      <c r="AD330" s="307"/>
      <c r="AE330" s="307"/>
      <c r="AF330" s="307"/>
      <c r="AG330" s="307"/>
      <c r="AH330" s="307"/>
      <c r="AI330" s="307"/>
      <c r="AJ330" s="307"/>
      <c r="AK330" s="307"/>
      <c r="AL330" s="307"/>
      <c r="AM330" s="307"/>
      <c r="AN330" s="307"/>
      <c r="AO330" s="307"/>
      <c r="AP330" s="307"/>
      <c r="AQ330" s="307"/>
      <c r="AR330" s="307"/>
    </row>
    <row r="331" spans="1:44" s="457" customFormat="1" ht="12" customHeight="1">
      <c r="A331" s="307"/>
      <c r="B331" s="307"/>
      <c r="C331" s="307"/>
      <c r="D331" s="307"/>
      <c r="E331" s="307"/>
      <c r="F331" s="307"/>
      <c r="G331" s="307"/>
      <c r="H331" s="307"/>
      <c r="I331" s="307"/>
      <c r="J331" s="307"/>
      <c r="K331" s="307"/>
      <c r="L331" s="307"/>
      <c r="M331" s="307"/>
      <c r="N331" s="307"/>
      <c r="O331" s="307"/>
      <c r="P331" s="939"/>
      <c r="Q331" s="2745"/>
      <c r="R331" s="937"/>
      <c r="X331" s="307"/>
      <c r="Y331" s="307"/>
      <c r="Z331" s="1753"/>
      <c r="AA331" s="307"/>
      <c r="AB331" s="307"/>
      <c r="AC331" s="307"/>
      <c r="AD331" s="307"/>
      <c r="AE331" s="307"/>
      <c r="AF331" s="307"/>
      <c r="AG331" s="307"/>
      <c r="AH331" s="307"/>
      <c r="AI331" s="307"/>
      <c r="AJ331" s="307"/>
      <c r="AK331" s="307"/>
      <c r="AL331" s="307"/>
      <c r="AM331" s="307"/>
      <c r="AN331" s="307"/>
      <c r="AO331" s="307"/>
      <c r="AP331" s="307"/>
      <c r="AQ331" s="307"/>
      <c r="AR331" s="307"/>
    </row>
    <row r="332" spans="1:44" s="457" customFormat="1" ht="12" customHeight="1">
      <c r="A332" s="307"/>
      <c r="B332" s="307"/>
      <c r="C332" s="307"/>
      <c r="D332" s="307"/>
      <c r="E332" s="307"/>
      <c r="F332" s="307"/>
      <c r="G332" s="307"/>
      <c r="H332" s="307"/>
      <c r="I332" s="307"/>
      <c r="J332" s="307"/>
      <c r="K332" s="307"/>
      <c r="L332" s="307"/>
      <c r="M332" s="307"/>
      <c r="N332" s="307"/>
      <c r="O332" s="307"/>
      <c r="P332" s="939"/>
      <c r="Q332" s="2745"/>
      <c r="R332" s="937"/>
      <c r="X332" s="307"/>
      <c r="Y332" s="307"/>
      <c r="Z332" s="1753"/>
      <c r="AA332" s="307"/>
      <c r="AB332" s="307"/>
      <c r="AC332" s="307"/>
      <c r="AD332" s="307"/>
      <c r="AE332" s="307"/>
      <c r="AF332" s="307"/>
      <c r="AG332" s="307"/>
      <c r="AH332" s="307"/>
      <c r="AI332" s="307"/>
      <c r="AJ332" s="307"/>
      <c r="AK332" s="307"/>
      <c r="AL332" s="307"/>
      <c r="AM332" s="307"/>
      <c r="AN332" s="307"/>
      <c r="AO332" s="307"/>
      <c r="AP332" s="307"/>
      <c r="AQ332" s="307"/>
      <c r="AR332" s="307"/>
    </row>
    <row r="333" spans="1:44" s="457" customFormat="1" ht="12" customHeight="1">
      <c r="A333" s="307"/>
      <c r="B333" s="307"/>
      <c r="C333" s="307"/>
      <c r="D333" s="307"/>
      <c r="E333" s="307"/>
      <c r="F333" s="307"/>
      <c r="G333" s="307"/>
      <c r="H333" s="307"/>
      <c r="I333" s="307"/>
      <c r="J333" s="307"/>
      <c r="K333" s="307"/>
      <c r="L333" s="307"/>
      <c r="M333" s="307"/>
      <c r="N333" s="307"/>
      <c r="O333" s="307"/>
      <c r="P333" s="939"/>
      <c r="Q333" s="2745"/>
      <c r="R333" s="937"/>
      <c r="X333" s="307"/>
      <c r="Y333" s="307"/>
      <c r="Z333" s="1753"/>
      <c r="AA333" s="307"/>
      <c r="AB333" s="307"/>
      <c r="AC333" s="307"/>
      <c r="AD333" s="307"/>
      <c r="AE333" s="307"/>
      <c r="AF333" s="307"/>
      <c r="AG333" s="307"/>
      <c r="AH333" s="307"/>
      <c r="AI333" s="307"/>
      <c r="AJ333" s="307"/>
      <c r="AK333" s="307"/>
      <c r="AL333" s="307"/>
      <c r="AM333" s="307"/>
      <c r="AN333" s="307"/>
      <c r="AO333" s="307"/>
      <c r="AP333" s="307"/>
      <c r="AQ333" s="307"/>
      <c r="AR333" s="307"/>
    </row>
    <row r="334" spans="1:44" s="457" customFormat="1" ht="12" customHeight="1">
      <c r="A334" s="307"/>
      <c r="B334" s="307"/>
      <c r="C334" s="307"/>
      <c r="D334" s="307"/>
      <c r="E334" s="307"/>
      <c r="F334" s="307"/>
      <c r="G334" s="307"/>
      <c r="H334" s="307"/>
      <c r="I334" s="307"/>
      <c r="J334" s="307"/>
      <c r="K334" s="307"/>
      <c r="L334" s="307"/>
      <c r="M334" s="307"/>
      <c r="N334" s="307"/>
      <c r="O334" s="307"/>
      <c r="P334" s="939"/>
      <c r="Q334" s="2745"/>
      <c r="R334" s="937"/>
      <c r="X334" s="307"/>
      <c r="Y334" s="307"/>
      <c r="Z334" s="1753"/>
      <c r="AA334" s="307"/>
      <c r="AB334" s="307"/>
      <c r="AC334" s="307"/>
      <c r="AD334" s="307"/>
      <c r="AE334" s="307"/>
      <c r="AF334" s="307"/>
      <c r="AG334" s="307"/>
      <c r="AH334" s="307"/>
      <c r="AI334" s="307"/>
      <c r="AJ334" s="307"/>
      <c r="AK334" s="307"/>
      <c r="AL334" s="307"/>
      <c r="AM334" s="307"/>
      <c r="AN334" s="307"/>
      <c r="AO334" s="307"/>
      <c r="AP334" s="307"/>
      <c r="AQ334" s="307"/>
      <c r="AR334" s="307"/>
    </row>
    <row r="335" spans="1:44" s="457" customFormat="1" ht="12" customHeight="1">
      <c r="A335" s="307"/>
      <c r="B335" s="307"/>
      <c r="C335" s="307"/>
      <c r="D335" s="307"/>
      <c r="E335" s="307"/>
      <c r="F335" s="307"/>
      <c r="G335" s="307"/>
      <c r="H335" s="307"/>
      <c r="I335" s="307"/>
      <c r="J335" s="307"/>
      <c r="K335" s="307"/>
      <c r="L335" s="307"/>
      <c r="M335" s="307"/>
      <c r="N335" s="307"/>
      <c r="O335" s="307"/>
      <c r="P335" s="939"/>
      <c r="Q335" s="2745"/>
      <c r="R335" s="937"/>
      <c r="X335" s="307"/>
      <c r="Y335" s="307"/>
      <c r="Z335" s="1753"/>
      <c r="AA335" s="307"/>
      <c r="AB335" s="307"/>
      <c r="AC335" s="307"/>
      <c r="AD335" s="307"/>
      <c r="AE335" s="307"/>
      <c r="AF335" s="307"/>
      <c r="AG335" s="307"/>
      <c r="AH335" s="307"/>
      <c r="AI335" s="307"/>
      <c r="AJ335" s="307"/>
      <c r="AK335" s="307"/>
      <c r="AL335" s="307"/>
      <c r="AM335" s="307"/>
      <c r="AN335" s="307"/>
      <c r="AO335" s="307"/>
      <c r="AP335" s="307"/>
      <c r="AQ335" s="307"/>
      <c r="AR335" s="307"/>
    </row>
    <row r="336" spans="1:44" s="457" customFormat="1" ht="12" customHeight="1">
      <c r="A336" s="307"/>
      <c r="B336" s="307"/>
      <c r="C336" s="307"/>
      <c r="D336" s="307"/>
      <c r="E336" s="307"/>
      <c r="F336" s="307"/>
      <c r="G336" s="307"/>
      <c r="H336" s="307"/>
      <c r="I336" s="307"/>
      <c r="J336" s="307"/>
      <c r="K336" s="307"/>
      <c r="L336" s="307"/>
      <c r="M336" s="307"/>
      <c r="N336" s="307"/>
      <c r="O336" s="307"/>
      <c r="P336" s="939"/>
      <c r="Q336" s="2745"/>
      <c r="R336" s="937"/>
      <c r="X336" s="307"/>
      <c r="Y336" s="307"/>
      <c r="Z336" s="1753"/>
      <c r="AA336" s="307"/>
      <c r="AB336" s="307"/>
      <c r="AC336" s="307"/>
      <c r="AD336" s="307"/>
      <c r="AE336" s="307"/>
      <c r="AF336" s="307"/>
      <c r="AG336" s="307"/>
      <c r="AH336" s="307"/>
      <c r="AI336" s="307"/>
      <c r="AJ336" s="307"/>
      <c r="AK336" s="307"/>
      <c r="AL336" s="307"/>
      <c r="AM336" s="307"/>
      <c r="AN336" s="307"/>
      <c r="AO336" s="307"/>
      <c r="AP336" s="307"/>
      <c r="AQ336" s="307"/>
      <c r="AR336" s="307"/>
    </row>
    <row r="337" spans="1:44" s="457" customFormat="1" ht="12" customHeight="1">
      <c r="A337" s="307"/>
      <c r="B337" s="307"/>
      <c r="C337" s="307"/>
      <c r="D337" s="307"/>
      <c r="E337" s="307"/>
      <c r="F337" s="307"/>
      <c r="G337" s="307"/>
      <c r="H337" s="307"/>
      <c r="I337" s="307"/>
      <c r="J337" s="307"/>
      <c r="K337" s="307"/>
      <c r="L337" s="307"/>
      <c r="M337" s="307"/>
      <c r="N337" s="307"/>
      <c r="O337" s="307"/>
      <c r="P337" s="939"/>
      <c r="Q337" s="2745"/>
      <c r="R337" s="937"/>
      <c r="X337" s="307"/>
      <c r="Y337" s="307"/>
      <c r="Z337" s="1753"/>
      <c r="AA337" s="307"/>
      <c r="AB337" s="307"/>
      <c r="AC337" s="307"/>
      <c r="AD337" s="307"/>
      <c r="AE337" s="307"/>
      <c r="AF337" s="307"/>
      <c r="AG337" s="307"/>
      <c r="AH337" s="307"/>
      <c r="AI337" s="307"/>
      <c r="AJ337" s="307"/>
      <c r="AK337" s="307"/>
      <c r="AL337" s="307"/>
      <c r="AM337" s="307"/>
      <c r="AN337" s="307"/>
      <c r="AO337" s="307"/>
      <c r="AP337" s="307"/>
      <c r="AQ337" s="307"/>
      <c r="AR337" s="307"/>
    </row>
    <row r="338" spans="1:44" s="457" customFormat="1" ht="12" customHeight="1">
      <c r="A338" s="307"/>
      <c r="B338" s="307"/>
      <c r="C338" s="307"/>
      <c r="D338" s="307"/>
      <c r="E338" s="307"/>
      <c r="F338" s="307"/>
      <c r="G338" s="307"/>
      <c r="H338" s="307"/>
      <c r="I338" s="307"/>
      <c r="J338" s="307"/>
      <c r="K338" s="307"/>
      <c r="L338" s="307"/>
      <c r="M338" s="307"/>
      <c r="N338" s="307"/>
      <c r="O338" s="307"/>
      <c r="P338" s="939"/>
      <c r="Q338" s="2745"/>
      <c r="R338" s="937"/>
      <c r="X338" s="307"/>
      <c r="Y338" s="307"/>
      <c r="Z338" s="1753"/>
      <c r="AA338" s="307"/>
      <c r="AB338" s="307"/>
      <c r="AC338" s="307"/>
      <c r="AD338" s="307"/>
      <c r="AE338" s="307"/>
      <c r="AF338" s="307"/>
      <c r="AG338" s="307"/>
      <c r="AH338" s="307"/>
      <c r="AI338" s="307"/>
      <c r="AJ338" s="307"/>
      <c r="AK338" s="307"/>
      <c r="AL338" s="307"/>
      <c r="AM338" s="307"/>
      <c r="AN338" s="307"/>
      <c r="AO338" s="307"/>
      <c r="AP338" s="307"/>
      <c r="AQ338" s="307"/>
      <c r="AR338" s="307"/>
    </row>
    <row r="339" spans="1:44" s="457" customFormat="1" ht="12" customHeight="1">
      <c r="A339" s="307"/>
      <c r="B339" s="307"/>
      <c r="C339" s="307"/>
      <c r="D339" s="307"/>
      <c r="E339" s="307"/>
      <c r="F339" s="307"/>
      <c r="G339" s="307"/>
      <c r="H339" s="307"/>
      <c r="I339" s="307"/>
      <c r="J339" s="307"/>
      <c r="K339" s="307"/>
      <c r="L339" s="307"/>
      <c r="M339" s="307"/>
      <c r="N339" s="307"/>
      <c r="O339" s="307"/>
      <c r="P339" s="939"/>
      <c r="Q339" s="2745"/>
      <c r="R339" s="937"/>
      <c r="X339" s="307"/>
      <c r="Y339" s="307"/>
      <c r="Z339" s="1753"/>
      <c r="AA339" s="307"/>
      <c r="AB339" s="307"/>
      <c r="AC339" s="307"/>
      <c r="AD339" s="307"/>
      <c r="AE339" s="307"/>
      <c r="AF339" s="307"/>
      <c r="AG339" s="307"/>
      <c r="AH339" s="307"/>
      <c r="AI339" s="307"/>
      <c r="AJ339" s="307"/>
      <c r="AK339" s="307"/>
      <c r="AL339" s="307"/>
      <c r="AM339" s="307"/>
      <c r="AN339" s="307"/>
      <c r="AO339" s="307"/>
      <c r="AP339" s="307"/>
      <c r="AQ339" s="307"/>
      <c r="AR339" s="307"/>
    </row>
    <row r="340" spans="1:44" s="457" customFormat="1" ht="12" customHeight="1">
      <c r="A340" s="307"/>
      <c r="B340" s="307"/>
      <c r="C340" s="307"/>
      <c r="D340" s="307"/>
      <c r="E340" s="307"/>
      <c r="F340" s="307"/>
      <c r="G340" s="307"/>
      <c r="H340" s="307"/>
      <c r="I340" s="307"/>
      <c r="J340" s="307"/>
      <c r="K340" s="307"/>
      <c r="L340" s="307"/>
      <c r="M340" s="307"/>
      <c r="N340" s="307"/>
      <c r="O340" s="307"/>
      <c r="P340" s="939"/>
      <c r="Q340" s="2745"/>
      <c r="R340" s="937"/>
      <c r="X340" s="307"/>
      <c r="Y340" s="307"/>
      <c r="Z340" s="1753"/>
      <c r="AA340" s="307"/>
      <c r="AB340" s="307"/>
      <c r="AC340" s="307"/>
      <c r="AD340" s="307"/>
      <c r="AE340" s="307"/>
      <c r="AF340" s="307"/>
      <c r="AG340" s="307"/>
      <c r="AH340" s="307"/>
      <c r="AI340" s="307"/>
      <c r="AJ340" s="307"/>
      <c r="AK340" s="307"/>
      <c r="AL340" s="307"/>
      <c r="AM340" s="307"/>
      <c r="AN340" s="307"/>
      <c r="AO340" s="307"/>
      <c r="AP340" s="307"/>
      <c r="AQ340" s="307"/>
      <c r="AR340" s="307"/>
    </row>
    <row r="341" spans="1:44" s="457" customFormat="1" ht="12" customHeight="1">
      <c r="A341" s="307"/>
      <c r="B341" s="307"/>
      <c r="C341" s="307"/>
      <c r="D341" s="307"/>
      <c r="E341" s="307"/>
      <c r="F341" s="307"/>
      <c r="G341" s="307"/>
      <c r="H341" s="307"/>
      <c r="I341" s="307"/>
      <c r="J341" s="307"/>
      <c r="K341" s="307"/>
      <c r="L341" s="307"/>
      <c r="M341" s="307"/>
      <c r="N341" s="307"/>
      <c r="O341" s="307"/>
      <c r="P341" s="939"/>
      <c r="Q341" s="937"/>
      <c r="R341" s="937"/>
      <c r="X341" s="307"/>
      <c r="Y341" s="307"/>
      <c r="Z341" s="1753"/>
      <c r="AA341" s="307"/>
      <c r="AB341" s="307"/>
      <c r="AC341" s="307"/>
      <c r="AD341" s="307"/>
      <c r="AE341" s="307"/>
      <c r="AF341" s="307"/>
      <c r="AG341" s="307"/>
      <c r="AH341" s="307"/>
      <c r="AI341" s="307"/>
      <c r="AJ341" s="307"/>
      <c r="AK341" s="307"/>
      <c r="AL341" s="307"/>
      <c r="AM341" s="307"/>
      <c r="AN341" s="307"/>
      <c r="AO341" s="307"/>
      <c r="AP341" s="307"/>
      <c r="AQ341" s="307"/>
      <c r="AR341" s="307"/>
    </row>
    <row r="342" spans="1:44" s="457" customFormat="1" ht="12" customHeight="1">
      <c r="A342" s="307"/>
      <c r="B342" s="307"/>
      <c r="C342" s="307"/>
      <c r="D342" s="307"/>
      <c r="E342" s="307"/>
      <c r="F342" s="307"/>
      <c r="G342" s="307"/>
      <c r="H342" s="307"/>
      <c r="I342" s="307"/>
      <c r="J342" s="307"/>
      <c r="K342" s="307"/>
      <c r="L342" s="307"/>
      <c r="M342" s="307"/>
      <c r="N342" s="307"/>
      <c r="O342" s="307"/>
      <c r="P342" s="939"/>
      <c r="Q342" s="2745"/>
      <c r="R342" s="937"/>
      <c r="X342" s="307"/>
      <c r="Y342" s="307"/>
      <c r="Z342" s="1753"/>
      <c r="AA342" s="307"/>
      <c r="AB342" s="307"/>
      <c r="AC342" s="307"/>
      <c r="AD342" s="307"/>
      <c r="AE342" s="307"/>
      <c r="AF342" s="307"/>
      <c r="AG342" s="307"/>
      <c r="AH342" s="307"/>
      <c r="AI342" s="307"/>
      <c r="AJ342" s="307"/>
      <c r="AK342" s="307"/>
      <c r="AL342" s="307"/>
      <c r="AM342" s="307"/>
      <c r="AN342" s="307"/>
      <c r="AO342" s="307"/>
      <c r="AP342" s="307"/>
      <c r="AQ342" s="307"/>
      <c r="AR342" s="307"/>
    </row>
    <row r="343" spans="1:44" s="457" customFormat="1" ht="12" customHeight="1">
      <c r="A343" s="307"/>
      <c r="B343" s="307"/>
      <c r="C343" s="307"/>
      <c r="D343" s="307"/>
      <c r="E343" s="307"/>
      <c r="F343" s="307"/>
      <c r="G343" s="307"/>
      <c r="H343" s="307"/>
      <c r="I343" s="307"/>
      <c r="J343" s="307"/>
      <c r="K343" s="307"/>
      <c r="L343" s="307"/>
      <c r="M343" s="307"/>
      <c r="N343" s="307"/>
      <c r="O343" s="307"/>
      <c r="P343" s="939"/>
      <c r="Q343" s="2745"/>
      <c r="R343" s="937"/>
      <c r="X343" s="307"/>
      <c r="Y343" s="307"/>
      <c r="Z343" s="1753"/>
      <c r="AA343" s="307"/>
      <c r="AB343" s="307"/>
      <c r="AC343" s="307"/>
      <c r="AD343" s="307"/>
      <c r="AE343" s="307"/>
      <c r="AF343" s="307"/>
      <c r="AG343" s="307"/>
      <c r="AH343" s="307"/>
      <c r="AI343" s="307"/>
      <c r="AJ343" s="307"/>
      <c r="AK343" s="307"/>
      <c r="AL343" s="307"/>
      <c r="AM343" s="307"/>
      <c r="AN343" s="307"/>
      <c r="AO343" s="307"/>
      <c r="AP343" s="307"/>
      <c r="AQ343" s="307"/>
      <c r="AR343" s="307"/>
    </row>
    <row r="344" spans="1:44" s="457" customFormat="1" ht="12" customHeight="1">
      <c r="A344" s="307"/>
      <c r="B344" s="307"/>
      <c r="C344" s="307"/>
      <c r="D344" s="307"/>
      <c r="E344" s="307"/>
      <c r="F344" s="307"/>
      <c r="G344" s="307"/>
      <c r="H344" s="307"/>
      <c r="I344" s="307"/>
      <c r="J344" s="307"/>
      <c r="K344" s="307"/>
      <c r="L344" s="307"/>
      <c r="M344" s="307"/>
      <c r="N344" s="307"/>
      <c r="O344" s="307"/>
      <c r="P344" s="939"/>
      <c r="Q344" s="2745"/>
      <c r="R344" s="937"/>
      <c r="X344" s="307"/>
      <c r="Y344" s="307"/>
      <c r="Z344" s="1753"/>
      <c r="AA344" s="307"/>
      <c r="AB344" s="307"/>
      <c r="AC344" s="307"/>
      <c r="AD344" s="307"/>
      <c r="AE344" s="307"/>
      <c r="AF344" s="307"/>
      <c r="AG344" s="307"/>
      <c r="AH344" s="307"/>
      <c r="AI344" s="307"/>
      <c r="AJ344" s="307"/>
      <c r="AK344" s="307"/>
      <c r="AL344" s="307"/>
      <c r="AM344" s="307"/>
      <c r="AN344" s="307"/>
      <c r="AO344" s="307"/>
      <c r="AP344" s="307"/>
      <c r="AQ344" s="307"/>
      <c r="AR344" s="307"/>
    </row>
    <row r="345" spans="1:44" s="457" customFormat="1" ht="12" customHeight="1">
      <c r="A345" s="307"/>
      <c r="B345" s="307"/>
      <c r="C345" s="307"/>
      <c r="D345" s="307"/>
      <c r="E345" s="307"/>
      <c r="F345" s="307"/>
      <c r="G345" s="307"/>
      <c r="H345" s="307"/>
      <c r="I345" s="307"/>
      <c r="J345" s="307"/>
      <c r="K345" s="307"/>
      <c r="L345" s="307"/>
      <c r="M345" s="307"/>
      <c r="N345" s="307"/>
      <c r="O345" s="307"/>
      <c r="P345" s="2746"/>
      <c r="Q345" s="937"/>
      <c r="R345" s="937"/>
      <c r="X345" s="307"/>
      <c r="Y345" s="307"/>
      <c r="Z345" s="1753"/>
      <c r="AA345" s="307"/>
      <c r="AB345" s="307"/>
      <c r="AC345" s="307"/>
      <c r="AD345" s="307"/>
      <c r="AE345" s="307"/>
      <c r="AF345" s="307"/>
      <c r="AG345" s="307"/>
      <c r="AH345" s="307"/>
      <c r="AI345" s="307"/>
      <c r="AJ345" s="307"/>
      <c r="AK345" s="307"/>
      <c r="AL345" s="307"/>
      <c r="AM345" s="307"/>
      <c r="AN345" s="307"/>
      <c r="AO345" s="307"/>
      <c r="AP345" s="307"/>
      <c r="AQ345" s="307"/>
      <c r="AR345" s="307"/>
    </row>
    <row r="346" spans="1:44" s="457" customFormat="1" ht="12" customHeight="1">
      <c r="A346" s="307"/>
      <c r="B346" s="307"/>
      <c r="C346" s="307"/>
      <c r="D346" s="307"/>
      <c r="E346" s="307"/>
      <c r="F346" s="307"/>
      <c r="G346" s="307"/>
      <c r="H346" s="307"/>
      <c r="I346" s="307"/>
      <c r="J346" s="307"/>
      <c r="K346" s="307"/>
      <c r="L346" s="307"/>
      <c r="M346" s="307"/>
      <c r="N346" s="307"/>
      <c r="O346" s="307"/>
      <c r="P346" s="939"/>
      <c r="Q346" s="2745"/>
      <c r="R346" s="937"/>
      <c r="X346" s="307"/>
      <c r="Y346" s="307"/>
      <c r="Z346" s="1753"/>
      <c r="AA346" s="307"/>
      <c r="AB346" s="307"/>
      <c r="AC346" s="307"/>
      <c r="AD346" s="307"/>
      <c r="AE346" s="307"/>
      <c r="AF346" s="307"/>
      <c r="AG346" s="307"/>
      <c r="AH346" s="307"/>
      <c r="AI346" s="307"/>
      <c r="AJ346" s="307"/>
      <c r="AK346" s="307"/>
      <c r="AL346" s="307"/>
      <c r="AM346" s="307"/>
      <c r="AN346" s="307"/>
      <c r="AO346" s="307"/>
      <c r="AP346" s="307"/>
      <c r="AQ346" s="307"/>
      <c r="AR346" s="307"/>
    </row>
    <row r="347" spans="1:44" s="457" customFormat="1" ht="12" customHeight="1">
      <c r="A347" s="307"/>
      <c r="B347" s="307"/>
      <c r="C347" s="307"/>
      <c r="D347" s="307"/>
      <c r="E347" s="307"/>
      <c r="F347" s="307"/>
      <c r="G347" s="307"/>
      <c r="H347" s="307"/>
      <c r="I347" s="307"/>
      <c r="J347" s="307"/>
      <c r="K347" s="307"/>
      <c r="L347" s="307"/>
      <c r="M347" s="307"/>
      <c r="N347" s="307"/>
      <c r="O347" s="307"/>
      <c r="P347" s="939"/>
      <c r="Q347" s="2745"/>
      <c r="R347" s="937"/>
      <c r="X347" s="307"/>
      <c r="Y347" s="307"/>
      <c r="Z347" s="1753"/>
      <c r="AA347" s="307"/>
      <c r="AB347" s="307"/>
      <c r="AC347" s="307"/>
      <c r="AD347" s="307"/>
      <c r="AE347" s="307"/>
      <c r="AF347" s="307"/>
      <c r="AG347" s="307"/>
      <c r="AH347" s="307"/>
      <c r="AI347" s="307"/>
      <c r="AJ347" s="307"/>
      <c r="AK347" s="307"/>
      <c r="AL347" s="307"/>
      <c r="AM347" s="307"/>
      <c r="AN347" s="307"/>
      <c r="AO347" s="307"/>
      <c r="AP347" s="307"/>
      <c r="AQ347" s="307"/>
      <c r="AR347" s="307"/>
    </row>
    <row r="348" spans="1:44" s="457" customFormat="1" ht="12" customHeight="1">
      <c r="A348" s="307"/>
      <c r="B348" s="307"/>
      <c r="C348" s="307"/>
      <c r="D348" s="307"/>
      <c r="E348" s="307"/>
      <c r="F348" s="307"/>
      <c r="G348" s="307"/>
      <c r="H348" s="307"/>
      <c r="I348" s="307"/>
      <c r="J348" s="307"/>
      <c r="K348" s="307"/>
      <c r="L348" s="307"/>
      <c r="M348" s="307"/>
      <c r="N348" s="307"/>
      <c r="O348" s="307"/>
      <c r="P348" s="939"/>
      <c r="Q348" s="2745"/>
      <c r="R348" s="937"/>
      <c r="X348" s="307"/>
      <c r="Y348" s="307"/>
      <c r="Z348" s="1753"/>
      <c r="AA348" s="307"/>
      <c r="AB348" s="307"/>
      <c r="AC348" s="307"/>
      <c r="AD348" s="307"/>
      <c r="AE348" s="307"/>
      <c r="AF348" s="307"/>
      <c r="AG348" s="307"/>
      <c r="AH348" s="307"/>
      <c r="AI348" s="307"/>
      <c r="AJ348" s="307"/>
      <c r="AK348" s="307"/>
      <c r="AL348" s="307"/>
      <c r="AM348" s="307"/>
      <c r="AN348" s="307"/>
      <c r="AO348" s="307"/>
      <c r="AP348" s="307"/>
      <c r="AQ348" s="307"/>
      <c r="AR348" s="307"/>
    </row>
    <row r="349" spans="1:44" s="457" customFormat="1" ht="12" customHeight="1">
      <c r="A349" s="307"/>
      <c r="B349" s="307"/>
      <c r="C349" s="307"/>
      <c r="D349" s="307"/>
      <c r="E349" s="307"/>
      <c r="F349" s="307"/>
      <c r="G349" s="307"/>
      <c r="H349" s="307"/>
      <c r="I349" s="307"/>
      <c r="J349" s="307"/>
      <c r="K349" s="307"/>
      <c r="L349" s="307"/>
      <c r="M349" s="307"/>
      <c r="N349" s="307"/>
      <c r="O349" s="307"/>
      <c r="P349" s="2746"/>
      <c r="Q349" s="937"/>
      <c r="R349" s="937"/>
      <c r="X349" s="307"/>
      <c r="Y349" s="307"/>
      <c r="Z349" s="1753"/>
      <c r="AA349" s="307"/>
      <c r="AB349" s="307"/>
      <c r="AC349" s="307"/>
      <c r="AD349" s="307"/>
      <c r="AE349" s="307"/>
      <c r="AF349" s="307"/>
      <c r="AG349" s="307"/>
      <c r="AH349" s="307"/>
      <c r="AI349" s="307"/>
      <c r="AJ349" s="307"/>
      <c r="AK349" s="307"/>
      <c r="AL349" s="307"/>
      <c r="AM349" s="307"/>
      <c r="AN349" s="307"/>
      <c r="AO349" s="307"/>
      <c r="AP349" s="307"/>
      <c r="AQ349" s="307"/>
      <c r="AR349" s="307"/>
    </row>
    <row r="350" spans="1:44" s="457" customFormat="1" ht="12" customHeight="1">
      <c r="A350" s="307"/>
      <c r="B350" s="307"/>
      <c r="C350" s="307"/>
      <c r="D350" s="307"/>
      <c r="E350" s="307"/>
      <c r="F350" s="307"/>
      <c r="G350" s="307"/>
      <c r="H350" s="307"/>
      <c r="I350" s="307"/>
      <c r="J350" s="307"/>
      <c r="K350" s="307"/>
      <c r="L350" s="307"/>
      <c r="M350" s="307"/>
      <c r="N350" s="307"/>
      <c r="O350" s="307"/>
      <c r="P350" s="939"/>
      <c r="Q350" s="2745"/>
      <c r="R350" s="937"/>
      <c r="X350" s="307"/>
      <c r="Y350" s="307"/>
      <c r="Z350" s="1753"/>
      <c r="AA350" s="307"/>
      <c r="AB350" s="307"/>
      <c r="AC350" s="307"/>
      <c r="AD350" s="307"/>
      <c r="AE350" s="307"/>
      <c r="AF350" s="307"/>
      <c r="AG350" s="307"/>
      <c r="AH350" s="307"/>
      <c r="AI350" s="307"/>
      <c r="AJ350" s="307"/>
      <c r="AK350" s="307"/>
      <c r="AL350" s="307"/>
      <c r="AM350" s="307"/>
      <c r="AN350" s="307"/>
      <c r="AO350" s="307"/>
      <c r="AP350" s="307"/>
      <c r="AQ350" s="307"/>
      <c r="AR350" s="307"/>
    </row>
    <row r="351" spans="1:44" s="457" customFormat="1" ht="12" customHeight="1">
      <c r="A351" s="307"/>
      <c r="B351" s="307"/>
      <c r="C351" s="307"/>
      <c r="D351" s="307"/>
      <c r="E351" s="307"/>
      <c r="F351" s="307"/>
      <c r="G351" s="307"/>
      <c r="H351" s="307"/>
      <c r="I351" s="307"/>
      <c r="J351" s="307"/>
      <c r="K351" s="307"/>
      <c r="L351" s="307"/>
      <c r="M351" s="307"/>
      <c r="N351" s="307"/>
      <c r="O351" s="307"/>
      <c r="P351" s="939"/>
      <c r="Q351" s="2745"/>
      <c r="R351" s="937"/>
      <c r="X351" s="307"/>
      <c r="Y351" s="307"/>
      <c r="Z351" s="1753"/>
      <c r="AA351" s="307"/>
      <c r="AB351" s="307"/>
      <c r="AC351" s="307"/>
      <c r="AD351" s="307"/>
      <c r="AE351" s="307"/>
      <c r="AF351" s="307"/>
      <c r="AG351" s="307"/>
      <c r="AH351" s="307"/>
      <c r="AI351" s="307"/>
      <c r="AJ351" s="307"/>
      <c r="AK351" s="307"/>
      <c r="AL351" s="307"/>
      <c r="AM351" s="307"/>
      <c r="AN351" s="307"/>
      <c r="AO351" s="307"/>
      <c r="AP351" s="307"/>
      <c r="AQ351" s="307"/>
      <c r="AR351" s="307"/>
    </row>
    <row r="352" spans="1:44" s="457" customFormat="1" ht="12" customHeight="1">
      <c r="A352" s="307"/>
      <c r="B352" s="307"/>
      <c r="C352" s="307"/>
      <c r="D352" s="307"/>
      <c r="E352" s="307"/>
      <c r="F352" s="307"/>
      <c r="G352" s="307"/>
      <c r="H352" s="307"/>
      <c r="I352" s="307"/>
      <c r="J352" s="307"/>
      <c r="K352" s="307"/>
      <c r="L352" s="307"/>
      <c r="M352" s="307"/>
      <c r="N352" s="307"/>
      <c r="O352" s="307"/>
      <c r="P352" s="939"/>
      <c r="Q352" s="937"/>
      <c r="R352" s="937"/>
      <c r="X352" s="307"/>
      <c r="Y352" s="307"/>
      <c r="Z352" s="1753"/>
      <c r="AA352" s="307"/>
      <c r="AB352" s="307"/>
      <c r="AC352" s="307"/>
      <c r="AD352" s="307"/>
      <c r="AE352" s="307"/>
      <c r="AF352" s="307"/>
      <c r="AG352" s="307"/>
      <c r="AH352" s="307"/>
      <c r="AI352" s="307"/>
      <c r="AJ352" s="307"/>
      <c r="AK352" s="307"/>
      <c r="AL352" s="307"/>
      <c r="AM352" s="307"/>
      <c r="AN352" s="307"/>
      <c r="AO352" s="307"/>
      <c r="AP352" s="307"/>
      <c r="AQ352" s="307"/>
      <c r="AR352" s="307"/>
    </row>
    <row r="353" spans="1:44" s="457" customFormat="1" ht="12" customHeight="1">
      <c r="A353" s="307"/>
      <c r="B353" s="307"/>
      <c r="C353" s="307"/>
      <c r="D353" s="307"/>
      <c r="E353" s="307"/>
      <c r="F353" s="307"/>
      <c r="G353" s="307"/>
      <c r="H353" s="307"/>
      <c r="I353" s="307"/>
      <c r="J353" s="307"/>
      <c r="K353" s="307"/>
      <c r="L353" s="307"/>
      <c r="M353" s="307"/>
      <c r="N353" s="307"/>
      <c r="O353" s="307"/>
      <c r="P353" s="2747"/>
      <c r="Q353" s="937"/>
      <c r="R353" s="937"/>
      <c r="X353" s="307"/>
      <c r="Y353" s="307"/>
      <c r="Z353" s="1753"/>
      <c r="AA353" s="307"/>
      <c r="AB353" s="307"/>
      <c r="AC353" s="307"/>
      <c r="AD353" s="307"/>
      <c r="AE353" s="307"/>
      <c r="AF353" s="307"/>
      <c r="AG353" s="307"/>
      <c r="AH353" s="307"/>
      <c r="AI353" s="307"/>
      <c r="AJ353" s="307"/>
      <c r="AK353" s="307"/>
      <c r="AL353" s="307"/>
      <c r="AM353" s="307"/>
      <c r="AN353" s="307"/>
      <c r="AO353" s="307"/>
      <c r="AP353" s="307"/>
      <c r="AQ353" s="307"/>
      <c r="AR353" s="307"/>
    </row>
    <row r="354" spans="1:44" s="457" customFormat="1" ht="12" customHeight="1">
      <c r="A354" s="307"/>
      <c r="B354" s="307"/>
      <c r="C354" s="307"/>
      <c r="D354" s="307"/>
      <c r="E354" s="307"/>
      <c r="F354" s="307"/>
      <c r="G354" s="307"/>
      <c r="H354" s="307"/>
      <c r="I354" s="307"/>
      <c r="J354" s="307"/>
      <c r="K354" s="307"/>
      <c r="L354" s="307"/>
      <c r="M354" s="307"/>
      <c r="N354" s="307"/>
      <c r="O354" s="307"/>
      <c r="P354" s="939"/>
      <c r="Q354" s="2745"/>
      <c r="R354" s="937"/>
      <c r="X354" s="307"/>
      <c r="Y354" s="307"/>
      <c r="Z354" s="1753"/>
      <c r="AA354" s="307"/>
      <c r="AB354" s="307"/>
      <c r="AC354" s="307"/>
      <c r="AD354" s="307"/>
      <c r="AE354" s="307"/>
      <c r="AF354" s="307"/>
      <c r="AG354" s="307"/>
      <c r="AH354" s="307"/>
      <c r="AI354" s="307"/>
      <c r="AJ354" s="307"/>
      <c r="AK354" s="307"/>
      <c r="AL354" s="307"/>
      <c r="AM354" s="307"/>
      <c r="AN354" s="307"/>
      <c r="AO354" s="307"/>
      <c r="AP354" s="307"/>
      <c r="AQ354" s="307"/>
      <c r="AR354" s="307"/>
    </row>
    <row r="355" spans="1:44" s="457" customFormat="1" ht="12" customHeight="1">
      <c r="A355" s="307"/>
      <c r="B355" s="307"/>
      <c r="C355" s="307"/>
      <c r="D355" s="307"/>
      <c r="E355" s="307"/>
      <c r="F355" s="307"/>
      <c r="G355" s="307"/>
      <c r="H355" s="307"/>
      <c r="I355" s="307"/>
      <c r="J355" s="307"/>
      <c r="K355" s="307"/>
      <c r="L355" s="307"/>
      <c r="M355" s="307"/>
      <c r="N355" s="307"/>
      <c r="O355" s="307"/>
      <c r="P355" s="939"/>
      <c r="Q355" s="2745"/>
      <c r="R355" s="937"/>
      <c r="X355" s="307"/>
      <c r="Y355" s="307"/>
      <c r="Z355" s="1753"/>
      <c r="AA355" s="307"/>
      <c r="AB355" s="307"/>
      <c r="AC355" s="307"/>
      <c r="AD355" s="307"/>
      <c r="AE355" s="307"/>
      <c r="AF355" s="307"/>
      <c r="AG355" s="307"/>
      <c r="AH355" s="307"/>
      <c r="AI355" s="307"/>
      <c r="AJ355" s="307"/>
      <c r="AK355" s="307"/>
      <c r="AL355" s="307"/>
      <c r="AM355" s="307"/>
      <c r="AN355" s="307"/>
      <c r="AO355" s="307"/>
      <c r="AP355" s="307"/>
      <c r="AQ355" s="307"/>
      <c r="AR355" s="307"/>
    </row>
    <row r="356" spans="1:44" s="457" customFormat="1" ht="12" customHeight="1">
      <c r="A356" s="307"/>
      <c r="B356" s="307"/>
      <c r="C356" s="307"/>
      <c r="D356" s="307"/>
      <c r="E356" s="307"/>
      <c r="F356" s="307"/>
      <c r="G356" s="307"/>
      <c r="H356" s="307"/>
      <c r="I356" s="307"/>
      <c r="J356" s="307"/>
      <c r="K356" s="307"/>
      <c r="L356" s="307"/>
      <c r="M356" s="307"/>
      <c r="N356" s="307"/>
      <c r="O356" s="307"/>
      <c r="P356" s="939"/>
      <c r="Q356" s="2745"/>
      <c r="R356" s="937"/>
      <c r="X356" s="307"/>
      <c r="Y356" s="307"/>
      <c r="Z356" s="1753"/>
      <c r="AA356" s="307"/>
      <c r="AB356" s="307"/>
      <c r="AC356" s="307"/>
      <c r="AD356" s="307"/>
      <c r="AE356" s="307"/>
      <c r="AF356" s="307"/>
      <c r="AG356" s="307"/>
      <c r="AH356" s="307"/>
      <c r="AI356" s="307"/>
      <c r="AJ356" s="307"/>
      <c r="AK356" s="307"/>
      <c r="AL356" s="307"/>
      <c r="AM356" s="307"/>
      <c r="AN356" s="307"/>
      <c r="AO356" s="307"/>
      <c r="AP356" s="307"/>
      <c r="AQ356" s="307"/>
      <c r="AR356" s="307"/>
    </row>
    <row r="357" spans="1:44" s="457" customFormat="1" ht="12" customHeight="1">
      <c r="A357" s="307"/>
      <c r="B357" s="307"/>
      <c r="C357" s="307"/>
      <c r="D357" s="307"/>
      <c r="E357" s="307"/>
      <c r="F357" s="307"/>
      <c r="G357" s="307"/>
      <c r="H357" s="307"/>
      <c r="I357" s="307"/>
      <c r="J357" s="307"/>
      <c r="K357" s="307"/>
      <c r="L357" s="307"/>
      <c r="M357" s="307"/>
      <c r="N357" s="307"/>
      <c r="O357" s="307"/>
      <c r="P357" s="2746"/>
      <c r="Q357" s="937"/>
      <c r="R357" s="937"/>
      <c r="X357" s="307"/>
      <c r="Y357" s="307"/>
      <c r="Z357" s="1753"/>
      <c r="AA357" s="307"/>
      <c r="AB357" s="307"/>
      <c r="AC357" s="307"/>
      <c r="AD357" s="307"/>
      <c r="AE357" s="307"/>
      <c r="AF357" s="307"/>
      <c r="AG357" s="307"/>
      <c r="AH357" s="307"/>
      <c r="AI357" s="307"/>
      <c r="AJ357" s="307"/>
      <c r="AK357" s="307"/>
      <c r="AL357" s="307"/>
      <c r="AM357" s="307"/>
      <c r="AN357" s="307"/>
      <c r="AO357" s="307"/>
      <c r="AP357" s="307"/>
      <c r="AQ357" s="307"/>
      <c r="AR357" s="307"/>
    </row>
    <row r="358" spans="1:44" s="457" customFormat="1" ht="12" customHeight="1">
      <c r="A358" s="307"/>
      <c r="B358" s="307"/>
      <c r="C358" s="307"/>
      <c r="D358" s="307"/>
      <c r="E358" s="307"/>
      <c r="F358" s="307"/>
      <c r="G358" s="307"/>
      <c r="H358" s="307"/>
      <c r="I358" s="307"/>
      <c r="J358" s="307"/>
      <c r="K358" s="307"/>
      <c r="L358" s="307"/>
      <c r="M358" s="307"/>
      <c r="N358" s="307"/>
      <c r="O358" s="307"/>
      <c r="P358" s="939"/>
      <c r="Q358" s="2745"/>
      <c r="R358" s="937"/>
      <c r="X358" s="307"/>
      <c r="Y358" s="307"/>
      <c r="Z358" s="1753"/>
      <c r="AA358" s="307"/>
      <c r="AB358" s="307"/>
      <c r="AC358" s="307"/>
      <c r="AD358" s="307"/>
      <c r="AE358" s="307"/>
      <c r="AF358" s="307"/>
      <c r="AG358" s="307"/>
      <c r="AH358" s="307"/>
      <c r="AI358" s="307"/>
      <c r="AJ358" s="307"/>
      <c r="AK358" s="307"/>
      <c r="AL358" s="307"/>
      <c r="AM358" s="307"/>
      <c r="AN358" s="307"/>
      <c r="AO358" s="307"/>
      <c r="AP358" s="307"/>
      <c r="AQ358" s="307"/>
      <c r="AR358" s="307"/>
    </row>
    <row r="359" spans="1:44" s="457" customFormat="1" ht="12" customHeight="1">
      <c r="A359" s="307"/>
      <c r="B359" s="307"/>
      <c r="C359" s="307"/>
      <c r="D359" s="307"/>
      <c r="E359" s="307"/>
      <c r="F359" s="307"/>
      <c r="G359" s="307"/>
      <c r="H359" s="307"/>
      <c r="I359" s="307"/>
      <c r="J359" s="307"/>
      <c r="K359" s="307"/>
      <c r="L359" s="307"/>
      <c r="M359" s="307"/>
      <c r="N359" s="307"/>
      <c r="O359" s="307"/>
      <c r="P359" s="2747"/>
      <c r="Q359" s="2745"/>
      <c r="R359" s="937"/>
      <c r="X359" s="307"/>
      <c r="Y359" s="307"/>
      <c r="Z359" s="1753"/>
      <c r="AA359" s="307"/>
      <c r="AB359" s="307"/>
      <c r="AC359" s="307"/>
      <c r="AD359" s="307"/>
      <c r="AE359" s="307"/>
      <c r="AF359" s="307"/>
      <c r="AG359" s="307"/>
      <c r="AH359" s="307"/>
      <c r="AI359" s="307"/>
      <c r="AJ359" s="307"/>
      <c r="AK359" s="307"/>
      <c r="AL359" s="307"/>
      <c r="AM359" s="307"/>
      <c r="AN359" s="307"/>
      <c r="AO359" s="307"/>
      <c r="AP359" s="307"/>
      <c r="AQ359" s="307"/>
      <c r="AR359" s="307"/>
    </row>
    <row r="360" spans="1:44" s="457" customFormat="1" ht="12" customHeight="1">
      <c r="A360" s="307"/>
      <c r="B360" s="307"/>
      <c r="C360" s="307"/>
      <c r="D360" s="307"/>
      <c r="E360" s="307"/>
      <c r="F360" s="307"/>
      <c r="G360" s="307"/>
      <c r="H360" s="307"/>
      <c r="I360" s="307"/>
      <c r="J360" s="307"/>
      <c r="K360" s="307"/>
      <c r="L360" s="307"/>
      <c r="M360" s="307"/>
      <c r="N360" s="307"/>
      <c r="O360" s="307"/>
      <c r="P360" s="939"/>
      <c r="Q360" s="937"/>
      <c r="R360" s="937"/>
      <c r="X360" s="307"/>
      <c r="Y360" s="307"/>
      <c r="Z360" s="1753"/>
      <c r="AA360" s="307"/>
      <c r="AB360" s="307"/>
      <c r="AC360" s="307"/>
      <c r="AD360" s="307"/>
      <c r="AE360" s="307"/>
      <c r="AF360" s="307"/>
      <c r="AG360" s="307"/>
      <c r="AH360" s="307"/>
      <c r="AI360" s="307"/>
      <c r="AJ360" s="307"/>
      <c r="AK360" s="307"/>
      <c r="AL360" s="307"/>
      <c r="AM360" s="307"/>
      <c r="AN360" s="307"/>
      <c r="AO360" s="307"/>
      <c r="AP360" s="307"/>
      <c r="AQ360" s="307"/>
      <c r="AR360" s="307"/>
    </row>
    <row r="361" spans="1:44" s="457" customFormat="1" ht="12" customHeight="1">
      <c r="A361" s="307"/>
      <c r="B361" s="307"/>
      <c r="C361" s="307"/>
      <c r="D361" s="307"/>
      <c r="E361" s="307"/>
      <c r="F361" s="307"/>
      <c r="G361" s="307"/>
      <c r="H361" s="307"/>
      <c r="I361" s="307"/>
      <c r="J361" s="307"/>
      <c r="K361" s="307"/>
      <c r="L361" s="307"/>
      <c r="M361" s="307"/>
      <c r="N361" s="307"/>
      <c r="O361" s="307"/>
      <c r="P361" s="939"/>
      <c r="Q361" s="2745"/>
      <c r="R361" s="937"/>
      <c r="X361" s="307"/>
      <c r="Y361" s="307"/>
      <c r="Z361" s="1753"/>
      <c r="AA361" s="307"/>
      <c r="AB361" s="307"/>
      <c r="AC361" s="307"/>
      <c r="AD361" s="307"/>
      <c r="AE361" s="307"/>
      <c r="AF361" s="307"/>
      <c r="AG361" s="307"/>
      <c r="AH361" s="307"/>
      <c r="AI361" s="307"/>
      <c r="AJ361" s="307"/>
      <c r="AK361" s="307"/>
      <c r="AL361" s="307"/>
      <c r="AM361" s="307"/>
      <c r="AN361" s="307"/>
      <c r="AO361" s="307"/>
      <c r="AP361" s="307"/>
      <c r="AQ361" s="307"/>
      <c r="AR361" s="307"/>
    </row>
    <row r="362" spans="1:44" s="457" customFormat="1" ht="12" customHeight="1">
      <c r="A362" s="307"/>
      <c r="B362" s="307"/>
      <c r="C362" s="307"/>
      <c r="D362" s="307"/>
      <c r="E362" s="307"/>
      <c r="F362" s="307"/>
      <c r="G362" s="307"/>
      <c r="H362" s="307"/>
      <c r="I362" s="307"/>
      <c r="J362" s="307"/>
      <c r="K362" s="307"/>
      <c r="L362" s="307"/>
      <c r="M362" s="307"/>
      <c r="N362" s="307"/>
      <c r="O362" s="307"/>
      <c r="P362" s="939"/>
      <c r="Q362" s="2745"/>
      <c r="R362" s="937"/>
      <c r="X362" s="307"/>
      <c r="Y362" s="307"/>
      <c r="Z362" s="1753"/>
      <c r="AA362" s="307"/>
      <c r="AB362" s="307"/>
      <c r="AC362" s="307"/>
      <c r="AD362" s="307"/>
      <c r="AE362" s="307"/>
      <c r="AF362" s="307"/>
      <c r="AG362" s="307"/>
      <c r="AH362" s="307"/>
      <c r="AI362" s="307"/>
      <c r="AJ362" s="307"/>
      <c r="AK362" s="307"/>
      <c r="AL362" s="307"/>
      <c r="AM362" s="307"/>
      <c r="AN362" s="307"/>
      <c r="AO362" s="307"/>
      <c r="AP362" s="307"/>
      <c r="AQ362" s="307"/>
      <c r="AR362" s="307"/>
    </row>
    <row r="363" spans="1:44" s="457" customFormat="1" ht="12" customHeight="1">
      <c r="A363" s="307"/>
      <c r="B363" s="307"/>
      <c r="C363" s="307"/>
      <c r="D363" s="307"/>
      <c r="E363" s="307"/>
      <c r="F363" s="307"/>
      <c r="G363" s="307"/>
      <c r="H363" s="307"/>
      <c r="I363" s="307"/>
      <c r="J363" s="307"/>
      <c r="K363" s="307"/>
      <c r="L363" s="307"/>
      <c r="M363" s="307"/>
      <c r="N363" s="307"/>
      <c r="O363" s="307"/>
      <c r="P363" s="939"/>
      <c r="Q363" s="2745"/>
      <c r="R363" s="937"/>
      <c r="X363" s="307"/>
      <c r="Y363" s="307"/>
      <c r="Z363" s="1753"/>
      <c r="AA363" s="307"/>
      <c r="AB363" s="307"/>
      <c r="AC363" s="307"/>
      <c r="AD363" s="307"/>
      <c r="AE363" s="307"/>
      <c r="AF363" s="307"/>
      <c r="AG363" s="307"/>
      <c r="AH363" s="307"/>
      <c r="AI363" s="307"/>
      <c r="AJ363" s="307"/>
      <c r="AK363" s="307"/>
      <c r="AL363" s="307"/>
      <c r="AM363" s="307"/>
      <c r="AN363" s="307"/>
      <c r="AO363" s="307"/>
      <c r="AP363" s="307"/>
      <c r="AQ363" s="307"/>
      <c r="AR363" s="307"/>
    </row>
    <row r="364" spans="1:44" s="457" customFormat="1" ht="12" customHeight="1">
      <c r="A364" s="307"/>
      <c r="B364" s="307"/>
      <c r="C364" s="307"/>
      <c r="D364" s="307"/>
      <c r="E364" s="307"/>
      <c r="F364" s="307"/>
      <c r="G364" s="307"/>
      <c r="H364" s="307"/>
      <c r="I364" s="307"/>
      <c r="J364" s="307"/>
      <c r="K364" s="307"/>
      <c r="L364" s="307"/>
      <c r="M364" s="307"/>
      <c r="N364" s="307"/>
      <c r="O364" s="307"/>
      <c r="P364" s="939"/>
      <c r="Q364" s="937"/>
      <c r="R364" s="937"/>
      <c r="X364" s="307"/>
      <c r="Y364" s="307"/>
      <c r="Z364" s="1753"/>
      <c r="AA364" s="307"/>
      <c r="AB364" s="307"/>
      <c r="AC364" s="307"/>
      <c r="AD364" s="307"/>
      <c r="AE364" s="307"/>
      <c r="AF364" s="307"/>
      <c r="AG364" s="307"/>
      <c r="AH364" s="307"/>
      <c r="AI364" s="307"/>
      <c r="AJ364" s="307"/>
      <c r="AK364" s="307"/>
      <c r="AL364" s="307"/>
      <c r="AM364" s="307"/>
      <c r="AN364" s="307"/>
      <c r="AO364" s="307"/>
      <c r="AP364" s="307"/>
      <c r="AQ364" s="307"/>
      <c r="AR364" s="307"/>
    </row>
    <row r="365" spans="1:44" s="457" customFormat="1" ht="12" customHeight="1">
      <c r="A365" s="307"/>
      <c r="B365" s="307"/>
      <c r="C365" s="307"/>
      <c r="D365" s="307"/>
      <c r="E365" s="307"/>
      <c r="F365" s="307"/>
      <c r="G365" s="307"/>
      <c r="H365" s="307"/>
      <c r="I365" s="307"/>
      <c r="J365" s="307"/>
      <c r="K365" s="307"/>
      <c r="L365" s="307"/>
      <c r="M365" s="307"/>
      <c r="N365" s="307"/>
      <c r="O365" s="307"/>
      <c r="P365" s="2746"/>
      <c r="Q365" s="2745"/>
      <c r="R365" s="937"/>
      <c r="X365" s="307"/>
      <c r="Y365" s="307"/>
      <c r="Z365" s="1753"/>
      <c r="AA365" s="307"/>
      <c r="AB365" s="307"/>
      <c r="AC365" s="307"/>
      <c r="AD365" s="307"/>
      <c r="AE365" s="307"/>
      <c r="AF365" s="307"/>
      <c r="AG365" s="307"/>
      <c r="AH365" s="307"/>
      <c r="AI365" s="307"/>
      <c r="AJ365" s="307"/>
      <c r="AK365" s="307"/>
      <c r="AL365" s="307"/>
      <c r="AM365" s="307"/>
      <c r="AN365" s="307"/>
      <c r="AO365" s="307"/>
      <c r="AP365" s="307"/>
      <c r="AQ365" s="307"/>
      <c r="AR365" s="307"/>
    </row>
    <row r="366" spans="1:44" s="457" customFormat="1" ht="12" customHeight="1">
      <c r="A366" s="307"/>
      <c r="B366" s="307"/>
      <c r="C366" s="307"/>
      <c r="D366" s="307"/>
      <c r="E366" s="307"/>
      <c r="F366" s="307"/>
      <c r="G366" s="307"/>
      <c r="H366" s="307"/>
      <c r="I366" s="307"/>
      <c r="J366" s="307"/>
      <c r="K366" s="307"/>
      <c r="L366" s="307"/>
      <c r="M366" s="307"/>
      <c r="N366" s="307"/>
      <c r="O366" s="307"/>
      <c r="P366" s="939"/>
      <c r="Q366" s="2745"/>
      <c r="R366" s="937"/>
      <c r="X366" s="307"/>
      <c r="Y366" s="307"/>
      <c r="Z366" s="1753"/>
      <c r="AA366" s="307"/>
      <c r="AB366" s="307"/>
      <c r="AC366" s="307"/>
      <c r="AD366" s="307"/>
      <c r="AE366" s="307"/>
      <c r="AF366" s="307"/>
      <c r="AG366" s="307"/>
      <c r="AH366" s="307"/>
      <c r="AI366" s="307"/>
      <c r="AJ366" s="307"/>
      <c r="AK366" s="307"/>
      <c r="AL366" s="307"/>
      <c r="AM366" s="307"/>
      <c r="AN366" s="307"/>
      <c r="AO366" s="307"/>
      <c r="AP366" s="307"/>
      <c r="AQ366" s="307"/>
      <c r="AR366" s="307"/>
    </row>
    <row r="367" spans="1:44" s="457" customFormat="1" ht="12" customHeight="1">
      <c r="A367" s="307"/>
      <c r="B367" s="307"/>
      <c r="C367" s="307"/>
      <c r="D367" s="307"/>
      <c r="E367" s="307"/>
      <c r="F367" s="307"/>
      <c r="G367" s="307"/>
      <c r="H367" s="307"/>
      <c r="I367" s="307"/>
      <c r="J367" s="307"/>
      <c r="K367" s="307"/>
      <c r="L367" s="307"/>
      <c r="M367" s="307"/>
      <c r="N367" s="307"/>
      <c r="O367" s="307"/>
      <c r="P367" s="939"/>
      <c r="Q367" s="2745"/>
      <c r="R367" s="937"/>
      <c r="X367" s="307"/>
      <c r="Y367" s="307"/>
      <c r="Z367" s="1753"/>
      <c r="AA367" s="307"/>
      <c r="AB367" s="307"/>
      <c r="AC367" s="307"/>
      <c r="AD367" s="307"/>
      <c r="AE367" s="307"/>
      <c r="AF367" s="307"/>
      <c r="AG367" s="307"/>
      <c r="AH367" s="307"/>
      <c r="AI367" s="307"/>
      <c r="AJ367" s="307"/>
      <c r="AK367" s="307"/>
      <c r="AL367" s="307"/>
      <c r="AM367" s="307"/>
      <c r="AN367" s="307"/>
      <c r="AO367" s="307"/>
      <c r="AP367" s="307"/>
      <c r="AQ367" s="307"/>
      <c r="AR367" s="307"/>
    </row>
    <row r="368" spans="1:44" s="457" customFormat="1" ht="12" customHeight="1">
      <c r="A368" s="307"/>
      <c r="B368" s="307"/>
      <c r="C368" s="307"/>
      <c r="D368" s="307"/>
      <c r="E368" s="307"/>
      <c r="F368" s="307"/>
      <c r="G368" s="307"/>
      <c r="H368" s="307"/>
      <c r="I368" s="307"/>
      <c r="J368" s="307"/>
      <c r="K368" s="307"/>
      <c r="L368" s="307"/>
      <c r="M368" s="307"/>
      <c r="N368" s="307"/>
      <c r="O368" s="307"/>
      <c r="P368" s="939"/>
      <c r="Q368" s="2745"/>
      <c r="R368" s="937"/>
      <c r="X368" s="307"/>
      <c r="Y368" s="307"/>
      <c r="Z368" s="1753"/>
      <c r="AA368" s="307"/>
      <c r="AB368" s="307"/>
      <c r="AC368" s="307"/>
      <c r="AD368" s="307"/>
      <c r="AE368" s="307"/>
      <c r="AF368" s="307"/>
      <c r="AG368" s="307"/>
      <c r="AH368" s="307"/>
      <c r="AI368" s="307"/>
      <c r="AJ368" s="307"/>
      <c r="AK368" s="307"/>
      <c r="AL368" s="307"/>
      <c r="AM368" s="307"/>
      <c r="AN368" s="307"/>
      <c r="AO368" s="307"/>
      <c r="AP368" s="307"/>
      <c r="AQ368" s="307"/>
      <c r="AR368" s="307"/>
    </row>
    <row r="369" spans="1:44" s="457" customFormat="1" ht="12" customHeight="1">
      <c r="A369" s="307"/>
      <c r="B369" s="307"/>
      <c r="C369" s="307"/>
      <c r="D369" s="307"/>
      <c r="E369" s="307"/>
      <c r="F369" s="307"/>
      <c r="G369" s="307"/>
      <c r="H369" s="307"/>
      <c r="I369" s="307"/>
      <c r="J369" s="307"/>
      <c r="K369" s="307"/>
      <c r="L369" s="307"/>
      <c r="M369" s="307"/>
      <c r="N369" s="307"/>
      <c r="O369" s="307"/>
      <c r="P369" s="939"/>
      <c r="Q369" s="2745"/>
      <c r="R369" s="937"/>
      <c r="X369" s="307"/>
      <c r="Y369" s="307"/>
      <c r="Z369" s="1753"/>
      <c r="AA369" s="307"/>
      <c r="AB369" s="307"/>
      <c r="AC369" s="307"/>
      <c r="AD369" s="307"/>
      <c r="AE369" s="307"/>
      <c r="AF369" s="307"/>
      <c r="AG369" s="307"/>
      <c r="AH369" s="307"/>
      <c r="AI369" s="307"/>
      <c r="AJ369" s="307"/>
      <c r="AK369" s="307"/>
      <c r="AL369" s="307"/>
      <c r="AM369" s="307"/>
      <c r="AN369" s="307"/>
      <c r="AO369" s="307"/>
      <c r="AP369" s="307"/>
      <c r="AQ369" s="307"/>
      <c r="AR369" s="307"/>
    </row>
    <row r="370" spans="1:44" s="457" customFormat="1" ht="12" customHeight="1">
      <c r="A370" s="307"/>
      <c r="B370" s="307"/>
      <c r="C370" s="307"/>
      <c r="D370" s="307"/>
      <c r="E370" s="307"/>
      <c r="F370" s="307"/>
      <c r="G370" s="307"/>
      <c r="H370" s="307"/>
      <c r="I370" s="307"/>
      <c r="J370" s="307"/>
      <c r="K370" s="307"/>
      <c r="L370" s="307"/>
      <c r="M370" s="307"/>
      <c r="N370" s="307"/>
      <c r="O370" s="307"/>
      <c r="P370" s="939"/>
      <c r="Q370" s="2745"/>
      <c r="R370" s="937"/>
      <c r="X370" s="307"/>
      <c r="Y370" s="307"/>
      <c r="Z370" s="1753"/>
      <c r="AA370" s="307"/>
      <c r="AB370" s="307"/>
      <c r="AC370" s="307"/>
      <c r="AD370" s="307"/>
      <c r="AE370" s="307"/>
      <c r="AF370" s="307"/>
      <c r="AG370" s="307"/>
      <c r="AH370" s="307"/>
      <c r="AI370" s="307"/>
      <c r="AJ370" s="307"/>
      <c r="AK370" s="307"/>
      <c r="AL370" s="307"/>
      <c r="AM370" s="307"/>
      <c r="AN370" s="307"/>
      <c r="AO370" s="307"/>
      <c r="AP370" s="307"/>
      <c r="AQ370" s="307"/>
      <c r="AR370" s="307"/>
    </row>
    <row r="371" spans="1:44" s="457" customFormat="1" ht="12" customHeight="1">
      <c r="A371" s="307"/>
      <c r="B371" s="307"/>
      <c r="C371" s="307"/>
      <c r="D371" s="307"/>
      <c r="E371" s="307"/>
      <c r="F371" s="307"/>
      <c r="G371" s="307"/>
      <c r="H371" s="307"/>
      <c r="I371" s="307"/>
      <c r="J371" s="307"/>
      <c r="K371" s="307"/>
      <c r="L371" s="307"/>
      <c r="M371" s="307"/>
      <c r="N371" s="307"/>
      <c r="O371" s="307"/>
      <c r="P371" s="939"/>
      <c r="Q371" s="2745"/>
      <c r="R371" s="937"/>
      <c r="X371" s="307"/>
      <c r="Y371" s="307"/>
      <c r="Z371" s="1753"/>
      <c r="AA371" s="307"/>
      <c r="AB371" s="307"/>
      <c r="AC371" s="307"/>
      <c r="AD371" s="307"/>
      <c r="AE371" s="307"/>
      <c r="AF371" s="307"/>
      <c r="AG371" s="307"/>
      <c r="AH371" s="307"/>
      <c r="AI371" s="307"/>
      <c r="AJ371" s="307"/>
      <c r="AK371" s="307"/>
      <c r="AL371" s="307"/>
      <c r="AM371" s="307"/>
      <c r="AN371" s="307"/>
      <c r="AO371" s="307"/>
      <c r="AP371" s="307"/>
      <c r="AQ371" s="307"/>
      <c r="AR371" s="307"/>
    </row>
    <row r="372" spans="1:44" s="457" customFormat="1" ht="12" customHeight="1">
      <c r="A372" s="307"/>
      <c r="B372" s="307"/>
      <c r="C372" s="307"/>
      <c r="D372" s="307"/>
      <c r="E372" s="307"/>
      <c r="F372" s="307"/>
      <c r="G372" s="307"/>
      <c r="H372" s="307"/>
      <c r="I372" s="307"/>
      <c r="J372" s="307"/>
      <c r="K372" s="307"/>
      <c r="L372" s="307"/>
      <c r="M372" s="307"/>
      <c r="N372" s="307"/>
      <c r="O372" s="307"/>
      <c r="P372" s="939"/>
      <c r="Q372" s="2745"/>
      <c r="R372" s="937"/>
      <c r="X372" s="307"/>
      <c r="Y372" s="307"/>
      <c r="Z372" s="1753"/>
      <c r="AA372" s="307"/>
      <c r="AB372" s="307"/>
      <c r="AC372" s="307"/>
      <c r="AD372" s="307"/>
      <c r="AE372" s="307"/>
      <c r="AF372" s="307"/>
      <c r="AG372" s="307"/>
      <c r="AH372" s="307"/>
      <c r="AI372" s="307"/>
      <c r="AJ372" s="307"/>
      <c r="AK372" s="307"/>
      <c r="AL372" s="307"/>
      <c r="AM372" s="307"/>
      <c r="AN372" s="307"/>
      <c r="AO372" s="307"/>
      <c r="AP372" s="307"/>
      <c r="AQ372" s="307"/>
      <c r="AR372" s="307"/>
    </row>
    <row r="373" spans="1:44" s="457" customFormat="1" ht="12" customHeight="1">
      <c r="A373" s="307"/>
      <c r="B373" s="307"/>
      <c r="C373" s="307"/>
      <c r="D373" s="307"/>
      <c r="E373" s="307"/>
      <c r="F373" s="307"/>
      <c r="G373" s="307"/>
      <c r="H373" s="307"/>
      <c r="I373" s="307"/>
      <c r="J373" s="307"/>
      <c r="K373" s="307"/>
      <c r="L373" s="307"/>
      <c r="M373" s="307"/>
      <c r="N373" s="307"/>
      <c r="O373" s="307"/>
      <c r="P373" s="939"/>
      <c r="Q373" s="2745"/>
      <c r="R373" s="937"/>
      <c r="X373" s="307"/>
      <c r="Y373" s="307"/>
      <c r="Z373" s="1753"/>
      <c r="AA373" s="307"/>
      <c r="AB373" s="307"/>
      <c r="AC373" s="307"/>
      <c r="AD373" s="307"/>
      <c r="AE373" s="307"/>
      <c r="AF373" s="307"/>
      <c r="AG373" s="307"/>
      <c r="AH373" s="307"/>
      <c r="AI373" s="307"/>
      <c r="AJ373" s="307"/>
      <c r="AK373" s="307"/>
      <c r="AL373" s="307"/>
      <c r="AM373" s="307"/>
      <c r="AN373" s="307"/>
      <c r="AO373" s="307"/>
      <c r="AP373" s="307"/>
      <c r="AQ373" s="307"/>
      <c r="AR373" s="307"/>
    </row>
    <row r="374" spans="1:44" s="457" customFormat="1" ht="12" customHeight="1">
      <c r="A374" s="307"/>
      <c r="B374" s="307"/>
      <c r="C374" s="307"/>
      <c r="D374" s="307"/>
      <c r="E374" s="307"/>
      <c r="F374" s="307"/>
      <c r="G374" s="307"/>
      <c r="H374" s="307"/>
      <c r="I374" s="307"/>
      <c r="J374" s="307"/>
      <c r="K374" s="307"/>
      <c r="L374" s="307"/>
      <c r="M374" s="307"/>
      <c r="N374" s="307"/>
      <c r="O374" s="307"/>
      <c r="P374" s="939"/>
      <c r="Q374" s="2745"/>
      <c r="R374" s="937"/>
      <c r="X374" s="307"/>
      <c r="Y374" s="307"/>
      <c r="Z374" s="1753"/>
      <c r="AA374" s="307"/>
      <c r="AB374" s="307"/>
      <c r="AC374" s="307"/>
      <c r="AD374" s="307"/>
      <c r="AE374" s="307"/>
      <c r="AF374" s="307"/>
      <c r="AG374" s="307"/>
      <c r="AH374" s="307"/>
      <c r="AI374" s="307"/>
      <c r="AJ374" s="307"/>
      <c r="AK374" s="307"/>
      <c r="AL374" s="307"/>
      <c r="AM374" s="307"/>
      <c r="AN374" s="307"/>
      <c r="AO374" s="307"/>
      <c r="AP374" s="307"/>
      <c r="AQ374" s="307"/>
      <c r="AR374" s="307"/>
    </row>
    <row r="375" spans="1:44" s="457" customFormat="1" ht="12" customHeight="1">
      <c r="A375" s="307"/>
      <c r="B375" s="307"/>
      <c r="C375" s="307"/>
      <c r="D375" s="307"/>
      <c r="E375" s="307"/>
      <c r="F375" s="307"/>
      <c r="G375" s="307"/>
      <c r="H375" s="307"/>
      <c r="I375" s="307"/>
      <c r="J375" s="307"/>
      <c r="K375" s="307"/>
      <c r="L375" s="307"/>
      <c r="M375" s="307"/>
      <c r="N375" s="307"/>
      <c r="O375" s="307"/>
      <c r="P375" s="939"/>
      <c r="Q375" s="2745"/>
      <c r="R375" s="937"/>
      <c r="X375" s="307"/>
      <c r="Y375" s="307"/>
      <c r="Z375" s="1753"/>
      <c r="AA375" s="307"/>
      <c r="AB375" s="307"/>
      <c r="AC375" s="307"/>
      <c r="AD375" s="307"/>
      <c r="AE375" s="307"/>
      <c r="AF375" s="307"/>
      <c r="AG375" s="307"/>
      <c r="AH375" s="307"/>
      <c r="AI375" s="307"/>
      <c r="AJ375" s="307"/>
      <c r="AK375" s="307"/>
      <c r="AL375" s="307"/>
      <c r="AM375" s="307"/>
      <c r="AN375" s="307"/>
      <c r="AO375" s="307"/>
      <c r="AP375" s="307"/>
      <c r="AQ375" s="307"/>
      <c r="AR375" s="307"/>
    </row>
    <row r="376" spans="1:44" s="457" customFormat="1" ht="12" customHeight="1">
      <c r="A376" s="307"/>
      <c r="B376" s="307"/>
      <c r="C376" s="307"/>
      <c r="D376" s="307"/>
      <c r="E376" s="307"/>
      <c r="F376" s="307"/>
      <c r="G376" s="307"/>
      <c r="H376" s="307"/>
      <c r="I376" s="307"/>
      <c r="J376" s="307"/>
      <c r="K376" s="307"/>
      <c r="L376" s="307"/>
      <c r="M376" s="307"/>
      <c r="N376" s="307"/>
      <c r="O376" s="307"/>
      <c r="P376" s="939"/>
      <c r="Q376" s="2745"/>
      <c r="R376" s="937"/>
      <c r="X376" s="307"/>
      <c r="Y376" s="307"/>
      <c r="Z376" s="1753"/>
      <c r="AA376" s="307"/>
      <c r="AB376" s="307"/>
      <c r="AC376" s="307"/>
      <c r="AD376" s="307"/>
      <c r="AE376" s="307"/>
      <c r="AF376" s="307"/>
      <c r="AG376" s="307"/>
      <c r="AH376" s="307"/>
      <c r="AI376" s="307"/>
      <c r="AJ376" s="307"/>
      <c r="AK376" s="307"/>
      <c r="AL376" s="307"/>
      <c r="AM376" s="307"/>
      <c r="AN376" s="307"/>
      <c r="AO376" s="307"/>
      <c r="AP376" s="307"/>
      <c r="AQ376" s="307"/>
      <c r="AR376" s="307"/>
    </row>
    <row r="377" spans="1:44" s="457" customFormat="1" ht="12" customHeight="1">
      <c r="A377" s="307"/>
      <c r="B377" s="307"/>
      <c r="C377" s="307"/>
      <c r="D377" s="307"/>
      <c r="E377" s="307"/>
      <c r="F377" s="307"/>
      <c r="G377" s="307"/>
      <c r="H377" s="307"/>
      <c r="I377" s="307"/>
      <c r="J377" s="307"/>
      <c r="K377" s="307"/>
      <c r="L377" s="307"/>
      <c r="M377" s="307"/>
      <c r="N377" s="307"/>
      <c r="O377" s="307"/>
      <c r="P377" s="939"/>
      <c r="Q377" s="2745"/>
      <c r="R377" s="937"/>
      <c r="X377" s="307"/>
      <c r="Y377" s="307"/>
      <c r="Z377" s="1753"/>
      <c r="AA377" s="307"/>
      <c r="AB377" s="307"/>
      <c r="AC377" s="307"/>
      <c r="AD377" s="307"/>
      <c r="AE377" s="307"/>
      <c r="AF377" s="307"/>
      <c r="AG377" s="307"/>
      <c r="AH377" s="307"/>
      <c r="AI377" s="307"/>
      <c r="AJ377" s="307"/>
      <c r="AK377" s="307"/>
      <c r="AL377" s="307"/>
      <c r="AM377" s="307"/>
      <c r="AN377" s="307"/>
      <c r="AO377" s="307"/>
      <c r="AP377" s="307"/>
      <c r="AQ377" s="307"/>
      <c r="AR377" s="307"/>
    </row>
    <row r="378" spans="1:44" s="457" customFormat="1" ht="12" customHeight="1">
      <c r="A378" s="307"/>
      <c r="B378" s="307"/>
      <c r="C378" s="307"/>
      <c r="D378" s="307"/>
      <c r="E378" s="307"/>
      <c r="F378" s="307"/>
      <c r="G378" s="307"/>
      <c r="H378" s="307"/>
      <c r="I378" s="307"/>
      <c r="J378" s="307"/>
      <c r="K378" s="307"/>
      <c r="L378" s="307"/>
      <c r="M378" s="307"/>
      <c r="N378" s="307"/>
      <c r="O378" s="307"/>
      <c r="P378" s="939"/>
      <c r="Q378" s="2745"/>
      <c r="R378" s="937"/>
      <c r="X378" s="307"/>
      <c r="Y378" s="307"/>
      <c r="Z378" s="1753"/>
      <c r="AA378" s="307"/>
      <c r="AB378" s="307"/>
      <c r="AC378" s="307"/>
      <c r="AD378" s="307"/>
      <c r="AE378" s="307"/>
      <c r="AF378" s="307"/>
      <c r="AG378" s="307"/>
      <c r="AH378" s="307"/>
      <c r="AI378" s="307"/>
      <c r="AJ378" s="307"/>
      <c r="AK378" s="307"/>
      <c r="AL378" s="307"/>
      <c r="AM378" s="307"/>
      <c r="AN378" s="307"/>
      <c r="AO378" s="307"/>
      <c r="AP378" s="307"/>
      <c r="AQ378" s="307"/>
      <c r="AR378" s="307"/>
    </row>
    <row r="379" spans="1:44" s="457" customFormat="1" ht="12" customHeight="1">
      <c r="A379" s="307"/>
      <c r="B379" s="307"/>
      <c r="C379" s="307"/>
      <c r="D379" s="307"/>
      <c r="E379" s="307"/>
      <c r="F379" s="307"/>
      <c r="G379" s="307"/>
      <c r="H379" s="307"/>
      <c r="I379" s="307"/>
      <c r="J379" s="307"/>
      <c r="K379" s="307"/>
      <c r="L379" s="307"/>
      <c r="M379" s="307"/>
      <c r="N379" s="307"/>
      <c r="O379" s="307"/>
      <c r="P379" s="939"/>
      <c r="Q379" s="2745"/>
      <c r="R379" s="937"/>
      <c r="X379" s="307"/>
      <c r="Y379" s="307"/>
      <c r="Z379" s="1753"/>
      <c r="AA379" s="307"/>
      <c r="AB379" s="307"/>
      <c r="AC379" s="307"/>
      <c r="AD379" s="307"/>
      <c r="AE379" s="307"/>
      <c r="AF379" s="307"/>
      <c r="AG379" s="307"/>
      <c r="AH379" s="307"/>
      <c r="AI379" s="307"/>
      <c r="AJ379" s="307"/>
      <c r="AK379" s="307"/>
      <c r="AL379" s="307"/>
      <c r="AM379" s="307"/>
      <c r="AN379" s="307"/>
      <c r="AO379" s="307"/>
      <c r="AP379" s="307"/>
      <c r="AQ379" s="307"/>
      <c r="AR379" s="307"/>
    </row>
    <row r="380" spans="1:44" s="457" customFormat="1" ht="12" customHeight="1">
      <c r="A380" s="307"/>
      <c r="B380" s="307"/>
      <c r="C380" s="307"/>
      <c r="D380" s="307"/>
      <c r="E380" s="307"/>
      <c r="F380" s="307"/>
      <c r="G380" s="307"/>
      <c r="H380" s="307"/>
      <c r="I380" s="307"/>
      <c r="J380" s="307"/>
      <c r="K380" s="307"/>
      <c r="L380" s="307"/>
      <c r="M380" s="307"/>
      <c r="N380" s="307"/>
      <c r="O380" s="307"/>
      <c r="P380" s="939"/>
      <c r="Q380" s="2745"/>
      <c r="R380" s="937"/>
      <c r="X380" s="307"/>
      <c r="Y380" s="307"/>
      <c r="Z380" s="1753"/>
      <c r="AA380" s="307"/>
      <c r="AB380" s="307"/>
      <c r="AC380" s="307"/>
      <c r="AD380" s="307"/>
      <c r="AE380" s="307"/>
      <c r="AF380" s="307"/>
      <c r="AG380" s="307"/>
      <c r="AH380" s="307"/>
      <c r="AI380" s="307"/>
      <c r="AJ380" s="307"/>
      <c r="AK380" s="307"/>
      <c r="AL380" s="307"/>
      <c r="AM380" s="307"/>
      <c r="AN380" s="307"/>
      <c r="AO380" s="307"/>
      <c r="AP380" s="307"/>
      <c r="AQ380" s="307"/>
      <c r="AR380" s="307"/>
    </row>
    <row r="381" spans="1:44" s="457" customFormat="1" ht="12" customHeight="1">
      <c r="A381" s="307"/>
      <c r="B381" s="307"/>
      <c r="C381" s="307"/>
      <c r="D381" s="307"/>
      <c r="E381" s="307"/>
      <c r="F381" s="307"/>
      <c r="G381" s="307"/>
      <c r="H381" s="307"/>
      <c r="I381" s="307"/>
      <c r="J381" s="307"/>
      <c r="K381" s="307"/>
      <c r="L381" s="307"/>
      <c r="M381" s="307"/>
      <c r="N381" s="307"/>
      <c r="O381" s="307"/>
      <c r="P381" s="939"/>
      <c r="Q381" s="2745"/>
      <c r="R381" s="937"/>
      <c r="X381" s="307"/>
      <c r="Y381" s="307"/>
      <c r="Z381" s="1753"/>
      <c r="AA381" s="307"/>
      <c r="AB381" s="307"/>
      <c r="AC381" s="307"/>
      <c r="AD381" s="307"/>
      <c r="AE381" s="307"/>
      <c r="AF381" s="307"/>
      <c r="AG381" s="307"/>
      <c r="AH381" s="307"/>
      <c r="AI381" s="307"/>
      <c r="AJ381" s="307"/>
      <c r="AK381" s="307"/>
      <c r="AL381" s="307"/>
      <c r="AM381" s="307"/>
      <c r="AN381" s="307"/>
      <c r="AO381" s="307"/>
      <c r="AP381" s="307"/>
      <c r="AQ381" s="307"/>
      <c r="AR381" s="307"/>
    </row>
    <row r="382" spans="1:44" s="457" customFormat="1" ht="12" customHeight="1">
      <c r="A382" s="307"/>
      <c r="B382" s="307"/>
      <c r="C382" s="307"/>
      <c r="D382" s="307"/>
      <c r="E382" s="307"/>
      <c r="F382" s="307"/>
      <c r="G382" s="307"/>
      <c r="H382" s="307"/>
      <c r="I382" s="307"/>
      <c r="J382" s="307"/>
      <c r="K382" s="307"/>
      <c r="L382" s="307"/>
      <c r="M382" s="307"/>
      <c r="N382" s="307"/>
      <c r="O382" s="307"/>
      <c r="P382" s="939"/>
      <c r="Q382" s="2745"/>
      <c r="R382" s="937"/>
      <c r="X382" s="307"/>
      <c r="Y382" s="307"/>
      <c r="Z382" s="1753"/>
      <c r="AA382" s="307"/>
      <c r="AB382" s="307"/>
      <c r="AC382" s="307"/>
      <c r="AD382" s="307"/>
      <c r="AE382" s="307"/>
      <c r="AF382" s="307"/>
      <c r="AG382" s="307"/>
      <c r="AH382" s="307"/>
      <c r="AI382" s="307"/>
      <c r="AJ382" s="307"/>
      <c r="AK382" s="307"/>
      <c r="AL382" s="307"/>
      <c r="AM382" s="307"/>
      <c r="AN382" s="307"/>
      <c r="AO382" s="307"/>
      <c r="AP382" s="307"/>
      <c r="AQ382" s="307"/>
      <c r="AR382" s="307"/>
    </row>
    <row r="383" spans="1:44" s="457" customFormat="1" ht="12" customHeight="1">
      <c r="A383" s="307"/>
      <c r="B383" s="307"/>
      <c r="C383" s="307"/>
      <c r="D383" s="307"/>
      <c r="E383" s="307"/>
      <c r="F383" s="307"/>
      <c r="G383" s="307"/>
      <c r="H383" s="307"/>
      <c r="I383" s="307"/>
      <c r="J383" s="307"/>
      <c r="K383" s="307"/>
      <c r="L383" s="307"/>
      <c r="M383" s="307"/>
      <c r="N383" s="307"/>
      <c r="O383" s="307"/>
      <c r="P383" s="2747"/>
      <c r="Q383" s="2745"/>
      <c r="R383" s="937"/>
      <c r="X383" s="307"/>
      <c r="Y383" s="307"/>
      <c r="Z383" s="1753"/>
      <c r="AA383" s="307"/>
      <c r="AB383" s="307"/>
      <c r="AC383" s="307"/>
      <c r="AD383" s="307"/>
      <c r="AE383" s="307"/>
      <c r="AF383" s="307"/>
      <c r="AG383" s="307"/>
      <c r="AH383" s="307"/>
      <c r="AI383" s="307"/>
      <c r="AJ383" s="307"/>
      <c r="AK383" s="307"/>
      <c r="AL383" s="307"/>
      <c r="AM383" s="307"/>
      <c r="AN383" s="307"/>
      <c r="AO383" s="307"/>
      <c r="AP383" s="307"/>
      <c r="AQ383" s="307"/>
      <c r="AR383" s="307"/>
    </row>
    <row r="384" spans="1:44" s="457" customFormat="1" ht="12" customHeight="1">
      <c r="A384" s="307"/>
      <c r="B384" s="307"/>
      <c r="C384" s="307"/>
      <c r="D384" s="307"/>
      <c r="E384" s="307"/>
      <c r="F384" s="307"/>
      <c r="G384" s="307"/>
      <c r="H384" s="307"/>
      <c r="I384" s="307"/>
      <c r="J384" s="307"/>
      <c r="K384" s="307"/>
      <c r="L384" s="307"/>
      <c r="M384" s="307"/>
      <c r="N384" s="307"/>
      <c r="O384" s="307"/>
      <c r="P384" s="939"/>
      <c r="Q384" s="2745"/>
      <c r="R384" s="937"/>
      <c r="X384" s="307"/>
      <c r="Y384" s="307"/>
      <c r="Z384" s="1753"/>
      <c r="AA384" s="307"/>
      <c r="AB384" s="307"/>
      <c r="AC384" s="307"/>
      <c r="AD384" s="307"/>
      <c r="AE384" s="307"/>
      <c r="AF384" s="307"/>
      <c r="AG384" s="307"/>
      <c r="AH384" s="307"/>
      <c r="AI384" s="307"/>
      <c r="AJ384" s="307"/>
      <c r="AK384" s="307"/>
      <c r="AL384" s="307"/>
      <c r="AM384" s="307"/>
      <c r="AN384" s="307"/>
      <c r="AO384" s="307"/>
      <c r="AP384" s="307"/>
      <c r="AQ384" s="307"/>
      <c r="AR384" s="307"/>
    </row>
    <row r="385" spans="1:44" s="457" customFormat="1" ht="12" customHeight="1">
      <c r="A385" s="307"/>
      <c r="B385" s="307"/>
      <c r="C385" s="307"/>
      <c r="D385" s="307"/>
      <c r="E385" s="307"/>
      <c r="F385" s="307"/>
      <c r="G385" s="307"/>
      <c r="H385" s="307"/>
      <c r="I385" s="307"/>
      <c r="J385" s="307"/>
      <c r="K385" s="307"/>
      <c r="L385" s="307"/>
      <c r="M385" s="307"/>
      <c r="N385" s="307"/>
      <c r="O385" s="307"/>
      <c r="P385" s="939"/>
      <c r="Q385" s="2745"/>
      <c r="R385" s="939"/>
      <c r="S385" s="2748"/>
      <c r="X385" s="307"/>
      <c r="Y385" s="307"/>
      <c r="Z385" s="1753"/>
      <c r="AA385" s="307"/>
      <c r="AB385" s="307"/>
      <c r="AC385" s="307"/>
      <c r="AD385" s="307"/>
      <c r="AE385" s="307"/>
      <c r="AF385" s="307"/>
      <c r="AG385" s="307"/>
      <c r="AH385" s="307"/>
      <c r="AI385" s="307"/>
      <c r="AJ385" s="307"/>
      <c r="AK385" s="307"/>
      <c r="AL385" s="307"/>
      <c r="AM385" s="307"/>
      <c r="AN385" s="307"/>
      <c r="AO385" s="307"/>
      <c r="AP385" s="307"/>
      <c r="AQ385" s="307"/>
      <c r="AR385" s="307"/>
    </row>
    <row r="386" spans="1:44" s="457" customFormat="1" ht="12" customHeight="1">
      <c r="A386" s="307"/>
      <c r="B386" s="307"/>
      <c r="C386" s="307"/>
      <c r="D386" s="307"/>
      <c r="E386" s="307"/>
      <c r="F386" s="307"/>
      <c r="G386" s="307"/>
      <c r="H386" s="307"/>
      <c r="I386" s="307"/>
      <c r="J386" s="307"/>
      <c r="K386" s="307"/>
      <c r="L386" s="307"/>
      <c r="M386" s="307"/>
      <c r="N386" s="307"/>
      <c r="O386" s="307"/>
      <c r="P386" s="939"/>
      <c r="Q386" s="2745"/>
      <c r="R386" s="939"/>
      <c r="S386" s="2748"/>
      <c r="X386" s="307"/>
      <c r="Y386" s="307"/>
      <c r="Z386" s="1753"/>
      <c r="AA386" s="307"/>
      <c r="AB386" s="307"/>
      <c r="AC386" s="307"/>
      <c r="AD386" s="307"/>
      <c r="AE386" s="307"/>
      <c r="AF386" s="307"/>
      <c r="AG386" s="307"/>
      <c r="AH386" s="307"/>
      <c r="AI386" s="307"/>
      <c r="AJ386" s="307"/>
      <c r="AK386" s="307"/>
      <c r="AL386" s="307"/>
      <c r="AM386" s="307"/>
      <c r="AN386" s="307"/>
      <c r="AO386" s="307"/>
      <c r="AP386" s="307"/>
      <c r="AQ386" s="307"/>
      <c r="AR386" s="307"/>
    </row>
    <row r="387" spans="1:44" s="457" customFormat="1" ht="12" customHeight="1">
      <c r="A387" s="307"/>
      <c r="B387" s="307"/>
      <c r="C387" s="307"/>
      <c r="D387" s="307"/>
      <c r="E387" s="307"/>
      <c r="F387" s="307"/>
      <c r="G387" s="307"/>
      <c r="H387" s="307"/>
      <c r="I387" s="307"/>
      <c r="J387" s="307"/>
      <c r="K387" s="307"/>
      <c r="L387" s="307"/>
      <c r="M387" s="307"/>
      <c r="N387" s="307"/>
      <c r="O387" s="307"/>
      <c r="P387" s="939"/>
      <c r="Q387" s="2745"/>
      <c r="R387" s="939"/>
      <c r="S387" s="2748"/>
      <c r="X387" s="307"/>
      <c r="Y387" s="307"/>
      <c r="Z387" s="1753"/>
      <c r="AA387" s="307"/>
      <c r="AB387" s="307"/>
      <c r="AC387" s="307"/>
      <c r="AD387" s="307"/>
      <c r="AE387" s="307"/>
      <c r="AF387" s="307"/>
      <c r="AG387" s="307"/>
      <c r="AH387" s="307"/>
      <c r="AI387" s="307"/>
      <c r="AJ387" s="307"/>
      <c r="AK387" s="307"/>
      <c r="AL387" s="307"/>
      <c r="AM387" s="307"/>
      <c r="AN387" s="307"/>
      <c r="AO387" s="307"/>
      <c r="AP387" s="307"/>
      <c r="AQ387" s="307"/>
      <c r="AR387" s="307"/>
    </row>
    <row r="388" spans="1:44" s="457" customFormat="1" ht="12" customHeight="1">
      <c r="A388" s="307"/>
      <c r="B388" s="307"/>
      <c r="C388" s="307"/>
      <c r="D388" s="307"/>
      <c r="E388" s="307"/>
      <c r="F388" s="307"/>
      <c r="G388" s="307"/>
      <c r="H388" s="307"/>
      <c r="I388" s="307"/>
      <c r="J388" s="307"/>
      <c r="K388" s="307"/>
      <c r="L388" s="307"/>
      <c r="M388" s="307"/>
      <c r="N388" s="307"/>
      <c r="O388" s="307"/>
      <c r="P388" s="939"/>
      <c r="Q388" s="937"/>
      <c r="R388" s="939"/>
      <c r="S388" s="2748"/>
      <c r="X388" s="307"/>
      <c r="Y388" s="307"/>
      <c r="Z388" s="1753"/>
      <c r="AA388" s="307"/>
      <c r="AB388" s="307"/>
      <c r="AC388" s="307"/>
      <c r="AD388" s="307"/>
      <c r="AE388" s="307"/>
      <c r="AF388" s="307"/>
      <c r="AG388" s="307"/>
      <c r="AH388" s="307"/>
      <c r="AI388" s="307"/>
      <c r="AJ388" s="307"/>
      <c r="AK388" s="307"/>
      <c r="AL388" s="307"/>
      <c r="AM388" s="307"/>
      <c r="AN388" s="307"/>
      <c r="AO388" s="307"/>
      <c r="AP388" s="307"/>
      <c r="AQ388" s="307"/>
      <c r="AR388" s="307"/>
    </row>
    <row r="389" spans="1:44" s="457" customFormat="1" ht="12" customHeight="1">
      <c r="A389" s="307"/>
      <c r="B389" s="307"/>
      <c r="C389" s="307"/>
      <c r="D389" s="307"/>
      <c r="E389" s="307"/>
      <c r="F389" s="307"/>
      <c r="G389" s="307"/>
      <c r="H389" s="307"/>
      <c r="I389" s="307"/>
      <c r="J389" s="307"/>
      <c r="K389" s="307"/>
      <c r="L389" s="307"/>
      <c r="M389" s="307"/>
      <c r="N389" s="307"/>
      <c r="O389" s="307"/>
      <c r="P389" s="2747"/>
      <c r="Q389" s="937"/>
      <c r="R389" s="939"/>
      <c r="S389" s="2748"/>
      <c r="X389" s="307"/>
      <c r="Y389" s="307"/>
      <c r="Z389" s="1753"/>
      <c r="AA389" s="307"/>
      <c r="AB389" s="307"/>
      <c r="AC389" s="307"/>
      <c r="AD389" s="307"/>
      <c r="AE389" s="307"/>
      <c r="AF389" s="307"/>
      <c r="AG389" s="307"/>
      <c r="AH389" s="307"/>
      <c r="AI389" s="307"/>
      <c r="AJ389" s="307"/>
      <c r="AK389" s="307"/>
      <c r="AL389" s="307"/>
      <c r="AM389" s="307"/>
      <c r="AN389" s="307"/>
      <c r="AO389" s="307"/>
      <c r="AP389" s="307"/>
      <c r="AQ389" s="307"/>
      <c r="AR389" s="307"/>
    </row>
    <row r="390" spans="1:44" s="457" customFormat="1" ht="12" customHeight="1">
      <c r="A390" s="307"/>
      <c r="B390" s="307"/>
      <c r="C390" s="307"/>
      <c r="D390" s="307"/>
      <c r="E390" s="307"/>
      <c r="F390" s="307"/>
      <c r="G390" s="307"/>
      <c r="H390" s="307"/>
      <c r="I390" s="307"/>
      <c r="J390" s="307"/>
      <c r="K390" s="307"/>
      <c r="L390" s="307"/>
      <c r="M390" s="307"/>
      <c r="N390" s="307"/>
      <c r="O390" s="307"/>
      <c r="P390" s="939"/>
      <c r="Q390" s="937"/>
      <c r="R390" s="939"/>
      <c r="S390" s="2748"/>
      <c r="X390" s="307"/>
      <c r="Y390" s="307"/>
      <c r="Z390" s="1753"/>
      <c r="AA390" s="307"/>
      <c r="AB390" s="307"/>
      <c r="AC390" s="307"/>
      <c r="AD390" s="307"/>
      <c r="AE390" s="307"/>
      <c r="AF390" s="307"/>
      <c r="AG390" s="307"/>
      <c r="AH390" s="307"/>
      <c r="AI390" s="307"/>
      <c r="AJ390" s="307"/>
      <c r="AK390" s="307"/>
      <c r="AL390" s="307"/>
      <c r="AM390" s="307"/>
      <c r="AN390" s="307"/>
      <c r="AO390" s="307"/>
      <c r="AP390" s="307"/>
      <c r="AQ390" s="307"/>
      <c r="AR390" s="307"/>
    </row>
    <row r="391" spans="1:44" s="457" customFormat="1" ht="12" customHeight="1">
      <c r="A391" s="307"/>
      <c r="B391" s="307"/>
      <c r="C391" s="307"/>
      <c r="D391" s="307"/>
      <c r="E391" s="307"/>
      <c r="F391" s="307"/>
      <c r="G391" s="307"/>
      <c r="H391" s="307"/>
      <c r="I391" s="307"/>
      <c r="J391" s="307"/>
      <c r="K391" s="307"/>
      <c r="L391" s="307"/>
      <c r="M391" s="307"/>
      <c r="N391" s="307"/>
      <c r="O391" s="307"/>
      <c r="P391" s="939"/>
      <c r="Q391" s="937"/>
      <c r="R391" s="939"/>
      <c r="S391" s="2748"/>
      <c r="X391" s="307"/>
      <c r="Y391" s="307"/>
      <c r="Z391" s="1753"/>
      <c r="AA391" s="307"/>
      <c r="AB391" s="307"/>
      <c r="AC391" s="307"/>
      <c r="AD391" s="307"/>
      <c r="AE391" s="307"/>
      <c r="AF391" s="307"/>
      <c r="AG391" s="307"/>
      <c r="AH391" s="307"/>
      <c r="AI391" s="307"/>
      <c r="AJ391" s="307"/>
      <c r="AK391" s="307"/>
      <c r="AL391" s="307"/>
      <c r="AM391" s="307"/>
      <c r="AN391" s="307"/>
      <c r="AO391" s="307"/>
      <c r="AP391" s="307"/>
      <c r="AQ391" s="307"/>
      <c r="AR391" s="307"/>
    </row>
    <row r="392" spans="1:44" s="457" customFormat="1" ht="12" customHeight="1">
      <c r="A392" s="307"/>
      <c r="B392" s="307"/>
      <c r="C392" s="307"/>
      <c r="D392" s="307"/>
      <c r="E392" s="307"/>
      <c r="F392" s="307"/>
      <c r="G392" s="307"/>
      <c r="H392" s="307"/>
      <c r="I392" s="307"/>
      <c r="J392" s="307"/>
      <c r="K392" s="307"/>
      <c r="L392" s="307"/>
      <c r="M392" s="307"/>
      <c r="N392" s="307"/>
      <c r="O392" s="307"/>
      <c r="P392" s="939"/>
      <c r="Q392" s="937"/>
      <c r="R392" s="937"/>
      <c r="X392" s="307"/>
      <c r="Y392" s="307"/>
      <c r="Z392" s="1753"/>
      <c r="AA392" s="307"/>
      <c r="AB392" s="307"/>
      <c r="AC392" s="307"/>
      <c r="AD392" s="307"/>
      <c r="AE392" s="307"/>
      <c r="AF392" s="307"/>
      <c r="AG392" s="307"/>
      <c r="AH392" s="307"/>
      <c r="AI392" s="307"/>
      <c r="AJ392" s="307"/>
      <c r="AK392" s="307"/>
      <c r="AL392" s="307"/>
      <c r="AM392" s="307"/>
      <c r="AN392" s="307"/>
      <c r="AO392" s="307"/>
      <c r="AP392" s="307"/>
      <c r="AQ392" s="307"/>
      <c r="AR392" s="307"/>
    </row>
    <row r="393" spans="1:44" s="457" customFormat="1" ht="12" customHeight="1">
      <c r="A393" s="307"/>
      <c r="B393" s="307"/>
      <c r="C393" s="307"/>
      <c r="D393" s="307"/>
      <c r="E393" s="307"/>
      <c r="F393" s="307"/>
      <c r="G393" s="307"/>
      <c r="H393" s="307"/>
      <c r="I393" s="307"/>
      <c r="J393" s="307"/>
      <c r="K393" s="307"/>
      <c r="L393" s="307"/>
      <c r="M393" s="307"/>
      <c r="N393" s="307"/>
      <c r="O393" s="307"/>
      <c r="P393" s="939"/>
      <c r="Q393" s="937"/>
      <c r="R393" s="937"/>
      <c r="X393" s="307"/>
      <c r="Y393" s="307"/>
      <c r="Z393" s="1753"/>
      <c r="AA393" s="307"/>
      <c r="AB393" s="307"/>
      <c r="AC393" s="307"/>
      <c r="AD393" s="307"/>
      <c r="AE393" s="307"/>
      <c r="AF393" s="307"/>
      <c r="AG393" s="307"/>
      <c r="AH393" s="307"/>
      <c r="AI393" s="307"/>
      <c r="AJ393" s="307"/>
      <c r="AK393" s="307"/>
      <c r="AL393" s="307"/>
      <c r="AM393" s="307"/>
      <c r="AN393" s="307"/>
      <c r="AO393" s="307"/>
      <c r="AP393" s="307"/>
      <c r="AQ393" s="307"/>
      <c r="AR393" s="307"/>
    </row>
    <row r="394" spans="1:44" s="457" customFormat="1" ht="12" customHeight="1">
      <c r="A394" s="307"/>
      <c r="B394" s="307"/>
      <c r="C394" s="307"/>
      <c r="D394" s="307"/>
      <c r="E394" s="307"/>
      <c r="F394" s="307"/>
      <c r="G394" s="307"/>
      <c r="H394" s="307"/>
      <c r="I394" s="307"/>
      <c r="J394" s="307"/>
      <c r="K394" s="307"/>
      <c r="L394" s="307"/>
      <c r="M394" s="307"/>
      <c r="N394" s="307"/>
      <c r="O394" s="307"/>
      <c r="P394" s="939"/>
      <c r="Q394" s="937"/>
      <c r="R394" s="937"/>
      <c r="X394" s="307"/>
      <c r="Y394" s="307"/>
      <c r="Z394" s="1753"/>
      <c r="AA394" s="307"/>
      <c r="AB394" s="307"/>
      <c r="AC394" s="307"/>
      <c r="AD394" s="307"/>
      <c r="AE394" s="307"/>
      <c r="AF394" s="307"/>
      <c r="AG394" s="307"/>
      <c r="AH394" s="307"/>
      <c r="AI394" s="307"/>
      <c r="AJ394" s="307"/>
      <c r="AK394" s="307"/>
      <c r="AL394" s="307"/>
      <c r="AM394" s="307"/>
      <c r="AN394" s="307"/>
      <c r="AO394" s="307"/>
      <c r="AP394" s="307"/>
      <c r="AQ394" s="307"/>
      <c r="AR394" s="307"/>
    </row>
    <row r="395" spans="1:44" s="457" customFormat="1" ht="12" customHeight="1">
      <c r="A395" s="307"/>
      <c r="B395" s="307"/>
      <c r="C395" s="307"/>
      <c r="D395" s="307"/>
      <c r="E395" s="307"/>
      <c r="F395" s="307"/>
      <c r="G395" s="307"/>
      <c r="H395" s="307"/>
      <c r="I395" s="307"/>
      <c r="J395" s="307"/>
      <c r="K395" s="307"/>
      <c r="L395" s="307"/>
      <c r="M395" s="307"/>
      <c r="N395" s="307"/>
      <c r="O395" s="307"/>
      <c r="P395" s="939"/>
      <c r="Q395" s="937"/>
      <c r="R395" s="937"/>
      <c r="X395" s="307"/>
      <c r="Y395" s="307"/>
      <c r="Z395" s="1753"/>
      <c r="AA395" s="307"/>
      <c r="AB395" s="307"/>
      <c r="AC395" s="307"/>
      <c r="AD395" s="307"/>
      <c r="AE395" s="307"/>
      <c r="AF395" s="307"/>
      <c r="AG395" s="307"/>
      <c r="AH395" s="307"/>
      <c r="AI395" s="307"/>
      <c r="AJ395" s="307"/>
      <c r="AK395" s="307"/>
      <c r="AL395" s="307"/>
      <c r="AM395" s="307"/>
      <c r="AN395" s="307"/>
      <c r="AO395" s="307"/>
      <c r="AP395" s="307"/>
      <c r="AQ395" s="307"/>
      <c r="AR395" s="307"/>
    </row>
    <row r="396" spans="1:44" s="457" customFormat="1" ht="12" customHeight="1">
      <c r="A396" s="307"/>
      <c r="B396" s="307"/>
      <c r="C396" s="307"/>
      <c r="D396" s="307"/>
      <c r="E396" s="307"/>
      <c r="F396" s="307"/>
      <c r="G396" s="307"/>
      <c r="H396" s="307"/>
      <c r="I396" s="307"/>
      <c r="J396" s="307"/>
      <c r="K396" s="307"/>
      <c r="L396" s="307"/>
      <c r="M396" s="307"/>
      <c r="N396" s="307"/>
      <c r="O396" s="307"/>
      <c r="P396" s="2747"/>
      <c r="Q396" s="937"/>
      <c r="R396" s="937"/>
      <c r="X396" s="307"/>
      <c r="Y396" s="307"/>
      <c r="Z396" s="1753"/>
      <c r="AA396" s="307"/>
      <c r="AB396" s="307"/>
      <c r="AC396" s="307"/>
      <c r="AD396" s="307"/>
      <c r="AE396" s="307"/>
      <c r="AF396" s="307"/>
      <c r="AG396" s="307"/>
      <c r="AH396" s="307"/>
      <c r="AI396" s="307"/>
      <c r="AJ396" s="307"/>
      <c r="AK396" s="307"/>
      <c r="AL396" s="307"/>
      <c r="AM396" s="307"/>
      <c r="AN396" s="307"/>
      <c r="AO396" s="307"/>
      <c r="AP396" s="307"/>
      <c r="AQ396" s="307"/>
      <c r="AR396" s="307"/>
    </row>
    <row r="397" spans="1:44" s="457" customFormat="1" ht="12" customHeight="1">
      <c r="A397" s="307"/>
      <c r="B397" s="307"/>
      <c r="C397" s="307"/>
      <c r="D397" s="307"/>
      <c r="E397" s="307"/>
      <c r="F397" s="307"/>
      <c r="G397" s="307"/>
      <c r="H397" s="307"/>
      <c r="I397" s="307"/>
      <c r="J397" s="307"/>
      <c r="K397" s="307"/>
      <c r="L397" s="307"/>
      <c r="M397" s="307"/>
      <c r="N397" s="307"/>
      <c r="O397" s="307"/>
      <c r="P397" s="939"/>
      <c r="Q397" s="937"/>
      <c r="R397" s="937"/>
      <c r="X397" s="307"/>
      <c r="Y397" s="307"/>
      <c r="Z397" s="1753"/>
      <c r="AA397" s="307"/>
      <c r="AB397" s="307"/>
      <c r="AC397" s="307"/>
      <c r="AD397" s="307"/>
      <c r="AE397" s="307"/>
      <c r="AF397" s="307"/>
      <c r="AG397" s="307"/>
      <c r="AH397" s="307"/>
      <c r="AI397" s="307"/>
      <c r="AJ397" s="307"/>
      <c r="AK397" s="307"/>
      <c r="AL397" s="307"/>
      <c r="AM397" s="307"/>
      <c r="AN397" s="307"/>
      <c r="AO397" s="307"/>
      <c r="AP397" s="307"/>
      <c r="AQ397" s="307"/>
      <c r="AR397" s="307"/>
    </row>
    <row r="398" spans="1:44" s="457" customFormat="1" ht="12" customHeight="1">
      <c r="A398" s="307"/>
      <c r="B398" s="307"/>
      <c r="C398" s="307"/>
      <c r="D398" s="307"/>
      <c r="E398" s="307"/>
      <c r="F398" s="307"/>
      <c r="G398" s="307"/>
      <c r="H398" s="307"/>
      <c r="I398" s="307"/>
      <c r="J398" s="307"/>
      <c r="K398" s="307"/>
      <c r="L398" s="307"/>
      <c r="M398" s="307"/>
      <c r="N398" s="307"/>
      <c r="O398" s="307"/>
      <c r="P398" s="939"/>
      <c r="Q398" s="937"/>
      <c r="R398" s="937"/>
      <c r="X398" s="307"/>
      <c r="Y398" s="307"/>
      <c r="Z398" s="1753"/>
      <c r="AA398" s="307"/>
      <c r="AB398" s="307"/>
      <c r="AC398" s="307"/>
      <c r="AD398" s="307"/>
      <c r="AE398" s="307"/>
      <c r="AF398" s="307"/>
      <c r="AG398" s="307"/>
      <c r="AH398" s="307"/>
      <c r="AI398" s="307"/>
      <c r="AJ398" s="307"/>
      <c r="AK398" s="307"/>
      <c r="AL398" s="307"/>
      <c r="AM398" s="307"/>
      <c r="AN398" s="307"/>
      <c r="AO398" s="307"/>
      <c r="AP398" s="307"/>
      <c r="AQ398" s="307"/>
      <c r="AR398" s="307"/>
    </row>
    <row r="399" spans="1:44" s="457" customFormat="1" ht="12" customHeight="1">
      <c r="A399" s="307"/>
      <c r="B399" s="307"/>
      <c r="C399" s="307"/>
      <c r="D399" s="307"/>
      <c r="E399" s="307"/>
      <c r="F399" s="307"/>
      <c r="G399" s="307"/>
      <c r="H399" s="307"/>
      <c r="I399" s="307"/>
      <c r="J399" s="307"/>
      <c r="K399" s="307"/>
      <c r="L399" s="307"/>
      <c r="M399" s="307"/>
      <c r="N399" s="307"/>
      <c r="O399" s="307"/>
      <c r="P399" s="939"/>
      <c r="Q399" s="937"/>
      <c r="R399" s="937"/>
      <c r="X399" s="307"/>
      <c r="Y399" s="307"/>
      <c r="Z399" s="1753"/>
      <c r="AA399" s="307"/>
      <c r="AB399" s="307"/>
      <c r="AC399" s="307"/>
      <c r="AD399" s="307"/>
      <c r="AE399" s="307"/>
      <c r="AF399" s="307"/>
      <c r="AG399" s="307"/>
      <c r="AH399" s="307"/>
      <c r="AI399" s="307"/>
      <c r="AJ399" s="307"/>
      <c r="AK399" s="307"/>
      <c r="AL399" s="307"/>
      <c r="AM399" s="307"/>
      <c r="AN399" s="307"/>
      <c r="AO399" s="307"/>
      <c r="AP399" s="307"/>
      <c r="AQ399" s="307"/>
      <c r="AR399" s="307"/>
    </row>
    <row r="400" spans="1:44" s="457" customFormat="1" ht="12" customHeight="1">
      <c r="A400" s="307"/>
      <c r="B400" s="307"/>
      <c r="C400" s="307"/>
      <c r="D400" s="307"/>
      <c r="E400" s="307"/>
      <c r="F400" s="307"/>
      <c r="G400" s="307"/>
      <c r="H400" s="307"/>
      <c r="I400" s="307"/>
      <c r="J400" s="307"/>
      <c r="K400" s="307"/>
      <c r="L400" s="307"/>
      <c r="M400" s="307"/>
      <c r="N400" s="307"/>
      <c r="O400" s="307"/>
      <c r="P400" s="939"/>
      <c r="Q400" s="937"/>
      <c r="R400" s="937"/>
      <c r="X400" s="307"/>
      <c r="Y400" s="307"/>
      <c r="Z400" s="1753"/>
      <c r="AA400" s="307"/>
      <c r="AB400" s="307"/>
      <c r="AC400" s="307"/>
      <c r="AD400" s="307"/>
      <c r="AE400" s="307"/>
      <c r="AF400" s="307"/>
      <c r="AG400" s="307"/>
      <c r="AH400" s="307"/>
      <c r="AI400" s="307"/>
      <c r="AJ400" s="307"/>
      <c r="AK400" s="307"/>
      <c r="AL400" s="307"/>
      <c r="AM400" s="307"/>
      <c r="AN400" s="307"/>
      <c r="AO400" s="307"/>
      <c r="AP400" s="307"/>
      <c r="AQ400" s="307"/>
      <c r="AR400" s="307"/>
    </row>
    <row r="401" spans="1:44" s="457" customFormat="1" ht="12" customHeight="1">
      <c r="A401" s="307"/>
      <c r="B401" s="307"/>
      <c r="C401" s="307"/>
      <c r="D401" s="307"/>
      <c r="E401" s="307"/>
      <c r="F401" s="307"/>
      <c r="G401" s="307"/>
      <c r="H401" s="307"/>
      <c r="I401" s="307"/>
      <c r="J401" s="307"/>
      <c r="K401" s="307"/>
      <c r="L401" s="307"/>
      <c r="M401" s="307"/>
      <c r="N401" s="307"/>
      <c r="O401" s="307"/>
      <c r="P401" s="939"/>
      <c r="Q401" s="937"/>
      <c r="R401" s="937"/>
      <c r="X401" s="307"/>
      <c r="Y401" s="307"/>
      <c r="Z401" s="1753"/>
      <c r="AA401" s="307"/>
      <c r="AB401" s="307"/>
      <c r="AC401" s="307"/>
      <c r="AD401" s="307"/>
      <c r="AE401" s="307"/>
      <c r="AF401" s="307"/>
      <c r="AG401" s="307"/>
      <c r="AH401" s="307"/>
      <c r="AI401" s="307"/>
      <c r="AJ401" s="307"/>
      <c r="AK401" s="307"/>
      <c r="AL401" s="307"/>
      <c r="AM401" s="307"/>
      <c r="AN401" s="307"/>
      <c r="AO401" s="307"/>
      <c r="AP401" s="307"/>
      <c r="AQ401" s="307"/>
      <c r="AR401" s="307"/>
    </row>
    <row r="402" spans="1:44" s="457" customFormat="1" ht="12" customHeight="1">
      <c r="A402" s="307"/>
      <c r="B402" s="307"/>
      <c r="C402" s="307"/>
      <c r="D402" s="307"/>
      <c r="E402" s="307"/>
      <c r="F402" s="307"/>
      <c r="G402" s="307"/>
      <c r="H402" s="307"/>
      <c r="I402" s="307"/>
      <c r="J402" s="307"/>
      <c r="K402" s="307"/>
      <c r="L402" s="307"/>
      <c r="M402" s="307"/>
      <c r="N402" s="307"/>
      <c r="O402" s="307"/>
      <c r="P402" s="939"/>
      <c r="Q402" s="937"/>
      <c r="R402" s="937"/>
      <c r="X402" s="307"/>
      <c r="Y402" s="307"/>
      <c r="Z402" s="1753"/>
      <c r="AA402" s="307"/>
      <c r="AB402" s="307"/>
      <c r="AC402" s="307"/>
      <c r="AD402" s="307"/>
      <c r="AE402" s="307"/>
      <c r="AF402" s="307"/>
      <c r="AG402" s="307"/>
      <c r="AH402" s="307"/>
      <c r="AI402" s="307"/>
      <c r="AJ402" s="307"/>
      <c r="AK402" s="307"/>
      <c r="AL402" s="307"/>
      <c r="AM402" s="307"/>
      <c r="AN402" s="307"/>
      <c r="AO402" s="307"/>
      <c r="AP402" s="307"/>
      <c r="AQ402" s="307"/>
      <c r="AR402" s="307"/>
    </row>
    <row r="403" spans="1:44" s="457" customFormat="1" ht="12" customHeight="1">
      <c r="A403" s="307"/>
      <c r="B403" s="307"/>
      <c r="C403" s="307"/>
      <c r="D403" s="307"/>
      <c r="E403" s="307"/>
      <c r="F403" s="307"/>
      <c r="G403" s="307"/>
      <c r="H403" s="307"/>
      <c r="I403" s="307"/>
      <c r="J403" s="307"/>
      <c r="K403" s="307"/>
      <c r="L403" s="307"/>
      <c r="M403" s="307"/>
      <c r="N403" s="307"/>
      <c r="O403" s="307"/>
      <c r="P403" s="938"/>
      <c r="Q403" s="937"/>
      <c r="R403" s="937"/>
      <c r="X403" s="307"/>
      <c r="Y403" s="307"/>
      <c r="Z403" s="1753"/>
      <c r="AA403" s="307"/>
      <c r="AB403" s="307"/>
      <c r="AC403" s="307"/>
      <c r="AD403" s="307"/>
      <c r="AE403" s="307"/>
      <c r="AF403" s="307"/>
      <c r="AG403" s="307"/>
      <c r="AH403" s="307"/>
      <c r="AI403" s="307"/>
      <c r="AJ403" s="307"/>
      <c r="AK403" s="307"/>
      <c r="AL403" s="307"/>
      <c r="AM403" s="307"/>
      <c r="AN403" s="307"/>
      <c r="AO403" s="307"/>
      <c r="AP403" s="307"/>
      <c r="AQ403" s="307"/>
      <c r="AR403" s="307"/>
    </row>
    <row r="404" spans="1:44" s="457" customFormat="1" ht="12" customHeight="1">
      <c r="A404" s="307"/>
      <c r="B404" s="307"/>
      <c r="C404" s="307"/>
      <c r="D404" s="307"/>
      <c r="E404" s="307"/>
      <c r="F404" s="307"/>
      <c r="G404" s="307"/>
      <c r="H404" s="307"/>
      <c r="I404" s="307"/>
      <c r="J404" s="307"/>
      <c r="K404" s="307"/>
      <c r="L404" s="307"/>
      <c r="M404" s="307"/>
      <c r="N404" s="307"/>
      <c r="O404" s="307"/>
      <c r="P404" s="2747"/>
      <c r="Q404" s="937"/>
      <c r="R404" s="937"/>
      <c r="X404" s="307"/>
      <c r="Y404" s="307"/>
      <c r="Z404" s="1753"/>
      <c r="AA404" s="307"/>
      <c r="AB404" s="307"/>
      <c r="AC404" s="307"/>
      <c r="AD404" s="307"/>
      <c r="AE404" s="307"/>
      <c r="AF404" s="307"/>
      <c r="AG404" s="307"/>
      <c r="AH404" s="307"/>
      <c r="AI404" s="307"/>
      <c r="AJ404" s="307"/>
      <c r="AK404" s="307"/>
      <c r="AL404" s="307"/>
      <c r="AM404" s="307"/>
      <c r="AN404" s="307"/>
      <c r="AO404" s="307"/>
      <c r="AP404" s="307"/>
      <c r="AQ404" s="307"/>
      <c r="AR404" s="307"/>
    </row>
    <row r="405" spans="1:44" s="457" customFormat="1" ht="12" customHeight="1">
      <c r="A405" s="307"/>
      <c r="B405" s="307"/>
      <c r="C405" s="307"/>
      <c r="D405" s="307"/>
      <c r="E405" s="307"/>
      <c r="F405" s="307"/>
      <c r="G405" s="307"/>
      <c r="H405" s="307"/>
      <c r="I405" s="307"/>
      <c r="J405" s="307"/>
      <c r="K405" s="307"/>
      <c r="L405" s="307"/>
      <c r="M405" s="307"/>
      <c r="N405" s="307"/>
      <c r="O405" s="307"/>
      <c r="P405" s="2747"/>
      <c r="Q405" s="937"/>
      <c r="R405" s="937"/>
      <c r="X405" s="307"/>
      <c r="Y405" s="307"/>
      <c r="Z405" s="1753"/>
      <c r="AA405" s="307"/>
      <c r="AB405" s="307"/>
      <c r="AC405" s="307"/>
      <c r="AD405" s="307"/>
      <c r="AE405" s="307"/>
      <c r="AF405" s="307"/>
      <c r="AG405" s="307"/>
      <c r="AH405" s="307"/>
      <c r="AI405" s="307"/>
      <c r="AJ405" s="307"/>
      <c r="AK405" s="307"/>
      <c r="AL405" s="307"/>
      <c r="AM405" s="307"/>
      <c r="AN405" s="307"/>
      <c r="AO405" s="307"/>
      <c r="AP405" s="307"/>
      <c r="AQ405" s="307"/>
      <c r="AR405" s="307"/>
    </row>
    <row r="406" spans="1:44" s="457" customFormat="1" ht="12" customHeight="1">
      <c r="A406" s="307"/>
      <c r="B406" s="307"/>
      <c r="C406" s="307"/>
      <c r="D406" s="307"/>
      <c r="E406" s="307"/>
      <c r="F406" s="307"/>
      <c r="G406" s="307"/>
      <c r="H406" s="307"/>
      <c r="I406" s="307"/>
      <c r="J406" s="307"/>
      <c r="K406" s="307"/>
      <c r="L406" s="307"/>
      <c r="M406" s="307"/>
      <c r="N406" s="307"/>
      <c r="O406" s="307"/>
      <c r="P406" s="938"/>
      <c r="Q406" s="937"/>
      <c r="R406" s="937"/>
      <c r="X406" s="307"/>
      <c r="Y406" s="307"/>
      <c r="Z406" s="1753"/>
      <c r="AA406" s="307"/>
      <c r="AB406" s="307"/>
      <c r="AC406" s="307"/>
      <c r="AD406" s="307"/>
      <c r="AE406" s="307"/>
      <c r="AF406" s="307"/>
      <c r="AG406" s="307"/>
      <c r="AH406" s="307"/>
      <c r="AI406" s="307"/>
      <c r="AJ406" s="307"/>
      <c r="AK406" s="307"/>
      <c r="AL406" s="307"/>
      <c r="AM406" s="307"/>
      <c r="AN406" s="307"/>
      <c r="AO406" s="307"/>
      <c r="AP406" s="307"/>
      <c r="AQ406" s="307"/>
      <c r="AR406" s="307"/>
    </row>
    <row r="407" spans="1:44" s="457" customFormat="1" ht="12" customHeight="1">
      <c r="A407" s="307"/>
      <c r="B407" s="307"/>
      <c r="C407" s="307"/>
      <c r="D407" s="307"/>
      <c r="E407" s="307"/>
      <c r="F407" s="307"/>
      <c r="G407" s="307"/>
      <c r="H407" s="307"/>
      <c r="I407" s="307"/>
      <c r="J407" s="307"/>
      <c r="K407" s="307"/>
      <c r="L407" s="307"/>
      <c r="M407" s="307"/>
      <c r="N407" s="307"/>
      <c r="O407" s="307"/>
      <c r="P407" s="938"/>
      <c r="Q407" s="937"/>
      <c r="R407" s="937"/>
      <c r="X407" s="307"/>
      <c r="Y407" s="307"/>
      <c r="Z407" s="1753"/>
      <c r="AA407" s="307"/>
      <c r="AB407" s="307"/>
      <c r="AC407" s="307"/>
      <c r="AD407" s="307"/>
      <c r="AE407" s="307"/>
      <c r="AF407" s="307"/>
      <c r="AG407" s="307"/>
      <c r="AH407" s="307"/>
      <c r="AI407" s="307"/>
      <c r="AJ407" s="307"/>
      <c r="AK407" s="307"/>
      <c r="AL407" s="307"/>
      <c r="AM407" s="307"/>
      <c r="AN407" s="307"/>
      <c r="AO407" s="307"/>
      <c r="AP407" s="307"/>
      <c r="AQ407" s="307"/>
      <c r="AR407" s="307"/>
    </row>
    <row r="408" spans="1:44" s="457" customFormat="1" ht="12" customHeight="1">
      <c r="A408" s="307"/>
      <c r="B408" s="307"/>
      <c r="C408" s="307"/>
      <c r="D408" s="307"/>
      <c r="E408" s="307"/>
      <c r="F408" s="307"/>
      <c r="G408" s="307"/>
      <c r="H408" s="307"/>
      <c r="I408" s="307"/>
      <c r="J408" s="307"/>
      <c r="K408" s="307"/>
      <c r="L408" s="307"/>
      <c r="M408" s="307"/>
      <c r="N408" s="307"/>
      <c r="O408" s="307"/>
      <c r="P408" s="938"/>
      <c r="Q408" s="937"/>
      <c r="R408" s="937"/>
      <c r="X408" s="307"/>
      <c r="Y408" s="307"/>
      <c r="Z408" s="1753"/>
      <c r="AA408" s="307"/>
      <c r="AB408" s="307"/>
      <c r="AC408" s="307"/>
      <c r="AD408" s="307"/>
      <c r="AE408" s="307"/>
      <c r="AF408" s="307"/>
      <c r="AG408" s="307"/>
      <c r="AH408" s="307"/>
      <c r="AI408" s="307"/>
      <c r="AJ408" s="307"/>
      <c r="AK408" s="307"/>
      <c r="AL408" s="307"/>
      <c r="AM408" s="307"/>
      <c r="AN408" s="307"/>
      <c r="AO408" s="307"/>
      <c r="AP408" s="307"/>
      <c r="AQ408" s="307"/>
      <c r="AR408" s="307"/>
    </row>
    <row r="409" spans="1:44" s="457" customFormat="1" ht="12" customHeight="1">
      <c r="A409" s="307"/>
      <c r="B409" s="307"/>
      <c r="C409" s="307"/>
      <c r="D409" s="307"/>
      <c r="E409" s="307"/>
      <c r="F409" s="307"/>
      <c r="G409" s="307"/>
      <c r="H409" s="307"/>
      <c r="I409" s="307"/>
      <c r="J409" s="307"/>
      <c r="K409" s="307"/>
      <c r="L409" s="307"/>
      <c r="M409" s="307"/>
      <c r="N409" s="307"/>
      <c r="O409" s="307"/>
      <c r="P409" s="938"/>
      <c r="Q409" s="937"/>
      <c r="R409" s="937"/>
      <c r="X409" s="307"/>
      <c r="Y409" s="307"/>
      <c r="Z409" s="1753"/>
      <c r="AA409" s="307"/>
      <c r="AB409" s="307"/>
      <c r="AC409" s="307"/>
      <c r="AD409" s="307"/>
      <c r="AE409" s="307"/>
      <c r="AF409" s="307"/>
      <c r="AG409" s="307"/>
      <c r="AH409" s="307"/>
      <c r="AI409" s="307"/>
      <c r="AJ409" s="307"/>
      <c r="AK409" s="307"/>
      <c r="AL409" s="307"/>
      <c r="AM409" s="307"/>
      <c r="AN409" s="307"/>
      <c r="AO409" s="307"/>
      <c r="AP409" s="307"/>
      <c r="AQ409" s="307"/>
      <c r="AR409" s="307"/>
    </row>
    <row r="410" spans="1:44" s="457" customFormat="1" ht="12" customHeight="1">
      <c r="A410" s="307"/>
      <c r="B410" s="307"/>
      <c r="C410" s="307"/>
      <c r="D410" s="307"/>
      <c r="E410" s="307"/>
      <c r="F410" s="307"/>
      <c r="G410" s="307"/>
      <c r="H410" s="307"/>
      <c r="I410" s="307"/>
      <c r="J410" s="307"/>
      <c r="K410" s="307"/>
      <c r="L410" s="307"/>
      <c r="M410" s="307"/>
      <c r="N410" s="307"/>
      <c r="O410" s="307"/>
      <c r="P410" s="938"/>
      <c r="Q410" s="937"/>
      <c r="R410" s="937"/>
      <c r="X410" s="307"/>
      <c r="Y410" s="307"/>
      <c r="Z410" s="1753"/>
      <c r="AA410" s="307"/>
      <c r="AB410" s="307"/>
      <c r="AC410" s="307"/>
      <c r="AD410" s="307"/>
      <c r="AE410" s="307"/>
      <c r="AF410" s="307"/>
      <c r="AG410" s="307"/>
      <c r="AH410" s="307"/>
      <c r="AI410" s="307"/>
      <c r="AJ410" s="307"/>
      <c r="AK410" s="307"/>
      <c r="AL410" s="307"/>
      <c r="AM410" s="307"/>
      <c r="AN410" s="307"/>
      <c r="AO410" s="307"/>
      <c r="AP410" s="307"/>
      <c r="AQ410" s="307"/>
      <c r="AR410" s="307"/>
    </row>
    <row r="411" spans="1:44" s="457" customFormat="1" ht="12" customHeight="1">
      <c r="A411" s="307"/>
      <c r="B411" s="307"/>
      <c r="C411" s="307"/>
      <c r="D411" s="307"/>
      <c r="E411" s="307"/>
      <c r="F411" s="307"/>
      <c r="G411" s="307"/>
      <c r="H411" s="307"/>
      <c r="I411" s="307"/>
      <c r="J411" s="307"/>
      <c r="K411" s="307"/>
      <c r="L411" s="307"/>
      <c r="M411" s="307"/>
      <c r="N411" s="307"/>
      <c r="O411" s="307"/>
      <c r="P411" s="938"/>
      <c r="Q411" s="937"/>
      <c r="R411" s="937"/>
      <c r="X411" s="307"/>
      <c r="Y411" s="307"/>
      <c r="Z411" s="1753"/>
      <c r="AA411" s="307"/>
      <c r="AB411" s="307"/>
      <c r="AC411" s="307"/>
      <c r="AD411" s="307"/>
      <c r="AE411" s="307"/>
      <c r="AF411" s="307"/>
      <c r="AG411" s="307"/>
      <c r="AH411" s="307"/>
      <c r="AI411" s="307"/>
      <c r="AJ411" s="307"/>
      <c r="AK411" s="307"/>
      <c r="AL411" s="307"/>
      <c r="AM411" s="307"/>
      <c r="AN411" s="307"/>
      <c r="AO411" s="307"/>
      <c r="AP411" s="307"/>
      <c r="AQ411" s="307"/>
      <c r="AR411" s="307"/>
    </row>
    <row r="412" spans="1:44" s="457" customFormat="1" ht="12" customHeight="1">
      <c r="A412" s="307"/>
      <c r="B412" s="307"/>
      <c r="C412" s="307"/>
      <c r="D412" s="307"/>
      <c r="E412" s="307"/>
      <c r="F412" s="307"/>
      <c r="G412" s="307"/>
      <c r="H412" s="307"/>
      <c r="I412" s="307"/>
      <c r="J412" s="307"/>
      <c r="K412" s="307"/>
      <c r="L412" s="307"/>
      <c r="M412" s="307"/>
      <c r="N412" s="307"/>
      <c r="O412" s="307"/>
      <c r="P412" s="938"/>
      <c r="Q412" s="937"/>
      <c r="R412" s="937"/>
      <c r="X412" s="307"/>
      <c r="Y412" s="307"/>
      <c r="Z412" s="1753"/>
      <c r="AA412" s="307"/>
      <c r="AB412" s="307"/>
      <c r="AC412" s="307"/>
      <c r="AD412" s="307"/>
      <c r="AE412" s="307"/>
      <c r="AF412" s="307"/>
      <c r="AG412" s="307"/>
      <c r="AH412" s="307"/>
      <c r="AI412" s="307"/>
      <c r="AJ412" s="307"/>
      <c r="AK412" s="307"/>
      <c r="AL412" s="307"/>
      <c r="AM412" s="307"/>
      <c r="AN412" s="307"/>
      <c r="AO412" s="307"/>
      <c r="AP412" s="307"/>
      <c r="AQ412" s="307"/>
      <c r="AR412" s="307"/>
    </row>
    <row r="413" spans="1:44" s="457" customFormat="1" ht="12" customHeight="1">
      <c r="A413" s="307"/>
      <c r="B413" s="307"/>
      <c r="C413" s="307"/>
      <c r="D413" s="307"/>
      <c r="E413" s="307"/>
      <c r="F413" s="307"/>
      <c r="G413" s="307"/>
      <c r="H413" s="307"/>
      <c r="I413" s="307"/>
      <c r="J413" s="307"/>
      <c r="K413" s="307"/>
      <c r="L413" s="307"/>
      <c r="M413" s="307"/>
      <c r="N413" s="307"/>
      <c r="O413" s="307"/>
      <c r="P413" s="938"/>
      <c r="Q413" s="937"/>
      <c r="R413" s="937"/>
      <c r="X413" s="307"/>
      <c r="Y413" s="307"/>
      <c r="Z413" s="1753"/>
      <c r="AA413" s="307"/>
      <c r="AB413" s="307"/>
      <c r="AC413" s="307"/>
      <c r="AD413" s="307"/>
      <c r="AE413" s="307"/>
      <c r="AF413" s="307"/>
      <c r="AG413" s="307"/>
      <c r="AH413" s="307"/>
      <c r="AI413" s="307"/>
      <c r="AJ413" s="307"/>
      <c r="AK413" s="307"/>
      <c r="AL413" s="307"/>
      <c r="AM413" s="307"/>
      <c r="AN413" s="307"/>
      <c r="AO413" s="307"/>
      <c r="AP413" s="307"/>
      <c r="AQ413" s="307"/>
      <c r="AR413" s="307"/>
    </row>
    <row r="414" spans="1:44" s="457" customFormat="1" ht="12" customHeight="1">
      <c r="A414" s="307"/>
      <c r="B414" s="937"/>
      <c r="C414" s="937"/>
      <c r="D414" s="937"/>
      <c r="E414" s="937"/>
      <c r="F414" s="937"/>
      <c r="G414" s="937"/>
      <c r="H414" s="937"/>
      <c r="I414" s="937"/>
      <c r="J414" s="937"/>
      <c r="K414" s="937"/>
      <c r="L414" s="937"/>
      <c r="M414" s="937"/>
      <c r="N414" s="937"/>
      <c r="O414" s="937"/>
      <c r="P414" s="938"/>
      <c r="Q414" s="937"/>
      <c r="R414" s="937"/>
      <c r="X414" s="307"/>
      <c r="Y414" s="307"/>
      <c r="Z414" s="1753"/>
      <c r="AA414" s="307"/>
      <c r="AB414" s="307"/>
      <c r="AC414" s="307"/>
      <c r="AD414" s="307"/>
      <c r="AE414" s="307"/>
      <c r="AF414" s="307"/>
      <c r="AG414" s="307"/>
      <c r="AH414" s="307"/>
      <c r="AI414" s="307"/>
      <c r="AJ414" s="307"/>
      <c r="AK414" s="307"/>
      <c r="AL414" s="307"/>
      <c r="AM414" s="307"/>
      <c r="AN414" s="307"/>
      <c r="AO414" s="307"/>
      <c r="AP414" s="307"/>
      <c r="AQ414" s="307"/>
      <c r="AR414" s="307"/>
    </row>
    <row r="415" spans="1:44" s="457" customFormat="1" ht="12" customHeight="1">
      <c r="A415" s="307"/>
      <c r="B415" s="937"/>
      <c r="C415" s="937"/>
      <c r="D415" s="937"/>
      <c r="E415" s="937"/>
      <c r="F415" s="937"/>
      <c r="G415" s="937"/>
      <c r="H415" s="937"/>
      <c r="I415" s="937"/>
      <c r="J415" s="937"/>
      <c r="K415" s="937"/>
      <c r="L415" s="937"/>
      <c r="M415" s="937"/>
      <c r="N415" s="937"/>
      <c r="O415" s="937"/>
      <c r="P415" s="938"/>
      <c r="Q415" s="937"/>
      <c r="R415" s="937"/>
      <c r="X415" s="307"/>
      <c r="Y415" s="307"/>
      <c r="Z415" s="1753"/>
      <c r="AA415" s="307"/>
      <c r="AB415" s="307"/>
      <c r="AC415" s="307"/>
      <c r="AD415" s="307"/>
      <c r="AE415" s="307"/>
      <c r="AF415" s="307"/>
      <c r="AG415" s="307"/>
      <c r="AH415" s="307"/>
      <c r="AI415" s="307"/>
      <c r="AJ415" s="307"/>
      <c r="AK415" s="307"/>
      <c r="AL415" s="307"/>
      <c r="AM415" s="307"/>
      <c r="AN415" s="307"/>
      <c r="AO415" s="307"/>
      <c r="AP415" s="307"/>
      <c r="AQ415" s="307"/>
      <c r="AR415" s="307"/>
    </row>
    <row r="416" spans="1:44" s="457" customFormat="1" ht="12" customHeight="1">
      <c r="A416" s="307"/>
      <c r="B416" s="937"/>
      <c r="C416" s="937"/>
      <c r="D416" s="937"/>
      <c r="E416" s="937"/>
      <c r="F416" s="937"/>
      <c r="G416" s="937"/>
      <c r="H416" s="937"/>
      <c r="I416" s="937"/>
      <c r="J416" s="937"/>
      <c r="K416" s="937"/>
      <c r="L416" s="937"/>
      <c r="M416" s="937"/>
      <c r="N416" s="937"/>
      <c r="O416" s="937"/>
      <c r="P416" s="938"/>
      <c r="Q416" s="937"/>
      <c r="R416" s="937"/>
      <c r="X416" s="307"/>
      <c r="Y416" s="307"/>
      <c r="Z416" s="1753"/>
      <c r="AA416" s="307"/>
      <c r="AB416" s="307"/>
      <c r="AC416" s="307"/>
      <c r="AD416" s="307"/>
      <c r="AE416" s="307"/>
      <c r="AF416" s="307"/>
      <c r="AG416" s="307"/>
      <c r="AH416" s="307"/>
      <c r="AI416" s="307"/>
      <c r="AJ416" s="307"/>
      <c r="AK416" s="307"/>
      <c r="AL416" s="307"/>
      <c r="AM416" s="307"/>
      <c r="AN416" s="307"/>
      <c r="AO416" s="307"/>
      <c r="AP416" s="307"/>
      <c r="AQ416" s="307"/>
      <c r="AR416" s="307"/>
    </row>
    <row r="417" spans="1:44" s="457" customFormat="1" ht="12" customHeight="1">
      <c r="A417" s="307"/>
      <c r="B417" s="937"/>
      <c r="C417" s="937"/>
      <c r="D417" s="937"/>
      <c r="E417" s="937"/>
      <c r="F417" s="937"/>
      <c r="G417" s="937"/>
      <c r="H417" s="937"/>
      <c r="I417" s="937"/>
      <c r="J417" s="937"/>
      <c r="K417" s="937"/>
      <c r="L417" s="937"/>
      <c r="M417" s="937"/>
      <c r="N417" s="937"/>
      <c r="O417" s="937"/>
      <c r="P417" s="938"/>
      <c r="Q417" s="937"/>
      <c r="R417" s="937"/>
      <c r="X417" s="307"/>
      <c r="Y417" s="307"/>
      <c r="Z417" s="1753"/>
      <c r="AA417" s="307"/>
      <c r="AB417" s="307"/>
      <c r="AC417" s="307"/>
      <c r="AD417" s="307"/>
      <c r="AE417" s="307"/>
      <c r="AF417" s="307"/>
      <c r="AG417" s="307"/>
      <c r="AH417" s="307"/>
      <c r="AI417" s="307"/>
      <c r="AJ417" s="307"/>
      <c r="AK417" s="307"/>
      <c r="AL417" s="307"/>
      <c r="AM417" s="307"/>
      <c r="AN417" s="307"/>
      <c r="AO417" s="307"/>
      <c r="AP417" s="307"/>
      <c r="AQ417" s="307"/>
      <c r="AR417" s="307"/>
    </row>
    <row r="418" spans="1:44" s="457" customFormat="1" ht="12" customHeight="1">
      <c r="A418" s="307"/>
      <c r="B418" s="937"/>
      <c r="C418" s="937"/>
      <c r="D418" s="937"/>
      <c r="E418" s="937"/>
      <c r="F418" s="937"/>
      <c r="G418" s="937"/>
      <c r="H418" s="937"/>
      <c r="I418" s="937"/>
      <c r="J418" s="937"/>
      <c r="K418" s="937"/>
      <c r="L418" s="937"/>
      <c r="M418" s="937"/>
      <c r="N418" s="937"/>
      <c r="O418" s="937"/>
      <c r="P418" s="938"/>
      <c r="Q418" s="937"/>
      <c r="R418" s="937"/>
      <c r="X418" s="307"/>
      <c r="Y418" s="307"/>
      <c r="Z418" s="1753"/>
      <c r="AA418" s="307"/>
      <c r="AB418" s="307"/>
      <c r="AC418" s="307"/>
      <c r="AD418" s="307"/>
      <c r="AE418" s="307"/>
      <c r="AF418" s="307"/>
      <c r="AG418" s="307"/>
      <c r="AH418" s="307"/>
      <c r="AI418" s="307"/>
      <c r="AJ418" s="307"/>
      <c r="AK418" s="307"/>
      <c r="AL418" s="307"/>
      <c r="AM418" s="307"/>
      <c r="AN418" s="307"/>
      <c r="AO418" s="307"/>
      <c r="AP418" s="307"/>
      <c r="AQ418" s="307"/>
      <c r="AR418" s="307"/>
    </row>
    <row r="419" spans="1:44" s="457" customFormat="1" ht="12" customHeight="1">
      <c r="A419" s="307"/>
      <c r="B419" s="937"/>
      <c r="C419" s="937"/>
      <c r="D419" s="937"/>
      <c r="E419" s="937"/>
      <c r="F419" s="937"/>
      <c r="G419" s="937"/>
      <c r="H419" s="937"/>
      <c r="I419" s="937"/>
      <c r="J419" s="937"/>
      <c r="K419" s="937"/>
      <c r="L419" s="937"/>
      <c r="M419" s="937"/>
      <c r="N419" s="937"/>
      <c r="O419" s="937"/>
      <c r="P419" s="938"/>
      <c r="Q419" s="937"/>
      <c r="R419" s="937"/>
      <c r="X419" s="307"/>
      <c r="Y419" s="307"/>
      <c r="Z419" s="1753"/>
      <c r="AA419" s="307"/>
      <c r="AB419" s="307"/>
      <c r="AC419" s="307"/>
      <c r="AD419" s="307"/>
      <c r="AE419" s="307"/>
      <c r="AF419" s="307"/>
      <c r="AG419" s="307"/>
      <c r="AH419" s="307"/>
      <c r="AI419" s="307"/>
      <c r="AJ419" s="307"/>
      <c r="AK419" s="307"/>
      <c r="AL419" s="307"/>
      <c r="AM419" s="307"/>
      <c r="AN419" s="307"/>
      <c r="AO419" s="307"/>
      <c r="AP419" s="307"/>
      <c r="AQ419" s="307"/>
      <c r="AR419" s="307"/>
    </row>
    <row r="420" spans="1:44" s="457" customFormat="1" ht="12" customHeight="1">
      <c r="A420" s="307"/>
      <c r="B420" s="937"/>
      <c r="C420" s="937"/>
      <c r="D420" s="937"/>
      <c r="E420" s="937"/>
      <c r="F420" s="937"/>
      <c r="G420" s="937"/>
      <c r="H420" s="937"/>
      <c r="I420" s="937"/>
      <c r="J420" s="937"/>
      <c r="K420" s="937"/>
      <c r="L420" s="937"/>
      <c r="M420" s="937"/>
      <c r="N420" s="937"/>
      <c r="O420" s="937"/>
      <c r="P420" s="2747"/>
      <c r="Q420" s="937"/>
      <c r="R420" s="937"/>
      <c r="X420" s="307"/>
      <c r="Y420" s="307"/>
      <c r="Z420" s="1753"/>
      <c r="AA420" s="307"/>
      <c r="AB420" s="307"/>
      <c r="AC420" s="307"/>
      <c r="AD420" s="307"/>
      <c r="AE420" s="307"/>
      <c r="AF420" s="307"/>
      <c r="AG420" s="307"/>
      <c r="AH420" s="307"/>
      <c r="AI420" s="307"/>
      <c r="AJ420" s="307"/>
      <c r="AK420" s="307"/>
      <c r="AL420" s="307"/>
      <c r="AM420" s="307"/>
      <c r="AN420" s="307"/>
      <c r="AO420" s="307"/>
      <c r="AP420" s="307"/>
      <c r="AQ420" s="307"/>
      <c r="AR420" s="307"/>
    </row>
    <row r="421" spans="1:44" s="457" customFormat="1" ht="12" customHeight="1">
      <c r="A421" s="307"/>
      <c r="B421" s="937"/>
      <c r="C421" s="937"/>
      <c r="D421" s="937"/>
      <c r="E421" s="937"/>
      <c r="F421" s="937"/>
      <c r="G421" s="937"/>
      <c r="H421" s="937"/>
      <c r="I421" s="937"/>
      <c r="J421" s="937"/>
      <c r="K421" s="937"/>
      <c r="L421" s="937"/>
      <c r="M421" s="937"/>
      <c r="N421" s="937"/>
      <c r="O421" s="937"/>
      <c r="P421" s="2747"/>
      <c r="Q421" s="937"/>
      <c r="R421" s="937"/>
      <c r="X421" s="307"/>
      <c r="Y421" s="307"/>
      <c r="Z421" s="1753"/>
      <c r="AA421" s="307"/>
      <c r="AB421" s="307"/>
      <c r="AC421" s="307"/>
      <c r="AD421" s="307"/>
      <c r="AE421" s="307"/>
      <c r="AF421" s="307"/>
      <c r="AG421" s="307"/>
      <c r="AH421" s="307"/>
      <c r="AI421" s="307"/>
      <c r="AJ421" s="307"/>
      <c r="AK421" s="307"/>
      <c r="AL421" s="307"/>
      <c r="AM421" s="307"/>
      <c r="AN421" s="307"/>
      <c r="AO421" s="307"/>
      <c r="AP421" s="307"/>
      <c r="AQ421" s="307"/>
      <c r="AR421" s="307"/>
    </row>
    <row r="422" spans="1:44" s="457" customFormat="1" ht="12" customHeight="1">
      <c r="A422" s="307"/>
      <c r="B422" s="937"/>
      <c r="C422" s="937"/>
      <c r="D422" s="937"/>
      <c r="E422" s="937"/>
      <c r="F422" s="937"/>
      <c r="G422" s="937"/>
      <c r="H422" s="937"/>
      <c r="I422" s="937"/>
      <c r="J422" s="937"/>
      <c r="K422" s="937"/>
      <c r="L422" s="937"/>
      <c r="M422" s="937"/>
      <c r="N422" s="937"/>
      <c r="O422" s="937"/>
      <c r="P422" s="2747"/>
      <c r="Q422" s="937"/>
      <c r="R422" s="937"/>
      <c r="X422" s="307"/>
      <c r="Y422" s="307"/>
      <c r="Z422" s="1753"/>
      <c r="AA422" s="307"/>
      <c r="AB422" s="307"/>
      <c r="AC422" s="307"/>
      <c r="AD422" s="307"/>
      <c r="AE422" s="307"/>
      <c r="AF422" s="307"/>
      <c r="AG422" s="307"/>
      <c r="AH422" s="307"/>
      <c r="AI422" s="307"/>
      <c r="AJ422" s="307"/>
      <c r="AK422" s="307"/>
      <c r="AL422" s="307"/>
      <c r="AM422" s="307"/>
      <c r="AN422" s="307"/>
      <c r="AO422" s="307"/>
      <c r="AP422" s="307"/>
      <c r="AQ422" s="307"/>
      <c r="AR422" s="307"/>
    </row>
    <row r="423" spans="1:44" s="457" customFormat="1" ht="12" customHeight="1">
      <c r="A423" s="307"/>
      <c r="B423" s="937"/>
      <c r="C423" s="937"/>
      <c r="D423" s="937"/>
      <c r="E423" s="937"/>
      <c r="F423" s="937"/>
      <c r="G423" s="937"/>
      <c r="H423" s="937"/>
      <c r="I423" s="937"/>
      <c r="J423" s="937"/>
      <c r="K423" s="937"/>
      <c r="L423" s="937"/>
      <c r="M423" s="937"/>
      <c r="N423" s="937"/>
      <c r="O423" s="937"/>
      <c r="P423" s="938"/>
      <c r="Q423" s="937"/>
      <c r="R423" s="937"/>
      <c r="X423" s="307"/>
      <c r="Y423" s="307"/>
      <c r="Z423" s="1753"/>
      <c r="AA423" s="307"/>
      <c r="AB423" s="307"/>
      <c r="AC423" s="307"/>
      <c r="AD423" s="307"/>
      <c r="AE423" s="307"/>
      <c r="AF423" s="307"/>
      <c r="AG423" s="307"/>
      <c r="AH423" s="307"/>
      <c r="AI423" s="307"/>
      <c r="AJ423" s="307"/>
      <c r="AK423" s="307"/>
      <c r="AL423" s="307"/>
      <c r="AM423" s="307"/>
      <c r="AN423" s="307"/>
      <c r="AO423" s="307"/>
      <c r="AP423" s="307"/>
      <c r="AQ423" s="307"/>
      <c r="AR423" s="307"/>
    </row>
    <row r="424" spans="1:44" s="457" customFormat="1" ht="12" customHeight="1">
      <c r="A424" s="307"/>
      <c r="B424" s="937"/>
      <c r="C424" s="937"/>
      <c r="D424" s="937"/>
      <c r="E424" s="937"/>
      <c r="F424" s="937"/>
      <c r="G424" s="937"/>
      <c r="H424" s="937"/>
      <c r="I424" s="937"/>
      <c r="J424" s="937"/>
      <c r="K424" s="937"/>
      <c r="L424" s="937"/>
      <c r="M424" s="937"/>
      <c r="N424" s="937"/>
      <c r="O424" s="937"/>
      <c r="P424" s="938"/>
      <c r="Q424" s="937"/>
      <c r="R424" s="937"/>
      <c r="X424" s="307"/>
      <c r="Y424" s="307"/>
      <c r="Z424" s="1753"/>
      <c r="AA424" s="307"/>
      <c r="AB424" s="307"/>
      <c r="AC424" s="307"/>
      <c r="AD424" s="307"/>
      <c r="AE424" s="307"/>
      <c r="AF424" s="307"/>
      <c r="AG424" s="307"/>
      <c r="AH424" s="307"/>
      <c r="AI424" s="307"/>
      <c r="AJ424" s="307"/>
      <c r="AK424" s="307"/>
      <c r="AL424" s="307"/>
      <c r="AM424" s="307"/>
      <c r="AN424" s="307"/>
      <c r="AO424" s="307"/>
      <c r="AP424" s="307"/>
      <c r="AQ424" s="307"/>
      <c r="AR424" s="307"/>
    </row>
    <row r="425" spans="1:44" s="457" customFormat="1" ht="12" customHeight="1">
      <c r="A425" s="307"/>
      <c r="B425" s="937"/>
      <c r="C425" s="937"/>
      <c r="D425" s="937"/>
      <c r="E425" s="937"/>
      <c r="F425" s="937"/>
      <c r="G425" s="937"/>
      <c r="H425" s="937"/>
      <c r="I425" s="937"/>
      <c r="J425" s="937"/>
      <c r="K425" s="937"/>
      <c r="L425" s="937"/>
      <c r="M425" s="937"/>
      <c r="N425" s="937"/>
      <c r="O425" s="937"/>
      <c r="P425" s="2747"/>
      <c r="Q425" s="937"/>
      <c r="R425" s="937"/>
      <c r="X425" s="307"/>
      <c r="Y425" s="307"/>
      <c r="Z425" s="1753"/>
      <c r="AA425" s="307"/>
      <c r="AB425" s="307"/>
      <c r="AC425" s="307"/>
      <c r="AD425" s="307"/>
      <c r="AE425" s="307"/>
      <c r="AF425" s="307"/>
      <c r="AG425" s="307"/>
      <c r="AH425" s="307"/>
      <c r="AI425" s="307"/>
      <c r="AJ425" s="307"/>
      <c r="AK425" s="307"/>
      <c r="AL425" s="307"/>
      <c r="AM425" s="307"/>
      <c r="AN425" s="307"/>
      <c r="AO425" s="307"/>
      <c r="AP425" s="307"/>
      <c r="AQ425" s="307"/>
      <c r="AR425" s="307"/>
    </row>
    <row r="426" spans="1:44" s="457" customFormat="1" ht="12" customHeight="1">
      <c r="A426" s="307"/>
      <c r="B426" s="937"/>
      <c r="C426" s="937"/>
      <c r="D426" s="937"/>
      <c r="E426" s="937"/>
      <c r="F426" s="937"/>
      <c r="G426" s="937"/>
      <c r="H426" s="937"/>
      <c r="I426" s="937"/>
      <c r="J426" s="937"/>
      <c r="K426" s="937"/>
      <c r="L426" s="937"/>
      <c r="M426" s="937"/>
      <c r="N426" s="937"/>
      <c r="O426" s="937"/>
      <c r="P426" s="938"/>
      <c r="Q426" s="937"/>
      <c r="R426" s="937"/>
      <c r="X426" s="307"/>
      <c r="Y426" s="307"/>
      <c r="Z426" s="1753"/>
      <c r="AA426" s="307"/>
      <c r="AB426" s="307"/>
      <c r="AC426" s="307"/>
      <c r="AD426" s="307"/>
      <c r="AE426" s="307"/>
      <c r="AF426" s="307"/>
      <c r="AG426" s="307"/>
      <c r="AH426" s="307"/>
      <c r="AI426" s="307"/>
      <c r="AJ426" s="307"/>
      <c r="AK426" s="307"/>
      <c r="AL426" s="307"/>
      <c r="AM426" s="307"/>
      <c r="AN426" s="307"/>
      <c r="AO426" s="307"/>
      <c r="AP426" s="307"/>
      <c r="AQ426" s="307"/>
      <c r="AR426" s="307"/>
    </row>
    <row r="427" spans="1:44" s="457" customFormat="1" ht="12" customHeight="1">
      <c r="A427" s="307"/>
      <c r="B427" s="937"/>
      <c r="C427" s="937"/>
      <c r="D427" s="937"/>
      <c r="E427" s="937"/>
      <c r="F427" s="937"/>
      <c r="G427" s="937"/>
      <c r="H427" s="937"/>
      <c r="I427" s="937"/>
      <c r="J427" s="937"/>
      <c r="K427" s="937"/>
      <c r="L427" s="937"/>
      <c r="M427" s="937"/>
      <c r="N427" s="937"/>
      <c r="O427" s="937"/>
      <c r="P427" s="938"/>
      <c r="Q427" s="937"/>
      <c r="R427" s="937"/>
      <c r="X427" s="307"/>
      <c r="Y427" s="307"/>
      <c r="Z427" s="1753"/>
      <c r="AA427" s="307"/>
      <c r="AB427" s="307"/>
      <c r="AC427" s="307"/>
      <c r="AD427" s="307"/>
      <c r="AE427" s="307"/>
      <c r="AF427" s="307"/>
      <c r="AG427" s="307"/>
      <c r="AH427" s="307"/>
      <c r="AI427" s="307"/>
      <c r="AJ427" s="307"/>
      <c r="AK427" s="307"/>
      <c r="AL427" s="307"/>
      <c r="AM427" s="307"/>
      <c r="AN427" s="307"/>
      <c r="AO427" s="307"/>
      <c r="AP427" s="307"/>
      <c r="AQ427" s="307"/>
      <c r="AR427" s="307"/>
    </row>
    <row r="428" spans="1:44" s="457" customFormat="1" ht="12" customHeight="1">
      <c r="A428" s="307"/>
      <c r="B428" s="937"/>
      <c r="C428" s="937"/>
      <c r="D428" s="937"/>
      <c r="E428" s="937"/>
      <c r="F428" s="937"/>
      <c r="G428" s="937"/>
      <c r="H428" s="937"/>
      <c r="I428" s="937"/>
      <c r="J428" s="937"/>
      <c r="K428" s="937"/>
      <c r="L428" s="937"/>
      <c r="M428" s="937"/>
      <c r="N428" s="937"/>
      <c r="O428" s="937"/>
      <c r="P428" s="938"/>
      <c r="Q428" s="937"/>
      <c r="R428" s="937"/>
      <c r="X428" s="307"/>
      <c r="Y428" s="307"/>
      <c r="Z428" s="1753"/>
      <c r="AA428" s="307"/>
      <c r="AB428" s="307"/>
      <c r="AC428" s="307"/>
      <c r="AD428" s="307"/>
      <c r="AE428" s="307"/>
      <c r="AF428" s="307"/>
      <c r="AG428" s="307"/>
      <c r="AH428" s="307"/>
      <c r="AI428" s="307"/>
      <c r="AJ428" s="307"/>
      <c r="AK428" s="307"/>
      <c r="AL428" s="307"/>
      <c r="AM428" s="307"/>
      <c r="AN428" s="307"/>
      <c r="AO428" s="307"/>
      <c r="AP428" s="307"/>
      <c r="AQ428" s="307"/>
      <c r="AR428" s="307"/>
    </row>
    <row r="429" spans="1:44" s="457" customFormat="1" ht="12" customHeight="1">
      <c r="A429" s="307"/>
      <c r="B429" s="937"/>
      <c r="C429" s="937"/>
      <c r="D429" s="937"/>
      <c r="E429" s="937"/>
      <c r="F429" s="937"/>
      <c r="G429" s="937"/>
      <c r="H429" s="937"/>
      <c r="I429" s="937"/>
      <c r="J429" s="937"/>
      <c r="K429" s="937"/>
      <c r="L429" s="937"/>
      <c r="M429" s="937"/>
      <c r="N429" s="937"/>
      <c r="O429" s="937"/>
      <c r="P429" s="938"/>
      <c r="Q429" s="937"/>
      <c r="R429" s="937"/>
      <c r="X429" s="307"/>
      <c r="Y429" s="307"/>
      <c r="Z429" s="1753"/>
      <c r="AA429" s="307"/>
      <c r="AB429" s="307"/>
      <c r="AC429" s="307"/>
      <c r="AD429" s="307"/>
      <c r="AE429" s="307"/>
      <c r="AF429" s="307"/>
      <c r="AG429" s="307"/>
      <c r="AH429" s="307"/>
      <c r="AI429" s="307"/>
      <c r="AJ429" s="307"/>
      <c r="AK429" s="307"/>
      <c r="AL429" s="307"/>
      <c r="AM429" s="307"/>
      <c r="AN429" s="307"/>
      <c r="AO429" s="307"/>
      <c r="AP429" s="307"/>
      <c r="AQ429" s="307"/>
      <c r="AR429" s="307"/>
    </row>
    <row r="430" spans="1:44" s="457" customFormat="1" ht="12" customHeight="1">
      <c r="A430" s="307"/>
      <c r="B430" s="937"/>
      <c r="C430" s="937"/>
      <c r="D430" s="937"/>
      <c r="E430" s="937"/>
      <c r="F430" s="937"/>
      <c r="G430" s="937"/>
      <c r="H430" s="937"/>
      <c r="I430" s="937"/>
      <c r="J430" s="937"/>
      <c r="K430" s="937"/>
      <c r="L430" s="937"/>
      <c r="M430" s="937"/>
      <c r="N430" s="937"/>
      <c r="O430" s="937"/>
      <c r="P430" s="938"/>
      <c r="Q430" s="937"/>
      <c r="R430" s="937"/>
      <c r="X430" s="307"/>
      <c r="Y430" s="307"/>
      <c r="Z430" s="1753"/>
      <c r="AA430" s="307"/>
      <c r="AB430" s="307"/>
      <c r="AC430" s="307"/>
      <c r="AD430" s="307"/>
      <c r="AE430" s="307"/>
      <c r="AF430" s="307"/>
      <c r="AG430" s="307"/>
      <c r="AH430" s="307"/>
      <c r="AI430" s="307"/>
      <c r="AJ430" s="307"/>
      <c r="AK430" s="307"/>
      <c r="AL430" s="307"/>
      <c r="AM430" s="307"/>
      <c r="AN430" s="307"/>
      <c r="AO430" s="307"/>
      <c r="AP430" s="307"/>
      <c r="AQ430" s="307"/>
      <c r="AR430" s="307"/>
    </row>
    <row r="431" spans="1:44" s="457" customFormat="1" ht="12" customHeight="1">
      <c r="A431" s="307"/>
      <c r="B431" s="937"/>
      <c r="C431" s="937"/>
      <c r="D431" s="937"/>
      <c r="E431" s="937"/>
      <c r="F431" s="937"/>
      <c r="G431" s="937"/>
      <c r="H431" s="937"/>
      <c r="I431" s="937"/>
      <c r="J431" s="937"/>
      <c r="K431" s="937"/>
      <c r="L431" s="937"/>
      <c r="M431" s="937"/>
      <c r="N431" s="937"/>
      <c r="O431" s="937"/>
      <c r="P431" s="938"/>
      <c r="Q431" s="937"/>
      <c r="R431" s="937"/>
      <c r="X431" s="307"/>
      <c r="Y431" s="307"/>
      <c r="Z431" s="1753"/>
      <c r="AA431" s="307"/>
      <c r="AB431" s="307"/>
      <c r="AC431" s="307"/>
      <c r="AD431" s="307"/>
      <c r="AE431" s="307"/>
      <c r="AF431" s="307"/>
      <c r="AG431" s="307"/>
      <c r="AH431" s="307"/>
      <c r="AI431" s="307"/>
      <c r="AJ431" s="307"/>
      <c r="AK431" s="307"/>
      <c r="AL431" s="307"/>
      <c r="AM431" s="307"/>
      <c r="AN431" s="307"/>
      <c r="AO431" s="307"/>
      <c r="AP431" s="307"/>
      <c r="AQ431" s="307"/>
      <c r="AR431" s="307"/>
    </row>
    <row r="432" spans="1:44" s="457" customFormat="1" ht="12" customHeight="1">
      <c r="A432" s="307"/>
      <c r="B432" s="937"/>
      <c r="C432" s="937"/>
      <c r="D432" s="937"/>
      <c r="E432" s="937"/>
      <c r="F432" s="937"/>
      <c r="G432" s="937"/>
      <c r="H432" s="937"/>
      <c r="I432" s="937"/>
      <c r="J432" s="937"/>
      <c r="K432" s="937"/>
      <c r="L432" s="937"/>
      <c r="M432" s="937"/>
      <c r="N432" s="937"/>
      <c r="O432" s="937"/>
      <c r="P432" s="938"/>
      <c r="Q432" s="937"/>
      <c r="R432" s="937"/>
      <c r="X432" s="307"/>
      <c r="Y432" s="307"/>
      <c r="Z432" s="1753"/>
      <c r="AA432" s="307"/>
      <c r="AB432" s="307"/>
      <c r="AC432" s="307"/>
      <c r="AD432" s="307"/>
      <c r="AE432" s="307"/>
      <c r="AF432" s="307"/>
      <c r="AG432" s="307"/>
      <c r="AH432" s="307"/>
      <c r="AI432" s="307"/>
      <c r="AJ432" s="307"/>
      <c r="AK432" s="307"/>
      <c r="AL432" s="307"/>
      <c r="AM432" s="307"/>
      <c r="AN432" s="307"/>
      <c r="AO432" s="307"/>
      <c r="AP432" s="307"/>
      <c r="AQ432" s="307"/>
      <c r="AR432" s="307"/>
    </row>
    <row r="433" spans="1:44" s="457" customFormat="1" ht="12" customHeight="1">
      <c r="A433" s="307"/>
      <c r="B433" s="937"/>
      <c r="C433" s="937"/>
      <c r="D433" s="937"/>
      <c r="E433" s="937"/>
      <c r="F433" s="937"/>
      <c r="G433" s="937"/>
      <c r="H433" s="937"/>
      <c r="I433" s="937"/>
      <c r="J433" s="937"/>
      <c r="K433" s="937"/>
      <c r="L433" s="937"/>
      <c r="M433" s="937"/>
      <c r="N433" s="937"/>
      <c r="O433" s="937"/>
      <c r="P433" s="938"/>
      <c r="Q433" s="937"/>
      <c r="R433" s="937"/>
      <c r="X433" s="307"/>
      <c r="Y433" s="307"/>
      <c r="Z433" s="1753"/>
      <c r="AA433" s="307"/>
      <c r="AB433" s="307"/>
      <c r="AC433" s="307"/>
      <c r="AD433" s="307"/>
      <c r="AE433" s="307"/>
      <c r="AF433" s="307"/>
      <c r="AG433" s="307"/>
      <c r="AH433" s="307"/>
      <c r="AI433" s="307"/>
      <c r="AJ433" s="307"/>
      <c r="AK433" s="307"/>
      <c r="AL433" s="307"/>
      <c r="AM433" s="307"/>
      <c r="AN433" s="307"/>
      <c r="AO433" s="307"/>
      <c r="AP433" s="307"/>
      <c r="AQ433" s="307"/>
      <c r="AR433" s="307"/>
    </row>
    <row r="434" spans="1:44" s="457" customFormat="1" ht="12" customHeight="1">
      <c r="A434" s="307"/>
      <c r="B434" s="937"/>
      <c r="C434" s="937"/>
      <c r="D434" s="937"/>
      <c r="E434" s="937"/>
      <c r="F434" s="937"/>
      <c r="G434" s="937"/>
      <c r="H434" s="937"/>
      <c r="I434" s="937"/>
      <c r="J434" s="937"/>
      <c r="K434" s="937"/>
      <c r="L434" s="937"/>
      <c r="M434" s="937"/>
      <c r="N434" s="937"/>
      <c r="O434" s="937"/>
      <c r="P434" s="938"/>
      <c r="Q434" s="937"/>
      <c r="R434" s="937"/>
      <c r="X434" s="307"/>
      <c r="Y434" s="307"/>
      <c r="Z434" s="1753"/>
      <c r="AA434" s="307"/>
      <c r="AB434" s="307"/>
      <c r="AC434" s="307"/>
      <c r="AD434" s="307"/>
      <c r="AE434" s="307"/>
      <c r="AF434" s="307"/>
      <c r="AG434" s="307"/>
      <c r="AH434" s="307"/>
      <c r="AI434" s="307"/>
      <c r="AJ434" s="307"/>
      <c r="AK434" s="307"/>
      <c r="AL434" s="307"/>
      <c r="AM434" s="307"/>
      <c r="AN434" s="307"/>
      <c r="AO434" s="307"/>
      <c r="AP434" s="307"/>
      <c r="AQ434" s="307"/>
      <c r="AR434" s="307"/>
    </row>
    <row r="435" spans="1:44" s="457" customFormat="1" ht="12" customHeight="1">
      <c r="A435" s="307"/>
      <c r="B435" s="937"/>
      <c r="C435" s="937"/>
      <c r="D435" s="937"/>
      <c r="E435" s="937"/>
      <c r="F435" s="937"/>
      <c r="G435" s="937"/>
      <c r="H435" s="937"/>
      <c r="I435" s="937"/>
      <c r="J435" s="937"/>
      <c r="K435" s="937"/>
      <c r="L435" s="937"/>
      <c r="M435" s="937"/>
      <c r="N435" s="937"/>
      <c r="O435" s="937"/>
      <c r="P435" s="938"/>
      <c r="Q435" s="937"/>
      <c r="R435" s="937"/>
      <c r="X435" s="307"/>
      <c r="Y435" s="307"/>
      <c r="Z435" s="1753"/>
      <c r="AA435" s="307"/>
      <c r="AB435" s="307"/>
      <c r="AC435" s="307"/>
      <c r="AD435" s="307"/>
      <c r="AE435" s="307"/>
      <c r="AF435" s="307"/>
      <c r="AG435" s="307"/>
      <c r="AH435" s="307"/>
      <c r="AI435" s="307"/>
      <c r="AJ435" s="307"/>
      <c r="AK435" s="307"/>
      <c r="AL435" s="307"/>
      <c r="AM435" s="307"/>
      <c r="AN435" s="307"/>
      <c r="AO435" s="307"/>
      <c r="AP435" s="307"/>
      <c r="AQ435" s="307"/>
      <c r="AR435" s="307"/>
    </row>
    <row r="436" spans="1:44" s="457" customFormat="1" ht="12" customHeight="1">
      <c r="A436" s="307"/>
      <c r="B436" s="937"/>
      <c r="C436" s="937"/>
      <c r="D436" s="937"/>
      <c r="E436" s="937"/>
      <c r="F436" s="937"/>
      <c r="G436" s="937"/>
      <c r="H436" s="937"/>
      <c r="I436" s="937"/>
      <c r="J436" s="937"/>
      <c r="K436" s="937"/>
      <c r="L436" s="937"/>
      <c r="M436" s="937"/>
      <c r="N436" s="937"/>
      <c r="O436" s="937"/>
      <c r="P436" s="938"/>
      <c r="Q436" s="937"/>
      <c r="R436" s="937"/>
      <c r="X436" s="307"/>
      <c r="Y436" s="307"/>
      <c r="Z436" s="1753"/>
      <c r="AA436" s="307"/>
      <c r="AB436" s="307"/>
      <c r="AC436" s="307"/>
      <c r="AD436" s="307"/>
      <c r="AE436" s="307"/>
      <c r="AF436" s="307"/>
      <c r="AG436" s="307"/>
      <c r="AH436" s="307"/>
      <c r="AI436" s="307"/>
      <c r="AJ436" s="307"/>
      <c r="AK436" s="307"/>
      <c r="AL436" s="307"/>
      <c r="AM436" s="307"/>
      <c r="AN436" s="307"/>
      <c r="AO436" s="307"/>
      <c r="AP436" s="307"/>
      <c r="AQ436" s="307"/>
      <c r="AR436" s="307"/>
    </row>
    <row r="437" spans="1:44" s="457" customFormat="1" ht="12" customHeight="1">
      <c r="A437" s="307"/>
      <c r="B437" s="937"/>
      <c r="C437" s="937"/>
      <c r="D437" s="937"/>
      <c r="E437" s="937"/>
      <c r="F437" s="937"/>
      <c r="G437" s="937"/>
      <c r="H437" s="937"/>
      <c r="I437" s="937"/>
      <c r="J437" s="937"/>
      <c r="K437" s="937"/>
      <c r="L437" s="937"/>
      <c r="M437" s="937"/>
      <c r="N437" s="937"/>
      <c r="O437" s="937"/>
      <c r="P437" s="2747"/>
      <c r="Q437" s="937"/>
      <c r="R437" s="937"/>
      <c r="X437" s="307"/>
      <c r="Y437" s="307"/>
      <c r="Z437" s="1753"/>
      <c r="AA437" s="307"/>
      <c r="AB437" s="307"/>
      <c r="AC437" s="307"/>
      <c r="AD437" s="307"/>
      <c r="AE437" s="307"/>
      <c r="AF437" s="307"/>
      <c r="AG437" s="307"/>
      <c r="AH437" s="307"/>
      <c r="AI437" s="307"/>
      <c r="AJ437" s="307"/>
      <c r="AK437" s="307"/>
      <c r="AL437" s="307"/>
      <c r="AM437" s="307"/>
      <c r="AN437" s="307"/>
      <c r="AO437" s="307"/>
      <c r="AP437" s="307"/>
      <c r="AQ437" s="307"/>
      <c r="AR437" s="307"/>
    </row>
    <row r="438" spans="1:44" s="457" customFormat="1" ht="12" customHeight="1">
      <c r="A438" s="307"/>
      <c r="B438" s="937"/>
      <c r="C438" s="937"/>
      <c r="D438" s="937"/>
      <c r="E438" s="937"/>
      <c r="F438" s="937"/>
      <c r="G438" s="937"/>
      <c r="H438" s="937"/>
      <c r="I438" s="937"/>
      <c r="J438" s="937"/>
      <c r="K438" s="937"/>
      <c r="L438" s="937"/>
      <c r="M438" s="937"/>
      <c r="N438" s="937"/>
      <c r="O438" s="937"/>
      <c r="P438" s="938"/>
      <c r="Q438" s="937"/>
      <c r="R438" s="937"/>
      <c r="X438" s="307"/>
      <c r="Y438" s="307"/>
      <c r="Z438" s="1753"/>
      <c r="AA438" s="307"/>
      <c r="AB438" s="307"/>
      <c r="AC438" s="307"/>
      <c r="AD438" s="307"/>
      <c r="AE438" s="307"/>
      <c r="AF438" s="307"/>
      <c r="AG438" s="307"/>
      <c r="AH438" s="307"/>
      <c r="AI438" s="307"/>
      <c r="AJ438" s="307"/>
      <c r="AK438" s="307"/>
      <c r="AL438" s="307"/>
      <c r="AM438" s="307"/>
      <c r="AN438" s="307"/>
      <c r="AO438" s="307"/>
      <c r="AP438" s="307"/>
      <c r="AQ438" s="307"/>
      <c r="AR438" s="307"/>
    </row>
    <row r="439" spans="1:44" s="457" customFormat="1" ht="12" customHeight="1">
      <c r="A439" s="307"/>
      <c r="B439" s="937"/>
      <c r="C439" s="937"/>
      <c r="D439" s="937"/>
      <c r="E439" s="937"/>
      <c r="F439" s="937"/>
      <c r="G439" s="937"/>
      <c r="H439" s="937"/>
      <c r="I439" s="937"/>
      <c r="J439" s="937"/>
      <c r="K439" s="937"/>
      <c r="L439" s="937"/>
      <c r="M439" s="937"/>
      <c r="N439" s="937"/>
      <c r="O439" s="937"/>
      <c r="P439" s="938"/>
      <c r="Q439" s="937"/>
      <c r="R439" s="937"/>
      <c r="X439" s="307"/>
      <c r="Y439" s="307"/>
      <c r="Z439" s="1753"/>
      <c r="AA439" s="307"/>
      <c r="AB439" s="307"/>
      <c r="AC439" s="307"/>
      <c r="AD439" s="307"/>
      <c r="AE439" s="307"/>
      <c r="AF439" s="307"/>
      <c r="AG439" s="307"/>
      <c r="AH439" s="307"/>
      <c r="AI439" s="307"/>
      <c r="AJ439" s="307"/>
      <c r="AK439" s="307"/>
      <c r="AL439" s="307"/>
      <c r="AM439" s="307"/>
      <c r="AN439" s="307"/>
      <c r="AO439" s="307"/>
      <c r="AP439" s="307"/>
      <c r="AQ439" s="307"/>
      <c r="AR439" s="307"/>
    </row>
    <row r="440" spans="1:44" s="457" customFormat="1" ht="12" customHeight="1">
      <c r="A440" s="307"/>
      <c r="B440" s="937"/>
      <c r="C440" s="937"/>
      <c r="D440" s="937"/>
      <c r="E440" s="937"/>
      <c r="F440" s="937"/>
      <c r="G440" s="937"/>
      <c r="H440" s="937"/>
      <c r="I440" s="937"/>
      <c r="J440" s="937"/>
      <c r="K440" s="937"/>
      <c r="L440" s="937"/>
      <c r="M440" s="937"/>
      <c r="N440" s="937"/>
      <c r="O440" s="937"/>
      <c r="P440" s="938"/>
      <c r="Q440" s="937"/>
      <c r="R440" s="937"/>
      <c r="X440" s="307"/>
      <c r="Y440" s="307"/>
      <c r="Z440" s="1753"/>
      <c r="AA440" s="307"/>
      <c r="AB440" s="307"/>
      <c r="AC440" s="307"/>
      <c r="AD440" s="307"/>
      <c r="AE440" s="307"/>
      <c r="AF440" s="307"/>
      <c r="AG440" s="307"/>
      <c r="AH440" s="307"/>
      <c r="AI440" s="307"/>
      <c r="AJ440" s="307"/>
      <c r="AK440" s="307"/>
      <c r="AL440" s="307"/>
      <c r="AM440" s="307"/>
      <c r="AN440" s="307"/>
      <c r="AO440" s="307"/>
      <c r="AP440" s="307"/>
      <c r="AQ440" s="307"/>
      <c r="AR440" s="307"/>
    </row>
    <row r="441" spans="1:44" s="457" customFormat="1" ht="12" customHeight="1">
      <c r="A441" s="307"/>
      <c r="B441" s="937"/>
      <c r="C441" s="937"/>
      <c r="D441" s="937"/>
      <c r="E441" s="937"/>
      <c r="F441" s="937"/>
      <c r="G441" s="937"/>
      <c r="H441" s="937"/>
      <c r="I441" s="937"/>
      <c r="J441" s="937"/>
      <c r="K441" s="937"/>
      <c r="L441" s="937"/>
      <c r="M441" s="937"/>
      <c r="N441" s="937"/>
      <c r="O441" s="937"/>
      <c r="P441" s="938"/>
      <c r="Q441" s="937"/>
      <c r="R441" s="937"/>
      <c r="X441" s="307"/>
      <c r="Y441" s="307"/>
      <c r="Z441" s="1753"/>
      <c r="AA441" s="307"/>
      <c r="AB441" s="307"/>
      <c r="AC441" s="307"/>
      <c r="AD441" s="307"/>
      <c r="AE441" s="307"/>
      <c r="AF441" s="307"/>
      <c r="AG441" s="307"/>
      <c r="AH441" s="307"/>
      <c r="AI441" s="307"/>
      <c r="AJ441" s="307"/>
      <c r="AK441" s="307"/>
      <c r="AL441" s="307"/>
      <c r="AM441" s="307"/>
      <c r="AN441" s="307"/>
      <c r="AO441" s="307"/>
      <c r="AP441" s="307"/>
      <c r="AQ441" s="307"/>
      <c r="AR441" s="307"/>
    </row>
    <row r="442" spans="1:44" s="457" customFormat="1" ht="12" customHeight="1">
      <c r="A442" s="307"/>
      <c r="B442" s="937"/>
      <c r="C442" s="937"/>
      <c r="D442" s="937"/>
      <c r="E442" s="937"/>
      <c r="F442" s="937"/>
      <c r="G442" s="937"/>
      <c r="H442" s="937"/>
      <c r="I442" s="937"/>
      <c r="J442" s="937"/>
      <c r="K442" s="937"/>
      <c r="L442" s="937"/>
      <c r="M442" s="937"/>
      <c r="N442" s="937"/>
      <c r="O442" s="937"/>
      <c r="P442" s="938"/>
      <c r="Q442" s="937"/>
      <c r="R442" s="937"/>
      <c r="X442" s="307"/>
      <c r="Y442" s="307"/>
      <c r="Z442" s="1753"/>
      <c r="AA442" s="307"/>
      <c r="AB442" s="307"/>
      <c r="AC442" s="307"/>
      <c r="AD442" s="307"/>
      <c r="AE442" s="307"/>
      <c r="AF442" s="307"/>
      <c r="AG442" s="307"/>
      <c r="AH442" s="307"/>
      <c r="AI442" s="307"/>
      <c r="AJ442" s="307"/>
      <c r="AK442" s="307"/>
      <c r="AL442" s="307"/>
      <c r="AM442" s="307"/>
      <c r="AN442" s="307"/>
      <c r="AO442" s="307"/>
      <c r="AP442" s="307"/>
      <c r="AQ442" s="307"/>
      <c r="AR442" s="307"/>
    </row>
    <row r="443" spans="1:44" s="457" customFormat="1" ht="12" customHeight="1">
      <c r="A443" s="307"/>
      <c r="B443" s="937"/>
      <c r="C443" s="937"/>
      <c r="D443" s="937"/>
      <c r="E443" s="937"/>
      <c r="F443" s="937"/>
      <c r="G443" s="937"/>
      <c r="H443" s="937"/>
      <c r="I443" s="937"/>
      <c r="J443" s="937"/>
      <c r="K443" s="937"/>
      <c r="L443" s="937"/>
      <c r="M443" s="937"/>
      <c r="N443" s="937"/>
      <c r="O443" s="937"/>
      <c r="P443" s="938"/>
      <c r="Q443" s="937"/>
      <c r="R443" s="937"/>
      <c r="X443" s="307"/>
      <c r="Y443" s="307"/>
      <c r="Z443" s="1753"/>
      <c r="AA443" s="307"/>
      <c r="AB443" s="307"/>
      <c r="AC443" s="307"/>
      <c r="AD443" s="307"/>
      <c r="AE443" s="307"/>
      <c r="AF443" s="307"/>
      <c r="AG443" s="307"/>
      <c r="AH443" s="307"/>
      <c r="AI443" s="307"/>
      <c r="AJ443" s="307"/>
      <c r="AK443" s="307"/>
      <c r="AL443" s="307"/>
      <c r="AM443" s="307"/>
      <c r="AN443" s="307"/>
      <c r="AO443" s="307"/>
      <c r="AP443" s="307"/>
      <c r="AQ443" s="307"/>
      <c r="AR443" s="307"/>
    </row>
    <row r="444" spans="1:44" s="457" customFormat="1" ht="12" customHeight="1">
      <c r="A444" s="307"/>
      <c r="P444" s="380"/>
      <c r="X444" s="307"/>
      <c r="Y444" s="307"/>
      <c r="Z444" s="1753"/>
      <c r="AA444" s="307"/>
      <c r="AB444" s="307"/>
      <c r="AC444" s="307"/>
      <c r="AD444" s="307"/>
      <c r="AE444" s="307"/>
      <c r="AF444" s="307"/>
      <c r="AG444" s="307"/>
      <c r="AH444" s="307"/>
      <c r="AI444" s="307"/>
      <c r="AJ444" s="307"/>
      <c r="AK444" s="307"/>
      <c r="AL444" s="307"/>
      <c r="AM444" s="307"/>
      <c r="AN444" s="307"/>
      <c r="AO444" s="307"/>
      <c r="AP444" s="307"/>
      <c r="AQ444" s="307"/>
      <c r="AR444" s="307"/>
    </row>
    <row r="445" spans="1:44" s="457" customFormat="1" ht="12" customHeight="1">
      <c r="A445" s="307"/>
      <c r="P445" s="380"/>
      <c r="X445" s="307"/>
      <c r="Y445" s="307"/>
      <c r="Z445" s="1753"/>
      <c r="AA445" s="307"/>
      <c r="AB445" s="307"/>
      <c r="AC445" s="307"/>
      <c r="AD445" s="307"/>
      <c r="AE445" s="307"/>
      <c r="AF445" s="307"/>
      <c r="AG445" s="307"/>
      <c r="AH445" s="307"/>
      <c r="AI445" s="307"/>
      <c r="AJ445" s="307"/>
      <c r="AK445" s="307"/>
      <c r="AL445" s="307"/>
      <c r="AM445" s="307"/>
      <c r="AN445" s="307"/>
      <c r="AO445" s="307"/>
      <c r="AP445" s="307"/>
      <c r="AQ445" s="307"/>
      <c r="AR445" s="307"/>
    </row>
    <row r="446" spans="1:44" s="457" customFormat="1" ht="12" customHeight="1">
      <c r="A446" s="307"/>
      <c r="P446" s="380"/>
      <c r="X446" s="307"/>
      <c r="Y446" s="307"/>
      <c r="Z446" s="1753"/>
      <c r="AA446" s="307"/>
      <c r="AB446" s="307"/>
      <c r="AC446" s="307"/>
      <c r="AD446" s="307"/>
      <c r="AE446" s="307"/>
      <c r="AF446" s="307"/>
      <c r="AG446" s="307"/>
      <c r="AH446" s="307"/>
      <c r="AI446" s="307"/>
      <c r="AJ446" s="307"/>
      <c r="AK446" s="307"/>
      <c r="AL446" s="307"/>
      <c r="AM446" s="307"/>
      <c r="AN446" s="307"/>
      <c r="AO446" s="307"/>
      <c r="AP446" s="307"/>
      <c r="AQ446" s="307"/>
      <c r="AR446" s="307"/>
    </row>
    <row r="447" spans="1:44" s="457" customFormat="1" ht="12" customHeight="1">
      <c r="A447" s="307"/>
      <c r="P447" s="2749"/>
      <c r="X447" s="307"/>
      <c r="Y447" s="307"/>
      <c r="Z447" s="1753"/>
      <c r="AA447" s="307"/>
      <c r="AB447" s="307"/>
      <c r="AC447" s="307"/>
      <c r="AD447" s="307"/>
      <c r="AE447" s="307"/>
      <c r="AF447" s="307"/>
      <c r="AG447" s="307"/>
      <c r="AH447" s="307"/>
      <c r="AI447" s="307"/>
      <c r="AJ447" s="307"/>
      <c r="AK447" s="307"/>
      <c r="AL447" s="307"/>
      <c r="AM447" s="307"/>
      <c r="AN447" s="307"/>
      <c r="AO447" s="307"/>
      <c r="AP447" s="307"/>
      <c r="AQ447" s="307"/>
      <c r="AR447" s="307"/>
    </row>
    <row r="448" spans="1:44" s="457" customFormat="1" ht="12" customHeight="1">
      <c r="A448" s="307"/>
      <c r="P448" s="380"/>
      <c r="X448" s="307"/>
      <c r="Y448" s="307"/>
      <c r="Z448" s="1753"/>
      <c r="AA448" s="307"/>
      <c r="AB448" s="307"/>
      <c r="AC448" s="307"/>
      <c r="AD448" s="307"/>
      <c r="AE448" s="307"/>
      <c r="AF448" s="307"/>
      <c r="AG448" s="307"/>
      <c r="AH448" s="307"/>
      <c r="AI448" s="307"/>
      <c r="AJ448" s="307"/>
      <c r="AK448" s="307"/>
      <c r="AL448" s="307"/>
      <c r="AM448" s="307"/>
      <c r="AN448" s="307"/>
      <c r="AO448" s="307"/>
      <c r="AP448" s="307"/>
      <c r="AQ448" s="307"/>
      <c r="AR448" s="307"/>
    </row>
    <row r="449" spans="1:44" s="457" customFormat="1" ht="12" customHeight="1">
      <c r="A449" s="307"/>
      <c r="P449" s="380"/>
      <c r="X449" s="307"/>
      <c r="Y449" s="307"/>
      <c r="Z449" s="1753"/>
      <c r="AA449" s="307"/>
      <c r="AB449" s="307"/>
      <c r="AC449" s="307"/>
      <c r="AD449" s="307"/>
      <c r="AE449" s="307"/>
      <c r="AF449" s="307"/>
      <c r="AG449" s="307"/>
      <c r="AH449" s="307"/>
      <c r="AI449" s="307"/>
      <c r="AJ449" s="307"/>
      <c r="AK449" s="307"/>
      <c r="AL449" s="307"/>
      <c r="AM449" s="307"/>
      <c r="AN449" s="307"/>
      <c r="AO449" s="307"/>
      <c r="AP449" s="307"/>
      <c r="AQ449" s="307"/>
      <c r="AR449" s="307"/>
    </row>
    <row r="450" spans="1:44" s="457" customFormat="1" ht="12" customHeight="1">
      <c r="A450" s="307"/>
      <c r="P450" s="380"/>
      <c r="X450" s="307"/>
      <c r="Y450" s="307"/>
      <c r="Z450" s="1753"/>
      <c r="AA450" s="307"/>
      <c r="AB450" s="307"/>
      <c r="AC450" s="307"/>
      <c r="AD450" s="307"/>
      <c r="AE450" s="307"/>
      <c r="AF450" s="307"/>
      <c r="AG450" s="307"/>
      <c r="AH450" s="307"/>
      <c r="AI450" s="307"/>
      <c r="AJ450" s="307"/>
      <c r="AK450" s="307"/>
      <c r="AL450" s="307"/>
      <c r="AM450" s="307"/>
      <c r="AN450" s="307"/>
      <c r="AO450" s="307"/>
      <c r="AP450" s="307"/>
      <c r="AQ450" s="307"/>
      <c r="AR450" s="307"/>
    </row>
    <row r="451" spans="1:44" s="457" customFormat="1" ht="12" customHeight="1">
      <c r="A451" s="307"/>
      <c r="P451" s="380"/>
      <c r="X451" s="307"/>
      <c r="Y451" s="307"/>
      <c r="Z451" s="1753"/>
      <c r="AA451" s="307"/>
      <c r="AB451" s="307"/>
      <c r="AC451" s="307"/>
      <c r="AD451" s="307"/>
      <c r="AE451" s="307"/>
      <c r="AF451" s="307"/>
      <c r="AG451" s="307"/>
      <c r="AH451" s="307"/>
      <c r="AI451" s="307"/>
      <c r="AJ451" s="307"/>
      <c r="AK451" s="307"/>
      <c r="AL451" s="307"/>
      <c r="AM451" s="307"/>
      <c r="AN451" s="307"/>
      <c r="AO451" s="307"/>
      <c r="AP451" s="307"/>
      <c r="AQ451" s="307"/>
      <c r="AR451" s="307"/>
    </row>
    <row r="452" spans="1:44" s="457" customFormat="1" ht="12" customHeight="1">
      <c r="A452" s="307"/>
      <c r="P452" s="380"/>
      <c r="X452" s="307"/>
      <c r="Y452" s="307"/>
      <c r="Z452" s="1753"/>
      <c r="AA452" s="307"/>
      <c r="AB452" s="307"/>
      <c r="AC452" s="307"/>
      <c r="AD452" s="307"/>
      <c r="AE452" s="307"/>
      <c r="AF452" s="307"/>
      <c r="AG452" s="307"/>
      <c r="AH452" s="307"/>
      <c r="AI452" s="307"/>
      <c r="AJ452" s="307"/>
      <c r="AK452" s="307"/>
      <c r="AL452" s="307"/>
      <c r="AM452" s="307"/>
      <c r="AN452" s="307"/>
      <c r="AO452" s="307"/>
      <c r="AP452" s="307"/>
      <c r="AQ452" s="307"/>
      <c r="AR452" s="307"/>
    </row>
    <row r="453" spans="1:44" s="457" customFormat="1" ht="12" customHeight="1">
      <c r="A453" s="307"/>
      <c r="P453" s="380"/>
      <c r="X453" s="307"/>
      <c r="Y453" s="307"/>
      <c r="Z453" s="1753"/>
      <c r="AA453" s="307"/>
      <c r="AB453" s="307"/>
      <c r="AC453" s="307"/>
      <c r="AD453" s="307"/>
      <c r="AE453" s="307"/>
      <c r="AF453" s="307"/>
      <c r="AG453" s="307"/>
      <c r="AH453" s="307"/>
      <c r="AI453" s="307"/>
      <c r="AJ453" s="307"/>
      <c r="AK453" s="307"/>
      <c r="AL453" s="307"/>
      <c r="AM453" s="307"/>
      <c r="AN453" s="307"/>
      <c r="AO453" s="307"/>
      <c r="AP453" s="307"/>
      <c r="AQ453" s="307"/>
      <c r="AR453" s="307"/>
    </row>
    <row r="454" spans="1:44" s="457" customFormat="1" ht="12" customHeight="1">
      <c r="A454" s="307"/>
      <c r="P454" s="380"/>
      <c r="X454" s="307"/>
      <c r="Y454" s="307"/>
      <c r="Z454" s="1753"/>
      <c r="AA454" s="307"/>
      <c r="AB454" s="307"/>
      <c r="AC454" s="307"/>
      <c r="AD454" s="307"/>
      <c r="AE454" s="307"/>
      <c r="AF454" s="307"/>
      <c r="AG454" s="307"/>
      <c r="AH454" s="307"/>
      <c r="AI454" s="307"/>
      <c r="AJ454" s="307"/>
      <c r="AK454" s="307"/>
      <c r="AL454" s="307"/>
      <c r="AM454" s="307"/>
      <c r="AN454" s="307"/>
      <c r="AO454" s="307"/>
      <c r="AP454" s="307"/>
      <c r="AQ454" s="307"/>
      <c r="AR454" s="307"/>
    </row>
    <row r="455" spans="1:44" s="457" customFormat="1" ht="12" customHeight="1">
      <c r="A455" s="307"/>
      <c r="P455" s="380"/>
      <c r="X455" s="307"/>
      <c r="Y455" s="307"/>
      <c r="Z455" s="1753"/>
      <c r="AA455" s="307"/>
      <c r="AB455" s="307"/>
      <c r="AC455" s="307"/>
      <c r="AD455" s="307"/>
      <c r="AE455" s="307"/>
      <c r="AF455" s="307"/>
      <c r="AG455" s="307"/>
      <c r="AH455" s="307"/>
      <c r="AI455" s="307"/>
      <c r="AJ455" s="307"/>
      <c r="AK455" s="307"/>
      <c r="AL455" s="307"/>
      <c r="AM455" s="307"/>
      <c r="AN455" s="307"/>
      <c r="AO455" s="307"/>
      <c r="AP455" s="307"/>
      <c r="AQ455" s="307"/>
      <c r="AR455" s="307"/>
    </row>
    <row r="456" spans="1:44" s="457" customFormat="1" ht="12" customHeight="1">
      <c r="A456" s="307"/>
      <c r="P456" s="380"/>
      <c r="X456" s="307"/>
      <c r="Y456" s="307"/>
      <c r="Z456" s="1753"/>
      <c r="AA456" s="307"/>
      <c r="AB456" s="307"/>
      <c r="AC456" s="307"/>
      <c r="AD456" s="307"/>
      <c r="AE456" s="307"/>
      <c r="AF456" s="307"/>
      <c r="AG456" s="307"/>
      <c r="AH456" s="307"/>
      <c r="AI456" s="307"/>
      <c r="AJ456" s="307"/>
      <c r="AK456" s="307"/>
      <c r="AL456" s="307"/>
      <c r="AM456" s="307"/>
      <c r="AN456" s="307"/>
      <c r="AO456" s="307"/>
      <c r="AP456" s="307"/>
      <c r="AQ456" s="307"/>
      <c r="AR456" s="307"/>
    </row>
    <row r="457" spans="1:44" s="457" customFormat="1" ht="12" customHeight="1">
      <c r="A457" s="307"/>
      <c r="P457" s="380"/>
      <c r="X457" s="307"/>
      <c r="Y457" s="307"/>
      <c r="Z457" s="1753"/>
      <c r="AA457" s="307"/>
      <c r="AB457" s="307"/>
      <c r="AC457" s="307"/>
      <c r="AD457" s="307"/>
      <c r="AE457" s="307"/>
      <c r="AF457" s="307"/>
      <c r="AG457" s="307"/>
      <c r="AH457" s="307"/>
      <c r="AI457" s="307"/>
      <c r="AJ457" s="307"/>
      <c r="AK457" s="307"/>
      <c r="AL457" s="307"/>
      <c r="AM457" s="307"/>
      <c r="AN457" s="307"/>
      <c r="AO457" s="307"/>
      <c r="AP457" s="307"/>
      <c r="AQ457" s="307"/>
      <c r="AR457" s="307"/>
    </row>
    <row r="458" spans="1:44" s="457" customFormat="1" ht="12" customHeight="1">
      <c r="A458" s="307"/>
      <c r="P458" s="380"/>
      <c r="X458" s="307"/>
      <c r="Y458" s="307"/>
      <c r="Z458" s="1753"/>
      <c r="AA458" s="307"/>
      <c r="AB458" s="307"/>
      <c r="AC458" s="307"/>
      <c r="AD458" s="307"/>
      <c r="AE458" s="307"/>
      <c r="AF458" s="307"/>
      <c r="AG458" s="307"/>
      <c r="AH458" s="307"/>
      <c r="AI458" s="307"/>
      <c r="AJ458" s="307"/>
      <c r="AK458" s="307"/>
      <c r="AL458" s="307"/>
      <c r="AM458" s="307"/>
      <c r="AN458" s="307"/>
      <c r="AO458" s="307"/>
      <c r="AP458" s="307"/>
      <c r="AQ458" s="307"/>
      <c r="AR458" s="307"/>
    </row>
    <row r="459" spans="1:44" s="457" customFormat="1" ht="12" customHeight="1">
      <c r="A459" s="307"/>
      <c r="P459" s="380"/>
      <c r="X459" s="307"/>
      <c r="Y459" s="307"/>
      <c r="Z459" s="1753"/>
      <c r="AA459" s="307"/>
      <c r="AB459" s="307"/>
      <c r="AC459" s="307"/>
      <c r="AD459" s="307"/>
      <c r="AE459" s="307"/>
      <c r="AF459" s="307"/>
      <c r="AG459" s="307"/>
      <c r="AH459" s="307"/>
      <c r="AI459" s="307"/>
      <c r="AJ459" s="307"/>
      <c r="AK459" s="307"/>
      <c r="AL459" s="307"/>
      <c r="AM459" s="307"/>
      <c r="AN459" s="307"/>
      <c r="AO459" s="307"/>
      <c r="AP459" s="307"/>
      <c r="AQ459" s="307"/>
      <c r="AR459" s="307"/>
    </row>
    <row r="460" spans="1:44" s="457" customFormat="1" ht="12" customHeight="1">
      <c r="A460" s="307"/>
      <c r="P460" s="380"/>
      <c r="X460" s="307"/>
      <c r="Y460" s="307"/>
      <c r="Z460" s="1753"/>
      <c r="AA460" s="307"/>
      <c r="AB460" s="307"/>
      <c r="AC460" s="307"/>
      <c r="AD460" s="307"/>
      <c r="AE460" s="307"/>
      <c r="AF460" s="307"/>
      <c r="AG460" s="307"/>
      <c r="AH460" s="307"/>
      <c r="AI460" s="307"/>
      <c r="AJ460" s="307"/>
      <c r="AK460" s="307"/>
      <c r="AL460" s="307"/>
      <c r="AM460" s="307"/>
      <c r="AN460" s="307"/>
      <c r="AO460" s="307"/>
      <c r="AP460" s="307"/>
      <c r="AQ460" s="307"/>
      <c r="AR460" s="307"/>
    </row>
    <row r="461" spans="1:44" s="457" customFormat="1" ht="12" customHeight="1">
      <c r="A461" s="307"/>
      <c r="P461" s="1799"/>
      <c r="X461" s="307"/>
      <c r="Y461" s="307"/>
      <c r="Z461" s="1753"/>
      <c r="AA461" s="307"/>
      <c r="AB461" s="307"/>
      <c r="AC461" s="307"/>
      <c r="AD461" s="307"/>
      <c r="AE461" s="307"/>
      <c r="AF461" s="307"/>
      <c r="AG461" s="307"/>
      <c r="AH461" s="307"/>
      <c r="AI461" s="307"/>
      <c r="AJ461" s="307"/>
      <c r="AK461" s="307"/>
      <c r="AL461" s="307"/>
      <c r="AM461" s="307"/>
      <c r="AN461" s="307"/>
      <c r="AO461" s="307"/>
      <c r="AP461" s="307"/>
      <c r="AQ461" s="307"/>
      <c r="AR461" s="307"/>
    </row>
    <row r="462" spans="1:44" s="457" customFormat="1" ht="12" customHeight="1">
      <c r="A462" s="307"/>
      <c r="P462" s="380"/>
      <c r="X462" s="307"/>
      <c r="Y462" s="307"/>
      <c r="Z462" s="1753"/>
      <c r="AA462" s="307"/>
      <c r="AB462" s="307"/>
      <c r="AC462" s="307"/>
      <c r="AD462" s="307"/>
      <c r="AE462" s="307"/>
      <c r="AF462" s="307"/>
      <c r="AG462" s="307"/>
      <c r="AH462" s="307"/>
      <c r="AI462" s="307"/>
      <c r="AJ462" s="307"/>
      <c r="AK462" s="307"/>
      <c r="AL462" s="307"/>
      <c r="AM462" s="307"/>
      <c r="AN462" s="307"/>
      <c r="AO462" s="307"/>
      <c r="AP462" s="307"/>
      <c r="AQ462" s="307"/>
      <c r="AR462" s="307"/>
    </row>
    <row r="463" spans="1:44" s="457" customFormat="1" ht="12" customHeight="1">
      <c r="A463" s="307"/>
      <c r="P463" s="380"/>
      <c r="X463" s="307"/>
      <c r="Y463" s="307"/>
      <c r="Z463" s="1753"/>
      <c r="AA463" s="307"/>
      <c r="AB463" s="307"/>
      <c r="AC463" s="307"/>
      <c r="AD463" s="307"/>
      <c r="AE463" s="307"/>
      <c r="AF463" s="307"/>
      <c r="AG463" s="307"/>
      <c r="AH463" s="307"/>
      <c r="AI463" s="307"/>
      <c r="AJ463" s="307"/>
      <c r="AK463" s="307"/>
      <c r="AL463" s="307"/>
      <c r="AM463" s="307"/>
      <c r="AN463" s="307"/>
      <c r="AO463" s="307"/>
      <c r="AP463" s="307"/>
      <c r="AQ463" s="307"/>
      <c r="AR463" s="307"/>
    </row>
    <row r="464" spans="1:44" s="457" customFormat="1" ht="12" customHeight="1">
      <c r="A464" s="307"/>
      <c r="P464" s="380"/>
      <c r="X464" s="307"/>
      <c r="Y464" s="307"/>
      <c r="Z464" s="1753"/>
      <c r="AA464" s="307"/>
      <c r="AB464" s="307"/>
      <c r="AC464" s="307"/>
      <c r="AD464" s="307"/>
      <c r="AE464" s="307"/>
      <c r="AF464" s="307"/>
      <c r="AG464" s="307"/>
      <c r="AH464" s="307"/>
      <c r="AI464" s="307"/>
      <c r="AJ464" s="307"/>
      <c r="AK464" s="307"/>
      <c r="AL464" s="307"/>
      <c r="AM464" s="307"/>
      <c r="AN464" s="307"/>
      <c r="AO464" s="307"/>
      <c r="AP464" s="307"/>
      <c r="AQ464" s="307"/>
      <c r="AR464" s="307"/>
    </row>
    <row r="465" spans="1:44" s="457" customFormat="1" ht="12" customHeight="1">
      <c r="A465" s="307"/>
      <c r="P465" s="1799"/>
      <c r="X465" s="307"/>
      <c r="Y465" s="307"/>
      <c r="Z465" s="1753"/>
      <c r="AA465" s="307"/>
      <c r="AB465" s="307"/>
      <c r="AC465" s="307"/>
      <c r="AD465" s="307"/>
      <c r="AE465" s="307"/>
      <c r="AF465" s="307"/>
      <c r="AG465" s="307"/>
      <c r="AH465" s="307"/>
      <c r="AI465" s="307"/>
      <c r="AJ465" s="307"/>
      <c r="AK465" s="307"/>
      <c r="AL465" s="307"/>
      <c r="AM465" s="307"/>
      <c r="AN465" s="307"/>
      <c r="AO465" s="307"/>
      <c r="AP465" s="307"/>
      <c r="AQ465" s="307"/>
      <c r="AR465" s="307"/>
    </row>
    <row r="466" spans="1:44" s="457" customFormat="1" ht="12" customHeight="1">
      <c r="A466" s="307"/>
      <c r="P466" s="380"/>
      <c r="X466" s="307"/>
      <c r="Y466" s="307"/>
      <c r="Z466" s="1753"/>
      <c r="AA466" s="307"/>
      <c r="AB466" s="307"/>
      <c r="AC466" s="307"/>
      <c r="AD466" s="307"/>
      <c r="AE466" s="307"/>
      <c r="AF466" s="307"/>
      <c r="AG466" s="307"/>
      <c r="AH466" s="307"/>
      <c r="AI466" s="307"/>
      <c r="AJ466" s="307"/>
      <c r="AK466" s="307"/>
      <c r="AL466" s="307"/>
      <c r="AM466" s="307"/>
      <c r="AN466" s="307"/>
      <c r="AO466" s="307"/>
      <c r="AP466" s="307"/>
      <c r="AQ466" s="307"/>
      <c r="AR466" s="307"/>
    </row>
    <row r="467" spans="1:44" s="457" customFormat="1" ht="12" customHeight="1">
      <c r="A467" s="307"/>
      <c r="P467" s="380"/>
      <c r="X467" s="307"/>
      <c r="Y467" s="307"/>
      <c r="Z467" s="1753"/>
      <c r="AA467" s="307"/>
      <c r="AB467" s="307"/>
      <c r="AC467" s="307"/>
      <c r="AD467" s="307"/>
      <c r="AE467" s="307"/>
      <c r="AF467" s="307"/>
      <c r="AG467" s="307"/>
      <c r="AH467" s="307"/>
      <c r="AI467" s="307"/>
      <c r="AJ467" s="307"/>
      <c r="AK467" s="307"/>
      <c r="AL467" s="307"/>
      <c r="AM467" s="307"/>
      <c r="AN467" s="307"/>
      <c r="AO467" s="307"/>
      <c r="AP467" s="307"/>
      <c r="AQ467" s="307"/>
      <c r="AR467" s="307"/>
    </row>
    <row r="468" spans="1:44" s="457" customFormat="1" ht="12" customHeight="1">
      <c r="A468" s="307"/>
      <c r="P468" s="380"/>
      <c r="X468" s="307"/>
      <c r="Y468" s="307"/>
      <c r="Z468" s="1753"/>
      <c r="AA468" s="307"/>
      <c r="AB468" s="307"/>
      <c r="AC468" s="307"/>
      <c r="AD468" s="307"/>
      <c r="AE468" s="307"/>
      <c r="AF468" s="307"/>
      <c r="AG468" s="307"/>
      <c r="AH468" s="307"/>
      <c r="AI468" s="307"/>
      <c r="AJ468" s="307"/>
      <c r="AK468" s="307"/>
      <c r="AL468" s="307"/>
      <c r="AM468" s="307"/>
      <c r="AN468" s="307"/>
      <c r="AO468" s="307"/>
      <c r="AP468" s="307"/>
      <c r="AQ468" s="307"/>
      <c r="AR468" s="307"/>
    </row>
    <row r="469" spans="1:44" s="457" customFormat="1" ht="12" customHeight="1">
      <c r="A469" s="307"/>
      <c r="P469" s="380"/>
      <c r="X469" s="307"/>
      <c r="Y469" s="307"/>
      <c r="Z469" s="1753"/>
      <c r="AA469" s="307"/>
      <c r="AB469" s="307"/>
      <c r="AC469" s="307"/>
      <c r="AD469" s="307"/>
      <c r="AE469" s="307"/>
      <c r="AF469" s="307"/>
      <c r="AG469" s="307"/>
      <c r="AH469" s="307"/>
      <c r="AI469" s="307"/>
      <c r="AJ469" s="307"/>
      <c r="AK469" s="307"/>
      <c r="AL469" s="307"/>
      <c r="AM469" s="307"/>
      <c r="AN469" s="307"/>
      <c r="AO469" s="307"/>
      <c r="AP469" s="307"/>
      <c r="AQ469" s="307"/>
      <c r="AR469" s="307"/>
    </row>
    <row r="470" spans="1:44" s="457" customFormat="1" ht="12" customHeight="1">
      <c r="A470" s="307"/>
      <c r="P470" s="380"/>
      <c r="X470" s="307"/>
      <c r="Y470" s="307"/>
      <c r="Z470" s="1753"/>
      <c r="AA470" s="307"/>
      <c r="AB470" s="307"/>
      <c r="AC470" s="307"/>
      <c r="AD470" s="307"/>
      <c r="AE470" s="307"/>
      <c r="AF470" s="307"/>
      <c r="AG470" s="307"/>
      <c r="AH470" s="307"/>
      <c r="AI470" s="307"/>
      <c r="AJ470" s="307"/>
      <c r="AK470" s="307"/>
      <c r="AL470" s="307"/>
      <c r="AM470" s="307"/>
      <c r="AN470" s="307"/>
      <c r="AO470" s="307"/>
      <c r="AP470" s="307"/>
      <c r="AQ470" s="307"/>
      <c r="AR470" s="307"/>
    </row>
    <row r="471" spans="1:44" s="457" customFormat="1" ht="12" customHeight="1">
      <c r="A471" s="307"/>
      <c r="P471" s="1799"/>
      <c r="X471" s="307"/>
      <c r="Y471" s="307"/>
      <c r="Z471" s="1753"/>
      <c r="AA471" s="307"/>
      <c r="AB471" s="307"/>
      <c r="AC471" s="307"/>
      <c r="AD471" s="307"/>
      <c r="AE471" s="307"/>
      <c r="AF471" s="307"/>
      <c r="AG471" s="307"/>
      <c r="AH471" s="307"/>
      <c r="AI471" s="307"/>
      <c r="AJ471" s="307"/>
      <c r="AK471" s="307"/>
      <c r="AL471" s="307"/>
      <c r="AM471" s="307"/>
      <c r="AN471" s="307"/>
      <c r="AO471" s="307"/>
      <c r="AP471" s="307"/>
      <c r="AQ471" s="307"/>
      <c r="AR471" s="307"/>
    </row>
    <row r="472" spans="1:44" s="457" customFormat="1" ht="12" customHeight="1">
      <c r="A472" s="307"/>
      <c r="P472" s="380"/>
      <c r="X472" s="307"/>
      <c r="Y472" s="307"/>
      <c r="Z472" s="1753"/>
      <c r="AA472" s="307"/>
      <c r="AB472" s="307"/>
      <c r="AC472" s="307"/>
      <c r="AD472" s="307"/>
      <c r="AE472" s="307"/>
      <c r="AF472" s="307"/>
      <c r="AG472" s="307"/>
      <c r="AH472" s="307"/>
      <c r="AI472" s="307"/>
      <c r="AJ472" s="307"/>
      <c r="AK472" s="307"/>
      <c r="AL472" s="307"/>
      <c r="AM472" s="307"/>
      <c r="AN472" s="307"/>
      <c r="AO472" s="307"/>
      <c r="AP472" s="307"/>
      <c r="AQ472" s="307"/>
      <c r="AR472" s="307"/>
    </row>
    <row r="473" spans="1:44" s="457" customFormat="1" ht="12" customHeight="1">
      <c r="A473" s="307"/>
      <c r="P473" s="380"/>
      <c r="X473" s="307"/>
      <c r="Y473" s="307"/>
      <c r="Z473" s="1753"/>
      <c r="AA473" s="307"/>
      <c r="AB473" s="307"/>
      <c r="AC473" s="307"/>
      <c r="AD473" s="307"/>
      <c r="AE473" s="307"/>
      <c r="AF473" s="307"/>
      <c r="AG473" s="307"/>
      <c r="AH473" s="307"/>
      <c r="AI473" s="307"/>
      <c r="AJ473" s="307"/>
      <c r="AK473" s="307"/>
      <c r="AL473" s="307"/>
      <c r="AM473" s="307"/>
      <c r="AN473" s="307"/>
      <c r="AO473" s="307"/>
      <c r="AP473" s="307"/>
      <c r="AQ473" s="307"/>
      <c r="AR473" s="307"/>
    </row>
    <row r="474" spans="1:44" s="457" customFormat="1" ht="12" customHeight="1">
      <c r="A474" s="307"/>
      <c r="P474" s="380"/>
      <c r="X474" s="307"/>
      <c r="Y474" s="307"/>
      <c r="Z474" s="1753"/>
      <c r="AA474" s="307"/>
      <c r="AB474" s="307"/>
      <c r="AC474" s="307"/>
      <c r="AD474" s="307"/>
      <c r="AE474" s="307"/>
      <c r="AF474" s="307"/>
      <c r="AG474" s="307"/>
      <c r="AH474" s="307"/>
      <c r="AI474" s="307"/>
      <c r="AJ474" s="307"/>
      <c r="AK474" s="307"/>
      <c r="AL474" s="307"/>
      <c r="AM474" s="307"/>
      <c r="AN474" s="307"/>
      <c r="AO474" s="307"/>
      <c r="AP474" s="307"/>
      <c r="AQ474" s="307"/>
      <c r="AR474" s="307"/>
    </row>
    <row r="475" spans="1:44" s="457" customFormat="1" ht="12" customHeight="1">
      <c r="A475" s="307"/>
      <c r="P475" s="380"/>
      <c r="X475" s="307"/>
      <c r="Y475" s="307"/>
      <c r="Z475" s="1753"/>
      <c r="AA475" s="307"/>
      <c r="AB475" s="307"/>
      <c r="AC475" s="307"/>
      <c r="AD475" s="307"/>
      <c r="AE475" s="307"/>
      <c r="AF475" s="307"/>
      <c r="AG475" s="307"/>
      <c r="AH475" s="307"/>
      <c r="AI475" s="307"/>
      <c r="AJ475" s="307"/>
      <c r="AK475" s="307"/>
      <c r="AL475" s="307"/>
      <c r="AM475" s="307"/>
      <c r="AN475" s="307"/>
      <c r="AO475" s="307"/>
      <c r="AP475" s="307"/>
      <c r="AQ475" s="307"/>
      <c r="AR475" s="307"/>
    </row>
    <row r="476" spans="1:44" s="457" customFormat="1" ht="12" customHeight="1">
      <c r="A476" s="307"/>
      <c r="P476" s="380"/>
      <c r="X476" s="307"/>
      <c r="Y476" s="307"/>
      <c r="Z476" s="1753"/>
      <c r="AA476" s="307"/>
      <c r="AB476" s="307"/>
      <c r="AC476" s="307"/>
      <c r="AD476" s="307"/>
      <c r="AE476" s="307"/>
      <c r="AF476" s="307"/>
      <c r="AG476" s="307"/>
      <c r="AH476" s="307"/>
      <c r="AI476" s="307"/>
      <c r="AJ476" s="307"/>
      <c r="AK476" s="307"/>
      <c r="AL476" s="307"/>
      <c r="AM476" s="307"/>
      <c r="AN476" s="307"/>
      <c r="AO476" s="307"/>
      <c r="AP476" s="307"/>
      <c r="AQ476" s="307"/>
      <c r="AR476" s="307"/>
    </row>
    <row r="477" spans="1:44" s="457" customFormat="1" ht="12" customHeight="1">
      <c r="A477" s="307"/>
      <c r="P477" s="380"/>
      <c r="X477" s="307"/>
      <c r="Y477" s="307"/>
      <c r="Z477" s="1753"/>
      <c r="AA477" s="307"/>
      <c r="AB477" s="307"/>
      <c r="AC477" s="307"/>
      <c r="AD477" s="307"/>
      <c r="AE477" s="307"/>
      <c r="AF477" s="307"/>
      <c r="AG477" s="307"/>
      <c r="AH477" s="307"/>
      <c r="AI477" s="307"/>
      <c r="AJ477" s="307"/>
      <c r="AK477" s="307"/>
      <c r="AL477" s="307"/>
      <c r="AM477" s="307"/>
      <c r="AN477" s="307"/>
      <c r="AO477" s="307"/>
      <c r="AP477" s="307"/>
      <c r="AQ477" s="307"/>
      <c r="AR477" s="307"/>
    </row>
    <row r="478" spans="1:44" s="457" customFormat="1" ht="12" customHeight="1">
      <c r="A478" s="307"/>
      <c r="P478" s="380"/>
      <c r="X478" s="307"/>
      <c r="Y478" s="307"/>
      <c r="Z478" s="1753"/>
      <c r="AA478" s="307"/>
      <c r="AB478" s="307"/>
      <c r="AC478" s="307"/>
      <c r="AD478" s="307"/>
      <c r="AE478" s="307"/>
      <c r="AF478" s="307"/>
      <c r="AG478" s="307"/>
      <c r="AH478" s="307"/>
      <c r="AI478" s="307"/>
      <c r="AJ478" s="307"/>
      <c r="AK478" s="307"/>
      <c r="AL478" s="307"/>
      <c r="AM478" s="307"/>
      <c r="AN478" s="307"/>
      <c r="AO478" s="307"/>
      <c r="AP478" s="307"/>
      <c r="AQ478" s="307"/>
      <c r="AR478" s="307"/>
    </row>
    <row r="479" spans="1:44" s="457" customFormat="1" ht="12" customHeight="1">
      <c r="A479" s="307"/>
      <c r="P479" s="380"/>
      <c r="X479" s="307"/>
      <c r="Y479" s="307"/>
      <c r="Z479" s="1753"/>
      <c r="AA479" s="307"/>
      <c r="AB479" s="307"/>
      <c r="AC479" s="307"/>
      <c r="AD479" s="307"/>
      <c r="AE479" s="307"/>
      <c r="AF479" s="307"/>
      <c r="AG479" s="307"/>
      <c r="AH479" s="307"/>
      <c r="AI479" s="307"/>
      <c r="AJ479" s="307"/>
      <c r="AK479" s="307"/>
      <c r="AL479" s="307"/>
      <c r="AM479" s="307"/>
      <c r="AN479" s="307"/>
      <c r="AO479" s="307"/>
      <c r="AP479" s="307"/>
      <c r="AQ479" s="307"/>
      <c r="AR479" s="307"/>
    </row>
    <row r="480" spans="1:44" s="457" customFormat="1" ht="12" customHeight="1">
      <c r="A480" s="307"/>
      <c r="P480" s="380"/>
      <c r="X480" s="307"/>
      <c r="Y480" s="307"/>
      <c r="Z480" s="1753"/>
      <c r="AA480" s="307"/>
      <c r="AB480" s="307"/>
      <c r="AC480" s="307"/>
      <c r="AD480" s="307"/>
      <c r="AE480" s="307"/>
      <c r="AF480" s="307"/>
      <c r="AG480" s="307"/>
      <c r="AH480" s="307"/>
      <c r="AI480" s="307"/>
      <c r="AJ480" s="307"/>
      <c r="AK480" s="307"/>
      <c r="AL480" s="307"/>
      <c r="AM480" s="307"/>
      <c r="AN480" s="307"/>
      <c r="AO480" s="307"/>
      <c r="AP480" s="307"/>
      <c r="AQ480" s="307"/>
      <c r="AR480" s="307"/>
    </row>
    <row r="481" spans="1:44" s="457" customFormat="1" ht="12" customHeight="1">
      <c r="A481" s="307"/>
      <c r="P481" s="380"/>
      <c r="X481" s="307"/>
      <c r="Y481" s="307"/>
      <c r="Z481" s="1753"/>
      <c r="AA481" s="307"/>
      <c r="AB481" s="307"/>
      <c r="AC481" s="307"/>
      <c r="AD481" s="307"/>
      <c r="AE481" s="307"/>
      <c r="AF481" s="307"/>
      <c r="AG481" s="307"/>
      <c r="AH481" s="307"/>
      <c r="AI481" s="307"/>
      <c r="AJ481" s="307"/>
      <c r="AK481" s="307"/>
      <c r="AL481" s="307"/>
      <c r="AM481" s="307"/>
      <c r="AN481" s="307"/>
      <c r="AO481" s="307"/>
      <c r="AP481" s="307"/>
      <c r="AQ481" s="307"/>
      <c r="AR481" s="307"/>
    </row>
    <row r="482" spans="1:44" s="457" customFormat="1" ht="12" customHeight="1">
      <c r="A482" s="307"/>
      <c r="P482" s="380"/>
      <c r="X482" s="307"/>
      <c r="Y482" s="307"/>
      <c r="Z482" s="1753"/>
      <c r="AA482" s="307"/>
      <c r="AB482" s="307"/>
      <c r="AC482" s="307"/>
      <c r="AD482" s="307"/>
      <c r="AE482" s="307"/>
      <c r="AF482" s="307"/>
      <c r="AG482" s="307"/>
      <c r="AH482" s="307"/>
      <c r="AI482" s="307"/>
      <c r="AJ482" s="307"/>
      <c r="AK482" s="307"/>
      <c r="AL482" s="307"/>
      <c r="AM482" s="307"/>
      <c r="AN482" s="307"/>
      <c r="AO482" s="307"/>
      <c r="AP482" s="307"/>
      <c r="AQ482" s="307"/>
      <c r="AR482" s="307"/>
    </row>
    <row r="483" spans="1:44" s="457" customFormat="1" ht="12" customHeight="1">
      <c r="A483" s="307"/>
      <c r="P483" s="380"/>
      <c r="X483" s="307"/>
      <c r="Y483" s="307"/>
      <c r="Z483" s="1753"/>
      <c r="AA483" s="307"/>
      <c r="AB483" s="307"/>
      <c r="AC483" s="307"/>
      <c r="AD483" s="307"/>
      <c r="AE483" s="307"/>
      <c r="AF483" s="307"/>
      <c r="AG483" s="307"/>
      <c r="AH483" s="307"/>
      <c r="AI483" s="307"/>
      <c r="AJ483" s="307"/>
      <c r="AK483" s="307"/>
      <c r="AL483" s="307"/>
      <c r="AM483" s="307"/>
      <c r="AN483" s="307"/>
      <c r="AO483" s="307"/>
      <c r="AP483" s="307"/>
      <c r="AQ483" s="307"/>
      <c r="AR483" s="307"/>
    </row>
    <row r="484" spans="1:44" s="457" customFormat="1" ht="12" customHeight="1">
      <c r="A484" s="307"/>
      <c r="P484" s="1799"/>
      <c r="X484" s="307"/>
      <c r="Y484" s="307"/>
      <c r="Z484" s="1753"/>
      <c r="AA484" s="307"/>
      <c r="AB484" s="307"/>
      <c r="AC484" s="307"/>
      <c r="AD484" s="307"/>
      <c r="AE484" s="307"/>
      <c r="AF484" s="307"/>
      <c r="AG484" s="307"/>
      <c r="AH484" s="307"/>
      <c r="AI484" s="307"/>
      <c r="AJ484" s="307"/>
      <c r="AK484" s="307"/>
      <c r="AL484" s="307"/>
      <c r="AM484" s="307"/>
      <c r="AN484" s="307"/>
      <c r="AO484" s="307"/>
      <c r="AP484" s="307"/>
      <c r="AQ484" s="307"/>
      <c r="AR484" s="307"/>
    </row>
    <row r="485" spans="1:44" s="457" customFormat="1" ht="12" customHeight="1">
      <c r="A485" s="307"/>
      <c r="P485" s="380"/>
      <c r="X485" s="307"/>
      <c r="Y485" s="307"/>
      <c r="Z485" s="1753"/>
      <c r="AA485" s="307"/>
      <c r="AB485" s="307"/>
      <c r="AC485" s="307"/>
      <c r="AD485" s="307"/>
      <c r="AE485" s="307"/>
      <c r="AF485" s="307"/>
      <c r="AG485" s="307"/>
      <c r="AH485" s="307"/>
      <c r="AI485" s="307"/>
      <c r="AJ485" s="307"/>
      <c r="AK485" s="307"/>
      <c r="AL485" s="307"/>
      <c r="AM485" s="307"/>
      <c r="AN485" s="307"/>
      <c r="AO485" s="307"/>
      <c r="AP485" s="307"/>
      <c r="AQ485" s="307"/>
      <c r="AR485" s="307"/>
    </row>
    <row r="486" spans="1:44" s="457" customFormat="1" ht="12" customHeight="1">
      <c r="A486" s="307"/>
      <c r="P486" s="380"/>
      <c r="X486" s="307"/>
      <c r="Y486" s="307"/>
      <c r="Z486" s="1753"/>
      <c r="AA486" s="307"/>
      <c r="AB486" s="307"/>
      <c r="AC486" s="307"/>
      <c r="AD486" s="307"/>
      <c r="AE486" s="307"/>
      <c r="AF486" s="307"/>
      <c r="AG486" s="307"/>
      <c r="AH486" s="307"/>
      <c r="AI486" s="307"/>
      <c r="AJ486" s="307"/>
      <c r="AK486" s="307"/>
      <c r="AL486" s="307"/>
      <c r="AM486" s="307"/>
      <c r="AN486" s="307"/>
      <c r="AO486" s="307"/>
      <c r="AP486" s="307"/>
      <c r="AQ486" s="307"/>
      <c r="AR486" s="307"/>
    </row>
    <row r="487" spans="1:44" s="457" customFormat="1" ht="12" customHeight="1">
      <c r="A487" s="307"/>
      <c r="P487" s="380"/>
      <c r="X487" s="307"/>
      <c r="Y487" s="307"/>
      <c r="Z487" s="1753"/>
      <c r="AA487" s="307"/>
      <c r="AB487" s="307"/>
      <c r="AC487" s="307"/>
      <c r="AD487" s="307"/>
      <c r="AE487" s="307"/>
      <c r="AF487" s="307"/>
      <c r="AG487" s="307"/>
      <c r="AH487" s="307"/>
      <c r="AI487" s="307"/>
      <c r="AJ487" s="307"/>
      <c r="AK487" s="307"/>
      <c r="AL487" s="307"/>
      <c r="AM487" s="307"/>
      <c r="AN487" s="307"/>
      <c r="AO487" s="307"/>
      <c r="AP487" s="307"/>
      <c r="AQ487" s="307"/>
      <c r="AR487" s="307"/>
    </row>
    <row r="488" spans="1:44" s="457" customFormat="1" ht="12" customHeight="1">
      <c r="A488" s="307"/>
      <c r="P488" s="380"/>
      <c r="X488" s="307"/>
      <c r="Y488" s="307"/>
      <c r="Z488" s="1753"/>
      <c r="AA488" s="307"/>
      <c r="AB488" s="307"/>
      <c r="AC488" s="307"/>
      <c r="AD488" s="307"/>
      <c r="AE488" s="307"/>
      <c r="AF488" s="307"/>
      <c r="AG488" s="307"/>
      <c r="AH488" s="307"/>
      <c r="AI488" s="307"/>
      <c r="AJ488" s="307"/>
      <c r="AK488" s="307"/>
      <c r="AL488" s="307"/>
      <c r="AM488" s="307"/>
      <c r="AN488" s="307"/>
      <c r="AO488" s="307"/>
      <c r="AP488" s="307"/>
      <c r="AQ488" s="307"/>
      <c r="AR488" s="307"/>
    </row>
    <row r="489" spans="1:44" s="457" customFormat="1" ht="12" customHeight="1">
      <c r="A489" s="307"/>
      <c r="P489" s="380"/>
      <c r="X489" s="307"/>
      <c r="Y489" s="307"/>
      <c r="Z489" s="1753"/>
      <c r="AA489" s="307"/>
      <c r="AB489" s="307"/>
      <c r="AC489" s="307"/>
      <c r="AD489" s="307"/>
      <c r="AE489" s="307"/>
      <c r="AF489" s="307"/>
      <c r="AG489" s="307"/>
      <c r="AH489" s="307"/>
      <c r="AI489" s="307"/>
      <c r="AJ489" s="307"/>
      <c r="AK489" s="307"/>
      <c r="AL489" s="307"/>
      <c r="AM489" s="307"/>
      <c r="AN489" s="307"/>
      <c r="AO489" s="307"/>
      <c r="AP489" s="307"/>
      <c r="AQ489" s="307"/>
      <c r="AR489" s="307"/>
    </row>
    <row r="490" spans="1:44" s="457" customFormat="1" ht="12" customHeight="1">
      <c r="A490" s="307"/>
      <c r="P490" s="380"/>
      <c r="X490" s="307"/>
      <c r="Y490" s="307"/>
      <c r="Z490" s="1753"/>
      <c r="AA490" s="307"/>
      <c r="AB490" s="307"/>
      <c r="AC490" s="307"/>
      <c r="AD490" s="307"/>
      <c r="AE490" s="307"/>
      <c r="AF490" s="307"/>
      <c r="AG490" s="307"/>
      <c r="AH490" s="307"/>
      <c r="AI490" s="307"/>
      <c r="AJ490" s="307"/>
      <c r="AK490" s="307"/>
      <c r="AL490" s="307"/>
      <c r="AM490" s="307"/>
      <c r="AN490" s="307"/>
      <c r="AO490" s="307"/>
      <c r="AP490" s="307"/>
      <c r="AQ490" s="307"/>
      <c r="AR490" s="307"/>
    </row>
    <row r="491" spans="1:44" s="457" customFormat="1" ht="12" customHeight="1">
      <c r="A491" s="307"/>
      <c r="P491" s="380"/>
      <c r="X491" s="307"/>
      <c r="Y491" s="307"/>
      <c r="Z491" s="1753"/>
      <c r="AA491" s="307"/>
      <c r="AB491" s="307"/>
      <c r="AC491" s="307"/>
      <c r="AD491" s="307"/>
      <c r="AE491" s="307"/>
      <c r="AF491" s="307"/>
      <c r="AG491" s="307"/>
      <c r="AH491" s="307"/>
      <c r="AI491" s="307"/>
      <c r="AJ491" s="307"/>
      <c r="AK491" s="307"/>
      <c r="AL491" s="307"/>
      <c r="AM491" s="307"/>
      <c r="AN491" s="307"/>
      <c r="AO491" s="307"/>
      <c r="AP491" s="307"/>
      <c r="AQ491" s="307"/>
      <c r="AR491" s="307"/>
    </row>
    <row r="492" spans="1:44" s="457" customFormat="1" ht="12" customHeight="1">
      <c r="A492" s="307"/>
      <c r="P492" s="380"/>
      <c r="X492" s="307"/>
      <c r="Y492" s="307"/>
      <c r="Z492" s="1753"/>
      <c r="AA492" s="307"/>
      <c r="AB492" s="307"/>
      <c r="AC492" s="307"/>
      <c r="AD492" s="307"/>
      <c r="AE492" s="307"/>
      <c r="AF492" s="307"/>
      <c r="AG492" s="307"/>
      <c r="AH492" s="307"/>
      <c r="AI492" s="307"/>
      <c r="AJ492" s="307"/>
      <c r="AK492" s="307"/>
      <c r="AL492" s="307"/>
      <c r="AM492" s="307"/>
      <c r="AN492" s="307"/>
      <c r="AO492" s="307"/>
      <c r="AP492" s="307"/>
      <c r="AQ492" s="307"/>
      <c r="AR492" s="307"/>
    </row>
    <row r="493" spans="1:44" s="457" customFormat="1" ht="12" customHeight="1">
      <c r="A493" s="307"/>
      <c r="P493" s="380"/>
      <c r="X493" s="307"/>
      <c r="Y493" s="307"/>
      <c r="Z493" s="1753"/>
      <c r="AA493" s="307"/>
      <c r="AB493" s="307"/>
      <c r="AC493" s="307"/>
      <c r="AD493" s="307"/>
      <c r="AE493" s="307"/>
      <c r="AF493" s="307"/>
      <c r="AG493" s="307"/>
      <c r="AH493" s="307"/>
      <c r="AI493" s="307"/>
      <c r="AJ493" s="307"/>
      <c r="AK493" s="307"/>
      <c r="AL493" s="307"/>
      <c r="AM493" s="307"/>
      <c r="AN493" s="307"/>
      <c r="AO493" s="307"/>
      <c r="AP493" s="307"/>
      <c r="AQ493" s="307"/>
      <c r="AR493" s="307"/>
    </row>
    <row r="494" spans="1:44" s="457" customFormat="1" ht="12" customHeight="1">
      <c r="A494" s="307"/>
      <c r="P494" s="380"/>
      <c r="X494" s="307"/>
      <c r="Y494" s="307"/>
      <c r="Z494" s="1753"/>
      <c r="AA494" s="307"/>
      <c r="AB494" s="307"/>
      <c r="AC494" s="307"/>
      <c r="AD494" s="307"/>
      <c r="AE494" s="307"/>
      <c r="AF494" s="307"/>
      <c r="AG494" s="307"/>
      <c r="AH494" s="307"/>
      <c r="AI494" s="307"/>
      <c r="AJ494" s="307"/>
      <c r="AK494" s="307"/>
      <c r="AL494" s="307"/>
      <c r="AM494" s="307"/>
      <c r="AN494" s="307"/>
      <c r="AO494" s="307"/>
      <c r="AP494" s="307"/>
      <c r="AQ494" s="307"/>
      <c r="AR494" s="307"/>
    </row>
    <row r="495" spans="1:44" s="457" customFormat="1" ht="12" customHeight="1">
      <c r="A495" s="307"/>
      <c r="P495" s="380"/>
      <c r="X495" s="307"/>
      <c r="Y495" s="307"/>
      <c r="Z495" s="1753"/>
      <c r="AA495" s="307"/>
      <c r="AB495" s="307"/>
      <c r="AC495" s="307"/>
      <c r="AD495" s="307"/>
      <c r="AE495" s="307"/>
      <c r="AF495" s="307"/>
      <c r="AG495" s="307"/>
      <c r="AH495" s="307"/>
      <c r="AI495" s="307"/>
      <c r="AJ495" s="307"/>
      <c r="AK495" s="307"/>
      <c r="AL495" s="307"/>
      <c r="AM495" s="307"/>
      <c r="AN495" s="307"/>
      <c r="AO495" s="307"/>
      <c r="AP495" s="307"/>
      <c r="AQ495" s="307"/>
      <c r="AR495" s="307"/>
    </row>
    <row r="496" spans="1:44" s="457" customFormat="1" ht="12" customHeight="1">
      <c r="A496" s="307"/>
      <c r="P496" s="380"/>
      <c r="X496" s="307"/>
      <c r="Y496" s="307"/>
      <c r="Z496" s="1753"/>
      <c r="AA496" s="307"/>
      <c r="AB496" s="307"/>
      <c r="AC496" s="307"/>
      <c r="AD496" s="307"/>
      <c r="AE496" s="307"/>
      <c r="AF496" s="307"/>
      <c r="AG496" s="307"/>
      <c r="AH496" s="307"/>
      <c r="AI496" s="307"/>
      <c r="AJ496" s="307"/>
      <c r="AK496" s="307"/>
      <c r="AL496" s="307"/>
      <c r="AM496" s="307"/>
      <c r="AN496" s="307"/>
      <c r="AO496" s="307"/>
      <c r="AP496" s="307"/>
      <c r="AQ496" s="307"/>
      <c r="AR496" s="307"/>
    </row>
    <row r="497" spans="1:44" s="457" customFormat="1" ht="12" customHeight="1">
      <c r="A497" s="307"/>
      <c r="P497" s="380"/>
      <c r="X497" s="307"/>
      <c r="Y497" s="307"/>
      <c r="Z497" s="1753"/>
      <c r="AA497" s="307"/>
      <c r="AB497" s="307"/>
      <c r="AC497" s="307"/>
      <c r="AD497" s="307"/>
      <c r="AE497" s="307"/>
      <c r="AF497" s="307"/>
      <c r="AG497" s="307"/>
      <c r="AH497" s="307"/>
      <c r="AI497" s="307"/>
      <c r="AJ497" s="307"/>
      <c r="AK497" s="307"/>
      <c r="AL497" s="307"/>
      <c r="AM497" s="307"/>
      <c r="AN497" s="307"/>
      <c r="AO497" s="307"/>
      <c r="AP497" s="307"/>
      <c r="AQ497" s="307"/>
      <c r="AR497" s="307"/>
    </row>
    <row r="498" spans="1:44" s="457" customFormat="1" ht="12" customHeight="1">
      <c r="A498" s="307"/>
      <c r="P498" s="1799"/>
      <c r="X498" s="307"/>
      <c r="Y498" s="307"/>
      <c r="Z498" s="1753"/>
      <c r="AA498" s="307"/>
      <c r="AB498" s="307"/>
      <c r="AC498" s="307"/>
      <c r="AD498" s="307"/>
      <c r="AE498" s="307"/>
      <c r="AF498" s="307"/>
      <c r="AG498" s="307"/>
      <c r="AH498" s="307"/>
      <c r="AI498" s="307"/>
      <c r="AJ498" s="307"/>
      <c r="AK498" s="307"/>
      <c r="AL498" s="307"/>
      <c r="AM498" s="307"/>
      <c r="AN498" s="307"/>
      <c r="AO498" s="307"/>
      <c r="AP498" s="307"/>
      <c r="AQ498" s="307"/>
      <c r="AR498" s="307"/>
    </row>
    <row r="499" spans="1:44" s="457" customFormat="1" ht="12" customHeight="1">
      <c r="A499" s="307"/>
      <c r="P499" s="380"/>
      <c r="X499" s="307"/>
      <c r="Y499" s="307"/>
      <c r="Z499" s="1753"/>
      <c r="AA499" s="307"/>
      <c r="AB499" s="307"/>
      <c r="AC499" s="307"/>
      <c r="AD499" s="307"/>
      <c r="AE499" s="307"/>
      <c r="AF499" s="307"/>
      <c r="AG499" s="307"/>
      <c r="AH499" s="307"/>
      <c r="AI499" s="307"/>
      <c r="AJ499" s="307"/>
      <c r="AK499" s="307"/>
      <c r="AL499" s="307"/>
      <c r="AM499" s="307"/>
      <c r="AN499" s="307"/>
      <c r="AO499" s="307"/>
      <c r="AP499" s="307"/>
      <c r="AQ499" s="307"/>
      <c r="AR499" s="307"/>
    </row>
    <row r="500" spans="1:44" s="457" customFormat="1" ht="12" customHeight="1">
      <c r="A500" s="307"/>
      <c r="P500" s="1799"/>
      <c r="X500" s="307"/>
      <c r="Y500" s="307"/>
      <c r="Z500" s="1753"/>
      <c r="AA500" s="307"/>
      <c r="AB500" s="307"/>
      <c r="AC500" s="307"/>
      <c r="AD500" s="307"/>
      <c r="AE500" s="307"/>
      <c r="AF500" s="307"/>
      <c r="AG500" s="307"/>
      <c r="AH500" s="307"/>
      <c r="AI500" s="307"/>
      <c r="AJ500" s="307"/>
      <c r="AK500" s="307"/>
      <c r="AL500" s="307"/>
      <c r="AM500" s="307"/>
      <c r="AN500" s="307"/>
      <c r="AO500" s="307"/>
      <c r="AP500" s="307"/>
      <c r="AQ500" s="307"/>
      <c r="AR500" s="307"/>
    </row>
    <row r="501" spans="1:44" s="457" customFormat="1" ht="12" customHeight="1">
      <c r="A501" s="307"/>
      <c r="P501" s="380"/>
      <c r="X501" s="307"/>
      <c r="Y501" s="307"/>
      <c r="Z501" s="1753"/>
      <c r="AA501" s="307"/>
      <c r="AB501" s="307"/>
      <c r="AC501" s="307"/>
      <c r="AD501" s="307"/>
      <c r="AE501" s="307"/>
      <c r="AF501" s="307"/>
      <c r="AG501" s="307"/>
      <c r="AH501" s="307"/>
      <c r="AI501" s="307"/>
      <c r="AJ501" s="307"/>
      <c r="AK501" s="307"/>
      <c r="AL501" s="307"/>
      <c r="AM501" s="307"/>
      <c r="AN501" s="307"/>
      <c r="AO501" s="307"/>
      <c r="AP501" s="307"/>
      <c r="AQ501" s="307"/>
      <c r="AR501" s="307"/>
    </row>
    <row r="502" spans="1:44" s="457" customFormat="1" ht="12" customHeight="1">
      <c r="A502" s="307"/>
      <c r="P502" s="1799"/>
      <c r="X502" s="307"/>
      <c r="Y502" s="307"/>
      <c r="Z502" s="1753"/>
      <c r="AA502" s="307"/>
      <c r="AB502" s="307"/>
      <c r="AC502" s="307"/>
      <c r="AD502" s="307"/>
      <c r="AE502" s="307"/>
      <c r="AF502" s="307"/>
      <c r="AG502" s="307"/>
      <c r="AH502" s="307"/>
      <c r="AI502" s="307"/>
      <c r="AJ502" s="307"/>
      <c r="AK502" s="307"/>
      <c r="AL502" s="307"/>
      <c r="AM502" s="307"/>
      <c r="AN502" s="307"/>
      <c r="AO502" s="307"/>
      <c r="AP502" s="307"/>
      <c r="AQ502" s="307"/>
      <c r="AR502" s="307"/>
    </row>
    <row r="503" spans="1:44" s="457" customFormat="1" ht="12" customHeight="1">
      <c r="A503" s="307"/>
      <c r="P503" s="380"/>
      <c r="X503" s="307"/>
      <c r="Y503" s="307"/>
      <c r="Z503" s="1753"/>
      <c r="AA503" s="307"/>
      <c r="AB503" s="307"/>
      <c r="AC503" s="307"/>
      <c r="AD503" s="307"/>
      <c r="AE503" s="307"/>
      <c r="AF503" s="307"/>
      <c r="AG503" s="307"/>
      <c r="AH503" s="307"/>
      <c r="AI503" s="307"/>
      <c r="AJ503" s="307"/>
      <c r="AK503" s="307"/>
      <c r="AL503" s="307"/>
      <c r="AM503" s="307"/>
      <c r="AN503" s="307"/>
      <c r="AO503" s="307"/>
      <c r="AP503" s="307"/>
      <c r="AQ503" s="307"/>
      <c r="AR503" s="307"/>
    </row>
    <row r="504" spans="1:44" s="457" customFormat="1" ht="12" customHeight="1">
      <c r="A504" s="307"/>
      <c r="P504" s="380"/>
      <c r="X504" s="307"/>
      <c r="Y504" s="307"/>
      <c r="Z504" s="1753"/>
      <c r="AA504" s="307"/>
      <c r="AB504" s="307"/>
      <c r="AC504" s="307"/>
      <c r="AD504" s="307"/>
      <c r="AE504" s="307"/>
      <c r="AF504" s="307"/>
      <c r="AG504" s="307"/>
      <c r="AH504" s="307"/>
      <c r="AI504" s="307"/>
      <c r="AJ504" s="307"/>
      <c r="AK504" s="307"/>
      <c r="AL504" s="307"/>
      <c r="AM504" s="307"/>
      <c r="AN504" s="307"/>
      <c r="AO504" s="307"/>
      <c r="AP504" s="307"/>
      <c r="AQ504" s="307"/>
      <c r="AR504" s="307"/>
    </row>
    <row r="505" spans="1:44" s="457" customFormat="1" ht="12" customHeight="1">
      <c r="A505" s="307"/>
      <c r="P505" s="380"/>
      <c r="X505" s="307"/>
      <c r="Y505" s="307"/>
      <c r="Z505" s="1753"/>
      <c r="AA505" s="307"/>
      <c r="AB505" s="307"/>
      <c r="AC505" s="307"/>
      <c r="AD505" s="307"/>
      <c r="AE505" s="307"/>
      <c r="AF505" s="307"/>
      <c r="AG505" s="307"/>
      <c r="AH505" s="307"/>
      <c r="AI505" s="307"/>
      <c r="AJ505" s="307"/>
      <c r="AK505" s="307"/>
      <c r="AL505" s="307"/>
      <c r="AM505" s="307"/>
      <c r="AN505" s="307"/>
      <c r="AO505" s="307"/>
      <c r="AP505" s="307"/>
      <c r="AQ505" s="307"/>
      <c r="AR505" s="307"/>
    </row>
    <row r="506" spans="1:44" s="457" customFormat="1" ht="12" customHeight="1">
      <c r="A506" s="307"/>
      <c r="P506" s="380"/>
      <c r="X506" s="307"/>
      <c r="Y506" s="307"/>
      <c r="Z506" s="1753"/>
      <c r="AA506" s="307"/>
      <c r="AB506" s="307"/>
      <c r="AC506" s="307"/>
      <c r="AD506" s="307"/>
      <c r="AE506" s="307"/>
      <c r="AF506" s="307"/>
      <c r="AG506" s="307"/>
      <c r="AH506" s="307"/>
      <c r="AI506" s="307"/>
      <c r="AJ506" s="307"/>
      <c r="AK506" s="307"/>
      <c r="AL506" s="307"/>
      <c r="AM506" s="307"/>
      <c r="AN506" s="307"/>
      <c r="AO506" s="307"/>
      <c r="AP506" s="307"/>
      <c r="AQ506" s="307"/>
      <c r="AR506" s="307"/>
    </row>
    <row r="507" spans="1:44" s="457" customFormat="1" ht="12" customHeight="1">
      <c r="A507" s="307"/>
      <c r="P507" s="380"/>
      <c r="X507" s="307"/>
      <c r="Y507" s="307"/>
      <c r="Z507" s="1753"/>
      <c r="AA507" s="307"/>
      <c r="AB507" s="307"/>
      <c r="AC507" s="307"/>
      <c r="AD507" s="307"/>
      <c r="AE507" s="307"/>
      <c r="AF507" s="307"/>
      <c r="AG507" s="307"/>
      <c r="AH507" s="307"/>
      <c r="AI507" s="307"/>
      <c r="AJ507" s="307"/>
      <c r="AK507" s="307"/>
      <c r="AL507" s="307"/>
      <c r="AM507" s="307"/>
      <c r="AN507" s="307"/>
      <c r="AO507" s="307"/>
      <c r="AP507" s="307"/>
      <c r="AQ507" s="307"/>
      <c r="AR507" s="307"/>
    </row>
    <row r="508" spans="1:44" s="457" customFormat="1" ht="12" customHeight="1">
      <c r="A508" s="307"/>
      <c r="P508" s="380"/>
      <c r="X508" s="307"/>
      <c r="Y508" s="307"/>
      <c r="Z508" s="1753"/>
      <c r="AA508" s="307"/>
      <c r="AB508" s="307"/>
      <c r="AC508" s="307"/>
      <c r="AD508" s="307"/>
      <c r="AE508" s="307"/>
      <c r="AF508" s="307"/>
      <c r="AG508" s="307"/>
      <c r="AH508" s="307"/>
      <c r="AI508" s="307"/>
      <c r="AJ508" s="307"/>
      <c r="AK508" s="307"/>
      <c r="AL508" s="307"/>
      <c r="AM508" s="307"/>
      <c r="AN508" s="307"/>
      <c r="AO508" s="307"/>
      <c r="AP508" s="307"/>
      <c r="AQ508" s="307"/>
      <c r="AR508" s="307"/>
    </row>
    <row r="509" spans="1:44" s="457" customFormat="1" ht="12" customHeight="1">
      <c r="A509" s="307"/>
      <c r="P509" s="380"/>
      <c r="X509" s="307"/>
      <c r="Y509" s="307"/>
      <c r="Z509" s="1753"/>
      <c r="AA509" s="307"/>
      <c r="AB509" s="307"/>
      <c r="AC509" s="307"/>
      <c r="AD509" s="307"/>
      <c r="AE509" s="307"/>
      <c r="AF509" s="307"/>
      <c r="AG509" s="307"/>
      <c r="AH509" s="307"/>
      <c r="AI509" s="307"/>
      <c r="AJ509" s="307"/>
      <c r="AK509" s="307"/>
      <c r="AL509" s="307"/>
      <c r="AM509" s="307"/>
      <c r="AN509" s="307"/>
      <c r="AO509" s="307"/>
      <c r="AP509" s="307"/>
      <c r="AQ509" s="307"/>
      <c r="AR509" s="307"/>
    </row>
    <row r="510" spans="1:44" s="457" customFormat="1" ht="12" customHeight="1">
      <c r="A510" s="307"/>
      <c r="P510" s="380"/>
      <c r="X510" s="307"/>
      <c r="Y510" s="307"/>
      <c r="Z510" s="1753"/>
      <c r="AA510" s="307"/>
      <c r="AB510" s="307"/>
      <c r="AC510" s="307"/>
      <c r="AD510" s="307"/>
      <c r="AE510" s="307"/>
      <c r="AF510" s="307"/>
      <c r="AG510" s="307"/>
      <c r="AH510" s="307"/>
      <c r="AI510" s="307"/>
      <c r="AJ510" s="307"/>
      <c r="AK510" s="307"/>
      <c r="AL510" s="307"/>
      <c r="AM510" s="307"/>
      <c r="AN510" s="307"/>
      <c r="AO510" s="307"/>
      <c r="AP510" s="307"/>
      <c r="AQ510" s="307"/>
      <c r="AR510" s="307"/>
    </row>
    <row r="511" spans="1:44" s="457" customFormat="1" ht="12" customHeight="1">
      <c r="A511" s="307"/>
      <c r="P511" s="380"/>
      <c r="X511" s="307"/>
      <c r="Y511" s="307"/>
      <c r="Z511" s="1753"/>
      <c r="AA511" s="307"/>
      <c r="AB511" s="307"/>
      <c r="AC511" s="307"/>
      <c r="AD511" s="307"/>
      <c r="AE511" s="307"/>
      <c r="AF511" s="307"/>
      <c r="AG511" s="307"/>
      <c r="AH511" s="307"/>
      <c r="AI511" s="307"/>
      <c r="AJ511" s="307"/>
      <c r="AK511" s="307"/>
      <c r="AL511" s="307"/>
      <c r="AM511" s="307"/>
      <c r="AN511" s="307"/>
      <c r="AO511" s="307"/>
      <c r="AP511" s="307"/>
      <c r="AQ511" s="307"/>
      <c r="AR511" s="307"/>
    </row>
    <row r="512" spans="1:44" s="457" customFormat="1" ht="12" customHeight="1">
      <c r="A512" s="307"/>
      <c r="P512" s="380"/>
      <c r="X512" s="307"/>
      <c r="Y512" s="307"/>
      <c r="Z512" s="1753"/>
      <c r="AA512" s="307"/>
      <c r="AB512" s="307"/>
      <c r="AC512" s="307"/>
      <c r="AD512" s="307"/>
      <c r="AE512" s="307"/>
      <c r="AF512" s="307"/>
      <c r="AG512" s="307"/>
      <c r="AH512" s="307"/>
      <c r="AI512" s="307"/>
      <c r="AJ512" s="307"/>
      <c r="AK512" s="307"/>
      <c r="AL512" s="307"/>
      <c r="AM512" s="307"/>
      <c r="AN512" s="307"/>
      <c r="AO512" s="307"/>
      <c r="AP512" s="307"/>
      <c r="AQ512" s="307"/>
      <c r="AR512" s="307"/>
    </row>
    <row r="513" spans="1:44" s="457" customFormat="1" ht="12" customHeight="1">
      <c r="A513" s="307"/>
      <c r="P513" s="380"/>
      <c r="X513" s="307"/>
      <c r="Y513" s="307"/>
      <c r="Z513" s="1753"/>
      <c r="AA513" s="307"/>
      <c r="AB513" s="307"/>
      <c r="AC513" s="307"/>
      <c r="AD513" s="307"/>
      <c r="AE513" s="307"/>
      <c r="AF513" s="307"/>
      <c r="AG513" s="307"/>
      <c r="AH513" s="307"/>
      <c r="AI513" s="307"/>
      <c r="AJ513" s="307"/>
      <c r="AK513" s="307"/>
      <c r="AL513" s="307"/>
      <c r="AM513" s="307"/>
      <c r="AN513" s="307"/>
      <c r="AO513" s="307"/>
      <c r="AP513" s="307"/>
      <c r="AQ513" s="307"/>
      <c r="AR513" s="307"/>
    </row>
    <row r="514" spans="1:44" s="457" customFormat="1" ht="12" customHeight="1">
      <c r="A514" s="307"/>
      <c r="P514" s="380"/>
      <c r="X514" s="307"/>
      <c r="Y514" s="307"/>
      <c r="Z514" s="1753"/>
      <c r="AA514" s="307"/>
      <c r="AB514" s="307"/>
      <c r="AC514" s="307"/>
      <c r="AD514" s="307"/>
      <c r="AE514" s="307"/>
      <c r="AF514" s="307"/>
      <c r="AG514" s="307"/>
      <c r="AH514" s="307"/>
      <c r="AI514" s="307"/>
      <c r="AJ514" s="307"/>
      <c r="AK514" s="307"/>
      <c r="AL514" s="307"/>
      <c r="AM514" s="307"/>
      <c r="AN514" s="307"/>
      <c r="AO514" s="307"/>
      <c r="AP514" s="307"/>
      <c r="AQ514" s="307"/>
      <c r="AR514" s="307"/>
    </row>
    <row r="515" spans="1:44" s="457" customFormat="1" ht="12" customHeight="1">
      <c r="A515" s="307"/>
      <c r="P515" s="380"/>
      <c r="X515" s="307"/>
      <c r="Y515" s="307"/>
      <c r="Z515" s="1753"/>
      <c r="AA515" s="307"/>
      <c r="AB515" s="307"/>
      <c r="AC515" s="307"/>
      <c r="AD515" s="307"/>
      <c r="AE515" s="307"/>
      <c r="AF515" s="307"/>
      <c r="AG515" s="307"/>
      <c r="AH515" s="307"/>
      <c r="AI515" s="307"/>
      <c r="AJ515" s="307"/>
      <c r="AK515" s="307"/>
      <c r="AL515" s="307"/>
      <c r="AM515" s="307"/>
      <c r="AN515" s="307"/>
      <c r="AO515" s="307"/>
      <c r="AP515" s="307"/>
      <c r="AQ515" s="307"/>
      <c r="AR515" s="307"/>
    </row>
    <row r="516" spans="1:44" s="457" customFormat="1" ht="12" customHeight="1">
      <c r="A516" s="307"/>
      <c r="P516" s="380"/>
      <c r="X516" s="307"/>
      <c r="Y516" s="307"/>
      <c r="Z516" s="1753"/>
      <c r="AA516" s="307"/>
      <c r="AB516" s="307"/>
      <c r="AC516" s="307"/>
      <c r="AD516" s="307"/>
      <c r="AE516" s="307"/>
      <c r="AF516" s="307"/>
      <c r="AG516" s="307"/>
      <c r="AH516" s="307"/>
      <c r="AI516" s="307"/>
      <c r="AJ516" s="307"/>
      <c r="AK516" s="307"/>
      <c r="AL516" s="307"/>
      <c r="AM516" s="307"/>
      <c r="AN516" s="307"/>
      <c r="AO516" s="307"/>
      <c r="AP516" s="307"/>
      <c r="AQ516" s="307"/>
      <c r="AR516" s="307"/>
    </row>
    <row r="517" spans="1:44" s="457" customFormat="1" ht="12" customHeight="1">
      <c r="A517" s="307"/>
      <c r="P517" s="380"/>
      <c r="X517" s="307"/>
      <c r="Y517" s="307"/>
      <c r="Z517" s="1753"/>
      <c r="AA517" s="307"/>
      <c r="AB517" s="307"/>
      <c r="AC517" s="307"/>
      <c r="AD517" s="307"/>
      <c r="AE517" s="307"/>
      <c r="AF517" s="307"/>
      <c r="AG517" s="307"/>
      <c r="AH517" s="307"/>
      <c r="AI517" s="307"/>
      <c r="AJ517" s="307"/>
      <c r="AK517" s="307"/>
      <c r="AL517" s="307"/>
      <c r="AM517" s="307"/>
      <c r="AN517" s="307"/>
      <c r="AO517" s="307"/>
      <c r="AP517" s="307"/>
      <c r="AQ517" s="307"/>
      <c r="AR517" s="307"/>
    </row>
    <row r="518" spans="1:44" s="457" customFormat="1" ht="12" customHeight="1">
      <c r="A518" s="307"/>
      <c r="P518" s="1799"/>
      <c r="X518" s="307"/>
      <c r="Y518" s="307"/>
      <c r="Z518" s="1753"/>
      <c r="AA518" s="307"/>
      <c r="AB518" s="307"/>
      <c r="AC518" s="307"/>
      <c r="AD518" s="307"/>
      <c r="AE518" s="307"/>
      <c r="AF518" s="307"/>
      <c r="AG518" s="307"/>
      <c r="AH518" s="307"/>
      <c r="AI518" s="307"/>
      <c r="AJ518" s="307"/>
      <c r="AK518" s="307"/>
      <c r="AL518" s="307"/>
      <c r="AM518" s="307"/>
      <c r="AN518" s="307"/>
      <c r="AO518" s="307"/>
      <c r="AP518" s="307"/>
      <c r="AQ518" s="307"/>
      <c r="AR518" s="307"/>
    </row>
    <row r="519" spans="1:44" s="457" customFormat="1" ht="12" customHeight="1">
      <c r="A519" s="307"/>
      <c r="P519" s="380"/>
      <c r="X519" s="307"/>
      <c r="Y519" s="307"/>
      <c r="Z519" s="1753"/>
      <c r="AA519" s="307"/>
      <c r="AB519" s="307"/>
      <c r="AC519" s="307"/>
      <c r="AD519" s="307"/>
      <c r="AE519" s="307"/>
      <c r="AF519" s="307"/>
      <c r="AG519" s="307"/>
      <c r="AH519" s="307"/>
      <c r="AI519" s="307"/>
      <c r="AJ519" s="307"/>
      <c r="AK519" s="307"/>
      <c r="AL519" s="307"/>
      <c r="AM519" s="307"/>
      <c r="AN519" s="307"/>
      <c r="AO519" s="307"/>
      <c r="AP519" s="307"/>
      <c r="AQ519" s="307"/>
      <c r="AR519" s="307"/>
    </row>
    <row r="520" spans="1:44" s="457" customFormat="1" ht="12" customHeight="1">
      <c r="A520" s="307"/>
      <c r="P520" s="380"/>
      <c r="X520" s="307"/>
      <c r="Y520" s="307"/>
      <c r="Z520" s="1753"/>
      <c r="AA520" s="307"/>
      <c r="AB520" s="307"/>
      <c r="AC520" s="307"/>
      <c r="AD520" s="307"/>
      <c r="AE520" s="307"/>
      <c r="AF520" s="307"/>
      <c r="AG520" s="307"/>
      <c r="AH520" s="307"/>
      <c r="AI520" s="307"/>
      <c r="AJ520" s="307"/>
      <c r="AK520" s="307"/>
      <c r="AL520" s="307"/>
      <c r="AM520" s="307"/>
      <c r="AN520" s="307"/>
      <c r="AO520" s="307"/>
      <c r="AP520" s="307"/>
      <c r="AQ520" s="307"/>
      <c r="AR520" s="307"/>
    </row>
    <row r="521" spans="1:44" s="457" customFormat="1" ht="12" customHeight="1">
      <c r="A521" s="307"/>
      <c r="P521" s="380"/>
      <c r="X521" s="307"/>
      <c r="Y521" s="307"/>
      <c r="Z521" s="1753"/>
      <c r="AA521" s="307"/>
      <c r="AB521" s="307"/>
      <c r="AC521" s="307"/>
      <c r="AD521" s="307"/>
      <c r="AE521" s="307"/>
      <c r="AF521" s="307"/>
      <c r="AG521" s="307"/>
      <c r="AH521" s="307"/>
      <c r="AI521" s="307"/>
      <c r="AJ521" s="307"/>
      <c r="AK521" s="307"/>
      <c r="AL521" s="307"/>
      <c r="AM521" s="307"/>
      <c r="AN521" s="307"/>
      <c r="AO521" s="307"/>
      <c r="AP521" s="307"/>
      <c r="AQ521" s="307"/>
      <c r="AR521" s="307"/>
    </row>
    <row r="522" spans="1:44" s="457" customFormat="1" ht="12" customHeight="1">
      <c r="A522" s="307"/>
      <c r="P522" s="380"/>
      <c r="X522" s="307"/>
      <c r="Y522" s="307"/>
      <c r="Z522" s="1753"/>
      <c r="AA522" s="307"/>
      <c r="AB522" s="307"/>
      <c r="AC522" s="307"/>
      <c r="AD522" s="307"/>
      <c r="AE522" s="307"/>
      <c r="AF522" s="307"/>
      <c r="AG522" s="307"/>
      <c r="AH522" s="307"/>
      <c r="AI522" s="307"/>
      <c r="AJ522" s="307"/>
      <c r="AK522" s="307"/>
      <c r="AL522" s="307"/>
      <c r="AM522" s="307"/>
      <c r="AN522" s="307"/>
      <c r="AO522" s="307"/>
      <c r="AP522" s="307"/>
      <c r="AQ522" s="307"/>
      <c r="AR522" s="307"/>
    </row>
    <row r="523" spans="1:44" s="457" customFormat="1" ht="12" customHeight="1">
      <c r="A523" s="307"/>
      <c r="P523" s="380"/>
      <c r="X523" s="307"/>
      <c r="Y523" s="307"/>
      <c r="Z523" s="1753"/>
      <c r="AA523" s="307"/>
      <c r="AB523" s="307"/>
      <c r="AC523" s="307"/>
      <c r="AD523" s="307"/>
      <c r="AE523" s="307"/>
      <c r="AF523" s="307"/>
      <c r="AG523" s="307"/>
      <c r="AH523" s="307"/>
      <c r="AI523" s="307"/>
      <c r="AJ523" s="307"/>
      <c r="AK523" s="307"/>
      <c r="AL523" s="307"/>
      <c r="AM523" s="307"/>
      <c r="AN523" s="307"/>
      <c r="AO523" s="307"/>
      <c r="AP523" s="307"/>
      <c r="AQ523" s="307"/>
      <c r="AR523" s="307"/>
    </row>
    <row r="524" spans="1:44" s="457" customFormat="1" ht="12" customHeight="1">
      <c r="A524" s="307"/>
      <c r="P524" s="380"/>
      <c r="X524" s="307"/>
      <c r="Y524" s="307"/>
      <c r="Z524" s="1753"/>
      <c r="AA524" s="307"/>
      <c r="AB524" s="307"/>
      <c r="AC524" s="307"/>
      <c r="AD524" s="307"/>
      <c r="AE524" s="307"/>
      <c r="AF524" s="307"/>
      <c r="AG524" s="307"/>
      <c r="AH524" s="307"/>
      <c r="AI524" s="307"/>
      <c r="AJ524" s="307"/>
      <c r="AK524" s="307"/>
      <c r="AL524" s="307"/>
      <c r="AM524" s="307"/>
      <c r="AN524" s="307"/>
      <c r="AO524" s="307"/>
      <c r="AP524" s="307"/>
      <c r="AQ524" s="307"/>
      <c r="AR524" s="307"/>
    </row>
    <row r="525" spans="1:44" s="457" customFormat="1" ht="12" customHeight="1">
      <c r="A525" s="307"/>
      <c r="P525" s="380"/>
      <c r="X525" s="307"/>
      <c r="Y525" s="307"/>
      <c r="Z525" s="1753"/>
      <c r="AA525" s="307"/>
      <c r="AB525" s="307"/>
      <c r="AC525" s="307"/>
      <c r="AD525" s="307"/>
      <c r="AE525" s="307"/>
      <c r="AF525" s="307"/>
      <c r="AG525" s="307"/>
      <c r="AH525" s="307"/>
      <c r="AI525" s="307"/>
      <c r="AJ525" s="307"/>
      <c r="AK525" s="307"/>
      <c r="AL525" s="307"/>
      <c r="AM525" s="307"/>
      <c r="AN525" s="307"/>
      <c r="AO525" s="307"/>
      <c r="AP525" s="307"/>
      <c r="AQ525" s="307"/>
      <c r="AR525" s="307"/>
    </row>
    <row r="526" spans="1:44" s="457" customFormat="1" ht="12" customHeight="1">
      <c r="A526" s="307"/>
      <c r="P526" s="380"/>
      <c r="X526" s="307"/>
      <c r="Y526" s="307"/>
      <c r="Z526" s="1753"/>
      <c r="AA526" s="307"/>
      <c r="AB526" s="307"/>
      <c r="AC526" s="307"/>
      <c r="AD526" s="307"/>
      <c r="AE526" s="307"/>
      <c r="AF526" s="307"/>
      <c r="AG526" s="307"/>
      <c r="AH526" s="307"/>
      <c r="AI526" s="307"/>
      <c r="AJ526" s="307"/>
      <c r="AK526" s="307"/>
      <c r="AL526" s="307"/>
      <c r="AM526" s="307"/>
      <c r="AN526" s="307"/>
      <c r="AO526" s="307"/>
      <c r="AP526" s="307"/>
      <c r="AQ526" s="307"/>
      <c r="AR526" s="307"/>
    </row>
    <row r="527" spans="1:44" s="457" customFormat="1" ht="12" customHeight="1">
      <c r="A527" s="307"/>
      <c r="P527" s="1799"/>
      <c r="X527" s="307"/>
      <c r="Y527" s="307"/>
      <c r="Z527" s="1753"/>
      <c r="AA527" s="307"/>
      <c r="AB527" s="307"/>
      <c r="AC527" s="307"/>
      <c r="AD527" s="307"/>
      <c r="AE527" s="307"/>
      <c r="AF527" s="307"/>
      <c r="AG527" s="307"/>
      <c r="AH527" s="307"/>
      <c r="AI527" s="307"/>
      <c r="AJ527" s="307"/>
      <c r="AK527" s="307"/>
      <c r="AL527" s="307"/>
      <c r="AM527" s="307"/>
      <c r="AN527" s="307"/>
      <c r="AO527" s="307"/>
      <c r="AP527" s="307"/>
      <c r="AQ527" s="307"/>
      <c r="AR527" s="307"/>
    </row>
    <row r="528" spans="1:44" s="457" customFormat="1" ht="12" customHeight="1">
      <c r="A528" s="307"/>
      <c r="P528" s="1799"/>
      <c r="X528" s="307"/>
      <c r="Y528" s="307"/>
      <c r="Z528" s="1753"/>
      <c r="AA528" s="307"/>
      <c r="AB528" s="307"/>
      <c r="AC528" s="307"/>
      <c r="AD528" s="307"/>
      <c r="AE528" s="307"/>
      <c r="AF528" s="307"/>
      <c r="AG528" s="307"/>
      <c r="AH528" s="307"/>
      <c r="AI528" s="307"/>
      <c r="AJ528" s="307"/>
      <c r="AK528" s="307"/>
      <c r="AL528" s="307"/>
      <c r="AM528" s="307"/>
      <c r="AN528" s="307"/>
      <c r="AO528" s="307"/>
      <c r="AP528" s="307"/>
      <c r="AQ528" s="307"/>
      <c r="AR528" s="307"/>
    </row>
    <row r="529" spans="1:44" s="457" customFormat="1" ht="12" customHeight="1">
      <c r="A529" s="307"/>
      <c r="P529" s="380"/>
      <c r="X529" s="307"/>
      <c r="Y529" s="307"/>
      <c r="Z529" s="1753"/>
      <c r="AA529" s="307"/>
      <c r="AB529" s="307"/>
      <c r="AC529" s="307"/>
      <c r="AD529" s="307"/>
      <c r="AE529" s="307"/>
      <c r="AF529" s="307"/>
      <c r="AG529" s="307"/>
      <c r="AH529" s="307"/>
      <c r="AI529" s="307"/>
      <c r="AJ529" s="307"/>
      <c r="AK529" s="307"/>
      <c r="AL529" s="307"/>
      <c r="AM529" s="307"/>
      <c r="AN529" s="307"/>
      <c r="AO529" s="307"/>
      <c r="AP529" s="307"/>
      <c r="AQ529" s="307"/>
      <c r="AR529" s="307"/>
    </row>
    <row r="530" spans="1:44" s="457" customFormat="1" ht="12" customHeight="1">
      <c r="A530" s="307"/>
      <c r="P530" s="380"/>
      <c r="X530" s="307"/>
      <c r="Y530" s="307"/>
      <c r="Z530" s="1753"/>
      <c r="AA530" s="307"/>
      <c r="AB530" s="307"/>
      <c r="AC530" s="307"/>
      <c r="AD530" s="307"/>
      <c r="AE530" s="307"/>
      <c r="AF530" s="307"/>
      <c r="AG530" s="307"/>
      <c r="AH530" s="307"/>
      <c r="AI530" s="307"/>
      <c r="AJ530" s="307"/>
      <c r="AK530" s="307"/>
      <c r="AL530" s="307"/>
      <c r="AM530" s="307"/>
      <c r="AN530" s="307"/>
      <c r="AO530" s="307"/>
      <c r="AP530" s="307"/>
      <c r="AQ530" s="307"/>
      <c r="AR530" s="307"/>
    </row>
    <row r="531" spans="1:44" s="457" customFormat="1" ht="12" customHeight="1">
      <c r="A531" s="307"/>
      <c r="P531" s="380"/>
      <c r="X531" s="307"/>
      <c r="Y531" s="307"/>
      <c r="Z531" s="1753"/>
      <c r="AA531" s="307"/>
      <c r="AB531" s="307"/>
      <c r="AC531" s="307"/>
      <c r="AD531" s="307"/>
      <c r="AE531" s="307"/>
      <c r="AF531" s="307"/>
      <c r="AG531" s="307"/>
      <c r="AH531" s="307"/>
      <c r="AI531" s="307"/>
      <c r="AJ531" s="307"/>
      <c r="AK531" s="307"/>
      <c r="AL531" s="307"/>
      <c r="AM531" s="307"/>
      <c r="AN531" s="307"/>
      <c r="AO531" s="307"/>
      <c r="AP531" s="307"/>
      <c r="AQ531" s="307"/>
      <c r="AR531" s="307"/>
    </row>
    <row r="532" spans="1:44" s="457" customFormat="1" ht="12" customHeight="1">
      <c r="A532" s="307"/>
      <c r="P532" s="380"/>
      <c r="X532" s="307"/>
      <c r="Y532" s="307"/>
      <c r="Z532" s="1753"/>
      <c r="AA532" s="307"/>
      <c r="AB532" s="307"/>
      <c r="AC532" s="307"/>
      <c r="AD532" s="307"/>
      <c r="AE532" s="307"/>
      <c r="AF532" s="307"/>
      <c r="AG532" s="307"/>
      <c r="AH532" s="307"/>
      <c r="AI532" s="307"/>
      <c r="AJ532" s="307"/>
      <c r="AK532" s="307"/>
      <c r="AL532" s="307"/>
      <c r="AM532" s="307"/>
      <c r="AN532" s="307"/>
      <c r="AO532" s="307"/>
      <c r="AP532" s="307"/>
      <c r="AQ532" s="307"/>
      <c r="AR532" s="307"/>
    </row>
    <row r="533" spans="1:44" s="457" customFormat="1" ht="12" customHeight="1">
      <c r="A533" s="307"/>
      <c r="P533" s="380"/>
      <c r="X533" s="307"/>
      <c r="Y533" s="307"/>
      <c r="Z533" s="1753"/>
      <c r="AA533" s="307"/>
      <c r="AB533" s="307"/>
      <c r="AC533" s="307"/>
      <c r="AD533" s="307"/>
      <c r="AE533" s="307"/>
      <c r="AF533" s="307"/>
      <c r="AG533" s="307"/>
      <c r="AH533" s="307"/>
      <c r="AI533" s="307"/>
      <c r="AJ533" s="307"/>
      <c r="AK533" s="307"/>
      <c r="AL533" s="307"/>
      <c r="AM533" s="307"/>
      <c r="AN533" s="307"/>
      <c r="AO533" s="307"/>
      <c r="AP533" s="307"/>
      <c r="AQ533" s="307"/>
      <c r="AR533" s="307"/>
    </row>
    <row r="534" spans="1:44" s="457" customFormat="1" ht="12" customHeight="1">
      <c r="A534" s="307"/>
      <c r="P534" s="380"/>
      <c r="X534" s="307"/>
      <c r="Y534" s="307"/>
      <c r="Z534" s="1753"/>
      <c r="AA534" s="307"/>
      <c r="AB534" s="307"/>
      <c r="AC534" s="307"/>
      <c r="AD534" s="307"/>
      <c r="AE534" s="307"/>
      <c r="AF534" s="307"/>
      <c r="AG534" s="307"/>
      <c r="AH534" s="307"/>
      <c r="AI534" s="307"/>
      <c r="AJ534" s="307"/>
      <c r="AK534" s="307"/>
      <c r="AL534" s="307"/>
      <c r="AM534" s="307"/>
      <c r="AN534" s="307"/>
      <c r="AO534" s="307"/>
      <c r="AP534" s="307"/>
      <c r="AQ534" s="307"/>
      <c r="AR534" s="307"/>
    </row>
    <row r="535" spans="1:44" s="457" customFormat="1" ht="12" customHeight="1">
      <c r="A535" s="307"/>
      <c r="P535" s="380"/>
      <c r="X535" s="307"/>
      <c r="Y535" s="307"/>
      <c r="Z535" s="1753"/>
      <c r="AA535" s="307"/>
      <c r="AB535" s="307"/>
      <c r="AC535" s="307"/>
      <c r="AD535" s="307"/>
      <c r="AE535" s="307"/>
      <c r="AF535" s="307"/>
      <c r="AG535" s="307"/>
      <c r="AH535" s="307"/>
      <c r="AI535" s="307"/>
      <c r="AJ535" s="307"/>
      <c r="AK535" s="307"/>
      <c r="AL535" s="307"/>
      <c r="AM535" s="307"/>
      <c r="AN535" s="307"/>
      <c r="AO535" s="307"/>
      <c r="AP535" s="307"/>
      <c r="AQ535" s="307"/>
      <c r="AR535" s="307"/>
    </row>
    <row r="536" spans="1:44" s="457" customFormat="1" ht="12" customHeight="1">
      <c r="A536" s="307"/>
      <c r="P536" s="380"/>
      <c r="X536" s="307"/>
      <c r="Y536" s="307"/>
      <c r="Z536" s="1753"/>
      <c r="AA536" s="307"/>
      <c r="AB536" s="307"/>
      <c r="AC536" s="307"/>
      <c r="AD536" s="307"/>
      <c r="AE536" s="307"/>
      <c r="AF536" s="307"/>
      <c r="AG536" s="307"/>
      <c r="AH536" s="307"/>
      <c r="AI536" s="307"/>
      <c r="AJ536" s="307"/>
      <c r="AK536" s="307"/>
      <c r="AL536" s="307"/>
      <c r="AM536" s="307"/>
      <c r="AN536" s="307"/>
      <c r="AO536" s="307"/>
      <c r="AP536" s="307"/>
      <c r="AQ536" s="307"/>
      <c r="AR536" s="307"/>
    </row>
    <row r="537" spans="1:44" s="457" customFormat="1" ht="12" customHeight="1">
      <c r="A537" s="307"/>
      <c r="P537" s="380"/>
      <c r="X537" s="307"/>
      <c r="Y537" s="307"/>
      <c r="Z537" s="1753"/>
      <c r="AA537" s="307"/>
      <c r="AB537" s="307"/>
      <c r="AC537" s="307"/>
      <c r="AD537" s="307"/>
      <c r="AE537" s="307"/>
      <c r="AF537" s="307"/>
      <c r="AG537" s="307"/>
      <c r="AH537" s="307"/>
      <c r="AI537" s="307"/>
      <c r="AJ537" s="307"/>
      <c r="AK537" s="307"/>
      <c r="AL537" s="307"/>
      <c r="AM537" s="307"/>
      <c r="AN537" s="307"/>
      <c r="AO537" s="307"/>
      <c r="AP537" s="307"/>
      <c r="AQ537" s="307"/>
      <c r="AR537" s="307"/>
    </row>
    <row r="538" spans="1:44" s="457" customFormat="1" ht="12" customHeight="1">
      <c r="A538" s="307"/>
      <c r="P538" s="1799"/>
      <c r="X538" s="307"/>
      <c r="Y538" s="307"/>
      <c r="Z538" s="1753"/>
      <c r="AA538" s="307"/>
      <c r="AB538" s="307"/>
      <c r="AC538" s="307"/>
      <c r="AD538" s="307"/>
      <c r="AE538" s="307"/>
      <c r="AF538" s="307"/>
      <c r="AG538" s="307"/>
      <c r="AH538" s="307"/>
      <c r="AI538" s="307"/>
      <c r="AJ538" s="307"/>
      <c r="AK538" s="307"/>
      <c r="AL538" s="307"/>
      <c r="AM538" s="307"/>
      <c r="AN538" s="307"/>
      <c r="AO538" s="307"/>
      <c r="AP538" s="307"/>
      <c r="AQ538" s="307"/>
      <c r="AR538" s="307"/>
    </row>
    <row r="539" spans="1:44" s="457" customFormat="1" ht="12" customHeight="1">
      <c r="A539" s="307"/>
      <c r="P539" s="380"/>
      <c r="X539" s="307"/>
      <c r="Y539" s="307"/>
      <c r="Z539" s="1753"/>
      <c r="AA539" s="307"/>
      <c r="AB539" s="307"/>
      <c r="AC539" s="307"/>
      <c r="AD539" s="307"/>
      <c r="AE539" s="307"/>
      <c r="AF539" s="307"/>
      <c r="AG539" s="307"/>
      <c r="AH539" s="307"/>
      <c r="AI539" s="307"/>
      <c r="AJ539" s="307"/>
      <c r="AK539" s="307"/>
      <c r="AL539" s="307"/>
      <c r="AM539" s="307"/>
      <c r="AN539" s="307"/>
      <c r="AO539" s="307"/>
      <c r="AP539" s="307"/>
      <c r="AQ539" s="307"/>
      <c r="AR539" s="307"/>
    </row>
    <row r="540" spans="1:44" s="457" customFormat="1" ht="12" customHeight="1">
      <c r="A540" s="307"/>
      <c r="P540" s="2749"/>
      <c r="X540" s="307"/>
      <c r="Y540" s="307"/>
      <c r="Z540" s="1753"/>
      <c r="AA540" s="307"/>
      <c r="AB540" s="307"/>
      <c r="AC540" s="307"/>
      <c r="AD540" s="307"/>
      <c r="AE540" s="307"/>
      <c r="AF540" s="307"/>
      <c r="AG540" s="307"/>
      <c r="AH540" s="307"/>
      <c r="AI540" s="307"/>
      <c r="AJ540" s="307"/>
      <c r="AK540" s="307"/>
      <c r="AL540" s="307"/>
      <c r="AM540" s="307"/>
      <c r="AN540" s="307"/>
      <c r="AO540" s="307"/>
      <c r="AP540" s="307"/>
      <c r="AQ540" s="307"/>
      <c r="AR540" s="307"/>
    </row>
    <row r="541" spans="1:44" s="457" customFormat="1" ht="12" customHeight="1">
      <c r="A541" s="307"/>
      <c r="P541" s="2749"/>
      <c r="X541" s="307"/>
      <c r="Y541" s="307"/>
      <c r="Z541" s="1753"/>
      <c r="AA541" s="307"/>
      <c r="AB541" s="307"/>
      <c r="AC541" s="307"/>
      <c r="AD541" s="307"/>
      <c r="AE541" s="307"/>
      <c r="AF541" s="307"/>
      <c r="AG541" s="307"/>
      <c r="AH541" s="307"/>
      <c r="AI541" s="307"/>
      <c r="AJ541" s="307"/>
      <c r="AK541" s="307"/>
      <c r="AL541" s="307"/>
      <c r="AM541" s="307"/>
      <c r="AN541" s="307"/>
      <c r="AO541" s="307"/>
      <c r="AP541" s="307"/>
      <c r="AQ541" s="307"/>
      <c r="AR541" s="307"/>
    </row>
    <row r="542" spans="1:44" s="457" customFormat="1" ht="12" customHeight="1">
      <c r="A542" s="307"/>
      <c r="P542" s="380"/>
      <c r="X542" s="307"/>
      <c r="Y542" s="307"/>
      <c r="Z542" s="1753"/>
      <c r="AA542" s="307"/>
      <c r="AB542" s="307"/>
      <c r="AC542" s="307"/>
      <c r="AD542" s="307"/>
      <c r="AE542" s="307"/>
      <c r="AF542" s="307"/>
      <c r="AG542" s="307"/>
      <c r="AH542" s="307"/>
      <c r="AI542" s="307"/>
      <c r="AJ542" s="307"/>
      <c r="AK542" s="307"/>
      <c r="AL542" s="307"/>
      <c r="AM542" s="307"/>
      <c r="AN542" s="307"/>
      <c r="AO542" s="307"/>
      <c r="AP542" s="307"/>
      <c r="AQ542" s="307"/>
      <c r="AR542" s="307"/>
    </row>
    <row r="543" spans="1:44" s="457" customFormat="1" ht="12" customHeight="1">
      <c r="A543" s="307"/>
      <c r="P543" s="380"/>
      <c r="X543" s="307"/>
      <c r="Y543" s="307"/>
      <c r="Z543" s="1753"/>
      <c r="AA543" s="307"/>
      <c r="AB543" s="307"/>
      <c r="AC543" s="307"/>
      <c r="AD543" s="307"/>
      <c r="AE543" s="307"/>
      <c r="AF543" s="307"/>
      <c r="AG543" s="307"/>
      <c r="AH543" s="307"/>
      <c r="AI543" s="307"/>
      <c r="AJ543" s="307"/>
      <c r="AK543" s="307"/>
      <c r="AL543" s="307"/>
      <c r="AM543" s="307"/>
      <c r="AN543" s="307"/>
      <c r="AO543" s="307"/>
      <c r="AP543" s="307"/>
      <c r="AQ543" s="307"/>
      <c r="AR543" s="307"/>
    </row>
    <row r="544" spans="1:44" s="457" customFormat="1" ht="12" customHeight="1">
      <c r="A544" s="307"/>
      <c r="P544" s="380"/>
      <c r="X544" s="307"/>
      <c r="Y544" s="307"/>
      <c r="Z544" s="1753"/>
      <c r="AA544" s="307"/>
      <c r="AB544" s="307"/>
      <c r="AC544" s="307"/>
      <c r="AD544" s="307"/>
      <c r="AE544" s="307"/>
      <c r="AF544" s="307"/>
      <c r="AG544" s="307"/>
      <c r="AH544" s="307"/>
      <c r="AI544" s="307"/>
      <c r="AJ544" s="307"/>
      <c r="AK544" s="307"/>
      <c r="AL544" s="307"/>
      <c r="AM544" s="307"/>
      <c r="AN544" s="307"/>
      <c r="AO544" s="307"/>
      <c r="AP544" s="307"/>
      <c r="AQ544" s="307"/>
      <c r="AR544" s="307"/>
    </row>
    <row r="545" spans="1:44" s="457" customFormat="1" ht="12" customHeight="1">
      <c r="A545" s="307"/>
      <c r="P545" s="380"/>
      <c r="X545" s="307"/>
      <c r="Y545" s="307"/>
      <c r="Z545" s="1753"/>
      <c r="AA545" s="307"/>
      <c r="AB545" s="307"/>
      <c r="AC545" s="307"/>
      <c r="AD545" s="307"/>
      <c r="AE545" s="307"/>
      <c r="AF545" s="307"/>
      <c r="AG545" s="307"/>
      <c r="AH545" s="307"/>
      <c r="AI545" s="307"/>
      <c r="AJ545" s="307"/>
      <c r="AK545" s="307"/>
      <c r="AL545" s="307"/>
      <c r="AM545" s="307"/>
      <c r="AN545" s="307"/>
      <c r="AO545" s="307"/>
      <c r="AP545" s="307"/>
      <c r="AQ545" s="307"/>
      <c r="AR545" s="307"/>
    </row>
    <row r="546" spans="1:44" s="457" customFormat="1" ht="12" customHeight="1">
      <c r="A546" s="307"/>
      <c r="P546" s="380"/>
      <c r="X546" s="307"/>
      <c r="Y546" s="307"/>
      <c r="Z546" s="1753"/>
      <c r="AA546" s="307"/>
      <c r="AB546" s="307"/>
      <c r="AC546" s="307"/>
      <c r="AD546" s="307"/>
      <c r="AE546" s="307"/>
      <c r="AF546" s="307"/>
      <c r="AG546" s="307"/>
      <c r="AH546" s="307"/>
      <c r="AI546" s="307"/>
      <c r="AJ546" s="307"/>
      <c r="AK546" s="307"/>
      <c r="AL546" s="307"/>
      <c r="AM546" s="307"/>
      <c r="AN546" s="307"/>
      <c r="AO546" s="307"/>
      <c r="AP546" s="307"/>
      <c r="AQ546" s="307"/>
      <c r="AR546" s="307"/>
    </row>
    <row r="547" spans="1:44" s="457" customFormat="1" ht="12" customHeight="1">
      <c r="A547" s="307"/>
      <c r="P547" s="380"/>
      <c r="X547" s="307"/>
      <c r="Y547" s="307"/>
      <c r="Z547" s="1753"/>
      <c r="AA547" s="307"/>
      <c r="AB547" s="307"/>
      <c r="AC547" s="307"/>
      <c r="AD547" s="307"/>
      <c r="AE547" s="307"/>
      <c r="AF547" s="307"/>
      <c r="AG547" s="307"/>
      <c r="AH547" s="307"/>
      <c r="AI547" s="307"/>
      <c r="AJ547" s="307"/>
      <c r="AK547" s="307"/>
      <c r="AL547" s="307"/>
      <c r="AM547" s="307"/>
      <c r="AN547" s="307"/>
      <c r="AO547" s="307"/>
      <c r="AP547" s="307"/>
      <c r="AQ547" s="307"/>
      <c r="AR547" s="307"/>
    </row>
    <row r="548" spans="1:44" s="457" customFormat="1" ht="12" customHeight="1">
      <c r="A548" s="307"/>
      <c r="P548" s="380"/>
      <c r="X548" s="307"/>
      <c r="Y548" s="307"/>
      <c r="Z548" s="1753"/>
      <c r="AA548" s="307"/>
      <c r="AB548" s="307"/>
      <c r="AC548" s="307"/>
      <c r="AD548" s="307"/>
      <c r="AE548" s="307"/>
      <c r="AF548" s="307"/>
      <c r="AG548" s="307"/>
      <c r="AH548" s="307"/>
      <c r="AI548" s="307"/>
      <c r="AJ548" s="307"/>
      <c r="AK548" s="307"/>
      <c r="AL548" s="307"/>
      <c r="AM548" s="307"/>
      <c r="AN548" s="307"/>
      <c r="AO548" s="307"/>
      <c r="AP548" s="307"/>
      <c r="AQ548" s="307"/>
      <c r="AR548" s="307"/>
    </row>
    <row r="549" spans="1:44" s="457" customFormat="1" ht="12" customHeight="1">
      <c r="A549" s="307"/>
      <c r="P549" s="380"/>
      <c r="X549" s="307"/>
      <c r="Y549" s="307"/>
      <c r="Z549" s="1753"/>
      <c r="AA549" s="307"/>
      <c r="AB549" s="307"/>
      <c r="AC549" s="307"/>
      <c r="AD549" s="307"/>
      <c r="AE549" s="307"/>
      <c r="AF549" s="307"/>
      <c r="AG549" s="307"/>
      <c r="AH549" s="307"/>
      <c r="AI549" s="307"/>
      <c r="AJ549" s="307"/>
      <c r="AK549" s="307"/>
      <c r="AL549" s="307"/>
      <c r="AM549" s="307"/>
      <c r="AN549" s="307"/>
      <c r="AO549" s="307"/>
      <c r="AP549" s="307"/>
      <c r="AQ549" s="307"/>
      <c r="AR549" s="307"/>
    </row>
    <row r="550" spans="1:44" s="457" customFormat="1" ht="12" customHeight="1">
      <c r="A550" s="307"/>
      <c r="P550" s="380"/>
      <c r="X550" s="307"/>
      <c r="Y550" s="307"/>
      <c r="Z550" s="1753"/>
      <c r="AA550" s="307"/>
      <c r="AB550" s="307"/>
      <c r="AC550" s="307"/>
      <c r="AD550" s="307"/>
      <c r="AE550" s="307"/>
      <c r="AF550" s="307"/>
      <c r="AG550" s="307"/>
      <c r="AH550" s="307"/>
      <c r="AI550" s="307"/>
      <c r="AJ550" s="307"/>
      <c r="AK550" s="307"/>
      <c r="AL550" s="307"/>
      <c r="AM550" s="307"/>
      <c r="AN550" s="307"/>
      <c r="AO550" s="307"/>
      <c r="AP550" s="307"/>
      <c r="AQ550" s="307"/>
      <c r="AR550" s="307"/>
    </row>
    <row r="551" spans="1:44" s="457" customFormat="1" ht="12" customHeight="1">
      <c r="A551" s="307"/>
      <c r="P551" s="380"/>
      <c r="X551" s="307"/>
      <c r="Y551" s="307"/>
      <c r="Z551" s="1753"/>
      <c r="AA551" s="307"/>
      <c r="AB551" s="307"/>
      <c r="AC551" s="307"/>
      <c r="AD551" s="307"/>
      <c r="AE551" s="307"/>
      <c r="AF551" s="307"/>
      <c r="AG551" s="307"/>
      <c r="AH551" s="307"/>
      <c r="AI551" s="307"/>
      <c r="AJ551" s="307"/>
      <c r="AK551" s="307"/>
      <c r="AL551" s="307"/>
      <c r="AM551" s="307"/>
      <c r="AN551" s="307"/>
      <c r="AO551" s="307"/>
      <c r="AP551" s="307"/>
      <c r="AQ551" s="307"/>
      <c r="AR551" s="307"/>
    </row>
    <row r="552" spans="1:44" s="457" customFormat="1" ht="12" customHeight="1">
      <c r="A552" s="307"/>
      <c r="P552" s="380"/>
      <c r="X552" s="307"/>
      <c r="Y552" s="307"/>
      <c r="Z552" s="1753"/>
      <c r="AA552" s="307"/>
      <c r="AB552" s="307"/>
      <c r="AC552" s="307"/>
      <c r="AD552" s="307"/>
      <c r="AE552" s="307"/>
      <c r="AF552" s="307"/>
      <c r="AG552" s="307"/>
      <c r="AH552" s="307"/>
      <c r="AI552" s="307"/>
      <c r="AJ552" s="307"/>
      <c r="AK552" s="307"/>
      <c r="AL552" s="307"/>
      <c r="AM552" s="307"/>
      <c r="AN552" s="307"/>
      <c r="AO552" s="307"/>
      <c r="AP552" s="307"/>
      <c r="AQ552" s="307"/>
      <c r="AR552" s="307"/>
    </row>
    <row r="553" spans="1:44" s="457" customFormat="1" ht="12" customHeight="1">
      <c r="A553" s="307"/>
      <c r="P553" s="380"/>
      <c r="X553" s="307"/>
      <c r="Y553" s="307"/>
      <c r="Z553" s="1753"/>
      <c r="AA553" s="307"/>
      <c r="AB553" s="307"/>
      <c r="AC553" s="307"/>
      <c r="AD553" s="307"/>
      <c r="AE553" s="307"/>
      <c r="AF553" s="307"/>
      <c r="AG553" s="307"/>
      <c r="AH553" s="307"/>
      <c r="AI553" s="307"/>
      <c r="AJ553" s="307"/>
      <c r="AK553" s="307"/>
      <c r="AL553" s="307"/>
      <c r="AM553" s="307"/>
      <c r="AN553" s="307"/>
      <c r="AO553" s="307"/>
      <c r="AP553" s="307"/>
      <c r="AQ553" s="307"/>
      <c r="AR553" s="307"/>
    </row>
    <row r="554" spans="1:44" s="457" customFormat="1" ht="12" customHeight="1">
      <c r="A554" s="307"/>
      <c r="P554" s="380"/>
      <c r="X554" s="307"/>
      <c r="Y554" s="307"/>
      <c r="Z554" s="1753"/>
      <c r="AA554" s="307"/>
      <c r="AB554" s="307"/>
      <c r="AC554" s="307"/>
      <c r="AD554" s="307"/>
      <c r="AE554" s="307"/>
      <c r="AF554" s="307"/>
      <c r="AG554" s="307"/>
      <c r="AH554" s="307"/>
      <c r="AI554" s="307"/>
      <c r="AJ554" s="307"/>
      <c r="AK554" s="307"/>
      <c r="AL554" s="307"/>
      <c r="AM554" s="307"/>
      <c r="AN554" s="307"/>
      <c r="AO554" s="307"/>
      <c r="AP554" s="307"/>
      <c r="AQ554" s="307"/>
      <c r="AR554" s="307"/>
    </row>
    <row r="555" spans="1:44" s="457" customFormat="1" ht="12" customHeight="1">
      <c r="A555" s="307"/>
      <c r="P555" s="380"/>
      <c r="X555" s="307"/>
      <c r="Y555" s="307"/>
      <c r="Z555" s="1753"/>
      <c r="AA555" s="307"/>
      <c r="AB555" s="307"/>
      <c r="AC555" s="307"/>
      <c r="AD555" s="307"/>
      <c r="AE555" s="307"/>
      <c r="AF555" s="307"/>
      <c r="AG555" s="307"/>
      <c r="AH555" s="307"/>
      <c r="AI555" s="307"/>
      <c r="AJ555" s="307"/>
      <c r="AK555" s="307"/>
      <c r="AL555" s="307"/>
      <c r="AM555" s="307"/>
      <c r="AN555" s="307"/>
      <c r="AO555" s="307"/>
      <c r="AP555" s="307"/>
      <c r="AQ555" s="307"/>
      <c r="AR555" s="307"/>
    </row>
    <row r="556" spans="1:44" s="457" customFormat="1" ht="12" customHeight="1">
      <c r="A556" s="307"/>
      <c r="P556" s="1799"/>
      <c r="X556" s="307"/>
      <c r="Y556" s="307"/>
      <c r="Z556" s="1753"/>
      <c r="AA556" s="307"/>
      <c r="AB556" s="307"/>
      <c r="AC556" s="307"/>
      <c r="AD556" s="307"/>
      <c r="AE556" s="307"/>
      <c r="AF556" s="307"/>
      <c r="AG556" s="307"/>
      <c r="AH556" s="307"/>
      <c r="AI556" s="307"/>
      <c r="AJ556" s="307"/>
      <c r="AK556" s="307"/>
      <c r="AL556" s="307"/>
      <c r="AM556" s="307"/>
      <c r="AN556" s="307"/>
      <c r="AO556" s="307"/>
      <c r="AP556" s="307"/>
      <c r="AQ556" s="307"/>
      <c r="AR556" s="307"/>
    </row>
    <row r="557" spans="1:44" s="457" customFormat="1" ht="12" customHeight="1">
      <c r="A557" s="307"/>
      <c r="P557" s="380"/>
      <c r="X557" s="307"/>
      <c r="Y557" s="307"/>
      <c r="Z557" s="1753"/>
      <c r="AA557" s="307"/>
      <c r="AB557" s="307"/>
      <c r="AC557" s="307"/>
      <c r="AD557" s="307"/>
      <c r="AE557" s="307"/>
      <c r="AF557" s="307"/>
      <c r="AG557" s="307"/>
      <c r="AH557" s="307"/>
      <c r="AI557" s="307"/>
      <c r="AJ557" s="307"/>
      <c r="AK557" s="307"/>
      <c r="AL557" s="307"/>
      <c r="AM557" s="307"/>
      <c r="AN557" s="307"/>
      <c r="AO557" s="307"/>
      <c r="AP557" s="307"/>
      <c r="AQ557" s="307"/>
      <c r="AR557" s="307"/>
    </row>
    <row r="558" spans="1:44" s="457" customFormat="1" ht="12" customHeight="1">
      <c r="A558" s="307"/>
      <c r="P558" s="380"/>
      <c r="X558" s="307"/>
      <c r="Y558" s="307"/>
      <c r="Z558" s="1753"/>
      <c r="AA558" s="307"/>
      <c r="AB558" s="307"/>
      <c r="AC558" s="307"/>
      <c r="AD558" s="307"/>
      <c r="AE558" s="307"/>
      <c r="AF558" s="307"/>
      <c r="AG558" s="307"/>
      <c r="AH558" s="307"/>
      <c r="AI558" s="307"/>
      <c r="AJ558" s="307"/>
      <c r="AK558" s="307"/>
      <c r="AL558" s="307"/>
      <c r="AM558" s="307"/>
      <c r="AN558" s="307"/>
      <c r="AO558" s="307"/>
      <c r="AP558" s="307"/>
      <c r="AQ558" s="307"/>
      <c r="AR558" s="307"/>
    </row>
    <row r="559" spans="1:44" s="457" customFormat="1" ht="12" customHeight="1">
      <c r="A559" s="307"/>
      <c r="P559" s="380"/>
      <c r="X559" s="307"/>
      <c r="Y559" s="307"/>
      <c r="Z559" s="1753"/>
      <c r="AA559" s="307"/>
      <c r="AB559" s="307"/>
      <c r="AC559" s="307"/>
      <c r="AD559" s="307"/>
      <c r="AE559" s="307"/>
      <c r="AF559" s="307"/>
      <c r="AG559" s="307"/>
      <c r="AH559" s="307"/>
      <c r="AI559" s="307"/>
      <c r="AJ559" s="307"/>
      <c r="AK559" s="307"/>
      <c r="AL559" s="307"/>
      <c r="AM559" s="307"/>
      <c r="AN559" s="307"/>
      <c r="AO559" s="307"/>
      <c r="AP559" s="307"/>
      <c r="AQ559" s="307"/>
      <c r="AR559" s="307"/>
    </row>
    <row r="560" spans="1:44" s="457" customFormat="1" ht="12" customHeight="1">
      <c r="A560" s="307"/>
      <c r="P560" s="380"/>
      <c r="X560" s="307"/>
      <c r="Y560" s="307"/>
      <c r="Z560" s="1753"/>
      <c r="AA560" s="307"/>
      <c r="AB560" s="307"/>
      <c r="AC560" s="307"/>
      <c r="AD560" s="307"/>
      <c r="AE560" s="307"/>
      <c r="AF560" s="307"/>
      <c r="AG560" s="307"/>
      <c r="AH560" s="307"/>
      <c r="AI560" s="307"/>
      <c r="AJ560" s="307"/>
      <c r="AK560" s="307"/>
      <c r="AL560" s="307"/>
      <c r="AM560" s="307"/>
      <c r="AN560" s="307"/>
      <c r="AO560" s="307"/>
      <c r="AP560" s="307"/>
      <c r="AQ560" s="307"/>
      <c r="AR560" s="307"/>
    </row>
    <row r="561" spans="1:44" s="457" customFormat="1" ht="12" customHeight="1">
      <c r="A561" s="307"/>
      <c r="P561" s="380"/>
      <c r="X561" s="307"/>
      <c r="Y561" s="307"/>
      <c r="Z561" s="1753"/>
      <c r="AA561" s="307"/>
      <c r="AB561" s="307"/>
      <c r="AC561" s="307"/>
      <c r="AD561" s="307"/>
      <c r="AE561" s="307"/>
      <c r="AF561" s="307"/>
      <c r="AG561" s="307"/>
      <c r="AH561" s="307"/>
      <c r="AI561" s="307"/>
      <c r="AJ561" s="307"/>
      <c r="AK561" s="307"/>
      <c r="AL561" s="307"/>
      <c r="AM561" s="307"/>
      <c r="AN561" s="307"/>
      <c r="AO561" s="307"/>
      <c r="AP561" s="307"/>
      <c r="AQ561" s="307"/>
      <c r="AR561" s="307"/>
    </row>
    <row r="562" spans="1:44" s="457" customFormat="1" ht="12" customHeight="1">
      <c r="A562" s="307"/>
      <c r="P562" s="380"/>
      <c r="X562" s="307"/>
      <c r="Y562" s="307"/>
      <c r="Z562" s="1753"/>
      <c r="AA562" s="307"/>
      <c r="AB562" s="307"/>
      <c r="AC562" s="307"/>
      <c r="AD562" s="307"/>
      <c r="AE562" s="307"/>
      <c r="AF562" s="307"/>
      <c r="AG562" s="307"/>
      <c r="AH562" s="307"/>
      <c r="AI562" s="307"/>
      <c r="AJ562" s="307"/>
      <c r="AK562" s="307"/>
      <c r="AL562" s="307"/>
      <c r="AM562" s="307"/>
      <c r="AN562" s="307"/>
      <c r="AO562" s="307"/>
      <c r="AP562" s="307"/>
      <c r="AQ562" s="307"/>
      <c r="AR562" s="307"/>
    </row>
    <row r="563" spans="1:44" s="457" customFormat="1" ht="12" customHeight="1">
      <c r="A563" s="307"/>
      <c r="P563" s="380"/>
      <c r="X563" s="307"/>
      <c r="Y563" s="307"/>
      <c r="Z563" s="1753"/>
      <c r="AA563" s="307"/>
      <c r="AB563" s="307"/>
      <c r="AC563" s="307"/>
      <c r="AD563" s="307"/>
      <c r="AE563" s="307"/>
      <c r="AF563" s="307"/>
      <c r="AG563" s="307"/>
      <c r="AH563" s="307"/>
      <c r="AI563" s="307"/>
      <c r="AJ563" s="307"/>
      <c r="AK563" s="307"/>
      <c r="AL563" s="307"/>
      <c r="AM563" s="307"/>
      <c r="AN563" s="307"/>
      <c r="AO563" s="307"/>
      <c r="AP563" s="307"/>
      <c r="AQ563" s="307"/>
      <c r="AR563" s="307"/>
    </row>
    <row r="564" spans="1:44" s="457" customFormat="1" ht="12" customHeight="1">
      <c r="A564" s="307"/>
      <c r="P564" s="380"/>
      <c r="X564" s="307"/>
      <c r="Y564" s="307"/>
      <c r="Z564" s="1753"/>
      <c r="AA564" s="307"/>
      <c r="AB564" s="307"/>
      <c r="AC564" s="307"/>
      <c r="AD564" s="307"/>
      <c r="AE564" s="307"/>
      <c r="AF564" s="307"/>
      <c r="AG564" s="307"/>
      <c r="AH564" s="307"/>
      <c r="AI564" s="307"/>
      <c r="AJ564" s="307"/>
      <c r="AK564" s="307"/>
      <c r="AL564" s="307"/>
      <c r="AM564" s="307"/>
      <c r="AN564" s="307"/>
      <c r="AO564" s="307"/>
      <c r="AP564" s="307"/>
      <c r="AQ564" s="307"/>
      <c r="AR564" s="307"/>
    </row>
    <row r="565" spans="1:44" s="457" customFormat="1" ht="12" customHeight="1">
      <c r="A565" s="307"/>
      <c r="P565" s="1799"/>
      <c r="X565" s="307"/>
      <c r="Y565" s="307"/>
      <c r="Z565" s="1753"/>
      <c r="AA565" s="307"/>
      <c r="AB565" s="307"/>
      <c r="AC565" s="307"/>
      <c r="AD565" s="307"/>
      <c r="AE565" s="307"/>
      <c r="AF565" s="307"/>
      <c r="AG565" s="307"/>
      <c r="AH565" s="307"/>
      <c r="AI565" s="307"/>
      <c r="AJ565" s="307"/>
      <c r="AK565" s="307"/>
      <c r="AL565" s="307"/>
      <c r="AM565" s="307"/>
      <c r="AN565" s="307"/>
      <c r="AO565" s="307"/>
      <c r="AP565" s="307"/>
      <c r="AQ565" s="307"/>
      <c r="AR565" s="307"/>
    </row>
    <row r="566" spans="1:44" s="457" customFormat="1" ht="12" customHeight="1">
      <c r="A566" s="307"/>
      <c r="P566" s="380"/>
      <c r="X566" s="307"/>
      <c r="Y566" s="307"/>
      <c r="Z566" s="1753"/>
      <c r="AA566" s="307"/>
      <c r="AB566" s="307"/>
      <c r="AC566" s="307"/>
      <c r="AD566" s="307"/>
      <c r="AE566" s="307"/>
      <c r="AF566" s="307"/>
      <c r="AG566" s="307"/>
      <c r="AH566" s="307"/>
      <c r="AI566" s="307"/>
      <c r="AJ566" s="307"/>
      <c r="AK566" s="307"/>
      <c r="AL566" s="307"/>
      <c r="AM566" s="307"/>
      <c r="AN566" s="307"/>
      <c r="AO566" s="307"/>
      <c r="AP566" s="307"/>
      <c r="AQ566" s="307"/>
      <c r="AR566" s="307"/>
    </row>
    <row r="567" spans="1:44" s="457" customFormat="1" ht="12" customHeight="1">
      <c r="A567" s="307"/>
      <c r="P567" s="380"/>
      <c r="X567" s="307"/>
      <c r="Y567" s="307"/>
      <c r="Z567" s="1753"/>
      <c r="AA567" s="307"/>
      <c r="AB567" s="307"/>
      <c r="AC567" s="307"/>
      <c r="AD567" s="307"/>
      <c r="AE567" s="307"/>
      <c r="AF567" s="307"/>
      <c r="AG567" s="307"/>
      <c r="AH567" s="307"/>
      <c r="AI567" s="307"/>
      <c r="AJ567" s="307"/>
      <c r="AK567" s="307"/>
      <c r="AL567" s="307"/>
      <c r="AM567" s="307"/>
      <c r="AN567" s="307"/>
      <c r="AO567" s="307"/>
      <c r="AP567" s="307"/>
      <c r="AQ567" s="307"/>
      <c r="AR567" s="307"/>
    </row>
    <row r="568" spans="1:44" s="457" customFormat="1" ht="12" customHeight="1">
      <c r="A568" s="307"/>
      <c r="P568" s="380"/>
      <c r="X568" s="307"/>
      <c r="Y568" s="307"/>
      <c r="Z568" s="1753"/>
      <c r="AA568" s="307"/>
      <c r="AB568" s="307"/>
      <c r="AC568" s="307"/>
      <c r="AD568" s="307"/>
      <c r="AE568" s="307"/>
      <c r="AF568" s="307"/>
      <c r="AG568" s="307"/>
      <c r="AH568" s="307"/>
      <c r="AI568" s="307"/>
      <c r="AJ568" s="307"/>
      <c r="AK568" s="307"/>
      <c r="AL568" s="307"/>
      <c r="AM568" s="307"/>
      <c r="AN568" s="307"/>
      <c r="AO568" s="307"/>
      <c r="AP568" s="307"/>
      <c r="AQ568" s="307"/>
      <c r="AR568" s="307"/>
    </row>
    <row r="569" spans="1:44" s="457" customFormat="1" ht="12" customHeight="1">
      <c r="A569" s="307"/>
      <c r="P569" s="380"/>
      <c r="X569" s="307"/>
      <c r="Y569" s="307"/>
      <c r="Z569" s="1753"/>
      <c r="AA569" s="307"/>
      <c r="AB569" s="307"/>
      <c r="AC569" s="307"/>
      <c r="AD569" s="307"/>
      <c r="AE569" s="307"/>
      <c r="AF569" s="307"/>
      <c r="AG569" s="307"/>
      <c r="AH569" s="307"/>
      <c r="AI569" s="307"/>
      <c r="AJ569" s="307"/>
      <c r="AK569" s="307"/>
      <c r="AL569" s="307"/>
      <c r="AM569" s="307"/>
      <c r="AN569" s="307"/>
      <c r="AO569" s="307"/>
      <c r="AP569" s="307"/>
      <c r="AQ569" s="307"/>
      <c r="AR569" s="307"/>
    </row>
    <row r="570" spans="1:44" s="457" customFormat="1" ht="12" customHeight="1">
      <c r="A570" s="307"/>
      <c r="P570" s="380"/>
      <c r="X570" s="307"/>
      <c r="Y570" s="307"/>
      <c r="Z570" s="1753"/>
      <c r="AA570" s="307"/>
      <c r="AB570" s="307"/>
      <c r="AC570" s="307"/>
      <c r="AD570" s="307"/>
      <c r="AE570" s="307"/>
      <c r="AF570" s="307"/>
      <c r="AG570" s="307"/>
      <c r="AH570" s="307"/>
      <c r="AI570" s="307"/>
      <c r="AJ570" s="307"/>
      <c r="AK570" s="307"/>
      <c r="AL570" s="307"/>
      <c r="AM570" s="307"/>
      <c r="AN570" s="307"/>
      <c r="AO570" s="307"/>
      <c r="AP570" s="307"/>
      <c r="AQ570" s="307"/>
      <c r="AR570" s="307"/>
    </row>
    <row r="571" spans="1:44" s="457" customFormat="1" ht="12" customHeight="1">
      <c r="A571" s="307"/>
      <c r="P571" s="380"/>
      <c r="X571" s="307"/>
      <c r="Y571" s="307"/>
      <c r="Z571" s="1753"/>
      <c r="AA571" s="307"/>
      <c r="AB571" s="307"/>
      <c r="AC571" s="307"/>
      <c r="AD571" s="307"/>
      <c r="AE571" s="307"/>
      <c r="AF571" s="307"/>
      <c r="AG571" s="307"/>
      <c r="AH571" s="307"/>
      <c r="AI571" s="307"/>
      <c r="AJ571" s="307"/>
      <c r="AK571" s="307"/>
      <c r="AL571" s="307"/>
      <c r="AM571" s="307"/>
      <c r="AN571" s="307"/>
      <c r="AO571" s="307"/>
      <c r="AP571" s="307"/>
      <c r="AQ571" s="307"/>
      <c r="AR571" s="307"/>
    </row>
    <row r="572" spans="1:44" s="457" customFormat="1" ht="12" customHeight="1">
      <c r="A572" s="307"/>
      <c r="P572" s="380"/>
      <c r="X572" s="307"/>
      <c r="Y572" s="307"/>
      <c r="Z572" s="1753"/>
      <c r="AA572" s="307"/>
      <c r="AB572" s="307"/>
      <c r="AC572" s="307"/>
      <c r="AD572" s="307"/>
      <c r="AE572" s="307"/>
      <c r="AF572" s="307"/>
      <c r="AG572" s="307"/>
      <c r="AH572" s="307"/>
      <c r="AI572" s="307"/>
      <c r="AJ572" s="307"/>
      <c r="AK572" s="307"/>
      <c r="AL572" s="307"/>
      <c r="AM572" s="307"/>
      <c r="AN572" s="307"/>
      <c r="AO572" s="307"/>
      <c r="AP572" s="307"/>
      <c r="AQ572" s="307"/>
      <c r="AR572" s="307"/>
    </row>
    <row r="573" spans="1:44" s="457" customFormat="1" ht="12" customHeight="1">
      <c r="A573" s="307"/>
      <c r="P573" s="380"/>
      <c r="X573" s="307"/>
      <c r="Y573" s="307"/>
      <c r="Z573" s="1753"/>
      <c r="AA573" s="307"/>
      <c r="AB573" s="307"/>
      <c r="AC573" s="307"/>
      <c r="AD573" s="307"/>
      <c r="AE573" s="307"/>
      <c r="AF573" s="307"/>
      <c r="AG573" s="307"/>
      <c r="AH573" s="307"/>
      <c r="AI573" s="307"/>
      <c r="AJ573" s="307"/>
      <c r="AK573" s="307"/>
      <c r="AL573" s="307"/>
      <c r="AM573" s="307"/>
      <c r="AN573" s="307"/>
      <c r="AO573" s="307"/>
      <c r="AP573" s="307"/>
      <c r="AQ573" s="307"/>
      <c r="AR573" s="307"/>
    </row>
    <row r="574" spans="1:44" s="457" customFormat="1" ht="12" customHeight="1">
      <c r="A574" s="307"/>
      <c r="P574" s="380"/>
      <c r="X574" s="307"/>
      <c r="Y574" s="307"/>
      <c r="Z574" s="1753"/>
      <c r="AA574" s="307"/>
      <c r="AB574" s="307"/>
      <c r="AC574" s="307"/>
      <c r="AD574" s="307"/>
      <c r="AE574" s="307"/>
      <c r="AF574" s="307"/>
      <c r="AG574" s="307"/>
      <c r="AH574" s="307"/>
      <c r="AI574" s="307"/>
      <c r="AJ574" s="307"/>
      <c r="AK574" s="307"/>
      <c r="AL574" s="307"/>
      <c r="AM574" s="307"/>
      <c r="AN574" s="307"/>
      <c r="AO574" s="307"/>
      <c r="AP574" s="307"/>
      <c r="AQ574" s="307"/>
      <c r="AR574" s="307"/>
    </row>
    <row r="575" spans="1:44" s="457" customFormat="1" ht="12" customHeight="1">
      <c r="A575" s="307"/>
      <c r="P575" s="380"/>
      <c r="X575" s="307"/>
      <c r="Y575" s="307"/>
      <c r="Z575" s="1753"/>
      <c r="AA575" s="307"/>
      <c r="AB575" s="307"/>
      <c r="AC575" s="307"/>
      <c r="AD575" s="307"/>
      <c r="AE575" s="307"/>
      <c r="AF575" s="307"/>
      <c r="AG575" s="307"/>
      <c r="AH575" s="307"/>
      <c r="AI575" s="307"/>
      <c r="AJ575" s="307"/>
      <c r="AK575" s="307"/>
      <c r="AL575" s="307"/>
      <c r="AM575" s="307"/>
      <c r="AN575" s="307"/>
      <c r="AO575" s="307"/>
      <c r="AP575" s="307"/>
      <c r="AQ575" s="307"/>
      <c r="AR575" s="307"/>
    </row>
    <row r="576" spans="1:44" s="457" customFormat="1" ht="12" customHeight="1">
      <c r="A576" s="307"/>
      <c r="P576" s="380"/>
      <c r="X576" s="307"/>
      <c r="Y576" s="307"/>
      <c r="Z576" s="1753"/>
      <c r="AA576" s="307"/>
      <c r="AB576" s="307"/>
      <c r="AC576" s="307"/>
      <c r="AD576" s="307"/>
      <c r="AE576" s="307"/>
      <c r="AF576" s="307"/>
      <c r="AG576" s="307"/>
      <c r="AH576" s="307"/>
      <c r="AI576" s="307"/>
      <c r="AJ576" s="307"/>
      <c r="AK576" s="307"/>
      <c r="AL576" s="307"/>
      <c r="AM576" s="307"/>
      <c r="AN576" s="307"/>
      <c r="AO576" s="307"/>
      <c r="AP576" s="307"/>
      <c r="AQ576" s="307"/>
      <c r="AR576" s="307"/>
    </row>
    <row r="577" spans="1:44" s="457" customFormat="1" ht="12" customHeight="1">
      <c r="A577" s="307"/>
      <c r="P577" s="380"/>
      <c r="X577" s="307"/>
      <c r="Y577" s="307"/>
      <c r="Z577" s="1753"/>
      <c r="AA577" s="307"/>
      <c r="AB577" s="307"/>
      <c r="AC577" s="307"/>
      <c r="AD577" s="307"/>
      <c r="AE577" s="307"/>
      <c r="AF577" s="307"/>
      <c r="AG577" s="307"/>
      <c r="AH577" s="307"/>
      <c r="AI577" s="307"/>
      <c r="AJ577" s="307"/>
      <c r="AK577" s="307"/>
      <c r="AL577" s="307"/>
      <c r="AM577" s="307"/>
      <c r="AN577" s="307"/>
      <c r="AO577" s="307"/>
      <c r="AP577" s="307"/>
      <c r="AQ577" s="307"/>
      <c r="AR577" s="307"/>
    </row>
    <row r="578" spans="1:44" s="457" customFormat="1" ht="12" customHeight="1">
      <c r="A578" s="307"/>
      <c r="P578" s="380"/>
      <c r="X578" s="307"/>
      <c r="Y578" s="307"/>
      <c r="Z578" s="1753"/>
      <c r="AA578" s="307"/>
      <c r="AB578" s="307"/>
      <c r="AC578" s="307"/>
      <c r="AD578" s="307"/>
      <c r="AE578" s="307"/>
      <c r="AF578" s="307"/>
      <c r="AG578" s="307"/>
      <c r="AH578" s="307"/>
      <c r="AI578" s="307"/>
      <c r="AJ578" s="307"/>
      <c r="AK578" s="307"/>
      <c r="AL578" s="307"/>
      <c r="AM578" s="307"/>
      <c r="AN578" s="307"/>
      <c r="AO578" s="307"/>
      <c r="AP578" s="307"/>
      <c r="AQ578" s="307"/>
      <c r="AR578" s="307"/>
    </row>
    <row r="579" spans="1:44" s="457" customFormat="1" ht="12" customHeight="1">
      <c r="A579" s="307"/>
      <c r="P579" s="380"/>
      <c r="X579" s="307"/>
      <c r="Y579" s="307"/>
      <c r="Z579" s="1753"/>
      <c r="AA579" s="307"/>
      <c r="AB579" s="307"/>
      <c r="AC579" s="307"/>
      <c r="AD579" s="307"/>
      <c r="AE579" s="307"/>
      <c r="AF579" s="307"/>
      <c r="AG579" s="307"/>
      <c r="AH579" s="307"/>
      <c r="AI579" s="307"/>
      <c r="AJ579" s="307"/>
      <c r="AK579" s="307"/>
      <c r="AL579" s="307"/>
      <c r="AM579" s="307"/>
      <c r="AN579" s="307"/>
      <c r="AO579" s="307"/>
      <c r="AP579" s="307"/>
      <c r="AQ579" s="307"/>
      <c r="AR579" s="307"/>
    </row>
    <row r="580" spans="1:44" s="457" customFormat="1" ht="12" customHeight="1">
      <c r="A580" s="307"/>
      <c r="P580" s="380"/>
      <c r="X580" s="307"/>
      <c r="Y580" s="307"/>
      <c r="Z580" s="1753"/>
      <c r="AA580" s="307"/>
      <c r="AB580" s="307"/>
      <c r="AC580" s="307"/>
      <c r="AD580" s="307"/>
      <c r="AE580" s="307"/>
      <c r="AF580" s="307"/>
      <c r="AG580" s="307"/>
      <c r="AH580" s="307"/>
      <c r="AI580" s="307"/>
      <c r="AJ580" s="307"/>
      <c r="AK580" s="307"/>
      <c r="AL580" s="307"/>
      <c r="AM580" s="307"/>
      <c r="AN580" s="307"/>
      <c r="AO580" s="307"/>
      <c r="AP580" s="307"/>
      <c r="AQ580" s="307"/>
      <c r="AR580" s="307"/>
    </row>
    <row r="581" spans="1:44" s="457" customFormat="1" ht="12" customHeight="1">
      <c r="A581" s="307"/>
      <c r="P581" s="380"/>
      <c r="X581" s="307"/>
      <c r="Y581" s="307"/>
      <c r="Z581" s="1753"/>
      <c r="AA581" s="307"/>
      <c r="AB581" s="307"/>
      <c r="AC581" s="307"/>
      <c r="AD581" s="307"/>
      <c r="AE581" s="307"/>
      <c r="AF581" s="307"/>
      <c r="AG581" s="307"/>
      <c r="AH581" s="307"/>
      <c r="AI581" s="307"/>
      <c r="AJ581" s="307"/>
      <c r="AK581" s="307"/>
      <c r="AL581" s="307"/>
      <c r="AM581" s="307"/>
      <c r="AN581" s="307"/>
      <c r="AO581" s="307"/>
      <c r="AP581" s="307"/>
      <c r="AQ581" s="307"/>
      <c r="AR581" s="307"/>
    </row>
    <row r="582" spans="1:44" s="457" customFormat="1" ht="12" customHeight="1">
      <c r="A582" s="307"/>
      <c r="P582" s="380"/>
      <c r="X582" s="307"/>
      <c r="Y582" s="307"/>
      <c r="Z582" s="1753"/>
      <c r="AA582" s="307"/>
      <c r="AB582" s="307"/>
      <c r="AC582" s="307"/>
      <c r="AD582" s="307"/>
      <c r="AE582" s="307"/>
      <c r="AF582" s="307"/>
      <c r="AG582" s="307"/>
      <c r="AH582" s="307"/>
      <c r="AI582" s="307"/>
      <c r="AJ582" s="307"/>
      <c r="AK582" s="307"/>
      <c r="AL582" s="307"/>
      <c r="AM582" s="307"/>
      <c r="AN582" s="307"/>
      <c r="AO582" s="307"/>
      <c r="AP582" s="307"/>
      <c r="AQ582" s="307"/>
      <c r="AR582" s="307"/>
    </row>
    <row r="583" spans="1:44" s="457" customFormat="1" ht="12" customHeight="1">
      <c r="A583" s="307"/>
      <c r="P583" s="2749"/>
      <c r="X583" s="307"/>
      <c r="Y583" s="307"/>
      <c r="Z583" s="1753"/>
      <c r="AA583" s="307"/>
      <c r="AB583" s="307"/>
      <c r="AC583" s="307"/>
      <c r="AD583" s="307"/>
      <c r="AE583" s="307"/>
      <c r="AF583" s="307"/>
      <c r="AG583" s="307"/>
      <c r="AH583" s="307"/>
      <c r="AI583" s="307"/>
      <c r="AJ583" s="307"/>
      <c r="AK583" s="307"/>
      <c r="AL583" s="307"/>
      <c r="AM583" s="307"/>
      <c r="AN583" s="307"/>
      <c r="AO583" s="307"/>
      <c r="AP583" s="307"/>
      <c r="AQ583" s="307"/>
      <c r="AR583" s="307"/>
    </row>
    <row r="584" spans="1:44" s="457" customFormat="1" ht="12" customHeight="1">
      <c r="A584" s="307"/>
      <c r="P584" s="380"/>
      <c r="X584" s="307"/>
      <c r="Y584" s="307"/>
      <c r="Z584" s="1753"/>
      <c r="AA584" s="307"/>
      <c r="AB584" s="307"/>
      <c r="AC584" s="307"/>
      <c r="AD584" s="307"/>
      <c r="AE584" s="307"/>
      <c r="AF584" s="307"/>
      <c r="AG584" s="307"/>
      <c r="AH584" s="307"/>
      <c r="AI584" s="307"/>
      <c r="AJ584" s="307"/>
      <c r="AK584" s="307"/>
      <c r="AL584" s="307"/>
      <c r="AM584" s="307"/>
      <c r="AN584" s="307"/>
      <c r="AO584" s="307"/>
      <c r="AP584" s="307"/>
      <c r="AQ584" s="307"/>
      <c r="AR584" s="307"/>
    </row>
    <row r="585" spans="1:44" s="457" customFormat="1" ht="12" customHeight="1">
      <c r="A585" s="307"/>
      <c r="P585" s="380"/>
      <c r="X585" s="307"/>
      <c r="Y585" s="307"/>
      <c r="Z585" s="1753"/>
      <c r="AA585" s="307"/>
      <c r="AB585" s="307"/>
      <c r="AC585" s="307"/>
      <c r="AD585" s="307"/>
      <c r="AE585" s="307"/>
      <c r="AF585" s="307"/>
      <c r="AG585" s="307"/>
      <c r="AH585" s="307"/>
      <c r="AI585" s="307"/>
      <c r="AJ585" s="307"/>
      <c r="AK585" s="307"/>
      <c r="AL585" s="307"/>
      <c r="AM585" s="307"/>
      <c r="AN585" s="307"/>
      <c r="AO585" s="307"/>
      <c r="AP585" s="307"/>
      <c r="AQ585" s="307"/>
      <c r="AR585" s="307"/>
    </row>
    <row r="586" spans="1:44" s="457" customFormat="1" ht="12" customHeight="1">
      <c r="A586" s="307"/>
      <c r="P586" s="380"/>
      <c r="X586" s="307"/>
      <c r="Y586" s="307"/>
      <c r="Z586" s="1753"/>
      <c r="AA586" s="307"/>
      <c r="AB586" s="307"/>
      <c r="AC586" s="307"/>
      <c r="AD586" s="307"/>
      <c r="AE586" s="307"/>
      <c r="AF586" s="307"/>
      <c r="AG586" s="307"/>
      <c r="AH586" s="307"/>
      <c r="AI586" s="307"/>
      <c r="AJ586" s="307"/>
      <c r="AK586" s="307"/>
      <c r="AL586" s="307"/>
      <c r="AM586" s="307"/>
      <c r="AN586" s="307"/>
      <c r="AO586" s="307"/>
      <c r="AP586" s="307"/>
      <c r="AQ586" s="307"/>
      <c r="AR586" s="307"/>
    </row>
    <row r="587" spans="1:44" s="457" customFormat="1" ht="12" customHeight="1">
      <c r="A587" s="307"/>
      <c r="P587" s="380"/>
      <c r="X587" s="307"/>
      <c r="Y587" s="307"/>
      <c r="Z587" s="1753"/>
      <c r="AA587" s="307"/>
      <c r="AB587" s="307"/>
      <c r="AC587" s="307"/>
      <c r="AD587" s="307"/>
      <c r="AE587" s="307"/>
      <c r="AF587" s="307"/>
      <c r="AG587" s="307"/>
      <c r="AH587" s="307"/>
      <c r="AI587" s="307"/>
      <c r="AJ587" s="307"/>
      <c r="AK587" s="307"/>
      <c r="AL587" s="307"/>
      <c r="AM587" s="307"/>
      <c r="AN587" s="307"/>
      <c r="AO587" s="307"/>
      <c r="AP587" s="307"/>
      <c r="AQ587" s="307"/>
      <c r="AR587" s="307"/>
    </row>
    <row r="588" spans="1:44" s="457" customFormat="1" ht="12" customHeight="1">
      <c r="A588" s="307"/>
      <c r="P588" s="1799"/>
      <c r="X588" s="307"/>
      <c r="Y588" s="307"/>
      <c r="Z588" s="1753"/>
      <c r="AA588" s="307"/>
      <c r="AB588" s="307"/>
      <c r="AC588" s="307"/>
      <c r="AD588" s="307"/>
      <c r="AE588" s="307"/>
      <c r="AF588" s="307"/>
      <c r="AG588" s="307"/>
      <c r="AH588" s="307"/>
      <c r="AI588" s="307"/>
      <c r="AJ588" s="307"/>
      <c r="AK588" s="307"/>
      <c r="AL588" s="307"/>
      <c r="AM588" s="307"/>
      <c r="AN588" s="307"/>
      <c r="AO588" s="307"/>
      <c r="AP588" s="307"/>
      <c r="AQ588" s="307"/>
      <c r="AR588" s="307"/>
    </row>
    <row r="589" spans="1:44" s="457" customFormat="1" ht="12" customHeight="1">
      <c r="A589" s="307"/>
      <c r="P589" s="380"/>
      <c r="X589" s="307"/>
      <c r="Y589" s="307"/>
      <c r="Z589" s="1753"/>
      <c r="AA589" s="307"/>
      <c r="AB589" s="307"/>
      <c r="AC589" s="307"/>
      <c r="AD589" s="307"/>
      <c r="AE589" s="307"/>
      <c r="AF589" s="307"/>
      <c r="AG589" s="307"/>
      <c r="AH589" s="307"/>
      <c r="AI589" s="307"/>
      <c r="AJ589" s="307"/>
      <c r="AK589" s="307"/>
      <c r="AL589" s="307"/>
      <c r="AM589" s="307"/>
      <c r="AN589" s="307"/>
      <c r="AO589" s="307"/>
      <c r="AP589" s="307"/>
      <c r="AQ589" s="307"/>
      <c r="AR589" s="307"/>
    </row>
    <row r="590" spans="1:44" s="457" customFormat="1" ht="12" customHeight="1">
      <c r="A590" s="307"/>
      <c r="P590" s="380"/>
      <c r="X590" s="307"/>
      <c r="Y590" s="307"/>
      <c r="Z590" s="1753"/>
      <c r="AA590" s="307"/>
      <c r="AB590" s="307"/>
      <c r="AC590" s="307"/>
      <c r="AD590" s="307"/>
      <c r="AE590" s="307"/>
      <c r="AF590" s="307"/>
      <c r="AG590" s="307"/>
      <c r="AH590" s="307"/>
      <c r="AI590" s="307"/>
      <c r="AJ590" s="307"/>
      <c r="AK590" s="307"/>
      <c r="AL590" s="307"/>
      <c r="AM590" s="307"/>
      <c r="AN590" s="307"/>
      <c r="AO590" s="307"/>
      <c r="AP590" s="307"/>
      <c r="AQ590" s="307"/>
      <c r="AR590" s="307"/>
    </row>
    <row r="591" spans="1:44" s="457" customFormat="1" ht="12" customHeight="1">
      <c r="A591" s="307"/>
      <c r="P591" s="1799"/>
      <c r="X591" s="307"/>
      <c r="Y591" s="307"/>
      <c r="Z591" s="1753"/>
      <c r="AA591" s="307"/>
      <c r="AB591" s="307"/>
      <c r="AC591" s="307"/>
      <c r="AD591" s="307"/>
      <c r="AE591" s="307"/>
      <c r="AF591" s="307"/>
      <c r="AG591" s="307"/>
      <c r="AH591" s="307"/>
      <c r="AI591" s="307"/>
      <c r="AJ591" s="307"/>
      <c r="AK591" s="307"/>
      <c r="AL591" s="307"/>
      <c r="AM591" s="307"/>
      <c r="AN591" s="307"/>
      <c r="AO591" s="307"/>
      <c r="AP591" s="307"/>
      <c r="AQ591" s="307"/>
      <c r="AR591" s="307"/>
    </row>
    <row r="592" spans="1:44" s="457" customFormat="1" ht="12" customHeight="1">
      <c r="A592" s="307"/>
      <c r="P592" s="380"/>
      <c r="X592" s="307"/>
      <c r="Y592" s="307"/>
      <c r="Z592" s="1753"/>
      <c r="AA592" s="307"/>
      <c r="AB592" s="307"/>
      <c r="AC592" s="307"/>
      <c r="AD592" s="307"/>
      <c r="AE592" s="307"/>
      <c r="AF592" s="307"/>
      <c r="AG592" s="307"/>
      <c r="AH592" s="307"/>
      <c r="AI592" s="307"/>
      <c r="AJ592" s="307"/>
      <c r="AK592" s="307"/>
      <c r="AL592" s="307"/>
      <c r="AM592" s="307"/>
      <c r="AN592" s="307"/>
      <c r="AO592" s="307"/>
      <c r="AP592" s="307"/>
      <c r="AQ592" s="307"/>
      <c r="AR592" s="307"/>
    </row>
    <row r="593" spans="1:44" s="457" customFormat="1" ht="12" customHeight="1">
      <c r="A593" s="307"/>
      <c r="P593" s="380"/>
      <c r="X593" s="307"/>
      <c r="Y593" s="307"/>
      <c r="Z593" s="1753"/>
      <c r="AA593" s="307"/>
      <c r="AB593" s="307"/>
      <c r="AC593" s="307"/>
      <c r="AD593" s="307"/>
      <c r="AE593" s="307"/>
      <c r="AF593" s="307"/>
      <c r="AG593" s="307"/>
      <c r="AH593" s="307"/>
      <c r="AI593" s="307"/>
      <c r="AJ593" s="307"/>
      <c r="AK593" s="307"/>
      <c r="AL593" s="307"/>
      <c r="AM593" s="307"/>
      <c r="AN593" s="307"/>
      <c r="AO593" s="307"/>
      <c r="AP593" s="307"/>
      <c r="AQ593" s="307"/>
      <c r="AR593" s="307"/>
    </row>
    <row r="594" spans="1:44" s="457" customFormat="1" ht="12" customHeight="1">
      <c r="A594" s="307"/>
      <c r="P594" s="380"/>
      <c r="X594" s="307"/>
      <c r="Y594" s="307"/>
      <c r="Z594" s="1753"/>
      <c r="AA594" s="307"/>
      <c r="AB594" s="307"/>
      <c r="AC594" s="307"/>
      <c r="AD594" s="307"/>
      <c r="AE594" s="307"/>
      <c r="AF594" s="307"/>
      <c r="AG594" s="307"/>
      <c r="AH594" s="307"/>
      <c r="AI594" s="307"/>
      <c r="AJ594" s="307"/>
      <c r="AK594" s="307"/>
      <c r="AL594" s="307"/>
      <c r="AM594" s="307"/>
      <c r="AN594" s="307"/>
      <c r="AO594" s="307"/>
      <c r="AP594" s="307"/>
      <c r="AQ594" s="307"/>
      <c r="AR594" s="307"/>
    </row>
    <row r="595" spans="1:44" s="457" customFormat="1" ht="12" customHeight="1">
      <c r="A595" s="307"/>
      <c r="P595" s="380"/>
      <c r="X595" s="307"/>
      <c r="Y595" s="307"/>
      <c r="Z595" s="1753"/>
      <c r="AA595" s="307"/>
      <c r="AB595" s="307"/>
      <c r="AC595" s="307"/>
      <c r="AD595" s="307"/>
      <c r="AE595" s="307"/>
      <c r="AF595" s="307"/>
      <c r="AG595" s="307"/>
      <c r="AH595" s="307"/>
      <c r="AI595" s="307"/>
      <c r="AJ595" s="307"/>
      <c r="AK595" s="307"/>
      <c r="AL595" s="307"/>
      <c r="AM595" s="307"/>
      <c r="AN595" s="307"/>
      <c r="AO595" s="307"/>
      <c r="AP595" s="307"/>
      <c r="AQ595" s="307"/>
      <c r="AR595" s="307"/>
    </row>
    <row r="596" spans="1:44" s="457" customFormat="1" ht="12" customHeight="1">
      <c r="A596" s="307"/>
      <c r="P596" s="380"/>
      <c r="X596" s="307"/>
      <c r="Y596" s="307"/>
      <c r="Z596" s="1753"/>
      <c r="AA596" s="307"/>
      <c r="AB596" s="307"/>
      <c r="AC596" s="307"/>
      <c r="AD596" s="307"/>
      <c r="AE596" s="307"/>
      <c r="AF596" s="307"/>
      <c r="AG596" s="307"/>
      <c r="AH596" s="307"/>
      <c r="AI596" s="307"/>
      <c r="AJ596" s="307"/>
      <c r="AK596" s="307"/>
      <c r="AL596" s="307"/>
      <c r="AM596" s="307"/>
      <c r="AN596" s="307"/>
      <c r="AO596" s="307"/>
      <c r="AP596" s="307"/>
      <c r="AQ596" s="307"/>
      <c r="AR596" s="307"/>
    </row>
    <row r="597" spans="1:44" s="457" customFormat="1" ht="12" customHeight="1">
      <c r="A597" s="307"/>
      <c r="P597" s="380"/>
      <c r="X597" s="307"/>
      <c r="Y597" s="307"/>
      <c r="Z597" s="1753"/>
      <c r="AA597" s="307"/>
      <c r="AB597" s="307"/>
      <c r="AC597" s="307"/>
      <c r="AD597" s="307"/>
      <c r="AE597" s="307"/>
      <c r="AF597" s="307"/>
      <c r="AG597" s="307"/>
      <c r="AH597" s="307"/>
      <c r="AI597" s="307"/>
      <c r="AJ597" s="307"/>
      <c r="AK597" s="307"/>
      <c r="AL597" s="307"/>
      <c r="AM597" s="307"/>
      <c r="AN597" s="307"/>
      <c r="AO597" s="307"/>
      <c r="AP597" s="307"/>
      <c r="AQ597" s="307"/>
      <c r="AR597" s="307"/>
    </row>
    <row r="598" spans="1:44" s="457" customFormat="1" ht="12" customHeight="1">
      <c r="A598" s="307"/>
      <c r="P598" s="380"/>
      <c r="X598" s="307"/>
      <c r="Y598" s="307"/>
      <c r="Z598" s="1753"/>
      <c r="AA598" s="307"/>
      <c r="AB598" s="307"/>
      <c r="AC598" s="307"/>
      <c r="AD598" s="307"/>
      <c r="AE598" s="307"/>
      <c r="AF598" s="307"/>
      <c r="AG598" s="307"/>
      <c r="AH598" s="307"/>
      <c r="AI598" s="307"/>
      <c r="AJ598" s="307"/>
      <c r="AK598" s="307"/>
      <c r="AL598" s="307"/>
      <c r="AM598" s="307"/>
      <c r="AN598" s="307"/>
      <c r="AO598" s="307"/>
      <c r="AP598" s="307"/>
      <c r="AQ598" s="307"/>
      <c r="AR598" s="307"/>
    </row>
    <row r="599" spans="1:44" s="457" customFormat="1" ht="12" customHeight="1">
      <c r="A599" s="307"/>
      <c r="P599" s="380"/>
      <c r="X599" s="307"/>
      <c r="Y599" s="307"/>
      <c r="Z599" s="1753"/>
      <c r="AA599" s="307"/>
      <c r="AB599" s="307"/>
      <c r="AC599" s="307"/>
      <c r="AD599" s="307"/>
      <c r="AE599" s="307"/>
      <c r="AF599" s="307"/>
      <c r="AG599" s="307"/>
      <c r="AH599" s="307"/>
      <c r="AI599" s="307"/>
      <c r="AJ599" s="307"/>
      <c r="AK599" s="307"/>
      <c r="AL599" s="307"/>
      <c r="AM599" s="307"/>
      <c r="AN599" s="307"/>
      <c r="AO599" s="307"/>
      <c r="AP599" s="307"/>
      <c r="AQ599" s="307"/>
      <c r="AR599" s="307"/>
    </row>
    <row r="600" spans="1:44" s="457" customFormat="1" ht="12" customHeight="1">
      <c r="A600" s="307"/>
      <c r="P600" s="380"/>
      <c r="X600" s="307"/>
      <c r="Y600" s="307"/>
      <c r="Z600" s="1753"/>
      <c r="AA600" s="307"/>
      <c r="AB600" s="307"/>
      <c r="AC600" s="307"/>
      <c r="AD600" s="307"/>
      <c r="AE600" s="307"/>
      <c r="AF600" s="307"/>
      <c r="AG600" s="307"/>
      <c r="AH600" s="307"/>
      <c r="AI600" s="307"/>
      <c r="AJ600" s="307"/>
      <c r="AK600" s="307"/>
      <c r="AL600" s="307"/>
      <c r="AM600" s="307"/>
      <c r="AN600" s="307"/>
      <c r="AO600" s="307"/>
      <c r="AP600" s="307"/>
      <c r="AQ600" s="307"/>
      <c r="AR600" s="307"/>
    </row>
    <row r="601" spans="1:44" s="457" customFormat="1" ht="12" customHeight="1">
      <c r="A601" s="307"/>
      <c r="P601" s="380"/>
      <c r="X601" s="307"/>
      <c r="Y601" s="307"/>
      <c r="Z601" s="1753"/>
      <c r="AA601" s="307"/>
      <c r="AB601" s="307"/>
      <c r="AC601" s="307"/>
      <c r="AD601" s="307"/>
      <c r="AE601" s="307"/>
      <c r="AF601" s="307"/>
      <c r="AG601" s="307"/>
      <c r="AH601" s="307"/>
      <c r="AI601" s="307"/>
      <c r="AJ601" s="307"/>
      <c r="AK601" s="307"/>
      <c r="AL601" s="307"/>
      <c r="AM601" s="307"/>
      <c r="AN601" s="307"/>
      <c r="AO601" s="307"/>
      <c r="AP601" s="307"/>
      <c r="AQ601" s="307"/>
      <c r="AR601" s="307"/>
    </row>
    <row r="602" spans="1:44" s="457" customFormat="1" ht="12" customHeight="1">
      <c r="A602" s="307"/>
      <c r="P602" s="380"/>
      <c r="X602" s="307"/>
      <c r="Y602" s="307"/>
      <c r="Z602" s="1753"/>
      <c r="AA602" s="307"/>
      <c r="AB602" s="307"/>
      <c r="AC602" s="307"/>
      <c r="AD602" s="307"/>
      <c r="AE602" s="307"/>
      <c r="AF602" s="307"/>
      <c r="AG602" s="307"/>
      <c r="AH602" s="307"/>
      <c r="AI602" s="307"/>
      <c r="AJ602" s="307"/>
      <c r="AK602" s="307"/>
      <c r="AL602" s="307"/>
      <c r="AM602" s="307"/>
      <c r="AN602" s="307"/>
      <c r="AO602" s="307"/>
      <c r="AP602" s="307"/>
      <c r="AQ602" s="307"/>
      <c r="AR602" s="307"/>
    </row>
    <row r="603" spans="1:44" s="457" customFormat="1" ht="12" customHeight="1">
      <c r="A603" s="307"/>
      <c r="P603" s="1799"/>
      <c r="X603" s="307"/>
      <c r="Y603" s="307"/>
      <c r="Z603" s="1753"/>
      <c r="AA603" s="307"/>
      <c r="AB603" s="307"/>
      <c r="AC603" s="307"/>
      <c r="AD603" s="307"/>
      <c r="AE603" s="307"/>
      <c r="AF603" s="307"/>
      <c r="AG603" s="307"/>
      <c r="AH603" s="307"/>
      <c r="AI603" s="307"/>
      <c r="AJ603" s="307"/>
      <c r="AK603" s="307"/>
      <c r="AL603" s="307"/>
      <c r="AM603" s="307"/>
      <c r="AN603" s="307"/>
      <c r="AO603" s="307"/>
      <c r="AP603" s="307"/>
      <c r="AQ603" s="307"/>
      <c r="AR603" s="307"/>
    </row>
    <row r="604" spans="1:44" s="457" customFormat="1" ht="12" customHeight="1">
      <c r="A604" s="307"/>
      <c r="P604" s="380"/>
      <c r="X604" s="307"/>
      <c r="Y604" s="307"/>
      <c r="Z604" s="1753"/>
      <c r="AA604" s="307"/>
      <c r="AB604" s="307"/>
      <c r="AC604" s="307"/>
      <c r="AD604" s="307"/>
      <c r="AE604" s="307"/>
      <c r="AF604" s="307"/>
      <c r="AG604" s="307"/>
      <c r="AH604" s="307"/>
      <c r="AI604" s="307"/>
      <c r="AJ604" s="307"/>
      <c r="AK604" s="307"/>
      <c r="AL604" s="307"/>
      <c r="AM604" s="307"/>
      <c r="AN604" s="307"/>
      <c r="AO604" s="307"/>
      <c r="AP604" s="307"/>
      <c r="AQ604" s="307"/>
      <c r="AR604" s="307"/>
    </row>
    <row r="605" spans="1:44" s="457" customFormat="1" ht="12" customHeight="1">
      <c r="A605" s="307"/>
      <c r="P605" s="380"/>
      <c r="X605" s="307"/>
      <c r="Y605" s="307"/>
      <c r="Z605" s="1753"/>
      <c r="AA605" s="307"/>
      <c r="AB605" s="307"/>
      <c r="AC605" s="307"/>
      <c r="AD605" s="307"/>
      <c r="AE605" s="307"/>
      <c r="AF605" s="307"/>
      <c r="AG605" s="307"/>
      <c r="AH605" s="307"/>
      <c r="AI605" s="307"/>
      <c r="AJ605" s="307"/>
      <c r="AK605" s="307"/>
      <c r="AL605" s="307"/>
      <c r="AM605" s="307"/>
      <c r="AN605" s="307"/>
      <c r="AO605" s="307"/>
      <c r="AP605" s="307"/>
      <c r="AQ605" s="307"/>
      <c r="AR605" s="307"/>
    </row>
    <row r="606" spans="1:44" s="457" customFormat="1" ht="12" customHeight="1">
      <c r="A606" s="307"/>
      <c r="P606" s="2749"/>
      <c r="X606" s="307"/>
      <c r="Y606" s="307"/>
      <c r="Z606" s="1753"/>
      <c r="AA606" s="307"/>
      <c r="AB606" s="307"/>
      <c r="AC606" s="307"/>
      <c r="AD606" s="307"/>
      <c r="AE606" s="307"/>
      <c r="AF606" s="307"/>
      <c r="AG606" s="307"/>
      <c r="AH606" s="307"/>
      <c r="AI606" s="307"/>
      <c r="AJ606" s="307"/>
      <c r="AK606" s="307"/>
      <c r="AL606" s="307"/>
      <c r="AM606" s="307"/>
      <c r="AN606" s="307"/>
      <c r="AO606" s="307"/>
      <c r="AP606" s="307"/>
      <c r="AQ606" s="307"/>
      <c r="AR606" s="307"/>
    </row>
    <row r="607" spans="1:44" s="457" customFormat="1" ht="12" customHeight="1">
      <c r="A607" s="307"/>
      <c r="P607" s="380"/>
      <c r="X607" s="307"/>
      <c r="Y607" s="307"/>
      <c r="Z607" s="1753"/>
      <c r="AA607" s="307"/>
      <c r="AB607" s="307"/>
      <c r="AC607" s="307"/>
      <c r="AD607" s="307"/>
      <c r="AE607" s="307"/>
      <c r="AF607" s="307"/>
      <c r="AG607" s="307"/>
      <c r="AH607" s="307"/>
      <c r="AI607" s="307"/>
      <c r="AJ607" s="307"/>
      <c r="AK607" s="307"/>
      <c r="AL607" s="307"/>
      <c r="AM607" s="307"/>
      <c r="AN607" s="307"/>
      <c r="AO607" s="307"/>
      <c r="AP607" s="307"/>
      <c r="AQ607" s="307"/>
      <c r="AR607" s="307"/>
    </row>
    <row r="608" spans="1:44" s="457" customFormat="1" ht="12" customHeight="1">
      <c r="A608" s="307"/>
      <c r="P608" s="380"/>
      <c r="X608" s="307"/>
      <c r="Y608" s="307"/>
      <c r="Z608" s="1753"/>
      <c r="AA608" s="307"/>
      <c r="AB608" s="307"/>
      <c r="AC608" s="307"/>
      <c r="AD608" s="307"/>
      <c r="AE608" s="307"/>
      <c r="AF608" s="307"/>
      <c r="AG608" s="307"/>
      <c r="AH608" s="307"/>
      <c r="AI608" s="307"/>
      <c r="AJ608" s="307"/>
      <c r="AK608" s="307"/>
      <c r="AL608" s="307"/>
      <c r="AM608" s="307"/>
      <c r="AN608" s="307"/>
      <c r="AO608" s="307"/>
      <c r="AP608" s="307"/>
      <c r="AQ608" s="307"/>
      <c r="AR608" s="307"/>
    </row>
    <row r="609" spans="1:44" s="457" customFormat="1" ht="12" customHeight="1">
      <c r="A609" s="307"/>
      <c r="P609" s="380"/>
      <c r="X609" s="307"/>
      <c r="Y609" s="307"/>
      <c r="Z609" s="1753"/>
      <c r="AA609" s="307"/>
      <c r="AB609" s="307"/>
      <c r="AC609" s="307"/>
      <c r="AD609" s="307"/>
      <c r="AE609" s="307"/>
      <c r="AF609" s="307"/>
      <c r="AG609" s="307"/>
      <c r="AH609" s="307"/>
      <c r="AI609" s="307"/>
      <c r="AJ609" s="307"/>
      <c r="AK609" s="307"/>
      <c r="AL609" s="307"/>
      <c r="AM609" s="307"/>
      <c r="AN609" s="307"/>
      <c r="AO609" s="307"/>
      <c r="AP609" s="307"/>
      <c r="AQ609" s="307"/>
      <c r="AR609" s="307"/>
    </row>
    <row r="610" spans="1:44" s="457" customFormat="1" ht="12" customHeight="1">
      <c r="A610" s="307"/>
      <c r="P610" s="380"/>
      <c r="X610" s="307"/>
      <c r="Y610" s="307"/>
      <c r="Z610" s="1753"/>
      <c r="AA610" s="307"/>
      <c r="AB610" s="307"/>
      <c r="AC610" s="307"/>
      <c r="AD610" s="307"/>
      <c r="AE610" s="307"/>
      <c r="AF610" s="307"/>
      <c r="AG610" s="307"/>
      <c r="AH610" s="307"/>
      <c r="AI610" s="307"/>
      <c r="AJ610" s="307"/>
      <c r="AK610" s="307"/>
      <c r="AL610" s="307"/>
      <c r="AM610" s="307"/>
      <c r="AN610" s="307"/>
      <c r="AO610" s="307"/>
      <c r="AP610" s="307"/>
      <c r="AQ610" s="307"/>
      <c r="AR610" s="307"/>
    </row>
    <row r="611" spans="1:44" s="457" customFormat="1" ht="12" customHeight="1">
      <c r="A611" s="307"/>
      <c r="P611" s="380"/>
      <c r="X611" s="307"/>
      <c r="Y611" s="307"/>
      <c r="Z611" s="1753"/>
      <c r="AA611" s="307"/>
      <c r="AB611" s="307"/>
      <c r="AC611" s="307"/>
      <c r="AD611" s="307"/>
      <c r="AE611" s="307"/>
      <c r="AF611" s="307"/>
      <c r="AG611" s="307"/>
      <c r="AH611" s="307"/>
      <c r="AI611" s="307"/>
      <c r="AJ611" s="307"/>
      <c r="AK611" s="307"/>
      <c r="AL611" s="307"/>
      <c r="AM611" s="307"/>
      <c r="AN611" s="307"/>
      <c r="AO611" s="307"/>
      <c r="AP611" s="307"/>
      <c r="AQ611" s="307"/>
      <c r="AR611" s="307"/>
    </row>
    <row r="612" spans="1:44" s="457" customFormat="1" ht="12" customHeight="1">
      <c r="A612" s="307"/>
      <c r="P612" s="380"/>
      <c r="X612" s="307"/>
      <c r="Y612" s="307"/>
      <c r="Z612" s="1753"/>
      <c r="AA612" s="307"/>
      <c r="AB612" s="307"/>
      <c r="AC612" s="307"/>
      <c r="AD612" s="307"/>
      <c r="AE612" s="307"/>
      <c r="AF612" s="307"/>
      <c r="AG612" s="307"/>
      <c r="AH612" s="307"/>
      <c r="AI612" s="307"/>
      <c r="AJ612" s="307"/>
      <c r="AK612" s="307"/>
      <c r="AL612" s="307"/>
      <c r="AM612" s="307"/>
      <c r="AN612" s="307"/>
      <c r="AO612" s="307"/>
      <c r="AP612" s="307"/>
      <c r="AQ612" s="307"/>
      <c r="AR612" s="307"/>
    </row>
    <row r="613" spans="1:44" s="457" customFormat="1" ht="12" customHeight="1">
      <c r="A613" s="307"/>
      <c r="P613" s="380"/>
      <c r="X613" s="307"/>
      <c r="Y613" s="307"/>
      <c r="Z613" s="1753"/>
      <c r="AA613" s="307"/>
      <c r="AB613" s="307"/>
      <c r="AC613" s="307"/>
      <c r="AD613" s="307"/>
      <c r="AE613" s="307"/>
      <c r="AF613" s="307"/>
      <c r="AG613" s="307"/>
      <c r="AH613" s="307"/>
      <c r="AI613" s="307"/>
      <c r="AJ613" s="307"/>
      <c r="AK613" s="307"/>
      <c r="AL613" s="307"/>
      <c r="AM613" s="307"/>
      <c r="AN613" s="307"/>
      <c r="AO613" s="307"/>
      <c r="AP613" s="307"/>
      <c r="AQ613" s="307"/>
      <c r="AR613" s="307"/>
    </row>
    <row r="614" spans="1:44" s="457" customFormat="1" ht="12" customHeight="1">
      <c r="A614" s="307"/>
      <c r="P614" s="380"/>
      <c r="X614" s="307"/>
      <c r="Y614" s="307"/>
      <c r="Z614" s="1753"/>
      <c r="AA614" s="307"/>
      <c r="AB614" s="307"/>
      <c r="AC614" s="307"/>
      <c r="AD614" s="307"/>
      <c r="AE614" s="307"/>
      <c r="AF614" s="307"/>
      <c r="AG614" s="307"/>
      <c r="AH614" s="307"/>
      <c r="AI614" s="307"/>
      <c r="AJ614" s="307"/>
      <c r="AK614" s="307"/>
      <c r="AL614" s="307"/>
      <c r="AM614" s="307"/>
      <c r="AN614" s="307"/>
      <c r="AO614" s="307"/>
      <c r="AP614" s="307"/>
      <c r="AQ614" s="307"/>
      <c r="AR614" s="307"/>
    </row>
    <row r="615" spans="1:44" s="457" customFormat="1" ht="12" customHeight="1">
      <c r="A615" s="307"/>
      <c r="P615" s="380"/>
      <c r="X615" s="307"/>
      <c r="Y615" s="307"/>
      <c r="Z615" s="1753"/>
      <c r="AA615" s="307"/>
      <c r="AB615" s="307"/>
      <c r="AC615" s="307"/>
      <c r="AD615" s="307"/>
      <c r="AE615" s="307"/>
      <c r="AF615" s="307"/>
      <c r="AG615" s="307"/>
      <c r="AH615" s="307"/>
      <c r="AI615" s="307"/>
      <c r="AJ615" s="307"/>
      <c r="AK615" s="307"/>
      <c r="AL615" s="307"/>
      <c r="AM615" s="307"/>
      <c r="AN615" s="307"/>
      <c r="AO615" s="307"/>
      <c r="AP615" s="307"/>
      <c r="AQ615" s="307"/>
      <c r="AR615" s="307"/>
    </row>
    <row r="616" spans="1:44" s="457" customFormat="1" ht="12" customHeight="1">
      <c r="A616" s="307"/>
      <c r="P616" s="1799"/>
      <c r="X616" s="307"/>
      <c r="Y616" s="307"/>
      <c r="Z616" s="1753"/>
      <c r="AA616" s="307"/>
      <c r="AB616" s="307"/>
      <c r="AC616" s="307"/>
      <c r="AD616" s="307"/>
      <c r="AE616" s="307"/>
      <c r="AF616" s="307"/>
      <c r="AG616" s="307"/>
      <c r="AH616" s="307"/>
      <c r="AI616" s="307"/>
      <c r="AJ616" s="307"/>
      <c r="AK616" s="307"/>
      <c r="AL616" s="307"/>
      <c r="AM616" s="307"/>
      <c r="AN616" s="307"/>
      <c r="AO616" s="307"/>
      <c r="AP616" s="307"/>
      <c r="AQ616" s="307"/>
      <c r="AR616" s="307"/>
    </row>
    <row r="617" spans="1:44" s="457" customFormat="1" ht="12" customHeight="1">
      <c r="A617" s="307"/>
      <c r="P617" s="1799"/>
      <c r="X617" s="307"/>
      <c r="Y617" s="307"/>
      <c r="Z617" s="1753"/>
      <c r="AA617" s="307"/>
      <c r="AB617" s="307"/>
      <c r="AC617" s="307"/>
      <c r="AD617" s="307"/>
      <c r="AE617" s="307"/>
      <c r="AF617" s="307"/>
      <c r="AG617" s="307"/>
      <c r="AH617" s="307"/>
      <c r="AI617" s="307"/>
      <c r="AJ617" s="307"/>
      <c r="AK617" s="307"/>
      <c r="AL617" s="307"/>
      <c r="AM617" s="307"/>
      <c r="AN617" s="307"/>
      <c r="AO617" s="307"/>
      <c r="AP617" s="307"/>
      <c r="AQ617" s="307"/>
      <c r="AR617" s="307"/>
    </row>
    <row r="618" spans="1:44" s="457" customFormat="1" ht="12" customHeight="1">
      <c r="A618" s="307"/>
      <c r="P618" s="1799"/>
      <c r="X618" s="307"/>
      <c r="Y618" s="307"/>
      <c r="Z618" s="1753"/>
      <c r="AA618" s="307"/>
      <c r="AB618" s="307"/>
      <c r="AC618" s="307"/>
      <c r="AD618" s="307"/>
      <c r="AE618" s="307"/>
      <c r="AF618" s="307"/>
      <c r="AG618" s="307"/>
      <c r="AH618" s="307"/>
      <c r="AI618" s="307"/>
      <c r="AJ618" s="307"/>
      <c r="AK618" s="307"/>
      <c r="AL618" s="307"/>
      <c r="AM618" s="307"/>
      <c r="AN618" s="307"/>
      <c r="AO618" s="307"/>
      <c r="AP618" s="307"/>
      <c r="AQ618" s="307"/>
      <c r="AR618" s="307"/>
    </row>
    <row r="619" spans="1:44" s="457" customFormat="1" ht="12" customHeight="1">
      <c r="A619" s="307"/>
      <c r="P619" s="380"/>
      <c r="X619" s="307"/>
      <c r="Y619" s="307"/>
      <c r="Z619" s="1753"/>
      <c r="AA619" s="307"/>
      <c r="AB619" s="307"/>
      <c r="AC619" s="307"/>
      <c r="AD619" s="307"/>
      <c r="AE619" s="307"/>
      <c r="AF619" s="307"/>
      <c r="AG619" s="307"/>
      <c r="AH619" s="307"/>
      <c r="AI619" s="307"/>
      <c r="AJ619" s="307"/>
      <c r="AK619" s="307"/>
      <c r="AL619" s="307"/>
      <c r="AM619" s="307"/>
      <c r="AN619" s="307"/>
      <c r="AO619" s="307"/>
      <c r="AP619" s="307"/>
      <c r="AQ619" s="307"/>
      <c r="AR619" s="307"/>
    </row>
    <row r="620" spans="1:44" s="457" customFormat="1" ht="12" customHeight="1">
      <c r="A620" s="307"/>
      <c r="P620" s="380"/>
      <c r="X620" s="307"/>
      <c r="Y620" s="307"/>
      <c r="Z620" s="1753"/>
      <c r="AA620" s="307"/>
      <c r="AB620" s="307"/>
      <c r="AC620" s="307"/>
      <c r="AD620" s="307"/>
      <c r="AE620" s="307"/>
      <c r="AF620" s="307"/>
      <c r="AG620" s="307"/>
      <c r="AH620" s="307"/>
      <c r="AI620" s="307"/>
      <c r="AJ620" s="307"/>
      <c r="AK620" s="307"/>
      <c r="AL620" s="307"/>
      <c r="AM620" s="307"/>
      <c r="AN620" s="307"/>
      <c r="AO620" s="307"/>
      <c r="AP620" s="307"/>
      <c r="AQ620" s="307"/>
      <c r="AR620" s="307"/>
    </row>
    <row r="621" spans="1:44" s="457" customFormat="1" ht="12" customHeight="1">
      <c r="A621" s="307"/>
      <c r="P621" s="380"/>
      <c r="X621" s="307"/>
      <c r="Y621" s="307"/>
      <c r="Z621" s="1753"/>
      <c r="AA621" s="307"/>
      <c r="AB621" s="307"/>
      <c r="AC621" s="307"/>
      <c r="AD621" s="307"/>
      <c r="AE621" s="307"/>
      <c r="AF621" s="307"/>
      <c r="AG621" s="307"/>
      <c r="AH621" s="307"/>
      <c r="AI621" s="307"/>
      <c r="AJ621" s="307"/>
      <c r="AK621" s="307"/>
      <c r="AL621" s="307"/>
      <c r="AM621" s="307"/>
      <c r="AN621" s="307"/>
      <c r="AO621" s="307"/>
      <c r="AP621" s="307"/>
      <c r="AQ621" s="307"/>
      <c r="AR621" s="307"/>
    </row>
    <row r="622" spans="1:44" s="457" customFormat="1" ht="12" customHeight="1">
      <c r="A622" s="307"/>
      <c r="P622" s="380"/>
      <c r="X622" s="307"/>
      <c r="Y622" s="307"/>
      <c r="Z622" s="1753"/>
      <c r="AA622" s="307"/>
      <c r="AB622" s="307"/>
      <c r="AC622" s="307"/>
      <c r="AD622" s="307"/>
      <c r="AE622" s="307"/>
      <c r="AF622" s="307"/>
      <c r="AG622" s="307"/>
      <c r="AH622" s="307"/>
      <c r="AI622" s="307"/>
      <c r="AJ622" s="307"/>
      <c r="AK622" s="307"/>
      <c r="AL622" s="307"/>
      <c r="AM622" s="307"/>
      <c r="AN622" s="307"/>
      <c r="AO622" s="307"/>
      <c r="AP622" s="307"/>
      <c r="AQ622" s="307"/>
      <c r="AR622" s="307"/>
    </row>
    <row r="623" spans="1:44" s="457" customFormat="1" ht="12" customHeight="1">
      <c r="A623" s="307"/>
      <c r="P623" s="380"/>
      <c r="X623" s="307"/>
      <c r="Y623" s="307"/>
      <c r="Z623" s="1753"/>
      <c r="AA623" s="307"/>
      <c r="AB623" s="307"/>
      <c r="AC623" s="307"/>
      <c r="AD623" s="307"/>
      <c r="AE623" s="307"/>
      <c r="AF623" s="307"/>
      <c r="AG623" s="307"/>
      <c r="AH623" s="307"/>
      <c r="AI623" s="307"/>
      <c r="AJ623" s="307"/>
      <c r="AK623" s="307"/>
      <c r="AL623" s="307"/>
      <c r="AM623" s="307"/>
      <c r="AN623" s="307"/>
      <c r="AO623" s="307"/>
      <c r="AP623" s="307"/>
      <c r="AQ623" s="307"/>
      <c r="AR623" s="307"/>
    </row>
    <row r="624" spans="1:44" s="457" customFormat="1" ht="12" customHeight="1">
      <c r="A624" s="307"/>
      <c r="P624" s="380"/>
      <c r="X624" s="307"/>
      <c r="Y624" s="307"/>
      <c r="Z624" s="1753"/>
      <c r="AA624" s="307"/>
      <c r="AB624" s="307"/>
      <c r="AC624" s="307"/>
      <c r="AD624" s="307"/>
      <c r="AE624" s="307"/>
      <c r="AF624" s="307"/>
      <c r="AG624" s="307"/>
      <c r="AH624" s="307"/>
      <c r="AI624" s="307"/>
      <c r="AJ624" s="307"/>
      <c r="AK624" s="307"/>
      <c r="AL624" s="307"/>
      <c r="AM624" s="307"/>
      <c r="AN624" s="307"/>
      <c r="AO624" s="307"/>
      <c r="AP624" s="307"/>
      <c r="AQ624" s="307"/>
      <c r="AR624" s="307"/>
    </row>
    <row r="625" spans="1:44" s="457" customFormat="1" ht="12" customHeight="1">
      <c r="A625" s="307"/>
      <c r="P625" s="380"/>
      <c r="X625" s="307"/>
      <c r="Y625" s="307"/>
      <c r="Z625" s="1753"/>
      <c r="AA625" s="307"/>
      <c r="AB625" s="307"/>
      <c r="AC625" s="307"/>
      <c r="AD625" s="307"/>
      <c r="AE625" s="307"/>
      <c r="AF625" s="307"/>
      <c r="AG625" s="307"/>
      <c r="AH625" s="307"/>
      <c r="AI625" s="307"/>
      <c r="AJ625" s="307"/>
      <c r="AK625" s="307"/>
      <c r="AL625" s="307"/>
      <c r="AM625" s="307"/>
      <c r="AN625" s="307"/>
      <c r="AO625" s="307"/>
      <c r="AP625" s="307"/>
      <c r="AQ625" s="307"/>
      <c r="AR625" s="307"/>
    </row>
    <row r="626" spans="1:44" s="457" customFormat="1" ht="12" customHeight="1">
      <c r="A626" s="307"/>
      <c r="P626" s="380"/>
      <c r="X626" s="307"/>
      <c r="Y626" s="307"/>
      <c r="Z626" s="1753"/>
      <c r="AA626" s="307"/>
      <c r="AB626" s="307"/>
      <c r="AC626" s="307"/>
      <c r="AD626" s="307"/>
      <c r="AE626" s="307"/>
      <c r="AF626" s="307"/>
      <c r="AG626" s="307"/>
      <c r="AH626" s="307"/>
      <c r="AI626" s="307"/>
      <c r="AJ626" s="307"/>
      <c r="AK626" s="307"/>
      <c r="AL626" s="307"/>
      <c r="AM626" s="307"/>
      <c r="AN626" s="307"/>
      <c r="AO626" s="307"/>
      <c r="AP626" s="307"/>
      <c r="AQ626" s="307"/>
      <c r="AR626" s="307"/>
    </row>
    <row r="627" spans="1:44" s="457" customFormat="1" ht="12" customHeight="1">
      <c r="A627" s="307"/>
      <c r="P627" s="380"/>
      <c r="X627" s="307"/>
      <c r="Y627" s="307"/>
      <c r="Z627" s="1753"/>
      <c r="AA627" s="307"/>
      <c r="AB627" s="307"/>
      <c r="AC627" s="307"/>
      <c r="AD627" s="307"/>
      <c r="AE627" s="307"/>
      <c r="AF627" s="307"/>
      <c r="AG627" s="307"/>
      <c r="AH627" s="307"/>
      <c r="AI627" s="307"/>
      <c r="AJ627" s="307"/>
      <c r="AK627" s="307"/>
      <c r="AL627" s="307"/>
      <c r="AM627" s="307"/>
      <c r="AN627" s="307"/>
      <c r="AO627" s="307"/>
      <c r="AP627" s="307"/>
      <c r="AQ627" s="307"/>
      <c r="AR627" s="307"/>
    </row>
    <row r="628" spans="1:44" s="457" customFormat="1" ht="12" customHeight="1">
      <c r="A628" s="307"/>
      <c r="P628" s="380"/>
      <c r="X628" s="307"/>
      <c r="Y628" s="307"/>
      <c r="Z628" s="1753"/>
      <c r="AA628" s="307"/>
      <c r="AB628" s="307"/>
      <c r="AC628" s="307"/>
      <c r="AD628" s="307"/>
      <c r="AE628" s="307"/>
      <c r="AF628" s="307"/>
      <c r="AG628" s="307"/>
      <c r="AH628" s="307"/>
      <c r="AI628" s="307"/>
      <c r="AJ628" s="307"/>
      <c r="AK628" s="307"/>
      <c r="AL628" s="307"/>
      <c r="AM628" s="307"/>
      <c r="AN628" s="307"/>
      <c r="AO628" s="307"/>
      <c r="AP628" s="307"/>
      <c r="AQ628" s="307"/>
      <c r="AR628" s="307"/>
    </row>
    <row r="629" spans="1:44" s="457" customFormat="1" ht="12" customHeight="1">
      <c r="A629" s="307"/>
      <c r="P629" s="380"/>
      <c r="X629" s="307"/>
      <c r="Y629" s="307"/>
      <c r="Z629" s="1753"/>
      <c r="AA629" s="307"/>
      <c r="AB629" s="307"/>
      <c r="AC629" s="307"/>
      <c r="AD629" s="307"/>
      <c r="AE629" s="307"/>
      <c r="AF629" s="307"/>
      <c r="AG629" s="307"/>
      <c r="AH629" s="307"/>
      <c r="AI629" s="307"/>
      <c r="AJ629" s="307"/>
      <c r="AK629" s="307"/>
      <c r="AL629" s="307"/>
      <c r="AM629" s="307"/>
      <c r="AN629" s="307"/>
      <c r="AO629" s="307"/>
      <c r="AP629" s="307"/>
      <c r="AQ629" s="307"/>
      <c r="AR629" s="307"/>
    </row>
    <row r="630" spans="1:44" s="457" customFormat="1" ht="12" customHeight="1">
      <c r="A630" s="307"/>
      <c r="P630" s="380"/>
      <c r="X630" s="307"/>
      <c r="Y630" s="307"/>
      <c r="Z630" s="1753"/>
      <c r="AA630" s="307"/>
      <c r="AB630" s="307"/>
      <c r="AC630" s="307"/>
      <c r="AD630" s="307"/>
      <c r="AE630" s="307"/>
      <c r="AF630" s="307"/>
      <c r="AG630" s="307"/>
      <c r="AH630" s="307"/>
      <c r="AI630" s="307"/>
      <c r="AJ630" s="307"/>
      <c r="AK630" s="307"/>
      <c r="AL630" s="307"/>
      <c r="AM630" s="307"/>
      <c r="AN630" s="307"/>
      <c r="AO630" s="307"/>
      <c r="AP630" s="307"/>
      <c r="AQ630" s="307"/>
      <c r="AR630" s="307"/>
    </row>
    <row r="631" spans="1:44" s="457" customFormat="1" ht="12" customHeight="1">
      <c r="A631" s="307"/>
      <c r="P631" s="2749"/>
      <c r="X631" s="307"/>
      <c r="Y631" s="307"/>
      <c r="Z631" s="1753"/>
      <c r="AA631" s="307"/>
      <c r="AB631" s="307"/>
      <c r="AC631" s="307"/>
      <c r="AD631" s="307"/>
      <c r="AE631" s="307"/>
      <c r="AF631" s="307"/>
      <c r="AG631" s="307"/>
      <c r="AH631" s="307"/>
      <c r="AI631" s="307"/>
      <c r="AJ631" s="307"/>
      <c r="AK631" s="307"/>
      <c r="AL631" s="307"/>
      <c r="AM631" s="307"/>
      <c r="AN631" s="307"/>
      <c r="AO631" s="307"/>
      <c r="AP631" s="307"/>
      <c r="AQ631" s="307"/>
      <c r="AR631" s="307"/>
    </row>
    <row r="632" spans="1:44" s="457" customFormat="1" ht="12" customHeight="1">
      <c r="A632" s="307"/>
      <c r="P632" s="380"/>
      <c r="X632" s="307"/>
      <c r="Y632" s="307"/>
      <c r="Z632" s="1753"/>
      <c r="AA632" s="307"/>
      <c r="AB632" s="307"/>
      <c r="AC632" s="307"/>
      <c r="AD632" s="307"/>
      <c r="AE632" s="307"/>
      <c r="AF632" s="307"/>
      <c r="AG632" s="307"/>
      <c r="AH632" s="307"/>
      <c r="AI632" s="307"/>
      <c r="AJ632" s="307"/>
      <c r="AK632" s="307"/>
      <c r="AL632" s="307"/>
      <c r="AM632" s="307"/>
      <c r="AN632" s="307"/>
      <c r="AO632" s="307"/>
      <c r="AP632" s="307"/>
      <c r="AQ632" s="307"/>
      <c r="AR632" s="307"/>
    </row>
    <row r="633" spans="1:44" s="457" customFormat="1" ht="12" customHeight="1">
      <c r="A633" s="307"/>
      <c r="P633" s="380"/>
      <c r="X633" s="307"/>
      <c r="Y633" s="307"/>
      <c r="Z633" s="1753"/>
      <c r="AA633" s="307"/>
      <c r="AB633" s="307"/>
      <c r="AC633" s="307"/>
      <c r="AD633" s="307"/>
      <c r="AE633" s="307"/>
      <c r="AF633" s="307"/>
      <c r="AG633" s="307"/>
      <c r="AH633" s="307"/>
      <c r="AI633" s="307"/>
      <c r="AJ633" s="307"/>
      <c r="AK633" s="307"/>
      <c r="AL633" s="307"/>
      <c r="AM633" s="307"/>
      <c r="AN633" s="307"/>
      <c r="AO633" s="307"/>
      <c r="AP633" s="307"/>
      <c r="AQ633" s="307"/>
      <c r="AR633" s="307"/>
    </row>
    <row r="634" spans="1:44" s="457" customFormat="1" ht="12" customHeight="1">
      <c r="A634" s="307"/>
      <c r="P634" s="380"/>
      <c r="X634" s="307"/>
      <c r="Y634" s="307"/>
      <c r="Z634" s="1753"/>
      <c r="AA634" s="307"/>
      <c r="AB634" s="307"/>
      <c r="AC634" s="307"/>
      <c r="AD634" s="307"/>
      <c r="AE634" s="307"/>
      <c r="AF634" s="307"/>
      <c r="AG634" s="307"/>
      <c r="AH634" s="307"/>
      <c r="AI634" s="307"/>
      <c r="AJ634" s="307"/>
      <c r="AK634" s="307"/>
      <c r="AL634" s="307"/>
      <c r="AM634" s="307"/>
      <c r="AN634" s="307"/>
      <c r="AO634" s="307"/>
      <c r="AP634" s="307"/>
      <c r="AQ634" s="307"/>
      <c r="AR634" s="307"/>
    </row>
    <row r="635" spans="1:44" s="457" customFormat="1" ht="12" customHeight="1">
      <c r="A635" s="307"/>
      <c r="P635" s="380"/>
      <c r="X635" s="307"/>
      <c r="Y635" s="307"/>
      <c r="Z635" s="1753"/>
      <c r="AA635" s="307"/>
      <c r="AB635" s="307"/>
      <c r="AC635" s="307"/>
      <c r="AD635" s="307"/>
      <c r="AE635" s="307"/>
      <c r="AF635" s="307"/>
      <c r="AG635" s="307"/>
      <c r="AH635" s="307"/>
      <c r="AI635" s="307"/>
      <c r="AJ635" s="307"/>
      <c r="AK635" s="307"/>
      <c r="AL635" s="307"/>
      <c r="AM635" s="307"/>
      <c r="AN635" s="307"/>
      <c r="AO635" s="307"/>
      <c r="AP635" s="307"/>
      <c r="AQ635" s="307"/>
      <c r="AR635" s="307"/>
    </row>
    <row r="636" spans="1:44" s="457" customFormat="1" ht="12" customHeight="1">
      <c r="A636" s="307"/>
      <c r="P636" s="1799"/>
      <c r="X636" s="307"/>
      <c r="Y636" s="307"/>
      <c r="Z636" s="1753"/>
      <c r="AA636" s="307"/>
      <c r="AB636" s="307"/>
      <c r="AC636" s="307"/>
      <c r="AD636" s="307"/>
      <c r="AE636" s="307"/>
      <c r="AF636" s="307"/>
      <c r="AG636" s="307"/>
      <c r="AH636" s="307"/>
      <c r="AI636" s="307"/>
      <c r="AJ636" s="307"/>
      <c r="AK636" s="307"/>
      <c r="AL636" s="307"/>
      <c r="AM636" s="307"/>
      <c r="AN636" s="307"/>
      <c r="AO636" s="307"/>
      <c r="AP636" s="307"/>
      <c r="AQ636" s="307"/>
      <c r="AR636" s="307"/>
    </row>
    <row r="637" spans="1:44" s="457" customFormat="1" ht="12" customHeight="1">
      <c r="A637" s="307"/>
      <c r="P637" s="380"/>
      <c r="X637" s="307"/>
      <c r="Y637" s="307"/>
      <c r="Z637" s="1753"/>
      <c r="AA637" s="307"/>
      <c r="AB637" s="307"/>
      <c r="AC637" s="307"/>
      <c r="AD637" s="307"/>
      <c r="AE637" s="307"/>
      <c r="AF637" s="307"/>
      <c r="AG637" s="307"/>
      <c r="AH637" s="307"/>
      <c r="AI637" s="307"/>
      <c r="AJ637" s="307"/>
      <c r="AK637" s="307"/>
      <c r="AL637" s="307"/>
      <c r="AM637" s="307"/>
      <c r="AN637" s="307"/>
      <c r="AO637" s="307"/>
      <c r="AP637" s="307"/>
      <c r="AQ637" s="307"/>
      <c r="AR637" s="307"/>
    </row>
    <row r="638" spans="1:44" s="457" customFormat="1" ht="12" customHeight="1">
      <c r="A638" s="307"/>
      <c r="P638" s="380"/>
      <c r="X638" s="307"/>
      <c r="Y638" s="307"/>
      <c r="Z638" s="1753"/>
      <c r="AA638" s="307"/>
      <c r="AB638" s="307"/>
      <c r="AC638" s="307"/>
      <c r="AD638" s="307"/>
      <c r="AE638" s="307"/>
      <c r="AF638" s="307"/>
      <c r="AG638" s="307"/>
      <c r="AH638" s="307"/>
      <c r="AI638" s="307"/>
      <c r="AJ638" s="307"/>
      <c r="AK638" s="307"/>
      <c r="AL638" s="307"/>
      <c r="AM638" s="307"/>
      <c r="AN638" s="307"/>
      <c r="AO638" s="307"/>
      <c r="AP638" s="307"/>
      <c r="AQ638" s="307"/>
      <c r="AR638" s="307"/>
    </row>
    <row r="639" spans="1:44" s="457" customFormat="1" ht="12" customHeight="1">
      <c r="A639" s="307"/>
      <c r="P639" s="380"/>
      <c r="X639" s="307"/>
      <c r="Y639" s="307"/>
      <c r="Z639" s="1753"/>
      <c r="AA639" s="307"/>
      <c r="AB639" s="307"/>
      <c r="AC639" s="307"/>
      <c r="AD639" s="307"/>
      <c r="AE639" s="307"/>
      <c r="AF639" s="307"/>
      <c r="AG639" s="307"/>
      <c r="AH639" s="307"/>
      <c r="AI639" s="307"/>
      <c r="AJ639" s="307"/>
      <c r="AK639" s="307"/>
      <c r="AL639" s="307"/>
      <c r="AM639" s="307"/>
      <c r="AN639" s="307"/>
      <c r="AO639" s="307"/>
      <c r="AP639" s="307"/>
      <c r="AQ639" s="307"/>
      <c r="AR639" s="307"/>
    </row>
    <row r="640" spans="1:44" s="457" customFormat="1" ht="12" customHeight="1">
      <c r="A640" s="307"/>
      <c r="P640" s="380"/>
      <c r="X640" s="307"/>
      <c r="Y640" s="307"/>
      <c r="Z640" s="1753"/>
      <c r="AA640" s="307"/>
      <c r="AB640" s="307"/>
      <c r="AC640" s="307"/>
      <c r="AD640" s="307"/>
      <c r="AE640" s="307"/>
      <c r="AF640" s="307"/>
      <c r="AG640" s="307"/>
      <c r="AH640" s="307"/>
      <c r="AI640" s="307"/>
      <c r="AJ640" s="307"/>
      <c r="AK640" s="307"/>
      <c r="AL640" s="307"/>
      <c r="AM640" s="307"/>
      <c r="AN640" s="307"/>
      <c r="AO640" s="307"/>
      <c r="AP640" s="307"/>
      <c r="AQ640" s="307"/>
      <c r="AR640" s="307"/>
    </row>
    <row r="641" spans="1:44" s="457" customFormat="1" ht="12" customHeight="1">
      <c r="A641" s="307"/>
      <c r="P641" s="380"/>
      <c r="X641" s="307"/>
      <c r="Y641" s="307"/>
      <c r="Z641" s="1753"/>
      <c r="AA641" s="307"/>
      <c r="AB641" s="307"/>
      <c r="AC641" s="307"/>
      <c r="AD641" s="307"/>
      <c r="AE641" s="307"/>
      <c r="AF641" s="307"/>
      <c r="AG641" s="307"/>
      <c r="AH641" s="307"/>
      <c r="AI641" s="307"/>
      <c r="AJ641" s="307"/>
      <c r="AK641" s="307"/>
      <c r="AL641" s="307"/>
      <c r="AM641" s="307"/>
      <c r="AN641" s="307"/>
      <c r="AO641" s="307"/>
      <c r="AP641" s="307"/>
      <c r="AQ641" s="307"/>
      <c r="AR641" s="307"/>
    </row>
    <row r="642" spans="1:44" s="457" customFormat="1" ht="12" customHeight="1">
      <c r="A642" s="307"/>
      <c r="P642" s="380"/>
      <c r="X642" s="307"/>
      <c r="Y642" s="307"/>
      <c r="Z642" s="1753"/>
      <c r="AA642" s="307"/>
      <c r="AB642" s="307"/>
      <c r="AC642" s="307"/>
      <c r="AD642" s="307"/>
      <c r="AE642" s="307"/>
      <c r="AF642" s="307"/>
      <c r="AG642" s="307"/>
      <c r="AH642" s="307"/>
      <c r="AI642" s="307"/>
      <c r="AJ642" s="307"/>
      <c r="AK642" s="307"/>
      <c r="AL642" s="307"/>
      <c r="AM642" s="307"/>
      <c r="AN642" s="307"/>
      <c r="AO642" s="307"/>
      <c r="AP642" s="307"/>
      <c r="AQ642" s="307"/>
      <c r="AR642" s="307"/>
    </row>
    <row r="643" spans="1:44" s="457" customFormat="1" ht="12" customHeight="1">
      <c r="A643" s="307"/>
      <c r="P643" s="380"/>
      <c r="X643" s="307"/>
      <c r="Y643" s="307"/>
      <c r="Z643" s="1753"/>
      <c r="AA643" s="307"/>
      <c r="AB643" s="307"/>
      <c r="AC643" s="307"/>
      <c r="AD643" s="307"/>
      <c r="AE643" s="307"/>
      <c r="AF643" s="307"/>
      <c r="AG643" s="307"/>
      <c r="AH643" s="307"/>
      <c r="AI643" s="307"/>
      <c r="AJ643" s="307"/>
      <c r="AK643" s="307"/>
      <c r="AL643" s="307"/>
      <c r="AM643" s="307"/>
      <c r="AN643" s="307"/>
      <c r="AO643" s="307"/>
      <c r="AP643" s="307"/>
      <c r="AQ643" s="307"/>
      <c r="AR643" s="307"/>
    </row>
    <row r="644" spans="1:44" s="457" customFormat="1" ht="12" customHeight="1">
      <c r="A644" s="307"/>
      <c r="P644" s="380"/>
      <c r="X644" s="307"/>
      <c r="Y644" s="307"/>
      <c r="Z644" s="1753"/>
      <c r="AA644" s="307"/>
      <c r="AB644" s="307"/>
      <c r="AC644" s="307"/>
      <c r="AD644" s="307"/>
      <c r="AE644" s="307"/>
      <c r="AF644" s="307"/>
      <c r="AG644" s="307"/>
      <c r="AH644" s="307"/>
      <c r="AI644" s="307"/>
      <c r="AJ644" s="307"/>
      <c r="AK644" s="307"/>
      <c r="AL644" s="307"/>
      <c r="AM644" s="307"/>
      <c r="AN644" s="307"/>
      <c r="AO644" s="307"/>
      <c r="AP644" s="307"/>
      <c r="AQ644" s="307"/>
      <c r="AR644" s="307"/>
    </row>
    <row r="645" spans="1:44" s="457" customFormat="1" ht="12" customHeight="1">
      <c r="A645" s="307"/>
      <c r="P645" s="380"/>
      <c r="R645" s="2748" t="s">
        <v>88</v>
      </c>
      <c r="S645" s="2748" t="s">
        <v>90</v>
      </c>
      <c r="T645" s="2748" t="s">
        <v>89</v>
      </c>
      <c r="X645" s="307"/>
      <c r="Y645" s="307"/>
      <c r="Z645" s="1753"/>
      <c r="AA645" s="307"/>
      <c r="AB645" s="307"/>
      <c r="AC645" s="307"/>
      <c r="AD645" s="307"/>
      <c r="AE645" s="307"/>
      <c r="AF645" s="307"/>
      <c r="AG645" s="307"/>
      <c r="AH645" s="307"/>
      <c r="AI645" s="307"/>
      <c r="AJ645" s="307"/>
      <c r="AK645" s="307"/>
      <c r="AL645" s="307"/>
      <c r="AM645" s="307"/>
      <c r="AN645" s="307"/>
      <c r="AO645" s="307"/>
      <c r="AP645" s="307"/>
      <c r="AQ645" s="307"/>
      <c r="AR645" s="307"/>
    </row>
    <row r="646" spans="1:44" s="457" customFormat="1" ht="12" customHeight="1">
      <c r="A646" s="307"/>
      <c r="P646" s="380"/>
      <c r="R646" s="2748" t="s">
        <v>2441</v>
      </c>
      <c r="S646" s="2748" t="s">
        <v>598</v>
      </c>
      <c r="T646" s="2750" t="s">
        <v>2046</v>
      </c>
      <c r="X646" s="307"/>
      <c r="Y646" s="307"/>
      <c r="Z646" s="1753"/>
      <c r="AA646" s="307"/>
      <c r="AB646" s="307"/>
      <c r="AC646" s="307"/>
      <c r="AD646" s="307"/>
      <c r="AE646" s="307"/>
      <c r="AF646" s="307"/>
      <c r="AG646" s="307"/>
      <c r="AH646" s="307"/>
      <c r="AI646" s="307"/>
      <c r="AJ646" s="307"/>
      <c r="AK646" s="307"/>
      <c r="AL646" s="307"/>
      <c r="AM646" s="307"/>
      <c r="AN646" s="307"/>
      <c r="AO646" s="307"/>
      <c r="AP646" s="307"/>
      <c r="AQ646" s="307"/>
      <c r="AR646" s="307"/>
    </row>
    <row r="647" spans="1:44" s="457" customFormat="1" ht="12" customHeight="1">
      <c r="A647" s="307"/>
      <c r="P647" s="1799"/>
      <c r="R647" s="2748" t="s">
        <v>2442</v>
      </c>
      <c r="S647" s="2748" t="s">
        <v>308</v>
      </c>
      <c r="T647" s="2750" t="s">
        <v>2046</v>
      </c>
      <c r="X647" s="307"/>
      <c r="Y647" s="307"/>
      <c r="Z647" s="1753"/>
      <c r="AA647" s="307"/>
      <c r="AB647" s="307"/>
      <c r="AC647" s="307"/>
      <c r="AD647" s="307"/>
      <c r="AE647" s="307"/>
      <c r="AF647" s="307"/>
      <c r="AG647" s="307"/>
      <c r="AH647" s="307"/>
      <c r="AI647" s="307"/>
      <c r="AJ647" s="307"/>
      <c r="AK647" s="307"/>
      <c r="AL647" s="307"/>
      <c r="AM647" s="307"/>
      <c r="AN647" s="307"/>
      <c r="AO647" s="307"/>
      <c r="AP647" s="307"/>
      <c r="AQ647" s="307"/>
      <c r="AR647" s="307"/>
    </row>
    <row r="648" spans="1:44" s="457" customFormat="1" ht="12" customHeight="1">
      <c r="A648" s="307"/>
      <c r="P648" s="380"/>
      <c r="R648" s="2748" t="s">
        <v>2443</v>
      </c>
      <c r="S648" s="2748" t="s">
        <v>2370</v>
      </c>
      <c r="T648" s="2750" t="s">
        <v>2046</v>
      </c>
      <c r="X648" s="307"/>
      <c r="Y648" s="307"/>
      <c r="Z648" s="1753"/>
      <c r="AA648" s="307"/>
      <c r="AB648" s="307"/>
      <c r="AC648" s="307"/>
      <c r="AD648" s="307"/>
      <c r="AE648" s="307"/>
      <c r="AF648" s="307"/>
      <c r="AG648" s="307"/>
      <c r="AH648" s="307"/>
      <c r="AI648" s="307"/>
      <c r="AJ648" s="307"/>
      <c r="AK648" s="307"/>
      <c r="AL648" s="307"/>
      <c r="AM648" s="307"/>
      <c r="AN648" s="307"/>
      <c r="AO648" s="307"/>
      <c r="AP648" s="307"/>
      <c r="AQ648" s="307"/>
      <c r="AR648" s="307"/>
    </row>
    <row r="649" spans="1:44" s="457" customFormat="1" ht="12" customHeight="1">
      <c r="A649" s="307"/>
      <c r="P649" s="380"/>
      <c r="R649" s="2748" t="s">
        <v>2444</v>
      </c>
      <c r="S649" s="2748"/>
      <c r="T649" s="2750" t="s">
        <v>2046</v>
      </c>
      <c r="X649" s="307"/>
      <c r="Y649" s="307"/>
      <c r="Z649" s="1753"/>
      <c r="AA649" s="307"/>
      <c r="AB649" s="307"/>
      <c r="AC649" s="307"/>
      <c r="AD649" s="307"/>
      <c r="AE649" s="307"/>
      <c r="AF649" s="307"/>
      <c r="AG649" s="307"/>
      <c r="AH649" s="307"/>
      <c r="AI649" s="307"/>
      <c r="AJ649" s="307"/>
      <c r="AK649" s="307"/>
      <c r="AL649" s="307"/>
      <c r="AM649" s="307"/>
      <c r="AN649" s="307"/>
      <c r="AO649" s="307"/>
      <c r="AP649" s="307"/>
      <c r="AQ649" s="307"/>
      <c r="AR649" s="307"/>
    </row>
    <row r="650" spans="1:44" s="457" customFormat="1" ht="12" customHeight="1">
      <c r="A650" s="307"/>
      <c r="P650" s="380"/>
      <c r="R650" s="2748" t="s">
        <v>2445</v>
      </c>
      <c r="S650" s="2748" t="s">
        <v>1916</v>
      </c>
      <c r="T650" s="2750" t="s">
        <v>2046</v>
      </c>
      <c r="X650" s="307"/>
      <c r="Y650" s="307"/>
      <c r="Z650" s="1753"/>
      <c r="AA650" s="307"/>
      <c r="AB650" s="307"/>
      <c r="AC650" s="307"/>
      <c r="AD650" s="307"/>
      <c r="AE650" s="307"/>
      <c r="AF650" s="307"/>
      <c r="AG650" s="307"/>
      <c r="AH650" s="307"/>
      <c r="AI650" s="307"/>
      <c r="AJ650" s="307"/>
      <c r="AK650" s="307"/>
      <c r="AL650" s="307"/>
      <c r="AM650" s="307"/>
      <c r="AN650" s="307"/>
      <c r="AO650" s="307"/>
      <c r="AP650" s="307"/>
      <c r="AQ650" s="307"/>
      <c r="AR650" s="307"/>
    </row>
    <row r="651" spans="1:44" s="457" customFormat="1" ht="12" customHeight="1">
      <c r="A651" s="307"/>
      <c r="P651" s="380"/>
      <c r="R651" s="2748" t="s">
        <v>2446</v>
      </c>
      <c r="S651" s="2748" t="s">
        <v>2370</v>
      </c>
      <c r="T651" s="2750" t="s">
        <v>2046</v>
      </c>
      <c r="X651" s="307"/>
      <c r="Y651" s="307"/>
      <c r="Z651" s="1753"/>
      <c r="AA651" s="307"/>
      <c r="AB651" s="307"/>
      <c r="AC651" s="307"/>
      <c r="AD651" s="307"/>
      <c r="AE651" s="307"/>
      <c r="AF651" s="307"/>
      <c r="AG651" s="307"/>
      <c r="AH651" s="307"/>
      <c r="AI651" s="307"/>
      <c r="AJ651" s="307"/>
      <c r="AK651" s="307"/>
      <c r="AL651" s="307"/>
      <c r="AM651" s="307"/>
      <c r="AN651" s="307"/>
      <c r="AO651" s="307"/>
      <c r="AP651" s="307"/>
      <c r="AQ651" s="307"/>
      <c r="AR651" s="307"/>
    </row>
    <row r="652" spans="1:44" s="457" customFormat="1" ht="12" customHeight="1">
      <c r="A652" s="307"/>
      <c r="P652" s="380"/>
      <c r="R652" s="2748" t="s">
        <v>2447</v>
      </c>
      <c r="S652" s="2748" t="s">
        <v>1278</v>
      </c>
      <c r="T652" s="2750" t="s">
        <v>2046</v>
      </c>
      <c r="X652" s="307"/>
      <c r="Y652" s="307"/>
      <c r="Z652" s="1753"/>
      <c r="AA652" s="307"/>
      <c r="AB652" s="307"/>
      <c r="AC652" s="307"/>
      <c r="AD652" s="307"/>
      <c r="AE652" s="307"/>
      <c r="AF652" s="307"/>
      <c r="AG652" s="307"/>
      <c r="AH652" s="307"/>
      <c r="AI652" s="307"/>
      <c r="AJ652" s="307"/>
      <c r="AK652" s="307"/>
      <c r="AL652" s="307"/>
      <c r="AM652" s="307"/>
      <c r="AN652" s="307"/>
      <c r="AO652" s="307"/>
      <c r="AP652" s="307"/>
      <c r="AQ652" s="307"/>
      <c r="AR652" s="307"/>
    </row>
    <row r="653" spans="1:44" s="457" customFormat="1" ht="12" customHeight="1">
      <c r="A653" s="307"/>
      <c r="P653" s="380"/>
      <c r="R653" s="2748" t="s">
        <v>2448</v>
      </c>
      <c r="S653" s="2748" t="s">
        <v>1918</v>
      </c>
      <c r="T653" s="2750" t="s">
        <v>2046</v>
      </c>
      <c r="X653" s="307"/>
      <c r="Y653" s="307"/>
      <c r="Z653" s="1753"/>
      <c r="AA653" s="307"/>
      <c r="AB653" s="307"/>
      <c r="AC653" s="307"/>
      <c r="AD653" s="307"/>
      <c r="AE653" s="307"/>
      <c r="AF653" s="307"/>
      <c r="AG653" s="307"/>
      <c r="AH653" s="307"/>
      <c r="AI653" s="307"/>
      <c r="AJ653" s="307"/>
      <c r="AK653" s="307"/>
      <c r="AL653" s="307"/>
      <c r="AM653" s="307"/>
      <c r="AN653" s="307"/>
      <c r="AO653" s="307"/>
      <c r="AP653" s="307"/>
      <c r="AQ653" s="307"/>
      <c r="AR653" s="307"/>
    </row>
    <row r="654" spans="1:44" s="457" customFormat="1" ht="12" customHeight="1">
      <c r="A654" s="307"/>
      <c r="P654" s="380"/>
      <c r="R654" s="2748" t="s">
        <v>2449</v>
      </c>
      <c r="S654" s="2748" t="s">
        <v>636</v>
      </c>
      <c r="T654" s="2750" t="s">
        <v>2046</v>
      </c>
      <c r="X654" s="307"/>
      <c r="Y654" s="307"/>
      <c r="Z654" s="1753"/>
      <c r="AA654" s="307"/>
      <c r="AB654" s="307"/>
      <c r="AC654" s="307"/>
      <c r="AD654" s="307"/>
      <c r="AE654" s="307"/>
      <c r="AF654" s="307"/>
      <c r="AG654" s="307"/>
      <c r="AH654" s="307"/>
      <c r="AI654" s="307"/>
      <c r="AJ654" s="307"/>
      <c r="AK654" s="307"/>
      <c r="AL654" s="307"/>
      <c r="AM654" s="307"/>
      <c r="AN654" s="307"/>
      <c r="AO654" s="307"/>
      <c r="AP654" s="307"/>
      <c r="AQ654" s="307"/>
      <c r="AR654" s="307"/>
    </row>
    <row r="655" spans="1:44" s="457" customFormat="1" ht="12" customHeight="1">
      <c r="A655" s="307"/>
      <c r="P655" s="380"/>
      <c r="R655" s="2748" t="s">
        <v>2450</v>
      </c>
      <c r="S655" s="2748" t="s">
        <v>598</v>
      </c>
      <c r="T655" s="2750" t="s">
        <v>2046</v>
      </c>
      <c r="X655" s="307"/>
      <c r="Y655" s="307"/>
      <c r="Z655" s="1753"/>
      <c r="AA655" s="307"/>
      <c r="AB655" s="307"/>
      <c r="AC655" s="307"/>
      <c r="AD655" s="307"/>
      <c r="AE655" s="307"/>
      <c r="AF655" s="307"/>
      <c r="AG655" s="307"/>
      <c r="AH655" s="307"/>
      <c r="AI655" s="307"/>
      <c r="AJ655" s="307"/>
      <c r="AK655" s="307"/>
      <c r="AL655" s="307"/>
      <c r="AM655" s="307"/>
      <c r="AN655" s="307"/>
      <c r="AO655" s="307"/>
      <c r="AP655" s="307"/>
      <c r="AQ655" s="307"/>
      <c r="AR655" s="307"/>
    </row>
    <row r="656" spans="1:44" s="457" customFormat="1" ht="12" customHeight="1">
      <c r="A656" s="307"/>
      <c r="P656" s="380"/>
      <c r="R656" s="2748" t="s">
        <v>2451</v>
      </c>
      <c r="S656" s="2748" t="s">
        <v>2076</v>
      </c>
      <c r="T656" s="2750" t="s">
        <v>2046</v>
      </c>
      <c r="X656" s="307"/>
      <c r="Y656" s="307"/>
      <c r="Z656" s="1753"/>
      <c r="AA656" s="307"/>
      <c r="AB656" s="307"/>
      <c r="AC656" s="307"/>
      <c r="AD656" s="307"/>
      <c r="AE656" s="307"/>
      <c r="AF656" s="307"/>
      <c r="AG656" s="307"/>
      <c r="AH656" s="307"/>
      <c r="AI656" s="307"/>
      <c r="AJ656" s="307"/>
      <c r="AK656" s="307"/>
      <c r="AL656" s="307"/>
      <c r="AM656" s="307"/>
      <c r="AN656" s="307"/>
      <c r="AO656" s="307"/>
      <c r="AP656" s="307"/>
      <c r="AQ656" s="307"/>
      <c r="AR656" s="307"/>
    </row>
    <row r="657" spans="1:44" s="457" customFormat="1" ht="12" customHeight="1">
      <c r="A657" s="307"/>
      <c r="P657" s="380"/>
      <c r="R657" s="2748" t="s">
        <v>2452</v>
      </c>
      <c r="S657" s="2748" t="s">
        <v>2412</v>
      </c>
      <c r="T657" s="2750" t="s">
        <v>2046</v>
      </c>
      <c r="X657" s="307"/>
      <c r="Y657" s="307"/>
      <c r="Z657" s="1753"/>
      <c r="AA657" s="307"/>
      <c r="AB657" s="307"/>
      <c r="AC657" s="307"/>
      <c r="AD657" s="307"/>
      <c r="AE657" s="307"/>
      <c r="AF657" s="307"/>
      <c r="AG657" s="307"/>
      <c r="AH657" s="307"/>
      <c r="AI657" s="307"/>
      <c r="AJ657" s="307"/>
      <c r="AK657" s="307"/>
      <c r="AL657" s="307"/>
      <c r="AM657" s="307"/>
      <c r="AN657" s="307"/>
      <c r="AO657" s="307"/>
      <c r="AP657" s="307"/>
      <c r="AQ657" s="307"/>
      <c r="AR657" s="307"/>
    </row>
    <row r="658" spans="1:44" s="457" customFormat="1" ht="12" customHeight="1">
      <c r="A658" s="307"/>
      <c r="P658" s="380"/>
      <c r="R658" s="2748" t="s">
        <v>2141</v>
      </c>
      <c r="S658" s="2748" t="s">
        <v>2409</v>
      </c>
      <c r="T658" s="2750" t="s">
        <v>2046</v>
      </c>
      <c r="X658" s="307"/>
      <c r="Y658" s="307"/>
      <c r="Z658" s="1753"/>
      <c r="AA658" s="307"/>
      <c r="AB658" s="307"/>
      <c r="AC658" s="307"/>
      <c r="AD658" s="307"/>
      <c r="AE658" s="307"/>
      <c r="AF658" s="307"/>
      <c r="AG658" s="307"/>
      <c r="AH658" s="307"/>
      <c r="AI658" s="307"/>
      <c r="AJ658" s="307"/>
      <c r="AK658" s="307"/>
      <c r="AL658" s="307"/>
      <c r="AM658" s="307"/>
      <c r="AN658" s="307"/>
      <c r="AO658" s="307"/>
      <c r="AP658" s="307"/>
      <c r="AQ658" s="307"/>
      <c r="AR658" s="307"/>
    </row>
    <row r="659" spans="1:44" s="457" customFormat="1" ht="12" customHeight="1">
      <c r="A659" s="307"/>
      <c r="P659" s="380"/>
      <c r="R659" s="2748" t="s">
        <v>2453</v>
      </c>
      <c r="S659" s="2748" t="s">
        <v>2076</v>
      </c>
      <c r="T659" s="2750" t="s">
        <v>2046</v>
      </c>
      <c r="X659" s="307"/>
      <c r="Y659" s="307"/>
      <c r="Z659" s="1753"/>
      <c r="AA659" s="307"/>
      <c r="AB659" s="307"/>
      <c r="AC659" s="307"/>
      <c r="AD659" s="307"/>
      <c r="AE659" s="307"/>
      <c r="AF659" s="307"/>
      <c r="AG659" s="307"/>
      <c r="AH659" s="307"/>
      <c r="AI659" s="307"/>
      <c r="AJ659" s="307"/>
      <c r="AK659" s="307"/>
      <c r="AL659" s="307"/>
      <c r="AM659" s="307"/>
      <c r="AN659" s="307"/>
      <c r="AO659" s="307"/>
      <c r="AP659" s="307"/>
      <c r="AQ659" s="307"/>
      <c r="AR659" s="307"/>
    </row>
    <row r="660" spans="1:44" s="457" customFormat="1" ht="12" customHeight="1">
      <c r="A660" s="307"/>
      <c r="P660" s="380"/>
      <c r="R660" s="2748" t="s">
        <v>2454</v>
      </c>
      <c r="S660" s="2748" t="s">
        <v>2373</v>
      </c>
      <c r="T660" s="2750" t="s">
        <v>2046</v>
      </c>
      <c r="X660" s="307"/>
      <c r="Y660" s="307"/>
      <c r="Z660" s="1753"/>
      <c r="AA660" s="307"/>
      <c r="AB660" s="307"/>
      <c r="AC660" s="307"/>
      <c r="AD660" s="307"/>
      <c r="AE660" s="307"/>
      <c r="AF660" s="307"/>
      <c r="AG660" s="307"/>
      <c r="AH660" s="307"/>
      <c r="AI660" s="307"/>
      <c r="AJ660" s="307"/>
      <c r="AK660" s="307"/>
      <c r="AL660" s="307"/>
      <c r="AM660" s="307"/>
      <c r="AN660" s="307"/>
      <c r="AO660" s="307"/>
      <c r="AP660" s="307"/>
      <c r="AQ660" s="307"/>
      <c r="AR660" s="307"/>
    </row>
    <row r="661" spans="1:44" s="457" customFormat="1" ht="12" customHeight="1">
      <c r="A661" s="307"/>
      <c r="P661" s="2749"/>
      <c r="R661" s="2748" t="s">
        <v>2455</v>
      </c>
      <c r="S661" s="2748" t="s">
        <v>1916</v>
      </c>
      <c r="T661" s="2750" t="s">
        <v>2046</v>
      </c>
      <c r="X661" s="307"/>
      <c r="Y661" s="307"/>
      <c r="Z661" s="1753"/>
      <c r="AA661" s="307"/>
      <c r="AB661" s="307"/>
      <c r="AC661" s="307"/>
      <c r="AD661" s="307"/>
      <c r="AE661" s="307"/>
      <c r="AF661" s="307"/>
      <c r="AG661" s="307"/>
      <c r="AH661" s="307"/>
      <c r="AI661" s="307"/>
      <c r="AJ661" s="307"/>
      <c r="AK661" s="307"/>
      <c r="AL661" s="307"/>
      <c r="AM661" s="307"/>
      <c r="AN661" s="307"/>
      <c r="AO661" s="307"/>
      <c r="AP661" s="307"/>
      <c r="AQ661" s="307"/>
      <c r="AR661" s="307"/>
    </row>
    <row r="662" spans="1:44" s="457" customFormat="1" ht="12" customHeight="1">
      <c r="A662" s="307"/>
      <c r="P662" s="380"/>
      <c r="R662" s="2748" t="s">
        <v>1005</v>
      </c>
      <c r="S662" s="2748" t="s">
        <v>1400</v>
      </c>
      <c r="T662" s="2750" t="s">
        <v>2046</v>
      </c>
      <c r="X662" s="307"/>
      <c r="Y662" s="307"/>
      <c r="Z662" s="1753"/>
      <c r="AA662" s="307"/>
      <c r="AB662" s="307"/>
      <c r="AC662" s="307"/>
      <c r="AD662" s="307"/>
      <c r="AE662" s="307"/>
      <c r="AF662" s="307"/>
      <c r="AG662" s="307"/>
      <c r="AH662" s="307"/>
      <c r="AI662" s="307"/>
      <c r="AJ662" s="307"/>
      <c r="AK662" s="307"/>
      <c r="AL662" s="307"/>
      <c r="AM662" s="307"/>
      <c r="AN662" s="307"/>
      <c r="AO662" s="307"/>
      <c r="AP662" s="307"/>
      <c r="AQ662" s="307"/>
      <c r="AR662" s="307"/>
    </row>
    <row r="663" spans="1:44" s="457" customFormat="1" ht="12" customHeight="1">
      <c r="A663" s="307"/>
      <c r="P663" s="1799"/>
      <c r="R663" s="2748" t="s">
        <v>870</v>
      </c>
      <c r="S663" s="2748" t="s">
        <v>1063</v>
      </c>
      <c r="T663" s="2750" t="s">
        <v>2046</v>
      </c>
      <c r="X663" s="307"/>
      <c r="Y663" s="307"/>
      <c r="Z663" s="1753"/>
      <c r="AA663" s="307"/>
      <c r="AB663" s="307"/>
      <c r="AC663" s="307"/>
      <c r="AD663" s="307"/>
      <c r="AE663" s="307"/>
      <c r="AF663" s="307"/>
      <c r="AG663" s="307"/>
      <c r="AH663" s="307"/>
      <c r="AI663" s="307"/>
      <c r="AJ663" s="307"/>
      <c r="AK663" s="307"/>
      <c r="AL663" s="307"/>
      <c r="AM663" s="307"/>
      <c r="AN663" s="307"/>
      <c r="AO663" s="307"/>
      <c r="AP663" s="307"/>
      <c r="AQ663" s="307"/>
      <c r="AR663" s="307"/>
    </row>
    <row r="664" spans="1:44" s="457" customFormat="1" ht="12" customHeight="1">
      <c r="A664" s="307"/>
      <c r="P664" s="380"/>
      <c r="R664" s="2748" t="s">
        <v>1006</v>
      </c>
      <c r="S664" s="2748" t="s">
        <v>598</v>
      </c>
      <c r="T664" s="2750" t="s">
        <v>2046</v>
      </c>
      <c r="X664" s="307"/>
      <c r="Y664" s="307"/>
      <c r="Z664" s="1753"/>
      <c r="AA664" s="307"/>
      <c r="AB664" s="307"/>
      <c r="AC664" s="307"/>
      <c r="AD664" s="307"/>
      <c r="AE664" s="307"/>
      <c r="AF664" s="307"/>
      <c r="AG664" s="307"/>
      <c r="AH664" s="307"/>
      <c r="AI664" s="307"/>
      <c r="AJ664" s="307"/>
      <c r="AK664" s="307"/>
      <c r="AL664" s="307"/>
      <c r="AM664" s="307"/>
      <c r="AN664" s="307"/>
      <c r="AO664" s="307"/>
      <c r="AP664" s="307"/>
      <c r="AQ664" s="307"/>
      <c r="AR664" s="307"/>
    </row>
    <row r="665" spans="1:44" s="457" customFormat="1" ht="12" customHeight="1">
      <c r="A665" s="307"/>
      <c r="P665" s="380"/>
      <c r="R665" s="2748" t="s">
        <v>1007</v>
      </c>
      <c r="S665" s="2748" t="s">
        <v>1821</v>
      </c>
      <c r="T665" s="2750" t="s">
        <v>2046</v>
      </c>
      <c r="X665" s="307"/>
      <c r="Y665" s="307"/>
      <c r="Z665" s="1753"/>
      <c r="AA665" s="307"/>
      <c r="AB665" s="307"/>
      <c r="AC665" s="307"/>
      <c r="AD665" s="307"/>
      <c r="AE665" s="307"/>
      <c r="AF665" s="307"/>
      <c r="AG665" s="307"/>
      <c r="AH665" s="307"/>
      <c r="AI665" s="307"/>
      <c r="AJ665" s="307"/>
      <c r="AK665" s="307"/>
      <c r="AL665" s="307"/>
      <c r="AM665" s="307"/>
      <c r="AN665" s="307"/>
      <c r="AO665" s="307"/>
      <c r="AP665" s="307"/>
      <c r="AQ665" s="307"/>
      <c r="AR665" s="307"/>
    </row>
    <row r="666" spans="1:44" s="457" customFormat="1" ht="12" customHeight="1">
      <c r="A666" s="307"/>
      <c r="P666" s="1799"/>
      <c r="R666" s="2748" t="s">
        <v>1008</v>
      </c>
      <c r="S666" s="2748" t="s">
        <v>1914</v>
      </c>
      <c r="T666" s="2750" t="s">
        <v>2046</v>
      </c>
      <c r="X666" s="307"/>
      <c r="Y666" s="307"/>
      <c r="Z666" s="1753"/>
      <c r="AA666" s="307"/>
      <c r="AB666" s="307"/>
      <c r="AC666" s="307"/>
      <c r="AD666" s="307"/>
      <c r="AE666" s="307"/>
      <c r="AF666" s="307"/>
      <c r="AG666" s="307"/>
      <c r="AH666" s="307"/>
      <c r="AI666" s="307"/>
      <c r="AJ666" s="307"/>
      <c r="AK666" s="307"/>
      <c r="AL666" s="307"/>
      <c r="AM666" s="307"/>
      <c r="AN666" s="307"/>
      <c r="AO666" s="307"/>
      <c r="AP666" s="307"/>
      <c r="AQ666" s="307"/>
      <c r="AR666" s="307"/>
    </row>
    <row r="667" spans="1:44" s="457" customFormat="1" ht="12" customHeight="1">
      <c r="A667" s="307"/>
      <c r="P667" s="380"/>
      <c r="R667" s="2748" t="s">
        <v>1009</v>
      </c>
      <c r="S667" s="2748" t="s">
        <v>1056</v>
      </c>
      <c r="T667" s="2750" t="s">
        <v>2046</v>
      </c>
      <c r="X667" s="307"/>
      <c r="Y667" s="307"/>
      <c r="Z667" s="1753"/>
      <c r="AA667" s="307"/>
      <c r="AB667" s="307"/>
      <c r="AC667" s="307"/>
      <c r="AD667" s="307"/>
      <c r="AE667" s="307"/>
      <c r="AF667" s="307"/>
      <c r="AG667" s="307"/>
      <c r="AH667" s="307"/>
      <c r="AI667" s="307"/>
      <c r="AJ667" s="307"/>
      <c r="AK667" s="307"/>
      <c r="AL667" s="307"/>
      <c r="AM667" s="307"/>
      <c r="AN667" s="307"/>
      <c r="AO667" s="307"/>
      <c r="AP667" s="307"/>
      <c r="AQ667" s="307"/>
      <c r="AR667" s="307"/>
    </row>
    <row r="668" spans="1:44" s="457" customFormat="1" ht="12" customHeight="1">
      <c r="A668" s="307"/>
      <c r="P668" s="380"/>
      <c r="Q668" s="2751"/>
      <c r="R668" s="2748" t="s">
        <v>1010</v>
      </c>
      <c r="S668" s="2748" t="s">
        <v>1459</v>
      </c>
      <c r="T668" s="2750" t="s">
        <v>2046</v>
      </c>
      <c r="X668" s="307"/>
      <c r="Y668" s="307"/>
      <c r="Z668" s="1753"/>
      <c r="AA668" s="307"/>
      <c r="AB668" s="307"/>
      <c r="AC668" s="307"/>
      <c r="AD668" s="307"/>
      <c r="AE668" s="307"/>
      <c r="AF668" s="307"/>
      <c r="AG668" s="307"/>
      <c r="AH668" s="307"/>
      <c r="AI668" s="307"/>
      <c r="AJ668" s="307"/>
      <c r="AK668" s="307"/>
      <c r="AL668" s="307"/>
      <c r="AM668" s="307"/>
      <c r="AN668" s="307"/>
      <c r="AO668" s="307"/>
      <c r="AP668" s="307"/>
      <c r="AQ668" s="307"/>
      <c r="AR668" s="307"/>
    </row>
    <row r="669" spans="1:44" s="457" customFormat="1" ht="12" customHeight="1">
      <c r="A669" s="307"/>
      <c r="P669" s="380"/>
      <c r="R669" s="2748" t="s">
        <v>1011</v>
      </c>
      <c r="S669" s="2748" t="s">
        <v>2370</v>
      </c>
      <c r="T669" s="2750" t="s">
        <v>2046</v>
      </c>
      <c r="X669" s="307"/>
      <c r="Y669" s="307"/>
      <c r="Z669" s="1753"/>
      <c r="AA669" s="307"/>
      <c r="AB669" s="307"/>
      <c r="AC669" s="307"/>
      <c r="AD669" s="307"/>
      <c r="AE669" s="307"/>
      <c r="AF669" s="307"/>
      <c r="AG669" s="307"/>
      <c r="AH669" s="307"/>
      <c r="AI669" s="307"/>
      <c r="AJ669" s="307"/>
      <c r="AK669" s="307"/>
      <c r="AL669" s="307"/>
      <c r="AM669" s="307"/>
      <c r="AN669" s="307"/>
      <c r="AO669" s="307"/>
      <c r="AP669" s="307"/>
      <c r="AQ669" s="307"/>
      <c r="AR669" s="307"/>
    </row>
    <row r="670" spans="1:44" s="457" customFormat="1" ht="12" customHeight="1">
      <c r="A670" s="307"/>
      <c r="P670" s="1799"/>
      <c r="R670" s="2748" t="s">
        <v>1012</v>
      </c>
      <c r="S670" s="2748" t="s">
        <v>151</v>
      </c>
      <c r="T670" s="2750" t="s">
        <v>2046</v>
      </c>
      <c r="X670" s="307"/>
      <c r="Y670" s="307"/>
      <c r="Z670" s="1753"/>
      <c r="AA670" s="307"/>
      <c r="AB670" s="307"/>
      <c r="AC670" s="307"/>
      <c r="AD670" s="307"/>
      <c r="AE670" s="307"/>
      <c r="AF670" s="307"/>
      <c r="AG670" s="307"/>
      <c r="AH670" s="307"/>
      <c r="AI670" s="307"/>
      <c r="AJ670" s="307"/>
      <c r="AK670" s="307"/>
      <c r="AL670" s="307"/>
      <c r="AM670" s="307"/>
      <c r="AN670" s="307"/>
      <c r="AO670" s="307"/>
      <c r="AP670" s="307"/>
      <c r="AQ670" s="307"/>
      <c r="AR670" s="307"/>
    </row>
    <row r="671" spans="1:44" s="457" customFormat="1" ht="12" customHeight="1">
      <c r="A671" s="307"/>
      <c r="P671" s="1799"/>
      <c r="R671" s="2748" t="s">
        <v>1013</v>
      </c>
      <c r="S671" s="2748" t="s">
        <v>1285</v>
      </c>
      <c r="T671" s="2750" t="s">
        <v>2046</v>
      </c>
      <c r="X671" s="307"/>
      <c r="Y671" s="307"/>
      <c r="Z671" s="1753"/>
      <c r="AA671" s="307"/>
      <c r="AB671" s="307"/>
      <c r="AC671" s="307"/>
      <c r="AD671" s="307"/>
      <c r="AE671" s="307"/>
      <c r="AF671" s="307"/>
      <c r="AG671" s="307"/>
      <c r="AH671" s="307"/>
      <c r="AI671" s="307"/>
      <c r="AJ671" s="307"/>
      <c r="AK671" s="307"/>
      <c r="AL671" s="307"/>
      <c r="AM671" s="307"/>
      <c r="AN671" s="307"/>
      <c r="AO671" s="307"/>
      <c r="AP671" s="307"/>
      <c r="AQ671" s="307"/>
      <c r="AR671" s="307"/>
    </row>
    <row r="672" spans="1:44" s="457" customFormat="1" ht="12" customHeight="1">
      <c r="A672" s="307"/>
      <c r="P672" s="380"/>
      <c r="R672" s="2748" t="s">
        <v>1014</v>
      </c>
      <c r="S672" s="2748" t="s">
        <v>1459</v>
      </c>
      <c r="T672" s="2750" t="s">
        <v>2046</v>
      </c>
      <c r="X672" s="307"/>
      <c r="Y672" s="307"/>
      <c r="Z672" s="1753"/>
      <c r="AA672" s="307"/>
      <c r="AB672" s="307"/>
      <c r="AC672" s="307"/>
      <c r="AD672" s="307"/>
      <c r="AE672" s="307"/>
      <c r="AF672" s="307"/>
      <c r="AG672" s="307"/>
      <c r="AH672" s="307"/>
      <c r="AI672" s="307"/>
      <c r="AJ672" s="307"/>
      <c r="AK672" s="307"/>
      <c r="AL672" s="307"/>
      <c r="AM672" s="307"/>
      <c r="AN672" s="307"/>
      <c r="AO672" s="307"/>
      <c r="AP672" s="307"/>
      <c r="AQ672" s="307"/>
      <c r="AR672" s="307"/>
    </row>
    <row r="673" spans="1:44" s="457" customFormat="1" ht="12" customHeight="1">
      <c r="A673" s="307"/>
      <c r="P673" s="380"/>
      <c r="R673" s="2748" t="s">
        <v>1015</v>
      </c>
      <c r="S673" s="2748" t="s">
        <v>1070</v>
      </c>
      <c r="T673" s="2750" t="s">
        <v>2046</v>
      </c>
      <c r="X673" s="307"/>
      <c r="Y673" s="307"/>
      <c r="Z673" s="1753"/>
      <c r="AA673" s="307"/>
      <c r="AB673" s="307"/>
      <c r="AC673" s="307"/>
      <c r="AD673" s="307"/>
      <c r="AE673" s="307"/>
      <c r="AF673" s="307"/>
      <c r="AG673" s="307"/>
      <c r="AH673" s="307"/>
      <c r="AI673" s="307"/>
      <c r="AJ673" s="307"/>
      <c r="AK673" s="307"/>
      <c r="AL673" s="307"/>
      <c r="AM673" s="307"/>
      <c r="AN673" s="307"/>
      <c r="AO673" s="307"/>
      <c r="AP673" s="307"/>
      <c r="AQ673" s="307"/>
      <c r="AR673" s="307"/>
    </row>
    <row r="674" spans="1:44" s="457" customFormat="1" ht="12" customHeight="1">
      <c r="A674" s="307"/>
      <c r="P674" s="380"/>
      <c r="R674" s="2748" t="s">
        <v>1016</v>
      </c>
      <c r="S674" s="2748" t="s">
        <v>1914</v>
      </c>
      <c r="T674" s="2750" t="s">
        <v>2046</v>
      </c>
      <c r="X674" s="307"/>
      <c r="Y674" s="307"/>
      <c r="Z674" s="1753"/>
      <c r="AA674" s="307"/>
      <c r="AB674" s="307"/>
      <c r="AC674" s="307"/>
      <c r="AD674" s="307"/>
      <c r="AE674" s="307"/>
      <c r="AF674" s="307"/>
      <c r="AG674" s="307"/>
      <c r="AH674" s="307"/>
      <c r="AI674" s="307"/>
      <c r="AJ674" s="307"/>
      <c r="AK674" s="307"/>
      <c r="AL674" s="307"/>
      <c r="AM674" s="307"/>
      <c r="AN674" s="307"/>
      <c r="AO674" s="307"/>
      <c r="AP674" s="307"/>
      <c r="AQ674" s="307"/>
      <c r="AR674" s="307"/>
    </row>
    <row r="675" spans="1:44" s="457" customFormat="1" ht="12" customHeight="1">
      <c r="A675" s="307"/>
      <c r="P675" s="380"/>
      <c r="R675" s="458" t="s">
        <v>795</v>
      </c>
      <c r="S675" s="458" t="s">
        <v>839</v>
      </c>
      <c r="T675" s="2750" t="s">
        <v>2046</v>
      </c>
      <c r="X675" s="307"/>
      <c r="Y675" s="307"/>
      <c r="Z675" s="1753"/>
      <c r="AA675" s="307"/>
      <c r="AB675" s="307"/>
      <c r="AC675" s="307"/>
      <c r="AD675" s="307"/>
      <c r="AE675" s="307"/>
      <c r="AF675" s="307"/>
      <c r="AG675" s="307"/>
      <c r="AH675" s="307"/>
      <c r="AI675" s="307"/>
      <c r="AJ675" s="307"/>
      <c r="AK675" s="307"/>
      <c r="AL675" s="307"/>
      <c r="AM675" s="307"/>
      <c r="AN675" s="307"/>
      <c r="AO675" s="307"/>
      <c r="AP675" s="307"/>
      <c r="AQ675" s="307"/>
      <c r="AR675" s="307"/>
    </row>
    <row r="676" spans="1:44" s="457" customFormat="1" ht="12" customHeight="1">
      <c r="A676" s="307"/>
      <c r="P676" s="380"/>
      <c r="R676" s="2748" t="s">
        <v>1017</v>
      </c>
      <c r="S676" s="2748" t="s">
        <v>2373</v>
      </c>
      <c r="T676" s="2750" t="s">
        <v>2046</v>
      </c>
      <c r="X676" s="307"/>
      <c r="Y676" s="307"/>
      <c r="Z676" s="1753"/>
      <c r="AA676" s="307"/>
      <c r="AB676" s="307"/>
      <c r="AC676" s="307"/>
      <c r="AD676" s="307"/>
      <c r="AE676" s="307"/>
      <c r="AF676" s="307"/>
      <c r="AG676" s="307"/>
      <c r="AH676" s="307"/>
      <c r="AI676" s="307"/>
      <c r="AJ676" s="307"/>
      <c r="AK676" s="307"/>
      <c r="AL676" s="307"/>
      <c r="AM676" s="307"/>
      <c r="AN676" s="307"/>
      <c r="AO676" s="307"/>
      <c r="AP676" s="307"/>
      <c r="AQ676" s="307"/>
      <c r="AR676" s="307"/>
    </row>
    <row r="677" spans="1:44" s="457" customFormat="1" ht="12" customHeight="1">
      <c r="A677" s="307"/>
      <c r="P677" s="380"/>
      <c r="R677" s="2748" t="s">
        <v>1541</v>
      </c>
      <c r="S677" s="2748" t="s">
        <v>2409</v>
      </c>
      <c r="T677" s="2750" t="s">
        <v>2046</v>
      </c>
      <c r="X677" s="307"/>
      <c r="Y677" s="307"/>
      <c r="Z677" s="1753"/>
      <c r="AA677" s="307"/>
      <c r="AB677" s="307"/>
      <c r="AC677" s="307"/>
      <c r="AD677" s="307"/>
      <c r="AE677" s="307"/>
      <c r="AF677" s="307"/>
      <c r="AG677" s="307"/>
      <c r="AH677" s="307"/>
      <c r="AI677" s="307"/>
      <c r="AJ677" s="307"/>
      <c r="AK677" s="307"/>
      <c r="AL677" s="307"/>
      <c r="AM677" s="307"/>
      <c r="AN677" s="307"/>
      <c r="AO677" s="307"/>
      <c r="AP677" s="307"/>
      <c r="AQ677" s="307"/>
      <c r="AR677" s="307"/>
    </row>
    <row r="678" spans="1:44" s="457" customFormat="1" ht="12" customHeight="1">
      <c r="A678" s="307"/>
      <c r="P678" s="380"/>
      <c r="R678" s="2748" t="s">
        <v>1018</v>
      </c>
      <c r="S678" s="2748"/>
      <c r="T678" s="2750" t="s">
        <v>2046</v>
      </c>
      <c r="X678" s="307"/>
      <c r="Y678" s="307"/>
      <c r="Z678" s="1753"/>
      <c r="AA678" s="307"/>
      <c r="AB678" s="307"/>
      <c r="AC678" s="307"/>
      <c r="AD678" s="307"/>
      <c r="AE678" s="307"/>
      <c r="AF678" s="307"/>
      <c r="AG678" s="307"/>
      <c r="AH678" s="307"/>
      <c r="AI678" s="307"/>
      <c r="AJ678" s="307"/>
      <c r="AK678" s="307"/>
      <c r="AL678" s="307"/>
      <c r="AM678" s="307"/>
      <c r="AN678" s="307"/>
      <c r="AO678" s="307"/>
      <c r="AP678" s="307"/>
      <c r="AQ678" s="307"/>
      <c r="AR678" s="307"/>
    </row>
    <row r="679" spans="1:44" s="457" customFormat="1" ht="12" customHeight="1">
      <c r="A679" s="307"/>
      <c r="P679" s="380"/>
      <c r="R679" s="2748" t="s">
        <v>176</v>
      </c>
      <c r="S679" s="2748" t="s">
        <v>151</v>
      </c>
      <c r="T679" s="2750" t="s">
        <v>2046</v>
      </c>
      <c r="X679" s="307"/>
      <c r="Y679" s="307"/>
      <c r="Z679" s="1753"/>
      <c r="AA679" s="307"/>
      <c r="AB679" s="307"/>
      <c r="AC679" s="307"/>
      <c r="AD679" s="307"/>
      <c r="AE679" s="307"/>
      <c r="AF679" s="307"/>
      <c r="AG679" s="307"/>
      <c r="AH679" s="307"/>
      <c r="AI679" s="307"/>
      <c r="AJ679" s="307"/>
      <c r="AK679" s="307"/>
      <c r="AL679" s="307"/>
      <c r="AM679" s="307"/>
      <c r="AN679" s="307"/>
      <c r="AO679" s="307"/>
      <c r="AP679" s="307"/>
      <c r="AQ679" s="307"/>
      <c r="AR679" s="307"/>
    </row>
    <row r="680" spans="1:44" s="457" customFormat="1" ht="12" customHeight="1">
      <c r="A680" s="307"/>
      <c r="P680" s="380"/>
      <c r="R680" s="2748" t="s">
        <v>1019</v>
      </c>
      <c r="S680" s="2748" t="s">
        <v>167</v>
      </c>
      <c r="T680" s="2750" t="s">
        <v>2046</v>
      </c>
      <c r="X680" s="307"/>
      <c r="Y680" s="307"/>
      <c r="Z680" s="1753"/>
      <c r="AA680" s="307"/>
      <c r="AB680" s="307"/>
      <c r="AC680" s="307"/>
      <c r="AD680" s="307"/>
      <c r="AE680" s="307"/>
      <c r="AF680" s="307"/>
      <c r="AG680" s="307"/>
      <c r="AH680" s="307"/>
      <c r="AI680" s="307"/>
      <c r="AJ680" s="307"/>
      <c r="AK680" s="307"/>
      <c r="AL680" s="307"/>
      <c r="AM680" s="307"/>
      <c r="AN680" s="307"/>
      <c r="AO680" s="307"/>
      <c r="AP680" s="307"/>
      <c r="AQ680" s="307"/>
      <c r="AR680" s="307"/>
    </row>
    <row r="681" spans="1:44" s="457" customFormat="1" ht="12" customHeight="1">
      <c r="A681" s="307"/>
      <c r="P681" s="380"/>
      <c r="R681" s="2748" t="s">
        <v>2181</v>
      </c>
      <c r="S681" s="2748" t="s">
        <v>1160</v>
      </c>
      <c r="T681" s="2750" t="s">
        <v>2046</v>
      </c>
      <c r="X681" s="307"/>
      <c r="Y681" s="307"/>
      <c r="Z681" s="1753"/>
      <c r="AA681" s="307"/>
      <c r="AB681" s="307"/>
      <c r="AC681" s="307"/>
      <c r="AD681" s="307"/>
      <c r="AE681" s="307"/>
      <c r="AF681" s="307"/>
      <c r="AG681" s="307"/>
      <c r="AH681" s="307"/>
      <c r="AI681" s="307"/>
      <c r="AJ681" s="307"/>
      <c r="AK681" s="307"/>
      <c r="AL681" s="307"/>
      <c r="AM681" s="307"/>
      <c r="AN681" s="307"/>
      <c r="AO681" s="307"/>
      <c r="AP681" s="307"/>
      <c r="AQ681" s="307"/>
      <c r="AR681" s="307"/>
    </row>
    <row r="682" spans="1:44" s="457" customFormat="1" ht="12" customHeight="1">
      <c r="A682" s="307"/>
      <c r="P682" s="380"/>
      <c r="R682" s="2748" t="s">
        <v>1020</v>
      </c>
      <c r="S682" s="2748" t="s">
        <v>598</v>
      </c>
      <c r="T682" s="2750" t="s">
        <v>2046</v>
      </c>
      <c r="X682" s="307"/>
      <c r="Y682" s="307"/>
      <c r="Z682" s="1753"/>
      <c r="AA682" s="307"/>
      <c r="AB682" s="307"/>
      <c r="AC682" s="307"/>
      <c r="AD682" s="307"/>
      <c r="AE682" s="307"/>
      <c r="AF682" s="307"/>
      <c r="AG682" s="307"/>
      <c r="AH682" s="307"/>
      <c r="AI682" s="307"/>
      <c r="AJ682" s="307"/>
      <c r="AK682" s="307"/>
      <c r="AL682" s="307"/>
      <c r="AM682" s="307"/>
      <c r="AN682" s="307"/>
      <c r="AO682" s="307"/>
      <c r="AP682" s="307"/>
      <c r="AQ682" s="307"/>
      <c r="AR682" s="307"/>
    </row>
    <row r="683" spans="1:44" s="457" customFormat="1" ht="12" customHeight="1">
      <c r="A683" s="307"/>
      <c r="P683" s="380"/>
      <c r="R683" s="2748" t="s">
        <v>1021</v>
      </c>
      <c r="S683" s="2748" t="s">
        <v>598</v>
      </c>
      <c r="T683" s="2750" t="s">
        <v>2046</v>
      </c>
      <c r="X683" s="307"/>
      <c r="Y683" s="307"/>
      <c r="Z683" s="1753"/>
      <c r="AA683" s="307"/>
      <c r="AB683" s="307"/>
      <c r="AC683" s="307"/>
      <c r="AD683" s="307"/>
      <c r="AE683" s="307"/>
      <c r="AF683" s="307"/>
      <c r="AG683" s="307"/>
      <c r="AH683" s="307"/>
      <c r="AI683" s="307"/>
      <c r="AJ683" s="307"/>
      <c r="AK683" s="307"/>
      <c r="AL683" s="307"/>
      <c r="AM683" s="307"/>
      <c r="AN683" s="307"/>
      <c r="AO683" s="307"/>
      <c r="AP683" s="307"/>
      <c r="AQ683" s="307"/>
      <c r="AR683" s="307"/>
    </row>
    <row r="684" spans="1:44" s="457" customFormat="1" ht="12" customHeight="1">
      <c r="A684" s="307"/>
      <c r="P684" s="380"/>
      <c r="R684" s="2748" t="s">
        <v>1022</v>
      </c>
      <c r="S684" s="2748" t="s">
        <v>598</v>
      </c>
      <c r="T684" s="2750" t="s">
        <v>2046</v>
      </c>
      <c r="X684" s="307"/>
      <c r="Y684" s="307"/>
      <c r="Z684" s="1753"/>
      <c r="AA684" s="307"/>
      <c r="AB684" s="307"/>
      <c r="AC684" s="307"/>
      <c r="AD684" s="307"/>
      <c r="AE684" s="307"/>
      <c r="AF684" s="307"/>
      <c r="AG684" s="307"/>
      <c r="AH684" s="307"/>
      <c r="AI684" s="307"/>
      <c r="AJ684" s="307"/>
      <c r="AK684" s="307"/>
      <c r="AL684" s="307"/>
      <c r="AM684" s="307"/>
      <c r="AN684" s="307"/>
      <c r="AO684" s="307"/>
      <c r="AP684" s="307"/>
      <c r="AQ684" s="307"/>
      <c r="AR684" s="307"/>
    </row>
    <row r="685" spans="1:44" s="457" customFormat="1" ht="12" customHeight="1">
      <c r="A685" s="307"/>
      <c r="P685" s="380"/>
      <c r="R685" s="2748" t="s">
        <v>1023</v>
      </c>
      <c r="S685" s="2748" t="s">
        <v>598</v>
      </c>
      <c r="T685" s="2750" t="s">
        <v>2046</v>
      </c>
      <c r="X685" s="307"/>
      <c r="Y685" s="307"/>
      <c r="Z685" s="1753"/>
      <c r="AA685" s="307"/>
      <c r="AB685" s="307"/>
      <c r="AC685" s="307"/>
      <c r="AD685" s="307"/>
      <c r="AE685" s="307"/>
      <c r="AF685" s="307"/>
      <c r="AG685" s="307"/>
      <c r="AH685" s="307"/>
      <c r="AI685" s="307"/>
      <c r="AJ685" s="307"/>
      <c r="AK685" s="307"/>
      <c r="AL685" s="307"/>
      <c r="AM685" s="307"/>
      <c r="AN685" s="307"/>
      <c r="AO685" s="307"/>
      <c r="AP685" s="307"/>
      <c r="AQ685" s="307"/>
      <c r="AR685" s="307"/>
    </row>
    <row r="686" spans="1:44" s="457" customFormat="1" ht="12" customHeight="1">
      <c r="A686" s="307"/>
      <c r="P686" s="380"/>
      <c r="R686" s="2748" t="s">
        <v>1024</v>
      </c>
      <c r="S686" s="2748" t="s">
        <v>1595</v>
      </c>
      <c r="T686" s="2750" t="s">
        <v>2046</v>
      </c>
      <c r="X686" s="307"/>
      <c r="Y686" s="307"/>
      <c r="Z686" s="1753"/>
      <c r="AA686" s="307"/>
      <c r="AB686" s="307"/>
      <c r="AC686" s="307"/>
      <c r="AD686" s="307"/>
      <c r="AE686" s="307"/>
      <c r="AF686" s="307"/>
      <c r="AG686" s="307"/>
      <c r="AH686" s="307"/>
      <c r="AI686" s="307"/>
      <c r="AJ686" s="307"/>
      <c r="AK686" s="307"/>
      <c r="AL686" s="307"/>
      <c r="AM686" s="307"/>
      <c r="AN686" s="307"/>
      <c r="AO686" s="307"/>
      <c r="AP686" s="307"/>
      <c r="AQ686" s="307"/>
      <c r="AR686" s="307"/>
    </row>
    <row r="687" spans="1:44" s="457" customFormat="1" ht="12" customHeight="1">
      <c r="A687" s="307"/>
      <c r="P687" s="380"/>
      <c r="R687" s="2748" t="s">
        <v>1025</v>
      </c>
      <c r="S687" s="2748" t="s">
        <v>919</v>
      </c>
      <c r="T687" s="2750" t="s">
        <v>2046</v>
      </c>
      <c r="X687" s="307"/>
      <c r="Y687" s="307"/>
      <c r="Z687" s="1753"/>
      <c r="AA687" s="307"/>
      <c r="AB687" s="307"/>
      <c r="AC687" s="307"/>
      <c r="AD687" s="307"/>
      <c r="AE687" s="307"/>
      <c r="AF687" s="307"/>
      <c r="AG687" s="307"/>
      <c r="AH687" s="307"/>
      <c r="AI687" s="307"/>
      <c r="AJ687" s="307"/>
      <c r="AK687" s="307"/>
      <c r="AL687" s="307"/>
      <c r="AM687" s="307"/>
      <c r="AN687" s="307"/>
      <c r="AO687" s="307"/>
      <c r="AP687" s="307"/>
      <c r="AQ687" s="307"/>
      <c r="AR687" s="307"/>
    </row>
    <row r="688" spans="1:44" s="457" customFormat="1" ht="12" customHeight="1">
      <c r="A688" s="307"/>
      <c r="P688" s="380"/>
      <c r="R688" s="2748" t="s">
        <v>1026</v>
      </c>
      <c r="S688" s="2748" t="s">
        <v>115</v>
      </c>
      <c r="T688" s="2750" t="s">
        <v>2046</v>
      </c>
      <c r="X688" s="307"/>
      <c r="Y688" s="307"/>
      <c r="Z688" s="1753"/>
      <c r="AA688" s="307"/>
      <c r="AB688" s="307"/>
      <c r="AC688" s="307"/>
      <c r="AD688" s="307"/>
      <c r="AE688" s="307"/>
      <c r="AF688" s="307"/>
      <c r="AG688" s="307"/>
      <c r="AH688" s="307"/>
      <c r="AI688" s="307"/>
      <c r="AJ688" s="307"/>
      <c r="AK688" s="307"/>
      <c r="AL688" s="307"/>
      <c r="AM688" s="307"/>
      <c r="AN688" s="307"/>
      <c r="AO688" s="307"/>
      <c r="AP688" s="307"/>
      <c r="AQ688" s="307"/>
      <c r="AR688" s="307"/>
    </row>
    <row r="689" spans="1:44" s="457" customFormat="1" ht="12" customHeight="1">
      <c r="A689" s="307"/>
      <c r="P689" s="1799"/>
      <c r="R689" s="2748" t="s">
        <v>1027</v>
      </c>
      <c r="S689" s="2748" t="s">
        <v>598</v>
      </c>
      <c r="T689" s="2750" t="s">
        <v>2046</v>
      </c>
      <c r="X689" s="307"/>
      <c r="Y689" s="307"/>
      <c r="Z689" s="1753"/>
      <c r="AA689" s="307"/>
      <c r="AB689" s="307"/>
      <c r="AC689" s="307"/>
      <c r="AD689" s="307"/>
      <c r="AE689" s="307"/>
      <c r="AF689" s="307"/>
      <c r="AG689" s="307"/>
      <c r="AH689" s="307"/>
      <c r="AI689" s="307"/>
      <c r="AJ689" s="307"/>
      <c r="AK689" s="307"/>
      <c r="AL689" s="307"/>
      <c r="AM689" s="307"/>
      <c r="AN689" s="307"/>
      <c r="AO689" s="307"/>
      <c r="AP689" s="307"/>
      <c r="AQ689" s="307"/>
      <c r="AR689" s="307"/>
    </row>
    <row r="690" spans="1:44" s="457" customFormat="1" ht="12" customHeight="1">
      <c r="A690" s="307"/>
      <c r="P690" s="380"/>
      <c r="R690" s="2748" t="s">
        <v>1028</v>
      </c>
      <c r="S690" s="2748" t="s">
        <v>305</v>
      </c>
      <c r="T690" s="2750" t="s">
        <v>2046</v>
      </c>
      <c r="X690" s="307"/>
      <c r="Y690" s="307"/>
      <c r="Z690" s="1753"/>
      <c r="AA690" s="307"/>
      <c r="AB690" s="307"/>
      <c r="AC690" s="307"/>
      <c r="AD690" s="307"/>
      <c r="AE690" s="307"/>
      <c r="AF690" s="307"/>
      <c r="AG690" s="307"/>
      <c r="AH690" s="307"/>
      <c r="AI690" s="307"/>
      <c r="AJ690" s="307"/>
      <c r="AK690" s="307"/>
      <c r="AL690" s="307"/>
      <c r="AM690" s="307"/>
      <c r="AN690" s="307"/>
      <c r="AO690" s="307"/>
      <c r="AP690" s="307"/>
      <c r="AQ690" s="307"/>
      <c r="AR690" s="307"/>
    </row>
    <row r="691" spans="1:44" s="457" customFormat="1" ht="12" customHeight="1">
      <c r="A691" s="307"/>
      <c r="P691" s="380"/>
      <c r="R691" s="2748" t="s">
        <v>1029</v>
      </c>
      <c r="S691" s="2748" t="s">
        <v>309</v>
      </c>
      <c r="T691" s="2750" t="s">
        <v>2046</v>
      </c>
      <c r="X691" s="307"/>
      <c r="Y691" s="307"/>
      <c r="Z691" s="1753"/>
      <c r="AA691" s="307"/>
      <c r="AB691" s="307"/>
      <c r="AC691" s="307"/>
      <c r="AD691" s="307"/>
      <c r="AE691" s="307"/>
      <c r="AF691" s="307"/>
      <c r="AG691" s="307"/>
      <c r="AH691" s="307"/>
      <c r="AI691" s="307"/>
      <c r="AJ691" s="307"/>
      <c r="AK691" s="307"/>
      <c r="AL691" s="307"/>
      <c r="AM691" s="307"/>
      <c r="AN691" s="307"/>
      <c r="AO691" s="307"/>
      <c r="AP691" s="307"/>
      <c r="AQ691" s="307"/>
      <c r="AR691" s="307"/>
    </row>
    <row r="692" spans="1:44" s="457" customFormat="1" ht="12" customHeight="1">
      <c r="A692" s="307"/>
      <c r="P692" s="380"/>
      <c r="R692" s="2748" t="s">
        <v>799</v>
      </c>
      <c r="S692" s="2748" t="s">
        <v>1264</v>
      </c>
      <c r="T692" s="2750" t="s">
        <v>2046</v>
      </c>
      <c r="X692" s="307"/>
      <c r="Y692" s="307"/>
      <c r="Z692" s="1753"/>
      <c r="AA692" s="307"/>
      <c r="AB692" s="307"/>
      <c r="AC692" s="307"/>
      <c r="AD692" s="307"/>
      <c r="AE692" s="307"/>
      <c r="AF692" s="307"/>
      <c r="AG692" s="307"/>
      <c r="AH692" s="307"/>
      <c r="AI692" s="307"/>
      <c r="AJ692" s="307"/>
      <c r="AK692" s="307"/>
      <c r="AL692" s="307"/>
      <c r="AM692" s="307"/>
      <c r="AN692" s="307"/>
      <c r="AO692" s="307"/>
      <c r="AP692" s="307"/>
      <c r="AQ692" s="307"/>
      <c r="AR692" s="307"/>
    </row>
    <row r="693" spans="1:44" s="457" customFormat="1" ht="12" customHeight="1">
      <c r="A693" s="307"/>
      <c r="P693" s="380"/>
      <c r="R693" s="2748" t="s">
        <v>1030</v>
      </c>
      <c r="S693" s="2748" t="s">
        <v>636</v>
      </c>
      <c r="T693" s="2750" t="s">
        <v>2046</v>
      </c>
      <c r="X693" s="307"/>
      <c r="Y693" s="307"/>
      <c r="Z693" s="1753"/>
      <c r="AA693" s="307"/>
      <c r="AB693" s="307"/>
      <c r="AC693" s="307"/>
      <c r="AD693" s="307"/>
      <c r="AE693" s="307"/>
      <c r="AF693" s="307"/>
      <c r="AG693" s="307"/>
      <c r="AH693" s="307"/>
      <c r="AI693" s="307"/>
      <c r="AJ693" s="307"/>
      <c r="AK693" s="307"/>
      <c r="AL693" s="307"/>
      <c r="AM693" s="307"/>
      <c r="AN693" s="307"/>
      <c r="AO693" s="307"/>
      <c r="AP693" s="307"/>
      <c r="AQ693" s="307"/>
      <c r="AR693" s="307"/>
    </row>
    <row r="694" spans="1:44" s="457" customFormat="1" ht="12" customHeight="1">
      <c r="A694" s="307"/>
      <c r="P694" s="380"/>
      <c r="R694" s="2748" t="s">
        <v>1031</v>
      </c>
      <c r="S694" s="2748" t="s">
        <v>1459</v>
      </c>
      <c r="T694" s="2750" t="s">
        <v>2046</v>
      </c>
      <c r="X694" s="307"/>
      <c r="Y694" s="307"/>
      <c r="Z694" s="1753"/>
      <c r="AA694" s="307"/>
      <c r="AB694" s="307"/>
      <c r="AC694" s="307"/>
      <c r="AD694" s="307"/>
      <c r="AE694" s="307"/>
      <c r="AF694" s="307"/>
      <c r="AG694" s="307"/>
      <c r="AH694" s="307"/>
      <c r="AI694" s="307"/>
      <c r="AJ694" s="307"/>
      <c r="AK694" s="307"/>
      <c r="AL694" s="307"/>
      <c r="AM694" s="307"/>
      <c r="AN694" s="307"/>
      <c r="AO694" s="307"/>
      <c r="AP694" s="307"/>
      <c r="AQ694" s="307"/>
      <c r="AR694" s="307"/>
    </row>
    <row r="695" spans="1:44" s="457" customFormat="1" ht="12" customHeight="1">
      <c r="A695" s="307"/>
      <c r="P695" s="380"/>
      <c r="R695" s="2748" t="s">
        <v>1032</v>
      </c>
      <c r="S695" s="2748" t="s">
        <v>598</v>
      </c>
      <c r="T695" s="2750" t="s">
        <v>2046</v>
      </c>
      <c r="X695" s="307"/>
      <c r="Y695" s="307"/>
      <c r="Z695" s="1753"/>
      <c r="AA695" s="307"/>
      <c r="AB695" s="307"/>
      <c r="AC695" s="307"/>
      <c r="AD695" s="307"/>
      <c r="AE695" s="307"/>
      <c r="AF695" s="307"/>
      <c r="AG695" s="307"/>
      <c r="AH695" s="307"/>
      <c r="AI695" s="307"/>
      <c r="AJ695" s="307"/>
      <c r="AK695" s="307"/>
      <c r="AL695" s="307"/>
      <c r="AM695" s="307"/>
      <c r="AN695" s="307"/>
      <c r="AO695" s="307"/>
      <c r="AP695" s="307"/>
      <c r="AQ695" s="307"/>
      <c r="AR695" s="307"/>
    </row>
    <row r="696" spans="1:44" s="457" customFormat="1" ht="12" customHeight="1">
      <c r="A696" s="307"/>
      <c r="P696" s="380"/>
      <c r="R696" s="2748" t="s">
        <v>1033</v>
      </c>
      <c r="S696" s="2748" t="s">
        <v>628</v>
      </c>
      <c r="T696" s="2750" t="s">
        <v>2046</v>
      </c>
      <c r="X696" s="307"/>
      <c r="Y696" s="307"/>
      <c r="Z696" s="1753"/>
      <c r="AA696" s="307"/>
      <c r="AB696" s="307"/>
      <c r="AC696" s="307"/>
      <c r="AD696" s="307"/>
      <c r="AE696" s="307"/>
      <c r="AF696" s="307"/>
      <c r="AG696" s="307"/>
      <c r="AH696" s="307"/>
      <c r="AI696" s="307"/>
      <c r="AJ696" s="307"/>
      <c r="AK696" s="307"/>
      <c r="AL696" s="307"/>
      <c r="AM696" s="307"/>
      <c r="AN696" s="307"/>
      <c r="AO696" s="307"/>
      <c r="AP696" s="307"/>
      <c r="AQ696" s="307"/>
      <c r="AR696" s="307"/>
    </row>
    <row r="697" spans="1:44" s="457" customFormat="1" ht="12" customHeight="1">
      <c r="A697" s="307"/>
      <c r="P697" s="380"/>
      <c r="R697" s="2748" t="s">
        <v>1034</v>
      </c>
      <c r="S697" s="2748" t="s">
        <v>151</v>
      </c>
      <c r="T697" s="2750" t="s">
        <v>2046</v>
      </c>
      <c r="X697" s="307"/>
      <c r="Y697" s="307"/>
      <c r="Z697" s="1753"/>
      <c r="AA697" s="307"/>
      <c r="AB697" s="307"/>
      <c r="AC697" s="307"/>
      <c r="AD697" s="307"/>
      <c r="AE697" s="307"/>
      <c r="AF697" s="307"/>
      <c r="AG697" s="307"/>
      <c r="AH697" s="307"/>
      <c r="AI697" s="307"/>
      <c r="AJ697" s="307"/>
      <c r="AK697" s="307"/>
      <c r="AL697" s="307"/>
      <c r="AM697" s="307"/>
      <c r="AN697" s="307"/>
      <c r="AO697" s="307"/>
      <c r="AP697" s="307"/>
      <c r="AQ697" s="307"/>
      <c r="AR697" s="307"/>
    </row>
    <row r="698" spans="1:44" s="457" customFormat="1" ht="12" customHeight="1">
      <c r="A698" s="307"/>
      <c r="P698" s="2749"/>
      <c r="R698" s="2748" t="s">
        <v>1035</v>
      </c>
      <c r="S698" s="2748" t="s">
        <v>1821</v>
      </c>
      <c r="T698" s="2750" t="s">
        <v>2046</v>
      </c>
      <c r="X698" s="307"/>
      <c r="Y698" s="307"/>
      <c r="Z698" s="1753"/>
      <c r="AA698" s="307"/>
      <c r="AB698" s="307"/>
      <c r="AC698" s="307"/>
      <c r="AD698" s="307"/>
      <c r="AE698" s="307"/>
      <c r="AF698" s="307"/>
      <c r="AG698" s="307"/>
      <c r="AH698" s="307"/>
      <c r="AI698" s="307"/>
      <c r="AJ698" s="307"/>
      <c r="AK698" s="307"/>
      <c r="AL698" s="307"/>
      <c r="AM698" s="307"/>
      <c r="AN698" s="307"/>
      <c r="AO698" s="307"/>
      <c r="AP698" s="307"/>
      <c r="AQ698" s="307"/>
      <c r="AR698" s="307"/>
    </row>
    <row r="699" spans="1:44" s="457" customFormat="1" ht="12" customHeight="1">
      <c r="A699" s="307"/>
      <c r="P699" s="1799"/>
      <c r="R699" s="2748" t="s">
        <v>1036</v>
      </c>
      <c r="S699" s="2748" t="s">
        <v>1914</v>
      </c>
      <c r="T699" s="2750" t="s">
        <v>2046</v>
      </c>
      <c r="X699" s="307"/>
      <c r="Y699" s="307"/>
      <c r="Z699" s="1753"/>
      <c r="AA699" s="307"/>
      <c r="AB699" s="307"/>
      <c r="AC699" s="307"/>
      <c r="AD699" s="307"/>
      <c r="AE699" s="307"/>
      <c r="AF699" s="307"/>
      <c r="AG699" s="307"/>
      <c r="AH699" s="307"/>
      <c r="AI699" s="307"/>
      <c r="AJ699" s="307"/>
      <c r="AK699" s="307"/>
      <c r="AL699" s="307"/>
      <c r="AM699" s="307"/>
      <c r="AN699" s="307"/>
      <c r="AO699" s="307"/>
      <c r="AP699" s="307"/>
      <c r="AQ699" s="307"/>
      <c r="AR699" s="307"/>
    </row>
    <row r="700" spans="1:44" s="457" customFormat="1" ht="12" customHeight="1">
      <c r="A700" s="307"/>
      <c r="P700" s="380"/>
      <c r="R700" s="2748" t="s">
        <v>1037</v>
      </c>
      <c r="S700" s="2748" t="s">
        <v>598</v>
      </c>
      <c r="T700" s="2750" t="s">
        <v>2046</v>
      </c>
      <c r="X700" s="307"/>
      <c r="Y700" s="307"/>
      <c r="Z700" s="1753"/>
      <c r="AA700" s="307"/>
      <c r="AB700" s="307"/>
      <c r="AC700" s="307"/>
      <c r="AD700" s="307"/>
      <c r="AE700" s="307"/>
      <c r="AF700" s="307"/>
      <c r="AG700" s="307"/>
      <c r="AH700" s="307"/>
      <c r="AI700" s="307"/>
      <c r="AJ700" s="307"/>
      <c r="AK700" s="307"/>
      <c r="AL700" s="307"/>
      <c r="AM700" s="307"/>
      <c r="AN700" s="307"/>
      <c r="AO700" s="307"/>
      <c r="AP700" s="307"/>
      <c r="AQ700" s="307"/>
      <c r="AR700" s="307"/>
    </row>
    <row r="701" spans="1:44" s="457" customFormat="1" ht="12" customHeight="1">
      <c r="A701" s="307"/>
      <c r="P701" s="380"/>
      <c r="R701" s="2748" t="s">
        <v>1038</v>
      </c>
      <c r="S701" s="2748" t="s">
        <v>1595</v>
      </c>
      <c r="T701" s="2750" t="s">
        <v>2046</v>
      </c>
      <c r="X701" s="307"/>
      <c r="Y701" s="307"/>
      <c r="Z701" s="1753"/>
      <c r="AA701" s="307"/>
      <c r="AB701" s="307"/>
      <c r="AC701" s="307"/>
      <c r="AD701" s="307"/>
      <c r="AE701" s="307"/>
      <c r="AF701" s="307"/>
      <c r="AG701" s="307"/>
      <c r="AH701" s="307"/>
      <c r="AI701" s="307"/>
      <c r="AJ701" s="307"/>
      <c r="AK701" s="307"/>
      <c r="AL701" s="307"/>
      <c r="AM701" s="307"/>
      <c r="AN701" s="307"/>
      <c r="AO701" s="307"/>
      <c r="AP701" s="307"/>
      <c r="AQ701" s="307"/>
      <c r="AR701" s="307"/>
    </row>
    <row r="702" spans="1:44" s="457" customFormat="1" ht="12" customHeight="1">
      <c r="A702" s="307"/>
      <c r="P702" s="1799"/>
      <c r="R702" s="2748" t="s">
        <v>1039</v>
      </c>
      <c r="S702" s="2748" t="s">
        <v>2373</v>
      </c>
      <c r="T702" s="2750" t="s">
        <v>2046</v>
      </c>
      <c r="X702" s="307"/>
      <c r="Y702" s="307"/>
      <c r="Z702" s="1753"/>
      <c r="AA702" s="307"/>
      <c r="AB702" s="307"/>
      <c r="AC702" s="307"/>
      <c r="AD702" s="307"/>
      <c r="AE702" s="307"/>
      <c r="AF702" s="307"/>
      <c r="AG702" s="307"/>
      <c r="AH702" s="307"/>
      <c r="AI702" s="307"/>
      <c r="AJ702" s="307"/>
      <c r="AK702" s="307"/>
      <c r="AL702" s="307"/>
      <c r="AM702" s="307"/>
      <c r="AN702" s="307"/>
      <c r="AO702" s="307"/>
      <c r="AP702" s="307"/>
      <c r="AQ702" s="307"/>
      <c r="AR702" s="307"/>
    </row>
    <row r="703" spans="1:44" s="457" customFormat="1" ht="12" customHeight="1">
      <c r="A703" s="307"/>
      <c r="P703" s="380"/>
      <c r="R703" s="2748" t="s">
        <v>1040</v>
      </c>
      <c r="S703" s="2748" t="s">
        <v>151</v>
      </c>
      <c r="T703" s="2750" t="s">
        <v>2046</v>
      </c>
      <c r="X703" s="307"/>
      <c r="Y703" s="307"/>
      <c r="Z703" s="1753"/>
      <c r="AA703" s="307"/>
      <c r="AB703" s="307"/>
      <c r="AC703" s="307"/>
      <c r="AD703" s="307"/>
      <c r="AE703" s="307"/>
      <c r="AF703" s="307"/>
      <c r="AG703" s="307"/>
      <c r="AH703" s="307"/>
      <c r="AI703" s="307"/>
      <c r="AJ703" s="307"/>
      <c r="AK703" s="307"/>
      <c r="AL703" s="307"/>
      <c r="AM703" s="307"/>
      <c r="AN703" s="307"/>
      <c r="AO703" s="307"/>
      <c r="AP703" s="307"/>
      <c r="AQ703" s="307"/>
      <c r="AR703" s="307"/>
    </row>
    <row r="704" spans="1:44" s="457" customFormat="1" ht="12" customHeight="1">
      <c r="A704" s="307"/>
      <c r="P704" s="380"/>
      <c r="R704" s="2748" t="s">
        <v>1041</v>
      </c>
      <c r="S704" s="2748" t="s">
        <v>151</v>
      </c>
      <c r="T704" s="2750" t="s">
        <v>2046</v>
      </c>
      <c r="X704" s="307"/>
      <c r="Y704" s="307"/>
      <c r="Z704" s="1753"/>
      <c r="AA704" s="307"/>
      <c r="AB704" s="307"/>
      <c r="AC704" s="307"/>
      <c r="AD704" s="307"/>
      <c r="AE704" s="307"/>
      <c r="AF704" s="307"/>
      <c r="AG704" s="307"/>
      <c r="AH704" s="307"/>
      <c r="AI704" s="307"/>
      <c r="AJ704" s="307"/>
      <c r="AK704" s="307"/>
      <c r="AL704" s="307"/>
      <c r="AM704" s="307"/>
      <c r="AN704" s="307"/>
      <c r="AO704" s="307"/>
      <c r="AP704" s="307"/>
      <c r="AQ704" s="307"/>
      <c r="AR704" s="307"/>
    </row>
    <row r="705" spans="1:44" s="457" customFormat="1" ht="12" customHeight="1">
      <c r="A705" s="307"/>
      <c r="P705" s="380"/>
      <c r="X705" s="307"/>
      <c r="Y705" s="307"/>
      <c r="Z705" s="1753"/>
      <c r="AA705" s="307"/>
      <c r="AB705" s="307"/>
      <c r="AC705" s="307"/>
      <c r="AD705" s="307"/>
      <c r="AE705" s="307"/>
      <c r="AF705" s="307"/>
      <c r="AG705" s="307"/>
      <c r="AH705" s="307"/>
      <c r="AI705" s="307"/>
      <c r="AJ705" s="307"/>
      <c r="AK705" s="307"/>
      <c r="AL705" s="307"/>
      <c r="AM705" s="307"/>
      <c r="AN705" s="307"/>
      <c r="AO705" s="307"/>
      <c r="AP705" s="307"/>
      <c r="AQ705" s="307"/>
      <c r="AR705" s="307"/>
    </row>
    <row r="706" spans="1:44" s="457" customFormat="1" ht="12" customHeight="1">
      <c r="A706" s="307"/>
      <c r="P706" s="380"/>
      <c r="X706" s="307"/>
      <c r="Y706" s="307"/>
      <c r="Z706" s="1753"/>
      <c r="AA706" s="307"/>
      <c r="AB706" s="307"/>
      <c r="AC706" s="307"/>
      <c r="AD706" s="307"/>
      <c r="AE706" s="307"/>
      <c r="AF706" s="307"/>
      <c r="AG706" s="307"/>
      <c r="AH706" s="307"/>
      <c r="AI706" s="307"/>
      <c r="AJ706" s="307"/>
      <c r="AK706" s="307"/>
      <c r="AL706" s="307"/>
      <c r="AM706" s="307"/>
      <c r="AN706" s="307"/>
      <c r="AO706" s="307"/>
      <c r="AP706" s="307"/>
      <c r="AQ706" s="307"/>
      <c r="AR706" s="307"/>
    </row>
    <row r="707" spans="1:44" s="457" customFormat="1" ht="12" customHeight="1">
      <c r="A707" s="307"/>
      <c r="P707" s="380"/>
      <c r="X707" s="307"/>
      <c r="Y707" s="307"/>
      <c r="Z707" s="1753"/>
      <c r="AA707" s="307"/>
      <c r="AB707" s="307"/>
      <c r="AC707" s="307"/>
      <c r="AD707" s="307"/>
      <c r="AE707" s="307"/>
      <c r="AF707" s="307"/>
      <c r="AG707" s="307"/>
      <c r="AH707" s="307"/>
      <c r="AI707" s="307"/>
      <c r="AJ707" s="307"/>
      <c r="AK707" s="307"/>
      <c r="AL707" s="307"/>
      <c r="AM707" s="307"/>
      <c r="AN707" s="307"/>
      <c r="AO707" s="307"/>
      <c r="AP707" s="307"/>
      <c r="AQ707" s="307"/>
      <c r="AR707" s="307"/>
    </row>
    <row r="708" spans="1:44" s="457" customFormat="1" ht="12" customHeight="1">
      <c r="A708" s="307"/>
      <c r="P708" s="380"/>
      <c r="X708" s="307"/>
      <c r="Y708" s="307"/>
      <c r="Z708" s="1753"/>
      <c r="AA708" s="307"/>
      <c r="AB708" s="307"/>
      <c r="AC708" s="307"/>
      <c r="AD708" s="307"/>
      <c r="AE708" s="307"/>
      <c r="AF708" s="307"/>
      <c r="AG708" s="307"/>
      <c r="AH708" s="307"/>
      <c r="AI708" s="307"/>
      <c r="AJ708" s="307"/>
      <c r="AK708" s="307"/>
      <c r="AL708" s="307"/>
      <c r="AM708" s="307"/>
      <c r="AN708" s="307"/>
      <c r="AO708" s="307"/>
      <c r="AP708" s="307"/>
      <c r="AQ708" s="307"/>
      <c r="AR708" s="307"/>
    </row>
    <row r="709" spans="1:44" s="457" customFormat="1" ht="12" customHeight="1">
      <c r="A709" s="307"/>
      <c r="P709" s="380"/>
      <c r="X709" s="307"/>
      <c r="Y709" s="307"/>
      <c r="Z709" s="1753"/>
      <c r="AA709" s="307"/>
      <c r="AB709" s="307"/>
      <c r="AC709" s="307"/>
      <c r="AD709" s="307"/>
      <c r="AE709" s="307"/>
      <c r="AF709" s="307"/>
      <c r="AG709" s="307"/>
      <c r="AH709" s="307"/>
      <c r="AI709" s="307"/>
      <c r="AJ709" s="307"/>
      <c r="AK709" s="307"/>
      <c r="AL709" s="307"/>
      <c r="AM709" s="307"/>
      <c r="AN709" s="307"/>
      <c r="AO709" s="307"/>
      <c r="AP709" s="307"/>
      <c r="AQ709" s="307"/>
      <c r="AR709" s="307"/>
    </row>
    <row r="710" spans="1:44" s="457" customFormat="1" ht="12" customHeight="1">
      <c r="A710" s="307"/>
      <c r="P710" s="1799"/>
      <c r="X710" s="307"/>
      <c r="Y710" s="307"/>
      <c r="Z710" s="1753"/>
      <c r="AA710" s="307"/>
      <c r="AB710" s="307"/>
      <c r="AC710" s="307"/>
      <c r="AD710" s="307"/>
      <c r="AE710" s="307"/>
      <c r="AF710" s="307"/>
      <c r="AG710" s="307"/>
      <c r="AH710" s="307"/>
      <c r="AI710" s="307"/>
      <c r="AJ710" s="307"/>
      <c r="AK710" s="307"/>
      <c r="AL710" s="307"/>
      <c r="AM710" s="307"/>
      <c r="AN710" s="307"/>
      <c r="AO710" s="307"/>
      <c r="AP710" s="307"/>
      <c r="AQ710" s="307"/>
      <c r="AR710" s="307"/>
    </row>
    <row r="711" spans="1:44" s="457" customFormat="1" ht="12" customHeight="1">
      <c r="A711" s="307"/>
      <c r="P711" s="380"/>
      <c r="X711" s="307"/>
      <c r="Y711" s="307"/>
      <c r="Z711" s="1753"/>
      <c r="AA711" s="307"/>
      <c r="AB711" s="307"/>
      <c r="AC711" s="307"/>
      <c r="AD711" s="307"/>
      <c r="AE711" s="307"/>
      <c r="AF711" s="307"/>
      <c r="AG711" s="307"/>
      <c r="AH711" s="307"/>
      <c r="AI711" s="307"/>
      <c r="AJ711" s="307"/>
      <c r="AK711" s="307"/>
      <c r="AL711" s="307"/>
      <c r="AM711" s="307"/>
      <c r="AN711" s="307"/>
      <c r="AO711" s="307"/>
      <c r="AP711" s="307"/>
      <c r="AQ711" s="307"/>
      <c r="AR711" s="307"/>
    </row>
    <row r="712" spans="1:44" s="457" customFormat="1" ht="12" customHeight="1">
      <c r="A712" s="307"/>
      <c r="P712" s="380"/>
      <c r="X712" s="307"/>
      <c r="Y712" s="307"/>
      <c r="Z712" s="1753"/>
      <c r="AA712" s="307"/>
      <c r="AB712" s="307"/>
      <c r="AC712" s="307"/>
      <c r="AD712" s="307"/>
      <c r="AE712" s="307"/>
      <c r="AF712" s="307"/>
      <c r="AG712" s="307"/>
      <c r="AH712" s="307"/>
      <c r="AI712" s="307"/>
      <c r="AJ712" s="307"/>
      <c r="AK712" s="307"/>
      <c r="AL712" s="307"/>
      <c r="AM712" s="307"/>
      <c r="AN712" s="307"/>
      <c r="AO712" s="307"/>
      <c r="AP712" s="307"/>
      <c r="AQ712" s="307"/>
      <c r="AR712" s="307"/>
    </row>
    <row r="713" spans="1:44" s="457" customFormat="1" ht="12" customHeight="1">
      <c r="A713" s="307"/>
      <c r="P713" s="380"/>
      <c r="X713" s="307"/>
      <c r="Y713" s="307"/>
      <c r="Z713" s="1753"/>
      <c r="AA713" s="307"/>
      <c r="AB713" s="307"/>
      <c r="AC713" s="307"/>
      <c r="AD713" s="307"/>
      <c r="AE713" s="307"/>
      <c r="AF713" s="307"/>
      <c r="AG713" s="307"/>
      <c r="AH713" s="307"/>
      <c r="AI713" s="307"/>
      <c r="AJ713" s="307"/>
      <c r="AK713" s="307"/>
      <c r="AL713" s="307"/>
      <c r="AM713" s="307"/>
      <c r="AN713" s="307"/>
      <c r="AO713" s="307"/>
      <c r="AP713" s="307"/>
      <c r="AQ713" s="307"/>
      <c r="AR713" s="307"/>
    </row>
    <row r="714" spans="1:44" s="457" customFormat="1" ht="12" customHeight="1">
      <c r="A714" s="307"/>
      <c r="P714" s="380"/>
      <c r="X714" s="307"/>
      <c r="Y714" s="307"/>
      <c r="Z714" s="1753"/>
      <c r="AA714" s="307"/>
      <c r="AB714" s="307"/>
      <c r="AC714" s="307"/>
      <c r="AD714" s="307"/>
      <c r="AE714" s="307"/>
      <c r="AF714" s="307"/>
      <c r="AG714" s="307"/>
      <c r="AH714" s="307"/>
      <c r="AI714" s="307"/>
      <c r="AJ714" s="307"/>
      <c r="AK714" s="307"/>
      <c r="AL714" s="307"/>
      <c r="AM714" s="307"/>
      <c r="AN714" s="307"/>
      <c r="AO714" s="307"/>
      <c r="AP714" s="307"/>
      <c r="AQ714" s="307"/>
      <c r="AR714" s="307"/>
    </row>
    <row r="715" spans="1:44" s="457" customFormat="1" ht="12" customHeight="1">
      <c r="A715" s="307"/>
      <c r="P715" s="1799"/>
      <c r="X715" s="307"/>
      <c r="Y715" s="307"/>
      <c r="Z715" s="1753"/>
      <c r="AA715" s="307"/>
      <c r="AB715" s="307"/>
      <c r="AC715" s="307"/>
      <c r="AD715" s="307"/>
      <c r="AE715" s="307"/>
      <c r="AF715" s="307"/>
      <c r="AG715" s="307"/>
      <c r="AH715" s="307"/>
      <c r="AI715" s="307"/>
      <c r="AJ715" s="307"/>
      <c r="AK715" s="307"/>
      <c r="AL715" s="307"/>
      <c r="AM715" s="307"/>
      <c r="AN715" s="307"/>
      <c r="AO715" s="307"/>
      <c r="AP715" s="307"/>
      <c r="AQ715" s="307"/>
      <c r="AR715" s="307"/>
    </row>
    <row r="716" spans="1:44" s="457" customFormat="1" ht="12" customHeight="1">
      <c r="A716" s="307"/>
      <c r="P716" s="380"/>
      <c r="X716" s="307"/>
      <c r="Y716" s="307"/>
      <c r="Z716" s="1753"/>
      <c r="AA716" s="307"/>
      <c r="AB716" s="307"/>
      <c r="AC716" s="307"/>
      <c r="AD716" s="307"/>
      <c r="AE716" s="307"/>
      <c r="AF716" s="307"/>
      <c r="AG716" s="307"/>
      <c r="AH716" s="307"/>
      <c r="AI716" s="307"/>
      <c r="AJ716" s="307"/>
      <c r="AK716" s="307"/>
      <c r="AL716" s="307"/>
      <c r="AM716" s="307"/>
      <c r="AN716" s="307"/>
      <c r="AO716" s="307"/>
      <c r="AP716" s="307"/>
      <c r="AQ716" s="307"/>
      <c r="AR716" s="307"/>
    </row>
    <row r="717" spans="1:44" s="457" customFormat="1" ht="12" customHeight="1">
      <c r="A717" s="307"/>
      <c r="P717" s="380"/>
      <c r="X717" s="307"/>
      <c r="Y717" s="307"/>
      <c r="Z717" s="1753"/>
      <c r="AA717" s="307"/>
      <c r="AB717" s="307"/>
      <c r="AC717" s="307"/>
      <c r="AD717" s="307"/>
      <c r="AE717" s="307"/>
      <c r="AF717" s="307"/>
      <c r="AG717" s="307"/>
      <c r="AH717" s="307"/>
      <c r="AI717" s="307"/>
      <c r="AJ717" s="307"/>
      <c r="AK717" s="307"/>
      <c r="AL717" s="307"/>
      <c r="AM717" s="307"/>
      <c r="AN717" s="307"/>
      <c r="AO717" s="307"/>
      <c r="AP717" s="307"/>
      <c r="AQ717" s="307"/>
      <c r="AR717" s="307"/>
    </row>
    <row r="718" spans="1:44" s="457" customFormat="1" ht="12" customHeight="1">
      <c r="A718" s="307"/>
      <c r="P718" s="380"/>
      <c r="X718" s="307"/>
      <c r="Y718" s="307"/>
      <c r="Z718" s="1753"/>
      <c r="AA718" s="307"/>
      <c r="AB718" s="307"/>
      <c r="AC718" s="307"/>
      <c r="AD718" s="307"/>
      <c r="AE718" s="307"/>
      <c r="AF718" s="307"/>
      <c r="AG718" s="307"/>
      <c r="AH718" s="307"/>
      <c r="AI718" s="307"/>
      <c r="AJ718" s="307"/>
      <c r="AK718" s="307"/>
      <c r="AL718" s="307"/>
      <c r="AM718" s="307"/>
      <c r="AN718" s="307"/>
      <c r="AO718" s="307"/>
      <c r="AP718" s="307"/>
      <c r="AQ718" s="307"/>
      <c r="AR718" s="307"/>
    </row>
    <row r="719" spans="1:44" s="457" customFormat="1" ht="12" customHeight="1">
      <c r="A719" s="307"/>
      <c r="P719" s="380"/>
      <c r="X719" s="307"/>
      <c r="Y719" s="307"/>
      <c r="Z719" s="1753"/>
      <c r="AA719" s="307"/>
      <c r="AB719" s="307"/>
      <c r="AC719" s="307"/>
      <c r="AD719" s="307"/>
      <c r="AE719" s="307"/>
      <c r="AF719" s="307"/>
      <c r="AG719" s="307"/>
      <c r="AH719" s="307"/>
      <c r="AI719" s="307"/>
      <c r="AJ719" s="307"/>
      <c r="AK719" s="307"/>
      <c r="AL719" s="307"/>
      <c r="AM719" s="307"/>
      <c r="AN719" s="307"/>
      <c r="AO719" s="307"/>
      <c r="AP719" s="307"/>
      <c r="AQ719" s="307"/>
      <c r="AR719" s="307"/>
    </row>
    <row r="720" spans="1:44" s="457" customFormat="1" ht="12" customHeight="1">
      <c r="A720" s="307"/>
      <c r="P720" s="380"/>
      <c r="X720" s="307"/>
      <c r="Y720" s="307"/>
      <c r="Z720" s="1753"/>
      <c r="AA720" s="307"/>
      <c r="AB720" s="307"/>
      <c r="AC720" s="307"/>
      <c r="AD720" s="307"/>
      <c r="AE720" s="307"/>
      <c r="AF720" s="307"/>
      <c r="AG720" s="307"/>
      <c r="AH720" s="307"/>
      <c r="AI720" s="307"/>
      <c r="AJ720" s="307"/>
      <c r="AK720" s="307"/>
      <c r="AL720" s="307"/>
      <c r="AM720" s="307"/>
      <c r="AN720" s="307"/>
      <c r="AO720" s="307"/>
      <c r="AP720" s="307"/>
      <c r="AQ720" s="307"/>
      <c r="AR720" s="307"/>
    </row>
    <row r="721" spans="1:44" s="457" customFormat="1" ht="12" customHeight="1">
      <c r="A721" s="307"/>
      <c r="P721" s="1799"/>
      <c r="X721" s="307"/>
      <c r="Y721" s="307"/>
      <c r="Z721" s="1753"/>
      <c r="AA721" s="307"/>
      <c r="AB721" s="307"/>
      <c r="AC721" s="307"/>
      <c r="AD721" s="307"/>
      <c r="AE721" s="307"/>
      <c r="AF721" s="307"/>
      <c r="AG721" s="307"/>
      <c r="AH721" s="307"/>
      <c r="AI721" s="307"/>
      <c r="AJ721" s="307"/>
      <c r="AK721" s="307"/>
      <c r="AL721" s="307"/>
      <c r="AM721" s="307"/>
      <c r="AN721" s="307"/>
      <c r="AO721" s="307"/>
      <c r="AP721" s="307"/>
      <c r="AQ721" s="307"/>
      <c r="AR721" s="307"/>
    </row>
    <row r="722" spans="1:44" s="457" customFormat="1" ht="12" customHeight="1">
      <c r="A722" s="307"/>
      <c r="P722" s="380"/>
      <c r="X722" s="307"/>
      <c r="Y722" s="307"/>
      <c r="Z722" s="1753"/>
      <c r="AA722" s="307"/>
      <c r="AB722" s="307"/>
      <c r="AC722" s="307"/>
      <c r="AD722" s="307"/>
      <c r="AE722" s="307"/>
      <c r="AF722" s="307"/>
      <c r="AG722" s="307"/>
      <c r="AH722" s="307"/>
      <c r="AI722" s="307"/>
      <c r="AJ722" s="307"/>
      <c r="AK722" s="307"/>
      <c r="AL722" s="307"/>
      <c r="AM722" s="307"/>
      <c r="AN722" s="307"/>
      <c r="AO722" s="307"/>
      <c r="AP722" s="307"/>
      <c r="AQ722" s="307"/>
      <c r="AR722" s="307"/>
    </row>
    <row r="723" spans="1:44" s="457" customFormat="1" ht="12" customHeight="1">
      <c r="A723" s="307"/>
      <c r="P723" s="380"/>
      <c r="X723" s="307"/>
      <c r="Y723" s="307"/>
      <c r="Z723" s="1753"/>
      <c r="AA723" s="307"/>
      <c r="AB723" s="307"/>
      <c r="AC723" s="307"/>
      <c r="AD723" s="307"/>
      <c r="AE723" s="307"/>
      <c r="AF723" s="307"/>
      <c r="AG723" s="307"/>
      <c r="AH723" s="307"/>
      <c r="AI723" s="307"/>
      <c r="AJ723" s="307"/>
      <c r="AK723" s="307"/>
      <c r="AL723" s="307"/>
      <c r="AM723" s="307"/>
      <c r="AN723" s="307"/>
      <c r="AO723" s="307"/>
      <c r="AP723" s="307"/>
      <c r="AQ723" s="307"/>
      <c r="AR723" s="307"/>
    </row>
    <row r="724" spans="1:44" s="457" customFormat="1" ht="12" customHeight="1">
      <c r="A724" s="307"/>
      <c r="P724" s="380"/>
      <c r="X724" s="307"/>
      <c r="Y724" s="307"/>
      <c r="Z724" s="1753"/>
      <c r="AA724" s="307"/>
      <c r="AB724" s="307"/>
      <c r="AC724" s="307"/>
      <c r="AD724" s="307"/>
      <c r="AE724" s="307"/>
      <c r="AF724" s="307"/>
      <c r="AG724" s="307"/>
      <c r="AH724" s="307"/>
      <c r="AI724" s="307"/>
      <c r="AJ724" s="307"/>
      <c r="AK724" s="307"/>
      <c r="AL724" s="307"/>
      <c r="AM724" s="307"/>
      <c r="AN724" s="307"/>
      <c r="AO724" s="307"/>
      <c r="AP724" s="307"/>
      <c r="AQ724" s="307"/>
      <c r="AR724" s="307"/>
    </row>
    <row r="725" spans="1:44" s="457" customFormat="1" ht="12" customHeight="1">
      <c r="A725" s="307"/>
      <c r="P725" s="380"/>
      <c r="X725" s="307"/>
      <c r="Y725" s="307"/>
      <c r="Z725" s="1753"/>
      <c r="AA725" s="307"/>
      <c r="AB725" s="307"/>
      <c r="AC725" s="307"/>
      <c r="AD725" s="307"/>
      <c r="AE725" s="307"/>
      <c r="AF725" s="307"/>
      <c r="AG725" s="307"/>
      <c r="AH725" s="307"/>
      <c r="AI725" s="307"/>
      <c r="AJ725" s="307"/>
      <c r="AK725" s="307"/>
      <c r="AL725" s="307"/>
      <c r="AM725" s="307"/>
      <c r="AN725" s="307"/>
      <c r="AO725" s="307"/>
      <c r="AP725" s="307"/>
      <c r="AQ725" s="307"/>
      <c r="AR725" s="307"/>
    </row>
    <row r="726" spans="1:44" s="457" customFormat="1" ht="12" customHeight="1">
      <c r="A726" s="307"/>
      <c r="P726" s="380"/>
      <c r="X726" s="307"/>
      <c r="Y726" s="307"/>
      <c r="Z726" s="1753"/>
      <c r="AA726" s="307"/>
      <c r="AB726" s="307"/>
      <c r="AC726" s="307"/>
      <c r="AD726" s="307"/>
      <c r="AE726" s="307"/>
      <c r="AF726" s="307"/>
      <c r="AG726" s="307"/>
      <c r="AH726" s="307"/>
      <c r="AI726" s="307"/>
      <c r="AJ726" s="307"/>
      <c r="AK726" s="307"/>
      <c r="AL726" s="307"/>
      <c r="AM726" s="307"/>
      <c r="AN726" s="307"/>
      <c r="AO726" s="307"/>
      <c r="AP726" s="307"/>
      <c r="AQ726" s="307"/>
      <c r="AR726" s="307"/>
    </row>
    <row r="727" spans="1:44" s="457" customFormat="1" ht="12" customHeight="1">
      <c r="A727" s="307"/>
      <c r="P727" s="380"/>
      <c r="X727" s="307"/>
      <c r="Y727" s="307"/>
      <c r="Z727" s="1753"/>
      <c r="AA727" s="307"/>
      <c r="AB727" s="307"/>
      <c r="AC727" s="307"/>
      <c r="AD727" s="307"/>
      <c r="AE727" s="307"/>
      <c r="AF727" s="307"/>
      <c r="AG727" s="307"/>
      <c r="AH727" s="307"/>
      <c r="AI727" s="307"/>
      <c r="AJ727" s="307"/>
      <c r="AK727" s="307"/>
      <c r="AL727" s="307"/>
      <c r="AM727" s="307"/>
      <c r="AN727" s="307"/>
      <c r="AO727" s="307"/>
      <c r="AP727" s="307"/>
      <c r="AQ727" s="307"/>
      <c r="AR727" s="307"/>
    </row>
    <row r="728" spans="1:44" s="457" customFormat="1" ht="12" customHeight="1">
      <c r="A728" s="307"/>
      <c r="P728" s="380"/>
      <c r="X728" s="307"/>
      <c r="Y728" s="307"/>
      <c r="Z728" s="1753"/>
      <c r="AA728" s="307"/>
      <c r="AB728" s="307"/>
      <c r="AC728" s="307"/>
      <c r="AD728" s="307"/>
      <c r="AE728" s="307"/>
      <c r="AF728" s="307"/>
      <c r="AG728" s="307"/>
      <c r="AH728" s="307"/>
      <c r="AI728" s="307"/>
      <c r="AJ728" s="307"/>
      <c r="AK728" s="307"/>
      <c r="AL728" s="307"/>
      <c r="AM728" s="307"/>
      <c r="AN728" s="307"/>
      <c r="AO728" s="307"/>
      <c r="AP728" s="307"/>
      <c r="AQ728" s="307"/>
      <c r="AR728" s="307"/>
    </row>
    <row r="729" spans="1:44" s="457" customFormat="1" ht="12" customHeight="1">
      <c r="A729" s="307"/>
      <c r="P729" s="380"/>
      <c r="X729" s="307"/>
      <c r="Y729" s="307"/>
      <c r="Z729" s="1753"/>
      <c r="AA729" s="307"/>
      <c r="AB729" s="307"/>
      <c r="AC729" s="307"/>
      <c r="AD729" s="307"/>
      <c r="AE729" s="307"/>
      <c r="AF729" s="307"/>
      <c r="AG729" s="307"/>
      <c r="AH729" s="307"/>
      <c r="AI729" s="307"/>
      <c r="AJ729" s="307"/>
      <c r="AK729" s="307"/>
      <c r="AL729" s="307"/>
      <c r="AM729" s="307"/>
      <c r="AN729" s="307"/>
      <c r="AO729" s="307"/>
      <c r="AP729" s="307"/>
      <c r="AQ729" s="307"/>
      <c r="AR729" s="307"/>
    </row>
    <row r="730" spans="1:44" s="457" customFormat="1" ht="12" customHeight="1">
      <c r="A730" s="307"/>
      <c r="P730" s="380"/>
      <c r="X730" s="307"/>
      <c r="Y730" s="307"/>
      <c r="Z730" s="1753"/>
      <c r="AA730" s="307"/>
      <c r="AB730" s="307"/>
      <c r="AC730" s="307"/>
      <c r="AD730" s="307"/>
      <c r="AE730" s="307"/>
      <c r="AF730" s="307"/>
      <c r="AG730" s="307"/>
      <c r="AH730" s="307"/>
      <c r="AI730" s="307"/>
      <c r="AJ730" s="307"/>
      <c r="AK730" s="307"/>
      <c r="AL730" s="307"/>
      <c r="AM730" s="307"/>
      <c r="AN730" s="307"/>
      <c r="AO730" s="307"/>
      <c r="AP730" s="307"/>
      <c r="AQ730" s="307"/>
      <c r="AR730" s="307"/>
    </row>
    <row r="731" spans="1:44" s="457" customFormat="1" ht="12" customHeight="1">
      <c r="A731" s="307"/>
      <c r="P731" s="380"/>
      <c r="X731" s="307"/>
      <c r="Y731" s="307"/>
      <c r="Z731" s="1753"/>
      <c r="AA731" s="307"/>
      <c r="AB731" s="307"/>
      <c r="AC731" s="307"/>
      <c r="AD731" s="307"/>
      <c r="AE731" s="307"/>
      <c r="AF731" s="307"/>
      <c r="AG731" s="307"/>
      <c r="AH731" s="307"/>
      <c r="AI731" s="307"/>
      <c r="AJ731" s="307"/>
      <c r="AK731" s="307"/>
      <c r="AL731" s="307"/>
      <c r="AM731" s="307"/>
      <c r="AN731" s="307"/>
      <c r="AO731" s="307"/>
      <c r="AP731" s="307"/>
      <c r="AQ731" s="307"/>
      <c r="AR731" s="307"/>
    </row>
    <row r="732" spans="1:44" s="457" customFormat="1" ht="12" customHeight="1">
      <c r="A732" s="307"/>
      <c r="P732" s="1799"/>
      <c r="X732" s="307"/>
      <c r="Y732" s="307"/>
      <c r="Z732" s="1753"/>
      <c r="AA732" s="307"/>
      <c r="AB732" s="307"/>
      <c r="AC732" s="307"/>
      <c r="AD732" s="307"/>
      <c r="AE732" s="307"/>
      <c r="AF732" s="307"/>
      <c r="AG732" s="307"/>
      <c r="AH732" s="307"/>
      <c r="AI732" s="307"/>
      <c r="AJ732" s="307"/>
      <c r="AK732" s="307"/>
      <c r="AL732" s="307"/>
      <c r="AM732" s="307"/>
      <c r="AN732" s="307"/>
      <c r="AO732" s="307"/>
      <c r="AP732" s="307"/>
      <c r="AQ732" s="307"/>
      <c r="AR732" s="307"/>
    </row>
    <row r="733" spans="1:44" s="457" customFormat="1" ht="12" customHeight="1">
      <c r="A733" s="307"/>
      <c r="P733" s="380"/>
      <c r="X733" s="307"/>
      <c r="Y733" s="307"/>
      <c r="Z733" s="1753"/>
      <c r="AA733" s="307"/>
      <c r="AB733" s="307"/>
      <c r="AC733" s="307"/>
      <c r="AD733" s="307"/>
      <c r="AE733" s="307"/>
      <c r="AF733" s="307"/>
      <c r="AG733" s="307"/>
      <c r="AH733" s="307"/>
      <c r="AI733" s="307"/>
      <c r="AJ733" s="307"/>
      <c r="AK733" s="307"/>
      <c r="AL733" s="307"/>
      <c r="AM733" s="307"/>
      <c r="AN733" s="307"/>
      <c r="AO733" s="307"/>
      <c r="AP733" s="307"/>
      <c r="AQ733" s="307"/>
      <c r="AR733" s="307"/>
    </row>
    <row r="734" spans="1:44" s="457" customFormat="1" ht="12" customHeight="1">
      <c r="A734" s="307"/>
      <c r="P734" s="380"/>
      <c r="X734" s="307"/>
      <c r="Y734" s="307"/>
      <c r="Z734" s="1753"/>
      <c r="AA734" s="307"/>
      <c r="AB734" s="307"/>
      <c r="AC734" s="307"/>
      <c r="AD734" s="307"/>
      <c r="AE734" s="307"/>
      <c r="AF734" s="307"/>
      <c r="AG734" s="307"/>
      <c r="AH734" s="307"/>
      <c r="AI734" s="307"/>
      <c r="AJ734" s="307"/>
      <c r="AK734" s="307"/>
      <c r="AL734" s="307"/>
      <c r="AM734" s="307"/>
      <c r="AN734" s="307"/>
      <c r="AO734" s="307"/>
      <c r="AP734" s="307"/>
      <c r="AQ734" s="307"/>
      <c r="AR734" s="307"/>
    </row>
    <row r="735" spans="1:44" s="457" customFormat="1" ht="12" customHeight="1">
      <c r="A735" s="307"/>
      <c r="P735" s="380"/>
      <c r="X735" s="307"/>
      <c r="Y735" s="307"/>
      <c r="Z735" s="1753"/>
      <c r="AA735" s="307"/>
      <c r="AB735" s="307"/>
      <c r="AC735" s="307"/>
      <c r="AD735" s="307"/>
      <c r="AE735" s="307"/>
      <c r="AF735" s="307"/>
      <c r="AG735" s="307"/>
      <c r="AH735" s="307"/>
      <c r="AI735" s="307"/>
      <c r="AJ735" s="307"/>
      <c r="AK735" s="307"/>
      <c r="AL735" s="307"/>
      <c r="AM735" s="307"/>
      <c r="AN735" s="307"/>
      <c r="AO735" s="307"/>
      <c r="AP735" s="307"/>
      <c r="AQ735" s="307"/>
      <c r="AR735" s="307"/>
    </row>
    <row r="736" spans="1:44" s="457" customFormat="1" ht="12" customHeight="1">
      <c r="A736" s="307"/>
      <c r="P736" s="380"/>
      <c r="X736" s="307"/>
      <c r="Y736" s="307"/>
      <c r="Z736" s="1753"/>
      <c r="AA736" s="307"/>
      <c r="AB736" s="307"/>
      <c r="AC736" s="307"/>
      <c r="AD736" s="307"/>
      <c r="AE736" s="307"/>
      <c r="AF736" s="307"/>
      <c r="AG736" s="307"/>
      <c r="AH736" s="307"/>
      <c r="AI736" s="307"/>
      <c r="AJ736" s="307"/>
      <c r="AK736" s="307"/>
      <c r="AL736" s="307"/>
      <c r="AM736" s="307"/>
      <c r="AN736" s="307"/>
      <c r="AO736" s="307"/>
      <c r="AP736" s="307"/>
      <c r="AQ736" s="307"/>
      <c r="AR736" s="307"/>
    </row>
    <row r="737" spans="1:44" s="457" customFormat="1" ht="12" customHeight="1">
      <c r="A737" s="307"/>
      <c r="P737" s="380"/>
      <c r="X737" s="307"/>
      <c r="Y737" s="307"/>
      <c r="Z737" s="1753"/>
      <c r="AA737" s="307"/>
      <c r="AB737" s="307"/>
      <c r="AC737" s="307"/>
      <c r="AD737" s="307"/>
      <c r="AE737" s="307"/>
      <c r="AF737" s="307"/>
      <c r="AG737" s="307"/>
      <c r="AH737" s="307"/>
      <c r="AI737" s="307"/>
      <c r="AJ737" s="307"/>
      <c r="AK737" s="307"/>
      <c r="AL737" s="307"/>
      <c r="AM737" s="307"/>
      <c r="AN737" s="307"/>
      <c r="AO737" s="307"/>
      <c r="AP737" s="307"/>
      <c r="AQ737" s="307"/>
      <c r="AR737" s="307"/>
    </row>
    <row r="738" spans="1:44" s="457" customFormat="1" ht="12" customHeight="1">
      <c r="A738" s="307"/>
      <c r="P738" s="380"/>
      <c r="X738" s="307"/>
      <c r="Y738" s="307"/>
      <c r="Z738" s="1753"/>
      <c r="AA738" s="307"/>
      <c r="AB738" s="307"/>
      <c r="AC738" s="307"/>
      <c r="AD738" s="307"/>
      <c r="AE738" s="307"/>
      <c r="AF738" s="307"/>
      <c r="AG738" s="307"/>
      <c r="AH738" s="307"/>
      <c r="AI738" s="307"/>
      <c r="AJ738" s="307"/>
      <c r="AK738" s="307"/>
      <c r="AL738" s="307"/>
      <c r="AM738" s="307"/>
      <c r="AN738" s="307"/>
      <c r="AO738" s="307"/>
      <c r="AP738" s="307"/>
      <c r="AQ738" s="307"/>
      <c r="AR738" s="307"/>
    </row>
    <row r="739" spans="1:44" s="457" customFormat="1" ht="12" customHeight="1">
      <c r="A739" s="307"/>
      <c r="P739" s="380"/>
      <c r="X739" s="307"/>
      <c r="Y739" s="307"/>
      <c r="Z739" s="1753"/>
      <c r="AA739" s="307"/>
      <c r="AB739" s="307"/>
      <c r="AC739" s="307"/>
      <c r="AD739" s="307"/>
      <c r="AE739" s="307"/>
      <c r="AF739" s="307"/>
      <c r="AG739" s="307"/>
      <c r="AH739" s="307"/>
      <c r="AI739" s="307"/>
      <c r="AJ739" s="307"/>
      <c r="AK739" s="307"/>
      <c r="AL739" s="307"/>
      <c r="AM739" s="307"/>
      <c r="AN739" s="307"/>
      <c r="AO739" s="307"/>
      <c r="AP739" s="307"/>
      <c r="AQ739" s="307"/>
      <c r="AR739" s="307"/>
    </row>
    <row r="740" spans="1:44" s="457" customFormat="1" ht="12" customHeight="1">
      <c r="A740" s="307"/>
      <c r="P740" s="380"/>
      <c r="X740" s="307"/>
      <c r="Y740" s="307"/>
      <c r="Z740" s="1753"/>
      <c r="AA740" s="307"/>
      <c r="AB740" s="307"/>
      <c r="AC740" s="307"/>
      <c r="AD740" s="307"/>
      <c r="AE740" s="307"/>
      <c r="AF740" s="307"/>
      <c r="AG740" s="307"/>
      <c r="AH740" s="307"/>
      <c r="AI740" s="307"/>
      <c r="AJ740" s="307"/>
      <c r="AK740" s="307"/>
      <c r="AL740" s="307"/>
      <c r="AM740" s="307"/>
      <c r="AN740" s="307"/>
      <c r="AO740" s="307"/>
      <c r="AP740" s="307"/>
      <c r="AQ740" s="307"/>
      <c r="AR740" s="307"/>
    </row>
    <row r="741" spans="1:44" s="457" customFormat="1" ht="12" customHeight="1">
      <c r="A741" s="307"/>
      <c r="P741" s="380"/>
      <c r="X741" s="307"/>
      <c r="Y741" s="307"/>
      <c r="Z741" s="1753"/>
      <c r="AA741" s="307"/>
      <c r="AB741" s="307"/>
      <c r="AC741" s="307"/>
      <c r="AD741" s="307"/>
      <c r="AE741" s="307"/>
      <c r="AF741" s="307"/>
      <c r="AG741" s="307"/>
      <c r="AH741" s="307"/>
      <c r="AI741" s="307"/>
      <c r="AJ741" s="307"/>
      <c r="AK741" s="307"/>
      <c r="AL741" s="307"/>
      <c r="AM741" s="307"/>
      <c r="AN741" s="307"/>
      <c r="AO741" s="307"/>
      <c r="AP741" s="307"/>
      <c r="AQ741" s="307"/>
      <c r="AR741" s="307"/>
    </row>
    <row r="742" spans="1:44" s="457" customFormat="1" ht="12" customHeight="1">
      <c r="A742" s="307"/>
      <c r="P742" s="380"/>
      <c r="X742" s="307"/>
      <c r="Y742" s="307"/>
      <c r="Z742" s="1753"/>
      <c r="AA742" s="307"/>
      <c r="AB742" s="307"/>
      <c r="AC742" s="307"/>
      <c r="AD742" s="307"/>
      <c r="AE742" s="307"/>
      <c r="AF742" s="307"/>
      <c r="AG742" s="307"/>
      <c r="AH742" s="307"/>
      <c r="AI742" s="307"/>
      <c r="AJ742" s="307"/>
      <c r="AK742" s="307"/>
      <c r="AL742" s="307"/>
      <c r="AM742" s="307"/>
      <c r="AN742" s="307"/>
      <c r="AO742" s="307"/>
      <c r="AP742" s="307"/>
      <c r="AQ742" s="307"/>
      <c r="AR742" s="307"/>
    </row>
    <row r="743" spans="1:44" s="457" customFormat="1" ht="12" customHeight="1">
      <c r="A743" s="307"/>
      <c r="P743" s="380"/>
      <c r="X743" s="307"/>
      <c r="Y743" s="307"/>
      <c r="Z743" s="1753"/>
      <c r="AA743" s="307"/>
      <c r="AB743" s="307"/>
      <c r="AC743" s="307"/>
      <c r="AD743" s="307"/>
      <c r="AE743" s="307"/>
      <c r="AF743" s="307"/>
      <c r="AG743" s="307"/>
      <c r="AH743" s="307"/>
      <c r="AI743" s="307"/>
      <c r="AJ743" s="307"/>
      <c r="AK743" s="307"/>
      <c r="AL743" s="307"/>
      <c r="AM743" s="307"/>
      <c r="AN743" s="307"/>
      <c r="AO743" s="307"/>
      <c r="AP743" s="307"/>
      <c r="AQ743" s="307"/>
      <c r="AR743" s="307"/>
    </row>
    <row r="744" spans="1:44" s="457" customFormat="1" ht="12" customHeight="1">
      <c r="A744" s="307"/>
      <c r="P744" s="1799"/>
      <c r="X744" s="307"/>
      <c r="Y744" s="307"/>
      <c r="Z744" s="1753"/>
      <c r="AA744" s="307"/>
      <c r="AB744" s="307"/>
      <c r="AC744" s="307"/>
      <c r="AD744" s="307"/>
      <c r="AE744" s="307"/>
      <c r="AF744" s="307"/>
      <c r="AG744" s="307"/>
      <c r="AH744" s="307"/>
      <c r="AI744" s="307"/>
      <c r="AJ744" s="307"/>
      <c r="AK744" s="307"/>
      <c r="AL744" s="307"/>
      <c r="AM744" s="307"/>
      <c r="AN744" s="307"/>
      <c r="AO744" s="307"/>
      <c r="AP744" s="307"/>
      <c r="AQ744" s="307"/>
      <c r="AR744" s="307"/>
    </row>
    <row r="745" spans="1:44" s="457" customFormat="1" ht="12" customHeight="1">
      <c r="A745" s="307"/>
      <c r="P745" s="1799"/>
      <c r="X745" s="307"/>
      <c r="Y745" s="307"/>
      <c r="Z745" s="1753"/>
      <c r="AA745" s="307"/>
      <c r="AB745" s="307"/>
      <c r="AC745" s="307"/>
      <c r="AD745" s="307"/>
      <c r="AE745" s="307"/>
      <c r="AF745" s="307"/>
      <c r="AG745" s="307"/>
      <c r="AH745" s="307"/>
      <c r="AI745" s="307"/>
      <c r="AJ745" s="307"/>
      <c r="AK745" s="307"/>
      <c r="AL745" s="307"/>
      <c r="AM745" s="307"/>
      <c r="AN745" s="307"/>
      <c r="AO745" s="307"/>
      <c r="AP745" s="307"/>
      <c r="AQ745" s="307"/>
      <c r="AR745" s="307"/>
    </row>
    <row r="746" spans="1:44" s="457" customFormat="1" ht="12" customHeight="1">
      <c r="A746" s="307"/>
      <c r="P746" s="380"/>
      <c r="X746" s="307"/>
      <c r="Y746" s="307"/>
      <c r="Z746" s="1753"/>
      <c r="AA746" s="307"/>
      <c r="AB746" s="307"/>
      <c r="AC746" s="307"/>
      <c r="AD746" s="307"/>
      <c r="AE746" s="307"/>
      <c r="AF746" s="307"/>
      <c r="AG746" s="307"/>
      <c r="AH746" s="307"/>
      <c r="AI746" s="307"/>
      <c r="AJ746" s="307"/>
      <c r="AK746" s="307"/>
      <c r="AL746" s="307"/>
      <c r="AM746" s="307"/>
      <c r="AN746" s="307"/>
      <c r="AO746" s="307"/>
      <c r="AP746" s="307"/>
      <c r="AQ746" s="307"/>
      <c r="AR746" s="307"/>
    </row>
    <row r="747" spans="1:44" s="457" customFormat="1" ht="12" customHeight="1">
      <c r="A747" s="307"/>
      <c r="P747" s="380"/>
      <c r="X747" s="307"/>
      <c r="Y747" s="307"/>
      <c r="Z747" s="1753"/>
      <c r="AA747" s="307"/>
      <c r="AB747" s="307"/>
      <c r="AC747" s="307"/>
      <c r="AD747" s="307"/>
      <c r="AE747" s="307"/>
      <c r="AF747" s="307"/>
      <c r="AG747" s="307"/>
      <c r="AH747" s="307"/>
      <c r="AI747" s="307"/>
      <c r="AJ747" s="307"/>
      <c r="AK747" s="307"/>
      <c r="AL747" s="307"/>
      <c r="AM747" s="307"/>
      <c r="AN747" s="307"/>
      <c r="AO747" s="307"/>
      <c r="AP747" s="307"/>
      <c r="AQ747" s="307"/>
      <c r="AR747" s="307"/>
    </row>
    <row r="748" spans="1:44" s="457" customFormat="1" ht="12" customHeight="1">
      <c r="A748" s="307"/>
      <c r="P748" s="380"/>
      <c r="X748" s="307"/>
      <c r="Y748" s="307"/>
      <c r="Z748" s="1753"/>
      <c r="AA748" s="307"/>
      <c r="AB748" s="307"/>
      <c r="AC748" s="307"/>
      <c r="AD748" s="307"/>
      <c r="AE748" s="307"/>
      <c r="AF748" s="307"/>
      <c r="AG748" s="307"/>
      <c r="AH748" s="307"/>
      <c r="AI748" s="307"/>
      <c r="AJ748" s="307"/>
      <c r="AK748" s="307"/>
      <c r="AL748" s="307"/>
      <c r="AM748" s="307"/>
      <c r="AN748" s="307"/>
      <c r="AO748" s="307"/>
      <c r="AP748" s="307"/>
      <c r="AQ748" s="307"/>
      <c r="AR748" s="307"/>
    </row>
    <row r="749" spans="1:44" s="457" customFormat="1" ht="12" customHeight="1">
      <c r="A749" s="307"/>
      <c r="P749" s="380"/>
      <c r="X749" s="307"/>
      <c r="Y749" s="307"/>
      <c r="Z749" s="1753"/>
      <c r="AA749" s="307"/>
      <c r="AB749" s="307"/>
      <c r="AC749" s="307"/>
      <c r="AD749" s="307"/>
      <c r="AE749" s="307"/>
      <c r="AF749" s="307"/>
      <c r="AG749" s="307"/>
      <c r="AH749" s="307"/>
      <c r="AI749" s="307"/>
      <c r="AJ749" s="307"/>
      <c r="AK749" s="307"/>
      <c r="AL749" s="307"/>
      <c r="AM749" s="307"/>
      <c r="AN749" s="307"/>
      <c r="AO749" s="307"/>
      <c r="AP749" s="307"/>
      <c r="AQ749" s="307"/>
      <c r="AR749" s="307"/>
    </row>
    <row r="750" spans="1:44" s="457" customFormat="1" ht="12" customHeight="1">
      <c r="A750" s="307"/>
      <c r="P750" s="380"/>
      <c r="X750" s="307"/>
      <c r="Y750" s="307"/>
      <c r="Z750" s="1753"/>
      <c r="AA750" s="307"/>
      <c r="AB750" s="307"/>
      <c r="AC750" s="307"/>
      <c r="AD750" s="307"/>
      <c r="AE750" s="307"/>
      <c r="AF750" s="307"/>
      <c r="AG750" s="307"/>
      <c r="AH750" s="307"/>
      <c r="AI750" s="307"/>
      <c r="AJ750" s="307"/>
      <c r="AK750" s="307"/>
      <c r="AL750" s="307"/>
      <c r="AM750" s="307"/>
      <c r="AN750" s="307"/>
      <c r="AO750" s="307"/>
      <c r="AP750" s="307"/>
      <c r="AQ750" s="307"/>
      <c r="AR750" s="307"/>
    </row>
    <row r="751" spans="1:44" s="457" customFormat="1" ht="12" customHeight="1">
      <c r="A751" s="307"/>
      <c r="P751" s="380"/>
      <c r="X751" s="307"/>
      <c r="Y751" s="307"/>
      <c r="Z751" s="1753"/>
      <c r="AA751" s="307"/>
      <c r="AB751" s="307"/>
      <c r="AC751" s="307"/>
      <c r="AD751" s="307"/>
      <c r="AE751" s="307"/>
      <c r="AF751" s="307"/>
      <c r="AG751" s="307"/>
      <c r="AH751" s="307"/>
      <c r="AI751" s="307"/>
      <c r="AJ751" s="307"/>
      <c r="AK751" s="307"/>
      <c r="AL751" s="307"/>
      <c r="AM751" s="307"/>
      <c r="AN751" s="307"/>
      <c r="AO751" s="307"/>
      <c r="AP751" s="307"/>
      <c r="AQ751" s="307"/>
      <c r="AR751" s="307"/>
    </row>
    <row r="752" spans="1:44" s="457" customFormat="1" ht="12" customHeight="1">
      <c r="A752" s="307"/>
      <c r="P752" s="380"/>
      <c r="X752" s="307"/>
      <c r="Y752" s="307"/>
      <c r="Z752" s="1753"/>
      <c r="AA752" s="307"/>
      <c r="AB752" s="307"/>
      <c r="AC752" s="307"/>
      <c r="AD752" s="307"/>
      <c r="AE752" s="307"/>
      <c r="AF752" s="307"/>
      <c r="AG752" s="307"/>
      <c r="AH752" s="307"/>
      <c r="AI752" s="307"/>
      <c r="AJ752" s="307"/>
      <c r="AK752" s="307"/>
      <c r="AL752" s="307"/>
      <c r="AM752" s="307"/>
      <c r="AN752" s="307"/>
      <c r="AO752" s="307"/>
      <c r="AP752" s="307"/>
      <c r="AQ752" s="307"/>
      <c r="AR752" s="307"/>
    </row>
    <row r="753" spans="1:44" s="457" customFormat="1" ht="12" customHeight="1">
      <c r="A753" s="307"/>
      <c r="P753" s="380"/>
      <c r="X753" s="307"/>
      <c r="Y753" s="307"/>
      <c r="Z753" s="1753"/>
      <c r="AA753" s="307"/>
      <c r="AB753" s="307"/>
      <c r="AC753" s="307"/>
      <c r="AD753" s="307"/>
      <c r="AE753" s="307"/>
      <c r="AF753" s="307"/>
      <c r="AG753" s="307"/>
      <c r="AH753" s="307"/>
      <c r="AI753" s="307"/>
      <c r="AJ753" s="307"/>
      <c r="AK753" s="307"/>
      <c r="AL753" s="307"/>
      <c r="AM753" s="307"/>
      <c r="AN753" s="307"/>
      <c r="AO753" s="307"/>
      <c r="AP753" s="307"/>
      <c r="AQ753" s="307"/>
      <c r="AR753" s="307"/>
    </row>
    <row r="754" spans="1:44" s="457" customFormat="1" ht="12" customHeight="1">
      <c r="A754" s="307"/>
      <c r="P754" s="380"/>
      <c r="X754" s="307"/>
      <c r="Y754" s="307"/>
      <c r="Z754" s="1753"/>
      <c r="AA754" s="307"/>
      <c r="AB754" s="307"/>
      <c r="AC754" s="307"/>
      <c r="AD754" s="307"/>
      <c r="AE754" s="307"/>
      <c r="AF754" s="307"/>
      <c r="AG754" s="307"/>
      <c r="AH754" s="307"/>
      <c r="AI754" s="307"/>
      <c r="AJ754" s="307"/>
      <c r="AK754" s="307"/>
      <c r="AL754" s="307"/>
      <c r="AM754" s="307"/>
      <c r="AN754" s="307"/>
      <c r="AO754" s="307"/>
      <c r="AP754" s="307"/>
      <c r="AQ754" s="307"/>
      <c r="AR754" s="307"/>
    </row>
    <row r="755" spans="1:44" s="457" customFormat="1" ht="12" customHeight="1">
      <c r="A755" s="307"/>
      <c r="P755" s="380"/>
      <c r="X755" s="307"/>
      <c r="Y755" s="307"/>
      <c r="Z755" s="1753"/>
      <c r="AA755" s="307"/>
      <c r="AB755" s="307"/>
      <c r="AC755" s="307"/>
      <c r="AD755" s="307"/>
      <c r="AE755" s="307"/>
      <c r="AF755" s="307"/>
      <c r="AG755" s="307"/>
      <c r="AH755" s="307"/>
      <c r="AI755" s="307"/>
      <c r="AJ755" s="307"/>
      <c r="AK755" s="307"/>
      <c r="AL755" s="307"/>
      <c r="AM755" s="307"/>
      <c r="AN755" s="307"/>
      <c r="AO755" s="307"/>
      <c r="AP755" s="307"/>
      <c r="AQ755" s="307"/>
      <c r="AR755" s="307"/>
    </row>
    <row r="756" spans="1:44" s="457" customFormat="1" ht="12" customHeight="1">
      <c r="A756" s="307"/>
      <c r="P756" s="380"/>
      <c r="Q756" s="2751"/>
      <c r="X756" s="307"/>
      <c r="Y756" s="307"/>
      <c r="Z756" s="1753"/>
      <c r="AA756" s="307"/>
      <c r="AB756" s="307"/>
      <c r="AC756" s="307"/>
      <c r="AD756" s="307"/>
      <c r="AE756" s="307"/>
      <c r="AF756" s="307"/>
      <c r="AG756" s="307"/>
      <c r="AH756" s="307"/>
      <c r="AI756" s="307"/>
      <c r="AJ756" s="307"/>
      <c r="AK756" s="307"/>
      <c r="AL756" s="307"/>
      <c r="AM756" s="307"/>
      <c r="AN756" s="307"/>
      <c r="AO756" s="307"/>
      <c r="AP756" s="307"/>
      <c r="AQ756" s="307"/>
      <c r="AR756" s="307"/>
    </row>
    <row r="757" spans="1:44" s="457" customFormat="1" ht="12" customHeight="1">
      <c r="A757" s="307"/>
      <c r="P757" s="380"/>
      <c r="X757" s="307"/>
      <c r="Y757" s="307"/>
      <c r="Z757" s="1753"/>
      <c r="AA757" s="307"/>
      <c r="AB757" s="307"/>
      <c r="AC757" s="307"/>
      <c r="AD757" s="307"/>
      <c r="AE757" s="307"/>
      <c r="AF757" s="307"/>
      <c r="AG757" s="307"/>
      <c r="AH757" s="307"/>
      <c r="AI757" s="307"/>
      <c r="AJ757" s="307"/>
      <c r="AK757" s="307"/>
      <c r="AL757" s="307"/>
      <c r="AM757" s="307"/>
      <c r="AN757" s="307"/>
      <c r="AO757" s="307"/>
      <c r="AP757" s="307"/>
      <c r="AQ757" s="307"/>
      <c r="AR757" s="307"/>
    </row>
    <row r="758" spans="1:44" s="457" customFormat="1" ht="12" customHeight="1">
      <c r="A758" s="307"/>
      <c r="P758" s="380"/>
      <c r="X758" s="307"/>
      <c r="Y758" s="307"/>
      <c r="Z758" s="1753"/>
      <c r="AA758" s="307"/>
      <c r="AB758" s="307"/>
      <c r="AC758" s="307"/>
      <c r="AD758" s="307"/>
      <c r="AE758" s="307"/>
      <c r="AF758" s="307"/>
      <c r="AG758" s="307"/>
      <c r="AH758" s="307"/>
      <c r="AI758" s="307"/>
      <c r="AJ758" s="307"/>
      <c r="AK758" s="307"/>
      <c r="AL758" s="307"/>
      <c r="AM758" s="307"/>
      <c r="AN758" s="307"/>
      <c r="AO758" s="307"/>
      <c r="AP758" s="307"/>
      <c r="AQ758" s="307"/>
      <c r="AR758" s="307"/>
    </row>
    <row r="759" spans="1:44" s="457" customFormat="1" ht="12" customHeight="1">
      <c r="A759" s="307"/>
      <c r="P759" s="380"/>
      <c r="X759" s="307"/>
      <c r="Y759" s="307"/>
      <c r="Z759" s="1753"/>
      <c r="AA759" s="307"/>
      <c r="AB759" s="307"/>
      <c r="AC759" s="307"/>
      <c r="AD759" s="307"/>
      <c r="AE759" s="307"/>
      <c r="AF759" s="307"/>
      <c r="AG759" s="307"/>
      <c r="AH759" s="307"/>
      <c r="AI759" s="307"/>
      <c r="AJ759" s="307"/>
      <c r="AK759" s="307"/>
      <c r="AL759" s="307"/>
      <c r="AM759" s="307"/>
      <c r="AN759" s="307"/>
      <c r="AO759" s="307"/>
      <c r="AP759" s="307"/>
      <c r="AQ759" s="307"/>
      <c r="AR759" s="307"/>
    </row>
    <row r="760" spans="1:44" s="457" customFormat="1" ht="12" customHeight="1">
      <c r="A760" s="307"/>
      <c r="P760" s="380"/>
      <c r="X760" s="307"/>
      <c r="Y760" s="307"/>
      <c r="Z760" s="1753"/>
      <c r="AA760" s="307"/>
      <c r="AB760" s="307"/>
      <c r="AC760" s="307"/>
      <c r="AD760" s="307"/>
      <c r="AE760" s="307"/>
      <c r="AF760" s="307"/>
      <c r="AG760" s="307"/>
      <c r="AH760" s="307"/>
      <c r="AI760" s="307"/>
      <c r="AJ760" s="307"/>
      <c r="AK760" s="307"/>
      <c r="AL760" s="307"/>
      <c r="AM760" s="307"/>
      <c r="AN760" s="307"/>
      <c r="AO760" s="307"/>
      <c r="AP760" s="307"/>
      <c r="AQ760" s="307"/>
      <c r="AR760" s="307"/>
    </row>
    <row r="761" spans="1:44" s="457" customFormat="1" ht="12" customHeight="1">
      <c r="A761" s="307"/>
      <c r="P761" s="2749"/>
      <c r="X761" s="307"/>
      <c r="Y761" s="307"/>
      <c r="Z761" s="1753"/>
      <c r="AA761" s="307"/>
      <c r="AB761" s="307"/>
      <c r="AC761" s="307"/>
      <c r="AD761" s="307"/>
      <c r="AE761" s="307"/>
      <c r="AF761" s="307"/>
      <c r="AG761" s="307"/>
      <c r="AH761" s="307"/>
      <c r="AI761" s="307"/>
      <c r="AJ761" s="307"/>
      <c r="AK761" s="307"/>
      <c r="AL761" s="307"/>
      <c r="AM761" s="307"/>
      <c r="AN761" s="307"/>
      <c r="AO761" s="307"/>
      <c r="AP761" s="307"/>
      <c r="AQ761" s="307"/>
      <c r="AR761" s="307"/>
    </row>
    <row r="762" spans="1:44" s="457" customFormat="1" ht="12" customHeight="1">
      <c r="A762" s="307"/>
      <c r="P762" s="380"/>
      <c r="X762" s="307"/>
      <c r="Y762" s="307"/>
      <c r="Z762" s="1753"/>
      <c r="AA762" s="307"/>
      <c r="AB762" s="307"/>
      <c r="AC762" s="307"/>
      <c r="AD762" s="307"/>
      <c r="AE762" s="307"/>
      <c r="AF762" s="307"/>
      <c r="AG762" s="307"/>
      <c r="AH762" s="307"/>
      <c r="AI762" s="307"/>
      <c r="AJ762" s="307"/>
      <c r="AK762" s="307"/>
      <c r="AL762" s="307"/>
      <c r="AM762" s="307"/>
      <c r="AN762" s="307"/>
      <c r="AO762" s="307"/>
      <c r="AP762" s="307"/>
      <c r="AQ762" s="307"/>
      <c r="AR762" s="307"/>
    </row>
    <row r="763" spans="1:44" s="457" customFormat="1" ht="12" customHeight="1">
      <c r="A763" s="307"/>
      <c r="P763" s="380"/>
      <c r="X763" s="307"/>
      <c r="Y763" s="307"/>
      <c r="Z763" s="1753"/>
      <c r="AA763" s="307"/>
      <c r="AB763" s="307"/>
      <c r="AC763" s="307"/>
      <c r="AD763" s="307"/>
      <c r="AE763" s="307"/>
      <c r="AF763" s="307"/>
      <c r="AG763" s="307"/>
      <c r="AH763" s="307"/>
      <c r="AI763" s="307"/>
      <c r="AJ763" s="307"/>
      <c r="AK763" s="307"/>
      <c r="AL763" s="307"/>
      <c r="AM763" s="307"/>
      <c r="AN763" s="307"/>
      <c r="AO763" s="307"/>
      <c r="AP763" s="307"/>
      <c r="AQ763" s="307"/>
      <c r="AR763" s="307"/>
    </row>
    <row r="764" spans="1:44" s="457" customFormat="1" ht="12" customHeight="1">
      <c r="A764" s="307"/>
      <c r="P764" s="380"/>
      <c r="X764" s="307"/>
      <c r="Y764" s="307"/>
      <c r="Z764" s="1753"/>
      <c r="AA764" s="307"/>
      <c r="AB764" s="307"/>
      <c r="AC764" s="307"/>
      <c r="AD764" s="307"/>
      <c r="AE764" s="307"/>
      <c r="AF764" s="307"/>
      <c r="AG764" s="307"/>
      <c r="AH764" s="307"/>
      <c r="AI764" s="307"/>
      <c r="AJ764" s="307"/>
      <c r="AK764" s="307"/>
      <c r="AL764" s="307"/>
      <c r="AM764" s="307"/>
      <c r="AN764" s="307"/>
      <c r="AO764" s="307"/>
      <c r="AP764" s="307"/>
      <c r="AQ764" s="307"/>
      <c r="AR764" s="307"/>
    </row>
    <row r="765" spans="1:44" s="457" customFormat="1" ht="12" customHeight="1">
      <c r="A765" s="307"/>
      <c r="P765" s="380"/>
      <c r="X765" s="307"/>
      <c r="Y765" s="307"/>
      <c r="Z765" s="1753"/>
      <c r="AA765" s="307"/>
      <c r="AB765" s="307"/>
      <c r="AC765" s="307"/>
      <c r="AD765" s="307"/>
      <c r="AE765" s="307"/>
      <c r="AF765" s="307"/>
      <c r="AG765" s="307"/>
      <c r="AH765" s="307"/>
      <c r="AI765" s="307"/>
      <c r="AJ765" s="307"/>
      <c r="AK765" s="307"/>
      <c r="AL765" s="307"/>
      <c r="AM765" s="307"/>
      <c r="AN765" s="307"/>
      <c r="AO765" s="307"/>
      <c r="AP765" s="307"/>
      <c r="AQ765" s="307"/>
      <c r="AR765" s="307"/>
    </row>
    <row r="766" spans="1:44" s="457" customFormat="1" ht="12" customHeight="1">
      <c r="A766" s="307"/>
      <c r="P766" s="380"/>
      <c r="X766" s="307"/>
      <c r="Y766" s="307"/>
      <c r="Z766" s="1753"/>
      <c r="AA766" s="307"/>
      <c r="AB766" s="307"/>
      <c r="AC766" s="307"/>
      <c r="AD766" s="307"/>
      <c r="AE766" s="307"/>
      <c r="AF766" s="307"/>
      <c r="AG766" s="307"/>
      <c r="AH766" s="307"/>
      <c r="AI766" s="307"/>
      <c r="AJ766" s="307"/>
      <c r="AK766" s="307"/>
      <c r="AL766" s="307"/>
      <c r="AM766" s="307"/>
      <c r="AN766" s="307"/>
      <c r="AO766" s="307"/>
      <c r="AP766" s="307"/>
      <c r="AQ766" s="307"/>
      <c r="AR766" s="307"/>
    </row>
    <row r="767" spans="1:44" s="457" customFormat="1" ht="12" customHeight="1">
      <c r="A767" s="307"/>
      <c r="P767" s="380"/>
      <c r="X767" s="307"/>
      <c r="Y767" s="307"/>
      <c r="Z767" s="1753"/>
      <c r="AA767" s="307"/>
      <c r="AB767" s="307"/>
      <c r="AC767" s="307"/>
      <c r="AD767" s="307"/>
      <c r="AE767" s="307"/>
      <c r="AF767" s="307"/>
      <c r="AG767" s="307"/>
      <c r="AH767" s="307"/>
      <c r="AI767" s="307"/>
      <c r="AJ767" s="307"/>
      <c r="AK767" s="307"/>
      <c r="AL767" s="307"/>
      <c r="AM767" s="307"/>
      <c r="AN767" s="307"/>
      <c r="AO767" s="307"/>
      <c r="AP767" s="307"/>
      <c r="AQ767" s="307"/>
      <c r="AR767" s="307"/>
    </row>
    <row r="768" spans="1:44" s="457" customFormat="1" ht="12" customHeight="1">
      <c r="A768" s="307"/>
      <c r="P768" s="380"/>
      <c r="X768" s="307"/>
      <c r="Y768" s="307"/>
      <c r="Z768" s="1753"/>
      <c r="AA768" s="307"/>
      <c r="AB768" s="307"/>
      <c r="AC768" s="307"/>
      <c r="AD768" s="307"/>
      <c r="AE768" s="307"/>
      <c r="AF768" s="307"/>
      <c r="AG768" s="307"/>
      <c r="AH768" s="307"/>
      <c r="AI768" s="307"/>
      <c r="AJ768" s="307"/>
      <c r="AK768" s="307"/>
      <c r="AL768" s="307"/>
      <c r="AM768" s="307"/>
      <c r="AN768" s="307"/>
      <c r="AO768" s="307"/>
      <c r="AP768" s="307"/>
      <c r="AQ768" s="307"/>
      <c r="AR768" s="307"/>
    </row>
    <row r="769" spans="1:44" s="457" customFormat="1" ht="12" customHeight="1">
      <c r="A769" s="307"/>
      <c r="P769" s="380"/>
      <c r="X769" s="307"/>
      <c r="Y769" s="307"/>
      <c r="Z769" s="1753"/>
      <c r="AA769" s="307"/>
      <c r="AB769" s="307"/>
      <c r="AC769" s="307"/>
      <c r="AD769" s="307"/>
      <c r="AE769" s="307"/>
      <c r="AF769" s="307"/>
      <c r="AG769" s="307"/>
      <c r="AH769" s="307"/>
      <c r="AI769" s="307"/>
      <c r="AJ769" s="307"/>
      <c r="AK769" s="307"/>
      <c r="AL769" s="307"/>
      <c r="AM769" s="307"/>
      <c r="AN769" s="307"/>
      <c r="AO769" s="307"/>
      <c r="AP769" s="307"/>
      <c r="AQ769" s="307"/>
      <c r="AR769" s="307"/>
    </row>
    <row r="770" spans="1:44" s="457" customFormat="1" ht="12" customHeight="1">
      <c r="A770" s="307"/>
      <c r="P770" s="380"/>
      <c r="X770" s="307"/>
      <c r="Y770" s="307"/>
      <c r="Z770" s="1753"/>
      <c r="AA770" s="307"/>
      <c r="AB770" s="307"/>
      <c r="AC770" s="307"/>
      <c r="AD770" s="307"/>
      <c r="AE770" s="307"/>
      <c r="AF770" s="307"/>
      <c r="AG770" s="307"/>
      <c r="AH770" s="307"/>
      <c r="AI770" s="307"/>
      <c r="AJ770" s="307"/>
      <c r="AK770" s="307"/>
      <c r="AL770" s="307"/>
      <c r="AM770" s="307"/>
      <c r="AN770" s="307"/>
      <c r="AO770" s="307"/>
      <c r="AP770" s="307"/>
      <c r="AQ770" s="307"/>
      <c r="AR770" s="307"/>
    </row>
    <row r="771" spans="1:44" s="457" customFormat="1" ht="12" customHeight="1">
      <c r="A771" s="307"/>
      <c r="P771" s="380"/>
      <c r="X771" s="307"/>
      <c r="Y771" s="307"/>
      <c r="Z771" s="1753"/>
      <c r="AA771" s="307"/>
      <c r="AB771" s="307"/>
      <c r="AC771" s="307"/>
      <c r="AD771" s="307"/>
      <c r="AE771" s="307"/>
      <c r="AF771" s="307"/>
      <c r="AG771" s="307"/>
      <c r="AH771" s="307"/>
      <c r="AI771" s="307"/>
      <c r="AJ771" s="307"/>
      <c r="AK771" s="307"/>
      <c r="AL771" s="307"/>
      <c r="AM771" s="307"/>
      <c r="AN771" s="307"/>
      <c r="AO771" s="307"/>
      <c r="AP771" s="307"/>
      <c r="AQ771" s="307"/>
      <c r="AR771" s="307"/>
    </row>
    <row r="772" spans="1:44" s="457" customFormat="1" ht="12" customHeight="1">
      <c r="A772" s="307"/>
      <c r="P772" s="380"/>
      <c r="X772" s="307"/>
      <c r="Y772" s="307"/>
      <c r="Z772" s="1753"/>
      <c r="AA772" s="307"/>
      <c r="AB772" s="307"/>
      <c r="AC772" s="307"/>
      <c r="AD772" s="307"/>
      <c r="AE772" s="307"/>
      <c r="AF772" s="307"/>
      <c r="AG772" s="307"/>
      <c r="AH772" s="307"/>
      <c r="AI772" s="307"/>
      <c r="AJ772" s="307"/>
      <c r="AK772" s="307"/>
      <c r="AL772" s="307"/>
      <c r="AM772" s="307"/>
      <c r="AN772" s="307"/>
      <c r="AO772" s="307"/>
      <c r="AP772" s="307"/>
      <c r="AQ772" s="307"/>
      <c r="AR772" s="307"/>
    </row>
    <row r="773" spans="1:44" s="457" customFormat="1" ht="12" customHeight="1">
      <c r="A773" s="307"/>
      <c r="P773" s="1799"/>
      <c r="X773" s="307"/>
      <c r="Y773" s="307"/>
      <c r="Z773" s="1753"/>
      <c r="AA773" s="307"/>
      <c r="AB773" s="307"/>
      <c r="AC773" s="307"/>
      <c r="AD773" s="307"/>
      <c r="AE773" s="307"/>
      <c r="AF773" s="307"/>
      <c r="AG773" s="307"/>
      <c r="AH773" s="307"/>
      <c r="AI773" s="307"/>
      <c r="AJ773" s="307"/>
      <c r="AK773" s="307"/>
      <c r="AL773" s="307"/>
      <c r="AM773" s="307"/>
      <c r="AN773" s="307"/>
      <c r="AO773" s="307"/>
      <c r="AP773" s="307"/>
      <c r="AQ773" s="307"/>
      <c r="AR773" s="307"/>
    </row>
    <row r="774" spans="1:44" s="457" customFormat="1" ht="12" customHeight="1">
      <c r="A774" s="307"/>
      <c r="P774" s="380"/>
      <c r="X774" s="307"/>
      <c r="Y774" s="307"/>
      <c r="Z774" s="1753"/>
      <c r="AA774" s="307"/>
      <c r="AB774" s="307"/>
      <c r="AC774" s="307"/>
      <c r="AD774" s="307"/>
      <c r="AE774" s="307"/>
      <c r="AF774" s="307"/>
      <c r="AG774" s="307"/>
      <c r="AH774" s="307"/>
      <c r="AI774" s="307"/>
      <c r="AJ774" s="307"/>
      <c r="AK774" s="307"/>
      <c r="AL774" s="307"/>
      <c r="AM774" s="307"/>
      <c r="AN774" s="307"/>
      <c r="AO774" s="307"/>
      <c r="AP774" s="307"/>
      <c r="AQ774" s="307"/>
      <c r="AR774" s="307"/>
    </row>
    <row r="775" spans="1:44" s="457" customFormat="1" ht="12" customHeight="1">
      <c r="A775" s="307"/>
      <c r="P775" s="380"/>
      <c r="X775" s="307"/>
      <c r="Y775" s="307"/>
      <c r="Z775" s="1753"/>
      <c r="AA775" s="307"/>
      <c r="AB775" s="307"/>
      <c r="AC775" s="307"/>
      <c r="AD775" s="307"/>
      <c r="AE775" s="307"/>
      <c r="AF775" s="307"/>
      <c r="AG775" s="307"/>
      <c r="AH775" s="307"/>
      <c r="AI775" s="307"/>
      <c r="AJ775" s="307"/>
      <c r="AK775" s="307"/>
      <c r="AL775" s="307"/>
      <c r="AM775" s="307"/>
      <c r="AN775" s="307"/>
      <c r="AO775" s="307"/>
      <c r="AP775" s="307"/>
      <c r="AQ775" s="307"/>
      <c r="AR775" s="307"/>
    </row>
    <row r="776" spans="1:44" s="457" customFormat="1" ht="12" customHeight="1">
      <c r="A776" s="307"/>
      <c r="P776" s="380"/>
      <c r="X776" s="307"/>
      <c r="Y776" s="307"/>
      <c r="Z776" s="1753"/>
      <c r="AA776" s="307"/>
      <c r="AB776" s="307"/>
      <c r="AC776" s="307"/>
      <c r="AD776" s="307"/>
      <c r="AE776" s="307"/>
      <c r="AF776" s="307"/>
      <c r="AG776" s="307"/>
      <c r="AH776" s="307"/>
      <c r="AI776" s="307"/>
      <c r="AJ776" s="307"/>
      <c r="AK776" s="307"/>
      <c r="AL776" s="307"/>
      <c r="AM776" s="307"/>
      <c r="AN776" s="307"/>
      <c r="AO776" s="307"/>
      <c r="AP776" s="307"/>
      <c r="AQ776" s="307"/>
      <c r="AR776" s="307"/>
    </row>
    <row r="777" spans="1:44" s="457" customFormat="1" ht="12" customHeight="1">
      <c r="A777" s="307"/>
      <c r="P777" s="380"/>
      <c r="X777" s="307"/>
      <c r="Y777" s="307"/>
      <c r="Z777" s="1753"/>
      <c r="AA777" s="307"/>
      <c r="AB777" s="307"/>
      <c r="AC777" s="307"/>
      <c r="AD777" s="307"/>
      <c r="AE777" s="307"/>
      <c r="AF777" s="307"/>
      <c r="AG777" s="307"/>
      <c r="AH777" s="307"/>
      <c r="AI777" s="307"/>
      <c r="AJ777" s="307"/>
      <c r="AK777" s="307"/>
      <c r="AL777" s="307"/>
      <c r="AM777" s="307"/>
      <c r="AN777" s="307"/>
      <c r="AO777" s="307"/>
      <c r="AP777" s="307"/>
      <c r="AQ777" s="307"/>
      <c r="AR777" s="307"/>
    </row>
    <row r="778" spans="1:44" s="457" customFormat="1" ht="12" customHeight="1">
      <c r="A778" s="307"/>
      <c r="P778" s="380"/>
      <c r="X778" s="307"/>
      <c r="Y778" s="307"/>
      <c r="Z778" s="1753"/>
      <c r="AA778" s="307"/>
      <c r="AB778" s="307"/>
      <c r="AC778" s="307"/>
      <c r="AD778" s="307"/>
      <c r="AE778" s="307"/>
      <c r="AF778" s="307"/>
      <c r="AG778" s="307"/>
      <c r="AH778" s="307"/>
      <c r="AI778" s="307"/>
      <c r="AJ778" s="307"/>
      <c r="AK778" s="307"/>
      <c r="AL778" s="307"/>
      <c r="AM778" s="307"/>
      <c r="AN778" s="307"/>
      <c r="AO778" s="307"/>
      <c r="AP778" s="307"/>
      <c r="AQ778" s="307"/>
      <c r="AR778" s="307"/>
    </row>
    <row r="779" spans="1:44" s="457" customFormat="1" ht="12" customHeight="1">
      <c r="A779" s="307"/>
      <c r="P779" s="380"/>
      <c r="X779" s="307"/>
      <c r="Y779" s="307"/>
      <c r="Z779" s="1753"/>
      <c r="AA779" s="307"/>
      <c r="AB779" s="307"/>
      <c r="AC779" s="307"/>
      <c r="AD779" s="307"/>
      <c r="AE779" s="307"/>
      <c r="AF779" s="307"/>
      <c r="AG779" s="307"/>
      <c r="AH779" s="307"/>
      <c r="AI779" s="307"/>
      <c r="AJ779" s="307"/>
      <c r="AK779" s="307"/>
      <c r="AL779" s="307"/>
      <c r="AM779" s="307"/>
      <c r="AN779" s="307"/>
      <c r="AO779" s="307"/>
      <c r="AP779" s="307"/>
      <c r="AQ779" s="307"/>
      <c r="AR779" s="307"/>
    </row>
    <row r="780" spans="1:44" s="457" customFormat="1" ht="12" customHeight="1">
      <c r="A780" s="307"/>
      <c r="P780" s="380"/>
      <c r="X780" s="307"/>
      <c r="Y780" s="307"/>
      <c r="Z780" s="1753"/>
      <c r="AA780" s="307"/>
      <c r="AB780" s="307"/>
      <c r="AC780" s="307"/>
      <c r="AD780" s="307"/>
      <c r="AE780" s="307"/>
      <c r="AF780" s="307"/>
      <c r="AG780" s="307"/>
      <c r="AH780" s="307"/>
      <c r="AI780" s="307"/>
      <c r="AJ780" s="307"/>
      <c r="AK780" s="307"/>
      <c r="AL780" s="307"/>
      <c r="AM780" s="307"/>
      <c r="AN780" s="307"/>
      <c r="AO780" s="307"/>
      <c r="AP780" s="307"/>
      <c r="AQ780" s="307"/>
      <c r="AR780" s="307"/>
    </row>
    <row r="781" spans="1:44" s="457" customFormat="1" ht="12" customHeight="1">
      <c r="A781" s="307"/>
      <c r="P781" s="380"/>
      <c r="X781" s="307"/>
      <c r="Y781" s="307"/>
      <c r="Z781" s="1753"/>
      <c r="AA781" s="307"/>
      <c r="AB781" s="307"/>
      <c r="AC781" s="307"/>
      <c r="AD781" s="307"/>
      <c r="AE781" s="307"/>
      <c r="AF781" s="307"/>
      <c r="AG781" s="307"/>
      <c r="AH781" s="307"/>
      <c r="AI781" s="307"/>
      <c r="AJ781" s="307"/>
      <c r="AK781" s="307"/>
      <c r="AL781" s="307"/>
      <c r="AM781" s="307"/>
      <c r="AN781" s="307"/>
      <c r="AO781" s="307"/>
      <c r="AP781" s="307"/>
      <c r="AQ781" s="307"/>
      <c r="AR781" s="307"/>
    </row>
    <row r="782" spans="1:44" s="457" customFormat="1" ht="12" customHeight="1">
      <c r="A782" s="307"/>
      <c r="P782" s="380"/>
      <c r="X782" s="307"/>
      <c r="Y782" s="307"/>
      <c r="Z782" s="1753"/>
      <c r="AA782" s="307"/>
      <c r="AB782" s="307"/>
      <c r="AC782" s="307"/>
      <c r="AD782" s="307"/>
      <c r="AE782" s="307"/>
      <c r="AF782" s="307"/>
      <c r="AG782" s="307"/>
      <c r="AH782" s="307"/>
      <c r="AI782" s="307"/>
      <c r="AJ782" s="307"/>
      <c r="AK782" s="307"/>
      <c r="AL782" s="307"/>
      <c r="AM782" s="307"/>
      <c r="AN782" s="307"/>
      <c r="AO782" s="307"/>
      <c r="AP782" s="307"/>
      <c r="AQ782" s="307"/>
      <c r="AR782" s="307"/>
    </row>
    <row r="783" spans="1:44" s="457" customFormat="1" ht="12" customHeight="1">
      <c r="A783" s="307"/>
      <c r="P783" s="1799"/>
      <c r="X783" s="307"/>
      <c r="Y783" s="307"/>
      <c r="Z783" s="1753"/>
      <c r="AA783" s="307"/>
      <c r="AB783" s="307"/>
      <c r="AC783" s="307"/>
      <c r="AD783" s="307"/>
      <c r="AE783" s="307"/>
      <c r="AF783" s="307"/>
      <c r="AG783" s="307"/>
      <c r="AH783" s="307"/>
      <c r="AI783" s="307"/>
      <c r="AJ783" s="307"/>
      <c r="AK783" s="307"/>
      <c r="AL783" s="307"/>
      <c r="AM783" s="307"/>
      <c r="AN783" s="307"/>
      <c r="AO783" s="307"/>
      <c r="AP783" s="307"/>
      <c r="AQ783" s="307"/>
      <c r="AR783" s="307"/>
    </row>
    <row r="784" spans="1:44" s="457" customFormat="1" ht="12" customHeight="1">
      <c r="A784" s="307"/>
      <c r="P784" s="380"/>
      <c r="X784" s="307"/>
      <c r="Y784" s="307"/>
      <c r="Z784" s="1753"/>
      <c r="AA784" s="307"/>
      <c r="AB784" s="307"/>
      <c r="AC784" s="307"/>
      <c r="AD784" s="307"/>
      <c r="AE784" s="307"/>
      <c r="AF784" s="307"/>
      <c r="AG784" s="307"/>
      <c r="AH784" s="307"/>
      <c r="AI784" s="307"/>
      <c r="AJ784" s="307"/>
      <c r="AK784" s="307"/>
      <c r="AL784" s="307"/>
      <c r="AM784" s="307"/>
      <c r="AN784" s="307"/>
      <c r="AO784" s="307"/>
      <c r="AP784" s="307"/>
      <c r="AQ784" s="307"/>
      <c r="AR784" s="307"/>
    </row>
    <row r="785" spans="1:44" s="457" customFormat="1" ht="12" customHeight="1">
      <c r="A785" s="307"/>
      <c r="P785" s="380"/>
      <c r="X785" s="307"/>
      <c r="Y785" s="307"/>
      <c r="Z785" s="1753"/>
      <c r="AA785" s="307"/>
      <c r="AB785" s="307"/>
      <c r="AC785" s="307"/>
      <c r="AD785" s="307"/>
      <c r="AE785" s="307"/>
      <c r="AF785" s="307"/>
      <c r="AG785" s="307"/>
      <c r="AH785" s="307"/>
      <c r="AI785" s="307"/>
      <c r="AJ785" s="307"/>
      <c r="AK785" s="307"/>
      <c r="AL785" s="307"/>
      <c r="AM785" s="307"/>
      <c r="AN785" s="307"/>
      <c r="AO785" s="307"/>
      <c r="AP785" s="307"/>
      <c r="AQ785" s="307"/>
      <c r="AR785" s="307"/>
    </row>
    <row r="786" spans="1:44" s="457" customFormat="1" ht="12" customHeight="1">
      <c r="A786" s="307"/>
      <c r="P786" s="380"/>
      <c r="X786" s="307"/>
      <c r="Y786" s="307"/>
      <c r="Z786" s="1753"/>
      <c r="AA786" s="307"/>
      <c r="AB786" s="307"/>
      <c r="AC786" s="307"/>
      <c r="AD786" s="307"/>
      <c r="AE786" s="307"/>
      <c r="AF786" s="307"/>
      <c r="AG786" s="307"/>
      <c r="AH786" s="307"/>
      <c r="AI786" s="307"/>
      <c r="AJ786" s="307"/>
      <c r="AK786" s="307"/>
      <c r="AL786" s="307"/>
      <c r="AM786" s="307"/>
      <c r="AN786" s="307"/>
      <c r="AO786" s="307"/>
      <c r="AP786" s="307"/>
      <c r="AQ786" s="307"/>
      <c r="AR786" s="307"/>
    </row>
    <row r="787" spans="1:44" s="457" customFormat="1" ht="12" customHeight="1">
      <c r="A787" s="307"/>
      <c r="P787" s="380"/>
      <c r="X787" s="307"/>
      <c r="Y787" s="307"/>
      <c r="Z787" s="1753"/>
      <c r="AA787" s="307"/>
      <c r="AB787" s="307"/>
      <c r="AC787" s="307"/>
      <c r="AD787" s="307"/>
      <c r="AE787" s="307"/>
      <c r="AF787" s="307"/>
      <c r="AG787" s="307"/>
      <c r="AH787" s="307"/>
      <c r="AI787" s="307"/>
      <c r="AJ787" s="307"/>
      <c r="AK787" s="307"/>
      <c r="AL787" s="307"/>
      <c r="AM787" s="307"/>
      <c r="AN787" s="307"/>
      <c r="AO787" s="307"/>
      <c r="AP787" s="307"/>
      <c r="AQ787" s="307"/>
      <c r="AR787" s="307"/>
    </row>
    <row r="788" spans="1:44" s="457" customFormat="1" ht="12" customHeight="1">
      <c r="A788" s="307"/>
      <c r="P788" s="380"/>
      <c r="X788" s="307"/>
      <c r="Y788" s="307"/>
      <c r="Z788" s="1753"/>
      <c r="AA788" s="307"/>
      <c r="AB788" s="307"/>
      <c r="AC788" s="307"/>
      <c r="AD788" s="307"/>
      <c r="AE788" s="307"/>
      <c r="AF788" s="307"/>
      <c r="AG788" s="307"/>
      <c r="AH788" s="307"/>
      <c r="AI788" s="307"/>
      <c r="AJ788" s="307"/>
      <c r="AK788" s="307"/>
      <c r="AL788" s="307"/>
      <c r="AM788" s="307"/>
      <c r="AN788" s="307"/>
      <c r="AO788" s="307"/>
      <c r="AP788" s="307"/>
      <c r="AQ788" s="307"/>
      <c r="AR788" s="307"/>
    </row>
    <row r="789" spans="1:44" s="457" customFormat="1" ht="12" customHeight="1">
      <c r="A789" s="307"/>
      <c r="P789" s="2749"/>
      <c r="X789" s="307"/>
      <c r="Y789" s="307"/>
      <c r="Z789" s="1753"/>
      <c r="AA789" s="307"/>
      <c r="AB789" s="307"/>
      <c r="AC789" s="307"/>
      <c r="AD789" s="307"/>
      <c r="AE789" s="307"/>
      <c r="AF789" s="307"/>
      <c r="AG789" s="307"/>
      <c r="AH789" s="307"/>
      <c r="AI789" s="307"/>
      <c r="AJ789" s="307"/>
      <c r="AK789" s="307"/>
      <c r="AL789" s="307"/>
      <c r="AM789" s="307"/>
      <c r="AN789" s="307"/>
      <c r="AO789" s="307"/>
      <c r="AP789" s="307"/>
      <c r="AQ789" s="307"/>
      <c r="AR789" s="307"/>
    </row>
    <row r="790" spans="1:44" s="457" customFormat="1" ht="12" customHeight="1">
      <c r="A790" s="307"/>
      <c r="P790" s="380"/>
      <c r="X790" s="307"/>
      <c r="Y790" s="307"/>
      <c r="Z790" s="1753"/>
      <c r="AA790" s="307"/>
      <c r="AB790" s="307"/>
      <c r="AC790" s="307"/>
      <c r="AD790" s="307"/>
      <c r="AE790" s="307"/>
      <c r="AF790" s="307"/>
      <c r="AG790" s="307"/>
      <c r="AH790" s="307"/>
      <c r="AI790" s="307"/>
      <c r="AJ790" s="307"/>
      <c r="AK790" s="307"/>
      <c r="AL790" s="307"/>
      <c r="AM790" s="307"/>
      <c r="AN790" s="307"/>
      <c r="AO790" s="307"/>
      <c r="AP790" s="307"/>
      <c r="AQ790" s="307"/>
      <c r="AR790" s="307"/>
    </row>
    <row r="791" spans="1:44" s="457" customFormat="1" ht="12" customHeight="1">
      <c r="A791" s="307"/>
      <c r="P791" s="380"/>
      <c r="X791" s="307"/>
      <c r="Y791" s="307"/>
      <c r="Z791" s="1753"/>
      <c r="AA791" s="307"/>
      <c r="AB791" s="307"/>
      <c r="AC791" s="307"/>
      <c r="AD791" s="307"/>
      <c r="AE791" s="307"/>
      <c r="AF791" s="307"/>
      <c r="AG791" s="307"/>
      <c r="AH791" s="307"/>
      <c r="AI791" s="307"/>
      <c r="AJ791" s="307"/>
      <c r="AK791" s="307"/>
      <c r="AL791" s="307"/>
      <c r="AM791" s="307"/>
      <c r="AN791" s="307"/>
      <c r="AO791" s="307"/>
      <c r="AP791" s="307"/>
      <c r="AQ791" s="307"/>
      <c r="AR791" s="307"/>
    </row>
    <row r="792" spans="1:44" s="457" customFormat="1" ht="12" customHeight="1">
      <c r="A792" s="307"/>
      <c r="P792" s="1799"/>
      <c r="X792" s="307"/>
      <c r="Y792" s="307"/>
      <c r="Z792" s="1753"/>
      <c r="AA792" s="307"/>
      <c r="AB792" s="307"/>
      <c r="AC792" s="307"/>
      <c r="AD792" s="307"/>
      <c r="AE792" s="307"/>
      <c r="AF792" s="307"/>
      <c r="AG792" s="307"/>
      <c r="AH792" s="307"/>
      <c r="AI792" s="307"/>
      <c r="AJ792" s="307"/>
      <c r="AK792" s="307"/>
      <c r="AL792" s="307"/>
      <c r="AM792" s="307"/>
      <c r="AN792" s="307"/>
      <c r="AO792" s="307"/>
      <c r="AP792" s="307"/>
      <c r="AQ792" s="307"/>
      <c r="AR792" s="307"/>
    </row>
    <row r="793" spans="1:44" s="457" customFormat="1" ht="12" customHeight="1">
      <c r="A793" s="307"/>
      <c r="P793" s="380"/>
      <c r="X793" s="307"/>
      <c r="Y793" s="307"/>
      <c r="Z793" s="1753"/>
      <c r="AA793" s="307"/>
      <c r="AB793" s="307"/>
      <c r="AC793" s="307"/>
      <c r="AD793" s="307"/>
      <c r="AE793" s="307"/>
      <c r="AF793" s="307"/>
      <c r="AG793" s="307"/>
      <c r="AH793" s="307"/>
      <c r="AI793" s="307"/>
      <c r="AJ793" s="307"/>
      <c r="AK793" s="307"/>
      <c r="AL793" s="307"/>
      <c r="AM793" s="307"/>
      <c r="AN793" s="307"/>
      <c r="AO793" s="307"/>
      <c r="AP793" s="307"/>
      <c r="AQ793" s="307"/>
      <c r="AR793" s="307"/>
    </row>
    <row r="794" spans="1:44" s="457" customFormat="1" ht="12" customHeight="1">
      <c r="A794" s="307"/>
      <c r="P794" s="380"/>
      <c r="X794" s="307"/>
      <c r="Y794" s="307"/>
      <c r="Z794" s="1753"/>
      <c r="AA794" s="307"/>
      <c r="AB794" s="307"/>
      <c r="AC794" s="307"/>
      <c r="AD794" s="307"/>
      <c r="AE794" s="307"/>
      <c r="AF794" s="307"/>
      <c r="AG794" s="307"/>
      <c r="AH794" s="307"/>
      <c r="AI794" s="307"/>
      <c r="AJ794" s="307"/>
      <c r="AK794" s="307"/>
      <c r="AL794" s="307"/>
      <c r="AM794" s="307"/>
      <c r="AN794" s="307"/>
      <c r="AO794" s="307"/>
      <c r="AP794" s="307"/>
      <c r="AQ794" s="307"/>
      <c r="AR794" s="307"/>
    </row>
    <row r="795" spans="1:44" s="457" customFormat="1" ht="12" customHeight="1">
      <c r="A795" s="307"/>
      <c r="P795" s="380"/>
      <c r="X795" s="307"/>
      <c r="Y795" s="307"/>
      <c r="Z795" s="1753"/>
      <c r="AA795" s="307"/>
      <c r="AB795" s="307"/>
      <c r="AC795" s="307"/>
      <c r="AD795" s="307"/>
      <c r="AE795" s="307"/>
      <c r="AF795" s="307"/>
      <c r="AG795" s="307"/>
      <c r="AH795" s="307"/>
      <c r="AI795" s="307"/>
      <c r="AJ795" s="307"/>
      <c r="AK795" s="307"/>
      <c r="AL795" s="307"/>
      <c r="AM795" s="307"/>
      <c r="AN795" s="307"/>
      <c r="AO795" s="307"/>
      <c r="AP795" s="307"/>
      <c r="AQ795" s="307"/>
      <c r="AR795" s="307"/>
    </row>
    <row r="796" spans="1:44" s="457" customFormat="1" ht="12" customHeight="1">
      <c r="A796" s="307"/>
      <c r="P796" s="380"/>
      <c r="X796" s="307"/>
      <c r="Y796" s="307"/>
      <c r="Z796" s="1753"/>
      <c r="AA796" s="307"/>
      <c r="AB796" s="307"/>
      <c r="AC796" s="307"/>
      <c r="AD796" s="307"/>
      <c r="AE796" s="307"/>
      <c r="AF796" s="307"/>
      <c r="AG796" s="307"/>
      <c r="AH796" s="307"/>
      <c r="AI796" s="307"/>
      <c r="AJ796" s="307"/>
      <c r="AK796" s="307"/>
      <c r="AL796" s="307"/>
      <c r="AM796" s="307"/>
      <c r="AN796" s="307"/>
      <c r="AO796" s="307"/>
      <c r="AP796" s="307"/>
      <c r="AQ796" s="307"/>
      <c r="AR796" s="307"/>
    </row>
    <row r="797" spans="1:44" s="457" customFormat="1" ht="12" customHeight="1">
      <c r="A797" s="307"/>
      <c r="P797" s="380"/>
      <c r="X797" s="307"/>
      <c r="Y797" s="307"/>
      <c r="Z797" s="1753"/>
      <c r="AA797" s="307"/>
      <c r="AB797" s="307"/>
      <c r="AC797" s="307"/>
      <c r="AD797" s="307"/>
      <c r="AE797" s="307"/>
      <c r="AF797" s="307"/>
      <c r="AG797" s="307"/>
      <c r="AH797" s="307"/>
      <c r="AI797" s="307"/>
      <c r="AJ797" s="307"/>
      <c r="AK797" s="307"/>
      <c r="AL797" s="307"/>
      <c r="AM797" s="307"/>
      <c r="AN797" s="307"/>
      <c r="AO797" s="307"/>
      <c r="AP797" s="307"/>
      <c r="AQ797" s="307"/>
      <c r="AR797" s="307"/>
    </row>
    <row r="798" spans="1:44" s="457" customFormat="1" ht="12" customHeight="1">
      <c r="A798" s="307"/>
      <c r="P798" s="380"/>
      <c r="X798" s="307"/>
      <c r="Y798" s="307"/>
      <c r="Z798" s="1753"/>
      <c r="AA798" s="307"/>
      <c r="AB798" s="307"/>
      <c r="AC798" s="307"/>
      <c r="AD798" s="307"/>
      <c r="AE798" s="307"/>
      <c r="AF798" s="307"/>
      <c r="AG798" s="307"/>
      <c r="AH798" s="307"/>
      <c r="AI798" s="307"/>
      <c r="AJ798" s="307"/>
      <c r="AK798" s="307"/>
      <c r="AL798" s="307"/>
      <c r="AM798" s="307"/>
      <c r="AN798" s="307"/>
      <c r="AO798" s="307"/>
      <c r="AP798" s="307"/>
      <c r="AQ798" s="307"/>
      <c r="AR798" s="307"/>
    </row>
    <row r="799" spans="1:44" s="457" customFormat="1" ht="12" customHeight="1">
      <c r="A799" s="307"/>
      <c r="P799" s="380"/>
      <c r="X799" s="307"/>
      <c r="Y799" s="307"/>
      <c r="Z799" s="1753"/>
      <c r="AA799" s="307"/>
      <c r="AB799" s="307"/>
      <c r="AC799" s="307"/>
      <c r="AD799" s="307"/>
      <c r="AE799" s="307"/>
      <c r="AF799" s="307"/>
      <c r="AG799" s="307"/>
      <c r="AH799" s="307"/>
      <c r="AI799" s="307"/>
      <c r="AJ799" s="307"/>
      <c r="AK799" s="307"/>
      <c r="AL799" s="307"/>
      <c r="AM799" s="307"/>
      <c r="AN799" s="307"/>
      <c r="AO799" s="307"/>
      <c r="AP799" s="307"/>
      <c r="AQ799" s="307"/>
      <c r="AR799" s="307"/>
    </row>
    <row r="800" spans="1:44" s="457" customFormat="1" ht="12" customHeight="1">
      <c r="A800" s="307"/>
      <c r="P800" s="380"/>
      <c r="X800" s="307"/>
      <c r="Y800" s="307"/>
      <c r="Z800" s="1753"/>
      <c r="AA800" s="307"/>
      <c r="AB800" s="307"/>
      <c r="AC800" s="307"/>
      <c r="AD800" s="307"/>
      <c r="AE800" s="307"/>
      <c r="AF800" s="307"/>
      <c r="AG800" s="307"/>
      <c r="AH800" s="307"/>
      <c r="AI800" s="307"/>
      <c r="AJ800" s="307"/>
      <c r="AK800" s="307"/>
      <c r="AL800" s="307"/>
      <c r="AM800" s="307"/>
      <c r="AN800" s="307"/>
      <c r="AO800" s="307"/>
      <c r="AP800" s="307"/>
      <c r="AQ800" s="307"/>
      <c r="AR800" s="307"/>
    </row>
    <row r="801" spans="1:44" s="457" customFormat="1" ht="12" customHeight="1">
      <c r="A801" s="307"/>
      <c r="P801" s="380"/>
      <c r="X801" s="307"/>
      <c r="Y801" s="307"/>
      <c r="Z801" s="1753"/>
      <c r="AA801" s="307"/>
      <c r="AB801" s="307"/>
      <c r="AC801" s="307"/>
      <c r="AD801" s="307"/>
      <c r="AE801" s="307"/>
      <c r="AF801" s="307"/>
      <c r="AG801" s="307"/>
      <c r="AH801" s="307"/>
      <c r="AI801" s="307"/>
      <c r="AJ801" s="307"/>
      <c r="AK801" s="307"/>
      <c r="AL801" s="307"/>
      <c r="AM801" s="307"/>
      <c r="AN801" s="307"/>
      <c r="AO801" s="307"/>
      <c r="AP801" s="307"/>
      <c r="AQ801" s="307"/>
      <c r="AR801" s="307"/>
    </row>
    <row r="802" spans="1:44" s="457" customFormat="1" ht="12" customHeight="1">
      <c r="A802" s="307"/>
      <c r="P802" s="380"/>
      <c r="X802" s="307"/>
      <c r="Y802" s="307"/>
      <c r="Z802" s="1753"/>
      <c r="AA802" s="307"/>
      <c r="AB802" s="307"/>
      <c r="AC802" s="307"/>
      <c r="AD802" s="307"/>
      <c r="AE802" s="307"/>
      <c r="AF802" s="307"/>
      <c r="AG802" s="307"/>
      <c r="AH802" s="307"/>
      <c r="AI802" s="307"/>
      <c r="AJ802" s="307"/>
      <c r="AK802" s="307"/>
      <c r="AL802" s="307"/>
      <c r="AM802" s="307"/>
      <c r="AN802" s="307"/>
      <c r="AO802" s="307"/>
      <c r="AP802" s="307"/>
      <c r="AQ802" s="307"/>
      <c r="AR802" s="307"/>
    </row>
    <row r="803" spans="1:44" s="457" customFormat="1" ht="12" customHeight="1">
      <c r="A803" s="307"/>
      <c r="P803" s="380"/>
      <c r="X803" s="307"/>
      <c r="Y803" s="307"/>
      <c r="Z803" s="1753"/>
      <c r="AA803" s="307"/>
      <c r="AB803" s="307"/>
      <c r="AC803" s="307"/>
      <c r="AD803" s="307"/>
      <c r="AE803" s="307"/>
      <c r="AF803" s="307"/>
      <c r="AG803" s="307"/>
      <c r="AH803" s="307"/>
      <c r="AI803" s="307"/>
      <c r="AJ803" s="307"/>
      <c r="AK803" s="307"/>
      <c r="AL803" s="307"/>
      <c r="AM803" s="307"/>
      <c r="AN803" s="307"/>
      <c r="AO803" s="307"/>
      <c r="AP803" s="307"/>
      <c r="AQ803" s="307"/>
      <c r="AR803" s="307"/>
    </row>
    <row r="804" spans="1:44" s="457" customFormat="1" ht="12" customHeight="1">
      <c r="A804" s="307"/>
      <c r="P804" s="380"/>
      <c r="X804" s="307"/>
      <c r="Y804" s="307"/>
      <c r="Z804" s="1753"/>
      <c r="AA804" s="307"/>
      <c r="AB804" s="307"/>
      <c r="AC804" s="307"/>
      <c r="AD804" s="307"/>
      <c r="AE804" s="307"/>
      <c r="AF804" s="307"/>
      <c r="AG804" s="307"/>
      <c r="AH804" s="307"/>
      <c r="AI804" s="307"/>
      <c r="AJ804" s="307"/>
      <c r="AK804" s="307"/>
      <c r="AL804" s="307"/>
      <c r="AM804" s="307"/>
      <c r="AN804" s="307"/>
      <c r="AO804" s="307"/>
      <c r="AP804" s="307"/>
      <c r="AQ804" s="307"/>
      <c r="AR804" s="307"/>
    </row>
    <row r="805" spans="1:44" s="457" customFormat="1" ht="12" customHeight="1">
      <c r="A805" s="307"/>
      <c r="P805" s="380"/>
      <c r="X805" s="307"/>
      <c r="Y805" s="307"/>
      <c r="Z805" s="1753"/>
      <c r="AA805" s="307"/>
      <c r="AB805" s="307"/>
      <c r="AC805" s="307"/>
      <c r="AD805" s="307"/>
      <c r="AE805" s="307"/>
      <c r="AF805" s="307"/>
      <c r="AG805" s="307"/>
      <c r="AH805" s="307"/>
      <c r="AI805" s="307"/>
      <c r="AJ805" s="307"/>
      <c r="AK805" s="307"/>
      <c r="AL805" s="307"/>
      <c r="AM805" s="307"/>
      <c r="AN805" s="307"/>
      <c r="AO805" s="307"/>
      <c r="AP805" s="307"/>
      <c r="AQ805" s="307"/>
      <c r="AR805" s="307"/>
    </row>
    <row r="806" spans="1:44" s="457" customFormat="1" ht="12" customHeight="1">
      <c r="A806" s="307"/>
      <c r="P806" s="380"/>
      <c r="X806" s="307"/>
      <c r="Y806" s="307"/>
      <c r="Z806" s="1753"/>
      <c r="AA806" s="307"/>
      <c r="AB806" s="307"/>
      <c r="AC806" s="307"/>
      <c r="AD806" s="307"/>
      <c r="AE806" s="307"/>
      <c r="AF806" s="307"/>
      <c r="AG806" s="307"/>
      <c r="AH806" s="307"/>
      <c r="AI806" s="307"/>
      <c r="AJ806" s="307"/>
      <c r="AK806" s="307"/>
      <c r="AL806" s="307"/>
      <c r="AM806" s="307"/>
      <c r="AN806" s="307"/>
      <c r="AO806" s="307"/>
      <c r="AP806" s="307"/>
      <c r="AQ806" s="307"/>
      <c r="AR806" s="307"/>
    </row>
    <row r="807" spans="1:44" s="457" customFormat="1" ht="12" customHeight="1">
      <c r="A807" s="307"/>
      <c r="P807" s="380"/>
      <c r="X807" s="307"/>
      <c r="Y807" s="307"/>
      <c r="Z807" s="1753"/>
      <c r="AA807" s="307"/>
      <c r="AB807" s="307"/>
      <c r="AC807" s="307"/>
      <c r="AD807" s="307"/>
      <c r="AE807" s="307"/>
      <c r="AF807" s="307"/>
      <c r="AG807" s="307"/>
      <c r="AH807" s="307"/>
      <c r="AI807" s="307"/>
      <c r="AJ807" s="307"/>
      <c r="AK807" s="307"/>
      <c r="AL807" s="307"/>
      <c r="AM807" s="307"/>
      <c r="AN807" s="307"/>
      <c r="AO807" s="307"/>
      <c r="AP807" s="307"/>
      <c r="AQ807" s="307"/>
      <c r="AR807" s="307"/>
    </row>
    <row r="808" spans="1:44" s="457" customFormat="1" ht="12" customHeight="1">
      <c r="A808" s="307"/>
      <c r="P808" s="2749"/>
      <c r="X808" s="307"/>
      <c r="Y808" s="307"/>
      <c r="Z808" s="1753"/>
      <c r="AA808" s="307"/>
      <c r="AB808" s="307"/>
      <c r="AC808" s="307"/>
      <c r="AD808" s="307"/>
      <c r="AE808" s="307"/>
      <c r="AF808" s="307"/>
      <c r="AG808" s="307"/>
      <c r="AH808" s="307"/>
      <c r="AI808" s="307"/>
      <c r="AJ808" s="307"/>
      <c r="AK808" s="307"/>
      <c r="AL808" s="307"/>
      <c r="AM808" s="307"/>
      <c r="AN808" s="307"/>
      <c r="AO808" s="307"/>
      <c r="AP808" s="307"/>
      <c r="AQ808" s="307"/>
      <c r="AR808" s="307"/>
    </row>
    <row r="809" spans="1:44" s="457" customFormat="1" ht="12" customHeight="1">
      <c r="A809" s="307"/>
      <c r="P809" s="380"/>
      <c r="X809" s="307"/>
      <c r="Y809" s="307"/>
      <c r="Z809" s="1753"/>
      <c r="AA809" s="307"/>
      <c r="AB809" s="307"/>
      <c r="AC809" s="307"/>
      <c r="AD809" s="307"/>
      <c r="AE809" s="307"/>
      <c r="AF809" s="307"/>
      <c r="AG809" s="307"/>
      <c r="AH809" s="307"/>
      <c r="AI809" s="307"/>
      <c r="AJ809" s="307"/>
      <c r="AK809" s="307"/>
      <c r="AL809" s="307"/>
      <c r="AM809" s="307"/>
      <c r="AN809" s="307"/>
      <c r="AO809" s="307"/>
      <c r="AP809" s="307"/>
      <c r="AQ809" s="307"/>
      <c r="AR809" s="307"/>
    </row>
    <row r="810" spans="1:44" s="457" customFormat="1" ht="12" customHeight="1">
      <c r="A810" s="307"/>
      <c r="P810" s="380"/>
      <c r="X810" s="307"/>
      <c r="Y810" s="307"/>
      <c r="Z810" s="1753"/>
      <c r="AA810" s="307"/>
      <c r="AB810" s="307"/>
      <c r="AC810" s="307"/>
      <c r="AD810" s="307"/>
      <c r="AE810" s="307"/>
      <c r="AF810" s="307"/>
      <c r="AG810" s="307"/>
      <c r="AH810" s="307"/>
      <c r="AI810" s="307"/>
      <c r="AJ810" s="307"/>
      <c r="AK810" s="307"/>
      <c r="AL810" s="307"/>
      <c r="AM810" s="307"/>
      <c r="AN810" s="307"/>
      <c r="AO810" s="307"/>
      <c r="AP810" s="307"/>
      <c r="AQ810" s="307"/>
      <c r="AR810" s="307"/>
    </row>
    <row r="811" spans="1:44" s="457" customFormat="1" ht="12" customHeight="1">
      <c r="A811" s="307"/>
      <c r="P811" s="380"/>
      <c r="X811" s="307"/>
      <c r="Y811" s="307"/>
      <c r="Z811" s="1753"/>
      <c r="AA811" s="307"/>
      <c r="AB811" s="307"/>
      <c r="AC811" s="307"/>
      <c r="AD811" s="307"/>
      <c r="AE811" s="307"/>
      <c r="AF811" s="307"/>
      <c r="AG811" s="307"/>
      <c r="AH811" s="307"/>
      <c r="AI811" s="307"/>
      <c r="AJ811" s="307"/>
      <c r="AK811" s="307"/>
      <c r="AL811" s="307"/>
      <c r="AM811" s="307"/>
      <c r="AN811" s="307"/>
      <c r="AO811" s="307"/>
      <c r="AP811" s="307"/>
      <c r="AQ811" s="307"/>
      <c r="AR811" s="307"/>
    </row>
    <row r="812" spans="1:44" s="457" customFormat="1" ht="12" customHeight="1">
      <c r="A812" s="307"/>
      <c r="P812" s="1799"/>
      <c r="X812" s="307"/>
      <c r="Y812" s="307"/>
      <c r="Z812" s="1753"/>
      <c r="AA812" s="307"/>
      <c r="AB812" s="307"/>
      <c r="AC812" s="307"/>
      <c r="AD812" s="307"/>
      <c r="AE812" s="307"/>
      <c r="AF812" s="307"/>
      <c r="AG812" s="307"/>
      <c r="AH812" s="307"/>
      <c r="AI812" s="307"/>
      <c r="AJ812" s="307"/>
      <c r="AK812" s="307"/>
      <c r="AL812" s="307"/>
      <c r="AM812" s="307"/>
      <c r="AN812" s="307"/>
      <c r="AO812" s="307"/>
      <c r="AP812" s="307"/>
      <c r="AQ812" s="307"/>
      <c r="AR812" s="307"/>
    </row>
    <row r="813" spans="1:44" s="457" customFormat="1" ht="12" customHeight="1">
      <c r="A813" s="307"/>
      <c r="P813" s="380"/>
      <c r="X813" s="307"/>
      <c r="Y813" s="307"/>
      <c r="Z813" s="1753"/>
      <c r="AA813" s="307"/>
      <c r="AB813" s="307"/>
      <c r="AC813" s="307"/>
      <c r="AD813" s="307"/>
      <c r="AE813" s="307"/>
      <c r="AF813" s="307"/>
      <c r="AG813" s="307"/>
      <c r="AH813" s="307"/>
      <c r="AI813" s="307"/>
      <c r="AJ813" s="307"/>
      <c r="AK813" s="307"/>
      <c r="AL813" s="307"/>
      <c r="AM813" s="307"/>
      <c r="AN813" s="307"/>
      <c r="AO813" s="307"/>
      <c r="AP813" s="307"/>
      <c r="AQ813" s="307"/>
      <c r="AR813" s="307"/>
    </row>
    <row r="814" spans="1:44" s="457" customFormat="1" ht="12" customHeight="1">
      <c r="A814" s="307"/>
      <c r="P814" s="380"/>
      <c r="X814" s="307"/>
      <c r="Y814" s="307"/>
      <c r="Z814" s="1753"/>
      <c r="AA814" s="307"/>
      <c r="AB814" s="307"/>
      <c r="AC814" s="307"/>
      <c r="AD814" s="307"/>
      <c r="AE814" s="307"/>
      <c r="AF814" s="307"/>
      <c r="AG814" s="307"/>
      <c r="AH814" s="307"/>
      <c r="AI814" s="307"/>
      <c r="AJ814" s="307"/>
      <c r="AK814" s="307"/>
      <c r="AL814" s="307"/>
      <c r="AM814" s="307"/>
      <c r="AN814" s="307"/>
      <c r="AO814" s="307"/>
      <c r="AP814" s="307"/>
      <c r="AQ814" s="307"/>
      <c r="AR814" s="307"/>
    </row>
    <row r="815" spans="1:44" s="457" customFormat="1" ht="12" customHeight="1">
      <c r="A815" s="307"/>
      <c r="P815" s="380"/>
      <c r="X815" s="307"/>
      <c r="Y815" s="307"/>
      <c r="Z815" s="1753"/>
      <c r="AA815" s="307"/>
      <c r="AB815" s="307"/>
      <c r="AC815" s="307"/>
      <c r="AD815" s="307"/>
      <c r="AE815" s="307"/>
      <c r="AF815" s="307"/>
      <c r="AG815" s="307"/>
      <c r="AH815" s="307"/>
      <c r="AI815" s="307"/>
      <c r="AJ815" s="307"/>
      <c r="AK815" s="307"/>
      <c r="AL815" s="307"/>
      <c r="AM815" s="307"/>
      <c r="AN815" s="307"/>
      <c r="AO815" s="307"/>
      <c r="AP815" s="307"/>
      <c r="AQ815" s="307"/>
      <c r="AR815" s="307"/>
    </row>
    <row r="816" spans="1:44" s="457" customFormat="1" ht="12" customHeight="1">
      <c r="A816" s="307"/>
      <c r="P816" s="1799"/>
      <c r="X816" s="307"/>
      <c r="Y816" s="307"/>
      <c r="Z816" s="1753"/>
      <c r="AA816" s="307"/>
      <c r="AB816" s="307"/>
      <c r="AC816" s="307"/>
      <c r="AD816" s="307"/>
      <c r="AE816" s="307"/>
      <c r="AF816" s="307"/>
      <c r="AG816" s="307"/>
      <c r="AH816" s="307"/>
      <c r="AI816" s="307"/>
      <c r="AJ816" s="307"/>
      <c r="AK816" s="307"/>
      <c r="AL816" s="307"/>
      <c r="AM816" s="307"/>
      <c r="AN816" s="307"/>
      <c r="AO816" s="307"/>
      <c r="AP816" s="307"/>
      <c r="AQ816" s="307"/>
      <c r="AR816" s="307"/>
    </row>
    <row r="817" spans="1:44" s="457" customFormat="1" ht="12" customHeight="1">
      <c r="A817" s="307"/>
      <c r="P817" s="380"/>
      <c r="X817" s="307"/>
      <c r="Y817" s="307"/>
      <c r="Z817" s="1753"/>
      <c r="AA817" s="307"/>
      <c r="AB817" s="307"/>
      <c r="AC817" s="307"/>
      <c r="AD817" s="307"/>
      <c r="AE817" s="307"/>
      <c r="AF817" s="307"/>
      <c r="AG817" s="307"/>
      <c r="AH817" s="307"/>
      <c r="AI817" s="307"/>
      <c r="AJ817" s="307"/>
      <c r="AK817" s="307"/>
      <c r="AL817" s="307"/>
      <c r="AM817" s="307"/>
      <c r="AN817" s="307"/>
      <c r="AO817" s="307"/>
      <c r="AP817" s="307"/>
      <c r="AQ817" s="307"/>
      <c r="AR817" s="307"/>
    </row>
    <row r="818" spans="1:44" s="457" customFormat="1" ht="12" customHeight="1">
      <c r="A818" s="307"/>
      <c r="P818" s="380"/>
      <c r="X818" s="307"/>
      <c r="Y818" s="307"/>
      <c r="Z818" s="1753"/>
      <c r="AA818" s="307"/>
      <c r="AB818" s="307"/>
      <c r="AC818" s="307"/>
      <c r="AD818" s="307"/>
      <c r="AE818" s="307"/>
      <c r="AF818" s="307"/>
      <c r="AG818" s="307"/>
      <c r="AH818" s="307"/>
      <c r="AI818" s="307"/>
      <c r="AJ818" s="307"/>
      <c r="AK818" s="307"/>
      <c r="AL818" s="307"/>
      <c r="AM818" s="307"/>
      <c r="AN818" s="307"/>
      <c r="AO818" s="307"/>
      <c r="AP818" s="307"/>
      <c r="AQ818" s="307"/>
      <c r="AR818" s="307"/>
    </row>
    <row r="819" spans="1:44" s="457" customFormat="1" ht="12" customHeight="1">
      <c r="A819" s="307"/>
      <c r="P819" s="380"/>
      <c r="X819" s="307"/>
      <c r="Y819" s="307"/>
      <c r="Z819" s="1753"/>
      <c r="AA819" s="307"/>
      <c r="AB819" s="307"/>
      <c r="AC819" s="307"/>
      <c r="AD819" s="307"/>
      <c r="AE819" s="307"/>
      <c r="AF819" s="307"/>
      <c r="AG819" s="307"/>
      <c r="AH819" s="307"/>
      <c r="AI819" s="307"/>
      <c r="AJ819" s="307"/>
      <c r="AK819" s="307"/>
      <c r="AL819" s="307"/>
      <c r="AM819" s="307"/>
      <c r="AN819" s="307"/>
      <c r="AO819" s="307"/>
      <c r="AP819" s="307"/>
      <c r="AQ819" s="307"/>
      <c r="AR819" s="307"/>
    </row>
    <row r="820" spans="1:44" s="457" customFormat="1" ht="12" customHeight="1">
      <c r="A820" s="307"/>
      <c r="P820" s="380"/>
      <c r="X820" s="307"/>
      <c r="Y820" s="307"/>
      <c r="Z820" s="1753"/>
      <c r="AA820" s="307"/>
      <c r="AB820" s="307"/>
      <c r="AC820" s="307"/>
      <c r="AD820" s="307"/>
      <c r="AE820" s="307"/>
      <c r="AF820" s="307"/>
      <c r="AG820" s="307"/>
      <c r="AH820" s="307"/>
      <c r="AI820" s="307"/>
      <c r="AJ820" s="307"/>
      <c r="AK820" s="307"/>
      <c r="AL820" s="307"/>
      <c r="AM820" s="307"/>
      <c r="AN820" s="307"/>
      <c r="AO820" s="307"/>
      <c r="AP820" s="307"/>
      <c r="AQ820" s="307"/>
      <c r="AR820" s="307"/>
    </row>
    <row r="821" spans="1:44" s="457" customFormat="1" ht="12" customHeight="1">
      <c r="A821" s="307"/>
      <c r="P821" s="380"/>
      <c r="X821" s="307"/>
      <c r="Y821" s="307"/>
      <c r="Z821" s="1753"/>
      <c r="AA821" s="307"/>
      <c r="AB821" s="307"/>
      <c r="AC821" s="307"/>
      <c r="AD821" s="307"/>
      <c r="AE821" s="307"/>
      <c r="AF821" s="307"/>
      <c r="AG821" s="307"/>
      <c r="AH821" s="307"/>
      <c r="AI821" s="307"/>
      <c r="AJ821" s="307"/>
      <c r="AK821" s="307"/>
      <c r="AL821" s="307"/>
      <c r="AM821" s="307"/>
      <c r="AN821" s="307"/>
      <c r="AO821" s="307"/>
      <c r="AP821" s="307"/>
      <c r="AQ821" s="307"/>
      <c r="AR821" s="307"/>
    </row>
    <row r="822" spans="1:44" s="457" customFormat="1" ht="12" customHeight="1">
      <c r="A822" s="307"/>
      <c r="P822" s="380"/>
      <c r="X822" s="307"/>
      <c r="Y822" s="307"/>
      <c r="Z822" s="1753"/>
      <c r="AA822" s="307"/>
      <c r="AB822" s="307"/>
      <c r="AC822" s="307"/>
      <c r="AD822" s="307"/>
      <c r="AE822" s="307"/>
      <c r="AF822" s="307"/>
      <c r="AG822" s="307"/>
      <c r="AH822" s="307"/>
      <c r="AI822" s="307"/>
      <c r="AJ822" s="307"/>
      <c r="AK822" s="307"/>
      <c r="AL822" s="307"/>
      <c r="AM822" s="307"/>
      <c r="AN822" s="307"/>
      <c r="AO822" s="307"/>
      <c r="AP822" s="307"/>
      <c r="AQ822" s="307"/>
      <c r="AR822" s="307"/>
    </row>
    <row r="823" spans="1:44" s="457" customFormat="1" ht="12" customHeight="1">
      <c r="A823" s="307"/>
      <c r="P823" s="380"/>
      <c r="X823" s="307"/>
      <c r="Y823" s="307"/>
      <c r="Z823" s="1753"/>
      <c r="AA823" s="307"/>
      <c r="AB823" s="307"/>
      <c r="AC823" s="307"/>
      <c r="AD823" s="307"/>
      <c r="AE823" s="307"/>
      <c r="AF823" s="307"/>
      <c r="AG823" s="307"/>
      <c r="AH823" s="307"/>
      <c r="AI823" s="307"/>
      <c r="AJ823" s="307"/>
      <c r="AK823" s="307"/>
      <c r="AL823" s="307"/>
      <c r="AM823" s="307"/>
      <c r="AN823" s="307"/>
      <c r="AO823" s="307"/>
      <c r="AP823" s="307"/>
      <c r="AQ823" s="307"/>
      <c r="AR823" s="307"/>
    </row>
    <row r="824" spans="1:44" s="457" customFormat="1" ht="12" customHeight="1">
      <c r="A824" s="307"/>
      <c r="P824" s="380"/>
      <c r="X824" s="307"/>
      <c r="Y824" s="307"/>
      <c r="Z824" s="1753"/>
      <c r="AA824" s="307"/>
      <c r="AB824" s="307"/>
      <c r="AC824" s="307"/>
      <c r="AD824" s="307"/>
      <c r="AE824" s="307"/>
      <c r="AF824" s="307"/>
      <c r="AG824" s="307"/>
      <c r="AH824" s="307"/>
      <c r="AI824" s="307"/>
      <c r="AJ824" s="307"/>
      <c r="AK824" s="307"/>
      <c r="AL824" s="307"/>
      <c r="AM824" s="307"/>
      <c r="AN824" s="307"/>
      <c r="AO824" s="307"/>
      <c r="AP824" s="307"/>
      <c r="AQ824" s="307"/>
      <c r="AR824" s="307"/>
    </row>
    <row r="825" spans="1:44" s="457" customFormat="1" ht="12" customHeight="1">
      <c r="A825" s="307"/>
      <c r="P825" s="380"/>
      <c r="X825" s="307"/>
      <c r="Y825" s="307"/>
      <c r="Z825" s="1753"/>
      <c r="AA825" s="307"/>
      <c r="AB825" s="307"/>
      <c r="AC825" s="307"/>
      <c r="AD825" s="307"/>
      <c r="AE825" s="307"/>
      <c r="AF825" s="307"/>
      <c r="AG825" s="307"/>
      <c r="AH825" s="307"/>
      <c r="AI825" s="307"/>
      <c r="AJ825" s="307"/>
      <c r="AK825" s="307"/>
      <c r="AL825" s="307"/>
      <c r="AM825" s="307"/>
      <c r="AN825" s="307"/>
      <c r="AO825" s="307"/>
      <c r="AP825" s="307"/>
      <c r="AQ825" s="307"/>
      <c r="AR825" s="307"/>
    </row>
    <row r="826" spans="1:44" s="457" customFormat="1" ht="12" customHeight="1">
      <c r="A826" s="307"/>
      <c r="P826" s="380"/>
      <c r="X826" s="307"/>
      <c r="Y826" s="307"/>
      <c r="Z826" s="1753"/>
      <c r="AA826" s="307"/>
      <c r="AB826" s="307"/>
      <c r="AC826" s="307"/>
      <c r="AD826" s="307"/>
      <c r="AE826" s="307"/>
      <c r="AF826" s="307"/>
      <c r="AG826" s="307"/>
      <c r="AH826" s="307"/>
      <c r="AI826" s="307"/>
      <c r="AJ826" s="307"/>
      <c r="AK826" s="307"/>
      <c r="AL826" s="307"/>
      <c r="AM826" s="307"/>
      <c r="AN826" s="307"/>
      <c r="AO826" s="307"/>
      <c r="AP826" s="307"/>
      <c r="AQ826" s="307"/>
      <c r="AR826" s="307"/>
    </row>
    <row r="827" spans="1:44" s="457" customFormat="1" ht="12" customHeight="1">
      <c r="A827" s="307"/>
      <c r="P827" s="380"/>
      <c r="X827" s="307"/>
      <c r="Y827" s="307"/>
      <c r="Z827" s="1753"/>
      <c r="AA827" s="307"/>
      <c r="AB827" s="307"/>
      <c r="AC827" s="307"/>
      <c r="AD827" s="307"/>
      <c r="AE827" s="307"/>
      <c r="AF827" s="307"/>
      <c r="AG827" s="307"/>
      <c r="AH827" s="307"/>
      <c r="AI827" s="307"/>
      <c r="AJ827" s="307"/>
      <c r="AK827" s="307"/>
      <c r="AL827" s="307"/>
      <c r="AM827" s="307"/>
      <c r="AN827" s="307"/>
      <c r="AO827" s="307"/>
      <c r="AP827" s="307"/>
      <c r="AQ827" s="307"/>
      <c r="AR827" s="307"/>
    </row>
    <row r="828" spans="1:44" s="457" customFormat="1" ht="12" customHeight="1">
      <c r="A828" s="307"/>
      <c r="P828" s="380"/>
      <c r="X828" s="307"/>
      <c r="Y828" s="307"/>
      <c r="Z828" s="1753"/>
      <c r="AA828" s="307"/>
      <c r="AB828" s="307"/>
      <c r="AC828" s="307"/>
      <c r="AD828" s="307"/>
      <c r="AE828" s="307"/>
      <c r="AF828" s="307"/>
      <c r="AG828" s="307"/>
      <c r="AH828" s="307"/>
      <c r="AI828" s="307"/>
      <c r="AJ828" s="307"/>
      <c r="AK828" s="307"/>
      <c r="AL828" s="307"/>
      <c r="AM828" s="307"/>
      <c r="AN828" s="307"/>
      <c r="AO828" s="307"/>
      <c r="AP828" s="307"/>
      <c r="AQ828" s="307"/>
      <c r="AR828" s="307"/>
    </row>
    <row r="829" spans="1:44" s="457" customFormat="1" ht="12" customHeight="1">
      <c r="A829" s="307"/>
      <c r="P829" s="380"/>
      <c r="X829" s="307"/>
      <c r="Y829" s="307"/>
      <c r="Z829" s="1753"/>
      <c r="AA829" s="307"/>
      <c r="AB829" s="307"/>
      <c r="AC829" s="307"/>
      <c r="AD829" s="307"/>
      <c r="AE829" s="307"/>
      <c r="AF829" s="307"/>
      <c r="AG829" s="307"/>
      <c r="AH829" s="307"/>
      <c r="AI829" s="307"/>
      <c r="AJ829" s="307"/>
      <c r="AK829" s="307"/>
      <c r="AL829" s="307"/>
      <c r="AM829" s="307"/>
      <c r="AN829" s="307"/>
      <c r="AO829" s="307"/>
      <c r="AP829" s="307"/>
      <c r="AQ829" s="307"/>
      <c r="AR829" s="307"/>
    </row>
    <row r="830" spans="1:44" s="457" customFormat="1" ht="12" customHeight="1">
      <c r="A830" s="307"/>
      <c r="P830" s="307"/>
      <c r="X830" s="307"/>
      <c r="Y830" s="307"/>
      <c r="Z830" s="1753"/>
      <c r="AA830" s="307"/>
      <c r="AB830" s="307"/>
      <c r="AC830" s="307"/>
      <c r="AD830" s="307"/>
      <c r="AE830" s="307"/>
      <c r="AF830" s="307"/>
      <c r="AG830" s="307"/>
      <c r="AH830" s="307"/>
      <c r="AI830" s="307"/>
      <c r="AJ830" s="307"/>
      <c r="AK830" s="307"/>
      <c r="AL830" s="307"/>
      <c r="AM830" s="307"/>
      <c r="AN830" s="307"/>
      <c r="AO830" s="307"/>
      <c r="AP830" s="307"/>
      <c r="AQ830" s="307"/>
      <c r="AR830" s="307"/>
    </row>
    <row r="831" spans="1:44" s="457" customFormat="1" ht="12" customHeight="1">
      <c r="A831" s="307"/>
      <c r="P831" s="307"/>
      <c r="X831" s="307"/>
      <c r="Y831" s="307"/>
      <c r="Z831" s="1753"/>
      <c r="AA831" s="307"/>
      <c r="AB831" s="307"/>
      <c r="AC831" s="307"/>
      <c r="AD831" s="307"/>
      <c r="AE831" s="307"/>
      <c r="AF831" s="307"/>
      <c r="AG831" s="307"/>
      <c r="AH831" s="307"/>
      <c r="AI831" s="307"/>
      <c r="AJ831" s="307"/>
      <c r="AK831" s="307"/>
      <c r="AL831" s="307"/>
      <c r="AM831" s="307"/>
      <c r="AN831" s="307"/>
      <c r="AO831" s="307"/>
      <c r="AP831" s="307"/>
      <c r="AQ831" s="307"/>
      <c r="AR831" s="307"/>
    </row>
    <row r="832" spans="1:44" s="457" customFormat="1" ht="12" customHeight="1">
      <c r="A832" s="307"/>
      <c r="P832" s="307"/>
      <c r="X832" s="307"/>
      <c r="Y832" s="307"/>
      <c r="Z832" s="1753"/>
      <c r="AA832" s="307"/>
      <c r="AB832" s="307"/>
      <c r="AC832" s="307"/>
      <c r="AD832" s="307"/>
      <c r="AE832" s="307"/>
      <c r="AF832" s="307"/>
      <c r="AG832" s="307"/>
      <c r="AH832" s="307"/>
      <c r="AI832" s="307"/>
      <c r="AJ832" s="307"/>
      <c r="AK832" s="307"/>
      <c r="AL832" s="307"/>
      <c r="AM832" s="307"/>
      <c r="AN832" s="307"/>
      <c r="AO832" s="307"/>
      <c r="AP832" s="307"/>
      <c r="AQ832" s="307"/>
      <c r="AR832" s="307"/>
    </row>
    <row r="833" spans="1:44" s="457" customFormat="1" ht="12" customHeight="1">
      <c r="A833" s="307"/>
      <c r="P833" s="307"/>
      <c r="X833" s="307"/>
      <c r="Y833" s="307"/>
      <c r="Z833" s="1753"/>
      <c r="AA833" s="307"/>
      <c r="AB833" s="307"/>
      <c r="AC833" s="307"/>
      <c r="AD833" s="307"/>
      <c r="AE833" s="307"/>
      <c r="AF833" s="307"/>
      <c r="AG833" s="307"/>
      <c r="AH833" s="307"/>
      <c r="AI833" s="307"/>
      <c r="AJ833" s="307"/>
      <c r="AK833" s="307"/>
      <c r="AL833" s="307"/>
      <c r="AM833" s="307"/>
      <c r="AN833" s="307"/>
      <c r="AO833" s="307"/>
      <c r="AP833" s="307"/>
      <c r="AQ833" s="307"/>
      <c r="AR833" s="307"/>
    </row>
    <row r="834" spans="1:44" s="457" customFormat="1" ht="12" customHeight="1">
      <c r="A834" s="307"/>
      <c r="P834" s="307"/>
      <c r="X834" s="307"/>
      <c r="Y834" s="307"/>
      <c r="Z834" s="1753"/>
      <c r="AA834" s="307"/>
      <c r="AB834" s="307"/>
      <c r="AC834" s="307"/>
      <c r="AD834" s="307"/>
      <c r="AE834" s="307"/>
      <c r="AF834" s="307"/>
      <c r="AG834" s="307"/>
      <c r="AH834" s="307"/>
      <c r="AI834" s="307"/>
      <c r="AJ834" s="307"/>
      <c r="AK834" s="307"/>
      <c r="AL834" s="307"/>
      <c r="AM834" s="307"/>
      <c r="AN834" s="307"/>
      <c r="AO834" s="307"/>
      <c r="AP834" s="307"/>
      <c r="AQ834" s="307"/>
      <c r="AR834" s="307"/>
    </row>
    <row r="835" spans="1:44" s="457" customFormat="1" ht="12" customHeight="1">
      <c r="A835" s="307"/>
      <c r="P835" s="307"/>
      <c r="X835" s="307"/>
      <c r="Y835" s="307"/>
      <c r="Z835" s="1753"/>
      <c r="AA835" s="307"/>
      <c r="AB835" s="307"/>
      <c r="AC835" s="307"/>
      <c r="AD835" s="307"/>
      <c r="AE835" s="307"/>
      <c r="AF835" s="307"/>
      <c r="AG835" s="307"/>
      <c r="AH835" s="307"/>
      <c r="AI835" s="307"/>
      <c r="AJ835" s="307"/>
      <c r="AK835" s="307"/>
      <c r="AL835" s="307"/>
      <c r="AM835" s="307"/>
      <c r="AN835" s="307"/>
      <c r="AO835" s="307"/>
      <c r="AP835" s="307"/>
      <c r="AQ835" s="307"/>
      <c r="AR835" s="307"/>
    </row>
    <row r="836" spans="1:44" s="457" customFormat="1" ht="12" customHeight="1">
      <c r="A836" s="307"/>
      <c r="P836" s="307"/>
      <c r="X836" s="307"/>
      <c r="Y836" s="307"/>
      <c r="Z836" s="1753"/>
      <c r="AA836" s="307"/>
      <c r="AB836" s="307"/>
      <c r="AC836" s="307"/>
      <c r="AD836" s="307"/>
      <c r="AE836" s="307"/>
      <c r="AF836" s="307"/>
      <c r="AG836" s="307"/>
      <c r="AH836" s="307"/>
      <c r="AI836" s="307"/>
      <c r="AJ836" s="307"/>
      <c r="AK836" s="307"/>
      <c r="AL836" s="307"/>
      <c r="AM836" s="307"/>
      <c r="AN836" s="307"/>
      <c r="AO836" s="307"/>
      <c r="AP836" s="307"/>
      <c r="AQ836" s="307"/>
      <c r="AR836" s="307"/>
    </row>
    <row r="837" spans="1:44" s="457" customFormat="1" ht="12" customHeight="1">
      <c r="A837" s="307"/>
      <c r="P837" s="307"/>
      <c r="X837" s="307"/>
      <c r="Y837" s="307"/>
      <c r="Z837" s="1753"/>
      <c r="AA837" s="307"/>
      <c r="AB837" s="307"/>
      <c r="AC837" s="307"/>
      <c r="AD837" s="307"/>
      <c r="AE837" s="307"/>
      <c r="AF837" s="307"/>
      <c r="AG837" s="307"/>
      <c r="AH837" s="307"/>
      <c r="AI837" s="307"/>
      <c r="AJ837" s="307"/>
      <c r="AK837" s="307"/>
      <c r="AL837" s="307"/>
      <c r="AM837" s="307"/>
      <c r="AN837" s="307"/>
      <c r="AO837" s="307"/>
      <c r="AP837" s="307"/>
      <c r="AQ837" s="307"/>
      <c r="AR837" s="307"/>
    </row>
    <row r="838" spans="1:44" s="457" customFormat="1" ht="12" customHeight="1">
      <c r="A838" s="307"/>
      <c r="P838" s="307"/>
      <c r="X838" s="307"/>
      <c r="Y838" s="307"/>
      <c r="Z838" s="1753"/>
      <c r="AA838" s="307"/>
      <c r="AB838" s="307"/>
      <c r="AC838" s="307"/>
      <c r="AD838" s="307"/>
      <c r="AE838" s="307"/>
      <c r="AF838" s="307"/>
      <c r="AG838" s="307"/>
      <c r="AH838" s="307"/>
      <c r="AI838" s="307"/>
      <c r="AJ838" s="307"/>
      <c r="AK838" s="307"/>
      <c r="AL838" s="307"/>
      <c r="AM838" s="307"/>
      <c r="AN838" s="307"/>
      <c r="AO838" s="307"/>
      <c r="AP838" s="307"/>
      <c r="AQ838" s="307"/>
      <c r="AR838" s="307"/>
    </row>
    <row r="839" spans="1:44" s="457" customFormat="1" ht="12" customHeight="1">
      <c r="A839" s="307"/>
      <c r="P839" s="307"/>
      <c r="X839" s="307"/>
      <c r="Y839" s="307"/>
      <c r="Z839" s="1753"/>
      <c r="AA839" s="307"/>
      <c r="AB839" s="307"/>
      <c r="AC839" s="307"/>
      <c r="AD839" s="307"/>
      <c r="AE839" s="307"/>
      <c r="AF839" s="307"/>
      <c r="AG839" s="307"/>
      <c r="AH839" s="307"/>
      <c r="AI839" s="307"/>
      <c r="AJ839" s="307"/>
      <c r="AK839" s="307"/>
      <c r="AL839" s="307"/>
      <c r="AM839" s="307"/>
      <c r="AN839" s="307"/>
      <c r="AO839" s="307"/>
      <c r="AP839" s="307"/>
      <c r="AQ839" s="307"/>
      <c r="AR839" s="307"/>
    </row>
    <row r="840" spans="1:44" s="457" customFormat="1" ht="12" customHeight="1">
      <c r="A840" s="307"/>
      <c r="P840" s="307"/>
      <c r="X840" s="307"/>
      <c r="Y840" s="307"/>
      <c r="Z840" s="1753"/>
      <c r="AA840" s="307"/>
      <c r="AB840" s="307"/>
      <c r="AC840" s="307"/>
      <c r="AD840" s="307"/>
      <c r="AE840" s="307"/>
      <c r="AF840" s="307"/>
      <c r="AG840" s="307"/>
      <c r="AH840" s="307"/>
      <c r="AI840" s="307"/>
      <c r="AJ840" s="307"/>
      <c r="AK840" s="307"/>
      <c r="AL840" s="307"/>
      <c r="AM840" s="307"/>
      <c r="AN840" s="307"/>
      <c r="AO840" s="307"/>
      <c r="AP840" s="307"/>
      <c r="AQ840" s="307"/>
      <c r="AR840" s="307"/>
    </row>
    <row r="841" spans="1:44" s="457" customFormat="1" ht="12" customHeight="1">
      <c r="A841" s="307"/>
      <c r="P841" s="307"/>
      <c r="X841" s="307"/>
      <c r="Y841" s="307"/>
      <c r="Z841" s="1753"/>
      <c r="AA841" s="307"/>
      <c r="AB841" s="307"/>
      <c r="AC841" s="307"/>
      <c r="AD841" s="307"/>
      <c r="AE841" s="307"/>
      <c r="AF841" s="307"/>
      <c r="AG841" s="307"/>
      <c r="AH841" s="307"/>
      <c r="AI841" s="307"/>
      <c r="AJ841" s="307"/>
      <c r="AK841" s="307"/>
      <c r="AL841" s="307"/>
      <c r="AM841" s="307"/>
      <c r="AN841" s="307"/>
      <c r="AO841" s="307"/>
      <c r="AP841" s="307"/>
      <c r="AQ841" s="307"/>
      <c r="AR841" s="307"/>
    </row>
    <row r="842" spans="1:44" s="457" customFormat="1" ht="12" customHeight="1">
      <c r="A842" s="307"/>
      <c r="P842" s="307"/>
      <c r="X842" s="307"/>
      <c r="Y842" s="307"/>
      <c r="Z842" s="1753"/>
      <c r="AA842" s="307"/>
      <c r="AB842" s="307"/>
      <c r="AC842" s="307"/>
      <c r="AD842" s="307"/>
      <c r="AE842" s="307"/>
      <c r="AF842" s="307"/>
      <c r="AG842" s="307"/>
      <c r="AH842" s="307"/>
      <c r="AI842" s="307"/>
      <c r="AJ842" s="307"/>
      <c r="AK842" s="307"/>
      <c r="AL842" s="307"/>
      <c r="AM842" s="307"/>
      <c r="AN842" s="307"/>
      <c r="AO842" s="307"/>
      <c r="AP842" s="307"/>
      <c r="AQ842" s="307"/>
      <c r="AR842" s="307"/>
    </row>
    <row r="843" spans="1:44" s="457" customFormat="1" ht="12" customHeight="1">
      <c r="A843" s="307"/>
      <c r="P843" s="307"/>
      <c r="X843" s="307"/>
      <c r="Y843" s="307"/>
      <c r="Z843" s="1753"/>
      <c r="AA843" s="307"/>
      <c r="AB843" s="307"/>
      <c r="AC843" s="307"/>
      <c r="AD843" s="307"/>
      <c r="AE843" s="307"/>
      <c r="AF843" s="307"/>
      <c r="AG843" s="307"/>
      <c r="AH843" s="307"/>
      <c r="AI843" s="307"/>
      <c r="AJ843" s="307"/>
      <c r="AK843" s="307"/>
      <c r="AL843" s="307"/>
      <c r="AM843" s="307"/>
      <c r="AN843" s="307"/>
      <c r="AO843" s="307"/>
      <c r="AP843" s="307"/>
      <c r="AQ843" s="307"/>
      <c r="AR843" s="307"/>
    </row>
    <row r="844" spans="1:44" s="457" customFormat="1" ht="12" customHeight="1">
      <c r="A844" s="307"/>
      <c r="P844" s="307"/>
      <c r="X844" s="307"/>
      <c r="Y844" s="307"/>
      <c r="Z844" s="1753"/>
      <c r="AA844" s="307"/>
      <c r="AB844" s="307"/>
      <c r="AC844" s="307"/>
      <c r="AD844" s="307"/>
      <c r="AE844" s="307"/>
      <c r="AF844" s="307"/>
      <c r="AG844" s="307"/>
    </row>
    <row r="845" spans="1:44" s="457" customFormat="1" ht="12" customHeight="1">
      <c r="A845" s="307"/>
      <c r="P845" s="307"/>
      <c r="X845" s="307"/>
      <c r="Y845" s="307"/>
      <c r="Z845" s="1753"/>
      <c r="AA845" s="307"/>
      <c r="AB845" s="307"/>
      <c r="AC845" s="307"/>
      <c r="AD845" s="307"/>
      <c r="AE845" s="307"/>
      <c r="AF845" s="307"/>
      <c r="AG845" s="307"/>
    </row>
    <row r="846" spans="1:44" s="457" customFormat="1" ht="12" customHeight="1">
      <c r="A846" s="307"/>
      <c r="P846" s="307"/>
      <c r="X846" s="307"/>
      <c r="Y846" s="307"/>
      <c r="Z846" s="1753"/>
      <c r="AA846" s="307"/>
      <c r="AB846" s="307"/>
      <c r="AC846" s="307"/>
      <c r="AD846" s="307"/>
      <c r="AE846" s="307"/>
      <c r="AF846" s="307"/>
      <c r="AG846" s="307"/>
    </row>
    <row r="847" spans="1:44" s="457" customFormat="1" ht="12" customHeight="1">
      <c r="A847" s="307"/>
      <c r="P847" s="307"/>
      <c r="X847" s="307"/>
      <c r="Y847" s="307"/>
      <c r="Z847" s="1753"/>
      <c r="AA847" s="307"/>
      <c r="AB847" s="307"/>
      <c r="AC847" s="307"/>
      <c r="AD847" s="307"/>
      <c r="AE847" s="307"/>
      <c r="AF847" s="307"/>
      <c r="AG847" s="307"/>
    </row>
    <row r="848" spans="1:44" s="457" customFormat="1" ht="12" customHeight="1">
      <c r="A848" s="307"/>
      <c r="P848" s="307"/>
      <c r="X848" s="307"/>
      <c r="Y848" s="307"/>
      <c r="Z848" s="1753"/>
      <c r="AA848" s="307"/>
      <c r="AB848" s="307"/>
      <c r="AC848" s="307"/>
      <c r="AD848" s="307"/>
      <c r="AE848" s="307"/>
      <c r="AF848" s="307"/>
      <c r="AG848" s="307"/>
    </row>
    <row r="849" spans="1:33" s="457" customFormat="1" ht="12" customHeight="1">
      <c r="A849" s="307"/>
      <c r="P849" s="307"/>
      <c r="X849" s="307"/>
      <c r="Y849" s="307"/>
      <c r="Z849" s="1753"/>
      <c r="AA849" s="307"/>
      <c r="AB849" s="307"/>
      <c r="AC849" s="307"/>
      <c r="AD849" s="307"/>
      <c r="AE849" s="307"/>
      <c r="AF849" s="307"/>
      <c r="AG849" s="307"/>
    </row>
    <row r="850" spans="1:33" s="457" customFormat="1" ht="12" customHeight="1">
      <c r="A850" s="307"/>
      <c r="P850" s="307"/>
      <c r="X850" s="307"/>
      <c r="Y850" s="307"/>
      <c r="Z850" s="1753"/>
      <c r="AA850" s="307"/>
      <c r="AB850" s="307"/>
      <c r="AC850" s="307"/>
      <c r="AD850" s="307"/>
      <c r="AE850" s="307"/>
      <c r="AF850" s="307"/>
      <c r="AG850" s="307"/>
    </row>
    <row r="851" spans="1:33" s="457" customFormat="1" ht="12" customHeight="1">
      <c r="A851" s="307"/>
      <c r="P851" s="307"/>
      <c r="X851" s="307"/>
      <c r="Y851" s="307"/>
      <c r="Z851" s="1753"/>
      <c r="AA851" s="307"/>
      <c r="AB851" s="307"/>
      <c r="AC851" s="307"/>
      <c r="AD851" s="307"/>
      <c r="AE851" s="307"/>
      <c r="AF851" s="307"/>
      <c r="AG851" s="307"/>
    </row>
    <row r="852" spans="1:33" s="457" customFormat="1" ht="12" customHeight="1">
      <c r="A852" s="307"/>
      <c r="P852" s="307"/>
      <c r="X852" s="307"/>
      <c r="Y852" s="307"/>
      <c r="Z852" s="1753"/>
      <c r="AA852" s="307"/>
      <c r="AB852" s="307"/>
      <c r="AC852" s="307"/>
      <c r="AD852" s="307"/>
      <c r="AE852" s="307"/>
      <c r="AF852" s="307"/>
      <c r="AG852" s="307"/>
    </row>
    <row r="853" spans="1:33" s="457" customFormat="1" ht="12" customHeight="1">
      <c r="A853" s="307"/>
      <c r="P853" s="307"/>
      <c r="X853" s="307"/>
      <c r="Y853" s="307"/>
      <c r="Z853" s="1753"/>
      <c r="AA853" s="307"/>
      <c r="AB853" s="307"/>
      <c r="AC853" s="307"/>
      <c r="AD853" s="307"/>
      <c r="AE853" s="307"/>
      <c r="AF853" s="307"/>
      <c r="AG853" s="307"/>
    </row>
    <row r="854" spans="1:33" s="457" customFormat="1" ht="12" customHeight="1">
      <c r="A854" s="307"/>
      <c r="P854" s="307"/>
      <c r="X854" s="307"/>
      <c r="Y854" s="307"/>
      <c r="Z854" s="1753"/>
      <c r="AA854" s="307"/>
      <c r="AB854" s="307"/>
      <c r="AC854" s="307"/>
      <c r="AD854" s="307"/>
      <c r="AE854" s="307"/>
      <c r="AF854" s="307"/>
      <c r="AG854" s="307"/>
    </row>
    <row r="855" spans="1:33" s="457" customFormat="1" ht="12" customHeight="1">
      <c r="A855" s="307"/>
      <c r="P855" s="307"/>
      <c r="X855" s="307"/>
      <c r="Y855" s="307"/>
      <c r="Z855" s="1753"/>
      <c r="AA855" s="307"/>
      <c r="AB855" s="307"/>
      <c r="AC855" s="307"/>
      <c r="AD855" s="307"/>
      <c r="AE855" s="307"/>
      <c r="AF855" s="307"/>
      <c r="AG855" s="307"/>
    </row>
    <row r="856" spans="1:33" s="457" customFormat="1" ht="12" customHeight="1">
      <c r="A856" s="307"/>
      <c r="P856" s="307"/>
      <c r="X856" s="307"/>
      <c r="Y856" s="307"/>
      <c r="Z856" s="1753"/>
      <c r="AA856" s="307"/>
      <c r="AB856" s="307"/>
      <c r="AC856" s="307"/>
      <c r="AD856" s="307"/>
      <c r="AE856" s="307"/>
      <c r="AF856" s="307"/>
      <c r="AG856" s="307"/>
    </row>
    <row r="857" spans="1:33" s="457" customFormat="1" ht="12" customHeight="1">
      <c r="A857" s="307"/>
      <c r="P857" s="307"/>
      <c r="X857" s="307"/>
      <c r="Y857" s="307"/>
      <c r="Z857" s="1753"/>
      <c r="AA857" s="307"/>
      <c r="AB857" s="307"/>
      <c r="AC857" s="307"/>
      <c r="AD857" s="307"/>
      <c r="AE857" s="307"/>
      <c r="AF857" s="307"/>
      <c r="AG857" s="307"/>
    </row>
    <row r="858" spans="1:33" s="457" customFormat="1" ht="12" customHeight="1">
      <c r="A858" s="307"/>
      <c r="P858" s="307"/>
      <c r="X858" s="307"/>
      <c r="Y858" s="307"/>
      <c r="Z858" s="1753"/>
      <c r="AA858" s="307"/>
      <c r="AB858" s="307"/>
      <c r="AC858" s="307"/>
      <c r="AD858" s="307"/>
      <c r="AE858" s="307"/>
      <c r="AF858" s="307"/>
      <c r="AG858" s="307"/>
    </row>
    <row r="859" spans="1:33" s="457" customFormat="1" ht="12" customHeight="1">
      <c r="B859" s="456"/>
      <c r="X859" s="307"/>
      <c r="Y859" s="307"/>
      <c r="Z859" s="1753"/>
      <c r="AA859" s="307"/>
      <c r="AB859" s="307"/>
      <c r="AC859" s="307"/>
      <c r="AD859" s="307"/>
      <c r="AE859" s="307"/>
      <c r="AF859" s="307"/>
      <c r="AG859" s="307"/>
    </row>
    <row r="860" spans="1:33" s="457" customFormat="1" ht="12" customHeight="1">
      <c r="B860" s="456"/>
      <c r="Z860" s="1753"/>
    </row>
    <row r="861" spans="1:33" s="457" customFormat="1" ht="12" customHeight="1">
      <c r="B861" s="456"/>
      <c r="Z861" s="1753"/>
    </row>
    <row r="862" spans="1:33" s="457" customFormat="1" ht="12" customHeight="1">
      <c r="B862" s="456"/>
      <c r="Z862" s="1753"/>
    </row>
    <row r="863" spans="1:33" s="457" customFormat="1" ht="12" customHeight="1">
      <c r="B863" s="456"/>
      <c r="Z863" s="1753"/>
    </row>
    <row r="864" spans="1:33" s="457" customFormat="1" ht="12" customHeight="1">
      <c r="B864" s="456"/>
      <c r="Z864" s="1753"/>
    </row>
    <row r="865" spans="2:26" s="457" customFormat="1" ht="12" customHeight="1">
      <c r="B865" s="456"/>
      <c r="Z865" s="1753"/>
    </row>
    <row r="866" spans="2:26" s="457" customFormat="1" ht="12" customHeight="1">
      <c r="B866" s="456"/>
      <c r="Z866" s="1753"/>
    </row>
    <row r="867" spans="2:26" s="457" customFormat="1" ht="12" customHeight="1">
      <c r="B867" s="456"/>
      <c r="Z867" s="1753"/>
    </row>
    <row r="868" spans="2:26" s="457" customFormat="1" ht="12" customHeight="1">
      <c r="B868" s="456"/>
      <c r="Z868" s="1753"/>
    </row>
    <row r="869" spans="2:26" s="457" customFormat="1" ht="12" customHeight="1">
      <c r="B869" s="456"/>
      <c r="Z869" s="1753"/>
    </row>
    <row r="870" spans="2:26" s="457" customFormat="1" ht="12" customHeight="1">
      <c r="B870" s="456"/>
      <c r="Z870" s="1753"/>
    </row>
    <row r="871" spans="2:26" s="457" customFormat="1" ht="12" customHeight="1">
      <c r="B871" s="456"/>
      <c r="Z871" s="1753"/>
    </row>
    <row r="872" spans="2:26" s="457" customFormat="1" ht="12" customHeight="1">
      <c r="B872" s="456"/>
      <c r="Z872" s="1753"/>
    </row>
    <row r="873" spans="2:26" s="457" customFormat="1" ht="12" customHeight="1">
      <c r="B873" s="456"/>
      <c r="Z873" s="1753"/>
    </row>
    <row r="874" spans="2:26" s="457" customFormat="1" ht="12" customHeight="1">
      <c r="B874" s="456"/>
      <c r="Z874" s="1753"/>
    </row>
    <row r="875" spans="2:26" s="457" customFormat="1" ht="12" customHeight="1">
      <c r="B875" s="456"/>
      <c r="Z875" s="1753"/>
    </row>
    <row r="876" spans="2:26" s="457" customFormat="1" ht="12" customHeight="1">
      <c r="B876" s="456"/>
      <c r="Z876" s="1753"/>
    </row>
    <row r="877" spans="2:26" s="457" customFormat="1" ht="12" customHeight="1">
      <c r="B877" s="456"/>
      <c r="Z877" s="1753"/>
    </row>
    <row r="878" spans="2:26" s="457" customFormat="1" ht="12" customHeight="1">
      <c r="B878" s="456"/>
      <c r="Z878" s="1753"/>
    </row>
    <row r="879" spans="2:26" s="457" customFormat="1" ht="12" customHeight="1">
      <c r="B879" s="456"/>
      <c r="Z879" s="1753"/>
    </row>
    <row r="880" spans="2:26" s="457" customFormat="1" ht="12" customHeight="1">
      <c r="B880" s="456"/>
      <c r="Z880" s="1753"/>
    </row>
    <row r="881" spans="2:27" s="457" customFormat="1" ht="12" customHeight="1">
      <c r="B881" s="456"/>
      <c r="Z881" s="1753"/>
    </row>
    <row r="882" spans="2:27" s="457" customFormat="1" ht="12" customHeight="1">
      <c r="B882" s="456"/>
      <c r="Z882" s="1753"/>
    </row>
    <row r="883" spans="2:27" s="457" customFormat="1" ht="12" customHeight="1">
      <c r="B883" s="456"/>
      <c r="Z883" s="1753"/>
    </row>
    <row r="884" spans="2:27" s="457" customFormat="1" ht="12" customHeight="1">
      <c r="B884" s="456"/>
      <c r="Z884" s="1753"/>
    </row>
    <row r="885" spans="2:27" s="457" customFormat="1" ht="12" customHeight="1">
      <c r="B885" s="456"/>
      <c r="Z885" s="1753"/>
    </row>
    <row r="886" spans="2:27" s="457" customFormat="1" ht="12" customHeight="1">
      <c r="B886" s="456"/>
      <c r="Z886" s="1753"/>
    </row>
    <row r="887" spans="2:27" s="457" customFormat="1" ht="12" customHeight="1">
      <c r="B887" s="456"/>
      <c r="N887" s="307"/>
      <c r="O887" s="307"/>
      <c r="Z887" s="1753"/>
    </row>
    <row r="888" spans="2:27" ht="12" customHeight="1">
      <c r="I888" s="457"/>
      <c r="AA888" s="385"/>
    </row>
    <row r="889" spans="2:27" ht="12" customHeight="1">
      <c r="AA889" s="385"/>
    </row>
    <row r="890" spans="2:27" ht="12" customHeight="1">
      <c r="AA890" s="385"/>
    </row>
    <row r="891" spans="2:27" ht="12" customHeight="1">
      <c r="AA891" s="385"/>
    </row>
  </sheetData>
  <sheetProtection algorithmName="SHA-512" hashValue="o4aX1/hes3X0R8rM2xL03Z10IVzxLXD2C+hVl/489ThlMcDzgnPUU4sQ2ST1M1oy88aXqBP6nsZg/jzJnYrogw==" saltValue="lYydrmC5jHTIcxlZradl6A==" spinCount="100000" sheet="1" objects="1" scenarios="1" selectLockedCells="1" selectUnlockedCells="1"/>
  <mergeCells count="208">
    <mergeCell ref="A2:P2"/>
    <mergeCell ref="O7:P7"/>
    <mergeCell ref="I10:J10"/>
    <mergeCell ref="O10:P10"/>
    <mergeCell ref="F12:H12"/>
    <mergeCell ref="O12:P12"/>
    <mergeCell ref="F22:L22"/>
    <mergeCell ref="O24:P24"/>
    <mergeCell ref="F23:H23"/>
    <mergeCell ref="M22:P23"/>
    <mergeCell ref="F24:H24"/>
    <mergeCell ref="J21:L21"/>
    <mergeCell ref="F21:H21"/>
    <mergeCell ref="A4:P4"/>
    <mergeCell ref="B7:D9"/>
    <mergeCell ref="O13:P13"/>
    <mergeCell ref="O25:P25"/>
    <mergeCell ref="O35:P35"/>
    <mergeCell ref="F36:K36"/>
    <mergeCell ref="O36:P36"/>
    <mergeCell ref="F25:K25"/>
    <mergeCell ref="N21:P21"/>
    <mergeCell ref="F16:I16"/>
    <mergeCell ref="N15:P15"/>
    <mergeCell ref="L16:M16"/>
    <mergeCell ref="J24:K24"/>
    <mergeCell ref="N17:P17"/>
    <mergeCell ref="J27:L27"/>
    <mergeCell ref="N27:P27"/>
    <mergeCell ref="F28:L28"/>
    <mergeCell ref="M28:P29"/>
    <mergeCell ref="F29:H29"/>
    <mergeCell ref="F27:H27"/>
    <mergeCell ref="F31:K31"/>
    <mergeCell ref="O31:P31"/>
    <mergeCell ref="F30:H30"/>
    <mergeCell ref="J30:K30"/>
    <mergeCell ref="O30:P30"/>
    <mergeCell ref="F37:K37"/>
    <mergeCell ref="G38:H38"/>
    <mergeCell ref="J38:K38"/>
    <mergeCell ref="J39:K39"/>
    <mergeCell ref="O39:P39"/>
    <mergeCell ref="F35:K35"/>
    <mergeCell ref="O38:P38"/>
    <mergeCell ref="F44:G44"/>
    <mergeCell ref="H44:I44"/>
    <mergeCell ref="J44:K44"/>
    <mergeCell ref="N44:P44"/>
    <mergeCell ref="F40:H40"/>
    <mergeCell ref="J40:K40"/>
    <mergeCell ref="O41:P41"/>
    <mergeCell ref="F43:G43"/>
    <mergeCell ref="H43:I43"/>
    <mergeCell ref="J43:K43"/>
    <mergeCell ref="F39:H39"/>
    <mergeCell ref="F45:G45"/>
    <mergeCell ref="H45:I45"/>
    <mergeCell ref="J45:K45"/>
    <mergeCell ref="N45:O45"/>
    <mergeCell ref="M109:N109"/>
    <mergeCell ref="O109:P109"/>
    <mergeCell ref="E110:L110"/>
    <mergeCell ref="M110:N110"/>
    <mergeCell ref="O110:P110"/>
    <mergeCell ref="K79:K80"/>
    <mergeCell ref="K77:L77"/>
    <mergeCell ref="F47:K47"/>
    <mergeCell ref="M47:P47"/>
    <mergeCell ref="F48:H48"/>
    <mergeCell ref="J48:K48"/>
    <mergeCell ref="F49:K49"/>
    <mergeCell ref="M49:P49"/>
    <mergeCell ref="K73:P75"/>
    <mergeCell ref="M77:P77"/>
    <mergeCell ref="F50:G50"/>
    <mergeCell ref="I50:K50"/>
    <mergeCell ref="M50:P50"/>
    <mergeCell ref="H77:J77"/>
    <mergeCell ref="H82:J82"/>
    <mergeCell ref="K87:L87"/>
    <mergeCell ref="K90:L90"/>
    <mergeCell ref="H105:I105"/>
    <mergeCell ref="E109:L109"/>
    <mergeCell ref="K94:M94"/>
    <mergeCell ref="C125:E125"/>
    <mergeCell ref="F125:H125"/>
    <mergeCell ref="J125:L125"/>
    <mergeCell ref="M125:O125"/>
    <mergeCell ref="E112:G112"/>
    <mergeCell ref="I112:K112"/>
    <mergeCell ref="M112:P112"/>
    <mergeCell ref="E113:G113"/>
    <mergeCell ref="I113:J113"/>
    <mergeCell ref="L113:P113"/>
    <mergeCell ref="E111:G111"/>
    <mergeCell ref="K111:L111"/>
    <mergeCell ref="O111:P111"/>
    <mergeCell ref="C127:E127"/>
    <mergeCell ref="F127:H127"/>
    <mergeCell ref="J127:L127"/>
    <mergeCell ref="M127:O127"/>
    <mergeCell ref="C128:E128"/>
    <mergeCell ref="F128:H128"/>
    <mergeCell ref="J128:L128"/>
    <mergeCell ref="M128:O128"/>
    <mergeCell ref="C126:E126"/>
    <mergeCell ref="F126:H126"/>
    <mergeCell ref="J126:L126"/>
    <mergeCell ref="M126:O126"/>
    <mergeCell ref="F130:H130"/>
    <mergeCell ref="J130:L130"/>
    <mergeCell ref="M130:O130"/>
    <mergeCell ref="J138:L138"/>
    <mergeCell ref="O148:P148"/>
    <mergeCell ref="O144:P144"/>
    <mergeCell ref="O145:P145"/>
    <mergeCell ref="O146:P146"/>
    <mergeCell ref="C139:E139"/>
    <mergeCell ref="F139:I139"/>
    <mergeCell ref="J139:L139"/>
    <mergeCell ref="M139:P139"/>
    <mergeCell ref="C140:E140"/>
    <mergeCell ref="F140:I140"/>
    <mergeCell ref="J140:L140"/>
    <mergeCell ref="M140:P140"/>
    <mergeCell ref="G148:H148"/>
    <mergeCell ref="M138:P138"/>
    <mergeCell ref="O147:P147"/>
    <mergeCell ref="O187:P187"/>
    <mergeCell ref="H189:I189"/>
    <mergeCell ref="B199:P201"/>
    <mergeCell ref="L191:P192"/>
    <mergeCell ref="L194:P194"/>
    <mergeCell ref="J195:K195"/>
    <mergeCell ref="L195:P195"/>
    <mergeCell ref="J196:K196"/>
    <mergeCell ref="L196:P196"/>
    <mergeCell ref="J191:K192"/>
    <mergeCell ref="C197:E197"/>
    <mergeCell ref="J193:K193"/>
    <mergeCell ref="L193:P193"/>
    <mergeCell ref="J194:K194"/>
    <mergeCell ref="H191:I191"/>
    <mergeCell ref="J197:K197"/>
    <mergeCell ref="L197:P197"/>
    <mergeCell ref="O151:P151"/>
    <mergeCell ref="P163:P166"/>
    <mergeCell ref="O154:P154"/>
    <mergeCell ref="G155:H155"/>
    <mergeCell ref="O155:P155"/>
    <mergeCell ref="Q218:U219"/>
    <mergeCell ref="N206:O206"/>
    <mergeCell ref="O208:P208"/>
    <mergeCell ref="O210:P210"/>
    <mergeCell ref="I213:J213"/>
    <mergeCell ref="A218:L218"/>
    <mergeCell ref="M218:P218"/>
    <mergeCell ref="I214:J214"/>
    <mergeCell ref="I215:J215"/>
    <mergeCell ref="O209:P209"/>
    <mergeCell ref="O152:P152"/>
    <mergeCell ref="O153:P153"/>
    <mergeCell ref="O185:P185"/>
    <mergeCell ref="O186:P186"/>
    <mergeCell ref="I156:J156"/>
    <mergeCell ref="N177:O177"/>
    <mergeCell ref="M180:O180"/>
    <mergeCell ref="J180:K180"/>
    <mergeCell ref="J179:K179"/>
    <mergeCell ref="I149:J149"/>
    <mergeCell ref="K82:L82"/>
    <mergeCell ref="M82:P82"/>
    <mergeCell ref="K84:K85"/>
    <mergeCell ref="C132:P133"/>
    <mergeCell ref="C135:E135"/>
    <mergeCell ref="F135:I135"/>
    <mergeCell ref="J135:L135"/>
    <mergeCell ref="M135:P135"/>
    <mergeCell ref="C136:E136"/>
    <mergeCell ref="F136:I136"/>
    <mergeCell ref="J136:L136"/>
    <mergeCell ref="M136:P136"/>
    <mergeCell ref="C137:E137"/>
    <mergeCell ref="F137:I137"/>
    <mergeCell ref="J137:L137"/>
    <mergeCell ref="M137:P137"/>
    <mergeCell ref="C138:E138"/>
    <mergeCell ref="F138:I138"/>
    <mergeCell ref="C129:E129"/>
    <mergeCell ref="F129:H129"/>
    <mergeCell ref="J129:L129"/>
    <mergeCell ref="M129:O129"/>
    <mergeCell ref="C130:E130"/>
    <mergeCell ref="N171:P171"/>
    <mergeCell ref="D171:H171"/>
    <mergeCell ref="J173:L173"/>
    <mergeCell ref="J172:L172"/>
    <mergeCell ref="G173:H173"/>
    <mergeCell ref="J175:K175"/>
    <mergeCell ref="M179:O179"/>
    <mergeCell ref="C176:J177"/>
    <mergeCell ref="J174:P174"/>
    <mergeCell ref="N173:P173"/>
    <mergeCell ref="N172:P172"/>
    <mergeCell ref="D174:H174"/>
    <mergeCell ref="D173:E173"/>
    <mergeCell ref="D172:H172"/>
  </mergeCells>
  <dataValidations count="24">
    <dataValidation type="list" allowBlank="1" showInputMessage="1" showErrorMessage="1" sqref="I125:I130 P125:P130" xr:uid="{00000000-0002-0000-0100-000001000000}">
      <formula1>"&lt;Select&gt;, Direct, Indirect, Both"</formula1>
    </dataValidation>
    <dataValidation type="list" allowBlank="1" showInputMessage="1" showErrorMessage="1" sqref="F40:H40" xr:uid="{00000000-0002-0000-0100-000002000000}">
      <formula1>"&lt;&lt; Select from list &gt;&gt;,City Limits, Unincorporated County, Consolidated Government"</formula1>
    </dataValidation>
    <dataValidation type="list" allowBlank="1" showInputMessage="1" showErrorMessage="1" sqref="F12:H12" xr:uid="{00000000-0002-0000-0100-000003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3:P13" xr:uid="{00000000-0002-0000-0100-000004000000}">
      <formula1>"&lt;&lt;Select&gt;&gt;,Yes - see Comment, No, N/A - no pre-app"</formula1>
    </dataValidation>
    <dataValidation type="list" allowBlank="1" showInputMessage="1" showErrorMessage="1" sqref="O35:P35"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50:K50" xr:uid="{00000000-0002-0000-0100-000006000000}"/>
    <dataValidation type="list" operator="greaterThanOrEqual" showInputMessage="1" showErrorMessage="1" error="Please enter a whole number or leave this cell empty." sqref="N40 P40 F15 F17 P16" xr:uid="{00000000-0002-0000-0100-000007000000}">
      <formula1>"Yes, No"</formula1>
    </dataValidation>
    <dataValidation type="list" allowBlank="1" showInputMessage="1" showErrorMessage="1" sqref="H105:I105" xr:uid="{00000000-0002-0000-0100-000009000000}">
      <formula1>"&lt;&lt;Select Pool&gt;&gt;, Rural, Other Metro, Atlanta Metro, N/A - 4% Bond"</formula1>
    </dataValidation>
    <dataValidation type="list" allowBlank="1" showInputMessage="1" showErrorMessage="1" sqref="N104 N67:N68 N78 N97 N91 S61 N81 N83 N86"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30:O31 J24 O24:O25 J30"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50:G50 J39:K39 K111:L111 F24 F30 G173"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73 N173 N171" xr:uid="{00000000-0002-0000-0100-00000F000000}">
      <formula1>1000000000</formula1>
      <formula2>9999999999</formula2>
    </dataValidation>
    <dataValidation type="list" allowBlank="1" showInputMessage="1" showErrorMessage="1" sqref="P204:P207 H103 L185:L187 H203 D51 I148 D166 I166 I179:I180 H100:H101 I182 O160:O161 I158:I161 O158 D169 I169 M100 P100:P101 I155 I204:I211 I175 L177 G198" xr:uid="{00000000-0002-0000-0100-000010000000}">
      <formula1>"Yes, No"</formula1>
    </dataValidation>
    <dataValidation type="whole" operator="greaterThanOrEqual" showInputMessage="1" showErrorMessage="1" error="Please enter a whole number or leave this cell empty." sqref="H56 F44:H45 L42:P42 I44:K46 M60:P60 K60" xr:uid="{00000000-0002-0000-0100-000011000000}">
      <formula1>0</formula1>
    </dataValidation>
    <dataValidation type="list" showInputMessage="1" showErrorMessage="1" sqref="H59 N37 I144 F41 I151"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2" xr:uid="{00000000-0002-0000-0100-000017000000}">
      <formula1>"&lt;&lt;Select&gt;&gt;,Yes, No"</formula1>
    </dataValidation>
    <dataValidation type="list" allowBlank="1" showInputMessage="1" showErrorMessage="1" sqref="N17" xr:uid="{00000000-0002-0000-0100-000000000000}">
      <formula1>$J$239:$J$248</formula1>
    </dataValidation>
    <dataValidation type="list" allowBlank="1" showInputMessage="1" showErrorMessage="1" sqref="N15:P15"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 type="list" allowBlank="1" showInputMessage="1" showErrorMessage="1" sqref="H77" xr:uid="{CB45CCA9-E32E-4C4E-904A-D4BFBFC1BB30}">
      <formula1>"&lt;&lt; Select PROPOSED Tenancy &gt;&gt;,Family,Elderly,HFOP,Other Senior/Elderly, Other Non-Senior"</formula1>
    </dataValidation>
    <dataValidation type="list" allowBlank="1" showInputMessage="1" showErrorMessage="1" sqref="H82:J82" xr:uid="{A2C6F289-0AA9-401C-BF26-3ECDC7180054}">
      <formula1>"&lt;&lt; Select CURRENT Tenancy &gt;&gt;,Family,Elderly,HFOP,Other Senior/Elderly, Other Non-Senior"</formula1>
    </dataValidation>
  </dataValidations>
  <hyperlinks>
    <hyperlink ref="N44" r:id="rId1" xr:uid="{00000000-0004-0000-0100-000000000000}"/>
    <hyperlink ref="N45"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2021 Funding Application&amp;RHousing Finance and Development Division</oddHeader>
    <oddFooter>&amp;L&amp;G &amp;9&amp;F&amp;C&amp;9&amp;A&amp;R&amp;9&amp;P of &amp;N</oddFooter>
  </headerFooter>
  <rowBreaks count="4" manualBreakCount="4">
    <brk id="45" max="16383" man="1"/>
    <brk id="90" max="16383" man="1"/>
    <brk id="140" max="16383" man="1"/>
    <brk id="183" max="16383" man="1"/>
  </rowBreaks>
  <legacyDrawingHF r:id="rId4"/>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18000000}">
          <x14:formula1>
            <xm:f>'DCA Underwriting Assumptions'!$F$174:$F$224</xm:f>
          </x14:formula1>
          <xm:sqref>J29 J23</xm:sqref>
        </x14:dataValidation>
        <x14:dataValidation type="list" allowBlank="1" showInputMessage="1" showErrorMessage="1" xr:uid="{00000000-0002-0000-0100-00001A000000}">
          <x14:formula1>
            <xm:f>'DCA Underwriting Assumptions'!$T$174:$T$802</xm:f>
          </x14:formula1>
          <xm:sqref>F39:H39</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9"/>
  <sheetViews>
    <sheetView showGridLines="0" zoomScale="120" zoomScaleNormal="120" workbookViewId="0">
      <selection sqref="A1:H1"/>
    </sheetView>
  </sheetViews>
  <sheetFormatPr defaultColWidth="9.140625" defaultRowHeight="12.75"/>
  <cols>
    <col min="1" max="1" width="3" style="699" customWidth="1"/>
    <col min="2" max="2" width="0.85546875" style="699" customWidth="1"/>
    <col min="3" max="3" width="16.42578125" style="699" customWidth="1"/>
    <col min="4" max="4" width="18.140625" style="699" customWidth="1"/>
    <col min="5" max="5" width="16.42578125" style="699" customWidth="1"/>
    <col min="6" max="6" width="13.140625" style="699" customWidth="1"/>
    <col min="7" max="7" width="14.42578125" style="699" customWidth="1"/>
    <col min="8" max="8" width="5.85546875" style="699" customWidth="1"/>
    <col min="9" max="16384" width="9.140625" style="699"/>
  </cols>
  <sheetData>
    <row r="1" spans="1:13" ht="12" customHeight="1">
      <c r="A1" s="4477" t="str">
        <f>CONCATENATE('Sensitivity Analysis'!E8,"  ",'Sensitivity Analysis'!C8)</f>
        <v>2021-067  West Point Village Phase II</v>
      </c>
      <c r="B1" s="4477"/>
      <c r="C1" s="4477"/>
      <c r="D1" s="4477"/>
      <c r="E1" s="4477"/>
      <c r="F1" s="4477"/>
      <c r="G1" s="4477"/>
      <c r="H1" s="4477"/>
    </row>
    <row r="3" spans="1:13" ht="12" customHeight="1">
      <c r="A3" s="4478" t="s">
        <v>3225</v>
      </c>
      <c r="B3" s="4478"/>
      <c r="C3" s="4478"/>
      <c r="D3" s="4478"/>
      <c r="E3" s="4478"/>
      <c r="F3" s="4478"/>
      <c r="G3" s="4478"/>
      <c r="H3" s="4478"/>
      <c r="I3" s="1097"/>
      <c r="J3" s="4480" t="s">
        <v>3610</v>
      </c>
      <c r="K3" s="4480"/>
      <c r="L3" s="735"/>
      <c r="M3" s="735"/>
    </row>
    <row r="4" spans="1:13">
      <c r="J4" s="4480"/>
      <c r="K4" s="4480"/>
    </row>
    <row r="5" spans="1:13" ht="12" customHeight="1">
      <c r="A5" s="699">
        <v>1</v>
      </c>
      <c r="C5" s="699" t="s">
        <v>2858</v>
      </c>
      <c r="E5" s="717" t="str">
        <f>'Sensitivity Analysis'!H9</f>
        <v>West Point Village Phase II LLC</v>
      </c>
      <c r="J5" s="4480"/>
      <c r="K5" s="4480"/>
    </row>
    <row r="6" spans="1:13" ht="3" customHeight="1">
      <c r="H6" s="701"/>
      <c r="J6" s="4480"/>
      <c r="K6" s="4480"/>
    </row>
    <row r="7" spans="1:13" ht="12" customHeight="1">
      <c r="A7" s="699">
        <v>2</v>
      </c>
      <c r="C7" s="699" t="s">
        <v>2859</v>
      </c>
      <c r="E7" s="717" t="str">
        <f>'Part II-Development Team'!H7</f>
        <v>230 Wyoming Avenue</v>
      </c>
      <c r="J7" s="4480"/>
      <c r="K7" s="4480"/>
    </row>
    <row r="8" spans="1:13" ht="12" customHeight="1">
      <c r="E8" s="717" t="str">
        <f>+'Part II-Development Team'!H8&amp;","&amp;" "&amp;'Part II-Development Team'!H9&amp;" "&amp;LEFT('Part II-Development Team'!J9,5)</f>
        <v>Kingston, PA 18704</v>
      </c>
      <c r="J8" s="4480"/>
      <c r="K8" s="4480"/>
    </row>
    <row r="9" spans="1:13" ht="12" customHeight="1">
      <c r="C9" s="699" t="s">
        <v>2860</v>
      </c>
      <c r="E9" s="4479">
        <f>'Part II-Development Team'!L8</f>
        <v>0</v>
      </c>
      <c r="F9" s="4479"/>
      <c r="J9" s="4480"/>
      <c r="K9" s="4480"/>
    </row>
    <row r="10" spans="1:13" ht="12" customHeight="1">
      <c r="C10" s="699" t="s">
        <v>2861</v>
      </c>
      <c r="E10" s="717" t="str">
        <f>'Part II-Development Team'!Q6</f>
        <v>Mark H. Dambly</v>
      </c>
    </row>
    <row r="11" spans="1:13" ht="12" customHeight="1">
      <c r="C11" s="699" t="s">
        <v>3615</v>
      </c>
      <c r="E11" s="717" t="str">
        <f>'Part II-Development Team'!L10</f>
        <v>mdambly@pennrose.com</v>
      </c>
    </row>
    <row r="12" spans="1:13" ht="12" customHeight="1">
      <c r="C12" s="699" t="s">
        <v>3611</v>
      </c>
      <c r="E12" s="1098">
        <f>'Part II-Development Team'!H10</f>
        <v>2673868600</v>
      </c>
    </row>
    <row r="13" spans="1:13" ht="12" customHeight="1">
      <c r="C13" s="699" t="s">
        <v>3614</v>
      </c>
      <c r="E13" s="1098">
        <f>'Part II-Development Team'!Q8</f>
        <v>2673868668</v>
      </c>
    </row>
    <row r="14" spans="1:13" ht="3" customHeight="1"/>
    <row r="15" spans="1:13" ht="12" customHeight="1">
      <c r="A15" s="699">
        <v>3</v>
      </c>
      <c r="C15" s="699" t="s">
        <v>2862</v>
      </c>
      <c r="E15" s="717" t="str">
        <f>'Sensitivity Analysis'!C8</f>
        <v>West Point Village Phase II</v>
      </c>
    </row>
    <row r="16" spans="1:13" ht="12" customHeight="1">
      <c r="C16" s="699" t="s">
        <v>2863</v>
      </c>
      <c r="E16" s="717" t="str">
        <f>'Part I-Project Information'!$F$36</f>
        <v>1650 10th Street</v>
      </c>
    </row>
    <row r="17" spans="1:8" ht="12" customHeight="1">
      <c r="E17" s="717" t="str">
        <f>+'Part I-Project Information'!$F$39&amp;","&amp;" GA "&amp;LEFT('Part I-Project Information'!$J$39,5)</f>
        <v>West Point, GA 31833</v>
      </c>
    </row>
    <row r="18" spans="1:8" ht="3" customHeight="1"/>
    <row r="19" spans="1:8" ht="12" customHeight="1">
      <c r="A19" s="699">
        <v>4</v>
      </c>
      <c r="C19" s="699" t="s">
        <v>2864</v>
      </c>
      <c r="E19" s="717" t="str">
        <f>'Part II-Development Team'!H93</f>
        <v>Pennrose Management Company</v>
      </c>
    </row>
    <row r="20" spans="1:8" ht="12" customHeight="1">
      <c r="C20" s="699" t="s">
        <v>2865</v>
      </c>
      <c r="E20" s="717" t="str">
        <f>'Part II-Development Team'!H94</f>
        <v>1301 North 31st Street</v>
      </c>
    </row>
    <row r="21" spans="1:8" ht="12" customHeight="1">
      <c r="E21" s="717" t="str">
        <f>+'Part II-Development Team'!H95&amp;","&amp;" "&amp;'Part II-Development Team'!H96&amp;" "&amp;LEFT('Part II-Development Team'!L96,5)</f>
        <v>Philadelphia, PA 19121</v>
      </c>
    </row>
    <row r="22" spans="1:8" ht="12" customHeight="1">
      <c r="C22" s="699" t="s">
        <v>3611</v>
      </c>
      <c r="E22" s="1098">
        <f>'Part II-Development Team'!H97</f>
        <v>2673868600</v>
      </c>
    </row>
    <row r="23" spans="1:8" ht="12" customHeight="1">
      <c r="C23" s="699" t="s">
        <v>3614</v>
      </c>
      <c r="E23" s="1098">
        <f>'Part II-Development Team'!Q95</f>
        <v>0</v>
      </c>
    </row>
    <row r="24" spans="1:8" ht="12" customHeight="1">
      <c r="C24" s="699" t="s">
        <v>3615</v>
      </c>
      <c r="E24" s="1098" t="str">
        <f>'Part II-Development Team'!L97</f>
        <v>llandis@pennrose.com</v>
      </c>
    </row>
    <row r="25" spans="1:8" ht="3" customHeight="1">
      <c r="E25" s="717"/>
    </row>
    <row r="26" spans="1:8" ht="12" customHeight="1">
      <c r="A26" s="699">
        <v>5</v>
      </c>
      <c r="C26" s="699" t="s">
        <v>2866</v>
      </c>
      <c r="E26" s="717" t="str">
        <f>'Sensitivity Analysis'!$H$7</f>
        <v>New Construction</v>
      </c>
    </row>
    <row r="27" spans="1:8" ht="12" customHeight="1">
      <c r="E27" s="1633" t="str">
        <f>'Part I-Project Information'!F12</f>
        <v>9% Credit Competitive Round only</v>
      </c>
    </row>
    <row r="28" spans="1:8" ht="12" customHeight="1">
      <c r="C28" s="699" t="s">
        <v>3224</v>
      </c>
      <c r="E28" s="699" t="str">
        <f>'Sensitivity Analysis'!$C$9</f>
        <v>&lt;&lt;Select&gt;&gt;</v>
      </c>
    </row>
    <row r="29" spans="1:8" ht="3" customHeight="1">
      <c r="H29" s="739"/>
    </row>
    <row r="30" spans="1:8" ht="12" customHeight="1">
      <c r="A30" s="699">
        <v>6</v>
      </c>
      <c r="C30" s="699" t="s">
        <v>2867</v>
      </c>
      <c r="E30" s="699" t="s">
        <v>2298</v>
      </c>
      <c r="F30" s="1099">
        <f>'Part III-Sources of Funds'!L22</f>
        <v>2692610</v>
      </c>
      <c r="G30" s="699" t="s">
        <v>2868</v>
      </c>
    </row>
    <row r="31" spans="1:8" ht="12" customHeight="1">
      <c r="F31" s="1099" t="s">
        <v>2869</v>
      </c>
      <c r="G31" s="699" t="s">
        <v>2870</v>
      </c>
    </row>
    <row r="32" spans="1:8" ht="3" customHeight="1">
      <c r="F32" s="708"/>
    </row>
    <row r="33" spans="1:7" ht="12" customHeight="1">
      <c r="A33" s="699">
        <v>7</v>
      </c>
      <c r="C33" s="699" t="s">
        <v>2871</v>
      </c>
      <c r="F33" s="1100">
        <v>0</v>
      </c>
    </row>
    <row r="34" spans="1:7" ht="3" customHeight="1">
      <c r="F34" s="708"/>
    </row>
    <row r="35" spans="1:7" ht="12" customHeight="1">
      <c r="A35" s="699">
        <v>8</v>
      </c>
      <c r="C35" s="699" t="s">
        <v>2872</v>
      </c>
      <c r="E35" s="699" t="s">
        <v>2298</v>
      </c>
      <c r="F35" s="1101">
        <v>0.01</v>
      </c>
    </row>
    <row r="36" spans="1:7" ht="3" customHeight="1">
      <c r="F36" s="1100"/>
    </row>
    <row r="37" spans="1:7" ht="12" customHeight="1">
      <c r="A37" s="699">
        <v>9</v>
      </c>
      <c r="C37" s="699" t="s">
        <v>2873</v>
      </c>
      <c r="F37" s="1102">
        <v>24</v>
      </c>
      <c r="G37" s="699" t="s">
        <v>2874</v>
      </c>
    </row>
    <row r="38" spans="1:7" ht="3" customHeight="1">
      <c r="F38" s="1100"/>
    </row>
    <row r="39" spans="1:7" ht="12" customHeight="1">
      <c r="A39" s="699">
        <v>10</v>
      </c>
      <c r="C39" s="699" t="s">
        <v>2875</v>
      </c>
      <c r="E39" s="699" t="s">
        <v>2298</v>
      </c>
      <c r="F39" s="708">
        <f>'Part III-Sources of Funds'!L40*12</f>
        <v>420</v>
      </c>
      <c r="G39" s="699" t="s">
        <v>2874</v>
      </c>
    </row>
    <row r="40" spans="1:7" ht="3" customHeight="1">
      <c r="F40" s="708"/>
    </row>
    <row r="41" spans="1:7" ht="12" customHeight="1">
      <c r="A41" s="699">
        <v>11</v>
      </c>
      <c r="C41" s="699" t="s">
        <v>2876</v>
      </c>
      <c r="F41" s="1103">
        <v>24</v>
      </c>
      <c r="G41" s="699" t="s">
        <v>2874</v>
      </c>
    </row>
    <row r="42" spans="1:7" ht="3" customHeight="1"/>
    <row r="43" spans="1:7" ht="12" customHeight="1">
      <c r="A43" s="699">
        <v>12</v>
      </c>
      <c r="C43" s="699" t="s">
        <v>2877</v>
      </c>
      <c r="F43" s="1104" t="s">
        <v>2878</v>
      </c>
    </row>
    <row r="44" spans="1:7" ht="3" customHeight="1"/>
    <row r="45" spans="1:7" ht="12" customHeight="1">
      <c r="A45" s="699">
        <v>13</v>
      </c>
      <c r="C45" s="699" t="s">
        <v>2879</v>
      </c>
      <c r="E45" s="699" t="s">
        <v>2298</v>
      </c>
      <c r="F45" s="717" t="s">
        <v>2880</v>
      </c>
    </row>
    <row r="46" spans="1:7" ht="3" customHeight="1">
      <c r="F46" s="701"/>
    </row>
    <row r="47" spans="1:7" ht="12" customHeight="1">
      <c r="A47" s="699">
        <v>14</v>
      </c>
      <c r="C47" s="699" t="s">
        <v>2881</v>
      </c>
      <c r="E47" s="717" t="str">
        <f>'Part II-Development Team'!H15</f>
        <v>West Point Village MM LLC</v>
      </c>
    </row>
    <row r="48" spans="1:7" ht="3" customHeight="1">
      <c r="E48" s="717"/>
    </row>
    <row r="49" spans="1:7" ht="12" customHeight="1">
      <c r="A49" s="699">
        <v>15</v>
      </c>
      <c r="C49" s="699" t="s">
        <v>3617</v>
      </c>
      <c r="E49" s="717" t="str">
        <f>'Part II-Development Team'!Q99</f>
        <v>Steve Berman</v>
      </c>
      <c r="G49" s="717" t="str">
        <f>'Part II-Development Team'!H99</f>
        <v>Berman Indictor LLP</v>
      </c>
    </row>
    <row r="50" spans="1:7" ht="12" customHeight="1">
      <c r="C50" s="699" t="s">
        <v>2882</v>
      </c>
      <c r="E50" s="717">
        <f>'Part II-Development Team'!O103</f>
        <v>0</v>
      </c>
      <c r="F50" s="708"/>
    </row>
    <row r="51" spans="1:7" ht="3" customHeight="1">
      <c r="F51" s="708"/>
    </row>
    <row r="52" spans="1:7" ht="12" customHeight="1">
      <c r="A52" s="699">
        <v>16</v>
      </c>
      <c r="C52" s="699" t="s">
        <v>2883</v>
      </c>
      <c r="F52" s="1103">
        <f>'Sensitivity Analysis'!C13</f>
        <v>72</v>
      </c>
    </row>
    <row r="53" spans="1:7" ht="3" customHeight="1">
      <c r="F53" s="708"/>
    </row>
    <row r="54" spans="1:7" ht="12" customHeight="1">
      <c r="A54" s="735">
        <v>17</v>
      </c>
      <c r="B54" s="735"/>
      <c r="C54" s="735" t="s">
        <v>2884</v>
      </c>
      <c r="D54" s="735"/>
      <c r="E54" s="735"/>
      <c r="F54" s="1105" t="e">
        <f>ProrationMethodCostAllocatnDCA!$H$52</f>
        <v>#VALUE!</v>
      </c>
      <c r="G54" s="735"/>
    </row>
    <row r="55" spans="1:7" ht="3" customHeight="1">
      <c r="F55" s="708"/>
    </row>
    <row r="56" spans="1:7" ht="12" customHeight="1">
      <c r="A56" s="699">
        <v>18</v>
      </c>
      <c r="C56" s="699" t="s">
        <v>2885</v>
      </c>
      <c r="F56" s="1105">
        <f>'Part VI-Revenues &amp; Expenses'!P66</f>
        <v>0</v>
      </c>
      <c r="G56" s="699" t="s">
        <v>3616</v>
      </c>
    </row>
    <row r="57" spans="1:7" ht="3" customHeight="1">
      <c r="F57" s="708"/>
    </row>
    <row r="58" spans="1:7" ht="12" customHeight="1">
      <c r="A58" s="699">
        <v>19</v>
      </c>
      <c r="C58" s="699" t="s">
        <v>2886</v>
      </c>
      <c r="F58" s="1634">
        <f>'Part VIII-Threshold Criteria'!$P$83</f>
        <v>2</v>
      </c>
      <c r="G58" s="699" t="s">
        <v>3226</v>
      </c>
    </row>
    <row r="59" spans="1:7" ht="3" customHeight="1">
      <c r="F59" s="708"/>
    </row>
    <row r="60" spans="1:7" ht="12" customHeight="1">
      <c r="A60" s="699">
        <v>20</v>
      </c>
      <c r="C60" s="699" t="s">
        <v>2887</v>
      </c>
      <c r="F60" s="1106">
        <f>'Subsidy Layering Memo'!$L$70</f>
        <v>1304058.6092858065</v>
      </c>
      <c r="G60" s="735"/>
    </row>
    <row r="61" spans="1:7" ht="3" customHeight="1"/>
    <row r="62" spans="1:7" ht="12" customHeight="1">
      <c r="A62" s="699">
        <v>21</v>
      </c>
      <c r="C62" s="699" t="s">
        <v>3241</v>
      </c>
      <c r="E62" s="1107" t="s">
        <v>3227</v>
      </c>
      <c r="F62" s="1108" t="s">
        <v>3228</v>
      </c>
      <c r="G62" s="1107" t="s">
        <v>2888</v>
      </c>
    </row>
    <row r="63" spans="1:7" ht="12" customHeight="1">
      <c r="E63" s="1107" t="s">
        <v>3227</v>
      </c>
      <c r="F63" s="1108" t="s">
        <v>3228</v>
      </c>
      <c r="G63" s="1107" t="s">
        <v>6411</v>
      </c>
    </row>
    <row r="64" spans="1:7" ht="12" customHeight="1">
      <c r="E64" s="1107" t="s">
        <v>3227</v>
      </c>
      <c r="F64" s="1108" t="s">
        <v>3228</v>
      </c>
      <c r="G64" s="1107" t="s">
        <v>6412</v>
      </c>
    </row>
    <row r="65" spans="1:7" ht="12" customHeight="1">
      <c r="E65" s="1107" t="s">
        <v>3227</v>
      </c>
      <c r="F65" s="1108" t="s">
        <v>3228</v>
      </c>
      <c r="G65" s="1107" t="s">
        <v>6413</v>
      </c>
    </row>
    <row r="66" spans="1:7" ht="3" customHeight="1"/>
    <row r="67" spans="1:7" ht="12" customHeight="1">
      <c r="A67" s="699">
        <v>22</v>
      </c>
      <c r="C67" s="699" t="s">
        <v>2889</v>
      </c>
      <c r="E67" s="717" t="str">
        <f>'Sensitivity Analysis'!H9</f>
        <v>West Point Village Phase II LLC</v>
      </c>
    </row>
    <row r="68" spans="1:7" ht="3" customHeight="1"/>
    <row r="69" spans="1:7" ht="12" customHeight="1">
      <c r="A69" s="699">
        <v>23</v>
      </c>
      <c r="C69" s="699" t="s">
        <v>2890</v>
      </c>
      <c r="F69" s="708" t="s">
        <v>2891</v>
      </c>
    </row>
    <row r="70" spans="1:7" ht="3" customHeight="1"/>
    <row r="71" spans="1:7" ht="12" customHeight="1">
      <c r="A71" s="699">
        <v>24</v>
      </c>
      <c r="C71" s="699" t="s">
        <v>2892</v>
      </c>
      <c r="E71" s="699" t="s">
        <v>2298</v>
      </c>
      <c r="F71" s="708">
        <v>20</v>
      </c>
      <c r="G71" s="699" t="s">
        <v>2356</v>
      </c>
    </row>
    <row r="72" spans="1:7" ht="3" customHeight="1"/>
    <row r="73" spans="1:7" ht="12" customHeight="1">
      <c r="A73" s="699">
        <v>25</v>
      </c>
      <c r="C73" s="699" t="s">
        <v>2893</v>
      </c>
      <c r="F73" s="1109">
        <f>'Part IV-A-Uses of Funds'!$G$131</f>
        <v>268099</v>
      </c>
    </row>
    <row r="74" spans="1:7" ht="3" customHeight="1">
      <c r="F74" s="1109"/>
    </row>
    <row r="75" spans="1:7" ht="12" customHeight="1">
      <c r="A75" s="699">
        <v>26</v>
      </c>
      <c r="C75" s="699" t="s">
        <v>2894</v>
      </c>
      <c r="F75" s="1109">
        <f>'Part IV-A-Uses of Funds'!$G$132</f>
        <v>0</v>
      </c>
    </row>
    <row r="76" spans="1:7" ht="3" customHeight="1">
      <c r="F76" s="1109"/>
    </row>
    <row r="77" spans="1:7" ht="12" customHeight="1">
      <c r="A77" s="699">
        <v>27</v>
      </c>
      <c r="C77" s="699" t="s">
        <v>2895</v>
      </c>
      <c r="F77" s="1110">
        <f>'Part IV-A-Uses of Funds'!$G$130</f>
        <v>127273</v>
      </c>
    </row>
    <row r="78" spans="1:7" ht="3" customHeight="1">
      <c r="F78" s="1109"/>
    </row>
    <row r="79" spans="1:7" ht="12" customHeight="1">
      <c r="A79" s="699">
        <v>28</v>
      </c>
      <c r="C79" s="699" t="s">
        <v>2896</v>
      </c>
      <c r="F79" s="1111"/>
    </row>
  </sheetData>
  <sheetProtection algorithmName="SHA-512" hashValue="GBMlLlQJwN0UD9STOGsOaEyaDVBr575r605DxlEgYm3LqnuSMaNN1zsO5OeRIy7D0x4X/T1Dl8s8lnPlat7F/g==" saltValue="iQwJFfehnLIcXT12HVADTw==" spinCount="100000" sheet="1" objects="1" scenarios="1"/>
  <mergeCells count="4">
    <mergeCell ref="A1:H1"/>
    <mergeCell ref="A3:H3"/>
    <mergeCell ref="E9:F9"/>
    <mergeCell ref="J3:K9"/>
  </mergeCells>
  <dataValidations count="1">
    <dataValidation type="list" allowBlank="1" showInputMessage="1" showErrorMessage="1" sqref="F69"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sqref="A1:J1"/>
    </sheetView>
  </sheetViews>
  <sheetFormatPr defaultColWidth="9.140625" defaultRowHeight="12.75"/>
  <cols>
    <col min="1" max="1" width="23.5703125" style="699" customWidth="1"/>
    <col min="2" max="2" width="11" style="699" customWidth="1"/>
    <col min="3" max="3" width="31" style="699" customWidth="1"/>
    <col min="4" max="4" width="14" style="699" customWidth="1"/>
    <col min="5" max="10" width="11.140625" style="699" customWidth="1"/>
    <col min="11" max="16384" width="9.140625" style="699"/>
  </cols>
  <sheetData>
    <row r="1" spans="1:13" ht="15">
      <c r="A1" s="4493" t="s">
        <v>3079</v>
      </c>
      <c r="B1" s="4493"/>
      <c r="C1" s="4493"/>
      <c r="D1" s="4493"/>
      <c r="E1" s="4493"/>
      <c r="F1" s="4493"/>
      <c r="G1" s="4493"/>
      <c r="H1" s="4493"/>
      <c r="I1" s="4493"/>
      <c r="J1" s="4493"/>
    </row>
    <row r="2" spans="1:13" ht="15">
      <c r="A2" s="4493" t="str">
        <f>'Sensitivity Analysis'!E8&amp;"  "&amp;'Sensitivity Analysis'!C8</f>
        <v>2021-067  West Point Village Phase II</v>
      </c>
      <c r="B2" s="4493"/>
      <c r="C2" s="4493"/>
      <c r="D2" s="4493"/>
      <c r="E2" s="4493"/>
      <c r="F2" s="4493"/>
      <c r="G2" s="4493"/>
      <c r="H2" s="4493"/>
      <c r="I2" s="4493"/>
      <c r="J2" s="4493"/>
    </row>
    <row r="3" spans="1:13" ht="6" customHeight="1">
      <c r="K3" s="4480" t="s">
        <v>3610</v>
      </c>
      <c r="L3" s="4480"/>
      <c r="M3" s="4480"/>
    </row>
    <row r="4" spans="1:13" ht="12" customHeight="1">
      <c r="A4" s="704" t="s">
        <v>2897</v>
      </c>
      <c r="K4" s="4480"/>
      <c r="L4" s="4480"/>
      <c r="M4" s="4480"/>
    </row>
    <row r="5" spans="1:13" ht="12" customHeight="1">
      <c r="A5" s="699" t="s">
        <v>2898</v>
      </c>
      <c r="C5" s="705" t="str">
        <f>'Subsidy Layering Memo'!D6</f>
        <v>(Underwriter)</v>
      </c>
      <c r="I5" s="705"/>
      <c r="K5" s="4480"/>
      <c r="L5" s="4480"/>
      <c r="M5" s="4480"/>
    </row>
    <row r="6" spans="1:13" ht="6" customHeight="1">
      <c r="C6" s="636"/>
      <c r="D6" s="705"/>
      <c r="I6" s="705"/>
      <c r="K6" s="4480"/>
      <c r="L6" s="4480"/>
      <c r="M6" s="4480"/>
    </row>
    <row r="7" spans="1:13" ht="12" customHeight="1">
      <c r="A7" s="704" t="s">
        <v>2899</v>
      </c>
      <c r="C7" s="636"/>
      <c r="D7" s="705"/>
      <c r="I7" s="705"/>
      <c r="K7" s="4480"/>
      <c r="L7" s="4480"/>
      <c r="M7" s="4480"/>
    </row>
    <row r="8" spans="1:13" ht="12" customHeight="1">
      <c r="A8" s="699" t="s">
        <v>2900</v>
      </c>
      <c r="C8" s="705" t="str">
        <f>'Sensitivity Analysis'!$H$9</f>
        <v>West Point Village Phase II LLC</v>
      </c>
      <c r="I8" s="705"/>
      <c r="K8" s="4480"/>
      <c r="L8" s="4480"/>
      <c r="M8" s="4480"/>
    </row>
    <row r="9" spans="1:13" ht="3" customHeight="1">
      <c r="C9" s="636"/>
      <c r="D9" s="705"/>
      <c r="I9" s="705"/>
    </row>
    <row r="10" spans="1:13" ht="12" customHeight="1">
      <c r="A10" s="699" t="s">
        <v>2901</v>
      </c>
      <c r="C10" s="1055" t="s">
        <v>1691</v>
      </c>
      <c r="I10" s="705"/>
    </row>
    <row r="11" spans="1:13" ht="12" customHeight="1">
      <c r="C11" s="1055" t="s">
        <v>1691</v>
      </c>
      <c r="I11" s="705"/>
    </row>
    <row r="12" spans="1:13" ht="12" customHeight="1">
      <c r="C12" s="705" t="s">
        <v>2532</v>
      </c>
      <c r="D12" s="725" t="s">
        <v>1691</v>
      </c>
      <c r="I12" s="705"/>
    </row>
    <row r="13" spans="1:13" ht="12" customHeight="1">
      <c r="C13" s="705" t="s">
        <v>2902</v>
      </c>
      <c r="D13" s="4481"/>
      <c r="E13" s="4481"/>
      <c r="F13" s="4481"/>
      <c r="G13" s="4481"/>
      <c r="H13" s="4481"/>
      <c r="I13" s="4481"/>
      <c r="J13" s="4481"/>
    </row>
    <row r="14" spans="1:13" ht="3" customHeight="1">
      <c r="G14" s="636"/>
      <c r="H14" s="705"/>
      <c r="I14" s="705"/>
    </row>
    <row r="15" spans="1:13" ht="12" customHeight="1">
      <c r="A15" s="699" t="s">
        <v>2903</v>
      </c>
      <c r="C15" s="707" t="str">
        <f>'Preview term'!E10</f>
        <v>Mark H. Dambly</v>
      </c>
      <c r="G15" s="636"/>
      <c r="I15" s="705"/>
    </row>
    <row r="16" spans="1:13" ht="12" customHeight="1">
      <c r="A16" s="717" t="s">
        <v>3814</v>
      </c>
      <c r="C16" s="707" t="str">
        <f>'Part II-Development Team'!Q7</f>
        <v>President, Managing Mbr</v>
      </c>
      <c r="G16" s="636"/>
      <c r="I16" s="705"/>
    </row>
    <row r="17" spans="1:9" ht="3" customHeight="1">
      <c r="G17" s="636"/>
      <c r="H17" s="705"/>
      <c r="I17" s="705"/>
    </row>
    <row r="18" spans="1:9" ht="12" customHeight="1">
      <c r="A18" s="699" t="s">
        <v>2904</v>
      </c>
      <c r="C18" s="707" t="str">
        <f>'Preview term'!$E$7</f>
        <v>230 Wyoming Avenue</v>
      </c>
      <c r="G18" s="636"/>
      <c r="I18" s="705"/>
    </row>
    <row r="19" spans="1:9" ht="12" customHeight="1">
      <c r="C19" s="707" t="str">
        <f>'Preview term'!$E$8</f>
        <v>Kingston, PA 18704</v>
      </c>
      <c r="G19" s="636"/>
      <c r="I19" s="705"/>
    </row>
    <row r="20" spans="1:9" ht="3" customHeight="1">
      <c r="G20" s="636"/>
      <c r="H20" s="705"/>
      <c r="I20" s="705"/>
    </row>
    <row r="21" spans="1:9" ht="12" customHeight="1">
      <c r="A21" s="699" t="s">
        <v>2905</v>
      </c>
      <c r="C21" s="707" t="str">
        <f>CONCATENATE('Preview term'!E49," of  ",'Preview term'!G49)</f>
        <v>Steve Berman of  Berman Indictor LLP</v>
      </c>
      <c r="G21" s="636"/>
      <c r="I21" s="705"/>
    </row>
    <row r="22" spans="1:9" ht="3" customHeight="1">
      <c r="C22" s="707"/>
      <c r="G22" s="636"/>
      <c r="I22" s="705"/>
    </row>
    <row r="23" spans="1:9" ht="12" customHeight="1">
      <c r="A23" s="699" t="s">
        <v>2906</v>
      </c>
      <c r="C23" s="707">
        <f>'Preview term'!E12</f>
        <v>2673868600</v>
      </c>
      <c r="G23" s="636"/>
      <c r="I23" s="705"/>
    </row>
    <row r="24" spans="1:9" ht="3" customHeight="1">
      <c r="C24" s="707"/>
      <c r="G24" s="636"/>
      <c r="I24" s="705"/>
    </row>
    <row r="25" spans="1:9" ht="12" customHeight="1">
      <c r="A25" s="699" t="s">
        <v>2907</v>
      </c>
      <c r="C25" s="1057" t="str">
        <f>'Preview term'!E11</f>
        <v>mdambly@pennrose.com</v>
      </c>
      <c r="G25" s="636"/>
    </row>
    <row r="26" spans="1:9" ht="6" customHeight="1">
      <c r="G26" s="636"/>
      <c r="H26" s="705"/>
      <c r="I26" s="705"/>
    </row>
    <row r="27" spans="1:9" ht="12" customHeight="1">
      <c r="A27" s="704" t="s">
        <v>2908</v>
      </c>
      <c r="G27" s="636"/>
      <c r="H27" s="705"/>
      <c r="I27" s="705"/>
    </row>
    <row r="28" spans="1:9" ht="12" customHeight="1">
      <c r="A28" s="699" t="s">
        <v>2909</v>
      </c>
      <c r="C28" s="707" t="str">
        <f>'Sensitivity Analysis'!$C$8</f>
        <v>West Point Village Phase II</v>
      </c>
      <c r="I28" s="705"/>
    </row>
    <row r="29" spans="1:9" ht="3" customHeight="1">
      <c r="C29" s="707"/>
      <c r="I29" s="705"/>
    </row>
    <row r="30" spans="1:9" ht="12" customHeight="1">
      <c r="A30" s="699" t="s">
        <v>2910</v>
      </c>
      <c r="C30" s="707" t="str">
        <f>'Preview term'!E16</f>
        <v>1650 10th Street</v>
      </c>
      <c r="I30" s="705"/>
    </row>
    <row r="31" spans="1:9">
      <c r="C31" s="705" t="str">
        <f>'Preview term'!E17</f>
        <v>West Point, GA 31833</v>
      </c>
      <c r="I31" s="705"/>
    </row>
    <row r="32" spans="1:9" ht="3" customHeight="1">
      <c r="C32" s="636"/>
      <c r="D32" s="636"/>
      <c r="I32" s="636"/>
    </row>
    <row r="33" spans="1:10" ht="12" customHeight="1">
      <c r="A33" s="699" t="s">
        <v>2911</v>
      </c>
      <c r="C33" s="636" t="s">
        <v>2912</v>
      </c>
      <c r="D33" s="1056" t="e">
        <f>'Preview term'!F54</f>
        <v>#VALUE!</v>
      </c>
      <c r="I33" s="636"/>
    </row>
    <row r="34" spans="1:10" ht="12" customHeight="1">
      <c r="C34" s="636" t="s">
        <v>2913</v>
      </c>
      <c r="D34" s="709" t="e">
        <f>#REF!-#REF!</f>
        <v>#REF!</v>
      </c>
      <c r="I34" s="636"/>
    </row>
    <row r="35" spans="1:10" ht="12" customHeight="1">
      <c r="C35" s="636" t="s">
        <v>2914</v>
      </c>
      <c r="D35" s="710" t="e">
        <f>SUM(D33:D34)</f>
        <v>#VALUE!</v>
      </c>
      <c r="I35" s="636"/>
    </row>
    <row r="36" spans="1:10" ht="3" customHeight="1">
      <c r="C36" s="636"/>
      <c r="D36" s="636"/>
      <c r="I36" s="636"/>
    </row>
    <row r="37" spans="1:10" ht="12" customHeight="1">
      <c r="A37" s="699" t="s">
        <v>2915</v>
      </c>
      <c r="C37" s="1107" t="s">
        <v>1691</v>
      </c>
      <c r="D37" s="1054">
        <f>'Preview term'!F56</f>
        <v>0</v>
      </c>
      <c r="E37" s="636" t="s">
        <v>2916</v>
      </c>
      <c r="I37" s="636"/>
    </row>
    <row r="38" spans="1:10" ht="3" customHeight="1">
      <c r="G38" s="711"/>
      <c r="H38" s="636"/>
      <c r="I38" s="636"/>
    </row>
    <row r="39" spans="1:10" ht="25.5" customHeight="1">
      <c r="A39" s="712" t="s">
        <v>6414</v>
      </c>
      <c r="C39" s="4494" t="str">
        <f>_xlfn.CONCAT('Part VIII-Threshold Criteria'!K224," and ",'Part VIII-Threshold Criteria'!K225)</f>
        <v>Room and Covered Porch</v>
      </c>
      <c r="D39" s="4494"/>
      <c r="E39" s="4494"/>
      <c r="F39" s="4494"/>
      <c r="G39" s="4494"/>
      <c r="H39" s="4494"/>
      <c r="I39" s="4494"/>
      <c r="J39" s="4494"/>
    </row>
    <row r="40" spans="1:10" ht="25.5" customHeight="1">
      <c r="A40" s="712" t="s">
        <v>6415</v>
      </c>
      <c r="C40" s="4494" t="str">
        <f>_xlfn.CONCAT('Part VIII-Threshold Criteria'!C230,", ",'Part VIII-Threshold Criteria'!C231,", ",'Part VIII-Threshold Criteria'!C232,", ",'Part VIII-Threshold Criteria'!C233,", ",'Part VIII-Threshold Criteria'!I230,", ",'Part VIII-Threshold Criteria'!I231,", ",'Part VIII-Threshold Criteria'!I232,", and  ",'Part VIII-Threshold Criteria'!I233)</f>
        <v xml:space="preserve">Equipped Computer Center and WiFi , Furnished Exercise /Fitness Center, (Select an amenity from options provided here), (Select an amenity from options provided here),   , ,   , and  </v>
      </c>
      <c r="D40" s="4494"/>
      <c r="E40" s="4494"/>
      <c r="F40" s="4494"/>
      <c r="G40" s="4494"/>
      <c r="H40" s="4494"/>
      <c r="I40" s="4494"/>
      <c r="J40" s="4494"/>
    </row>
    <row r="41" spans="1:10" ht="3" customHeight="1">
      <c r="G41" s="636"/>
      <c r="H41" s="636"/>
      <c r="I41" s="636"/>
    </row>
    <row r="42" spans="1:10" ht="25.5" customHeight="1">
      <c r="A42" s="712" t="s">
        <v>2917</v>
      </c>
      <c r="C42" s="4495" t="s">
        <v>3229</v>
      </c>
      <c r="D42" s="4495"/>
      <c r="E42" s="4495"/>
      <c r="F42" s="4495"/>
      <c r="G42" s="4495"/>
      <c r="H42" s="4495"/>
      <c r="I42" s="4495"/>
      <c r="J42" s="4495"/>
    </row>
    <row r="43" spans="1:10" ht="3" customHeight="1">
      <c r="C43" s="510"/>
      <c r="D43" s="510"/>
      <c r="E43" s="510"/>
      <c r="F43" s="510"/>
      <c r="G43" s="510"/>
      <c r="H43" s="511"/>
      <c r="I43" s="512"/>
      <c r="J43" s="511"/>
    </row>
    <row r="44" spans="1:10" ht="12" customHeight="1">
      <c r="A44" s="699" t="s">
        <v>2918</v>
      </c>
      <c r="C44" s="574" t="str">
        <f>'Part I-Project Information'!J40</f>
        <v>Troup</v>
      </c>
      <c r="D44" s="510"/>
      <c r="F44" s="511"/>
      <c r="I44" s="512"/>
      <c r="J44" s="511"/>
    </row>
    <row r="45" spans="1:10" ht="3" customHeight="1">
      <c r="C45" s="510"/>
      <c r="D45" s="510"/>
      <c r="E45" s="510"/>
      <c r="F45" s="511"/>
      <c r="I45" s="512"/>
      <c r="J45" s="511"/>
    </row>
    <row r="46" spans="1:10" ht="12" customHeight="1">
      <c r="A46" s="699" t="s">
        <v>2919</v>
      </c>
      <c r="C46" s="725" t="s">
        <v>1691</v>
      </c>
      <c r="I46" s="512"/>
      <c r="J46" s="511"/>
    </row>
    <row r="47" spans="1:10" ht="3" customHeight="1">
      <c r="C47" s="636"/>
      <c r="D47" s="713"/>
      <c r="I47" s="636"/>
    </row>
    <row r="48" spans="1:10" ht="12" customHeight="1">
      <c r="A48" s="699" t="s">
        <v>2920</v>
      </c>
      <c r="C48" s="1635">
        <f>'Preview term'!F58</f>
        <v>2</v>
      </c>
      <c r="I48" s="714"/>
      <c r="J48" s="714"/>
    </row>
    <row r="49" spans="1:10" ht="3" customHeight="1">
      <c r="D49" s="714"/>
      <c r="E49" s="714"/>
      <c r="F49" s="714"/>
      <c r="G49" s="715"/>
      <c r="H49" s="636"/>
      <c r="I49" s="714"/>
      <c r="J49" s="714"/>
    </row>
    <row r="50" spans="1:10" ht="12" customHeight="1">
      <c r="A50" s="636"/>
      <c r="B50" s="699" t="s">
        <v>2921</v>
      </c>
      <c r="C50" s="4495" t="s">
        <v>546</v>
      </c>
      <c r="D50" s="4495"/>
      <c r="E50" s="4495"/>
      <c r="F50" s="4495"/>
      <c r="G50" s="4495"/>
      <c r="H50" s="4495"/>
      <c r="I50" s="4495"/>
      <c r="J50" s="4495"/>
    </row>
    <row r="51" spans="1:10" ht="12" customHeight="1">
      <c r="C51" s="4484" t="s">
        <v>1724</v>
      </c>
      <c r="D51" s="4484"/>
      <c r="E51" s="4484"/>
      <c r="F51" s="4484"/>
      <c r="G51" s="4484"/>
      <c r="H51" s="4484"/>
      <c r="I51" s="4484"/>
      <c r="J51" s="4484"/>
    </row>
    <row r="52" spans="1:10" ht="3" customHeight="1">
      <c r="D52" s="714"/>
      <c r="E52" s="714"/>
      <c r="F52" s="714"/>
      <c r="G52" s="715"/>
      <c r="H52" s="636"/>
      <c r="I52" s="714"/>
      <c r="J52" s="714"/>
    </row>
    <row r="53" spans="1:10" ht="12" customHeight="1">
      <c r="A53" s="712" t="s">
        <v>2922</v>
      </c>
      <c r="B53" s="712"/>
      <c r="C53" s="716" t="s">
        <v>2923</v>
      </c>
      <c r="D53" s="716" t="s">
        <v>3230</v>
      </c>
      <c r="E53" s="4485"/>
      <c r="F53" s="4485"/>
      <c r="G53" s="4485"/>
      <c r="H53" s="4485"/>
      <c r="I53" s="4485"/>
      <c r="J53" s="4485"/>
    </row>
    <row r="54" spans="1:10" ht="12" customHeight="1">
      <c r="A54" s="712"/>
      <c r="B54" s="712"/>
      <c r="C54" s="712"/>
      <c r="D54" s="716" t="s">
        <v>3231</v>
      </c>
      <c r="E54" s="4486"/>
      <c r="F54" s="4486"/>
      <c r="G54" s="4486"/>
      <c r="H54" s="4486"/>
      <c r="I54" s="4486"/>
      <c r="J54" s="4486"/>
    </row>
    <row r="55" spans="1:10" ht="12" customHeight="1">
      <c r="A55" s="704" t="s">
        <v>2924</v>
      </c>
      <c r="G55" s="636"/>
      <c r="H55" s="636"/>
      <c r="I55" s="636"/>
    </row>
    <row r="56" spans="1:10" ht="18" customHeight="1">
      <c r="A56" s="699" t="s">
        <v>2925</v>
      </c>
      <c r="C56" s="706" t="str">
        <f>'Sensitivity Analysis'!C10</f>
        <v>West Point Village MM LLC</v>
      </c>
      <c r="G56" s="636"/>
      <c r="I56" s="636"/>
    </row>
    <row r="57" spans="1:10" ht="3" customHeight="1">
      <c r="C57" s="706"/>
      <c r="G57" s="636"/>
      <c r="I57" s="636"/>
    </row>
    <row r="58" spans="1:10" ht="12" customHeight="1">
      <c r="A58" s="699" t="s">
        <v>2926</v>
      </c>
      <c r="C58" s="706" t="str">
        <f>'Sensitivity Analysis'!C11</f>
        <v>Collaborative Housing Solutions, Inc.</v>
      </c>
      <c r="E58" s="706" t="str">
        <f>'Sensitivity Analysis'!E11</f>
        <v>Housing Authority of the City of West Point</v>
      </c>
      <c r="G58" s="636"/>
      <c r="I58" s="636"/>
    </row>
    <row r="59" spans="1:10" ht="3" customHeight="1">
      <c r="C59" s="706"/>
      <c r="G59" s="636"/>
      <c r="I59" s="636"/>
    </row>
    <row r="60" spans="1:10" ht="12" customHeight="1">
      <c r="A60" s="699" t="s">
        <v>2927</v>
      </c>
      <c r="C60" s="706" t="s">
        <v>2624</v>
      </c>
      <c r="G60" s="636"/>
      <c r="I60" s="636"/>
    </row>
    <row r="61" spans="1:10" ht="6" customHeight="1">
      <c r="G61" s="636"/>
      <c r="H61" s="636"/>
      <c r="I61" s="636"/>
    </row>
    <row r="62" spans="1:10" ht="12" customHeight="1">
      <c r="A62" s="704" t="s">
        <v>2928</v>
      </c>
      <c r="G62" s="636"/>
      <c r="H62" s="636"/>
      <c r="I62" s="636"/>
    </row>
    <row r="63" spans="1:10" ht="12" customHeight="1">
      <c r="A63" s="699" t="s">
        <v>2929</v>
      </c>
      <c r="C63" s="699" t="s">
        <v>2930</v>
      </c>
      <c r="D63" s="1058">
        <f>'Preview term'!F30</f>
        <v>2692610</v>
      </c>
      <c r="G63" s="636"/>
      <c r="I63" s="636"/>
    </row>
    <row r="64" spans="1:10" ht="3" customHeight="1">
      <c r="D64" s="717"/>
      <c r="G64" s="636"/>
      <c r="H64" s="718"/>
      <c r="I64" s="636"/>
    </row>
    <row r="65" spans="1:10" ht="12" customHeight="1">
      <c r="A65" s="699" t="s">
        <v>2931</v>
      </c>
      <c r="C65" s="699" t="s">
        <v>2933</v>
      </c>
      <c r="D65" s="706" t="s">
        <v>931</v>
      </c>
      <c r="G65" s="636"/>
      <c r="I65" s="636"/>
    </row>
    <row r="66" spans="1:10" ht="3" customHeight="1">
      <c r="D66" s="717"/>
      <c r="G66" s="636"/>
      <c r="H66" s="636"/>
      <c r="I66" s="636"/>
    </row>
    <row r="67" spans="1:10" ht="12" customHeight="1">
      <c r="A67" s="699" t="s">
        <v>2934</v>
      </c>
      <c r="C67" s="1059" t="s">
        <v>1691</v>
      </c>
      <c r="D67" s="731"/>
      <c r="I67" s="636"/>
    </row>
    <row r="68" spans="1:10" ht="12" customHeight="1">
      <c r="C68" s="699" t="s">
        <v>2935</v>
      </c>
      <c r="D68" s="1096" t="s">
        <v>1691</v>
      </c>
      <c r="I68" s="636"/>
    </row>
    <row r="69" spans="1:10" ht="12" customHeight="1">
      <c r="C69" s="699" t="s">
        <v>2902</v>
      </c>
      <c r="D69" s="4481"/>
      <c r="E69" s="4481"/>
      <c r="F69" s="4481"/>
      <c r="G69" s="4481"/>
      <c r="H69" s="4481"/>
      <c r="I69" s="4481"/>
      <c r="J69" s="4481"/>
    </row>
    <row r="70" spans="1:10" ht="3" customHeight="1">
      <c r="D70" s="717"/>
      <c r="E70" s="636"/>
      <c r="F70" s="636"/>
      <c r="I70" s="636"/>
    </row>
    <row r="71" spans="1:10" ht="12" customHeight="1">
      <c r="A71" s="699" t="s">
        <v>2936</v>
      </c>
      <c r="C71" s="699" t="s">
        <v>2298</v>
      </c>
      <c r="D71" s="725" t="s">
        <v>1691</v>
      </c>
      <c r="I71" s="636"/>
    </row>
    <row r="72" spans="1:10" ht="3" customHeight="1">
      <c r="D72" s="636"/>
      <c r="E72" s="636"/>
      <c r="I72" s="636"/>
    </row>
    <row r="73" spans="1:10" ht="12" customHeight="1">
      <c r="A73" s="699" t="s">
        <v>2937</v>
      </c>
      <c r="C73" s="1059" t="s">
        <v>1691</v>
      </c>
      <c r="I73" s="636"/>
    </row>
    <row r="74" spans="1:10" ht="3" customHeight="1">
      <c r="C74" s="717"/>
      <c r="G74" s="719"/>
      <c r="H74" s="636"/>
      <c r="I74" s="636"/>
    </row>
    <row r="75" spans="1:10" ht="12" customHeight="1">
      <c r="A75" s="699" t="s">
        <v>2938</v>
      </c>
      <c r="C75" s="717" t="s">
        <v>2939</v>
      </c>
      <c r="D75" s="1061">
        <v>0</v>
      </c>
      <c r="J75" s="636"/>
    </row>
    <row r="76" spans="1:10" ht="12" customHeight="1">
      <c r="C76" s="720" t="s">
        <v>3091</v>
      </c>
      <c r="D76" s="1062">
        <v>0.01</v>
      </c>
      <c r="J76" s="636"/>
    </row>
    <row r="77" spans="1:10" ht="3" customHeight="1">
      <c r="C77" s="717"/>
      <c r="D77" s="717"/>
      <c r="G77" s="636"/>
      <c r="H77" s="636"/>
      <c r="I77" s="636"/>
    </row>
    <row r="78" spans="1:10" ht="12" customHeight="1">
      <c r="A78" s="699" t="s">
        <v>2940</v>
      </c>
      <c r="C78" s="717" t="s">
        <v>3253</v>
      </c>
      <c r="D78" s="722">
        <v>24</v>
      </c>
      <c r="I78" s="636"/>
    </row>
    <row r="79" spans="1:10" ht="3" customHeight="1">
      <c r="D79" s="717"/>
      <c r="E79" s="636"/>
      <c r="F79" s="636"/>
      <c r="I79" s="636"/>
    </row>
    <row r="80" spans="1:10" ht="12" customHeight="1">
      <c r="A80" s="699" t="s">
        <v>2941</v>
      </c>
      <c r="C80" s="699" t="s">
        <v>2298</v>
      </c>
      <c r="D80" s="723">
        <f>'Preview term'!F39</f>
        <v>420</v>
      </c>
      <c r="E80" s="636" t="s">
        <v>3234</v>
      </c>
      <c r="I80" s="636"/>
    </row>
    <row r="81" spans="1:9" ht="3" customHeight="1">
      <c r="D81" s="717"/>
      <c r="G81" s="636"/>
      <c r="H81" s="636"/>
      <c r="I81" s="636"/>
    </row>
    <row r="82" spans="1:9" ht="12" customHeight="1">
      <c r="A82" s="699" t="s">
        <v>2942</v>
      </c>
      <c r="D82" s="1060">
        <v>0</v>
      </c>
      <c r="E82" s="724">
        <f>D82*12</f>
        <v>0</v>
      </c>
      <c r="F82" s="636" t="s">
        <v>3254</v>
      </c>
    </row>
    <row r="83" spans="1:9" ht="3" customHeight="1">
      <c r="D83" s="706"/>
      <c r="E83" s="636"/>
      <c r="G83" s="636"/>
    </row>
    <row r="84" spans="1:9" ht="12" customHeight="1">
      <c r="A84" s="699" t="s">
        <v>2943</v>
      </c>
      <c r="D84" s="1096" t="s">
        <v>931</v>
      </c>
      <c r="E84" s="636" t="s">
        <v>6416</v>
      </c>
      <c r="G84" s="636"/>
    </row>
    <row r="85" spans="1:9" ht="3" customHeight="1">
      <c r="G85" s="636"/>
      <c r="H85" s="636"/>
      <c r="I85" s="636"/>
    </row>
    <row r="86" spans="1:9" ht="12" customHeight="1">
      <c r="A86" s="699" t="s">
        <v>2944</v>
      </c>
      <c r="C86" s="1636">
        <f>'Subsidy Layering Memo'!L70</f>
        <v>1304058.6092858065</v>
      </c>
      <c r="D86" s="726" t="s">
        <v>3232</v>
      </c>
      <c r="I86" s="636"/>
    </row>
    <row r="87" spans="1:9" ht="3" customHeight="1">
      <c r="C87" s="636" t="s">
        <v>1691</v>
      </c>
      <c r="D87" s="636"/>
      <c r="E87" s="636"/>
      <c r="I87" s="636"/>
    </row>
    <row r="88" spans="1:9" ht="12" customHeight="1">
      <c r="A88" s="699" t="s">
        <v>2945</v>
      </c>
      <c r="B88" s="727"/>
      <c r="C88" s="1059" t="s">
        <v>1691</v>
      </c>
      <c r="D88" s="1064"/>
      <c r="I88" s="636"/>
    </row>
    <row r="89" spans="1:9" ht="3" customHeight="1">
      <c r="G89" s="636"/>
      <c r="H89" s="636"/>
      <c r="I89" s="636"/>
    </row>
    <row r="90" spans="1:9" ht="12" customHeight="1">
      <c r="A90" s="699" t="s">
        <v>2946</v>
      </c>
      <c r="C90" s="717" t="s">
        <v>2947</v>
      </c>
      <c r="D90" s="706" t="s">
        <v>2878</v>
      </c>
      <c r="I90" s="636"/>
    </row>
    <row r="91" spans="1:9" ht="12" customHeight="1">
      <c r="C91" s="717" t="s">
        <v>2948</v>
      </c>
      <c r="D91" s="706" t="s">
        <v>931</v>
      </c>
      <c r="I91" s="636"/>
    </row>
    <row r="92" spans="1:9" ht="3" customHeight="1">
      <c r="G92" s="636"/>
      <c r="H92" s="636"/>
      <c r="I92" s="636"/>
    </row>
    <row r="93" spans="1:9" ht="12" customHeight="1">
      <c r="A93" s="699" t="s">
        <v>2949</v>
      </c>
      <c r="C93" s="717" t="s">
        <v>2939</v>
      </c>
      <c r="D93" s="636" t="s">
        <v>2950</v>
      </c>
      <c r="E93" s="717" t="str">
        <f>'Part III-Sources of Funds'!H22</f>
        <v>Truist Community Capital</v>
      </c>
      <c r="I93" s="636"/>
    </row>
    <row r="94" spans="1:9" ht="12" customHeight="1">
      <c r="C94" s="731"/>
      <c r="D94" s="636"/>
      <c r="E94" s="717" t="s">
        <v>1716</v>
      </c>
      <c r="F94" s="4487"/>
      <c r="G94" s="4487"/>
      <c r="H94" s="4487"/>
      <c r="I94" s="636"/>
    </row>
    <row r="95" spans="1:9" ht="12" customHeight="1">
      <c r="C95" s="717"/>
      <c r="D95" s="636"/>
      <c r="E95" s="717" t="s">
        <v>1891</v>
      </c>
      <c r="F95" s="4488"/>
      <c r="G95" s="4488"/>
      <c r="H95" s="4488"/>
      <c r="I95" s="636"/>
    </row>
    <row r="96" spans="1:9" ht="12" customHeight="1">
      <c r="C96" s="717"/>
      <c r="D96" s="636"/>
      <c r="E96" s="717" t="s">
        <v>1718</v>
      </c>
      <c r="F96" s="4483"/>
      <c r="G96" s="4483"/>
      <c r="H96" s="4483"/>
      <c r="I96" s="636"/>
    </row>
    <row r="97" spans="1:10" ht="12" customHeight="1">
      <c r="B97" s="708"/>
      <c r="C97" s="720" t="s">
        <v>3091</v>
      </c>
      <c r="D97" s="636" t="s">
        <v>2950</v>
      </c>
      <c r="E97" s="717" t="str">
        <f>'Part III-Sources of Funds'!E40</f>
        <v>Grandbridge Real Estate Capital</v>
      </c>
      <c r="I97" s="636"/>
    </row>
    <row r="98" spans="1:10" ht="12" customHeight="1">
      <c r="C98" s="717"/>
      <c r="D98" s="636"/>
      <c r="E98" s="717" t="s">
        <v>1716</v>
      </c>
      <c r="F98" s="4487"/>
      <c r="G98" s="4487"/>
      <c r="H98" s="4487"/>
      <c r="I98" s="636"/>
    </row>
    <row r="99" spans="1:10" ht="12" customHeight="1">
      <c r="C99" s="717"/>
      <c r="D99" s="636"/>
      <c r="E99" s="717" t="s">
        <v>1891</v>
      </c>
      <c r="F99" s="4488"/>
      <c r="G99" s="4488"/>
      <c r="H99" s="4488"/>
      <c r="I99" s="636"/>
    </row>
    <row r="100" spans="1:10" ht="12" customHeight="1">
      <c r="C100" s="717"/>
      <c r="D100" s="636"/>
      <c r="E100" s="717" t="s">
        <v>1718</v>
      </c>
      <c r="F100" s="4483"/>
      <c r="G100" s="4483"/>
      <c r="H100" s="4483"/>
      <c r="I100" s="636"/>
    </row>
    <row r="101" spans="1:10" ht="3" customHeight="1">
      <c r="D101" s="728"/>
      <c r="G101" s="636"/>
      <c r="H101" s="636"/>
      <c r="I101" s="636"/>
    </row>
    <row r="102" spans="1:10" ht="12" customHeight="1">
      <c r="A102" s="699" t="s">
        <v>2951</v>
      </c>
      <c r="D102" s="1096" t="str">
        <f>'Part IX Scoring Criteria'!O260</f>
        <v>No</v>
      </c>
      <c r="E102" s="636" t="s">
        <v>2932</v>
      </c>
      <c r="G102" s="699">
        <f>'Part IX Scoring Criteria'!O256</f>
        <v>4</v>
      </c>
      <c r="H102" s="699" t="s">
        <v>3233</v>
      </c>
      <c r="I102" s="636"/>
    </row>
    <row r="103" spans="1:10" ht="3" customHeight="1">
      <c r="E103" s="636"/>
      <c r="F103" s="636"/>
      <c r="I103" s="636"/>
    </row>
    <row r="104" spans="1:10" ht="12" customHeight="1">
      <c r="A104" s="636" t="s">
        <v>3092</v>
      </c>
      <c r="D104" s="699" t="s">
        <v>931</v>
      </c>
      <c r="E104" s="636"/>
      <c r="I104" s="636"/>
    </row>
    <row r="105" spans="1:10" ht="6" customHeight="1">
      <c r="G105" s="636"/>
      <c r="H105" s="636"/>
      <c r="I105" s="636"/>
    </row>
    <row r="106" spans="1:10" ht="12" customHeight="1">
      <c r="A106" s="704" t="s">
        <v>3093</v>
      </c>
      <c r="I106" s="636"/>
    </row>
    <row r="107" spans="1:10" ht="12" customHeight="1">
      <c r="A107" s="699" t="s">
        <v>2952</v>
      </c>
      <c r="C107" s="1063" t="s">
        <v>1691</v>
      </c>
      <c r="D107" s="4489"/>
      <c r="E107" s="4489"/>
      <c r="F107" s="4489"/>
      <c r="G107" s="4489"/>
      <c r="H107" s="4489"/>
      <c r="I107" s="4489"/>
      <c r="J107" s="4490"/>
    </row>
    <row r="108" spans="1:10" ht="3" customHeight="1">
      <c r="C108" s="717"/>
      <c r="D108" s="636"/>
      <c r="I108" s="636"/>
    </row>
    <row r="109" spans="1:10" ht="12" customHeight="1">
      <c r="A109" s="699" t="s">
        <v>2953</v>
      </c>
      <c r="C109" s="1096" t="s">
        <v>1691</v>
      </c>
    </row>
    <row r="110" spans="1:10" ht="3" customHeight="1">
      <c r="C110" s="717"/>
      <c r="E110" s="636"/>
      <c r="F110" s="636"/>
      <c r="I110" s="636"/>
    </row>
    <row r="111" spans="1:10" ht="12" customHeight="1">
      <c r="A111" s="699" t="s">
        <v>2954</v>
      </c>
      <c r="C111" s="1096" t="s">
        <v>1691</v>
      </c>
      <c r="I111" s="636"/>
    </row>
    <row r="112" spans="1:10" ht="3" customHeight="1">
      <c r="D112" s="711"/>
      <c r="I112" s="636"/>
    </row>
    <row r="113" spans="1:10" ht="12" customHeight="1">
      <c r="A113" s="699" t="s">
        <v>2955</v>
      </c>
      <c r="D113" s="723">
        <v>24</v>
      </c>
      <c r="E113" s="636" t="s">
        <v>2956</v>
      </c>
      <c r="I113" s="636"/>
    </row>
    <row r="114" spans="1:10" ht="12" customHeight="1">
      <c r="C114" s="706" t="s">
        <v>6417</v>
      </c>
      <c r="I114" s="636"/>
    </row>
    <row r="115" spans="1:10" ht="12" customHeight="1">
      <c r="C115" s="706" t="s">
        <v>6418</v>
      </c>
      <c r="G115" s="636"/>
      <c r="I115" s="636"/>
    </row>
    <row r="116" spans="1:10" ht="3" customHeight="1">
      <c r="G116" s="636"/>
      <c r="H116" s="636"/>
      <c r="I116" s="636"/>
    </row>
    <row r="117" spans="1:10" ht="12" customHeight="1">
      <c r="A117" s="699" t="s">
        <v>2957</v>
      </c>
      <c r="D117" s="729">
        <v>0</v>
      </c>
      <c r="E117" s="730" t="s">
        <v>2958</v>
      </c>
      <c r="I117" s="636"/>
    </row>
    <row r="118" spans="1:10" ht="3" customHeight="1">
      <c r="D118" s="717"/>
      <c r="E118" s="636"/>
      <c r="F118" s="636"/>
      <c r="I118" s="636"/>
    </row>
    <row r="119" spans="1:10" ht="12" customHeight="1">
      <c r="A119" s="699" t="s">
        <v>2959</v>
      </c>
      <c r="C119" s="1059" t="s">
        <v>1691</v>
      </c>
      <c r="D119" s="731"/>
      <c r="I119" s="636"/>
    </row>
    <row r="120" spans="1:10" ht="12" customHeight="1">
      <c r="C120" s="636" t="s">
        <v>2960</v>
      </c>
      <c r="D120" s="721"/>
      <c r="E120" s="4492" t="s">
        <v>6419</v>
      </c>
      <c r="F120" s="4492"/>
      <c r="G120" s="4492"/>
      <c r="H120" s="4492"/>
      <c r="I120" s="4492"/>
      <c r="J120" s="4492"/>
    </row>
    <row r="121" spans="1:10" ht="12" customHeight="1">
      <c r="C121" s="636" t="s">
        <v>2961</v>
      </c>
      <c r="D121" s="1065"/>
      <c r="E121" s="4492"/>
      <c r="F121" s="4492"/>
      <c r="G121" s="4492"/>
      <c r="H121" s="4492"/>
      <c r="I121" s="4492"/>
      <c r="J121" s="4492"/>
    </row>
    <row r="122" spans="1:10" ht="12" customHeight="1">
      <c r="C122" s="636" t="s">
        <v>2962</v>
      </c>
      <c r="D122" s="1065"/>
      <c r="E122" s="4492"/>
      <c r="F122" s="4492"/>
      <c r="G122" s="4492"/>
      <c r="H122" s="4492"/>
      <c r="I122" s="4492"/>
      <c r="J122" s="4492"/>
    </row>
    <row r="123" spans="1:10" ht="12" customHeight="1">
      <c r="C123" s="636" t="s">
        <v>2962</v>
      </c>
      <c r="D123" s="1065"/>
      <c r="E123" s="4492"/>
      <c r="F123" s="4492"/>
      <c r="G123" s="4492"/>
      <c r="H123" s="4492"/>
      <c r="I123" s="4492"/>
      <c r="J123" s="4492"/>
    </row>
    <row r="124" spans="1:10" ht="3" customHeight="1">
      <c r="E124" s="636"/>
      <c r="F124" s="636"/>
      <c r="I124" s="636"/>
    </row>
    <row r="125" spans="1:10" ht="12" customHeight="1">
      <c r="A125" s="699" t="s">
        <v>2963</v>
      </c>
      <c r="D125" s="732" t="s">
        <v>2932</v>
      </c>
      <c r="I125" s="636"/>
    </row>
    <row r="126" spans="1:10" ht="3" customHeight="1">
      <c r="D126" s="636"/>
      <c r="I126" s="636"/>
    </row>
    <row r="127" spans="1:10" ht="12" customHeight="1">
      <c r="A127" s="699" t="s">
        <v>2964</v>
      </c>
      <c r="D127" s="636" t="s">
        <v>2932</v>
      </c>
      <c r="I127" s="636"/>
    </row>
    <row r="128" spans="1:10" ht="3" customHeight="1">
      <c r="G128" s="636"/>
      <c r="H128" s="636"/>
      <c r="I128" s="636"/>
    </row>
    <row r="129" spans="1:10" ht="12" customHeight="1">
      <c r="A129" s="699" t="s">
        <v>2965</v>
      </c>
      <c r="D129" s="636" t="s">
        <v>2966</v>
      </c>
      <c r="G129" s="636"/>
      <c r="I129" s="636"/>
    </row>
    <row r="130" spans="1:10" ht="7.5" customHeight="1">
      <c r="G130" s="636"/>
      <c r="H130" s="636"/>
      <c r="I130" s="636"/>
    </row>
    <row r="131" spans="1:10" ht="12" customHeight="1">
      <c r="A131" s="704" t="s">
        <v>2967</v>
      </c>
      <c r="G131" s="636"/>
      <c r="H131" s="636"/>
      <c r="I131" s="636"/>
    </row>
    <row r="132" spans="1:10" ht="12" customHeight="1">
      <c r="A132" s="699" t="s">
        <v>2968</v>
      </c>
      <c r="C132" s="706" t="str">
        <f>'Sensitivity Analysis'!H11</f>
        <v>Pennrose LLC</v>
      </c>
      <c r="D132" s="706" t="str">
        <f>'Sensitivity Analysis'!K11</f>
        <v>Collaborative Housing Solutions, Inc.</v>
      </c>
      <c r="G132" s="706" t="str">
        <f>'Sensitivity Analysis'!M11</f>
        <v>Housing Authority of the City of West Point</v>
      </c>
      <c r="I132" s="636"/>
    </row>
    <row r="133" spans="1:10" ht="12" customHeight="1">
      <c r="G133" s="636"/>
      <c r="I133" s="636"/>
    </row>
    <row r="134" spans="1:10" ht="3" customHeight="1">
      <c r="C134" s="636"/>
      <c r="G134" s="636"/>
      <c r="I134" s="636"/>
    </row>
    <row r="135" spans="1:10" ht="12" customHeight="1">
      <c r="A135" s="699" t="s">
        <v>2969</v>
      </c>
      <c r="C135" s="733">
        <f>('Part IV-A-Uses of Funds'!G127-'Part III-Sources of Funds'!I45)/2</f>
        <v>662430.36000000034</v>
      </c>
      <c r="G135" s="636"/>
      <c r="I135" s="636"/>
    </row>
    <row r="136" spans="1:10" ht="3" customHeight="1">
      <c r="C136" s="636"/>
      <c r="G136" s="636"/>
      <c r="I136" s="636"/>
    </row>
    <row r="137" spans="1:10" ht="12" customHeight="1">
      <c r="A137" s="699" t="s">
        <v>2970</v>
      </c>
      <c r="C137" s="1096" t="s">
        <v>2971</v>
      </c>
      <c r="G137" s="636"/>
      <c r="I137" s="636"/>
    </row>
    <row r="138" spans="1:10" ht="3" customHeight="1">
      <c r="C138" s="706"/>
      <c r="G138" s="636"/>
      <c r="I138" s="636"/>
    </row>
    <row r="139" spans="1:10" ht="12" customHeight="1">
      <c r="A139" s="699" t="s">
        <v>2972</v>
      </c>
      <c r="C139" s="706" t="str">
        <f>'Preview term'!E19</f>
        <v>Pennrose Management Company</v>
      </c>
      <c r="G139" s="636"/>
      <c r="I139" s="636"/>
      <c r="J139" s="734"/>
    </row>
    <row r="140" spans="1:10" ht="3" customHeight="1">
      <c r="C140" s="706"/>
      <c r="G140" s="636"/>
      <c r="I140" s="636"/>
    </row>
    <row r="141" spans="1:10" ht="12" customHeight="1">
      <c r="A141" s="699" t="s">
        <v>2973</v>
      </c>
      <c r="C141" s="707" t="str">
        <f>C8</f>
        <v>West Point Village Phase II LLC</v>
      </c>
      <c r="G141" s="636"/>
      <c r="I141" s="705"/>
      <c r="J141" s="735"/>
    </row>
    <row r="142" spans="1:10" ht="3" customHeight="1">
      <c r="C142" s="707"/>
      <c r="G142" s="636"/>
      <c r="I142" s="705"/>
      <c r="J142" s="735"/>
    </row>
    <row r="143" spans="1:10" ht="12" customHeight="1">
      <c r="A143" s="699" t="s">
        <v>2974</v>
      </c>
      <c r="C143" s="707" t="str">
        <f>C18</f>
        <v>230 Wyoming Avenue</v>
      </c>
      <c r="G143" s="636"/>
      <c r="I143" s="705"/>
      <c r="J143" s="735"/>
    </row>
    <row r="144" spans="1:10">
      <c r="C144" s="707" t="str">
        <f>C19</f>
        <v>Kingston, PA 18704</v>
      </c>
      <c r="G144" s="636"/>
      <c r="I144" s="705"/>
      <c r="J144" s="735"/>
    </row>
    <row r="145" spans="1:10" ht="3" customHeight="1">
      <c r="C145" s="736"/>
      <c r="G145" s="636"/>
      <c r="I145" s="705"/>
      <c r="J145" s="735"/>
    </row>
    <row r="146" spans="1:10" ht="12" customHeight="1">
      <c r="A146" s="699" t="s">
        <v>2975</v>
      </c>
      <c r="C146" s="707" t="str">
        <f>'Sensitivity Analysis'!H10</f>
        <v>Hudson Housing Capital LLC (Proposed)</v>
      </c>
      <c r="G146" s="636"/>
      <c r="I146" s="705"/>
      <c r="J146" s="734"/>
    </row>
    <row r="147" spans="1:10" ht="3" customHeight="1">
      <c r="C147" s="707"/>
      <c r="G147" s="636"/>
      <c r="I147" s="705"/>
      <c r="J147" s="735"/>
    </row>
    <row r="148" spans="1:10" ht="12" customHeight="1">
      <c r="A148" s="699" t="s">
        <v>2976</v>
      </c>
      <c r="C148" s="707" t="str">
        <f>'Sensitivity Analysis'!K10</f>
        <v>(Same as Federal)</v>
      </c>
      <c r="G148" s="636"/>
      <c r="I148" s="705"/>
      <c r="J148" s="734"/>
    </row>
    <row r="149" spans="1:10" ht="3" customHeight="1">
      <c r="C149" s="736"/>
      <c r="G149" s="636"/>
      <c r="I149" s="705"/>
      <c r="J149" s="735"/>
    </row>
    <row r="150" spans="1:10" ht="12" customHeight="1">
      <c r="A150" s="699" t="s">
        <v>2977</v>
      </c>
      <c r="C150" s="737" t="s">
        <v>2932</v>
      </c>
      <c r="G150" s="636"/>
      <c r="I150" s="636"/>
    </row>
    <row r="151" spans="1:10" ht="3" customHeight="1">
      <c r="C151" s="737"/>
      <c r="G151" s="636"/>
      <c r="I151" s="636"/>
    </row>
    <row r="152" spans="1:10" ht="12" customHeight="1">
      <c r="A152" s="699" t="s">
        <v>2978</v>
      </c>
      <c r="C152" s="737" t="s">
        <v>2932</v>
      </c>
      <c r="G152" s="636"/>
      <c r="I152" s="636"/>
    </row>
    <row r="153" spans="1:10" ht="7.5" customHeight="1">
      <c r="G153" s="636"/>
      <c r="H153" s="636"/>
      <c r="I153" s="636"/>
    </row>
    <row r="154" spans="1:10" ht="12" customHeight="1">
      <c r="A154" s="704" t="s">
        <v>2979</v>
      </c>
      <c r="G154" s="636"/>
      <c r="H154" s="636"/>
      <c r="I154" s="636"/>
    </row>
    <row r="155" spans="1:10" ht="3" customHeight="1">
      <c r="D155" s="636"/>
      <c r="E155" s="636"/>
      <c r="G155" s="636"/>
    </row>
    <row r="156" spans="1:10" ht="12" customHeight="1">
      <c r="A156" s="699" t="s">
        <v>2980</v>
      </c>
      <c r="C156" s="636" t="s">
        <v>3235</v>
      </c>
      <c r="D156" s="636"/>
      <c r="G156" s="636"/>
      <c r="H156" s="636"/>
      <c r="I156" s="636"/>
    </row>
    <row r="157" spans="1:10" ht="3" customHeight="1">
      <c r="D157" s="636"/>
      <c r="E157" s="636"/>
      <c r="G157" s="636"/>
    </row>
    <row r="158" spans="1:10" ht="12" customHeight="1">
      <c r="A158" s="699" t="s">
        <v>2981</v>
      </c>
      <c r="D158" s="1096">
        <v>20</v>
      </c>
      <c r="E158" s="636" t="s">
        <v>2298</v>
      </c>
    </row>
    <row r="159" spans="1:10" ht="3" customHeight="1">
      <c r="D159" s="636"/>
      <c r="E159" s="636"/>
      <c r="G159" s="636"/>
    </row>
    <row r="160" spans="1:10" ht="12" customHeight="1">
      <c r="A160" s="699" t="s">
        <v>2982</v>
      </c>
      <c r="C160" s="1059" t="str">
        <f>'Part VI-Revenues &amp; Expenses'!$G$6</f>
        <v>&lt;Select&gt;</v>
      </c>
      <c r="D160" s="636" t="s">
        <v>3255</v>
      </c>
      <c r="G160" s="636"/>
    </row>
    <row r="161" spans="1:13" ht="3" customHeight="1">
      <c r="G161" s="636"/>
      <c r="H161" s="636"/>
      <c r="I161" s="636"/>
    </row>
    <row r="162" spans="1:13" ht="12" customHeight="1">
      <c r="A162" s="699" t="s">
        <v>2983</v>
      </c>
      <c r="G162" s="636"/>
      <c r="H162" s="636"/>
      <c r="I162" s="636"/>
    </row>
    <row r="163" spans="1:13" ht="7.5" customHeight="1">
      <c r="G163" s="636"/>
      <c r="H163" s="636"/>
      <c r="I163" s="636"/>
    </row>
    <row r="164" spans="1:13" ht="12" customHeight="1">
      <c r="A164" s="704" t="s">
        <v>2984</v>
      </c>
      <c r="G164" s="636"/>
      <c r="H164" s="636"/>
      <c r="I164" s="636"/>
    </row>
    <row r="165" spans="1:13" ht="12" customHeight="1">
      <c r="A165" s="699" t="s">
        <v>3083</v>
      </c>
      <c r="C165" s="699" t="s">
        <v>3084</v>
      </c>
      <c r="E165" s="725">
        <f>'Preview term'!F79</f>
        <v>0</v>
      </c>
      <c r="G165" s="636"/>
      <c r="I165" s="636"/>
    </row>
    <row r="166" spans="1:13" ht="12" customHeight="1">
      <c r="C166" s="699" t="s">
        <v>3236</v>
      </c>
      <c r="E166" s="4481"/>
      <c r="F166" s="4481"/>
      <c r="G166" s="4481"/>
      <c r="I166" s="636"/>
    </row>
    <row r="167" spans="1:13" ht="3" customHeight="1">
      <c r="E167" s="636"/>
      <c r="G167" s="636"/>
      <c r="I167" s="636"/>
    </row>
    <row r="168" spans="1:13" ht="12" customHeight="1">
      <c r="A168" s="699" t="s">
        <v>2985</v>
      </c>
      <c r="C168" s="699" t="s">
        <v>2986</v>
      </c>
      <c r="E168" s="738">
        <f>'Preview term'!F73</f>
        <v>268099</v>
      </c>
      <c r="G168" s="636"/>
      <c r="I168" s="636"/>
    </row>
    <row r="169" spans="1:13" ht="12" customHeight="1">
      <c r="C169" s="699" t="s">
        <v>3236</v>
      </c>
      <c r="E169" s="4481"/>
      <c r="F169" s="4481"/>
      <c r="G169" s="4481"/>
      <c r="I169" s="636"/>
    </row>
    <row r="170" spans="1:13" ht="12" customHeight="1">
      <c r="C170" s="699" t="s">
        <v>2987</v>
      </c>
      <c r="E170" s="706" t="s">
        <v>2624</v>
      </c>
      <c r="G170" s="636"/>
      <c r="I170" s="636"/>
    </row>
    <row r="171" spans="1:13" ht="3" customHeight="1">
      <c r="E171" s="706"/>
      <c r="G171" s="636"/>
      <c r="I171" s="636"/>
    </row>
    <row r="172" spans="1:13" ht="12" customHeight="1">
      <c r="A172" s="699" t="s">
        <v>3085</v>
      </c>
      <c r="C172" s="699" t="s">
        <v>3086</v>
      </c>
      <c r="E172" s="738">
        <f>'Preview term'!F75</f>
        <v>0</v>
      </c>
      <c r="G172" s="636"/>
      <c r="I172" s="636"/>
    </row>
    <row r="173" spans="1:13" ht="12" customHeight="1">
      <c r="C173" s="699" t="s">
        <v>2988</v>
      </c>
      <c r="E173" s="738">
        <f>'Preview term'!F75</f>
        <v>0</v>
      </c>
      <c r="G173" s="636"/>
      <c r="I173" s="705"/>
      <c r="J173" s="735"/>
      <c r="K173" s="735"/>
      <c r="L173" s="735"/>
      <c r="M173" s="735"/>
    </row>
    <row r="174" spans="1:13" ht="12" customHeight="1">
      <c r="C174" s="699" t="s">
        <v>2989</v>
      </c>
      <c r="E174" s="733">
        <f>'Part VI-Revenues &amp; Expenses'!Q231</f>
        <v>18000</v>
      </c>
      <c r="F174" s="705" t="s">
        <v>2990</v>
      </c>
      <c r="J174" s="735"/>
      <c r="K174" s="735"/>
      <c r="L174" s="735"/>
      <c r="M174" s="735"/>
    </row>
    <row r="175" spans="1:13">
      <c r="E175" s="738">
        <f>E174/12</f>
        <v>1500</v>
      </c>
      <c r="F175" s="636" t="s">
        <v>2855</v>
      </c>
    </row>
    <row r="176" spans="1:13" ht="12" customHeight="1">
      <c r="C176" s="699" t="s">
        <v>3237</v>
      </c>
      <c r="E176" s="4481"/>
      <c r="F176" s="4481"/>
      <c r="G176" s="4481"/>
      <c r="I176" s="636"/>
    </row>
    <row r="177" spans="1:10" ht="12" customHeight="1">
      <c r="C177" s="699" t="s">
        <v>2991</v>
      </c>
      <c r="E177" s="636" t="s">
        <v>2768</v>
      </c>
      <c r="I177" s="636"/>
    </row>
    <row r="178" spans="1:10" ht="12" customHeight="1">
      <c r="C178" s="699" t="s">
        <v>2992</v>
      </c>
      <c r="E178" s="636" t="s">
        <v>2624</v>
      </c>
      <c r="I178" s="636"/>
    </row>
    <row r="179" spans="1:10" ht="3" customHeight="1">
      <c r="E179" s="636"/>
      <c r="F179" s="636"/>
      <c r="I179" s="636"/>
    </row>
    <row r="180" spans="1:10" ht="12" customHeight="1">
      <c r="A180" s="699" t="s">
        <v>3081</v>
      </c>
      <c r="C180" s="699" t="s">
        <v>3082</v>
      </c>
      <c r="E180" s="725" t="s">
        <v>1691</v>
      </c>
      <c r="F180" s="739"/>
      <c r="I180" s="636"/>
    </row>
    <row r="181" spans="1:10" ht="12" customHeight="1">
      <c r="C181" s="699" t="s">
        <v>2993</v>
      </c>
      <c r="E181" s="725" t="s">
        <v>1691</v>
      </c>
      <c r="F181" s="4481"/>
      <c r="G181" s="4481"/>
      <c r="H181" s="4481"/>
      <c r="I181" s="4481"/>
      <c r="J181" s="4481"/>
    </row>
    <row r="182" spans="1:10" ht="12" customHeight="1">
      <c r="C182" s="699" t="s">
        <v>3238</v>
      </c>
      <c r="E182" s="636" t="s">
        <v>2932</v>
      </c>
      <c r="I182" s="636"/>
    </row>
    <row r="183" spans="1:10" ht="12" customHeight="1">
      <c r="C183" s="699" t="s">
        <v>2994</v>
      </c>
      <c r="E183" s="636" t="s">
        <v>2624</v>
      </c>
      <c r="I183" s="636"/>
    </row>
    <row r="184" spans="1:10" ht="3" customHeight="1">
      <c r="G184" s="636"/>
      <c r="H184" s="636"/>
      <c r="I184" s="636"/>
    </row>
    <row r="185" spans="1:10" ht="12" customHeight="1">
      <c r="A185" s="699" t="s">
        <v>3087</v>
      </c>
      <c r="C185" s="699" t="s">
        <v>3088</v>
      </c>
      <c r="E185" s="738">
        <f>'Preview term'!F77</f>
        <v>127273</v>
      </c>
      <c r="G185" s="636"/>
      <c r="I185" s="636"/>
    </row>
    <row r="186" spans="1:10" ht="12" customHeight="1">
      <c r="C186" s="699" t="s">
        <v>3236</v>
      </c>
      <c r="E186" s="706">
        <f>E169</f>
        <v>0</v>
      </c>
      <c r="G186" s="636"/>
      <c r="I186" s="636"/>
    </row>
    <row r="187" spans="1:10" ht="12" customHeight="1">
      <c r="C187" s="699" t="s">
        <v>2995</v>
      </c>
      <c r="E187" s="706" t="s">
        <v>2932</v>
      </c>
      <c r="G187" s="636"/>
      <c r="I187" s="636"/>
    </row>
    <row r="188" spans="1:10" ht="3" customHeight="1">
      <c r="E188" s="706"/>
      <c r="G188" s="636"/>
      <c r="I188" s="636"/>
    </row>
    <row r="189" spans="1:10" ht="12" customHeight="1">
      <c r="A189" s="699" t="s">
        <v>3089</v>
      </c>
      <c r="C189" s="699" t="s">
        <v>3090</v>
      </c>
      <c r="E189" s="706" t="s">
        <v>2932</v>
      </c>
      <c r="G189" s="636"/>
      <c r="I189" s="636"/>
    </row>
    <row r="190" spans="1:10" ht="12" customHeight="1">
      <c r="C190" s="699" t="s">
        <v>2986</v>
      </c>
      <c r="E190" s="717"/>
      <c r="G190" s="636"/>
      <c r="H190" s="724"/>
      <c r="I190" s="636"/>
    </row>
    <row r="191" spans="1:10" ht="12" customHeight="1">
      <c r="C191" s="699" t="s">
        <v>3236</v>
      </c>
      <c r="E191" s="717"/>
      <c r="I191" s="706"/>
    </row>
    <row r="192" spans="1:10" ht="12" customHeight="1">
      <c r="C192" s="699" t="s">
        <v>2987</v>
      </c>
      <c r="E192" s="717"/>
      <c r="G192" s="636"/>
      <c r="H192" s="636"/>
      <c r="I192" s="636"/>
    </row>
    <row r="193" spans="1:10" ht="9" customHeight="1">
      <c r="G193" s="636"/>
      <c r="H193" s="636"/>
      <c r="I193" s="636"/>
    </row>
    <row r="194" spans="1:10" ht="12" customHeight="1">
      <c r="A194" s="704" t="s">
        <v>2996</v>
      </c>
      <c r="C194" s="636" t="s">
        <v>2997</v>
      </c>
      <c r="E194" s="636"/>
      <c r="I194" s="636"/>
    </row>
    <row r="195" spans="1:10" ht="9" customHeight="1">
      <c r="E195" s="636"/>
      <c r="F195" s="636"/>
      <c r="I195" s="636"/>
    </row>
    <row r="196" spans="1:10" ht="12" customHeight="1">
      <c r="A196" s="704" t="s">
        <v>2998</v>
      </c>
      <c r="E196" s="636"/>
      <c r="F196" s="636"/>
      <c r="I196" s="636"/>
    </row>
    <row r="197" spans="1:10" ht="12" customHeight="1">
      <c r="A197" s="699" t="s">
        <v>2999</v>
      </c>
      <c r="C197" s="1055" t="s">
        <v>1691</v>
      </c>
      <c r="E197" s="636"/>
      <c r="F197" s="636"/>
      <c r="I197" s="636"/>
    </row>
    <row r="198" spans="1:10" ht="3" customHeight="1">
      <c r="G198" s="636"/>
      <c r="H198" s="636"/>
      <c r="I198" s="636"/>
    </row>
    <row r="199" spans="1:10">
      <c r="A199" s="712" t="s">
        <v>3240</v>
      </c>
      <c r="B199" s="712"/>
      <c r="C199" s="712"/>
      <c r="D199" s="712"/>
      <c r="E199" s="716" t="s">
        <v>3239</v>
      </c>
      <c r="F199" s="4491">
        <f>'Part VIII-Threshold Criteria'!E397</f>
        <v>0</v>
      </c>
      <c r="G199" s="4491"/>
      <c r="H199" s="4491"/>
      <c r="I199" s="4491"/>
      <c r="J199" s="4491"/>
    </row>
    <row r="200" spans="1:10" ht="9" customHeight="1">
      <c r="G200" s="636"/>
      <c r="H200" s="636"/>
      <c r="I200" s="636"/>
    </row>
    <row r="201" spans="1:10" ht="12" customHeight="1">
      <c r="A201" s="740" t="s">
        <v>3080</v>
      </c>
      <c r="G201" s="636"/>
      <c r="H201" s="636"/>
      <c r="I201" s="724"/>
    </row>
    <row r="202" spans="1:10" ht="25.5" hidden="1" customHeight="1">
      <c r="A202" s="4482" t="str">
        <f>'Subsidy Layering Memo'!A105</f>
        <v>Include any reserve requirements; explain any reserves far in excess of 6 month ODR, 3 mo lease up, 1 year RR, 6 mo T&amp;I standards.</v>
      </c>
      <c r="B202" s="4482"/>
      <c r="C202" s="4482"/>
      <c r="D202" s="4482"/>
      <c r="E202" s="4482"/>
      <c r="F202" s="4482"/>
      <c r="G202" s="4482"/>
      <c r="H202" s="4482"/>
      <c r="I202" s="4482"/>
      <c r="J202" s="4482"/>
    </row>
    <row r="203" spans="1:10">
      <c r="A203" s="636"/>
      <c r="G203" s="636"/>
      <c r="H203" s="636"/>
      <c r="I203" s="636"/>
    </row>
    <row r="204" spans="1:10" s="588" customFormat="1" ht="15">
      <c r="A204" s="594" t="s">
        <v>6403</v>
      </c>
    </row>
    <row r="205" spans="1:10" s="588" customFormat="1" ht="14.25" customHeight="1">
      <c r="A205" s="4462"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462"/>
      <c r="C205" s="4462"/>
      <c r="D205" s="4462"/>
      <c r="E205" s="4462"/>
      <c r="F205" s="4462"/>
      <c r="G205" s="4462"/>
      <c r="H205" s="4462"/>
      <c r="I205" s="4462"/>
      <c r="J205" s="4462"/>
    </row>
    <row r="206" spans="1:10" s="588" customFormat="1" ht="14.25" customHeight="1">
      <c r="A206" s="4462"/>
      <c r="B206" s="4462"/>
      <c r="C206" s="4462"/>
      <c r="D206" s="4462"/>
      <c r="E206" s="4462"/>
      <c r="F206" s="4462"/>
      <c r="G206" s="4462"/>
      <c r="H206" s="4462"/>
      <c r="I206" s="4462"/>
      <c r="J206" s="4462"/>
    </row>
    <row r="207" spans="1:10" s="588" customFormat="1" ht="6.75" customHeight="1">
      <c r="A207" s="4462"/>
      <c r="B207" s="4462"/>
      <c r="C207" s="4462"/>
      <c r="D207" s="4462"/>
      <c r="E207" s="4462"/>
      <c r="F207" s="4462"/>
      <c r="G207" s="4462"/>
      <c r="H207" s="4462"/>
      <c r="I207" s="4462"/>
      <c r="J207" s="4462"/>
    </row>
    <row r="208" spans="1:10" s="588" customFormat="1" ht="21.75" customHeight="1">
      <c r="A208" s="4462"/>
      <c r="B208" s="4462"/>
      <c r="C208" s="4462"/>
      <c r="D208" s="4462"/>
      <c r="E208" s="4462"/>
      <c r="F208" s="4462"/>
      <c r="G208" s="4462"/>
      <c r="H208" s="4462"/>
      <c r="I208" s="4462"/>
      <c r="J208" s="4462"/>
    </row>
    <row r="209" spans="1:10" s="588" customFormat="1" ht="20.25" customHeight="1">
      <c r="A209" s="4462"/>
      <c r="B209" s="4462"/>
      <c r="C209" s="4462"/>
      <c r="D209" s="4462"/>
      <c r="E209" s="4462"/>
      <c r="F209" s="4462"/>
      <c r="G209" s="4462"/>
      <c r="H209" s="4462"/>
      <c r="I209" s="4462"/>
      <c r="J209" s="4462"/>
    </row>
    <row r="210" spans="1:10" s="588" customFormat="1" ht="54.75" customHeight="1">
      <c r="A210" s="4462"/>
      <c r="B210" s="4462"/>
      <c r="C210" s="4462"/>
      <c r="D210" s="4462"/>
      <c r="E210" s="4462"/>
      <c r="F210" s="4462"/>
      <c r="G210" s="4462"/>
      <c r="H210" s="4462"/>
      <c r="I210" s="4462"/>
      <c r="J210" s="4462"/>
    </row>
    <row r="211" spans="1:10" s="588" customFormat="1" ht="0.75" hidden="1" customHeight="1">
      <c r="A211" s="4462"/>
      <c r="B211" s="4462"/>
      <c r="C211" s="4462"/>
      <c r="D211" s="4462"/>
      <c r="E211" s="4462"/>
      <c r="F211" s="4462"/>
      <c r="G211" s="4462"/>
      <c r="H211" s="4462"/>
      <c r="I211" s="4462"/>
      <c r="J211" s="4462"/>
    </row>
    <row r="212" spans="1:10" s="588" customFormat="1" ht="3.75" hidden="1" customHeight="1">
      <c r="A212" s="4462"/>
      <c r="B212" s="4462"/>
      <c r="C212" s="4462"/>
      <c r="D212" s="4462"/>
      <c r="E212" s="4462"/>
      <c r="F212" s="4462"/>
      <c r="G212" s="4462"/>
      <c r="H212" s="4462"/>
      <c r="I212" s="4462"/>
      <c r="J212" s="4462"/>
    </row>
    <row r="213" spans="1:10" s="588" customFormat="1" ht="5.25" customHeight="1">
      <c r="A213" s="1630"/>
      <c r="B213" s="1630"/>
      <c r="C213" s="1630"/>
      <c r="D213" s="1630"/>
      <c r="E213" s="1630"/>
      <c r="F213" s="1630"/>
      <c r="G213" s="1630"/>
      <c r="H213" s="1630"/>
      <c r="I213" s="1630"/>
      <c r="J213" s="1630"/>
    </row>
    <row r="214" spans="1:10" s="588" customFormat="1" ht="19.5" customHeight="1">
      <c r="A214" s="4461" t="s">
        <v>6406</v>
      </c>
      <c r="B214" s="4461"/>
      <c r="C214" s="4461"/>
      <c r="D214" s="1629"/>
      <c r="E214" s="1629"/>
      <c r="F214" s="1629"/>
      <c r="G214" s="1629"/>
      <c r="H214" s="1629"/>
      <c r="I214" s="1629"/>
      <c r="J214" s="1629"/>
    </row>
    <row r="215" spans="1:10" s="588" customFormat="1" ht="22.5" customHeight="1">
      <c r="A215" s="4440" t="str">
        <f>'Subsidy Layering Memo'!A37</f>
        <v>1)</v>
      </c>
      <c r="B215" s="4440"/>
      <c r="C215" s="4440"/>
      <c r="D215" s="4440"/>
      <c r="E215" s="4440"/>
      <c r="F215" s="4440"/>
      <c r="G215" s="4440"/>
      <c r="H215" s="4440"/>
      <c r="I215" s="4440"/>
      <c r="J215" s="4440"/>
    </row>
    <row r="216" spans="1:10" s="588" customFormat="1" ht="22.5" customHeight="1">
      <c r="A216" s="4440" t="str">
        <f>'Subsidy Layering Memo'!A38</f>
        <v>2)</v>
      </c>
      <c r="B216" s="4440"/>
      <c r="C216" s="4440"/>
      <c r="D216" s="4440"/>
      <c r="E216" s="4440"/>
      <c r="F216" s="4440"/>
      <c r="G216" s="4440"/>
      <c r="H216" s="4440"/>
      <c r="I216" s="4440"/>
      <c r="J216" s="4440"/>
    </row>
    <row r="217" spans="1:10" s="588" customFormat="1" ht="22.5" customHeight="1">
      <c r="A217" s="4440" t="str">
        <f>'Subsidy Layering Memo'!A39</f>
        <v>3)</v>
      </c>
      <c r="B217" s="4440"/>
      <c r="C217" s="4440"/>
      <c r="D217" s="4440"/>
      <c r="E217" s="4440"/>
      <c r="F217" s="4440"/>
      <c r="G217" s="4440"/>
      <c r="H217" s="4440"/>
      <c r="I217" s="4440"/>
      <c r="J217" s="4440"/>
    </row>
    <row r="218" spans="1:10" s="588" customFormat="1" ht="22.5" customHeight="1">
      <c r="A218" s="4440" t="str">
        <f>'Subsidy Layering Memo'!A40</f>
        <v>4)</v>
      </c>
      <c r="B218" s="4440"/>
      <c r="C218" s="4440"/>
      <c r="D218" s="4440"/>
      <c r="E218" s="4440"/>
      <c r="F218" s="4440"/>
      <c r="G218" s="4440"/>
      <c r="H218" s="4440"/>
      <c r="I218" s="4440"/>
      <c r="J218" s="4440"/>
    </row>
    <row r="219" spans="1:10" s="588" customFormat="1" ht="22.5" customHeight="1">
      <c r="A219" s="4440" t="str">
        <f>'Subsidy Layering Memo'!A41</f>
        <v>5)</v>
      </c>
      <c r="B219" s="4440"/>
      <c r="C219" s="4440"/>
      <c r="D219" s="4440"/>
      <c r="E219" s="4440"/>
      <c r="F219" s="4440"/>
      <c r="G219" s="4440"/>
      <c r="H219" s="4440"/>
      <c r="I219" s="4440"/>
      <c r="J219" s="4440"/>
    </row>
    <row r="220" spans="1:10" s="588" customFormat="1" ht="22.5" customHeight="1">
      <c r="A220" s="4440" t="str">
        <f>'Subsidy Layering Memo'!A42</f>
        <v>6)</v>
      </c>
      <c r="B220" s="4440"/>
      <c r="C220" s="4440"/>
      <c r="D220" s="4440"/>
      <c r="E220" s="4440"/>
      <c r="F220" s="4440"/>
      <c r="G220" s="4440"/>
      <c r="H220" s="4440"/>
      <c r="I220" s="4440"/>
      <c r="J220" s="4440"/>
    </row>
    <row r="221" spans="1:10" s="588" customFormat="1" ht="22.5" customHeight="1">
      <c r="A221" s="4440" t="str">
        <f>'Subsidy Layering Memo'!A43</f>
        <v>7)</v>
      </c>
      <c r="B221" s="4440"/>
      <c r="C221" s="4440"/>
      <c r="D221" s="4440"/>
      <c r="E221" s="4440"/>
      <c r="F221" s="4440"/>
      <c r="G221" s="4440"/>
      <c r="H221" s="4440"/>
      <c r="I221" s="4440"/>
      <c r="J221" s="4440"/>
    </row>
    <row r="222" spans="1:10" s="588" customFormat="1" ht="22.5" customHeight="1">
      <c r="A222" s="4440" t="str">
        <f>'Subsidy Layering Memo'!A44</f>
        <v>8)</v>
      </c>
      <c r="B222" s="4440"/>
      <c r="C222" s="4440"/>
      <c r="D222" s="4440"/>
      <c r="E222" s="4440"/>
      <c r="F222" s="4440"/>
      <c r="G222" s="4440"/>
      <c r="H222" s="4440"/>
      <c r="I222" s="4440"/>
      <c r="J222" s="4440"/>
    </row>
  </sheetData>
  <sheetProtection algorithmName="SHA-512" hashValue="F7auqRV5PyyKNVk6ZxTv0HMHW5agvDDcFhSo3o688eWN+SiXPe7gfp3HfPnf23C3cwBCeQUQbTVE7p6u7ATafg==" saltValue="28CrY7lCJZB6nGmItVqHdQ=="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workbookViewId="0">
      <selection sqref="A1:XFD1048576"/>
    </sheetView>
  </sheetViews>
  <sheetFormatPr defaultColWidth="9.140625" defaultRowHeight="16.5"/>
  <cols>
    <col min="1" max="1" width="5.42578125" style="3024" customWidth="1"/>
    <col min="2" max="2" width="6.28515625" style="3024" customWidth="1"/>
    <col min="3" max="3" width="9.85546875" style="3024" customWidth="1"/>
    <col min="4" max="4" width="10.42578125" style="3024" customWidth="1"/>
    <col min="5" max="5" width="7.7109375" style="3120" customWidth="1"/>
    <col min="6" max="6" width="8" style="3024" customWidth="1"/>
    <col min="7" max="7" width="8.7109375" style="3024" customWidth="1"/>
    <col min="8" max="8" width="10.28515625" style="3024" customWidth="1"/>
    <col min="9" max="9" width="10.7109375" style="3024" customWidth="1"/>
    <col min="10" max="10" width="11.7109375" style="3024" customWidth="1"/>
    <col min="11" max="11" width="11.85546875" style="3024" customWidth="1"/>
    <col min="12" max="16384" width="9.140625" style="3024"/>
  </cols>
  <sheetData>
    <row r="1" spans="1:11" ht="18.75">
      <c r="A1" s="3023" t="s">
        <v>4167</v>
      </c>
      <c r="B1" s="3023"/>
      <c r="C1" s="3023"/>
      <c r="D1" s="3023"/>
      <c r="E1" s="3023"/>
      <c r="F1" s="3023"/>
      <c r="G1" s="3023"/>
      <c r="H1" s="3023"/>
    </row>
    <row r="2" spans="1:11" ht="19.5" thickBot="1">
      <c r="A2" s="3023" t="s">
        <v>4168</v>
      </c>
      <c r="B2" s="3023"/>
      <c r="C2" s="3023"/>
      <c r="D2" s="3023"/>
      <c r="E2" s="3023"/>
      <c r="F2" s="3023"/>
      <c r="G2" s="3023"/>
      <c r="H2" s="3023"/>
    </row>
    <row r="3" spans="1:11" ht="15" customHeight="1" thickBot="1">
      <c r="A3" s="3025" t="s">
        <v>4169</v>
      </c>
      <c r="B3" s="3026"/>
      <c r="C3" s="3027"/>
      <c r="D3" s="4512" t="str">
        <f>'Part I-Project Information'!F35</f>
        <v>West Point Village Phase II</v>
      </c>
      <c r="E3" s="4513"/>
      <c r="F3" s="4513"/>
      <c r="G3" s="4513"/>
      <c r="H3" s="4513"/>
      <c r="I3" s="4513"/>
      <c r="J3" s="4514" t="s">
        <v>6420</v>
      </c>
      <c r="K3" s="4515"/>
    </row>
    <row r="4" spans="1:11" ht="15" customHeight="1">
      <c r="A4" s="3028" t="s">
        <v>4170</v>
      </c>
      <c r="B4" s="3029"/>
      <c r="C4" s="3030"/>
      <c r="D4" s="4516" t="str">
        <f>CONCATENATE('Part I-Project Information'!F36,", ",'Part I-Project Information'!F39,", GA ",'Part I-Project Information'!J39," (",'Part I-Project Information'!J40," Co.)",)</f>
        <v>1650 10th Street, West Point, GA 318330000 (Troup Co.)</v>
      </c>
      <c r="E4" s="4517"/>
      <c r="F4" s="4517"/>
      <c r="G4" s="4517"/>
      <c r="H4" s="4517"/>
      <c r="I4" s="4517"/>
      <c r="J4" s="4518" t="s">
        <v>4211</v>
      </c>
      <c r="K4" s="4519"/>
    </row>
    <row r="5" spans="1:11" ht="15" customHeight="1" thickBot="1">
      <c r="A5" s="3031" t="s">
        <v>4171</v>
      </c>
      <c r="B5" s="3032"/>
      <c r="C5" s="3033"/>
      <c r="D5" s="4522"/>
      <c r="E5" s="4523"/>
      <c r="F5" s="4523"/>
      <c r="G5" s="4523"/>
      <c r="H5" s="4523"/>
      <c r="I5" s="4523"/>
      <c r="J5" s="4520"/>
      <c r="K5" s="4521"/>
    </row>
    <row r="6" spans="1:11" ht="9" customHeight="1" thickBot="1">
      <c r="E6" s="3024"/>
    </row>
    <row r="7" spans="1:11">
      <c r="A7" s="4504" t="s">
        <v>4173</v>
      </c>
      <c r="B7" s="4505"/>
      <c r="C7" s="4505"/>
      <c r="D7" s="4505"/>
      <c r="E7" s="4505"/>
      <c r="F7" s="4505"/>
      <c r="G7" s="4505"/>
      <c r="H7" s="4505"/>
      <c r="I7" s="4505"/>
      <c r="J7" s="4505"/>
      <c r="K7" s="4506"/>
    </row>
    <row r="8" spans="1:11" ht="14.25" customHeight="1">
      <c r="A8" s="3034"/>
      <c r="B8" s="3034"/>
      <c r="C8" s="3035">
        <v>1</v>
      </c>
      <c r="D8" s="3036" t="s">
        <v>4174</v>
      </c>
      <c r="E8" s="3036"/>
      <c r="F8" s="3036"/>
      <c r="G8" s="3036"/>
      <c r="H8" s="3036"/>
      <c r="I8" s="3036"/>
      <c r="J8" s="4502"/>
      <c r="K8" s="4503"/>
    </row>
    <row r="9" spans="1:11" ht="7.15" customHeight="1">
      <c r="A9" s="4507"/>
      <c r="B9" s="4507"/>
      <c r="C9" s="4507"/>
      <c r="D9" s="4508"/>
      <c r="E9" s="4508"/>
      <c r="F9" s="4508"/>
      <c r="G9" s="4508"/>
      <c r="H9" s="4508"/>
      <c r="I9" s="4508"/>
      <c r="J9" s="4508"/>
      <c r="K9" s="3037"/>
    </row>
    <row r="10" spans="1:11">
      <c r="A10" s="4509" t="s">
        <v>4175</v>
      </c>
      <c r="B10" s="4510"/>
      <c r="C10" s="4510"/>
      <c r="D10" s="4510"/>
      <c r="E10" s="4510"/>
      <c r="F10" s="4510"/>
      <c r="G10" s="4510"/>
      <c r="H10" s="4510"/>
      <c r="I10" s="4510"/>
      <c r="J10" s="4510"/>
      <c r="K10" s="4511"/>
    </row>
    <row r="11" spans="1:11" ht="14.25" customHeight="1">
      <c r="A11" s="3034"/>
      <c r="B11" s="3034"/>
      <c r="C11" s="3035">
        <v>2</v>
      </c>
      <c r="D11" s="3036" t="s">
        <v>4176</v>
      </c>
      <c r="E11" s="3038"/>
      <c r="F11" s="3038"/>
      <c r="G11" s="3038"/>
      <c r="H11" s="3038"/>
      <c r="I11" s="3038"/>
      <c r="J11" s="4500"/>
      <c r="K11" s="4501"/>
    </row>
    <row r="12" spans="1:11" ht="7.15" customHeight="1">
      <c r="A12" s="4507"/>
      <c r="B12" s="4507"/>
      <c r="C12" s="4507"/>
      <c r="D12" s="4508"/>
      <c r="E12" s="4508"/>
      <c r="F12" s="4508"/>
      <c r="G12" s="4508"/>
      <c r="H12" s="4508"/>
      <c r="I12" s="4508"/>
      <c r="J12" s="4508"/>
      <c r="K12" s="3039"/>
    </row>
    <row r="13" spans="1:11">
      <c r="A13" s="4509" t="s">
        <v>4177</v>
      </c>
      <c r="B13" s="4510"/>
      <c r="C13" s="4510"/>
      <c r="D13" s="4510"/>
      <c r="E13" s="4510"/>
      <c r="F13" s="4510"/>
      <c r="G13" s="4510"/>
      <c r="H13" s="4510"/>
      <c r="I13" s="4510"/>
      <c r="J13" s="4510"/>
      <c r="K13" s="4511"/>
    </row>
    <row r="14" spans="1:11" ht="14.25" customHeight="1">
      <c r="A14" s="3029"/>
      <c r="B14" s="3029"/>
      <c r="C14" s="3040">
        <v>3</v>
      </c>
      <c r="D14" s="3041" t="s">
        <v>4178</v>
      </c>
      <c r="E14" s="3041"/>
      <c r="F14" s="3041"/>
      <c r="G14" s="3041"/>
      <c r="H14" s="3041"/>
      <c r="I14" s="3041"/>
      <c r="J14" s="4498"/>
      <c r="K14" s="4499"/>
    </row>
    <row r="15" spans="1:11" ht="14.25" customHeight="1">
      <c r="A15" s="3029"/>
      <c r="B15" s="3029"/>
      <c r="C15" s="3042">
        <v>4</v>
      </c>
      <c r="D15" s="3029" t="s">
        <v>4179</v>
      </c>
      <c r="E15" s="3029"/>
      <c r="F15" s="3029"/>
      <c r="G15" s="3029"/>
      <c r="H15" s="3029"/>
      <c r="I15" s="3029"/>
      <c r="J15" s="4496"/>
      <c r="K15" s="4497"/>
    </row>
    <row r="16" spans="1:11" ht="14.25" customHeight="1">
      <c r="A16" s="3029"/>
      <c r="B16" s="3029"/>
      <c r="C16" s="3042">
        <v>5</v>
      </c>
      <c r="D16" s="3029" t="s">
        <v>4180</v>
      </c>
      <c r="E16" s="3029"/>
      <c r="F16" s="3029"/>
      <c r="G16" s="3029"/>
      <c r="H16" s="3029"/>
      <c r="I16" s="3029"/>
      <c r="J16" s="4496"/>
      <c r="K16" s="4497"/>
    </row>
    <row r="17" spans="1:13" ht="14.25" customHeight="1">
      <c r="A17" s="3034"/>
      <c r="B17" s="3034"/>
      <c r="C17" s="3043">
        <v>6</v>
      </c>
      <c r="D17" s="3032" t="s">
        <v>4181</v>
      </c>
      <c r="E17" s="3032"/>
      <c r="F17" s="3032"/>
      <c r="G17" s="3032"/>
      <c r="H17" s="3032"/>
      <c r="I17" s="3032"/>
      <c r="J17" s="4577"/>
      <c r="K17" s="4578"/>
    </row>
    <row r="18" spans="1:13" ht="7.15" customHeight="1">
      <c r="A18" s="4507"/>
      <c r="B18" s="4507"/>
      <c r="C18" s="4507"/>
      <c r="D18" s="4508"/>
      <c r="E18" s="4508"/>
      <c r="F18" s="4508"/>
      <c r="G18" s="4508"/>
      <c r="H18" s="4508"/>
      <c r="I18" s="4508"/>
      <c r="J18" s="4508"/>
      <c r="K18" s="3039"/>
    </row>
    <row r="19" spans="1:13" ht="14.25" customHeight="1">
      <c r="A19" s="3029"/>
      <c r="B19" s="3029"/>
      <c r="C19" s="3040">
        <v>7</v>
      </c>
      <c r="D19" s="3041" t="s">
        <v>4182</v>
      </c>
      <c r="E19" s="3041"/>
      <c r="F19" s="3041"/>
      <c r="G19" s="3041"/>
      <c r="H19" s="3041"/>
      <c r="I19" s="3041"/>
      <c r="J19" s="4575" t="str">
        <f>IF(J17="No",J14-J15,IF(J17="Yes",J14-J15-J16,"Error"))</f>
        <v>Error</v>
      </c>
      <c r="K19" s="4576"/>
    </row>
    <row r="20" spans="1:13" ht="14.25" customHeight="1">
      <c r="A20" s="3034"/>
      <c r="B20" s="3034"/>
      <c r="C20" s="3043">
        <v>8</v>
      </c>
      <c r="D20" s="3032" t="s">
        <v>4183</v>
      </c>
      <c r="E20" s="3032"/>
      <c r="F20" s="3032"/>
      <c r="G20" s="3032"/>
      <c r="H20" s="3032"/>
      <c r="I20" s="3032"/>
      <c r="J20" s="4573" t="e">
        <f>ROUNDDOWN(J19/J8,2)</f>
        <v>#VALUE!</v>
      </c>
      <c r="K20" s="4574"/>
    </row>
    <row r="21" spans="1:13" ht="7.15" customHeight="1">
      <c r="A21" s="4507"/>
      <c r="B21" s="4507"/>
      <c r="C21" s="4507"/>
      <c r="D21" s="4508"/>
      <c r="E21" s="4508"/>
      <c r="F21" s="4508"/>
      <c r="G21" s="4508"/>
      <c r="H21" s="4508"/>
      <c r="I21" s="4508"/>
      <c r="J21" s="4508"/>
      <c r="K21" s="3039"/>
    </row>
    <row r="22" spans="1:13" ht="14.25" customHeight="1" thickBot="1">
      <c r="A22" s="3029"/>
      <c r="B22" s="3029"/>
      <c r="C22" s="3035">
        <v>9</v>
      </c>
      <c r="D22" s="3044" t="s">
        <v>4184</v>
      </c>
      <c r="E22" s="3044"/>
      <c r="F22" s="3044"/>
      <c r="G22" s="3044"/>
      <c r="H22" s="3044"/>
      <c r="I22" s="3044"/>
      <c r="J22" s="4571" t="e">
        <f>J11/J19</f>
        <v>#VALUE!</v>
      </c>
      <c r="K22" s="4572"/>
    </row>
    <row r="23" spans="1:13" ht="9" customHeight="1">
      <c r="A23" s="3045"/>
      <c r="C23" s="3046"/>
      <c r="D23" s="3046"/>
      <c r="E23" s="3046"/>
      <c r="F23" s="3046"/>
      <c r="G23" s="3046"/>
      <c r="H23" s="3046"/>
      <c r="I23" s="3046"/>
      <c r="J23" s="3046"/>
      <c r="K23" s="3047"/>
    </row>
    <row r="24" spans="1:13" ht="18.75">
      <c r="A24" s="3048" t="s">
        <v>4185</v>
      </c>
      <c r="C24" s="3046"/>
      <c r="D24" s="3046"/>
      <c r="E24" s="3046"/>
      <c r="F24" s="3046"/>
      <c r="G24" s="3046"/>
      <c r="H24" s="3046"/>
      <c r="I24" s="3046"/>
      <c r="J24" s="3046"/>
      <c r="K24" s="3047"/>
    </row>
    <row r="25" spans="1:13" ht="14.25" customHeight="1">
      <c r="A25" s="3049" t="s">
        <v>4216</v>
      </c>
      <c r="C25" s="3046"/>
      <c r="D25" s="3046"/>
      <c r="E25" s="3046"/>
      <c r="F25" s="3046"/>
      <c r="G25" s="3046"/>
      <c r="H25" s="3046"/>
      <c r="I25" s="3046"/>
      <c r="J25" s="3046"/>
      <c r="K25" s="3047"/>
    </row>
    <row r="26" spans="1:13" ht="14.25" customHeight="1">
      <c r="A26" s="3049" t="s">
        <v>4217</v>
      </c>
      <c r="C26" s="3046"/>
      <c r="D26" s="3046"/>
      <c r="E26" s="3046"/>
      <c r="F26" s="3046"/>
      <c r="G26" s="3046"/>
      <c r="H26" s="3046"/>
      <c r="I26" s="3046"/>
      <c r="J26" s="3046"/>
      <c r="K26" s="3047"/>
    </row>
    <row r="27" spans="1:13" ht="14.25" customHeight="1">
      <c r="A27" s="3049" t="s">
        <v>4218</v>
      </c>
      <c r="C27" s="3046"/>
      <c r="D27" s="3046"/>
      <c r="E27" s="3046"/>
      <c r="F27" s="3046"/>
      <c r="G27" s="3046"/>
      <c r="H27" s="3046"/>
      <c r="I27" s="3046"/>
      <c r="J27" s="3046"/>
      <c r="K27" s="3047"/>
    </row>
    <row r="28" spans="1:13" ht="14.25" customHeight="1">
      <c r="A28" s="3049" t="s">
        <v>4219</v>
      </c>
      <c r="C28" s="3046"/>
      <c r="D28" s="3046"/>
      <c r="E28" s="3046"/>
      <c r="F28" s="3046"/>
      <c r="G28" s="3046"/>
      <c r="H28" s="3046"/>
      <c r="I28" s="3046"/>
      <c r="J28" s="3046"/>
      <c r="K28" s="3047"/>
    </row>
    <row r="29" spans="1:13" ht="9" customHeight="1">
      <c r="A29" s="3046"/>
      <c r="C29" s="3046"/>
      <c r="D29" s="3046"/>
      <c r="E29" s="3046"/>
      <c r="F29" s="3046"/>
      <c r="G29" s="3046"/>
      <c r="H29" s="3046"/>
      <c r="I29" s="3046"/>
      <c r="J29" s="3046"/>
      <c r="K29" s="3047"/>
    </row>
    <row r="30" spans="1:13">
      <c r="A30" s="4529" t="s">
        <v>4215</v>
      </c>
      <c r="B30" s="4530"/>
      <c r="C30" s="4530"/>
      <c r="D30" s="4530"/>
      <c r="E30" s="4530"/>
      <c r="F30" s="4530"/>
      <c r="G30" s="4530"/>
      <c r="H30" s="4530"/>
      <c r="I30" s="4530"/>
      <c r="J30" s="4530"/>
      <c r="K30" s="4531"/>
    </row>
    <row r="31" spans="1:13">
      <c r="A31" s="3050"/>
      <c r="B31" s="4532" t="s">
        <v>6420</v>
      </c>
      <c r="C31" s="4532"/>
      <c r="D31" s="4532"/>
      <c r="E31" s="4532"/>
      <c r="F31" s="4532"/>
      <c r="G31" s="4533" t="s">
        <v>4186</v>
      </c>
      <c r="H31" s="4534"/>
      <c r="I31" s="4534"/>
      <c r="J31" s="4534"/>
      <c r="K31" s="4535"/>
    </row>
    <row r="32" spans="1:13" ht="56.25" customHeight="1">
      <c r="A32" s="3051"/>
      <c r="B32" s="3052" t="s">
        <v>4214</v>
      </c>
      <c r="C32" s="3053" t="s">
        <v>4210</v>
      </c>
      <c r="D32" s="3053" t="s">
        <v>4209</v>
      </c>
      <c r="E32" s="4536" t="s">
        <v>6312</v>
      </c>
      <c r="F32" s="4537"/>
      <c r="G32" s="3054" t="s">
        <v>4187</v>
      </c>
      <c r="H32" s="3054" t="s">
        <v>4188</v>
      </c>
      <c r="J32" s="3054" t="s">
        <v>4189</v>
      </c>
      <c r="K32" s="3054" t="s">
        <v>4190</v>
      </c>
      <c r="L32" s="4524" t="s">
        <v>4191</v>
      </c>
      <c r="M32" s="4524"/>
    </row>
    <row r="33" spans="2:14" ht="12.75" customHeight="1">
      <c r="B33" s="3055"/>
      <c r="C33" s="3056"/>
      <c r="D33" s="3057"/>
      <c r="E33" s="4525"/>
      <c r="F33" s="4526"/>
      <c r="G33" s="3058" t="e">
        <f t="shared" ref="G33:G51" si="0">$J$22*B33</f>
        <v>#VALUE!</v>
      </c>
      <c r="H33" s="3059" t="e">
        <f>ROUNDUP(G33,0)</f>
        <v>#VALUE!</v>
      </c>
      <c r="I33" s="3060"/>
      <c r="J33" s="3061" t="e">
        <f t="shared" ref="J33:J51" si="1">$J$20*E33</f>
        <v>#VALUE!</v>
      </c>
      <c r="K33" s="3061" t="e">
        <f t="shared" ref="K33:K51" si="2">ROUNDDOWN(J33*H33,0)</f>
        <v>#VALUE!</v>
      </c>
      <c r="L33" s="4524"/>
      <c r="M33" s="4524"/>
    </row>
    <row r="34" spans="2:14" ht="12.75" customHeight="1">
      <c r="B34" s="3062"/>
      <c r="C34" s="3063"/>
      <c r="D34" s="3064"/>
      <c r="E34" s="4527"/>
      <c r="F34" s="4528"/>
      <c r="G34" s="3065" t="e">
        <f t="shared" si="0"/>
        <v>#VALUE!</v>
      </c>
      <c r="H34" s="3066" t="e">
        <f t="shared" ref="H34:H51" si="3">ROUNDUP(G34,0)</f>
        <v>#VALUE!</v>
      </c>
      <c r="I34" s="3060"/>
      <c r="J34" s="3067" t="e">
        <f t="shared" si="1"/>
        <v>#VALUE!</v>
      </c>
      <c r="K34" s="3067" t="e">
        <f t="shared" si="2"/>
        <v>#VALUE!</v>
      </c>
      <c r="L34" s="4524"/>
      <c r="M34" s="4524"/>
    </row>
    <row r="35" spans="2:14" ht="12.75" customHeight="1">
      <c r="B35" s="3062"/>
      <c r="C35" s="3063"/>
      <c r="D35" s="3064"/>
      <c r="E35" s="4527"/>
      <c r="F35" s="4528"/>
      <c r="G35" s="3065" t="e">
        <f t="shared" si="0"/>
        <v>#VALUE!</v>
      </c>
      <c r="H35" s="3066" t="e">
        <f t="shared" si="3"/>
        <v>#VALUE!</v>
      </c>
      <c r="I35" s="3060"/>
      <c r="J35" s="3067" t="e">
        <f t="shared" si="1"/>
        <v>#VALUE!</v>
      </c>
      <c r="K35" s="3067" t="e">
        <f t="shared" si="2"/>
        <v>#VALUE!</v>
      </c>
      <c r="L35" s="4524"/>
      <c r="M35" s="4524"/>
    </row>
    <row r="36" spans="2:14" ht="12.75" customHeight="1">
      <c r="B36" s="3062"/>
      <c r="C36" s="3063"/>
      <c r="D36" s="3064"/>
      <c r="E36" s="4527"/>
      <c r="F36" s="4528"/>
      <c r="G36" s="3065" t="e">
        <f t="shared" si="0"/>
        <v>#VALUE!</v>
      </c>
      <c r="H36" s="3066" t="e">
        <f t="shared" si="3"/>
        <v>#VALUE!</v>
      </c>
      <c r="I36" s="3060"/>
      <c r="J36" s="3067" t="e">
        <f t="shared" si="1"/>
        <v>#VALUE!</v>
      </c>
      <c r="K36" s="3067" t="e">
        <f t="shared" si="2"/>
        <v>#VALUE!</v>
      </c>
      <c r="L36" s="4524"/>
      <c r="M36" s="4524"/>
      <c r="N36" s="3068"/>
    </row>
    <row r="37" spans="2:14" ht="12.75" customHeight="1">
      <c r="B37" s="3062"/>
      <c r="C37" s="3063"/>
      <c r="D37" s="3064"/>
      <c r="E37" s="4527"/>
      <c r="F37" s="4528"/>
      <c r="G37" s="3065" t="e">
        <f t="shared" si="0"/>
        <v>#VALUE!</v>
      </c>
      <c r="H37" s="3066" t="e">
        <f t="shared" si="3"/>
        <v>#VALUE!</v>
      </c>
      <c r="I37" s="3060"/>
      <c r="J37" s="3067" t="e">
        <f t="shared" si="1"/>
        <v>#VALUE!</v>
      </c>
      <c r="K37" s="3067" t="e">
        <f t="shared" si="2"/>
        <v>#VALUE!</v>
      </c>
      <c r="L37" s="4524"/>
      <c r="M37" s="4524"/>
    </row>
    <row r="38" spans="2:14" ht="12.75" customHeight="1">
      <c r="B38" s="3062"/>
      <c r="C38" s="3063"/>
      <c r="D38" s="3064"/>
      <c r="E38" s="4527"/>
      <c r="F38" s="4528"/>
      <c r="G38" s="3065" t="e">
        <f t="shared" si="0"/>
        <v>#VALUE!</v>
      </c>
      <c r="H38" s="3066" t="e">
        <f t="shared" si="3"/>
        <v>#VALUE!</v>
      </c>
      <c r="I38" s="3060"/>
      <c r="J38" s="3067" t="e">
        <f t="shared" si="1"/>
        <v>#VALUE!</v>
      </c>
      <c r="K38" s="3067" t="e">
        <f t="shared" si="2"/>
        <v>#VALUE!</v>
      </c>
      <c r="L38" s="4524"/>
      <c r="M38" s="4524"/>
    </row>
    <row r="39" spans="2:14" ht="12.75" customHeight="1">
      <c r="B39" s="3062"/>
      <c r="C39" s="3063"/>
      <c r="D39" s="3064"/>
      <c r="E39" s="4527"/>
      <c r="F39" s="4528"/>
      <c r="G39" s="3065" t="e">
        <f t="shared" si="0"/>
        <v>#VALUE!</v>
      </c>
      <c r="H39" s="3066" t="e">
        <f t="shared" si="3"/>
        <v>#VALUE!</v>
      </c>
      <c r="I39" s="3060"/>
      <c r="J39" s="3067" t="e">
        <f t="shared" si="1"/>
        <v>#VALUE!</v>
      </c>
      <c r="K39" s="3067" t="e">
        <f t="shared" si="2"/>
        <v>#VALUE!</v>
      </c>
      <c r="L39" s="4524"/>
      <c r="M39" s="4524"/>
    </row>
    <row r="40" spans="2:14" ht="12.75" customHeight="1">
      <c r="B40" s="3062"/>
      <c r="C40" s="3063"/>
      <c r="D40" s="3064"/>
      <c r="E40" s="4527"/>
      <c r="F40" s="4528"/>
      <c r="G40" s="3065" t="e">
        <f t="shared" si="0"/>
        <v>#VALUE!</v>
      </c>
      <c r="H40" s="3066" t="e">
        <f t="shared" si="3"/>
        <v>#VALUE!</v>
      </c>
      <c r="I40" s="3060"/>
      <c r="J40" s="3067" t="e">
        <f t="shared" si="1"/>
        <v>#VALUE!</v>
      </c>
      <c r="K40" s="3067" t="e">
        <f t="shared" si="2"/>
        <v>#VALUE!</v>
      </c>
      <c r="L40" s="4524"/>
      <c r="M40" s="4524"/>
    </row>
    <row r="41" spans="2:14" ht="12.75" customHeight="1">
      <c r="B41" s="3062"/>
      <c r="C41" s="3063"/>
      <c r="D41" s="3064"/>
      <c r="E41" s="4527"/>
      <c r="F41" s="4528"/>
      <c r="G41" s="3065" t="e">
        <f t="shared" si="0"/>
        <v>#VALUE!</v>
      </c>
      <c r="H41" s="3066" t="e">
        <f t="shared" si="3"/>
        <v>#VALUE!</v>
      </c>
      <c r="I41" s="3060"/>
      <c r="J41" s="3067" t="e">
        <f t="shared" si="1"/>
        <v>#VALUE!</v>
      </c>
      <c r="K41" s="3067" t="e">
        <f t="shared" si="2"/>
        <v>#VALUE!</v>
      </c>
      <c r="L41" s="4524"/>
      <c r="M41" s="4524"/>
    </row>
    <row r="42" spans="2:14" ht="12.75" customHeight="1">
      <c r="B42" s="3062"/>
      <c r="C42" s="3063"/>
      <c r="D42" s="3064"/>
      <c r="E42" s="4527"/>
      <c r="F42" s="4528"/>
      <c r="G42" s="3065" t="e">
        <f t="shared" si="0"/>
        <v>#VALUE!</v>
      </c>
      <c r="H42" s="3066" t="e">
        <f t="shared" si="3"/>
        <v>#VALUE!</v>
      </c>
      <c r="I42" s="3060"/>
      <c r="J42" s="3067" t="e">
        <f t="shared" si="1"/>
        <v>#VALUE!</v>
      </c>
      <c r="K42" s="3067" t="e">
        <f t="shared" si="2"/>
        <v>#VALUE!</v>
      </c>
      <c r="L42" s="4524"/>
      <c r="M42" s="4524"/>
    </row>
    <row r="43" spans="2:14" ht="12.75" customHeight="1">
      <c r="B43" s="3062"/>
      <c r="C43" s="3063"/>
      <c r="D43" s="3064"/>
      <c r="E43" s="4527"/>
      <c r="F43" s="4528"/>
      <c r="G43" s="3065" t="e">
        <f t="shared" si="0"/>
        <v>#VALUE!</v>
      </c>
      <c r="H43" s="3066" t="e">
        <f t="shared" si="3"/>
        <v>#VALUE!</v>
      </c>
      <c r="I43" s="3060"/>
      <c r="J43" s="3067" t="e">
        <f t="shared" si="1"/>
        <v>#VALUE!</v>
      </c>
      <c r="K43" s="3067" t="e">
        <f t="shared" si="2"/>
        <v>#VALUE!</v>
      </c>
      <c r="L43" s="4524"/>
      <c r="M43" s="4524"/>
    </row>
    <row r="44" spans="2:14" ht="12.75" customHeight="1">
      <c r="B44" s="3062"/>
      <c r="C44" s="3063"/>
      <c r="D44" s="3064"/>
      <c r="E44" s="4527"/>
      <c r="F44" s="4528"/>
      <c r="G44" s="3065" t="e">
        <f t="shared" si="0"/>
        <v>#VALUE!</v>
      </c>
      <c r="H44" s="3066" t="e">
        <f t="shared" si="3"/>
        <v>#VALUE!</v>
      </c>
      <c r="I44" s="3060"/>
      <c r="J44" s="3067" t="e">
        <f t="shared" si="1"/>
        <v>#VALUE!</v>
      </c>
      <c r="K44" s="3067" t="e">
        <f t="shared" si="2"/>
        <v>#VALUE!</v>
      </c>
      <c r="L44" s="4524"/>
      <c r="M44" s="4524"/>
    </row>
    <row r="45" spans="2:14" ht="12.75" customHeight="1">
      <c r="B45" s="3062"/>
      <c r="C45" s="3063"/>
      <c r="D45" s="3064"/>
      <c r="E45" s="4527"/>
      <c r="F45" s="4528"/>
      <c r="G45" s="3065" t="e">
        <f t="shared" si="0"/>
        <v>#VALUE!</v>
      </c>
      <c r="H45" s="3066" t="e">
        <f t="shared" si="3"/>
        <v>#VALUE!</v>
      </c>
      <c r="I45" s="3060"/>
      <c r="J45" s="3067" t="e">
        <f t="shared" si="1"/>
        <v>#VALUE!</v>
      </c>
      <c r="K45" s="3067" t="e">
        <f t="shared" si="2"/>
        <v>#VALUE!</v>
      </c>
      <c r="L45" s="4524"/>
      <c r="M45" s="4524"/>
    </row>
    <row r="46" spans="2:14" ht="12.75" customHeight="1">
      <c r="B46" s="3062"/>
      <c r="C46" s="3063"/>
      <c r="D46" s="3064"/>
      <c r="E46" s="4527"/>
      <c r="F46" s="4528"/>
      <c r="G46" s="3065" t="e">
        <f t="shared" si="0"/>
        <v>#VALUE!</v>
      </c>
      <c r="H46" s="3066" t="e">
        <f t="shared" si="3"/>
        <v>#VALUE!</v>
      </c>
      <c r="I46" s="3060"/>
      <c r="J46" s="3067" t="e">
        <f t="shared" si="1"/>
        <v>#VALUE!</v>
      </c>
      <c r="K46" s="3067" t="e">
        <f t="shared" si="2"/>
        <v>#VALUE!</v>
      </c>
      <c r="L46" s="4524"/>
      <c r="M46" s="4524"/>
    </row>
    <row r="47" spans="2:14" ht="12.75" customHeight="1">
      <c r="B47" s="3062"/>
      <c r="C47" s="3063"/>
      <c r="D47" s="3064"/>
      <c r="E47" s="4527"/>
      <c r="F47" s="4528"/>
      <c r="G47" s="3065" t="e">
        <f t="shared" si="0"/>
        <v>#VALUE!</v>
      </c>
      <c r="H47" s="3066" t="e">
        <f t="shared" si="3"/>
        <v>#VALUE!</v>
      </c>
      <c r="I47" s="3060"/>
      <c r="J47" s="3067" t="e">
        <f t="shared" si="1"/>
        <v>#VALUE!</v>
      </c>
      <c r="K47" s="3067" t="e">
        <f t="shared" si="2"/>
        <v>#VALUE!</v>
      </c>
      <c r="L47" s="4524"/>
      <c r="M47" s="4524"/>
    </row>
    <row r="48" spans="2:14" ht="12.75" customHeight="1">
      <c r="B48" s="3062"/>
      <c r="C48" s="3063"/>
      <c r="D48" s="3064"/>
      <c r="E48" s="4527"/>
      <c r="F48" s="4528"/>
      <c r="G48" s="3065" t="e">
        <f t="shared" si="0"/>
        <v>#VALUE!</v>
      </c>
      <c r="H48" s="3066" t="e">
        <f t="shared" si="3"/>
        <v>#VALUE!</v>
      </c>
      <c r="I48" s="3060"/>
      <c r="J48" s="3067" t="e">
        <f t="shared" si="1"/>
        <v>#VALUE!</v>
      </c>
      <c r="K48" s="3067" t="e">
        <f t="shared" si="2"/>
        <v>#VALUE!</v>
      </c>
      <c r="L48" s="4524"/>
      <c r="M48" s="4524"/>
    </row>
    <row r="49" spans="1:13" ht="12.75" customHeight="1">
      <c r="B49" s="3062"/>
      <c r="C49" s="3063"/>
      <c r="D49" s="3064"/>
      <c r="E49" s="4527"/>
      <c r="F49" s="4528"/>
      <c r="G49" s="3065" t="e">
        <f t="shared" si="0"/>
        <v>#VALUE!</v>
      </c>
      <c r="H49" s="3066" t="e">
        <f t="shared" si="3"/>
        <v>#VALUE!</v>
      </c>
      <c r="I49" s="3060"/>
      <c r="J49" s="3067" t="e">
        <f t="shared" si="1"/>
        <v>#VALUE!</v>
      </c>
      <c r="K49" s="3067" t="e">
        <f t="shared" si="2"/>
        <v>#VALUE!</v>
      </c>
      <c r="L49" s="4524"/>
      <c r="M49" s="4524"/>
    </row>
    <row r="50" spans="1:13" ht="12.75" customHeight="1">
      <c r="B50" s="3062"/>
      <c r="C50" s="3063"/>
      <c r="D50" s="3064"/>
      <c r="E50" s="4527"/>
      <c r="F50" s="4528"/>
      <c r="G50" s="3065" t="e">
        <f t="shared" si="0"/>
        <v>#VALUE!</v>
      </c>
      <c r="H50" s="3066" t="e">
        <f t="shared" si="3"/>
        <v>#VALUE!</v>
      </c>
      <c r="I50" s="3060"/>
      <c r="J50" s="3067" t="e">
        <f t="shared" si="1"/>
        <v>#VALUE!</v>
      </c>
      <c r="K50" s="3067" t="e">
        <f t="shared" si="2"/>
        <v>#VALUE!</v>
      </c>
      <c r="L50" s="4524"/>
      <c r="M50" s="4524"/>
    </row>
    <row r="51" spans="1:13" ht="12.75" customHeight="1" thickBot="1">
      <c r="B51" s="3069"/>
      <c r="C51" s="3070"/>
      <c r="D51" s="3071"/>
      <c r="E51" s="4541"/>
      <c r="F51" s="4542"/>
      <c r="G51" s="3072" t="e">
        <f t="shared" si="0"/>
        <v>#VALUE!</v>
      </c>
      <c r="H51" s="3073" t="e">
        <f t="shared" si="3"/>
        <v>#VALUE!</v>
      </c>
      <c r="I51" s="3060"/>
      <c r="J51" s="3074" t="e">
        <f t="shared" si="1"/>
        <v>#VALUE!</v>
      </c>
      <c r="K51" s="3074" t="e">
        <f t="shared" si="2"/>
        <v>#VALUE!</v>
      </c>
      <c r="L51" s="4524"/>
      <c r="M51" s="4524"/>
    </row>
    <row r="52" spans="1:13" ht="15" customHeight="1" thickBot="1">
      <c r="A52" s="3050"/>
      <c r="B52" s="3075"/>
      <c r="D52" s="3041"/>
      <c r="E52" s="3041"/>
      <c r="F52" s="3041"/>
      <c r="G52" s="3076" t="s">
        <v>4192</v>
      </c>
      <c r="H52" s="3077" t="e">
        <f>SUM(H33:H51)</f>
        <v>#VALUE!</v>
      </c>
      <c r="I52" s="3041"/>
      <c r="J52" s="3075" t="s">
        <v>4193</v>
      </c>
      <c r="K52" s="3078" t="e">
        <f>SUM(K33:K51)</f>
        <v>#VALUE!</v>
      </c>
      <c r="L52" s="4524"/>
      <c r="M52" s="4524"/>
    </row>
    <row r="53" spans="1:13" ht="15" customHeight="1">
      <c r="A53" s="3050"/>
      <c r="B53" s="3079"/>
      <c r="C53" s="4543" t="s">
        <v>4194</v>
      </c>
      <c r="D53" s="4543"/>
      <c r="E53" s="4543"/>
      <c r="F53" s="4543"/>
      <c r="G53" s="4543"/>
      <c r="H53" s="4543"/>
      <c r="I53" s="4543"/>
      <c r="J53" s="4544"/>
      <c r="K53" s="3080" t="str">
        <f>IF(J17="no",0,IF(J17="yes",J16,"Error"))</f>
        <v>Error</v>
      </c>
      <c r="L53" s="4524"/>
      <c r="M53" s="4524"/>
    </row>
    <row r="54" spans="1:13" ht="15" customHeight="1" thickBot="1">
      <c r="A54" s="3050"/>
      <c r="B54" s="3079"/>
      <c r="C54" s="4545" t="s">
        <v>4195</v>
      </c>
      <c r="D54" s="4545"/>
      <c r="E54" s="4545"/>
      <c r="F54" s="4545"/>
      <c r="G54" s="4545"/>
      <c r="H54" s="4545"/>
      <c r="I54" s="4545"/>
      <c r="J54" s="4546"/>
      <c r="K54" s="3081" t="e">
        <f>K52+K53</f>
        <v>#VALUE!</v>
      </c>
    </row>
    <row r="55" spans="1:13" ht="7.9" customHeight="1">
      <c r="A55" s="4547"/>
      <c r="B55" s="4548"/>
      <c r="C55" s="4548"/>
      <c r="D55" s="4548"/>
      <c r="E55" s="4548"/>
      <c r="F55" s="4548"/>
      <c r="G55" s="4548"/>
      <c r="H55" s="4548"/>
      <c r="I55" s="4548"/>
      <c r="J55" s="4548"/>
      <c r="K55" s="3082"/>
    </row>
    <row r="56" spans="1:13" ht="15" customHeight="1">
      <c r="A56" s="4538" t="s">
        <v>4196</v>
      </c>
      <c r="B56" s="4539"/>
      <c r="C56" s="4539"/>
      <c r="D56" s="4539"/>
      <c r="E56" s="4539"/>
      <c r="F56" s="4539"/>
      <c r="G56" s="4539"/>
      <c r="H56" s="4539"/>
      <c r="I56" s="4539"/>
      <c r="J56" s="4539"/>
      <c r="K56" s="4540"/>
    </row>
    <row r="57" spans="1:13" ht="48" customHeight="1">
      <c r="A57" s="3083"/>
      <c r="B57" s="3084"/>
      <c r="C57" s="3085" t="s">
        <v>4197</v>
      </c>
      <c r="D57" s="3086" t="s">
        <v>6272</v>
      </c>
      <c r="E57" s="4549" t="s">
        <v>4213</v>
      </c>
      <c r="F57" s="4550"/>
      <c r="G57" s="4551" t="s">
        <v>4198</v>
      </c>
      <c r="H57" s="4552"/>
      <c r="I57" s="4549" t="s">
        <v>4212</v>
      </c>
      <c r="J57" s="4550"/>
      <c r="K57" s="4553"/>
    </row>
    <row r="58" spans="1:13" ht="15" customHeight="1">
      <c r="A58" s="3087"/>
      <c r="B58" s="3088"/>
      <c r="C58" s="3089">
        <f>SUMIF(C33:C51, "0", H33:H51)</f>
        <v>0</v>
      </c>
      <c r="D58" s="3090">
        <f t="shared" ref="D58:D63" si="4">ROUNDUP(C58*1.1,0)</f>
        <v>0</v>
      </c>
      <c r="E58" s="4555" t="s">
        <v>4199</v>
      </c>
      <c r="F58" s="4556"/>
      <c r="G58" s="4557">
        <v>153314.4</v>
      </c>
      <c r="H58" s="4558"/>
      <c r="I58" s="4559">
        <f t="shared" ref="I58:I63" si="5">D58*G58</f>
        <v>0</v>
      </c>
      <c r="J58" s="4559"/>
      <c r="K58" s="4554"/>
    </row>
    <row r="59" spans="1:13">
      <c r="A59" s="3087"/>
      <c r="B59" s="3088"/>
      <c r="C59" s="3091">
        <f>SUMIF(C33:C51, "1", H33:H51)</f>
        <v>0</v>
      </c>
      <c r="D59" s="3092">
        <f t="shared" si="4"/>
        <v>0</v>
      </c>
      <c r="E59" s="4560" t="s">
        <v>2558</v>
      </c>
      <c r="F59" s="4561"/>
      <c r="G59" s="4562">
        <v>175752</v>
      </c>
      <c r="H59" s="4563"/>
      <c r="I59" s="4564">
        <f t="shared" si="5"/>
        <v>0</v>
      </c>
      <c r="J59" s="4564"/>
      <c r="K59" s="4554"/>
    </row>
    <row r="60" spans="1:13" ht="15" customHeight="1">
      <c r="A60" s="3087"/>
      <c r="B60" s="3088"/>
      <c r="C60" s="3091">
        <f>SUMIF(C33:C51, "2", H33:H51)</f>
        <v>0</v>
      </c>
      <c r="D60" s="3092">
        <f t="shared" si="4"/>
        <v>0</v>
      </c>
      <c r="E60" s="4560" t="s">
        <v>2559</v>
      </c>
      <c r="F60" s="4561"/>
      <c r="G60" s="4562">
        <v>213717.6</v>
      </c>
      <c r="H60" s="4563"/>
      <c r="I60" s="4564">
        <f t="shared" si="5"/>
        <v>0</v>
      </c>
      <c r="J60" s="4564"/>
      <c r="K60" s="4554"/>
    </row>
    <row r="61" spans="1:13">
      <c r="A61" s="3087"/>
      <c r="B61" s="3088"/>
      <c r="C61" s="3091">
        <f>SUMIF(C33:C51, "3", H33:H51)</f>
        <v>0</v>
      </c>
      <c r="D61" s="3092">
        <f t="shared" si="4"/>
        <v>0</v>
      </c>
      <c r="E61" s="4560" t="s">
        <v>2562</v>
      </c>
      <c r="F61" s="4561"/>
      <c r="G61" s="4562">
        <v>276482.40000000002</v>
      </c>
      <c r="H61" s="4563"/>
      <c r="I61" s="4564">
        <f t="shared" si="5"/>
        <v>0</v>
      </c>
      <c r="J61" s="4564"/>
      <c r="K61" s="4554"/>
    </row>
    <row r="62" spans="1:13">
      <c r="A62" s="3087"/>
      <c r="B62" s="3088"/>
      <c r="C62" s="3091">
        <f>SUMIF(C33:C51, "4", H33:H51)</f>
        <v>0</v>
      </c>
      <c r="D62" s="3092">
        <f t="shared" si="4"/>
        <v>0</v>
      </c>
      <c r="E62" s="4560" t="s">
        <v>4200</v>
      </c>
      <c r="F62" s="4561"/>
      <c r="G62" s="4562">
        <v>303489.59999999998</v>
      </c>
      <c r="H62" s="4563"/>
      <c r="I62" s="4564">
        <f t="shared" si="5"/>
        <v>0</v>
      </c>
      <c r="J62" s="4564"/>
      <c r="K62" s="4554"/>
    </row>
    <row r="63" spans="1:13">
      <c r="A63" s="3093"/>
      <c r="B63" s="3094"/>
      <c r="C63" s="3095">
        <f>SUMIF(C33:C51, "5", H33:H51)</f>
        <v>0</v>
      </c>
      <c r="D63" s="3096">
        <f t="shared" si="4"/>
        <v>0</v>
      </c>
      <c r="E63" s="4566" t="s">
        <v>4201</v>
      </c>
      <c r="F63" s="4567"/>
      <c r="G63" s="4568">
        <v>303489.59999999998</v>
      </c>
      <c r="H63" s="4569"/>
      <c r="I63" s="4570">
        <f t="shared" si="5"/>
        <v>0</v>
      </c>
      <c r="J63" s="4570"/>
      <c r="K63" s="3097"/>
    </row>
    <row r="64" spans="1:13" ht="17.25" thickBot="1">
      <c r="A64" s="3098" t="s">
        <v>4202</v>
      </c>
      <c r="B64" s="3099">
        <f>SUM(C58:C63)</f>
        <v>0</v>
      </c>
      <c r="C64" s="3100"/>
      <c r="D64" s="3100">
        <f>SUM(D58:D63)</f>
        <v>0</v>
      </c>
      <c r="E64" s="3101"/>
      <c r="F64" s="3101"/>
      <c r="G64" s="3101"/>
      <c r="H64" s="3101"/>
      <c r="I64" s="3101"/>
      <c r="J64" s="3102" t="s">
        <v>4203</v>
      </c>
      <c r="K64" s="3103">
        <f>SUM(I58:I62)</f>
        <v>0</v>
      </c>
    </row>
    <row r="65" spans="1:11">
      <c r="A65" s="4548"/>
      <c r="B65" s="4548"/>
      <c r="C65" s="4548"/>
      <c r="D65" s="4548"/>
      <c r="E65" s="4548"/>
      <c r="F65" s="4548"/>
      <c r="G65" s="4548"/>
      <c r="H65" s="4548"/>
      <c r="I65" s="4548"/>
      <c r="J65" s="4548"/>
    </row>
    <row r="66" spans="1:11">
      <c r="A66" s="4538" t="s">
        <v>4204</v>
      </c>
      <c r="B66" s="4539"/>
      <c r="C66" s="4539"/>
      <c r="D66" s="4539"/>
      <c r="E66" s="4539"/>
      <c r="F66" s="4539"/>
      <c r="G66" s="4539"/>
      <c r="H66" s="4539"/>
      <c r="I66" s="4539"/>
      <c r="J66" s="4539"/>
      <c r="K66" s="4540"/>
    </row>
    <row r="67" spans="1:11" ht="15" customHeight="1">
      <c r="A67" s="3104"/>
      <c r="B67" s="3105"/>
      <c r="C67" s="3106"/>
      <c r="D67" s="3106"/>
      <c r="E67" s="3106" t="s">
        <v>4205</v>
      </c>
      <c r="F67" s="3106"/>
      <c r="G67" s="3106"/>
      <c r="H67" s="3106"/>
      <c r="I67" s="3106"/>
      <c r="J67" s="3107"/>
      <c r="K67" s="3108">
        <f>J11</f>
        <v>0</v>
      </c>
    </row>
    <row r="68" spans="1:11">
      <c r="A68" s="3109"/>
      <c r="B68" s="3050"/>
      <c r="C68" s="3110"/>
      <c r="D68" s="3110"/>
      <c r="E68" s="3110" t="s">
        <v>4206</v>
      </c>
      <c r="F68" s="3110"/>
      <c r="G68" s="3110"/>
      <c r="H68" s="3110"/>
      <c r="I68" s="3110"/>
      <c r="J68" s="3111"/>
      <c r="K68" s="3108" t="e">
        <f>K54</f>
        <v>#VALUE!</v>
      </c>
    </row>
    <row r="69" spans="1:11" ht="17.25" thickBot="1">
      <c r="A69" s="3112"/>
      <c r="B69" s="3113"/>
      <c r="C69" s="3114"/>
      <c r="D69" s="3114"/>
      <c r="E69" s="3114" t="s">
        <v>4207</v>
      </c>
      <c r="F69" s="3114"/>
      <c r="G69" s="3114"/>
      <c r="H69" s="3114"/>
      <c r="I69" s="3114"/>
      <c r="J69" s="3115"/>
      <c r="K69" s="3116">
        <f>K64</f>
        <v>0</v>
      </c>
    </row>
    <row r="70" spans="1:11" ht="17.25" thickBot="1">
      <c r="A70" s="3117"/>
      <c r="B70" s="3118"/>
      <c r="C70" s="4565" t="s">
        <v>4208</v>
      </c>
      <c r="D70" s="4565"/>
      <c r="E70" s="4565"/>
      <c r="F70" s="4565"/>
      <c r="G70" s="4565"/>
      <c r="H70" s="4565"/>
      <c r="I70" s="4565"/>
      <c r="J70" s="4565"/>
      <c r="K70" s="3119" t="e">
        <f>IF(ISBLANK(J11),MIN(K68:K69),MIN(K67:K69))</f>
        <v>#VALUE!</v>
      </c>
    </row>
    <row r="71" spans="1:11">
      <c r="E71" s="3024"/>
    </row>
    <row r="72" spans="1:11">
      <c r="E72" s="3024"/>
    </row>
    <row r="73" spans="1:11">
      <c r="E73" s="3024"/>
    </row>
    <row r="74" spans="1:11">
      <c r="E74" s="3024"/>
    </row>
    <row r="75" spans="1:11">
      <c r="E75" s="3024"/>
    </row>
    <row r="76" spans="1:11">
      <c r="E76" s="3024"/>
    </row>
    <row r="77" spans="1:11">
      <c r="E77" s="3024"/>
    </row>
    <row r="78" spans="1:11">
      <c r="E78" s="3024"/>
    </row>
    <row r="79" spans="1:11">
      <c r="E79" s="3024"/>
    </row>
  </sheetData>
  <sheetProtection algorithmName="SHA-512" hashValue="5GPxOmZgP5w3anok5EMazi5M6k5M2TZWyq+bTr02M/vbfuLEoqnMxD4b+rwD/6ItqRbOkjF5/2w/l/P3YyoR8A==" saltValue="WAHDb+7sbT7lAktKOJSTaw==" spinCount="100000" sheet="1" objects="1" scenarios="1" selectLockedCells="1" selectUnlockedCells="1"/>
  <mergeCells count="74">
    <mergeCell ref="J22:K22"/>
    <mergeCell ref="J20:K20"/>
    <mergeCell ref="J19:K19"/>
    <mergeCell ref="J17:K17"/>
    <mergeCell ref="J16:K16"/>
    <mergeCell ref="A21:J21"/>
    <mergeCell ref="A18:J18"/>
    <mergeCell ref="A65:J65"/>
    <mergeCell ref="A66:K66"/>
    <mergeCell ref="C70:J70"/>
    <mergeCell ref="E62:F62"/>
    <mergeCell ref="G62:H62"/>
    <mergeCell ref="I62:J62"/>
    <mergeCell ref="E63:F63"/>
    <mergeCell ref="G63:H63"/>
    <mergeCell ref="I63:J63"/>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56:K56"/>
    <mergeCell ref="E44:F44"/>
    <mergeCell ref="E45:F45"/>
    <mergeCell ref="E46:F46"/>
    <mergeCell ref="E47:F47"/>
    <mergeCell ref="E48:F48"/>
    <mergeCell ref="E49:F49"/>
    <mergeCell ref="E50:F50"/>
    <mergeCell ref="E51:F51"/>
    <mergeCell ref="C53:J53"/>
    <mergeCell ref="C54:J54"/>
    <mergeCell ref="A55:J55"/>
    <mergeCell ref="A30:K30"/>
    <mergeCell ref="B31:F31"/>
    <mergeCell ref="G31:K31"/>
    <mergeCell ref="E32:F32"/>
    <mergeCell ref="E38:F38"/>
    <mergeCell ref="L32:M53"/>
    <mergeCell ref="E33:F33"/>
    <mergeCell ref="E34:F34"/>
    <mergeCell ref="E35:F35"/>
    <mergeCell ref="E36:F36"/>
    <mergeCell ref="E37:F37"/>
    <mergeCell ref="E43:F43"/>
    <mergeCell ref="E39:F39"/>
    <mergeCell ref="E40:F40"/>
    <mergeCell ref="E41:F41"/>
    <mergeCell ref="E42:F42"/>
    <mergeCell ref="D3:I3"/>
    <mergeCell ref="J3:K3"/>
    <mergeCell ref="D4:I4"/>
    <mergeCell ref="J4:K5"/>
    <mergeCell ref="D5:I5"/>
    <mergeCell ref="J15:K15"/>
    <mergeCell ref="J14:K14"/>
    <mergeCell ref="J11:K11"/>
    <mergeCell ref="J8:K8"/>
    <mergeCell ref="A7:K7"/>
    <mergeCell ref="A9:J9"/>
    <mergeCell ref="A10:K10"/>
    <mergeCell ref="A12:J12"/>
    <mergeCell ref="A13:K13"/>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A31" workbookViewId="0">
      <selection activeCell="L24" sqref="L24"/>
    </sheetView>
  </sheetViews>
  <sheetFormatPr defaultColWidth="9.140625" defaultRowHeight="16.5"/>
  <cols>
    <col min="1" max="1" width="5.42578125" style="1410" customWidth="1"/>
    <col min="2" max="2" width="6.28515625" style="1410" customWidth="1"/>
    <col min="3" max="3" width="9.85546875" style="1410" customWidth="1"/>
    <col min="4" max="4" width="10.42578125" style="1410" customWidth="1"/>
    <col min="5" max="5" width="7.7109375" style="1414" customWidth="1"/>
    <col min="6" max="6" width="8" style="1410" customWidth="1"/>
    <col min="7" max="7" width="8.7109375" style="1410" customWidth="1"/>
    <col min="8" max="8" width="10.28515625" style="1410" customWidth="1"/>
    <col min="9" max="9" width="10.7109375" style="1410" customWidth="1"/>
    <col min="10" max="10" width="11.7109375" style="1410" customWidth="1"/>
    <col min="11" max="11" width="11.85546875" style="1410" customWidth="1"/>
    <col min="12" max="16384" width="9.140625" style="1410"/>
  </cols>
  <sheetData>
    <row r="1" spans="1:11" ht="18.75">
      <c r="A1" s="1460" t="s">
        <v>4167</v>
      </c>
      <c r="B1" s="1460"/>
      <c r="C1" s="1460"/>
      <c r="D1" s="1460"/>
      <c r="E1" s="1460"/>
      <c r="F1" s="1460"/>
      <c r="G1" s="1460"/>
      <c r="H1" s="1460"/>
    </row>
    <row r="2" spans="1:11" ht="19.5" thickBot="1">
      <c r="A2" s="1460" t="s">
        <v>4168</v>
      </c>
      <c r="B2" s="1460"/>
      <c r="C2" s="1460"/>
      <c r="D2" s="1460"/>
      <c r="E2" s="1460"/>
      <c r="F2" s="1460"/>
      <c r="G2" s="1460"/>
      <c r="H2" s="1460"/>
    </row>
    <row r="3" spans="1:11" ht="15" customHeight="1" thickBot="1">
      <c r="A3" s="1411" t="s">
        <v>4169</v>
      </c>
      <c r="B3" s="1412"/>
      <c r="C3" s="1413"/>
      <c r="D3" s="4582" t="str">
        <f>'Part I-Project Information'!F35</f>
        <v>West Point Village Phase II</v>
      </c>
      <c r="E3" s="4583"/>
      <c r="F3" s="4583"/>
      <c r="G3" s="4583"/>
      <c r="H3" s="4583"/>
      <c r="I3" s="4583"/>
      <c r="J3" s="4588" t="s">
        <v>4172</v>
      </c>
      <c r="K3" s="4589"/>
    </row>
    <row r="4" spans="1:11" ht="15" customHeight="1">
      <c r="A4" s="1415" t="s">
        <v>4170</v>
      </c>
      <c r="B4" s="1416"/>
      <c r="C4" s="1417"/>
      <c r="D4" s="4584" t="str">
        <f>CONCATENATE('Part I-Project Information'!F36,", ",'Part I-Project Information'!F39,", GA ",'Part I-Project Information'!J39," (",'Part I-Project Information'!J40," Co.)",)</f>
        <v>1650 10th Street, West Point, GA 318330000 (Troup Co.)</v>
      </c>
      <c r="E4" s="4585"/>
      <c r="F4" s="4585"/>
      <c r="G4" s="4585"/>
      <c r="H4" s="4585"/>
      <c r="I4" s="4585"/>
      <c r="J4" s="4590" t="s">
        <v>4211</v>
      </c>
      <c r="K4" s="4591"/>
    </row>
    <row r="5" spans="1:11" ht="15" customHeight="1" thickBot="1">
      <c r="A5" s="1418" t="s">
        <v>4171</v>
      </c>
      <c r="B5" s="1419"/>
      <c r="C5" s="1420"/>
      <c r="D5" s="4586"/>
      <c r="E5" s="4587"/>
      <c r="F5" s="4587"/>
      <c r="G5" s="4587"/>
      <c r="H5" s="4587"/>
      <c r="I5" s="4587"/>
      <c r="J5" s="4592"/>
      <c r="K5" s="4593"/>
    </row>
    <row r="6" spans="1:11" ht="9" customHeight="1" thickBot="1">
      <c r="E6" s="1410"/>
    </row>
    <row r="7" spans="1:11">
      <c r="A7" s="4579" t="s">
        <v>4173</v>
      </c>
      <c r="B7" s="4580"/>
      <c r="C7" s="4580"/>
      <c r="D7" s="4580"/>
      <c r="E7" s="4580"/>
      <c r="F7" s="4580"/>
      <c r="G7" s="4580"/>
      <c r="H7" s="4580"/>
      <c r="I7" s="4580"/>
      <c r="J7" s="4580"/>
      <c r="K7" s="4581"/>
    </row>
    <row r="8" spans="1:11" ht="14.25" customHeight="1">
      <c r="A8" s="1436"/>
      <c r="B8" s="1436"/>
      <c r="C8" s="1450">
        <v>1</v>
      </c>
      <c r="D8" s="1437" t="s">
        <v>4174</v>
      </c>
      <c r="E8" s="1437"/>
      <c r="F8" s="1437"/>
      <c r="G8" s="1437"/>
      <c r="H8" s="1437"/>
      <c r="I8" s="1437"/>
      <c r="J8" s="4652"/>
      <c r="K8" s="4653"/>
    </row>
    <row r="9" spans="1:11" ht="7.15" customHeight="1">
      <c r="A9" s="4596"/>
      <c r="B9" s="4596"/>
      <c r="C9" s="4596"/>
      <c r="D9" s="4597"/>
      <c r="E9" s="4597"/>
      <c r="F9" s="4597"/>
      <c r="G9" s="4597"/>
      <c r="H9" s="4597"/>
      <c r="I9" s="4597"/>
      <c r="J9" s="4597"/>
      <c r="K9" s="1438"/>
    </row>
    <row r="10" spans="1:11">
      <c r="A10" s="4601" t="s">
        <v>4175</v>
      </c>
      <c r="B10" s="4602"/>
      <c r="C10" s="4602"/>
      <c r="D10" s="4602"/>
      <c r="E10" s="4602"/>
      <c r="F10" s="4602"/>
      <c r="G10" s="4602"/>
      <c r="H10" s="4602"/>
      <c r="I10" s="4602"/>
      <c r="J10" s="4602"/>
      <c r="K10" s="4603"/>
    </row>
    <row r="11" spans="1:11" ht="14.25" customHeight="1">
      <c r="A11" s="1436"/>
      <c r="B11" s="1436"/>
      <c r="C11" s="1450">
        <v>2</v>
      </c>
      <c r="D11" s="1437" t="s">
        <v>4176</v>
      </c>
      <c r="E11" s="1439"/>
      <c r="F11" s="1439"/>
      <c r="G11" s="1439"/>
      <c r="H11" s="1439"/>
      <c r="I11" s="1439"/>
      <c r="J11" s="4650"/>
      <c r="K11" s="4651"/>
    </row>
    <row r="12" spans="1:11" ht="7.15" customHeight="1">
      <c r="A12" s="4596"/>
      <c r="B12" s="4596"/>
      <c r="C12" s="4596"/>
      <c r="D12" s="4597"/>
      <c r="E12" s="4597"/>
      <c r="F12" s="4597"/>
      <c r="G12" s="4597"/>
      <c r="H12" s="4597"/>
      <c r="I12" s="4597"/>
      <c r="J12" s="4597"/>
      <c r="K12" s="1440"/>
    </row>
    <row r="13" spans="1:11">
      <c r="A13" s="4601" t="s">
        <v>4177</v>
      </c>
      <c r="B13" s="4602"/>
      <c r="C13" s="4602"/>
      <c r="D13" s="4602"/>
      <c r="E13" s="4602"/>
      <c r="F13" s="4602"/>
      <c r="G13" s="4602"/>
      <c r="H13" s="4602"/>
      <c r="I13" s="4602"/>
      <c r="J13" s="4602"/>
      <c r="K13" s="4603"/>
    </row>
    <row r="14" spans="1:11" ht="14.25" customHeight="1">
      <c r="A14" s="1416"/>
      <c r="B14" s="1416"/>
      <c r="C14" s="1451">
        <v>3</v>
      </c>
      <c r="D14" s="1441" t="s">
        <v>4178</v>
      </c>
      <c r="E14" s="1441"/>
      <c r="F14" s="1441"/>
      <c r="G14" s="1441"/>
      <c r="H14" s="1441"/>
      <c r="I14" s="1441"/>
      <c r="J14" s="4648"/>
      <c r="K14" s="4649"/>
    </row>
    <row r="15" spans="1:11" ht="14.25" customHeight="1">
      <c r="A15" s="1416"/>
      <c r="B15" s="1416"/>
      <c r="C15" s="1452">
        <v>4</v>
      </c>
      <c r="D15" s="1416" t="s">
        <v>4179</v>
      </c>
      <c r="E15" s="1416"/>
      <c r="F15" s="1416"/>
      <c r="G15" s="1416"/>
      <c r="H15" s="1416"/>
      <c r="I15" s="1416"/>
      <c r="J15" s="4646"/>
      <c r="K15" s="4647"/>
    </row>
    <row r="16" spans="1:11" ht="14.25" customHeight="1">
      <c r="A16" s="1416"/>
      <c r="B16" s="1416"/>
      <c r="C16" s="1452">
        <v>5</v>
      </c>
      <c r="D16" s="1416" t="s">
        <v>4180</v>
      </c>
      <c r="E16" s="1416"/>
      <c r="F16" s="1416"/>
      <c r="G16" s="1416"/>
      <c r="H16" s="1416"/>
      <c r="I16" s="1416"/>
      <c r="J16" s="4646"/>
      <c r="K16" s="4647"/>
    </row>
    <row r="17" spans="1:13" ht="14.25" customHeight="1">
      <c r="A17" s="1436"/>
      <c r="B17" s="1436"/>
      <c r="C17" s="1453">
        <v>6</v>
      </c>
      <c r="D17" s="1419" t="s">
        <v>4181</v>
      </c>
      <c r="E17" s="1419"/>
      <c r="F17" s="1419"/>
      <c r="G17" s="1419"/>
      <c r="H17" s="1419"/>
      <c r="I17" s="1419"/>
      <c r="J17" s="4660"/>
      <c r="K17" s="4661"/>
    </row>
    <row r="18" spans="1:13" ht="7.15" customHeight="1">
      <c r="A18" s="4596"/>
      <c r="B18" s="4596"/>
      <c r="C18" s="4596"/>
      <c r="D18" s="4597"/>
      <c r="E18" s="4597"/>
      <c r="F18" s="4597"/>
      <c r="G18" s="4597"/>
      <c r="H18" s="4597"/>
      <c r="I18" s="4597"/>
      <c r="J18" s="4597"/>
      <c r="K18" s="1440"/>
    </row>
    <row r="19" spans="1:13" ht="14.25" customHeight="1">
      <c r="A19" s="1416"/>
      <c r="B19" s="1416"/>
      <c r="C19" s="1451">
        <v>7</v>
      </c>
      <c r="D19" s="1441" t="s">
        <v>4182</v>
      </c>
      <c r="E19" s="1441"/>
      <c r="F19" s="1441"/>
      <c r="G19" s="1441"/>
      <c r="H19" s="1441"/>
      <c r="I19" s="1441"/>
      <c r="J19" s="4658" t="str">
        <f>IF(J17="No",J14-J15,IF(J17="Yes",J14-J15-J16,"Error"))</f>
        <v>Error</v>
      </c>
      <c r="K19" s="4659"/>
    </row>
    <row r="20" spans="1:13" ht="14.25" customHeight="1">
      <c r="A20" s="1436"/>
      <c r="B20" s="1436"/>
      <c r="C20" s="1453">
        <v>8</v>
      </c>
      <c r="D20" s="1419" t="s">
        <v>4183</v>
      </c>
      <c r="E20" s="1419"/>
      <c r="F20" s="1419"/>
      <c r="G20" s="1419"/>
      <c r="H20" s="1419"/>
      <c r="I20" s="1419"/>
      <c r="J20" s="4656" t="e">
        <f>ROUNDDOWN(J19/J8,2)</f>
        <v>#VALUE!</v>
      </c>
      <c r="K20" s="4657"/>
    </row>
    <row r="21" spans="1:13" ht="7.15" customHeight="1">
      <c r="A21" s="4596"/>
      <c r="B21" s="4596"/>
      <c r="C21" s="4596"/>
      <c r="D21" s="4597"/>
      <c r="E21" s="4597"/>
      <c r="F21" s="4597"/>
      <c r="G21" s="4597"/>
      <c r="H21" s="4597"/>
      <c r="I21" s="4597"/>
      <c r="J21" s="4597"/>
      <c r="K21" s="1440"/>
    </row>
    <row r="22" spans="1:13" ht="14.25" customHeight="1" thickBot="1">
      <c r="A22" s="1416"/>
      <c r="B22" s="1416"/>
      <c r="C22" s="1450">
        <v>9</v>
      </c>
      <c r="D22" s="1442" t="s">
        <v>4184</v>
      </c>
      <c r="E22" s="1442"/>
      <c r="F22" s="1442"/>
      <c r="G22" s="1442"/>
      <c r="H22" s="1442"/>
      <c r="I22" s="1442"/>
      <c r="J22" s="4654" t="e">
        <f>J11/J19</f>
        <v>#VALUE!</v>
      </c>
      <c r="K22" s="4655"/>
    </row>
    <row r="23" spans="1:13" ht="9" customHeight="1">
      <c r="A23" s="1425"/>
      <c r="C23" s="1426"/>
      <c r="D23" s="1426"/>
      <c r="E23" s="1426"/>
      <c r="F23" s="1426"/>
      <c r="G23" s="1426"/>
      <c r="H23" s="1426"/>
      <c r="I23" s="1426"/>
      <c r="J23" s="1426"/>
      <c r="K23" s="1427"/>
    </row>
    <row r="24" spans="1:13" ht="18.75">
      <c r="A24" s="1428" t="s">
        <v>4185</v>
      </c>
      <c r="C24" s="1426"/>
      <c r="D24" s="1426"/>
      <c r="E24" s="1426"/>
      <c r="F24" s="1426"/>
      <c r="G24" s="1426"/>
      <c r="H24" s="1426"/>
      <c r="I24" s="1426"/>
      <c r="J24" s="1426"/>
      <c r="K24" s="1427"/>
    </row>
    <row r="25" spans="1:13" ht="14.25" customHeight="1">
      <c r="A25" s="1486" t="s">
        <v>4216</v>
      </c>
      <c r="C25" s="1426"/>
      <c r="D25" s="1426"/>
      <c r="E25" s="1426"/>
      <c r="F25" s="1426"/>
      <c r="G25" s="1426"/>
      <c r="H25" s="1426"/>
      <c r="I25" s="1426"/>
      <c r="J25" s="1426"/>
      <c r="K25" s="1427"/>
    </row>
    <row r="26" spans="1:13" ht="14.25" customHeight="1">
      <c r="A26" s="1486" t="s">
        <v>4217</v>
      </c>
      <c r="C26" s="1426"/>
      <c r="D26" s="1426"/>
      <c r="E26" s="1426"/>
      <c r="F26" s="1426"/>
      <c r="G26" s="1426"/>
      <c r="H26" s="1426"/>
      <c r="I26" s="1426"/>
      <c r="J26" s="1426"/>
      <c r="K26" s="1427"/>
    </row>
    <row r="27" spans="1:13" ht="14.25" customHeight="1">
      <c r="A27" s="1486" t="s">
        <v>4218</v>
      </c>
      <c r="C27" s="1426"/>
      <c r="D27" s="1426"/>
      <c r="E27" s="1426"/>
      <c r="F27" s="1426"/>
      <c r="G27" s="1426"/>
      <c r="H27" s="1426"/>
      <c r="I27" s="1426"/>
      <c r="J27" s="1426"/>
      <c r="K27" s="1427"/>
    </row>
    <row r="28" spans="1:13" ht="14.25" customHeight="1">
      <c r="A28" s="1486" t="s">
        <v>4219</v>
      </c>
      <c r="C28" s="1426"/>
      <c r="D28" s="1426"/>
      <c r="E28" s="1426"/>
      <c r="F28" s="1426"/>
      <c r="G28" s="1426"/>
      <c r="H28" s="1426"/>
      <c r="I28" s="1426"/>
      <c r="J28" s="1426"/>
      <c r="K28" s="1427"/>
    </row>
    <row r="29" spans="1:13" ht="9" customHeight="1">
      <c r="A29" s="1426"/>
      <c r="C29" s="1426"/>
      <c r="D29" s="1426"/>
      <c r="E29" s="1426"/>
      <c r="F29" s="1426"/>
      <c r="G29" s="1426"/>
      <c r="H29" s="1426"/>
      <c r="I29" s="1426"/>
      <c r="J29" s="1426"/>
      <c r="K29" s="1427"/>
    </row>
    <row r="30" spans="1:13">
      <c r="A30" s="4635" t="s">
        <v>4215</v>
      </c>
      <c r="B30" s="4636"/>
      <c r="C30" s="4636"/>
      <c r="D30" s="4636"/>
      <c r="E30" s="4636"/>
      <c r="F30" s="4636"/>
      <c r="G30" s="4636"/>
      <c r="H30" s="4636"/>
      <c r="I30" s="4636"/>
      <c r="J30" s="4636"/>
      <c r="K30" s="4637"/>
    </row>
    <row r="31" spans="1:13">
      <c r="A31" s="1434"/>
      <c r="B31" s="4638" t="s">
        <v>4172</v>
      </c>
      <c r="C31" s="4638"/>
      <c r="D31" s="4638"/>
      <c r="E31" s="4638"/>
      <c r="F31" s="4638"/>
      <c r="G31" s="4598" t="s">
        <v>4186</v>
      </c>
      <c r="H31" s="4599"/>
      <c r="I31" s="4599"/>
      <c r="J31" s="4599"/>
      <c r="K31" s="4600"/>
    </row>
    <row r="32" spans="1:13" ht="56.25" customHeight="1">
      <c r="A32" s="1435"/>
      <c r="B32" s="1454" t="s">
        <v>4214</v>
      </c>
      <c r="C32" s="1455" t="s">
        <v>4210</v>
      </c>
      <c r="D32" s="1455" t="s">
        <v>4209</v>
      </c>
      <c r="E32" s="4604" t="s">
        <v>6312</v>
      </c>
      <c r="F32" s="4605"/>
      <c r="G32" s="1456" t="s">
        <v>4187</v>
      </c>
      <c r="H32" s="1456" t="s">
        <v>4188</v>
      </c>
      <c r="J32" s="1456" t="s">
        <v>4189</v>
      </c>
      <c r="K32" s="1456" t="s">
        <v>4190</v>
      </c>
      <c r="L32" s="4633" t="s">
        <v>4191</v>
      </c>
      <c r="M32" s="4633"/>
    </row>
    <row r="33" spans="2:14" ht="12.75" customHeight="1">
      <c r="B33" s="1569"/>
      <c r="C33" s="1570"/>
      <c r="D33" s="1571"/>
      <c r="E33" s="4606"/>
      <c r="F33" s="4607"/>
      <c r="G33" s="1476" t="e">
        <f t="shared" ref="G33:G51" si="0">$J$22*B33</f>
        <v>#VALUE!</v>
      </c>
      <c r="H33" s="1477" t="e">
        <f>ROUNDUP(G33,0)</f>
        <v>#VALUE!</v>
      </c>
      <c r="I33" s="1478"/>
      <c r="J33" s="1479" t="e">
        <f t="shared" ref="J33:J51" si="1">$J$20*E33</f>
        <v>#VALUE!</v>
      </c>
      <c r="K33" s="1479" t="e">
        <f t="shared" ref="K33:K51" si="2">ROUNDDOWN(J33*H33,0)</f>
        <v>#VALUE!</v>
      </c>
      <c r="L33" s="4633"/>
      <c r="M33" s="4633"/>
    </row>
    <row r="34" spans="2:14" ht="12.75" customHeight="1">
      <c r="B34" s="1572"/>
      <c r="C34" s="1573"/>
      <c r="D34" s="1574"/>
      <c r="E34" s="4608"/>
      <c r="F34" s="4609"/>
      <c r="G34" s="1480" t="e">
        <f t="shared" si="0"/>
        <v>#VALUE!</v>
      </c>
      <c r="H34" s="1481" t="e">
        <f t="shared" ref="H34:H51" si="3">ROUNDUP(G34,0)</f>
        <v>#VALUE!</v>
      </c>
      <c r="I34" s="1478"/>
      <c r="J34" s="1482" t="e">
        <f t="shared" si="1"/>
        <v>#VALUE!</v>
      </c>
      <c r="K34" s="1482" t="e">
        <f t="shared" si="2"/>
        <v>#VALUE!</v>
      </c>
      <c r="L34" s="4633"/>
      <c r="M34" s="4633"/>
    </row>
    <row r="35" spans="2:14" ht="12.75" customHeight="1">
      <c r="B35" s="1572"/>
      <c r="C35" s="1573"/>
      <c r="D35" s="1574"/>
      <c r="E35" s="4608"/>
      <c r="F35" s="4609"/>
      <c r="G35" s="1480" t="e">
        <f t="shared" si="0"/>
        <v>#VALUE!</v>
      </c>
      <c r="H35" s="1481" t="e">
        <f t="shared" si="3"/>
        <v>#VALUE!</v>
      </c>
      <c r="I35" s="1478"/>
      <c r="J35" s="1482" t="e">
        <f t="shared" si="1"/>
        <v>#VALUE!</v>
      </c>
      <c r="K35" s="1482" t="e">
        <f t="shared" si="2"/>
        <v>#VALUE!</v>
      </c>
      <c r="L35" s="4633"/>
      <c r="M35" s="4633"/>
    </row>
    <row r="36" spans="2:14" ht="12.75" customHeight="1">
      <c r="B36" s="1572"/>
      <c r="C36" s="1573"/>
      <c r="D36" s="1574"/>
      <c r="E36" s="4608"/>
      <c r="F36" s="4609"/>
      <c r="G36" s="1480" t="e">
        <f t="shared" si="0"/>
        <v>#VALUE!</v>
      </c>
      <c r="H36" s="1481" t="e">
        <f t="shared" si="3"/>
        <v>#VALUE!</v>
      </c>
      <c r="I36" s="1478"/>
      <c r="J36" s="1482" t="e">
        <f t="shared" si="1"/>
        <v>#VALUE!</v>
      </c>
      <c r="K36" s="1482" t="e">
        <f t="shared" si="2"/>
        <v>#VALUE!</v>
      </c>
      <c r="L36" s="4633"/>
      <c r="M36" s="4633"/>
      <c r="N36" s="1429"/>
    </row>
    <row r="37" spans="2:14" ht="12.75" customHeight="1">
      <c r="B37" s="1572"/>
      <c r="C37" s="1573"/>
      <c r="D37" s="1574"/>
      <c r="E37" s="4608"/>
      <c r="F37" s="4609"/>
      <c r="G37" s="1480" t="e">
        <f t="shared" si="0"/>
        <v>#VALUE!</v>
      </c>
      <c r="H37" s="1481" t="e">
        <f t="shared" si="3"/>
        <v>#VALUE!</v>
      </c>
      <c r="I37" s="1478"/>
      <c r="J37" s="1482" t="e">
        <f t="shared" si="1"/>
        <v>#VALUE!</v>
      </c>
      <c r="K37" s="1482" t="e">
        <f t="shared" si="2"/>
        <v>#VALUE!</v>
      </c>
      <c r="L37" s="4633"/>
      <c r="M37" s="4633"/>
    </row>
    <row r="38" spans="2:14" ht="12.75" customHeight="1">
      <c r="B38" s="1572"/>
      <c r="C38" s="1573"/>
      <c r="D38" s="1574"/>
      <c r="E38" s="4608"/>
      <c r="F38" s="4609"/>
      <c r="G38" s="1480" t="e">
        <f t="shared" si="0"/>
        <v>#VALUE!</v>
      </c>
      <c r="H38" s="1481" t="e">
        <f t="shared" si="3"/>
        <v>#VALUE!</v>
      </c>
      <c r="I38" s="1478"/>
      <c r="J38" s="1482" t="e">
        <f t="shared" si="1"/>
        <v>#VALUE!</v>
      </c>
      <c r="K38" s="1482" t="e">
        <f t="shared" si="2"/>
        <v>#VALUE!</v>
      </c>
      <c r="L38" s="4633"/>
      <c r="M38" s="4633"/>
    </row>
    <row r="39" spans="2:14" ht="12.75" customHeight="1">
      <c r="B39" s="1572"/>
      <c r="C39" s="1573"/>
      <c r="D39" s="1574"/>
      <c r="E39" s="4608"/>
      <c r="F39" s="4609"/>
      <c r="G39" s="1480" t="e">
        <f t="shared" si="0"/>
        <v>#VALUE!</v>
      </c>
      <c r="H39" s="1481" t="e">
        <f t="shared" si="3"/>
        <v>#VALUE!</v>
      </c>
      <c r="I39" s="1478"/>
      <c r="J39" s="1482" t="e">
        <f t="shared" si="1"/>
        <v>#VALUE!</v>
      </c>
      <c r="K39" s="1482" t="e">
        <f t="shared" si="2"/>
        <v>#VALUE!</v>
      </c>
      <c r="L39" s="4633"/>
      <c r="M39" s="4633"/>
    </row>
    <row r="40" spans="2:14" ht="12.75" customHeight="1">
      <c r="B40" s="1572"/>
      <c r="C40" s="1573"/>
      <c r="D40" s="1574"/>
      <c r="E40" s="4608"/>
      <c r="F40" s="4609"/>
      <c r="G40" s="1480" t="e">
        <f t="shared" si="0"/>
        <v>#VALUE!</v>
      </c>
      <c r="H40" s="1481" t="e">
        <f t="shared" si="3"/>
        <v>#VALUE!</v>
      </c>
      <c r="I40" s="1478"/>
      <c r="J40" s="1482" t="e">
        <f t="shared" si="1"/>
        <v>#VALUE!</v>
      </c>
      <c r="K40" s="1482" t="e">
        <f t="shared" si="2"/>
        <v>#VALUE!</v>
      </c>
      <c r="L40" s="4633"/>
      <c r="M40" s="4633"/>
    </row>
    <row r="41" spans="2:14" ht="12.75" customHeight="1">
      <c r="B41" s="1572"/>
      <c r="C41" s="1573"/>
      <c r="D41" s="1574"/>
      <c r="E41" s="4608"/>
      <c r="F41" s="4609"/>
      <c r="G41" s="1480" t="e">
        <f t="shared" si="0"/>
        <v>#VALUE!</v>
      </c>
      <c r="H41" s="1481" t="e">
        <f t="shared" si="3"/>
        <v>#VALUE!</v>
      </c>
      <c r="I41" s="1478"/>
      <c r="J41" s="1482" t="e">
        <f t="shared" si="1"/>
        <v>#VALUE!</v>
      </c>
      <c r="K41" s="1482" t="e">
        <f t="shared" si="2"/>
        <v>#VALUE!</v>
      </c>
      <c r="L41" s="4633"/>
      <c r="M41" s="4633"/>
    </row>
    <row r="42" spans="2:14" ht="12.75" customHeight="1">
      <c r="B42" s="1572"/>
      <c r="C42" s="1573"/>
      <c r="D42" s="1574"/>
      <c r="E42" s="4608"/>
      <c r="F42" s="4609"/>
      <c r="G42" s="1480" t="e">
        <f t="shared" si="0"/>
        <v>#VALUE!</v>
      </c>
      <c r="H42" s="1481" t="e">
        <f>ROUNDUP(G42,0)</f>
        <v>#VALUE!</v>
      </c>
      <c r="I42" s="1478"/>
      <c r="J42" s="1482" t="e">
        <f t="shared" si="1"/>
        <v>#VALUE!</v>
      </c>
      <c r="K42" s="1482" t="e">
        <f t="shared" si="2"/>
        <v>#VALUE!</v>
      </c>
      <c r="L42" s="4633"/>
      <c r="M42" s="4633"/>
    </row>
    <row r="43" spans="2:14" ht="12.75" customHeight="1">
      <c r="B43" s="1572"/>
      <c r="C43" s="1573"/>
      <c r="D43" s="1574"/>
      <c r="E43" s="4608"/>
      <c r="F43" s="4609"/>
      <c r="G43" s="1480" t="e">
        <f t="shared" si="0"/>
        <v>#VALUE!</v>
      </c>
      <c r="H43" s="1481" t="e">
        <f>ROUNDUP(G43,0)</f>
        <v>#VALUE!</v>
      </c>
      <c r="I43" s="1478"/>
      <c r="J43" s="1482" t="e">
        <f t="shared" si="1"/>
        <v>#VALUE!</v>
      </c>
      <c r="K43" s="1482" t="e">
        <f t="shared" si="2"/>
        <v>#VALUE!</v>
      </c>
      <c r="L43" s="4633"/>
      <c r="M43" s="4633"/>
    </row>
    <row r="44" spans="2:14" ht="12.75" customHeight="1">
      <c r="B44" s="1572"/>
      <c r="C44" s="1573"/>
      <c r="D44" s="1574"/>
      <c r="E44" s="4608"/>
      <c r="F44" s="4609"/>
      <c r="G44" s="1480" t="e">
        <f t="shared" si="0"/>
        <v>#VALUE!</v>
      </c>
      <c r="H44" s="1481" t="e">
        <f>ROUNDUP(G44,0)</f>
        <v>#VALUE!</v>
      </c>
      <c r="I44" s="1478"/>
      <c r="J44" s="1482" t="e">
        <f t="shared" si="1"/>
        <v>#VALUE!</v>
      </c>
      <c r="K44" s="1482" t="e">
        <f t="shared" si="2"/>
        <v>#VALUE!</v>
      </c>
      <c r="L44" s="4633"/>
      <c r="M44" s="4633"/>
    </row>
    <row r="45" spans="2:14" ht="12.75" customHeight="1">
      <c r="B45" s="1572"/>
      <c r="C45" s="1573"/>
      <c r="D45" s="1574"/>
      <c r="E45" s="4608"/>
      <c r="F45" s="4609"/>
      <c r="G45" s="1480" t="e">
        <f t="shared" si="0"/>
        <v>#VALUE!</v>
      </c>
      <c r="H45" s="1481" t="e">
        <f>ROUNDUP(G45,0)</f>
        <v>#VALUE!</v>
      </c>
      <c r="I45" s="1478"/>
      <c r="J45" s="1482" t="e">
        <f t="shared" si="1"/>
        <v>#VALUE!</v>
      </c>
      <c r="K45" s="1482" t="e">
        <f t="shared" si="2"/>
        <v>#VALUE!</v>
      </c>
      <c r="L45" s="4633"/>
      <c r="M45" s="4633"/>
    </row>
    <row r="46" spans="2:14" ht="12.75" customHeight="1">
      <c r="B46" s="1572"/>
      <c r="C46" s="1573"/>
      <c r="D46" s="1574"/>
      <c r="E46" s="4608"/>
      <c r="F46" s="4609"/>
      <c r="G46" s="1480" t="e">
        <f t="shared" si="0"/>
        <v>#VALUE!</v>
      </c>
      <c r="H46" s="1481" t="e">
        <f t="shared" si="3"/>
        <v>#VALUE!</v>
      </c>
      <c r="I46" s="1478"/>
      <c r="J46" s="1482" t="e">
        <f t="shared" si="1"/>
        <v>#VALUE!</v>
      </c>
      <c r="K46" s="1482" t="e">
        <f t="shared" si="2"/>
        <v>#VALUE!</v>
      </c>
      <c r="L46" s="4633"/>
      <c r="M46" s="4633"/>
    </row>
    <row r="47" spans="2:14" ht="12.75" customHeight="1">
      <c r="B47" s="1572"/>
      <c r="C47" s="1573"/>
      <c r="D47" s="1574"/>
      <c r="E47" s="4608"/>
      <c r="F47" s="4609"/>
      <c r="G47" s="1480" t="e">
        <f t="shared" si="0"/>
        <v>#VALUE!</v>
      </c>
      <c r="H47" s="1481" t="e">
        <f t="shared" si="3"/>
        <v>#VALUE!</v>
      </c>
      <c r="I47" s="1478"/>
      <c r="J47" s="1482" t="e">
        <f t="shared" si="1"/>
        <v>#VALUE!</v>
      </c>
      <c r="K47" s="1482" t="e">
        <f t="shared" si="2"/>
        <v>#VALUE!</v>
      </c>
      <c r="L47" s="4633"/>
      <c r="M47" s="4633"/>
    </row>
    <row r="48" spans="2:14" ht="12.75" customHeight="1">
      <c r="B48" s="1572"/>
      <c r="C48" s="1573"/>
      <c r="D48" s="1574"/>
      <c r="E48" s="4608"/>
      <c r="F48" s="4609"/>
      <c r="G48" s="1480" t="e">
        <f t="shared" si="0"/>
        <v>#VALUE!</v>
      </c>
      <c r="H48" s="1481" t="e">
        <f>ROUNDUP(G48,0)</f>
        <v>#VALUE!</v>
      </c>
      <c r="I48" s="1478"/>
      <c r="J48" s="1482" t="e">
        <f t="shared" si="1"/>
        <v>#VALUE!</v>
      </c>
      <c r="K48" s="1482" t="e">
        <f t="shared" si="2"/>
        <v>#VALUE!</v>
      </c>
      <c r="L48" s="4633"/>
      <c r="M48" s="4633"/>
    </row>
    <row r="49" spans="1:13" ht="12.75" customHeight="1">
      <c r="B49" s="1572"/>
      <c r="C49" s="1573"/>
      <c r="D49" s="1574"/>
      <c r="E49" s="4608"/>
      <c r="F49" s="4609"/>
      <c r="G49" s="1480" t="e">
        <f t="shared" si="0"/>
        <v>#VALUE!</v>
      </c>
      <c r="H49" s="1481" t="e">
        <f t="shared" si="3"/>
        <v>#VALUE!</v>
      </c>
      <c r="I49" s="1478"/>
      <c r="J49" s="1482" t="e">
        <f t="shared" si="1"/>
        <v>#VALUE!</v>
      </c>
      <c r="K49" s="1482" t="e">
        <f t="shared" si="2"/>
        <v>#VALUE!</v>
      </c>
      <c r="L49" s="4633"/>
      <c r="M49" s="4633"/>
    </row>
    <row r="50" spans="1:13" ht="12.75" customHeight="1">
      <c r="B50" s="1572"/>
      <c r="C50" s="1573"/>
      <c r="D50" s="1574"/>
      <c r="E50" s="4608"/>
      <c r="F50" s="4609"/>
      <c r="G50" s="1480" t="e">
        <f t="shared" si="0"/>
        <v>#VALUE!</v>
      </c>
      <c r="H50" s="1481" t="e">
        <f t="shared" si="3"/>
        <v>#VALUE!</v>
      </c>
      <c r="I50" s="1478"/>
      <c r="J50" s="1482" t="e">
        <f t="shared" si="1"/>
        <v>#VALUE!</v>
      </c>
      <c r="K50" s="1482" t="e">
        <f t="shared" si="2"/>
        <v>#VALUE!</v>
      </c>
      <c r="L50" s="4633"/>
      <c r="M50" s="4633"/>
    </row>
    <row r="51" spans="1:13" ht="12.75" customHeight="1" thickBot="1">
      <c r="B51" s="1575"/>
      <c r="C51" s="1576"/>
      <c r="D51" s="1577"/>
      <c r="E51" s="4644"/>
      <c r="F51" s="4645"/>
      <c r="G51" s="1483" t="e">
        <f t="shared" si="0"/>
        <v>#VALUE!</v>
      </c>
      <c r="H51" s="1484" t="e">
        <f t="shared" si="3"/>
        <v>#VALUE!</v>
      </c>
      <c r="I51" s="1478"/>
      <c r="J51" s="1485" t="e">
        <f t="shared" si="1"/>
        <v>#VALUE!</v>
      </c>
      <c r="K51" s="1485" t="e">
        <f t="shared" si="2"/>
        <v>#VALUE!</v>
      </c>
      <c r="L51" s="4633"/>
      <c r="M51" s="4633"/>
    </row>
    <row r="52" spans="1:13" ht="15" customHeight="1" thickBot="1">
      <c r="A52" s="1434"/>
      <c r="B52" s="1447"/>
      <c r="D52" s="1441"/>
      <c r="E52" s="1441"/>
      <c r="F52" s="1441"/>
      <c r="G52" s="1459" t="s">
        <v>4192</v>
      </c>
      <c r="H52" s="1458" t="e">
        <f>SUM(H33:H51)</f>
        <v>#VALUE!</v>
      </c>
      <c r="I52" s="1441"/>
      <c r="J52" s="1447" t="s">
        <v>4193</v>
      </c>
      <c r="K52" s="1443" t="e">
        <f>SUM(K33:K51)</f>
        <v>#VALUE!</v>
      </c>
      <c r="L52" s="4633"/>
      <c r="M52" s="4633"/>
    </row>
    <row r="53" spans="1:13" ht="15" customHeight="1">
      <c r="A53" s="1434"/>
      <c r="B53" s="1448"/>
      <c r="C53" s="4610" t="s">
        <v>4194</v>
      </c>
      <c r="D53" s="4610"/>
      <c r="E53" s="4610"/>
      <c r="F53" s="4610"/>
      <c r="G53" s="4610"/>
      <c r="H53" s="4610"/>
      <c r="I53" s="4610"/>
      <c r="J53" s="4611"/>
      <c r="K53" s="1449" t="str">
        <f>IF(J17="no",0,IF(J17="yes",J16,"Error"))</f>
        <v>Error</v>
      </c>
      <c r="L53" s="4633"/>
      <c r="M53" s="4633"/>
    </row>
    <row r="54" spans="1:13" ht="15" customHeight="1" thickBot="1">
      <c r="A54" s="1434"/>
      <c r="B54" s="1448"/>
      <c r="C54" s="4612" t="s">
        <v>4195</v>
      </c>
      <c r="D54" s="4612"/>
      <c r="E54" s="4612"/>
      <c r="F54" s="4612"/>
      <c r="G54" s="4612"/>
      <c r="H54" s="4612"/>
      <c r="I54" s="4612"/>
      <c r="J54" s="4613"/>
      <c r="K54" s="1461" t="e">
        <f>K52+K53</f>
        <v>#VALUE!</v>
      </c>
    </row>
    <row r="55" spans="1:13" ht="7.9" customHeight="1">
      <c r="A55" s="4614"/>
      <c r="B55" s="4615"/>
      <c r="C55" s="4615"/>
      <c r="D55" s="4615"/>
      <c r="E55" s="4615"/>
      <c r="F55" s="4615"/>
      <c r="G55" s="4615"/>
      <c r="H55" s="4615"/>
      <c r="I55" s="4615"/>
      <c r="J55" s="4615"/>
      <c r="K55" s="1475"/>
    </row>
    <row r="56" spans="1:13" ht="15" customHeight="1">
      <c r="A56" s="4620" t="s">
        <v>4196</v>
      </c>
      <c r="B56" s="4621"/>
      <c r="C56" s="4621"/>
      <c r="D56" s="4621"/>
      <c r="E56" s="4621"/>
      <c r="F56" s="4621"/>
      <c r="G56" s="4621"/>
      <c r="H56" s="4621"/>
      <c r="I56" s="4621"/>
      <c r="J56" s="4621"/>
      <c r="K56" s="4622"/>
    </row>
    <row r="57" spans="1:13" ht="48" customHeight="1">
      <c r="A57" s="1431"/>
      <c r="B57" s="1422"/>
      <c r="C57" s="1433" t="s">
        <v>4197</v>
      </c>
      <c r="D57" s="1555" t="s">
        <v>6272</v>
      </c>
      <c r="E57" s="4616" t="s">
        <v>4213</v>
      </c>
      <c r="F57" s="4617"/>
      <c r="G57" s="4618" t="s">
        <v>4198</v>
      </c>
      <c r="H57" s="4619"/>
      <c r="I57" s="4616" t="s">
        <v>4212</v>
      </c>
      <c r="J57" s="4617"/>
      <c r="K57" s="4623"/>
    </row>
    <row r="58" spans="1:13" ht="15" customHeight="1">
      <c r="A58" s="1532"/>
      <c r="B58" s="1552"/>
      <c r="C58" s="1444">
        <f>SUMIF(C33:C51, "0", H33:H51)</f>
        <v>0</v>
      </c>
      <c r="D58" s="1556">
        <f t="shared" ref="D58:D63" si="4">ROUNDUP(C58*1.1,0)</f>
        <v>0</v>
      </c>
      <c r="E58" s="4625" t="s">
        <v>4199</v>
      </c>
      <c r="F58" s="4626"/>
      <c r="G58" s="4627">
        <v>153314.4</v>
      </c>
      <c r="H58" s="4628"/>
      <c r="I58" s="4629">
        <f t="shared" ref="I58:I63" si="5">D58*G58</f>
        <v>0</v>
      </c>
      <c r="J58" s="4629"/>
      <c r="K58" s="4624"/>
    </row>
    <row r="59" spans="1:13">
      <c r="A59" s="1532"/>
      <c r="B59" s="1552"/>
      <c r="C59" s="1445">
        <f>SUMIF(C33:C51, "1", H33:H51)</f>
        <v>0</v>
      </c>
      <c r="D59" s="1557">
        <f t="shared" si="4"/>
        <v>0</v>
      </c>
      <c r="E59" s="4630" t="s">
        <v>2558</v>
      </c>
      <c r="F59" s="4631"/>
      <c r="G59" s="4594">
        <v>175752</v>
      </c>
      <c r="H59" s="4595"/>
      <c r="I59" s="4632">
        <f t="shared" si="5"/>
        <v>0</v>
      </c>
      <c r="J59" s="4632"/>
      <c r="K59" s="4624"/>
    </row>
    <row r="60" spans="1:13" ht="15" customHeight="1">
      <c r="A60" s="1532"/>
      <c r="B60" s="1552"/>
      <c r="C60" s="1445">
        <f>SUMIF(C33:C51, "2", H33:H51)</f>
        <v>0</v>
      </c>
      <c r="D60" s="1557">
        <f t="shared" si="4"/>
        <v>0</v>
      </c>
      <c r="E60" s="4630" t="s">
        <v>2559</v>
      </c>
      <c r="F60" s="4631"/>
      <c r="G60" s="4594">
        <v>213717.6</v>
      </c>
      <c r="H60" s="4595"/>
      <c r="I60" s="4632">
        <f t="shared" si="5"/>
        <v>0</v>
      </c>
      <c r="J60" s="4632"/>
      <c r="K60" s="4624"/>
    </row>
    <row r="61" spans="1:13">
      <c r="A61" s="1532"/>
      <c r="B61" s="1552"/>
      <c r="C61" s="1445">
        <f>SUMIF(C33:C51, "3", H33:H51)</f>
        <v>0</v>
      </c>
      <c r="D61" s="1557">
        <f t="shared" si="4"/>
        <v>0</v>
      </c>
      <c r="E61" s="4630" t="s">
        <v>2562</v>
      </c>
      <c r="F61" s="4631"/>
      <c r="G61" s="4594">
        <v>276482.40000000002</v>
      </c>
      <c r="H61" s="4595"/>
      <c r="I61" s="4632">
        <f t="shared" si="5"/>
        <v>0</v>
      </c>
      <c r="J61" s="4632"/>
      <c r="K61" s="4624"/>
    </row>
    <row r="62" spans="1:13">
      <c r="A62" s="1532"/>
      <c r="B62" s="1552"/>
      <c r="C62" s="1445">
        <f>SUMIF(C33:C51, "4", H33:H51)</f>
        <v>0</v>
      </c>
      <c r="D62" s="1557">
        <f t="shared" si="4"/>
        <v>0</v>
      </c>
      <c r="E62" s="4630" t="s">
        <v>4200</v>
      </c>
      <c r="F62" s="4631"/>
      <c r="G62" s="4594">
        <v>303489.59999999998</v>
      </c>
      <c r="H62" s="4595"/>
      <c r="I62" s="4632">
        <f t="shared" si="5"/>
        <v>0</v>
      </c>
      <c r="J62" s="4632"/>
      <c r="K62" s="4624"/>
    </row>
    <row r="63" spans="1:13">
      <c r="A63" s="1553"/>
      <c r="B63" s="1554"/>
      <c r="C63" s="1446">
        <f>SUMIF(C33:C51, "5", H33:H51)</f>
        <v>0</v>
      </c>
      <c r="D63" s="1558">
        <f t="shared" si="4"/>
        <v>0</v>
      </c>
      <c r="E63" s="4639" t="s">
        <v>4201</v>
      </c>
      <c r="F63" s="4640"/>
      <c r="G63" s="4641">
        <v>303489.59999999998</v>
      </c>
      <c r="H63" s="4642"/>
      <c r="I63" s="4643">
        <f t="shared" si="5"/>
        <v>0</v>
      </c>
      <c r="J63" s="4643"/>
      <c r="K63" s="1473"/>
    </row>
    <row r="64" spans="1:13" ht="17.25" thickBot="1">
      <c r="A64" s="1551" t="s">
        <v>4202</v>
      </c>
      <c r="B64" s="1463">
        <f>SUM(C58:C63)</f>
        <v>0</v>
      </c>
      <c r="C64" s="1559"/>
      <c r="D64" s="1559">
        <f>SUM(D58:D63)</f>
        <v>0</v>
      </c>
      <c r="E64" s="1550"/>
      <c r="F64" s="1550"/>
      <c r="G64" s="1550"/>
      <c r="H64" s="1550"/>
      <c r="I64" s="1550"/>
      <c r="J64" s="1533" t="s">
        <v>4203</v>
      </c>
      <c r="K64" s="1462">
        <f>SUM(I58:I62)</f>
        <v>0</v>
      </c>
    </row>
    <row r="65" spans="1:11">
      <c r="A65" s="4615"/>
      <c r="B65" s="4615"/>
      <c r="C65" s="4615"/>
      <c r="D65" s="4615"/>
      <c r="E65" s="4615"/>
      <c r="F65" s="4615"/>
      <c r="G65" s="4615"/>
      <c r="H65" s="4615"/>
      <c r="I65" s="4615"/>
      <c r="J65" s="4615"/>
    </row>
    <row r="66" spans="1:11">
      <c r="A66" s="4620" t="s">
        <v>4204</v>
      </c>
      <c r="B66" s="4621"/>
      <c r="C66" s="4621"/>
      <c r="D66" s="4621"/>
      <c r="E66" s="4621"/>
      <c r="F66" s="4621"/>
      <c r="G66" s="4621"/>
      <c r="H66" s="4621"/>
      <c r="I66" s="4621"/>
      <c r="J66" s="4621"/>
      <c r="K66" s="4622"/>
    </row>
    <row r="67" spans="1:11" ht="15" customHeight="1">
      <c r="A67" s="1464"/>
      <c r="B67" s="1421"/>
      <c r="C67" s="1467"/>
      <c r="D67" s="1467"/>
      <c r="E67" s="1467" t="s">
        <v>4205</v>
      </c>
      <c r="F67" s="1467"/>
      <c r="G67" s="1467"/>
      <c r="H67" s="1467"/>
      <c r="I67" s="1467"/>
      <c r="J67" s="1468"/>
      <c r="K67" s="1430">
        <f>J11</f>
        <v>0</v>
      </c>
    </row>
    <row r="68" spans="1:11">
      <c r="A68" s="1465"/>
      <c r="B68" s="1434"/>
      <c r="C68" s="1457"/>
      <c r="D68" s="1457"/>
      <c r="E68" s="1457" t="s">
        <v>4206</v>
      </c>
      <c r="F68" s="1457"/>
      <c r="G68" s="1457"/>
      <c r="H68" s="1457"/>
      <c r="I68" s="1457"/>
      <c r="J68" s="1469"/>
      <c r="K68" s="1430" t="e">
        <f>K54</f>
        <v>#VALUE!</v>
      </c>
    </row>
    <row r="69" spans="1:11" ht="17.25" thickBot="1">
      <c r="A69" s="1466"/>
      <c r="B69" s="1423"/>
      <c r="C69" s="1470"/>
      <c r="D69" s="1470"/>
      <c r="E69" s="1470" t="s">
        <v>4207</v>
      </c>
      <c r="F69" s="1470"/>
      <c r="G69" s="1470"/>
      <c r="H69" s="1470"/>
      <c r="I69" s="1470"/>
      <c r="J69" s="1471"/>
      <c r="K69" s="1474">
        <f>K64</f>
        <v>0</v>
      </c>
    </row>
    <row r="70" spans="1:11" ht="17.25" thickBot="1">
      <c r="A70" s="1432"/>
      <c r="B70" s="1424"/>
      <c r="C70" s="4634" t="s">
        <v>4208</v>
      </c>
      <c r="D70" s="4634"/>
      <c r="E70" s="4634"/>
      <c r="F70" s="4634"/>
      <c r="G70" s="4634"/>
      <c r="H70" s="4634"/>
      <c r="I70" s="4634"/>
      <c r="J70" s="4634"/>
      <c r="K70" s="1472" t="e">
        <f>IF(ISBLANK(J11),MIN(K68:K69),MIN(K67:K69))</f>
        <v>#VALUE!</v>
      </c>
    </row>
    <row r="71" spans="1:11">
      <c r="E71" s="1410"/>
    </row>
    <row r="72" spans="1:11">
      <c r="E72" s="1410"/>
    </row>
    <row r="73" spans="1:11">
      <c r="E73" s="1410"/>
    </row>
    <row r="74" spans="1:11">
      <c r="E74" s="1410"/>
    </row>
    <row r="75" spans="1:11">
      <c r="E75" s="1410"/>
    </row>
    <row r="76" spans="1:11">
      <c r="E76" s="1410"/>
    </row>
    <row r="77" spans="1:11">
      <c r="E77" s="1410"/>
    </row>
    <row r="78" spans="1:11">
      <c r="E78" s="1410"/>
    </row>
    <row r="79" spans="1:11">
      <c r="E79" s="1410"/>
    </row>
  </sheetData>
  <sheetProtection algorithmName="SHA-512" hashValue="g6TvQHuanQaZjtLg/yl4Hb5uHJzm9h56Kk3LY5pbkJ0c4AhcZbmaBp8bpGsikY3WpObBjvzaEIrgWjcPsJSFGw==" saltValue="iVEwpr7hT8qCzopqL6PMXw==" spinCount="100000" sheet="1" objects="1" scenarios="1"/>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sqref="A1:XFD1048576"/>
    </sheetView>
  </sheetViews>
  <sheetFormatPr defaultColWidth="9.140625" defaultRowHeight="12.75"/>
  <cols>
    <col min="1" max="1" width="3.42578125" style="699" customWidth="1"/>
    <col min="2" max="2" width="4.140625" style="699" customWidth="1"/>
    <col min="3" max="3" width="18.5703125" style="699" customWidth="1"/>
    <col min="4" max="4" width="2.85546875" style="699" customWidth="1"/>
    <col min="5" max="5" width="6.5703125" style="699" customWidth="1"/>
    <col min="6" max="6" width="39.140625" style="699" customWidth="1"/>
    <col min="7" max="8" width="8.42578125" style="699" customWidth="1"/>
    <col min="9" max="9" width="9.140625" style="699"/>
    <col min="10" max="10" width="14.140625" style="699" customWidth="1"/>
    <col min="11" max="16384" width="9.140625" style="699"/>
  </cols>
  <sheetData>
    <row r="1" spans="1:11">
      <c r="A1" s="636" t="s">
        <v>3000</v>
      </c>
      <c r="H1" s="708" t="str">
        <f>'Sensitivity Analysis'!C8</f>
        <v>West Point Village Phase II</v>
      </c>
    </row>
    <row r="2" spans="1:11">
      <c r="A2" s="636" t="s">
        <v>3001</v>
      </c>
      <c r="H2" s="699" t="str">
        <f>'Sensitivity Analysis'!E8</f>
        <v>2021-067</v>
      </c>
    </row>
    <row r="3" spans="1:11" ht="3" customHeight="1"/>
    <row r="4" spans="1:11" ht="51.75" customHeight="1">
      <c r="A4" s="4662" t="s">
        <v>3097</v>
      </c>
      <c r="B4" s="4662"/>
      <c r="C4" s="4662"/>
      <c r="D4" s="4662"/>
      <c r="E4" s="4662"/>
      <c r="F4" s="4662"/>
      <c r="G4" s="4662"/>
      <c r="H4" s="4662"/>
      <c r="J4" s="1077">
        <f>SUM('Part VII-Pro Forma'!B15:B17)/12</f>
        <v>48624.287400000001</v>
      </c>
      <c r="K4" s="1076" t="s">
        <v>3815</v>
      </c>
    </row>
    <row r="5" spans="1:11" ht="1.5" customHeight="1">
      <c r="C5" s="741"/>
      <c r="D5" s="741"/>
      <c r="E5" s="741"/>
      <c r="F5" s="741"/>
      <c r="G5" s="741"/>
      <c r="H5" s="741"/>
    </row>
    <row r="6" spans="1:11" ht="12.75" customHeight="1">
      <c r="B6" s="742" t="s">
        <v>2323</v>
      </c>
      <c r="C6" s="4662" t="s">
        <v>3002</v>
      </c>
      <c r="D6" s="4662"/>
      <c r="E6" s="4662"/>
      <c r="F6" s="4662"/>
      <c r="G6" s="4662"/>
      <c r="H6" s="4662"/>
    </row>
    <row r="7" spans="1:11" ht="12.75" customHeight="1">
      <c r="B7" s="742" t="s">
        <v>2324</v>
      </c>
      <c r="C7" s="4662" t="s">
        <v>3003</v>
      </c>
      <c r="D7" s="4662"/>
      <c r="E7" s="4662"/>
      <c r="F7" s="4662"/>
      <c r="G7" s="4662"/>
      <c r="H7" s="4662"/>
    </row>
    <row r="8" spans="1:11" ht="3" customHeight="1"/>
    <row r="9" spans="1:11">
      <c r="A9" s="699" t="s">
        <v>3004</v>
      </c>
    </row>
    <row r="10" spans="1:11" ht="1.5" customHeight="1"/>
    <row r="11" spans="1:11" ht="26.25" customHeight="1">
      <c r="A11" s="743" t="s">
        <v>1892</v>
      </c>
      <c r="B11" s="4665" t="s">
        <v>3094</v>
      </c>
      <c r="C11" s="4665"/>
      <c r="D11" s="4665"/>
      <c r="E11" s="4665"/>
      <c r="F11" s="4665"/>
      <c r="G11" s="4666">
        <f>'Part III-Sources of Funds'!I51+'Part III-Sources of Funds'!I52</f>
        <v>12868713</v>
      </c>
      <c r="H11" s="4666"/>
    </row>
    <row r="12" spans="1:11" ht="1.5" customHeight="1">
      <c r="G12" s="712"/>
      <c r="H12" s="712"/>
    </row>
    <row r="13" spans="1:11" ht="26.25" customHeight="1">
      <c r="A13" s="743" t="s">
        <v>1894</v>
      </c>
      <c r="B13" s="4665" t="s">
        <v>3095</v>
      </c>
      <c r="C13" s="4665"/>
      <c r="D13" s="4665"/>
      <c r="E13" s="4665"/>
      <c r="F13" s="4665"/>
      <c r="G13" s="4667" t="s">
        <v>2932</v>
      </c>
      <c r="H13" s="4667"/>
    </row>
    <row r="14" spans="1:11" ht="12" hidden="1" customHeight="1">
      <c r="A14" s="743"/>
      <c r="B14" s="4494"/>
      <c r="C14" s="4494"/>
      <c r="D14" s="4494"/>
      <c r="E14" s="4494"/>
      <c r="F14" s="4494"/>
      <c r="G14" s="4494"/>
      <c r="H14" s="4494"/>
    </row>
    <row r="15" spans="1:11" ht="1.5" customHeight="1"/>
    <row r="16" spans="1:11" ht="12" customHeight="1">
      <c r="A16" s="743" t="s">
        <v>719</v>
      </c>
      <c r="B16" s="699" t="s">
        <v>3098</v>
      </c>
      <c r="F16" s="735"/>
      <c r="G16" s="4479" t="s">
        <v>2771</v>
      </c>
      <c r="H16" s="4479"/>
    </row>
    <row r="17" spans="1:8" ht="1.5" customHeight="1">
      <c r="G17" s="717"/>
    </row>
    <row r="18" spans="1:8" ht="12" customHeight="1">
      <c r="A18" s="743" t="s">
        <v>2020</v>
      </c>
      <c r="B18" s="712" t="s">
        <v>3096</v>
      </c>
      <c r="C18" s="743"/>
      <c r="D18" s="743"/>
      <c r="E18" s="743"/>
      <c r="G18" s="4494" t="s">
        <v>2624</v>
      </c>
      <c r="H18" s="4494"/>
    </row>
    <row r="19" spans="1:8" ht="12" hidden="1" customHeight="1">
      <c r="B19" s="4494"/>
      <c r="C19" s="4494"/>
      <c r="D19" s="4494"/>
      <c r="E19" s="4494"/>
      <c r="F19" s="4494"/>
      <c r="G19" s="4494"/>
      <c r="H19" s="4494"/>
    </row>
    <row r="20" spans="1:8" ht="13.5" customHeight="1"/>
    <row r="21" spans="1:8" ht="12" customHeight="1">
      <c r="A21" s="636" t="s">
        <v>3005</v>
      </c>
    </row>
    <row r="22" spans="1:8" ht="3" customHeight="1"/>
    <row r="23" spans="1:8" ht="24.75" customHeight="1">
      <c r="A23" s="4669" t="s">
        <v>4290</v>
      </c>
      <c r="B23" s="4669"/>
      <c r="C23" s="4669"/>
      <c r="D23" s="4669"/>
      <c r="E23" s="4669"/>
      <c r="F23" s="4669"/>
      <c r="G23" s="4669"/>
      <c r="H23" s="4669"/>
    </row>
    <row r="24" spans="1:8" ht="9" customHeight="1" thickBot="1">
      <c r="A24" s="702"/>
    </row>
    <row r="25" spans="1:8" ht="16.149999999999999" customHeight="1" thickBot="1">
      <c r="A25" s="4670">
        <v>20</v>
      </c>
      <c r="B25" s="4671"/>
      <c r="C25" s="1516" t="s">
        <v>1000</v>
      </c>
    </row>
    <row r="26" spans="1:8" ht="9" customHeight="1">
      <c r="A26" s="702"/>
    </row>
    <row r="27" spans="1:8" ht="28.15" customHeight="1">
      <c r="A27" s="4668" t="s">
        <v>4295</v>
      </c>
      <c r="B27" s="4668"/>
      <c r="C27" s="4668"/>
      <c r="D27" s="4668"/>
      <c r="E27" s="4668"/>
      <c r="F27" s="4668"/>
      <c r="G27" s="4668"/>
      <c r="H27" s="4668"/>
    </row>
    <row r="28" spans="1:8" ht="9" customHeight="1">
      <c r="A28" s="702"/>
    </row>
    <row r="29" spans="1:8">
      <c r="A29" s="717" t="s">
        <v>3099</v>
      </c>
      <c r="B29" s="744" t="str">
        <f>IF('Part VI-Revenues &amp; Expenses'!$K$62=0,"",'Part VI-Revenues &amp; Expenses'!$K$62)</f>
        <v/>
      </c>
      <c r="C29" s="717" t="s">
        <v>4288</v>
      </c>
      <c r="D29" s="745" t="s">
        <v>4289</v>
      </c>
    </row>
    <row r="30" spans="1:8" ht="1.9" customHeight="1"/>
    <row r="31" spans="1:8" ht="12.75" customHeight="1">
      <c r="C31" s="712" t="s">
        <v>3006</v>
      </c>
      <c r="D31" s="746" t="s">
        <v>1895</v>
      </c>
      <c r="E31" s="747"/>
      <c r="F31" s="4662" t="s">
        <v>3007</v>
      </c>
      <c r="G31" s="4662"/>
      <c r="H31" s="4662"/>
    </row>
    <row r="32" spans="1:8" ht="12.75" customHeight="1">
      <c r="C32" s="748" t="s">
        <v>1304</v>
      </c>
      <c r="D32" s="746" t="s">
        <v>1897</v>
      </c>
      <c r="E32" s="4662" t="s">
        <v>3104</v>
      </c>
      <c r="F32" s="4662"/>
      <c r="G32" s="4662"/>
      <c r="H32" s="4662"/>
    </row>
    <row r="33" spans="1:11" ht="12.75" customHeight="1">
      <c r="C33" s="1514" t="s">
        <v>4293</v>
      </c>
      <c r="E33" s="4662" t="s">
        <v>3242</v>
      </c>
      <c r="F33" s="4662"/>
      <c r="G33" s="4662"/>
      <c r="H33" s="4662"/>
    </row>
    <row r="34" spans="1:11" ht="12.75" customHeight="1">
      <c r="C34" s="1515"/>
      <c r="D34" s="1513" t="s">
        <v>3103</v>
      </c>
      <c r="E34" s="4664" t="s">
        <v>3243</v>
      </c>
      <c r="F34" s="4664"/>
      <c r="G34" s="4664"/>
      <c r="H34" s="4664"/>
    </row>
    <row r="35" spans="1:11" ht="3" customHeight="1">
      <c r="D35" s="746"/>
      <c r="E35" s="1511"/>
      <c r="F35" s="1511"/>
      <c r="G35" s="1511"/>
      <c r="H35" s="1511"/>
    </row>
    <row r="36" spans="1:11" ht="12.75" customHeight="1">
      <c r="C36" s="712" t="s">
        <v>3006</v>
      </c>
      <c r="D36" s="746" t="s">
        <v>1895</v>
      </c>
      <c r="E36" s="747"/>
      <c r="F36" s="743" t="s">
        <v>3007</v>
      </c>
      <c r="G36" s="743"/>
      <c r="H36" s="743"/>
    </row>
    <row r="37" spans="1:11" ht="12.75" customHeight="1">
      <c r="C37" s="748" t="s">
        <v>1304</v>
      </c>
      <c r="D37" s="746" t="s">
        <v>1897</v>
      </c>
      <c r="E37" s="4662" t="s">
        <v>3104</v>
      </c>
      <c r="F37" s="4662"/>
      <c r="G37" s="4662"/>
      <c r="H37" s="4662"/>
    </row>
    <row r="38" spans="1:11" ht="12.75" customHeight="1">
      <c r="C38" s="1514" t="s">
        <v>4293</v>
      </c>
      <c r="E38" s="4662" t="s">
        <v>3242</v>
      </c>
      <c r="F38" s="4662"/>
      <c r="G38" s="4662"/>
      <c r="H38" s="4662"/>
    </row>
    <row r="39" spans="1:11" ht="12.75" customHeight="1">
      <c r="C39" s="1515"/>
      <c r="D39" s="1513" t="s">
        <v>3103</v>
      </c>
      <c r="E39" s="4664" t="s">
        <v>3243</v>
      </c>
      <c r="F39" s="4664"/>
      <c r="G39" s="4664"/>
      <c r="H39" s="4664"/>
    </row>
    <row r="40" spans="1:11" ht="3" customHeight="1">
      <c r="D40" s="746"/>
      <c r="E40" s="1511"/>
      <c r="F40" s="1511"/>
      <c r="G40" s="1511"/>
      <c r="H40" s="1511"/>
    </row>
    <row r="41" spans="1:11" ht="12.75" customHeight="1">
      <c r="C41" s="712" t="s">
        <v>3006</v>
      </c>
      <c r="D41" s="746" t="s">
        <v>1895</v>
      </c>
      <c r="E41" s="747"/>
      <c r="F41" s="743" t="s">
        <v>3007</v>
      </c>
      <c r="G41" s="743"/>
      <c r="H41" s="743"/>
    </row>
    <row r="42" spans="1:11" ht="12.75" customHeight="1">
      <c r="C42" s="748" t="s">
        <v>1304</v>
      </c>
      <c r="D42" s="746" t="s">
        <v>1897</v>
      </c>
      <c r="E42" s="4662" t="s">
        <v>3104</v>
      </c>
      <c r="F42" s="4662"/>
      <c r="G42" s="4662"/>
      <c r="H42" s="4662"/>
    </row>
    <row r="43" spans="1:11" ht="12.75" customHeight="1">
      <c r="C43" s="1514" t="s">
        <v>4293</v>
      </c>
      <c r="E43" s="4662" t="s">
        <v>3242</v>
      </c>
      <c r="F43" s="4662"/>
      <c r="G43" s="4662"/>
      <c r="H43" s="4662"/>
    </row>
    <row r="44" spans="1:11" ht="12.75" customHeight="1">
      <c r="C44" s="1515"/>
      <c r="D44" s="1513" t="s">
        <v>3103</v>
      </c>
      <c r="E44" s="4664" t="s">
        <v>3243</v>
      </c>
      <c r="F44" s="4664"/>
      <c r="G44" s="4664"/>
      <c r="H44" s="4664"/>
    </row>
    <row r="45" spans="1:11" ht="6" customHeight="1">
      <c r="D45" s="746"/>
      <c r="E45" s="1511"/>
      <c r="F45" s="1511"/>
      <c r="G45" s="1511"/>
      <c r="H45" s="1511"/>
    </row>
    <row r="46" spans="1:11">
      <c r="A46" s="717" t="s">
        <v>3099</v>
      </c>
      <c r="B46" s="744" t="str">
        <f>IF('Part VI-Revenues &amp; Expenses'!$L$62=0,"",'Part VI-Revenues &amp; Expenses'!$L$62)</f>
        <v/>
      </c>
      <c r="C46" s="717" t="s">
        <v>3100</v>
      </c>
      <c r="D46" s="745" t="s">
        <v>3244</v>
      </c>
    </row>
    <row r="47" spans="1:11" ht="1.9" customHeight="1">
      <c r="K47" s="1530"/>
    </row>
    <row r="48" spans="1:11" ht="12.75" customHeight="1">
      <c r="C48" s="712" t="s">
        <v>3006</v>
      </c>
      <c r="D48" s="746" t="s">
        <v>1895</v>
      </c>
      <c r="E48" s="747"/>
      <c r="F48" s="743" t="s">
        <v>3007</v>
      </c>
      <c r="G48" s="743"/>
      <c r="H48" s="743"/>
      <c r="K48" s="1530"/>
    </row>
    <row r="49" spans="1:11" ht="12.75" customHeight="1">
      <c r="C49" s="748" t="s">
        <v>1304</v>
      </c>
      <c r="D49" s="746" t="s">
        <v>1897</v>
      </c>
      <c r="E49" s="4662" t="s">
        <v>3104</v>
      </c>
      <c r="F49" s="4662"/>
      <c r="G49" s="4662"/>
      <c r="H49" s="4662"/>
      <c r="K49" s="1530"/>
    </row>
    <row r="50" spans="1:11" ht="12.75" customHeight="1">
      <c r="C50" s="1514" t="s">
        <v>4293</v>
      </c>
      <c r="E50" s="4662" t="s">
        <v>3242</v>
      </c>
      <c r="F50" s="4662"/>
      <c r="G50" s="4662"/>
      <c r="H50" s="4662"/>
    </row>
    <row r="51" spans="1:11" ht="12.75" customHeight="1">
      <c r="C51" s="1515"/>
      <c r="D51" s="1512" t="s">
        <v>3103</v>
      </c>
      <c r="E51" s="4663" t="s">
        <v>3243</v>
      </c>
      <c r="F51" s="4663"/>
      <c r="G51" s="4663"/>
      <c r="H51" s="4663"/>
    </row>
    <row r="52" spans="1:11" ht="3" customHeight="1">
      <c r="D52" s="746"/>
      <c r="E52" s="1511"/>
      <c r="F52" s="1511"/>
      <c r="G52" s="1511"/>
      <c r="H52" s="1511"/>
    </row>
    <row r="53" spans="1:11" ht="12.75" customHeight="1">
      <c r="C53" s="712" t="s">
        <v>3006</v>
      </c>
      <c r="D53" s="746" t="s">
        <v>1895</v>
      </c>
      <c r="E53" s="747"/>
      <c r="F53" s="743" t="s">
        <v>3007</v>
      </c>
      <c r="G53" s="743"/>
      <c r="H53" s="743"/>
    </row>
    <row r="54" spans="1:11" ht="12.75" customHeight="1">
      <c r="C54" s="748" t="s">
        <v>1304</v>
      </c>
      <c r="D54" s="746" t="s">
        <v>1897</v>
      </c>
      <c r="E54" s="4662" t="s">
        <v>3104</v>
      </c>
      <c r="F54" s="4662"/>
      <c r="G54" s="4662"/>
      <c r="H54" s="4662"/>
    </row>
    <row r="55" spans="1:11" ht="12.75" customHeight="1">
      <c r="C55" s="1514" t="s">
        <v>4293</v>
      </c>
      <c r="E55" s="4662" t="s">
        <v>3242</v>
      </c>
      <c r="F55" s="4662"/>
      <c r="G55" s="4662"/>
      <c r="H55" s="4662"/>
    </row>
    <row r="56" spans="1:11" ht="12.75" customHeight="1">
      <c r="C56" s="1515"/>
      <c r="D56" s="1513" t="s">
        <v>3103</v>
      </c>
      <c r="E56" s="4664" t="s">
        <v>3243</v>
      </c>
      <c r="F56" s="4664"/>
      <c r="G56" s="4664"/>
      <c r="H56" s="4664"/>
    </row>
    <row r="57" spans="1:11" ht="3" customHeight="1">
      <c r="D57" s="746"/>
      <c r="E57" s="1511"/>
      <c r="F57" s="1511"/>
      <c r="G57" s="1511"/>
      <c r="H57" s="1511"/>
    </row>
    <row r="58" spans="1:11" ht="12.75" customHeight="1">
      <c r="C58" s="712" t="s">
        <v>3006</v>
      </c>
      <c r="D58" s="746" t="s">
        <v>1895</v>
      </c>
      <c r="E58" s="747"/>
      <c r="F58" s="743" t="s">
        <v>3007</v>
      </c>
      <c r="G58" s="743"/>
      <c r="H58" s="743"/>
    </row>
    <row r="59" spans="1:11" ht="12.75" customHeight="1">
      <c r="C59" s="748" t="s">
        <v>1304</v>
      </c>
      <c r="D59" s="746" t="s">
        <v>1897</v>
      </c>
      <c r="E59" s="4662" t="s">
        <v>3104</v>
      </c>
      <c r="F59" s="4662"/>
      <c r="G59" s="4662"/>
      <c r="H59" s="4662"/>
    </row>
    <row r="60" spans="1:11" ht="12.75" customHeight="1">
      <c r="C60" s="1514" t="s">
        <v>4293</v>
      </c>
      <c r="E60" s="4662" t="s">
        <v>3242</v>
      </c>
      <c r="F60" s="4662"/>
      <c r="G60" s="4662"/>
      <c r="H60" s="4662"/>
    </row>
    <row r="61" spans="1:11" ht="12.75" customHeight="1">
      <c r="C61" s="1515"/>
      <c r="D61" s="1513" t="s">
        <v>3103</v>
      </c>
      <c r="E61" s="4664" t="s">
        <v>3243</v>
      </c>
      <c r="F61" s="4664"/>
      <c r="G61" s="4664"/>
      <c r="H61" s="4664"/>
    </row>
    <row r="62" spans="1:11" ht="6" customHeight="1">
      <c r="D62" s="746"/>
      <c r="E62" s="1095"/>
      <c r="F62" s="1095"/>
      <c r="G62" s="1095"/>
      <c r="H62" s="1095"/>
    </row>
    <row r="63" spans="1:11">
      <c r="A63" s="717" t="s">
        <v>3099</v>
      </c>
      <c r="B63" s="744" t="str">
        <f>IF('Part VI-Revenues &amp; Expenses'!$M$62=0,"",'Part VI-Revenues &amp; Expenses'!$M$62)</f>
        <v/>
      </c>
      <c r="C63" s="717" t="s">
        <v>3101</v>
      </c>
      <c r="D63" s="745" t="s">
        <v>3245</v>
      </c>
    </row>
    <row r="64" spans="1:11" ht="1.9" customHeight="1"/>
    <row r="65" spans="1:8" ht="12.75" customHeight="1">
      <c r="C65" s="712" t="s">
        <v>3006</v>
      </c>
      <c r="D65" s="746" t="s">
        <v>1895</v>
      </c>
      <c r="E65" s="747"/>
      <c r="F65" s="743" t="s">
        <v>3007</v>
      </c>
      <c r="G65" s="743"/>
      <c r="H65" s="743"/>
    </row>
    <row r="66" spans="1:8" ht="12.75" customHeight="1">
      <c r="C66" s="748" t="s">
        <v>1304</v>
      </c>
      <c r="D66" s="746" t="s">
        <v>1897</v>
      </c>
      <c r="E66" s="4662" t="s">
        <v>3104</v>
      </c>
      <c r="F66" s="4662"/>
      <c r="G66" s="4662"/>
      <c r="H66" s="4662"/>
    </row>
    <row r="67" spans="1:8" ht="12.75" customHeight="1">
      <c r="C67" s="1514" t="s">
        <v>4293</v>
      </c>
      <c r="E67" s="4662" t="s">
        <v>3242</v>
      </c>
      <c r="F67" s="4662"/>
      <c r="G67" s="4662"/>
      <c r="H67" s="4662"/>
    </row>
    <row r="68" spans="1:8" ht="12.75" customHeight="1">
      <c r="C68" s="1515"/>
      <c r="D68" s="1512" t="s">
        <v>3103</v>
      </c>
      <c r="E68" s="4663" t="s">
        <v>3243</v>
      </c>
      <c r="F68" s="4663"/>
      <c r="G68" s="4663"/>
      <c r="H68" s="4663"/>
    </row>
    <row r="69" spans="1:8" ht="3" customHeight="1">
      <c r="D69" s="746"/>
      <c r="E69" s="1095"/>
      <c r="F69" s="1095"/>
      <c r="G69" s="1095"/>
      <c r="H69" s="1095"/>
    </row>
    <row r="70" spans="1:8" ht="12.75" customHeight="1">
      <c r="C70" s="712" t="s">
        <v>3006</v>
      </c>
      <c r="D70" s="746" t="s">
        <v>1895</v>
      </c>
      <c r="E70" s="747"/>
      <c r="F70" s="743" t="s">
        <v>3007</v>
      </c>
      <c r="G70" s="743"/>
      <c r="H70" s="743"/>
    </row>
    <row r="71" spans="1:8" ht="12.75" customHeight="1">
      <c r="C71" s="748" t="s">
        <v>1304</v>
      </c>
      <c r="D71" s="746" t="s">
        <v>1897</v>
      </c>
      <c r="E71" s="4662" t="s">
        <v>3104</v>
      </c>
      <c r="F71" s="4662"/>
      <c r="G71" s="4662"/>
      <c r="H71" s="4662"/>
    </row>
    <row r="72" spans="1:8" ht="12.75" customHeight="1">
      <c r="C72" s="1514" t="s">
        <v>4293</v>
      </c>
      <c r="E72" s="4662" t="s">
        <v>3242</v>
      </c>
      <c r="F72" s="4662"/>
      <c r="G72" s="4662"/>
      <c r="H72" s="4662"/>
    </row>
    <row r="73" spans="1:8" ht="12.75" customHeight="1">
      <c r="C73" s="1515"/>
      <c r="D73" s="1513" t="s">
        <v>3103</v>
      </c>
      <c r="E73" s="4664" t="s">
        <v>3243</v>
      </c>
      <c r="F73" s="4664"/>
      <c r="G73" s="4664"/>
      <c r="H73" s="4664"/>
    </row>
    <row r="74" spans="1:8" ht="3" customHeight="1">
      <c r="D74" s="746"/>
      <c r="E74" s="1511"/>
      <c r="F74" s="1511"/>
      <c r="G74" s="1511"/>
      <c r="H74" s="1511"/>
    </row>
    <row r="75" spans="1:8" ht="12.75" customHeight="1">
      <c r="C75" s="712" t="s">
        <v>3006</v>
      </c>
      <c r="D75" s="746" t="s">
        <v>1895</v>
      </c>
      <c r="E75" s="747"/>
      <c r="F75" s="743" t="s">
        <v>3007</v>
      </c>
      <c r="G75" s="743"/>
      <c r="H75" s="743"/>
    </row>
    <row r="76" spans="1:8" ht="12.75" customHeight="1">
      <c r="C76" s="748" t="s">
        <v>1304</v>
      </c>
      <c r="D76" s="746" t="s">
        <v>1897</v>
      </c>
      <c r="E76" s="4662" t="s">
        <v>3104</v>
      </c>
      <c r="F76" s="4662"/>
      <c r="G76" s="4662"/>
      <c r="H76" s="4662"/>
    </row>
    <row r="77" spans="1:8" ht="12.75" customHeight="1">
      <c r="C77" s="1514" t="s">
        <v>4293</v>
      </c>
      <c r="E77" s="4662" t="s">
        <v>3242</v>
      </c>
      <c r="F77" s="4662"/>
      <c r="G77" s="4662"/>
      <c r="H77" s="4662"/>
    </row>
    <row r="78" spans="1:8" ht="12.75" customHeight="1">
      <c r="C78" s="1515"/>
      <c r="D78" s="1513" t="s">
        <v>3103</v>
      </c>
      <c r="E78" s="4664" t="s">
        <v>3243</v>
      </c>
      <c r="F78" s="4664"/>
      <c r="G78" s="4664"/>
      <c r="H78" s="4664"/>
    </row>
    <row r="79" spans="1:8" ht="6" customHeight="1">
      <c r="D79" s="746"/>
      <c r="E79" s="1511"/>
      <c r="F79" s="1511"/>
      <c r="G79" s="1511"/>
      <c r="H79" s="1511"/>
    </row>
    <row r="80" spans="1:8">
      <c r="A80" s="717" t="s">
        <v>3099</v>
      </c>
      <c r="B80" s="744" t="str">
        <f>IF('Part VI-Revenues &amp; Expenses'!$N$62=0,"",'Part VI-Revenues &amp; Expenses'!$N$62)</f>
        <v/>
      </c>
      <c r="C80" s="717" t="s">
        <v>3102</v>
      </c>
      <c r="D80" s="745" t="s">
        <v>3246</v>
      </c>
    </row>
    <row r="81" spans="3:8" ht="1.9" customHeight="1"/>
    <row r="82" spans="3:8" ht="12.75" customHeight="1">
      <c r="C82" s="712" t="s">
        <v>3006</v>
      </c>
      <c r="D82" s="746" t="s">
        <v>1895</v>
      </c>
      <c r="E82" s="747"/>
      <c r="F82" s="743" t="s">
        <v>3007</v>
      </c>
      <c r="G82" s="743"/>
      <c r="H82" s="743"/>
    </row>
    <row r="83" spans="3:8" ht="12.75" customHeight="1">
      <c r="C83" s="748" t="s">
        <v>1304</v>
      </c>
      <c r="D83" s="746" t="s">
        <v>1897</v>
      </c>
      <c r="E83" s="4662" t="s">
        <v>3104</v>
      </c>
      <c r="F83" s="4662"/>
      <c r="G83" s="4662"/>
      <c r="H83" s="4662"/>
    </row>
    <row r="84" spans="3:8" ht="12.75" customHeight="1">
      <c r="C84" s="1514" t="s">
        <v>4293</v>
      </c>
      <c r="E84" s="4662" t="s">
        <v>3242</v>
      </c>
      <c r="F84" s="4662"/>
      <c r="G84" s="4662"/>
      <c r="H84" s="4662"/>
    </row>
    <row r="85" spans="3:8" ht="12.75" customHeight="1">
      <c r="C85" s="1515"/>
      <c r="D85" s="1512" t="s">
        <v>3103</v>
      </c>
      <c r="E85" s="4663" t="s">
        <v>3243</v>
      </c>
      <c r="F85" s="4663"/>
      <c r="G85" s="4663"/>
      <c r="H85" s="4663"/>
    </row>
    <row r="86" spans="3:8" ht="3" customHeight="1">
      <c r="D86" s="746"/>
      <c r="E86" s="1511"/>
      <c r="F86" s="1511"/>
      <c r="G86" s="1511"/>
      <c r="H86" s="1511"/>
    </row>
    <row r="87" spans="3:8" ht="12.75" customHeight="1">
      <c r="C87" s="712" t="s">
        <v>3006</v>
      </c>
      <c r="D87" s="746" t="s">
        <v>1895</v>
      </c>
      <c r="E87" s="747"/>
      <c r="F87" s="743" t="s">
        <v>3007</v>
      </c>
      <c r="G87" s="743"/>
      <c r="H87" s="743"/>
    </row>
    <row r="88" spans="3:8" ht="12.75" customHeight="1">
      <c r="C88" s="748" t="s">
        <v>1304</v>
      </c>
      <c r="D88" s="746" t="s">
        <v>1897</v>
      </c>
      <c r="E88" s="4662" t="s">
        <v>3104</v>
      </c>
      <c r="F88" s="4662"/>
      <c r="G88" s="4662"/>
      <c r="H88" s="4662"/>
    </row>
    <row r="89" spans="3:8" ht="12.75" customHeight="1">
      <c r="C89" s="1514" t="s">
        <v>4293</v>
      </c>
      <c r="E89" s="4662" t="s">
        <v>3242</v>
      </c>
      <c r="F89" s="4662"/>
      <c r="G89" s="4662"/>
      <c r="H89" s="4662"/>
    </row>
    <row r="90" spans="3:8" ht="12.75" customHeight="1">
      <c r="C90" s="1515"/>
      <c r="D90" s="1513" t="s">
        <v>3103</v>
      </c>
      <c r="E90" s="4664" t="s">
        <v>3243</v>
      </c>
      <c r="F90" s="4664"/>
      <c r="G90" s="4664"/>
      <c r="H90" s="4664"/>
    </row>
    <row r="91" spans="3:8" ht="3" customHeight="1">
      <c r="D91" s="746"/>
      <c r="E91" s="1511"/>
      <c r="F91" s="1511"/>
      <c r="G91" s="1511"/>
      <c r="H91" s="1511"/>
    </row>
    <row r="92" spans="3:8" ht="12.75" customHeight="1">
      <c r="C92" s="712" t="s">
        <v>3006</v>
      </c>
      <c r="D92" s="746" t="s">
        <v>1895</v>
      </c>
      <c r="E92" s="747"/>
      <c r="F92" s="743" t="s">
        <v>3007</v>
      </c>
      <c r="G92" s="743"/>
      <c r="H92" s="743"/>
    </row>
    <row r="93" spans="3:8" ht="12.75" customHeight="1">
      <c r="C93" s="748" t="s">
        <v>1304</v>
      </c>
      <c r="D93" s="746" t="s">
        <v>1897</v>
      </c>
      <c r="E93" s="4662" t="s">
        <v>3104</v>
      </c>
      <c r="F93" s="4662"/>
      <c r="G93" s="4662"/>
      <c r="H93" s="4662"/>
    </row>
    <row r="94" spans="3:8" ht="12.75" customHeight="1">
      <c r="C94" s="1514" t="s">
        <v>4293</v>
      </c>
      <c r="E94" s="4662" t="s">
        <v>3242</v>
      </c>
      <c r="F94" s="4662"/>
      <c r="G94" s="4662"/>
      <c r="H94" s="4662"/>
    </row>
    <row r="95" spans="3:8" ht="12.75" customHeight="1">
      <c r="C95" s="1515"/>
      <c r="D95" s="1513" t="s">
        <v>3103</v>
      </c>
      <c r="E95" s="4664" t="s">
        <v>3243</v>
      </c>
      <c r="F95" s="4664"/>
      <c r="G95" s="4664"/>
      <c r="H95" s="4664"/>
    </row>
    <row r="96" spans="3:8" ht="6" customHeight="1">
      <c r="D96" s="746"/>
      <c r="E96" s="1511"/>
      <c r="F96" s="1511"/>
      <c r="G96" s="1511"/>
      <c r="H96" s="1511"/>
    </row>
    <row r="97" spans="1:11">
      <c r="A97" s="717" t="s">
        <v>3099</v>
      </c>
      <c r="B97" s="744" t="str">
        <f>IF('Part VI-Revenues &amp; Expenses'!$O$62=0,"",'Part VI-Revenues &amp; Expenses'!$O$62)</f>
        <v/>
      </c>
      <c r="C97" s="717" t="s">
        <v>4291</v>
      </c>
      <c r="D97" s="745" t="s">
        <v>4292</v>
      </c>
    </row>
    <row r="98" spans="1:11" ht="1.9" customHeight="1"/>
    <row r="99" spans="1:11" ht="12.75" customHeight="1">
      <c r="C99" s="712" t="s">
        <v>3006</v>
      </c>
      <c r="D99" s="746" t="s">
        <v>1895</v>
      </c>
      <c r="E99" s="747"/>
      <c r="F99" s="4662" t="s">
        <v>3007</v>
      </c>
      <c r="G99" s="4662"/>
      <c r="H99" s="4662"/>
      <c r="K99" s="699" t="s">
        <v>232</v>
      </c>
    </row>
    <row r="100" spans="1:11" ht="12.75" customHeight="1">
      <c r="C100" s="748" t="s">
        <v>1304</v>
      </c>
      <c r="D100" s="746" t="s">
        <v>1897</v>
      </c>
      <c r="E100" s="4662" t="s">
        <v>3105</v>
      </c>
      <c r="F100" s="4662"/>
      <c r="G100" s="4662"/>
      <c r="H100" s="4662"/>
    </row>
    <row r="101" spans="1:11" ht="12.75" customHeight="1">
      <c r="E101" s="4662" t="s">
        <v>3242</v>
      </c>
      <c r="F101" s="4662"/>
      <c r="G101" s="4662"/>
      <c r="H101" s="4662"/>
    </row>
    <row r="102" spans="1:11" ht="12.75" customHeight="1">
      <c r="D102" s="749" t="s">
        <v>3103</v>
      </c>
      <c r="E102" s="4662" t="s">
        <v>3243</v>
      </c>
      <c r="F102" s="4662"/>
      <c r="G102" s="4662"/>
      <c r="H102" s="4662"/>
    </row>
    <row r="103" spans="1:11" ht="9" customHeight="1" thickBot="1"/>
    <row r="104" spans="1:11" ht="16.149999999999999" customHeight="1" thickBot="1">
      <c r="A104" s="4670">
        <v>30</v>
      </c>
      <c r="B104" s="4671"/>
      <c r="C104" s="1516" t="s">
        <v>1000</v>
      </c>
    </row>
    <row r="105" spans="1:11" ht="9" customHeight="1">
      <c r="A105" s="702"/>
    </row>
    <row r="106" spans="1:11" ht="28.15" customHeight="1">
      <c r="A106" s="4668" t="s">
        <v>4296</v>
      </c>
      <c r="B106" s="4668"/>
      <c r="C106" s="4668"/>
      <c r="D106" s="4668"/>
      <c r="E106" s="4668"/>
      <c r="F106" s="4668"/>
      <c r="G106" s="4668"/>
      <c r="H106" s="4668"/>
    </row>
    <row r="107" spans="1:11" ht="9" customHeight="1">
      <c r="A107" s="702"/>
    </row>
    <row r="108" spans="1:11">
      <c r="A108" s="717" t="s">
        <v>3099</v>
      </c>
      <c r="B108" s="744" t="str">
        <f>IF('Part VI-Revenues &amp; Expenses'!$K$61=0,"",'Part VI-Revenues &amp; Expenses'!$K$61)</f>
        <v/>
      </c>
      <c r="C108" s="717" t="s">
        <v>4288</v>
      </c>
      <c r="D108" s="745" t="s">
        <v>4289</v>
      </c>
    </row>
    <row r="109" spans="1:11" ht="1.9" customHeight="1"/>
    <row r="110" spans="1:11" ht="12.75" customHeight="1">
      <c r="C110" s="712" t="s">
        <v>3006</v>
      </c>
      <c r="D110" s="746" t="s">
        <v>1895</v>
      </c>
      <c r="E110" s="747"/>
      <c r="F110" s="4662" t="s">
        <v>3007</v>
      </c>
      <c r="G110" s="4662"/>
      <c r="H110" s="4662"/>
    </row>
    <row r="111" spans="1:11" ht="12.75" customHeight="1">
      <c r="C111" s="748" t="s">
        <v>1304</v>
      </c>
      <c r="D111" s="746" t="s">
        <v>1897</v>
      </c>
      <c r="E111" s="4662" t="s">
        <v>3104</v>
      </c>
      <c r="F111" s="4662"/>
      <c r="G111" s="4662"/>
      <c r="H111" s="4662"/>
    </row>
    <row r="112" spans="1:11" ht="12.75" customHeight="1">
      <c r="C112" s="1514" t="s">
        <v>4293</v>
      </c>
      <c r="E112" s="4662" t="s">
        <v>3242</v>
      </c>
      <c r="F112" s="4662"/>
      <c r="G112" s="4662"/>
      <c r="H112" s="4662"/>
    </row>
    <row r="113" spans="1:8" ht="12.75" customHeight="1">
      <c r="C113" s="1515"/>
      <c r="D113" s="1513" t="s">
        <v>3103</v>
      </c>
      <c r="E113" s="4664" t="s">
        <v>3243</v>
      </c>
      <c r="F113" s="4664"/>
      <c r="G113" s="4664"/>
      <c r="H113" s="4664"/>
    </row>
    <row r="114" spans="1:8" ht="3" customHeight="1">
      <c r="D114" s="746"/>
      <c r="E114" s="1511"/>
      <c r="F114" s="1511"/>
      <c r="G114" s="1511"/>
      <c r="H114" s="1511"/>
    </row>
    <row r="115" spans="1:8" ht="12.75" customHeight="1">
      <c r="C115" s="712" t="s">
        <v>3006</v>
      </c>
      <c r="D115" s="746" t="s">
        <v>1895</v>
      </c>
      <c r="E115" s="747"/>
      <c r="F115" s="743" t="s">
        <v>3007</v>
      </c>
      <c r="G115" s="743"/>
      <c r="H115" s="743"/>
    </row>
    <row r="116" spans="1:8" ht="12.75" customHeight="1">
      <c r="C116" s="748" t="s">
        <v>1304</v>
      </c>
      <c r="D116" s="746" t="s">
        <v>1897</v>
      </c>
      <c r="E116" s="4662" t="s">
        <v>3104</v>
      </c>
      <c r="F116" s="4662"/>
      <c r="G116" s="4662"/>
      <c r="H116" s="4662"/>
    </row>
    <row r="117" spans="1:8" ht="12.75" customHeight="1">
      <c r="C117" s="1514" t="s">
        <v>4293</v>
      </c>
      <c r="E117" s="4662" t="s">
        <v>3242</v>
      </c>
      <c r="F117" s="4662"/>
      <c r="G117" s="4662"/>
      <c r="H117" s="4662"/>
    </row>
    <row r="118" spans="1:8" ht="12.75" customHeight="1">
      <c r="C118" s="1515"/>
      <c r="D118" s="1513" t="s">
        <v>3103</v>
      </c>
      <c r="E118" s="4664" t="s">
        <v>3243</v>
      </c>
      <c r="F118" s="4664"/>
      <c r="G118" s="4664"/>
      <c r="H118" s="4664"/>
    </row>
    <row r="119" spans="1:8" ht="3" customHeight="1">
      <c r="D119" s="746"/>
      <c r="E119" s="1511"/>
      <c r="F119" s="1511"/>
      <c r="G119" s="1511"/>
      <c r="H119" s="1511"/>
    </row>
    <row r="120" spans="1:8" ht="12.75" customHeight="1">
      <c r="C120" s="712" t="s">
        <v>3006</v>
      </c>
      <c r="D120" s="746" t="s">
        <v>1895</v>
      </c>
      <c r="E120" s="747"/>
      <c r="F120" s="743" t="s">
        <v>3007</v>
      </c>
      <c r="G120" s="743"/>
      <c r="H120" s="743"/>
    </row>
    <row r="121" spans="1:8" ht="12.75" customHeight="1">
      <c r="C121" s="748" t="s">
        <v>1304</v>
      </c>
      <c r="D121" s="746" t="s">
        <v>1897</v>
      </c>
      <c r="E121" s="4662" t="s">
        <v>3104</v>
      </c>
      <c r="F121" s="4662"/>
      <c r="G121" s="4662"/>
      <c r="H121" s="4662"/>
    </row>
    <row r="122" spans="1:8" ht="12.75" customHeight="1">
      <c r="C122" s="1514" t="s">
        <v>4293</v>
      </c>
      <c r="E122" s="4662" t="s">
        <v>3242</v>
      </c>
      <c r="F122" s="4662"/>
      <c r="G122" s="4662"/>
      <c r="H122" s="4662"/>
    </row>
    <row r="123" spans="1:8" ht="12.75" customHeight="1">
      <c r="C123" s="1515"/>
      <c r="D123" s="1513" t="s">
        <v>3103</v>
      </c>
      <c r="E123" s="4664" t="s">
        <v>3243</v>
      </c>
      <c r="F123" s="4664"/>
      <c r="G123" s="4664"/>
      <c r="H123" s="4664"/>
    </row>
    <row r="124" spans="1:8" ht="6" customHeight="1">
      <c r="D124" s="746"/>
      <c r="E124" s="1511"/>
      <c r="F124" s="1511"/>
      <c r="G124" s="1511"/>
      <c r="H124" s="1511"/>
    </row>
    <row r="125" spans="1:8">
      <c r="A125" s="717" t="s">
        <v>3099</v>
      </c>
      <c r="B125" s="744" t="str">
        <f>IF('Part VI-Revenues &amp; Expenses'!$L$61=0,"",'Part VI-Revenues &amp; Expenses'!$L$61)</f>
        <v/>
      </c>
      <c r="C125" s="717" t="s">
        <v>3100</v>
      </c>
      <c r="D125" s="745" t="s">
        <v>3244</v>
      </c>
    </row>
    <row r="126" spans="1:8" ht="1.9" customHeight="1"/>
    <row r="127" spans="1:8" ht="12.75" customHeight="1">
      <c r="C127" s="712" t="s">
        <v>3006</v>
      </c>
      <c r="D127" s="746" t="s">
        <v>1895</v>
      </c>
      <c r="E127" s="747"/>
      <c r="F127" s="743" t="s">
        <v>3007</v>
      </c>
      <c r="G127" s="743"/>
      <c r="H127" s="743"/>
    </row>
    <row r="128" spans="1:8" ht="12.75" customHeight="1">
      <c r="C128" s="748" t="s">
        <v>1304</v>
      </c>
      <c r="D128" s="746" t="s">
        <v>1897</v>
      </c>
      <c r="E128" s="4662" t="s">
        <v>3104</v>
      </c>
      <c r="F128" s="4662"/>
      <c r="G128" s="4662"/>
      <c r="H128" s="4662"/>
    </row>
    <row r="129" spans="1:8" ht="12.75" customHeight="1">
      <c r="C129" s="1514" t="s">
        <v>4293</v>
      </c>
      <c r="E129" s="4662" t="s">
        <v>3242</v>
      </c>
      <c r="F129" s="4662"/>
      <c r="G129" s="4662"/>
      <c r="H129" s="4662"/>
    </row>
    <row r="130" spans="1:8" ht="12.75" customHeight="1">
      <c r="C130" s="1515"/>
      <c r="D130" s="1512" t="s">
        <v>3103</v>
      </c>
      <c r="E130" s="4663" t="s">
        <v>3243</v>
      </c>
      <c r="F130" s="4663"/>
      <c r="G130" s="4663"/>
      <c r="H130" s="4663"/>
    </row>
    <row r="131" spans="1:8" ht="3" customHeight="1">
      <c r="D131" s="746"/>
      <c r="E131" s="1511"/>
      <c r="F131" s="1511"/>
      <c r="G131" s="1511"/>
      <c r="H131" s="1511"/>
    </row>
    <row r="132" spans="1:8" ht="12.75" customHeight="1">
      <c r="C132" s="712" t="s">
        <v>3006</v>
      </c>
      <c r="D132" s="746" t="s">
        <v>1895</v>
      </c>
      <c r="E132" s="747"/>
      <c r="F132" s="743" t="s">
        <v>3007</v>
      </c>
      <c r="G132" s="743"/>
      <c r="H132" s="743"/>
    </row>
    <row r="133" spans="1:8" ht="12.75" customHeight="1">
      <c r="C133" s="748" t="s">
        <v>1304</v>
      </c>
      <c r="D133" s="746" t="s">
        <v>1897</v>
      </c>
      <c r="E133" s="4662" t="s">
        <v>3104</v>
      </c>
      <c r="F133" s="4662"/>
      <c r="G133" s="4662"/>
      <c r="H133" s="4662"/>
    </row>
    <row r="134" spans="1:8" ht="12.75" customHeight="1">
      <c r="C134" s="1514" t="s">
        <v>4293</v>
      </c>
      <c r="E134" s="4662" t="s">
        <v>3242</v>
      </c>
      <c r="F134" s="4662"/>
      <c r="G134" s="4662"/>
      <c r="H134" s="4662"/>
    </row>
    <row r="135" spans="1:8" ht="12.75" customHeight="1">
      <c r="C135" s="1515"/>
      <c r="D135" s="1513" t="s">
        <v>3103</v>
      </c>
      <c r="E135" s="4664" t="s">
        <v>3243</v>
      </c>
      <c r="F135" s="4664"/>
      <c r="G135" s="4664"/>
      <c r="H135" s="4664"/>
    </row>
    <row r="136" spans="1:8" ht="3" customHeight="1">
      <c r="D136" s="746"/>
      <c r="E136" s="1511"/>
      <c r="F136" s="1511"/>
      <c r="G136" s="1511"/>
      <c r="H136" s="1511"/>
    </row>
    <row r="137" spans="1:8" ht="12.75" customHeight="1">
      <c r="C137" s="712" t="s">
        <v>3006</v>
      </c>
      <c r="D137" s="746" t="s">
        <v>1895</v>
      </c>
      <c r="E137" s="747"/>
      <c r="F137" s="743" t="s">
        <v>3007</v>
      </c>
      <c r="G137" s="743"/>
      <c r="H137" s="743"/>
    </row>
    <row r="138" spans="1:8" ht="12.75" customHeight="1">
      <c r="C138" s="748" t="s">
        <v>1304</v>
      </c>
      <c r="D138" s="746" t="s">
        <v>1897</v>
      </c>
      <c r="E138" s="4662" t="s">
        <v>3104</v>
      </c>
      <c r="F138" s="4662"/>
      <c r="G138" s="4662"/>
      <c r="H138" s="4662"/>
    </row>
    <row r="139" spans="1:8" ht="12.75" customHeight="1">
      <c r="C139" s="1514" t="s">
        <v>4293</v>
      </c>
      <c r="E139" s="4662" t="s">
        <v>3242</v>
      </c>
      <c r="F139" s="4662"/>
      <c r="G139" s="4662"/>
      <c r="H139" s="4662"/>
    </row>
    <row r="140" spans="1:8" ht="12.75" customHeight="1">
      <c r="C140" s="1515"/>
      <c r="D140" s="1513" t="s">
        <v>3103</v>
      </c>
      <c r="E140" s="4664" t="s">
        <v>3243</v>
      </c>
      <c r="F140" s="4664"/>
      <c r="G140" s="4664"/>
      <c r="H140" s="4664"/>
    </row>
    <row r="141" spans="1:8" ht="6" customHeight="1">
      <c r="D141" s="746"/>
      <c r="E141" s="1511"/>
      <c r="F141" s="1511"/>
      <c r="G141" s="1511"/>
      <c r="H141" s="1511"/>
    </row>
    <row r="142" spans="1:8">
      <c r="A142" s="717" t="s">
        <v>3099</v>
      </c>
      <c r="B142" s="744" t="str">
        <f>IF('Part VI-Revenues &amp; Expenses'!$M$61=0,"",'Part VI-Revenues &amp; Expenses'!$M$61)</f>
        <v/>
      </c>
      <c r="C142" s="717" t="s">
        <v>3101</v>
      </c>
      <c r="D142" s="745" t="s">
        <v>3245</v>
      </c>
    </row>
    <row r="143" spans="1:8" ht="1.9" customHeight="1"/>
    <row r="144" spans="1:8" ht="12.75" customHeight="1">
      <c r="C144" s="712" t="s">
        <v>3006</v>
      </c>
      <c r="D144" s="746" t="s">
        <v>1895</v>
      </c>
      <c r="E144" s="747"/>
      <c r="F144" s="743" t="s">
        <v>3007</v>
      </c>
      <c r="G144" s="743"/>
      <c r="H144" s="743"/>
    </row>
    <row r="145" spans="1:8" ht="12.75" customHeight="1">
      <c r="C145" s="748" t="s">
        <v>1304</v>
      </c>
      <c r="D145" s="746" t="s">
        <v>1897</v>
      </c>
      <c r="E145" s="4662" t="s">
        <v>3104</v>
      </c>
      <c r="F145" s="4662"/>
      <c r="G145" s="4662"/>
      <c r="H145" s="4662"/>
    </row>
    <row r="146" spans="1:8" ht="12.75" customHeight="1">
      <c r="C146" s="1514" t="s">
        <v>4293</v>
      </c>
      <c r="E146" s="4662" t="s">
        <v>3242</v>
      </c>
      <c r="F146" s="4662"/>
      <c r="G146" s="4662"/>
      <c r="H146" s="4662"/>
    </row>
    <row r="147" spans="1:8" ht="12.75" customHeight="1">
      <c r="C147" s="1515"/>
      <c r="D147" s="1512" t="s">
        <v>3103</v>
      </c>
      <c r="E147" s="4663" t="s">
        <v>3243</v>
      </c>
      <c r="F147" s="4663"/>
      <c r="G147" s="4663"/>
      <c r="H147" s="4663"/>
    </row>
    <row r="148" spans="1:8" ht="3" customHeight="1">
      <c r="D148" s="746"/>
      <c r="E148" s="1511"/>
      <c r="F148" s="1511"/>
      <c r="G148" s="1511"/>
      <c r="H148" s="1511"/>
    </row>
    <row r="149" spans="1:8" ht="12.75" customHeight="1">
      <c r="C149" s="712" t="s">
        <v>3006</v>
      </c>
      <c r="D149" s="746" t="s">
        <v>1895</v>
      </c>
      <c r="E149" s="747"/>
      <c r="F149" s="743" t="s">
        <v>3007</v>
      </c>
      <c r="G149" s="743"/>
      <c r="H149" s="743"/>
    </row>
    <row r="150" spans="1:8" ht="12.75" customHeight="1">
      <c r="C150" s="748" t="s">
        <v>1304</v>
      </c>
      <c r="D150" s="746" t="s">
        <v>1897</v>
      </c>
      <c r="E150" s="4662" t="s">
        <v>3104</v>
      </c>
      <c r="F150" s="4662"/>
      <c r="G150" s="4662"/>
      <c r="H150" s="4662"/>
    </row>
    <row r="151" spans="1:8" ht="12.75" customHeight="1">
      <c r="C151" s="1514" t="s">
        <v>4293</v>
      </c>
      <c r="E151" s="4662" t="s">
        <v>3242</v>
      </c>
      <c r="F151" s="4662"/>
      <c r="G151" s="4662"/>
      <c r="H151" s="4662"/>
    </row>
    <row r="152" spans="1:8" ht="12.75" customHeight="1">
      <c r="C152" s="1515"/>
      <c r="D152" s="1513" t="s">
        <v>3103</v>
      </c>
      <c r="E152" s="4664" t="s">
        <v>3243</v>
      </c>
      <c r="F152" s="4664"/>
      <c r="G152" s="4664"/>
      <c r="H152" s="4664"/>
    </row>
    <row r="153" spans="1:8" ht="3" customHeight="1">
      <c r="D153" s="746"/>
      <c r="E153" s="1511"/>
      <c r="F153" s="1511"/>
      <c r="G153" s="1511"/>
      <c r="H153" s="1511"/>
    </row>
    <row r="154" spans="1:8" ht="12.75" customHeight="1">
      <c r="C154" s="712" t="s">
        <v>3006</v>
      </c>
      <c r="D154" s="746" t="s">
        <v>1895</v>
      </c>
      <c r="E154" s="747"/>
      <c r="F154" s="743" t="s">
        <v>3007</v>
      </c>
      <c r="G154" s="743"/>
      <c r="H154" s="743"/>
    </row>
    <row r="155" spans="1:8" ht="12.75" customHeight="1">
      <c r="C155" s="748" t="s">
        <v>1304</v>
      </c>
      <c r="D155" s="746" t="s">
        <v>1897</v>
      </c>
      <c r="E155" s="4662" t="s">
        <v>3104</v>
      </c>
      <c r="F155" s="4662"/>
      <c r="G155" s="4662"/>
      <c r="H155" s="4662"/>
    </row>
    <row r="156" spans="1:8" ht="12.75" customHeight="1">
      <c r="C156" s="1514" t="s">
        <v>4293</v>
      </c>
      <c r="E156" s="4662" t="s">
        <v>3242</v>
      </c>
      <c r="F156" s="4662"/>
      <c r="G156" s="4662"/>
      <c r="H156" s="4662"/>
    </row>
    <row r="157" spans="1:8" ht="12.75" customHeight="1">
      <c r="C157" s="1515"/>
      <c r="D157" s="1513" t="s">
        <v>3103</v>
      </c>
      <c r="E157" s="4664" t="s">
        <v>3243</v>
      </c>
      <c r="F157" s="4664"/>
      <c r="G157" s="4664"/>
      <c r="H157" s="4664"/>
    </row>
    <row r="158" spans="1:8" ht="6" customHeight="1">
      <c r="D158" s="746"/>
      <c r="E158" s="1511"/>
      <c r="F158" s="1511"/>
      <c r="G158" s="1511"/>
      <c r="H158" s="1511"/>
    </row>
    <row r="159" spans="1:8">
      <c r="A159" s="717" t="s">
        <v>3099</v>
      </c>
      <c r="B159" s="744" t="str">
        <f>IF('Part VI-Revenues &amp; Expenses'!$N$61=0,"",'Part VI-Revenues &amp; Expenses'!$N$61)</f>
        <v/>
      </c>
      <c r="C159" s="717" t="s">
        <v>3102</v>
      </c>
      <c r="D159" s="745" t="s">
        <v>3246</v>
      </c>
    </row>
    <row r="160" spans="1:8" ht="1.9" customHeight="1"/>
    <row r="161" spans="1:8" ht="12.75" customHeight="1">
      <c r="C161" s="712" t="s">
        <v>3006</v>
      </c>
      <c r="D161" s="746" t="s">
        <v>1895</v>
      </c>
      <c r="E161" s="747"/>
      <c r="F161" s="743" t="s">
        <v>3007</v>
      </c>
      <c r="G161" s="743"/>
      <c r="H161" s="743"/>
    </row>
    <row r="162" spans="1:8" ht="12.75" customHeight="1">
      <c r="C162" s="748" t="s">
        <v>1304</v>
      </c>
      <c r="D162" s="746" t="s">
        <v>1897</v>
      </c>
      <c r="E162" s="4662" t="s">
        <v>3104</v>
      </c>
      <c r="F162" s="4662"/>
      <c r="G162" s="4662"/>
      <c r="H162" s="4662"/>
    </row>
    <row r="163" spans="1:8" ht="12.75" customHeight="1">
      <c r="C163" s="1514" t="s">
        <v>4293</v>
      </c>
      <c r="E163" s="4662" t="s">
        <v>3242</v>
      </c>
      <c r="F163" s="4662"/>
      <c r="G163" s="4662"/>
      <c r="H163" s="4662"/>
    </row>
    <row r="164" spans="1:8" ht="12.75" customHeight="1">
      <c r="C164" s="1515"/>
      <c r="D164" s="1512" t="s">
        <v>3103</v>
      </c>
      <c r="E164" s="4663" t="s">
        <v>3243</v>
      </c>
      <c r="F164" s="4663"/>
      <c r="G164" s="4663"/>
      <c r="H164" s="4663"/>
    </row>
    <row r="165" spans="1:8" ht="3" customHeight="1">
      <c r="D165" s="746"/>
      <c r="E165" s="1511"/>
      <c r="F165" s="1511"/>
      <c r="G165" s="1511"/>
      <c r="H165" s="1511"/>
    </row>
    <row r="166" spans="1:8" ht="12.75" customHeight="1">
      <c r="C166" s="712" t="s">
        <v>3006</v>
      </c>
      <c r="D166" s="746" t="s">
        <v>1895</v>
      </c>
      <c r="E166" s="747"/>
      <c r="F166" s="743" t="s">
        <v>3007</v>
      </c>
      <c r="G166" s="743"/>
      <c r="H166" s="743"/>
    </row>
    <row r="167" spans="1:8" ht="12.75" customHeight="1">
      <c r="C167" s="748" t="s">
        <v>1304</v>
      </c>
      <c r="D167" s="746" t="s">
        <v>1897</v>
      </c>
      <c r="E167" s="4662" t="s">
        <v>3104</v>
      </c>
      <c r="F167" s="4662"/>
      <c r="G167" s="4662"/>
      <c r="H167" s="4662"/>
    </row>
    <row r="168" spans="1:8" ht="12.75" customHeight="1">
      <c r="C168" s="1514" t="s">
        <v>4293</v>
      </c>
      <c r="E168" s="4662" t="s">
        <v>3242</v>
      </c>
      <c r="F168" s="4662"/>
      <c r="G168" s="4662"/>
      <c r="H168" s="4662"/>
    </row>
    <row r="169" spans="1:8" ht="12.75" customHeight="1">
      <c r="C169" s="1515"/>
      <c r="D169" s="1513" t="s">
        <v>3103</v>
      </c>
      <c r="E169" s="4664" t="s">
        <v>3243</v>
      </c>
      <c r="F169" s="4664"/>
      <c r="G169" s="4664"/>
      <c r="H169" s="4664"/>
    </row>
    <row r="170" spans="1:8" ht="3" customHeight="1">
      <c r="D170" s="746"/>
      <c r="E170" s="1511"/>
      <c r="F170" s="1511"/>
      <c r="G170" s="1511"/>
      <c r="H170" s="1511"/>
    </row>
    <row r="171" spans="1:8" ht="12.75" customHeight="1">
      <c r="C171" s="712" t="s">
        <v>3006</v>
      </c>
      <c r="D171" s="746" t="s">
        <v>1895</v>
      </c>
      <c r="E171" s="747"/>
      <c r="F171" s="743" t="s">
        <v>3007</v>
      </c>
      <c r="G171" s="743"/>
      <c r="H171" s="743"/>
    </row>
    <row r="172" spans="1:8" ht="12.75" customHeight="1">
      <c r="C172" s="748" t="s">
        <v>1304</v>
      </c>
      <c r="D172" s="746" t="s">
        <v>1897</v>
      </c>
      <c r="E172" s="4662" t="s">
        <v>3104</v>
      </c>
      <c r="F172" s="4662"/>
      <c r="G172" s="4662"/>
      <c r="H172" s="4662"/>
    </row>
    <row r="173" spans="1:8" ht="12.75" customHeight="1">
      <c r="C173" s="1514" t="s">
        <v>4293</v>
      </c>
      <c r="E173" s="4662" t="s">
        <v>3242</v>
      </c>
      <c r="F173" s="4662"/>
      <c r="G173" s="4662"/>
      <c r="H173" s="4662"/>
    </row>
    <row r="174" spans="1:8" ht="12.75" customHeight="1">
      <c r="C174" s="1515"/>
      <c r="D174" s="1513" t="s">
        <v>3103</v>
      </c>
      <c r="E174" s="4664" t="s">
        <v>3243</v>
      </c>
      <c r="F174" s="4664"/>
      <c r="G174" s="4664"/>
      <c r="H174" s="4664"/>
    </row>
    <row r="175" spans="1:8" ht="6" customHeight="1">
      <c r="D175" s="746"/>
      <c r="E175" s="1511"/>
      <c r="F175" s="1511"/>
      <c r="G175" s="1511"/>
      <c r="H175" s="1511"/>
    </row>
    <row r="176" spans="1:8">
      <c r="A176" s="717" t="s">
        <v>3099</v>
      </c>
      <c r="B176" s="744" t="str">
        <f>IF('Part VI-Revenues &amp; Expenses'!$O61=0,"",'Part VI-Revenues &amp; Expenses'!$O$61)</f>
        <v/>
      </c>
      <c r="C176" s="717" t="s">
        <v>4291</v>
      </c>
      <c r="D176" s="745" t="s">
        <v>4292</v>
      </c>
    </row>
    <row r="177" spans="1:11" ht="1.9" customHeight="1"/>
    <row r="178" spans="1:11" ht="12.75" customHeight="1">
      <c r="C178" s="712" t="s">
        <v>3006</v>
      </c>
      <c r="D178" s="746" t="s">
        <v>1895</v>
      </c>
      <c r="E178" s="747"/>
      <c r="F178" s="4662" t="s">
        <v>3007</v>
      </c>
      <c r="G178" s="4662"/>
      <c r="H178" s="4662"/>
      <c r="K178" s="699" t="s">
        <v>232</v>
      </c>
    </row>
    <row r="179" spans="1:11" ht="12.75" customHeight="1">
      <c r="C179" s="748" t="s">
        <v>1304</v>
      </c>
      <c r="D179" s="746" t="s">
        <v>1897</v>
      </c>
      <c r="E179" s="4662" t="s">
        <v>3105</v>
      </c>
      <c r="F179" s="4662"/>
      <c r="G179" s="4662"/>
      <c r="H179" s="4662"/>
    </row>
    <row r="180" spans="1:11" ht="12.75" customHeight="1">
      <c r="E180" s="4662" t="s">
        <v>3242</v>
      </c>
      <c r="F180" s="4662"/>
      <c r="G180" s="4662"/>
      <c r="H180" s="4662"/>
    </row>
    <row r="181" spans="1:11" ht="12.75" customHeight="1">
      <c r="D181" s="749" t="s">
        <v>3103</v>
      </c>
      <c r="E181" s="4662" t="s">
        <v>3243</v>
      </c>
      <c r="F181" s="4662"/>
      <c r="G181" s="4662"/>
      <c r="H181" s="4662"/>
    </row>
    <row r="182" spans="1:11" ht="9" customHeight="1" thickBot="1"/>
    <row r="183" spans="1:11" ht="16.149999999999999" customHeight="1" thickBot="1">
      <c r="A183" s="4670">
        <v>40</v>
      </c>
      <c r="B183" s="4671"/>
      <c r="C183" s="1516" t="s">
        <v>1000</v>
      </c>
    </row>
    <row r="184" spans="1:11" ht="9" customHeight="1">
      <c r="A184" s="702"/>
    </row>
    <row r="185" spans="1:11" ht="28.15" customHeight="1">
      <c r="A185" s="4668" t="s">
        <v>4297</v>
      </c>
      <c r="B185" s="4668"/>
      <c r="C185" s="4668"/>
      <c r="D185" s="4668"/>
      <c r="E185" s="4668"/>
      <c r="F185" s="4668"/>
      <c r="G185" s="4668"/>
      <c r="H185" s="4668"/>
    </row>
    <row r="186" spans="1:11" ht="9" customHeight="1">
      <c r="A186" s="702"/>
    </row>
    <row r="187" spans="1:11">
      <c r="A187" s="717" t="s">
        <v>3099</v>
      </c>
      <c r="B187" s="744" t="str">
        <f>IF('Part VI-Revenues &amp; Expenses'!$K$60=0,"",'Part VI-Revenues &amp; Expenses'!$K$60)</f>
        <v/>
      </c>
      <c r="C187" s="717" t="s">
        <v>4288</v>
      </c>
      <c r="D187" s="745" t="s">
        <v>4289</v>
      </c>
    </row>
    <row r="188" spans="1:11" ht="1.9" customHeight="1"/>
    <row r="189" spans="1:11" ht="12.75" customHeight="1">
      <c r="C189" s="712" t="s">
        <v>3006</v>
      </c>
      <c r="D189" s="746" t="s">
        <v>1895</v>
      </c>
      <c r="E189" s="747"/>
      <c r="F189" s="4662" t="s">
        <v>3007</v>
      </c>
      <c r="G189" s="4662"/>
      <c r="H189" s="4662"/>
    </row>
    <row r="190" spans="1:11" ht="12.75" customHeight="1">
      <c r="C190" s="748" t="s">
        <v>1304</v>
      </c>
      <c r="D190" s="746" t="s">
        <v>1897</v>
      </c>
      <c r="E190" s="4662" t="s">
        <v>3104</v>
      </c>
      <c r="F190" s="4662"/>
      <c r="G190" s="4662"/>
      <c r="H190" s="4662"/>
    </row>
    <row r="191" spans="1:11" ht="12.75" customHeight="1">
      <c r="C191" s="1514" t="s">
        <v>4293</v>
      </c>
      <c r="E191" s="4662" t="s">
        <v>3242</v>
      </c>
      <c r="F191" s="4662"/>
      <c r="G191" s="4662"/>
      <c r="H191" s="4662"/>
    </row>
    <row r="192" spans="1:11" ht="12.75" customHeight="1">
      <c r="C192" s="1515"/>
      <c r="D192" s="1513" t="s">
        <v>3103</v>
      </c>
      <c r="E192" s="4664" t="s">
        <v>3243</v>
      </c>
      <c r="F192" s="4664"/>
      <c r="G192" s="4664"/>
      <c r="H192" s="4664"/>
    </row>
    <row r="193" spans="1:8" ht="3" customHeight="1">
      <c r="D193" s="746"/>
      <c r="E193" s="1511"/>
      <c r="F193" s="1511"/>
      <c r="G193" s="1511"/>
      <c r="H193" s="1511"/>
    </row>
    <row r="194" spans="1:8" ht="12.75" customHeight="1">
      <c r="C194" s="712" t="s">
        <v>3006</v>
      </c>
      <c r="D194" s="746" t="s">
        <v>1895</v>
      </c>
      <c r="E194" s="747"/>
      <c r="F194" s="743" t="s">
        <v>3007</v>
      </c>
      <c r="G194" s="743"/>
      <c r="H194" s="743"/>
    </row>
    <row r="195" spans="1:8" ht="12.75" customHeight="1">
      <c r="C195" s="748" t="s">
        <v>1304</v>
      </c>
      <c r="D195" s="746" t="s">
        <v>1897</v>
      </c>
      <c r="E195" s="4662" t="s">
        <v>3104</v>
      </c>
      <c r="F195" s="4662"/>
      <c r="G195" s="4662"/>
      <c r="H195" s="4662"/>
    </row>
    <row r="196" spans="1:8" ht="12.75" customHeight="1">
      <c r="C196" s="1514" t="s">
        <v>4293</v>
      </c>
      <c r="E196" s="4662" t="s">
        <v>3242</v>
      </c>
      <c r="F196" s="4662"/>
      <c r="G196" s="4662"/>
      <c r="H196" s="4662"/>
    </row>
    <row r="197" spans="1:8" ht="12.75" customHeight="1">
      <c r="C197" s="1515"/>
      <c r="D197" s="1513" t="s">
        <v>3103</v>
      </c>
      <c r="E197" s="4664" t="s">
        <v>3243</v>
      </c>
      <c r="F197" s="4664"/>
      <c r="G197" s="4664"/>
      <c r="H197" s="4664"/>
    </row>
    <row r="198" spans="1:8" ht="3" customHeight="1">
      <c r="D198" s="746"/>
      <c r="E198" s="1511"/>
      <c r="F198" s="1511"/>
      <c r="G198" s="1511"/>
      <c r="H198" s="1511"/>
    </row>
    <row r="199" spans="1:8" ht="12.75" customHeight="1">
      <c r="C199" s="712" t="s">
        <v>3006</v>
      </c>
      <c r="D199" s="746" t="s">
        <v>1895</v>
      </c>
      <c r="E199" s="747"/>
      <c r="F199" s="743" t="s">
        <v>3007</v>
      </c>
      <c r="G199" s="743"/>
      <c r="H199" s="743"/>
    </row>
    <row r="200" spans="1:8" ht="12.75" customHeight="1">
      <c r="C200" s="748" t="s">
        <v>1304</v>
      </c>
      <c r="D200" s="746" t="s">
        <v>1897</v>
      </c>
      <c r="E200" s="4662" t="s">
        <v>3104</v>
      </c>
      <c r="F200" s="4662"/>
      <c r="G200" s="4662"/>
      <c r="H200" s="4662"/>
    </row>
    <row r="201" spans="1:8" ht="12.75" customHeight="1">
      <c r="C201" s="1514" t="s">
        <v>4293</v>
      </c>
      <c r="E201" s="4662" t="s">
        <v>3242</v>
      </c>
      <c r="F201" s="4662"/>
      <c r="G201" s="4662"/>
      <c r="H201" s="4662"/>
    </row>
    <row r="202" spans="1:8" ht="12.75" customHeight="1">
      <c r="C202" s="1515"/>
      <c r="D202" s="1513" t="s">
        <v>3103</v>
      </c>
      <c r="E202" s="4664" t="s">
        <v>3243</v>
      </c>
      <c r="F202" s="4664"/>
      <c r="G202" s="4664"/>
      <c r="H202" s="4664"/>
    </row>
    <row r="203" spans="1:8" ht="6" customHeight="1">
      <c r="D203" s="746"/>
      <c r="E203" s="1511"/>
      <c r="F203" s="1511"/>
      <c r="G203" s="1511"/>
      <c r="H203" s="1511"/>
    </row>
    <row r="204" spans="1:8">
      <c r="A204" s="717" t="s">
        <v>3099</v>
      </c>
      <c r="B204" s="744" t="str">
        <f>IF('Part VI-Revenues &amp; Expenses'!$L$60=0,"",'Part VI-Revenues &amp; Expenses'!$L$60)</f>
        <v/>
      </c>
      <c r="C204" s="717" t="s">
        <v>3100</v>
      </c>
      <c r="D204" s="745" t="s">
        <v>3244</v>
      </c>
    </row>
    <row r="205" spans="1:8" ht="1.9" customHeight="1"/>
    <row r="206" spans="1:8" ht="12.75" customHeight="1">
      <c r="C206" s="712" t="s">
        <v>3006</v>
      </c>
      <c r="D206" s="746" t="s">
        <v>1895</v>
      </c>
      <c r="E206" s="747"/>
      <c r="F206" s="743" t="s">
        <v>3007</v>
      </c>
      <c r="G206" s="743"/>
      <c r="H206" s="743"/>
    </row>
    <row r="207" spans="1:8" ht="12.75" customHeight="1">
      <c r="C207" s="748" t="s">
        <v>1304</v>
      </c>
      <c r="D207" s="746" t="s">
        <v>1897</v>
      </c>
      <c r="E207" s="4662" t="s">
        <v>3104</v>
      </c>
      <c r="F207" s="4662"/>
      <c r="G207" s="4662"/>
      <c r="H207" s="4662"/>
    </row>
    <row r="208" spans="1:8" ht="12.75" customHeight="1">
      <c r="C208" s="1514" t="s">
        <v>4293</v>
      </c>
      <c r="E208" s="4662" t="s">
        <v>3242</v>
      </c>
      <c r="F208" s="4662"/>
      <c r="G208" s="4662"/>
      <c r="H208" s="4662"/>
    </row>
    <row r="209" spans="1:8" ht="12.75" customHeight="1">
      <c r="C209" s="1515"/>
      <c r="D209" s="1512" t="s">
        <v>3103</v>
      </c>
      <c r="E209" s="4663" t="s">
        <v>3243</v>
      </c>
      <c r="F209" s="4663"/>
      <c r="G209" s="4663"/>
      <c r="H209" s="4663"/>
    </row>
    <row r="210" spans="1:8" ht="3" customHeight="1">
      <c r="D210" s="746"/>
      <c r="E210" s="1511"/>
      <c r="F210" s="1511"/>
      <c r="G210" s="1511"/>
      <c r="H210" s="1511"/>
    </row>
    <row r="211" spans="1:8" ht="12.75" customHeight="1">
      <c r="C211" s="712" t="s">
        <v>3006</v>
      </c>
      <c r="D211" s="746" t="s">
        <v>1895</v>
      </c>
      <c r="E211" s="747"/>
      <c r="F211" s="743" t="s">
        <v>3007</v>
      </c>
      <c r="G211" s="743"/>
      <c r="H211" s="743"/>
    </row>
    <row r="212" spans="1:8" ht="12.75" customHeight="1">
      <c r="C212" s="748" t="s">
        <v>1304</v>
      </c>
      <c r="D212" s="746" t="s">
        <v>1897</v>
      </c>
      <c r="E212" s="4662" t="s">
        <v>3104</v>
      </c>
      <c r="F212" s="4662"/>
      <c r="G212" s="4662"/>
      <c r="H212" s="4662"/>
    </row>
    <row r="213" spans="1:8" ht="12.75" customHeight="1">
      <c r="C213" s="1514" t="s">
        <v>4293</v>
      </c>
      <c r="E213" s="4662" t="s">
        <v>3242</v>
      </c>
      <c r="F213" s="4662"/>
      <c r="G213" s="4662"/>
      <c r="H213" s="4662"/>
    </row>
    <row r="214" spans="1:8" ht="12.75" customHeight="1">
      <c r="C214" s="1515"/>
      <c r="D214" s="1513" t="s">
        <v>3103</v>
      </c>
      <c r="E214" s="4664" t="s">
        <v>3243</v>
      </c>
      <c r="F214" s="4664"/>
      <c r="G214" s="4664"/>
      <c r="H214" s="4664"/>
    </row>
    <row r="215" spans="1:8" ht="3" customHeight="1">
      <c r="D215" s="746"/>
      <c r="E215" s="1511"/>
      <c r="F215" s="1511"/>
      <c r="G215" s="1511"/>
      <c r="H215" s="1511"/>
    </row>
    <row r="216" spans="1:8" ht="12.75" customHeight="1">
      <c r="C216" s="712" t="s">
        <v>3006</v>
      </c>
      <c r="D216" s="746" t="s">
        <v>1895</v>
      </c>
      <c r="E216" s="747"/>
      <c r="F216" s="743" t="s">
        <v>3007</v>
      </c>
      <c r="G216" s="743"/>
      <c r="H216" s="743"/>
    </row>
    <row r="217" spans="1:8" ht="12.75" customHeight="1">
      <c r="C217" s="748" t="s">
        <v>1304</v>
      </c>
      <c r="D217" s="746" t="s">
        <v>1897</v>
      </c>
      <c r="E217" s="4662" t="s">
        <v>3104</v>
      </c>
      <c r="F217" s="4662"/>
      <c r="G217" s="4662"/>
      <c r="H217" s="4662"/>
    </row>
    <row r="218" spans="1:8" ht="12.75" customHeight="1">
      <c r="C218" s="1514" t="s">
        <v>4293</v>
      </c>
      <c r="E218" s="4662" t="s">
        <v>3242</v>
      </c>
      <c r="F218" s="4662"/>
      <c r="G218" s="4662"/>
      <c r="H218" s="4662"/>
    </row>
    <row r="219" spans="1:8" ht="12.75" customHeight="1">
      <c r="C219" s="1515"/>
      <c r="D219" s="1513" t="s">
        <v>3103</v>
      </c>
      <c r="E219" s="4664" t="s">
        <v>3243</v>
      </c>
      <c r="F219" s="4664"/>
      <c r="G219" s="4664"/>
      <c r="H219" s="4664"/>
    </row>
    <row r="220" spans="1:8" ht="6" customHeight="1">
      <c r="D220" s="746"/>
      <c r="E220" s="1511"/>
      <c r="F220" s="1511"/>
      <c r="G220" s="1511"/>
      <c r="H220" s="1511"/>
    </row>
    <row r="221" spans="1:8">
      <c r="A221" s="717" t="s">
        <v>3099</v>
      </c>
      <c r="B221" s="744" t="str">
        <f>IF('Part VI-Revenues &amp; Expenses'!$M$60=0,"",'Part VI-Revenues &amp; Expenses'!$M$60)</f>
        <v/>
      </c>
      <c r="C221" s="717" t="s">
        <v>3101</v>
      </c>
      <c r="D221" s="745" t="s">
        <v>3245</v>
      </c>
    </row>
    <row r="222" spans="1:8" ht="1.9" customHeight="1"/>
    <row r="223" spans="1:8" ht="12.75" customHeight="1">
      <c r="C223" s="712" t="s">
        <v>3006</v>
      </c>
      <c r="D223" s="746" t="s">
        <v>1895</v>
      </c>
      <c r="E223" s="747"/>
      <c r="F223" s="743" t="s">
        <v>3007</v>
      </c>
      <c r="G223" s="743"/>
      <c r="H223" s="743"/>
    </row>
    <row r="224" spans="1:8" ht="12.75" customHeight="1">
      <c r="C224" s="748" t="s">
        <v>1304</v>
      </c>
      <c r="D224" s="746" t="s">
        <v>1897</v>
      </c>
      <c r="E224" s="4662" t="s">
        <v>3104</v>
      </c>
      <c r="F224" s="4662"/>
      <c r="G224" s="4662"/>
      <c r="H224" s="4662"/>
    </row>
    <row r="225" spans="1:8" ht="12.75" customHeight="1">
      <c r="C225" s="1514" t="s">
        <v>4293</v>
      </c>
      <c r="E225" s="4662" t="s">
        <v>3242</v>
      </c>
      <c r="F225" s="4662"/>
      <c r="G225" s="4662"/>
      <c r="H225" s="4662"/>
    </row>
    <row r="226" spans="1:8" ht="12.75" customHeight="1">
      <c r="C226" s="1515"/>
      <c r="D226" s="1512" t="s">
        <v>3103</v>
      </c>
      <c r="E226" s="4663" t="s">
        <v>3243</v>
      </c>
      <c r="F226" s="4663"/>
      <c r="G226" s="4663"/>
      <c r="H226" s="4663"/>
    </row>
    <row r="227" spans="1:8" ht="3" customHeight="1">
      <c r="D227" s="746"/>
      <c r="E227" s="1511"/>
      <c r="F227" s="1511"/>
      <c r="G227" s="1511"/>
      <c r="H227" s="1511"/>
    </row>
    <row r="228" spans="1:8" ht="12.75" customHeight="1">
      <c r="C228" s="712" t="s">
        <v>3006</v>
      </c>
      <c r="D228" s="746" t="s">
        <v>1895</v>
      </c>
      <c r="E228" s="747"/>
      <c r="F228" s="743" t="s">
        <v>3007</v>
      </c>
      <c r="G228" s="743"/>
      <c r="H228" s="743"/>
    </row>
    <row r="229" spans="1:8" ht="12.75" customHeight="1">
      <c r="C229" s="748" t="s">
        <v>1304</v>
      </c>
      <c r="D229" s="746" t="s">
        <v>1897</v>
      </c>
      <c r="E229" s="4662" t="s">
        <v>3104</v>
      </c>
      <c r="F229" s="4662"/>
      <c r="G229" s="4662"/>
      <c r="H229" s="4662"/>
    </row>
    <row r="230" spans="1:8" ht="12.75" customHeight="1">
      <c r="C230" s="1514" t="s">
        <v>4293</v>
      </c>
      <c r="E230" s="4662" t="s">
        <v>3242</v>
      </c>
      <c r="F230" s="4662"/>
      <c r="G230" s="4662"/>
      <c r="H230" s="4662"/>
    </row>
    <row r="231" spans="1:8" ht="12.75" customHeight="1">
      <c r="C231" s="1515"/>
      <c r="D231" s="1513" t="s">
        <v>3103</v>
      </c>
      <c r="E231" s="4664" t="s">
        <v>3243</v>
      </c>
      <c r="F231" s="4664"/>
      <c r="G231" s="4664"/>
      <c r="H231" s="4664"/>
    </row>
    <row r="232" spans="1:8" ht="3" customHeight="1">
      <c r="D232" s="746"/>
      <c r="E232" s="1511"/>
      <c r="F232" s="1511"/>
      <c r="G232" s="1511"/>
      <c r="H232" s="1511"/>
    </row>
    <row r="233" spans="1:8" ht="12.75" customHeight="1">
      <c r="C233" s="712" t="s">
        <v>3006</v>
      </c>
      <c r="D233" s="746" t="s">
        <v>1895</v>
      </c>
      <c r="E233" s="747"/>
      <c r="F233" s="743" t="s">
        <v>3007</v>
      </c>
      <c r="G233" s="743"/>
      <c r="H233" s="743"/>
    </row>
    <row r="234" spans="1:8" ht="12.75" customHeight="1">
      <c r="C234" s="748" t="s">
        <v>1304</v>
      </c>
      <c r="D234" s="746" t="s">
        <v>1897</v>
      </c>
      <c r="E234" s="4662" t="s">
        <v>3104</v>
      </c>
      <c r="F234" s="4662"/>
      <c r="G234" s="4662"/>
      <c r="H234" s="4662"/>
    </row>
    <row r="235" spans="1:8" ht="12.75" customHeight="1">
      <c r="C235" s="1514" t="s">
        <v>4293</v>
      </c>
      <c r="E235" s="4662" t="s">
        <v>3242</v>
      </c>
      <c r="F235" s="4662"/>
      <c r="G235" s="4662"/>
      <c r="H235" s="4662"/>
    </row>
    <row r="236" spans="1:8" ht="12.75" customHeight="1">
      <c r="C236" s="1515"/>
      <c r="D236" s="1513" t="s">
        <v>3103</v>
      </c>
      <c r="E236" s="4664" t="s">
        <v>3243</v>
      </c>
      <c r="F236" s="4664"/>
      <c r="G236" s="4664"/>
      <c r="H236" s="4664"/>
    </row>
    <row r="237" spans="1:8" ht="6" customHeight="1">
      <c r="D237" s="746"/>
      <c r="E237" s="1511"/>
      <c r="F237" s="1511"/>
      <c r="G237" s="1511"/>
      <c r="H237" s="1511"/>
    </row>
    <row r="238" spans="1:8">
      <c r="A238" s="717" t="s">
        <v>3099</v>
      </c>
      <c r="B238" s="744" t="str">
        <f>IF('Part VI-Revenues &amp; Expenses'!$N$60=0,"",'Part VI-Revenues &amp; Expenses'!$N$60)</f>
        <v/>
      </c>
      <c r="C238" s="717" t="s">
        <v>3102</v>
      </c>
      <c r="D238" s="745" t="s">
        <v>3246</v>
      </c>
    </row>
    <row r="239" spans="1:8" ht="1.9" customHeight="1"/>
    <row r="240" spans="1:8" ht="12.75" customHeight="1">
      <c r="C240" s="712" t="s">
        <v>3006</v>
      </c>
      <c r="D240" s="746" t="s">
        <v>1895</v>
      </c>
      <c r="E240" s="747"/>
      <c r="F240" s="743" t="s">
        <v>3007</v>
      </c>
      <c r="G240" s="743"/>
      <c r="H240" s="743"/>
    </row>
    <row r="241" spans="1:8" ht="12.75" customHeight="1">
      <c r="C241" s="748" t="s">
        <v>1304</v>
      </c>
      <c r="D241" s="746" t="s">
        <v>1897</v>
      </c>
      <c r="E241" s="4662" t="s">
        <v>3104</v>
      </c>
      <c r="F241" s="4662"/>
      <c r="G241" s="4662"/>
      <c r="H241" s="4662"/>
    </row>
    <row r="242" spans="1:8" ht="12.75" customHeight="1">
      <c r="C242" s="1514" t="s">
        <v>4293</v>
      </c>
      <c r="E242" s="4662" t="s">
        <v>3242</v>
      </c>
      <c r="F242" s="4662"/>
      <c r="G242" s="4662"/>
      <c r="H242" s="4662"/>
    </row>
    <row r="243" spans="1:8" ht="12.75" customHeight="1">
      <c r="C243" s="1515"/>
      <c r="D243" s="1512" t="s">
        <v>3103</v>
      </c>
      <c r="E243" s="4663" t="s">
        <v>3243</v>
      </c>
      <c r="F243" s="4663"/>
      <c r="G243" s="4663"/>
      <c r="H243" s="4663"/>
    </row>
    <row r="244" spans="1:8" ht="3" customHeight="1">
      <c r="D244" s="746"/>
      <c r="E244" s="1511"/>
      <c r="F244" s="1511"/>
      <c r="G244" s="1511"/>
      <c r="H244" s="1511"/>
    </row>
    <row r="245" spans="1:8" ht="12.75" customHeight="1">
      <c r="C245" s="712" t="s">
        <v>3006</v>
      </c>
      <c r="D245" s="746" t="s">
        <v>1895</v>
      </c>
      <c r="E245" s="747"/>
      <c r="F245" s="743" t="s">
        <v>3007</v>
      </c>
      <c r="G245" s="743"/>
      <c r="H245" s="743"/>
    </row>
    <row r="246" spans="1:8" ht="12.75" customHeight="1">
      <c r="C246" s="748" t="s">
        <v>1304</v>
      </c>
      <c r="D246" s="746" t="s">
        <v>1897</v>
      </c>
      <c r="E246" s="4662" t="s">
        <v>3104</v>
      </c>
      <c r="F246" s="4662"/>
      <c r="G246" s="4662"/>
      <c r="H246" s="4662"/>
    </row>
    <row r="247" spans="1:8" ht="12.75" customHeight="1">
      <c r="C247" s="1514" t="s">
        <v>4293</v>
      </c>
      <c r="E247" s="4662" t="s">
        <v>3242</v>
      </c>
      <c r="F247" s="4662"/>
      <c r="G247" s="4662"/>
      <c r="H247" s="4662"/>
    </row>
    <row r="248" spans="1:8" ht="12.75" customHeight="1">
      <c r="C248" s="1515"/>
      <c r="D248" s="1513" t="s">
        <v>3103</v>
      </c>
      <c r="E248" s="4664" t="s">
        <v>3243</v>
      </c>
      <c r="F248" s="4664"/>
      <c r="G248" s="4664"/>
      <c r="H248" s="4664"/>
    </row>
    <row r="249" spans="1:8" ht="3" customHeight="1">
      <c r="D249" s="746"/>
      <c r="E249" s="1511"/>
      <c r="F249" s="1511"/>
      <c r="G249" s="1511"/>
      <c r="H249" s="1511"/>
    </row>
    <row r="250" spans="1:8" ht="12.75" customHeight="1">
      <c r="C250" s="712" t="s">
        <v>3006</v>
      </c>
      <c r="D250" s="746" t="s">
        <v>1895</v>
      </c>
      <c r="E250" s="747"/>
      <c r="F250" s="743" t="s">
        <v>3007</v>
      </c>
      <c r="G250" s="743"/>
      <c r="H250" s="743"/>
    </row>
    <row r="251" spans="1:8" ht="12.75" customHeight="1">
      <c r="C251" s="748" t="s">
        <v>1304</v>
      </c>
      <c r="D251" s="746" t="s">
        <v>1897</v>
      </c>
      <c r="E251" s="4662" t="s">
        <v>3104</v>
      </c>
      <c r="F251" s="4662"/>
      <c r="G251" s="4662"/>
      <c r="H251" s="4662"/>
    </row>
    <row r="252" spans="1:8" ht="12.75" customHeight="1">
      <c r="C252" s="1514" t="s">
        <v>4293</v>
      </c>
      <c r="E252" s="4662" t="s">
        <v>3242</v>
      </c>
      <c r="F252" s="4662"/>
      <c r="G252" s="4662"/>
      <c r="H252" s="4662"/>
    </row>
    <row r="253" spans="1:8" ht="12.75" customHeight="1">
      <c r="C253" s="1515"/>
      <c r="D253" s="1513" t="s">
        <v>3103</v>
      </c>
      <c r="E253" s="4664" t="s">
        <v>3243</v>
      </c>
      <c r="F253" s="4664"/>
      <c r="G253" s="4664"/>
      <c r="H253" s="4664"/>
    </row>
    <row r="254" spans="1:8" ht="6" customHeight="1">
      <c r="D254" s="746"/>
      <c r="E254" s="1511"/>
      <c r="F254" s="1511"/>
      <c r="G254" s="1511"/>
      <c r="H254" s="1511"/>
    </row>
    <row r="255" spans="1:8">
      <c r="A255" s="717" t="s">
        <v>3099</v>
      </c>
      <c r="B255" s="744" t="str">
        <f>IF('Part VI-Revenues &amp; Expenses'!$O$60=0,"",'Part VI-Revenues &amp; Expenses'!$O$60)</f>
        <v/>
      </c>
      <c r="C255" s="717" t="s">
        <v>4291</v>
      </c>
      <c r="D255" s="745" t="s">
        <v>4292</v>
      </c>
    </row>
    <row r="256" spans="1:8" ht="1.9" customHeight="1"/>
    <row r="257" spans="1:11" ht="12.75" customHeight="1">
      <c r="C257" s="712" t="s">
        <v>3006</v>
      </c>
      <c r="D257" s="746" t="s">
        <v>1895</v>
      </c>
      <c r="E257" s="747"/>
      <c r="F257" s="4662" t="s">
        <v>3007</v>
      </c>
      <c r="G257" s="4662"/>
      <c r="H257" s="4662"/>
      <c r="K257" s="699" t="s">
        <v>232</v>
      </c>
    </row>
    <row r="258" spans="1:11" ht="12.75" customHeight="1">
      <c r="C258" s="748" t="s">
        <v>1304</v>
      </c>
      <c r="D258" s="746" t="s">
        <v>1897</v>
      </c>
      <c r="E258" s="4662" t="s">
        <v>3105</v>
      </c>
      <c r="F258" s="4662"/>
      <c r="G258" s="4662"/>
      <c r="H258" s="4662"/>
    </row>
    <row r="259" spans="1:11" ht="12.75" customHeight="1">
      <c r="E259" s="4662" t="s">
        <v>3242</v>
      </c>
      <c r="F259" s="4662"/>
      <c r="G259" s="4662"/>
      <c r="H259" s="4662"/>
    </row>
    <row r="260" spans="1:11" ht="12.75" customHeight="1">
      <c r="D260" s="749" t="s">
        <v>3103</v>
      </c>
      <c r="E260" s="4662" t="s">
        <v>3243</v>
      </c>
      <c r="F260" s="4662"/>
      <c r="G260" s="4662"/>
      <c r="H260" s="4662"/>
    </row>
    <row r="261" spans="1:11" ht="9" customHeight="1" thickBot="1"/>
    <row r="262" spans="1:11" ht="16.149999999999999" customHeight="1" thickBot="1">
      <c r="A262" s="4670">
        <v>50</v>
      </c>
      <c r="B262" s="4671"/>
      <c r="C262" s="1516" t="s">
        <v>1000</v>
      </c>
    </row>
    <row r="263" spans="1:11" ht="9" customHeight="1">
      <c r="A263" s="702"/>
    </row>
    <row r="264" spans="1:11" ht="28.15" customHeight="1">
      <c r="A264" s="4668" t="s">
        <v>4294</v>
      </c>
      <c r="B264" s="4668"/>
      <c r="C264" s="4668"/>
      <c r="D264" s="4668"/>
      <c r="E264" s="4668"/>
      <c r="F264" s="4668"/>
      <c r="G264" s="4668"/>
      <c r="H264" s="4668"/>
    </row>
    <row r="265" spans="1:11" ht="9" customHeight="1">
      <c r="A265" s="702"/>
    </row>
    <row r="266" spans="1:11">
      <c r="A266" s="717" t="s">
        <v>3099</v>
      </c>
      <c r="B266" s="744" t="str">
        <f>IF('Part VI-Revenues &amp; Expenses'!$K$59=0,"",'Part VI-Revenues &amp; Expenses'!$K$59)</f>
        <v/>
      </c>
      <c r="C266" s="717" t="s">
        <v>4288</v>
      </c>
      <c r="D266" s="745" t="s">
        <v>4289</v>
      </c>
    </row>
    <row r="267" spans="1:11" ht="1.9" customHeight="1"/>
    <row r="268" spans="1:11" ht="12.75" customHeight="1">
      <c r="C268" s="712" t="s">
        <v>3006</v>
      </c>
      <c r="D268" s="746" t="s">
        <v>1895</v>
      </c>
      <c r="E268" s="747"/>
      <c r="F268" s="4662" t="s">
        <v>3007</v>
      </c>
      <c r="G268" s="4662"/>
      <c r="H268" s="4662"/>
    </row>
    <row r="269" spans="1:11" ht="12.75" customHeight="1">
      <c r="C269" s="748" t="s">
        <v>1304</v>
      </c>
      <c r="D269" s="746" t="s">
        <v>1897</v>
      </c>
      <c r="E269" s="4662" t="s">
        <v>3104</v>
      </c>
      <c r="F269" s="4662"/>
      <c r="G269" s="4662"/>
      <c r="H269" s="4662"/>
    </row>
    <row r="270" spans="1:11" ht="12.75" customHeight="1">
      <c r="C270" s="1514" t="s">
        <v>4293</v>
      </c>
      <c r="E270" s="4662" t="s">
        <v>3242</v>
      </c>
      <c r="F270" s="4662"/>
      <c r="G270" s="4662"/>
      <c r="H270" s="4662"/>
    </row>
    <row r="271" spans="1:11" ht="12.75" customHeight="1">
      <c r="C271" s="1515"/>
      <c r="D271" s="1513" t="s">
        <v>3103</v>
      </c>
      <c r="E271" s="4664" t="s">
        <v>3243</v>
      </c>
      <c r="F271" s="4664"/>
      <c r="G271" s="4664"/>
      <c r="H271" s="4664"/>
    </row>
    <row r="272" spans="1:11" ht="3" customHeight="1">
      <c r="D272" s="746"/>
      <c r="E272" s="1511"/>
      <c r="F272" s="1511"/>
      <c r="G272" s="1511"/>
      <c r="H272" s="1511"/>
    </row>
    <row r="273" spans="1:8" ht="12.75" customHeight="1">
      <c r="C273" s="712" t="s">
        <v>3006</v>
      </c>
      <c r="D273" s="746" t="s">
        <v>1895</v>
      </c>
      <c r="E273" s="747"/>
      <c r="F273" s="743" t="s">
        <v>3007</v>
      </c>
      <c r="G273" s="743"/>
      <c r="H273" s="743"/>
    </row>
    <row r="274" spans="1:8" ht="12.75" customHeight="1">
      <c r="C274" s="748" t="s">
        <v>1304</v>
      </c>
      <c r="D274" s="746" t="s">
        <v>1897</v>
      </c>
      <c r="E274" s="4662" t="s">
        <v>3104</v>
      </c>
      <c r="F274" s="4662"/>
      <c r="G274" s="4662"/>
      <c r="H274" s="4662"/>
    </row>
    <row r="275" spans="1:8" ht="12.75" customHeight="1">
      <c r="C275" s="1514" t="s">
        <v>4293</v>
      </c>
      <c r="E275" s="4662" t="s">
        <v>3242</v>
      </c>
      <c r="F275" s="4662"/>
      <c r="G275" s="4662"/>
      <c r="H275" s="4662"/>
    </row>
    <row r="276" spans="1:8" ht="12.75" customHeight="1">
      <c r="C276" s="1515"/>
      <c r="D276" s="1513" t="s">
        <v>3103</v>
      </c>
      <c r="E276" s="4664" t="s">
        <v>3243</v>
      </c>
      <c r="F276" s="4664"/>
      <c r="G276" s="4664"/>
      <c r="H276" s="4664"/>
    </row>
    <row r="277" spans="1:8" ht="3" customHeight="1">
      <c r="D277" s="746"/>
      <c r="E277" s="1511"/>
      <c r="F277" s="1511"/>
      <c r="G277" s="1511"/>
      <c r="H277" s="1511"/>
    </row>
    <row r="278" spans="1:8" ht="12.75" customHeight="1">
      <c r="C278" s="712" t="s">
        <v>3006</v>
      </c>
      <c r="D278" s="746" t="s">
        <v>1895</v>
      </c>
      <c r="E278" s="747"/>
      <c r="F278" s="743" t="s">
        <v>3007</v>
      </c>
      <c r="G278" s="743"/>
      <c r="H278" s="743"/>
    </row>
    <row r="279" spans="1:8" ht="12.75" customHeight="1">
      <c r="C279" s="748" t="s">
        <v>1304</v>
      </c>
      <c r="D279" s="746" t="s">
        <v>1897</v>
      </c>
      <c r="E279" s="4662" t="s">
        <v>3104</v>
      </c>
      <c r="F279" s="4662"/>
      <c r="G279" s="4662"/>
      <c r="H279" s="4662"/>
    </row>
    <row r="280" spans="1:8" ht="12.75" customHeight="1">
      <c r="C280" s="1514" t="s">
        <v>4293</v>
      </c>
      <c r="E280" s="4662" t="s">
        <v>3242</v>
      </c>
      <c r="F280" s="4662"/>
      <c r="G280" s="4662"/>
      <c r="H280" s="4662"/>
    </row>
    <row r="281" spans="1:8" ht="12.75" customHeight="1">
      <c r="C281" s="1515"/>
      <c r="D281" s="1513" t="s">
        <v>3103</v>
      </c>
      <c r="E281" s="4664" t="s">
        <v>3243</v>
      </c>
      <c r="F281" s="4664"/>
      <c r="G281" s="4664"/>
      <c r="H281" s="4664"/>
    </row>
    <row r="282" spans="1:8" ht="6" customHeight="1">
      <c r="D282" s="746"/>
      <c r="E282" s="1511"/>
      <c r="F282" s="1511"/>
      <c r="G282" s="1511"/>
      <c r="H282" s="1511"/>
    </row>
    <row r="283" spans="1:8">
      <c r="A283" s="717" t="s">
        <v>3099</v>
      </c>
      <c r="B283" s="744" t="str">
        <f>IF('Part VI-Revenues &amp; Expenses'!$L$59=0,"",'Part VI-Revenues &amp; Expenses'!$L$59)</f>
        <v/>
      </c>
      <c r="C283" s="717" t="s">
        <v>3100</v>
      </c>
      <c r="D283" s="745" t="s">
        <v>3244</v>
      </c>
    </row>
    <row r="284" spans="1:8" ht="1.9" customHeight="1"/>
    <row r="285" spans="1:8" ht="12.75" customHeight="1">
      <c r="C285" s="712" t="s">
        <v>3006</v>
      </c>
      <c r="D285" s="746" t="s">
        <v>1895</v>
      </c>
      <c r="E285" s="747"/>
      <c r="F285" s="743" t="s">
        <v>3007</v>
      </c>
      <c r="G285" s="743"/>
      <c r="H285" s="743"/>
    </row>
    <row r="286" spans="1:8" ht="12.75" customHeight="1">
      <c r="C286" s="748" t="s">
        <v>1304</v>
      </c>
      <c r="D286" s="746" t="s">
        <v>1897</v>
      </c>
      <c r="E286" s="4662" t="s">
        <v>3104</v>
      </c>
      <c r="F286" s="4662"/>
      <c r="G286" s="4662"/>
      <c r="H286" s="4662"/>
    </row>
    <row r="287" spans="1:8" ht="12.75" customHeight="1">
      <c r="C287" s="1514" t="s">
        <v>4293</v>
      </c>
      <c r="E287" s="4662" t="s">
        <v>3242</v>
      </c>
      <c r="F287" s="4662"/>
      <c r="G287" s="4662"/>
      <c r="H287" s="4662"/>
    </row>
    <row r="288" spans="1:8" ht="12.75" customHeight="1">
      <c r="C288" s="1515"/>
      <c r="D288" s="1512" t="s">
        <v>3103</v>
      </c>
      <c r="E288" s="4663" t="s">
        <v>3243</v>
      </c>
      <c r="F288" s="4663"/>
      <c r="G288" s="4663"/>
      <c r="H288" s="4663"/>
    </row>
    <row r="289" spans="1:8" ht="3" customHeight="1">
      <c r="D289" s="746"/>
      <c r="E289" s="1511"/>
      <c r="F289" s="1511"/>
      <c r="G289" s="1511"/>
      <c r="H289" s="1511"/>
    </row>
    <row r="290" spans="1:8" ht="12.75" customHeight="1">
      <c r="C290" s="712" t="s">
        <v>3006</v>
      </c>
      <c r="D290" s="746" t="s">
        <v>1895</v>
      </c>
      <c r="E290" s="747"/>
      <c r="F290" s="743" t="s">
        <v>3007</v>
      </c>
      <c r="G290" s="743"/>
      <c r="H290" s="743"/>
    </row>
    <row r="291" spans="1:8" ht="12.75" customHeight="1">
      <c r="C291" s="748" t="s">
        <v>1304</v>
      </c>
      <c r="D291" s="746" t="s">
        <v>1897</v>
      </c>
      <c r="E291" s="4662" t="s">
        <v>3104</v>
      </c>
      <c r="F291" s="4662"/>
      <c r="G291" s="4662"/>
      <c r="H291" s="4662"/>
    </row>
    <row r="292" spans="1:8" ht="12.75" customHeight="1">
      <c r="C292" s="1514" t="s">
        <v>4293</v>
      </c>
      <c r="E292" s="4662" t="s">
        <v>3242</v>
      </c>
      <c r="F292" s="4662"/>
      <c r="G292" s="4662"/>
      <c r="H292" s="4662"/>
    </row>
    <row r="293" spans="1:8" ht="12.75" customHeight="1">
      <c r="C293" s="1515"/>
      <c r="D293" s="1513" t="s">
        <v>3103</v>
      </c>
      <c r="E293" s="4664" t="s">
        <v>3243</v>
      </c>
      <c r="F293" s="4664"/>
      <c r="G293" s="4664"/>
      <c r="H293" s="4664"/>
    </row>
    <row r="294" spans="1:8" ht="3" customHeight="1">
      <c r="D294" s="746"/>
      <c r="E294" s="1511"/>
      <c r="F294" s="1511"/>
      <c r="G294" s="1511"/>
      <c r="H294" s="1511"/>
    </row>
    <row r="295" spans="1:8" ht="12.75" customHeight="1">
      <c r="C295" s="712" t="s">
        <v>3006</v>
      </c>
      <c r="D295" s="746" t="s">
        <v>1895</v>
      </c>
      <c r="E295" s="747"/>
      <c r="F295" s="743" t="s">
        <v>3007</v>
      </c>
      <c r="G295" s="743"/>
      <c r="H295" s="743"/>
    </row>
    <row r="296" spans="1:8" ht="12.75" customHeight="1">
      <c r="C296" s="748" t="s">
        <v>1304</v>
      </c>
      <c r="D296" s="746" t="s">
        <v>1897</v>
      </c>
      <c r="E296" s="4662" t="s">
        <v>3104</v>
      </c>
      <c r="F296" s="4662"/>
      <c r="G296" s="4662"/>
      <c r="H296" s="4662"/>
    </row>
    <row r="297" spans="1:8" ht="12.75" customHeight="1">
      <c r="C297" s="1514" t="s">
        <v>4293</v>
      </c>
      <c r="E297" s="4662" t="s">
        <v>3242</v>
      </c>
      <c r="F297" s="4662"/>
      <c r="G297" s="4662"/>
      <c r="H297" s="4662"/>
    </row>
    <row r="298" spans="1:8" ht="12.75" customHeight="1">
      <c r="C298" s="1515"/>
      <c r="D298" s="1513" t="s">
        <v>3103</v>
      </c>
      <c r="E298" s="4664" t="s">
        <v>3243</v>
      </c>
      <c r="F298" s="4664"/>
      <c r="G298" s="4664"/>
      <c r="H298" s="4664"/>
    </row>
    <row r="299" spans="1:8" ht="6" customHeight="1">
      <c r="D299" s="746"/>
      <c r="E299" s="1511"/>
      <c r="F299" s="1511"/>
      <c r="G299" s="1511"/>
      <c r="H299" s="1511"/>
    </row>
    <row r="300" spans="1:8">
      <c r="A300" s="717" t="s">
        <v>3099</v>
      </c>
      <c r="B300" s="744" t="str">
        <f>IF('Part VI-Revenues &amp; Expenses'!$M$59=0,"",'Part VI-Revenues &amp; Expenses'!$M$59)</f>
        <v/>
      </c>
      <c r="C300" s="717" t="s">
        <v>3101</v>
      </c>
      <c r="D300" s="745" t="s">
        <v>3245</v>
      </c>
    </row>
    <row r="301" spans="1:8" ht="1.9" customHeight="1"/>
    <row r="302" spans="1:8" ht="12.75" customHeight="1">
      <c r="C302" s="712" t="s">
        <v>3006</v>
      </c>
      <c r="D302" s="746" t="s">
        <v>1895</v>
      </c>
      <c r="E302" s="747"/>
      <c r="F302" s="743" t="s">
        <v>3007</v>
      </c>
      <c r="G302" s="743"/>
      <c r="H302" s="743"/>
    </row>
    <row r="303" spans="1:8" ht="12.75" customHeight="1">
      <c r="C303" s="748" t="s">
        <v>1304</v>
      </c>
      <c r="D303" s="746" t="s">
        <v>1897</v>
      </c>
      <c r="E303" s="4662" t="s">
        <v>3104</v>
      </c>
      <c r="F303" s="4662"/>
      <c r="G303" s="4662"/>
      <c r="H303" s="4662"/>
    </row>
    <row r="304" spans="1:8" ht="12.75" customHeight="1">
      <c r="C304" s="1514" t="s">
        <v>4293</v>
      </c>
      <c r="E304" s="4662" t="s">
        <v>3242</v>
      </c>
      <c r="F304" s="4662"/>
      <c r="G304" s="4662"/>
      <c r="H304" s="4662"/>
    </row>
    <row r="305" spans="1:8" ht="12.75" customHeight="1">
      <c r="C305" s="1515"/>
      <c r="D305" s="1512" t="s">
        <v>3103</v>
      </c>
      <c r="E305" s="4663" t="s">
        <v>3243</v>
      </c>
      <c r="F305" s="4663"/>
      <c r="G305" s="4663"/>
      <c r="H305" s="4663"/>
    </row>
    <row r="306" spans="1:8" ht="3" customHeight="1">
      <c r="D306" s="746"/>
      <c r="E306" s="1511"/>
      <c r="F306" s="1511"/>
      <c r="G306" s="1511"/>
      <c r="H306" s="1511"/>
    </row>
    <row r="307" spans="1:8" ht="12.75" customHeight="1">
      <c r="C307" s="712" t="s">
        <v>3006</v>
      </c>
      <c r="D307" s="746" t="s">
        <v>1895</v>
      </c>
      <c r="E307" s="747"/>
      <c r="F307" s="743" t="s">
        <v>3007</v>
      </c>
      <c r="G307" s="743"/>
      <c r="H307" s="743"/>
    </row>
    <row r="308" spans="1:8" ht="12.75" customHeight="1">
      <c r="C308" s="748" t="s">
        <v>1304</v>
      </c>
      <c r="D308" s="746" t="s">
        <v>1897</v>
      </c>
      <c r="E308" s="4662" t="s">
        <v>3104</v>
      </c>
      <c r="F308" s="4662"/>
      <c r="G308" s="4662"/>
      <c r="H308" s="4662"/>
    </row>
    <row r="309" spans="1:8" ht="12.75" customHeight="1">
      <c r="C309" s="1514" t="s">
        <v>4293</v>
      </c>
      <c r="E309" s="4662" t="s">
        <v>3242</v>
      </c>
      <c r="F309" s="4662"/>
      <c r="G309" s="4662"/>
      <c r="H309" s="4662"/>
    </row>
    <row r="310" spans="1:8" ht="12.75" customHeight="1">
      <c r="C310" s="1515"/>
      <c r="D310" s="1513" t="s">
        <v>3103</v>
      </c>
      <c r="E310" s="4664" t="s">
        <v>3243</v>
      </c>
      <c r="F310" s="4664"/>
      <c r="G310" s="4664"/>
      <c r="H310" s="4664"/>
    </row>
    <row r="311" spans="1:8" ht="3" customHeight="1">
      <c r="D311" s="746"/>
      <c r="E311" s="1511"/>
      <c r="F311" s="1511"/>
      <c r="G311" s="1511"/>
      <c r="H311" s="1511"/>
    </row>
    <row r="312" spans="1:8" ht="12.75" customHeight="1">
      <c r="C312" s="712" t="s">
        <v>3006</v>
      </c>
      <c r="D312" s="746" t="s">
        <v>1895</v>
      </c>
      <c r="E312" s="747"/>
      <c r="F312" s="743" t="s">
        <v>3007</v>
      </c>
      <c r="G312" s="743"/>
      <c r="H312" s="743"/>
    </row>
    <row r="313" spans="1:8" ht="12.75" customHeight="1">
      <c r="C313" s="748" t="s">
        <v>1304</v>
      </c>
      <c r="D313" s="746" t="s">
        <v>1897</v>
      </c>
      <c r="E313" s="4662" t="s">
        <v>3104</v>
      </c>
      <c r="F313" s="4662"/>
      <c r="G313" s="4662"/>
      <c r="H313" s="4662"/>
    </row>
    <row r="314" spans="1:8" ht="12.75" customHeight="1">
      <c r="C314" s="1514" t="s">
        <v>4293</v>
      </c>
      <c r="E314" s="4662" t="s">
        <v>3242</v>
      </c>
      <c r="F314" s="4662"/>
      <c r="G314" s="4662"/>
      <c r="H314" s="4662"/>
    </row>
    <row r="315" spans="1:8" ht="12.75" customHeight="1">
      <c r="C315" s="1515"/>
      <c r="D315" s="1513" t="s">
        <v>3103</v>
      </c>
      <c r="E315" s="4664" t="s">
        <v>3243</v>
      </c>
      <c r="F315" s="4664"/>
      <c r="G315" s="4664"/>
      <c r="H315" s="4664"/>
    </row>
    <row r="316" spans="1:8" ht="6" customHeight="1">
      <c r="D316" s="746"/>
      <c r="E316" s="1511"/>
      <c r="F316" s="1511"/>
      <c r="G316" s="1511"/>
      <c r="H316" s="1511"/>
    </row>
    <row r="317" spans="1:8">
      <c r="A317" s="717" t="s">
        <v>3099</v>
      </c>
      <c r="B317" s="744" t="str">
        <f>IF('Part VI-Revenues &amp; Expenses'!$N$59=0,"",'Part VI-Revenues &amp; Expenses'!$N$59)</f>
        <v/>
      </c>
      <c r="C317" s="717" t="s">
        <v>3102</v>
      </c>
      <c r="D317" s="745" t="s">
        <v>3246</v>
      </c>
    </row>
    <row r="318" spans="1:8" ht="1.9" customHeight="1"/>
    <row r="319" spans="1:8" ht="12.75" customHeight="1">
      <c r="C319" s="712" t="s">
        <v>3006</v>
      </c>
      <c r="D319" s="746" t="s">
        <v>1895</v>
      </c>
      <c r="E319" s="747"/>
      <c r="F319" s="743" t="s">
        <v>3007</v>
      </c>
      <c r="G319" s="743"/>
      <c r="H319" s="743"/>
    </row>
    <row r="320" spans="1:8" ht="12.75" customHeight="1">
      <c r="C320" s="748" t="s">
        <v>1304</v>
      </c>
      <c r="D320" s="746" t="s">
        <v>1897</v>
      </c>
      <c r="E320" s="4662" t="s">
        <v>3104</v>
      </c>
      <c r="F320" s="4662"/>
      <c r="G320" s="4662"/>
      <c r="H320" s="4662"/>
    </row>
    <row r="321" spans="1:11" ht="12.75" customHeight="1">
      <c r="C321" s="1514" t="s">
        <v>4293</v>
      </c>
      <c r="E321" s="4662" t="s">
        <v>3242</v>
      </c>
      <c r="F321" s="4662"/>
      <c r="G321" s="4662"/>
      <c r="H321" s="4662"/>
    </row>
    <row r="322" spans="1:11" ht="12.75" customHeight="1">
      <c r="C322" s="1515"/>
      <c r="D322" s="1512" t="s">
        <v>3103</v>
      </c>
      <c r="E322" s="4663" t="s">
        <v>3243</v>
      </c>
      <c r="F322" s="4663"/>
      <c r="G322" s="4663"/>
      <c r="H322" s="4663"/>
    </row>
    <row r="323" spans="1:11" ht="3" customHeight="1">
      <c r="D323" s="746"/>
      <c r="E323" s="1511"/>
      <c r="F323" s="1511"/>
      <c r="G323" s="1511"/>
      <c r="H323" s="1511"/>
    </row>
    <row r="324" spans="1:11" ht="12.75" customHeight="1">
      <c r="C324" s="712" t="s">
        <v>3006</v>
      </c>
      <c r="D324" s="746" t="s">
        <v>1895</v>
      </c>
      <c r="E324" s="747"/>
      <c r="F324" s="743" t="s">
        <v>3007</v>
      </c>
      <c r="G324" s="743"/>
      <c r="H324" s="743"/>
    </row>
    <row r="325" spans="1:11" ht="12.75" customHeight="1">
      <c r="C325" s="748" t="s">
        <v>1304</v>
      </c>
      <c r="D325" s="746" t="s">
        <v>1897</v>
      </c>
      <c r="E325" s="4662" t="s">
        <v>3104</v>
      </c>
      <c r="F325" s="4662"/>
      <c r="G325" s="4662"/>
      <c r="H325" s="4662"/>
    </row>
    <row r="326" spans="1:11" ht="12.75" customHeight="1">
      <c r="C326" s="1514" t="s">
        <v>4293</v>
      </c>
      <c r="E326" s="4662" t="s">
        <v>3242</v>
      </c>
      <c r="F326" s="4662"/>
      <c r="G326" s="4662"/>
      <c r="H326" s="4662"/>
    </row>
    <row r="327" spans="1:11" ht="12.75" customHeight="1">
      <c r="C327" s="1515"/>
      <c r="D327" s="1513" t="s">
        <v>3103</v>
      </c>
      <c r="E327" s="4664" t="s">
        <v>3243</v>
      </c>
      <c r="F327" s="4664"/>
      <c r="G327" s="4664"/>
      <c r="H327" s="4664"/>
    </row>
    <row r="328" spans="1:11" ht="3" customHeight="1">
      <c r="D328" s="746"/>
      <c r="E328" s="1511"/>
      <c r="F328" s="1511"/>
      <c r="G328" s="1511"/>
      <c r="H328" s="1511"/>
    </row>
    <row r="329" spans="1:11" ht="12.75" customHeight="1">
      <c r="C329" s="712" t="s">
        <v>3006</v>
      </c>
      <c r="D329" s="746" t="s">
        <v>1895</v>
      </c>
      <c r="E329" s="747"/>
      <c r="F329" s="743" t="s">
        <v>3007</v>
      </c>
      <c r="G329" s="743"/>
      <c r="H329" s="743"/>
    </row>
    <row r="330" spans="1:11" ht="12.75" customHeight="1">
      <c r="C330" s="748" t="s">
        <v>1304</v>
      </c>
      <c r="D330" s="746" t="s">
        <v>1897</v>
      </c>
      <c r="E330" s="4662" t="s">
        <v>3104</v>
      </c>
      <c r="F330" s="4662"/>
      <c r="G330" s="4662"/>
      <c r="H330" s="4662"/>
    </row>
    <row r="331" spans="1:11" ht="12.75" customHeight="1">
      <c r="C331" s="1514" t="s">
        <v>4293</v>
      </c>
      <c r="E331" s="4662" t="s">
        <v>3242</v>
      </c>
      <c r="F331" s="4662"/>
      <c r="G331" s="4662"/>
      <c r="H331" s="4662"/>
    </row>
    <row r="332" spans="1:11" ht="12.75" customHeight="1">
      <c r="C332" s="1515"/>
      <c r="D332" s="1513" t="s">
        <v>3103</v>
      </c>
      <c r="E332" s="4664" t="s">
        <v>3243</v>
      </c>
      <c r="F332" s="4664"/>
      <c r="G332" s="4664"/>
      <c r="H332" s="4664"/>
    </row>
    <row r="333" spans="1:11" ht="6" customHeight="1">
      <c r="D333" s="746"/>
      <c r="E333" s="1511"/>
      <c r="F333" s="1511"/>
      <c r="G333" s="1511"/>
      <c r="H333" s="1511"/>
    </row>
    <row r="334" spans="1:11">
      <c r="A334" s="717" t="s">
        <v>3099</v>
      </c>
      <c r="B334" s="744" t="str">
        <f>IF('Part VI-Revenues &amp; Expenses'!$O$59=0,"",'Part VI-Revenues &amp; Expenses'!$O$59)</f>
        <v/>
      </c>
      <c r="C334" s="717" t="s">
        <v>4291</v>
      </c>
      <c r="D334" s="745" t="s">
        <v>4292</v>
      </c>
    </row>
    <row r="335" spans="1:11" ht="1.9" customHeight="1"/>
    <row r="336" spans="1:11" ht="12.75" customHeight="1">
      <c r="C336" s="712" t="s">
        <v>3006</v>
      </c>
      <c r="D336" s="746" t="s">
        <v>1895</v>
      </c>
      <c r="E336" s="747"/>
      <c r="F336" s="4662" t="s">
        <v>3007</v>
      </c>
      <c r="G336" s="4662"/>
      <c r="H336" s="4662"/>
      <c r="K336" s="699" t="s">
        <v>232</v>
      </c>
    </row>
    <row r="337" spans="1:8" ht="12.75" customHeight="1">
      <c r="C337" s="748" t="s">
        <v>1304</v>
      </c>
      <c r="D337" s="746" t="s">
        <v>1897</v>
      </c>
      <c r="E337" s="4662" t="s">
        <v>3105</v>
      </c>
      <c r="F337" s="4662"/>
      <c r="G337" s="4662"/>
      <c r="H337" s="4662"/>
    </row>
    <row r="338" spans="1:8" ht="12.75" customHeight="1">
      <c r="E338" s="4662" t="s">
        <v>3242</v>
      </c>
      <c r="F338" s="4662"/>
      <c r="G338" s="4662"/>
      <c r="H338" s="4662"/>
    </row>
    <row r="339" spans="1:8" ht="12.75" customHeight="1">
      <c r="D339" s="749" t="s">
        <v>3103</v>
      </c>
      <c r="E339" s="4662" t="s">
        <v>3243</v>
      </c>
      <c r="F339" s="4662"/>
      <c r="G339" s="4662"/>
      <c r="H339" s="4662"/>
    </row>
    <row r="340" spans="1:8" ht="9" customHeight="1"/>
    <row r="341" spans="1:8" ht="7.5" customHeight="1" thickBot="1">
      <c r="E341" s="4662"/>
      <c r="F341" s="4662"/>
      <c r="G341" s="4662"/>
      <c r="H341" s="4662"/>
    </row>
    <row r="342" spans="1:8" ht="16.149999999999999" customHeight="1" thickBot="1">
      <c r="A342" s="4670">
        <v>60</v>
      </c>
      <c r="B342" s="4671"/>
      <c r="C342" s="1516" t="s">
        <v>1000</v>
      </c>
    </row>
    <row r="343" spans="1:8" ht="9" customHeight="1">
      <c r="A343" s="702"/>
    </row>
    <row r="344" spans="1:8" ht="28.15" customHeight="1">
      <c r="A344" s="4668" t="s">
        <v>4298</v>
      </c>
      <c r="B344" s="4668"/>
      <c r="C344" s="4668"/>
      <c r="D344" s="4668"/>
      <c r="E344" s="4668"/>
      <c r="F344" s="4668"/>
      <c r="G344" s="4668"/>
      <c r="H344" s="4668"/>
    </row>
    <row r="345" spans="1:8" ht="9" customHeight="1">
      <c r="A345" s="702"/>
    </row>
    <row r="346" spans="1:8">
      <c r="A346" s="717" t="s">
        <v>3099</v>
      </c>
      <c r="B346" s="744" t="str">
        <f>IF('Part VI-Revenues &amp; Expenses'!$K$58=0,"",'Part VI-Revenues &amp; Expenses'!$K$58)</f>
        <v/>
      </c>
      <c r="C346" s="717" t="s">
        <v>4288</v>
      </c>
      <c r="D346" s="745" t="s">
        <v>4289</v>
      </c>
    </row>
    <row r="347" spans="1:8" ht="1.9" customHeight="1"/>
    <row r="348" spans="1:8" ht="12.75" customHeight="1">
      <c r="C348" s="712" t="s">
        <v>3006</v>
      </c>
      <c r="D348" s="746" t="s">
        <v>1895</v>
      </c>
      <c r="E348" s="747"/>
      <c r="F348" s="4662" t="s">
        <v>3007</v>
      </c>
      <c r="G348" s="4662"/>
      <c r="H348" s="4662"/>
    </row>
    <row r="349" spans="1:8" ht="12.75" customHeight="1">
      <c r="C349" s="748" t="s">
        <v>1304</v>
      </c>
      <c r="D349" s="746" t="s">
        <v>1897</v>
      </c>
      <c r="E349" s="4662" t="s">
        <v>3104</v>
      </c>
      <c r="F349" s="4662"/>
      <c r="G349" s="4662"/>
      <c r="H349" s="4662"/>
    </row>
    <row r="350" spans="1:8" ht="12.75" customHeight="1">
      <c r="C350" s="1514" t="s">
        <v>4293</v>
      </c>
      <c r="E350" s="4662" t="s">
        <v>3242</v>
      </c>
      <c r="F350" s="4662"/>
      <c r="G350" s="4662"/>
      <c r="H350" s="4662"/>
    </row>
    <row r="351" spans="1:8" ht="12.75" customHeight="1">
      <c r="C351" s="1515"/>
      <c r="D351" s="1513" t="s">
        <v>3103</v>
      </c>
      <c r="E351" s="4664" t="s">
        <v>3243</v>
      </c>
      <c r="F351" s="4664"/>
      <c r="G351" s="4664"/>
      <c r="H351" s="4664"/>
    </row>
    <row r="352" spans="1:8" ht="3" customHeight="1">
      <c r="D352" s="746"/>
      <c r="E352" s="1511"/>
      <c r="F352" s="1511"/>
      <c r="G352" s="1511"/>
      <c r="H352" s="1511"/>
    </row>
    <row r="353" spans="1:8" ht="12.75" customHeight="1">
      <c r="C353" s="712" t="s">
        <v>3006</v>
      </c>
      <c r="D353" s="746" t="s">
        <v>1895</v>
      </c>
      <c r="E353" s="747"/>
      <c r="F353" s="743" t="s">
        <v>3007</v>
      </c>
      <c r="G353" s="743"/>
      <c r="H353" s="743"/>
    </row>
    <row r="354" spans="1:8" ht="12.75" customHeight="1">
      <c r="C354" s="748" t="s">
        <v>1304</v>
      </c>
      <c r="D354" s="746" t="s">
        <v>1897</v>
      </c>
      <c r="E354" s="4662" t="s">
        <v>3104</v>
      </c>
      <c r="F354" s="4662"/>
      <c r="G354" s="4662"/>
      <c r="H354" s="4662"/>
    </row>
    <row r="355" spans="1:8" ht="12.75" customHeight="1">
      <c r="C355" s="1514" t="s">
        <v>4293</v>
      </c>
      <c r="E355" s="4662" t="s">
        <v>3242</v>
      </c>
      <c r="F355" s="4662"/>
      <c r="G355" s="4662"/>
      <c r="H355" s="4662"/>
    </row>
    <row r="356" spans="1:8" ht="12.75" customHeight="1">
      <c r="C356" s="1515"/>
      <c r="D356" s="1513" t="s">
        <v>3103</v>
      </c>
      <c r="E356" s="4664" t="s">
        <v>3243</v>
      </c>
      <c r="F356" s="4664"/>
      <c r="G356" s="4664"/>
      <c r="H356" s="4664"/>
    </row>
    <row r="357" spans="1:8" ht="3" customHeight="1">
      <c r="D357" s="746"/>
      <c r="E357" s="1511"/>
      <c r="F357" s="1511"/>
      <c r="G357" s="1511"/>
      <c r="H357" s="1511"/>
    </row>
    <row r="358" spans="1:8" ht="12.75" customHeight="1">
      <c r="C358" s="712" t="s">
        <v>3006</v>
      </c>
      <c r="D358" s="746" t="s">
        <v>1895</v>
      </c>
      <c r="E358" s="747"/>
      <c r="F358" s="743" t="s">
        <v>3007</v>
      </c>
      <c r="G358" s="743"/>
      <c r="H358" s="743"/>
    </row>
    <row r="359" spans="1:8" ht="12.75" customHeight="1">
      <c r="C359" s="748" t="s">
        <v>1304</v>
      </c>
      <c r="D359" s="746" t="s">
        <v>1897</v>
      </c>
      <c r="E359" s="4662" t="s">
        <v>3104</v>
      </c>
      <c r="F359" s="4662"/>
      <c r="G359" s="4662"/>
      <c r="H359" s="4662"/>
    </row>
    <row r="360" spans="1:8" ht="12.75" customHeight="1">
      <c r="C360" s="1514" t="s">
        <v>4293</v>
      </c>
      <c r="E360" s="4662" t="s">
        <v>3242</v>
      </c>
      <c r="F360" s="4662"/>
      <c r="G360" s="4662"/>
      <c r="H360" s="4662"/>
    </row>
    <row r="361" spans="1:8" ht="12.75" customHeight="1">
      <c r="C361" s="1515"/>
      <c r="D361" s="1513" t="s">
        <v>3103</v>
      </c>
      <c r="E361" s="4664" t="s">
        <v>3243</v>
      </c>
      <c r="F361" s="4664"/>
      <c r="G361" s="4664"/>
      <c r="H361" s="4664"/>
    </row>
    <row r="362" spans="1:8" ht="6" customHeight="1">
      <c r="D362" s="746"/>
      <c r="E362" s="1511"/>
      <c r="F362" s="1511"/>
      <c r="G362" s="1511"/>
      <c r="H362" s="1511"/>
    </row>
    <row r="363" spans="1:8">
      <c r="A363" s="717" t="s">
        <v>3099</v>
      </c>
      <c r="B363" s="744">
        <f>IF('Part VI-Revenues &amp; Expenses'!$L$58=0,"",'Part VI-Revenues &amp; Expenses'!$L$58)</f>
        <v>13</v>
      </c>
      <c r="C363" s="717" t="s">
        <v>3100</v>
      </c>
      <c r="D363" s="745" t="s">
        <v>3244</v>
      </c>
    </row>
    <row r="364" spans="1:8" ht="1.9" customHeight="1"/>
    <row r="365" spans="1:8" ht="12.75" customHeight="1">
      <c r="C365" s="712" t="s">
        <v>3006</v>
      </c>
      <c r="D365" s="746" t="s">
        <v>1895</v>
      </c>
      <c r="E365" s="747"/>
      <c r="F365" s="743" t="s">
        <v>3007</v>
      </c>
      <c r="G365" s="743"/>
      <c r="H365" s="743"/>
    </row>
    <row r="366" spans="1:8" ht="12.75" customHeight="1">
      <c r="C366" s="748" t="s">
        <v>1304</v>
      </c>
      <c r="D366" s="746" t="s">
        <v>1897</v>
      </c>
      <c r="E366" s="4662" t="s">
        <v>3104</v>
      </c>
      <c r="F366" s="4662"/>
      <c r="G366" s="4662"/>
      <c r="H366" s="4662"/>
    </row>
    <row r="367" spans="1:8" ht="12.75" customHeight="1">
      <c r="C367" s="1514" t="s">
        <v>4293</v>
      </c>
      <c r="E367" s="4662" t="s">
        <v>3242</v>
      </c>
      <c r="F367" s="4662"/>
      <c r="G367" s="4662"/>
      <c r="H367" s="4662"/>
    </row>
    <row r="368" spans="1:8" ht="12.75" customHeight="1">
      <c r="C368" s="1515"/>
      <c r="D368" s="1512" t="s">
        <v>3103</v>
      </c>
      <c r="E368" s="4663" t="s">
        <v>3243</v>
      </c>
      <c r="F368" s="4663"/>
      <c r="G368" s="4663"/>
      <c r="H368" s="4663"/>
    </row>
    <row r="369" spans="1:8" ht="3" customHeight="1">
      <c r="D369" s="746"/>
      <c r="E369" s="1511"/>
      <c r="F369" s="1511"/>
      <c r="G369" s="1511"/>
      <c r="H369" s="1511"/>
    </row>
    <row r="370" spans="1:8" ht="12.75" customHeight="1">
      <c r="C370" s="712" t="s">
        <v>3006</v>
      </c>
      <c r="D370" s="746" t="s">
        <v>1895</v>
      </c>
      <c r="E370" s="747"/>
      <c r="F370" s="743" t="s">
        <v>3007</v>
      </c>
      <c r="G370" s="743"/>
      <c r="H370" s="743"/>
    </row>
    <row r="371" spans="1:8" ht="12.75" customHeight="1">
      <c r="C371" s="748" t="s">
        <v>1304</v>
      </c>
      <c r="D371" s="746" t="s">
        <v>1897</v>
      </c>
      <c r="E371" s="4662" t="s">
        <v>3104</v>
      </c>
      <c r="F371" s="4662"/>
      <c r="G371" s="4662"/>
      <c r="H371" s="4662"/>
    </row>
    <row r="372" spans="1:8" ht="12.75" customHeight="1">
      <c r="C372" s="1514" t="s">
        <v>4293</v>
      </c>
      <c r="E372" s="4662" t="s">
        <v>3242</v>
      </c>
      <c r="F372" s="4662"/>
      <c r="G372" s="4662"/>
      <c r="H372" s="4662"/>
    </row>
    <row r="373" spans="1:8" ht="12.75" customHeight="1">
      <c r="C373" s="1515"/>
      <c r="D373" s="1513" t="s">
        <v>3103</v>
      </c>
      <c r="E373" s="4664" t="s">
        <v>3243</v>
      </c>
      <c r="F373" s="4664"/>
      <c r="G373" s="4664"/>
      <c r="H373" s="4664"/>
    </row>
    <row r="374" spans="1:8" ht="3" customHeight="1">
      <c r="D374" s="746"/>
      <c r="E374" s="1511"/>
      <c r="F374" s="1511"/>
      <c r="G374" s="1511"/>
      <c r="H374" s="1511"/>
    </row>
    <row r="375" spans="1:8" ht="12.75" customHeight="1">
      <c r="C375" s="712" t="s">
        <v>3006</v>
      </c>
      <c r="D375" s="746" t="s">
        <v>1895</v>
      </c>
      <c r="E375" s="747"/>
      <c r="F375" s="743" t="s">
        <v>3007</v>
      </c>
      <c r="G375" s="743"/>
      <c r="H375" s="743"/>
    </row>
    <row r="376" spans="1:8" ht="12.75" customHeight="1">
      <c r="C376" s="748" t="s">
        <v>1304</v>
      </c>
      <c r="D376" s="746" t="s">
        <v>1897</v>
      </c>
      <c r="E376" s="4662" t="s">
        <v>3104</v>
      </c>
      <c r="F376" s="4662"/>
      <c r="G376" s="4662"/>
      <c r="H376" s="4662"/>
    </row>
    <row r="377" spans="1:8" ht="12.75" customHeight="1">
      <c r="C377" s="1514" t="s">
        <v>4293</v>
      </c>
      <c r="E377" s="4662" t="s">
        <v>3242</v>
      </c>
      <c r="F377" s="4662"/>
      <c r="G377" s="4662"/>
      <c r="H377" s="4662"/>
    </row>
    <row r="378" spans="1:8" ht="12.75" customHeight="1">
      <c r="C378" s="1515"/>
      <c r="D378" s="1513" t="s">
        <v>3103</v>
      </c>
      <c r="E378" s="4664" t="s">
        <v>3243</v>
      </c>
      <c r="F378" s="4664"/>
      <c r="G378" s="4664"/>
      <c r="H378" s="4664"/>
    </row>
    <row r="379" spans="1:8" ht="6" customHeight="1">
      <c r="D379" s="746"/>
      <c r="E379" s="1511"/>
      <c r="F379" s="1511"/>
      <c r="G379" s="1511"/>
      <c r="H379" s="1511"/>
    </row>
    <row r="380" spans="1:8">
      <c r="A380" s="717" t="s">
        <v>3099</v>
      </c>
      <c r="B380" s="744">
        <f>IF('Part VI-Revenues &amp; Expenses'!$M$58=0,"",'Part VI-Revenues &amp; Expenses'!$M$58)</f>
        <v>34</v>
      </c>
      <c r="C380" s="717" t="s">
        <v>3101</v>
      </c>
      <c r="D380" s="745" t="s">
        <v>3245</v>
      </c>
    </row>
    <row r="381" spans="1:8" ht="1.9" customHeight="1"/>
    <row r="382" spans="1:8" ht="12.75" customHeight="1">
      <c r="C382" s="712" t="s">
        <v>3006</v>
      </c>
      <c r="D382" s="746" t="s">
        <v>1895</v>
      </c>
      <c r="E382" s="747"/>
      <c r="F382" s="743" t="s">
        <v>3007</v>
      </c>
      <c r="G382" s="743"/>
      <c r="H382" s="743"/>
    </row>
    <row r="383" spans="1:8" ht="12.75" customHeight="1">
      <c r="C383" s="748" t="s">
        <v>1304</v>
      </c>
      <c r="D383" s="746" t="s">
        <v>1897</v>
      </c>
      <c r="E383" s="4662" t="s">
        <v>3104</v>
      </c>
      <c r="F383" s="4662"/>
      <c r="G383" s="4662"/>
      <c r="H383" s="4662"/>
    </row>
    <row r="384" spans="1:8" ht="12.75" customHeight="1">
      <c r="C384" s="1514" t="s">
        <v>4293</v>
      </c>
      <c r="E384" s="4662" t="s">
        <v>3242</v>
      </c>
      <c r="F384" s="4662"/>
      <c r="G384" s="4662"/>
      <c r="H384" s="4662"/>
    </row>
    <row r="385" spans="1:8" ht="12.75" customHeight="1">
      <c r="C385" s="1515"/>
      <c r="D385" s="1512" t="s">
        <v>3103</v>
      </c>
      <c r="E385" s="4663" t="s">
        <v>3243</v>
      </c>
      <c r="F385" s="4663"/>
      <c r="G385" s="4663"/>
      <c r="H385" s="4663"/>
    </row>
    <row r="386" spans="1:8" ht="3" customHeight="1">
      <c r="D386" s="746"/>
      <c r="E386" s="1511"/>
      <c r="F386" s="1511"/>
      <c r="G386" s="1511"/>
      <c r="H386" s="1511"/>
    </row>
    <row r="387" spans="1:8" ht="12.75" customHeight="1">
      <c r="C387" s="712" t="s">
        <v>3006</v>
      </c>
      <c r="D387" s="746" t="s">
        <v>1895</v>
      </c>
      <c r="E387" s="747"/>
      <c r="F387" s="743" t="s">
        <v>3007</v>
      </c>
      <c r="G387" s="743"/>
      <c r="H387" s="743"/>
    </row>
    <row r="388" spans="1:8" ht="12.75" customHeight="1">
      <c r="C388" s="748" t="s">
        <v>1304</v>
      </c>
      <c r="D388" s="746" t="s">
        <v>1897</v>
      </c>
      <c r="E388" s="4662" t="s">
        <v>3104</v>
      </c>
      <c r="F388" s="4662"/>
      <c r="G388" s="4662"/>
      <c r="H388" s="4662"/>
    </row>
    <row r="389" spans="1:8" ht="12.75" customHeight="1">
      <c r="C389" s="1514" t="s">
        <v>4293</v>
      </c>
      <c r="E389" s="4662" t="s">
        <v>3242</v>
      </c>
      <c r="F389" s="4662"/>
      <c r="G389" s="4662"/>
      <c r="H389" s="4662"/>
    </row>
    <row r="390" spans="1:8" ht="12.75" customHeight="1">
      <c r="C390" s="1515"/>
      <c r="D390" s="1513" t="s">
        <v>3103</v>
      </c>
      <c r="E390" s="4664" t="s">
        <v>3243</v>
      </c>
      <c r="F390" s="4664"/>
      <c r="G390" s="4664"/>
      <c r="H390" s="4664"/>
    </row>
    <row r="391" spans="1:8" ht="3" customHeight="1">
      <c r="D391" s="746"/>
      <c r="E391" s="1511"/>
      <c r="F391" s="1511"/>
      <c r="G391" s="1511"/>
      <c r="H391" s="1511"/>
    </row>
    <row r="392" spans="1:8" ht="12.75" customHeight="1">
      <c r="C392" s="712" t="s">
        <v>3006</v>
      </c>
      <c r="D392" s="746" t="s">
        <v>1895</v>
      </c>
      <c r="E392" s="747"/>
      <c r="F392" s="743" t="s">
        <v>3007</v>
      </c>
      <c r="G392" s="743"/>
      <c r="H392" s="743"/>
    </row>
    <row r="393" spans="1:8" ht="12.75" customHeight="1">
      <c r="C393" s="748" t="s">
        <v>1304</v>
      </c>
      <c r="D393" s="746" t="s">
        <v>1897</v>
      </c>
      <c r="E393" s="4662" t="s">
        <v>3104</v>
      </c>
      <c r="F393" s="4662"/>
      <c r="G393" s="4662"/>
      <c r="H393" s="4662"/>
    </row>
    <row r="394" spans="1:8" ht="12.75" customHeight="1">
      <c r="C394" s="1514" t="s">
        <v>4293</v>
      </c>
      <c r="E394" s="4662" t="s">
        <v>3242</v>
      </c>
      <c r="F394" s="4662"/>
      <c r="G394" s="4662"/>
      <c r="H394" s="4662"/>
    </row>
    <row r="395" spans="1:8" ht="12.75" customHeight="1">
      <c r="C395" s="1515"/>
      <c r="D395" s="1513" t="s">
        <v>3103</v>
      </c>
      <c r="E395" s="4664" t="s">
        <v>3243</v>
      </c>
      <c r="F395" s="4664"/>
      <c r="G395" s="4664"/>
      <c r="H395" s="4664"/>
    </row>
    <row r="396" spans="1:8" ht="6" customHeight="1">
      <c r="D396" s="746"/>
      <c r="E396" s="1511"/>
      <c r="F396" s="1511"/>
      <c r="G396" s="1511"/>
      <c r="H396" s="1511"/>
    </row>
    <row r="397" spans="1:8">
      <c r="A397" s="717" t="s">
        <v>3099</v>
      </c>
      <c r="B397" s="744">
        <f>IF('Part VI-Revenues &amp; Expenses'!$N$58=0,"",'Part VI-Revenues &amp; Expenses'!$N$58)</f>
        <v>17</v>
      </c>
      <c r="C397" s="717" t="s">
        <v>3102</v>
      </c>
      <c r="D397" s="745" t="s">
        <v>3246</v>
      </c>
    </row>
    <row r="398" spans="1:8" ht="1.9" customHeight="1"/>
    <row r="399" spans="1:8" ht="12.75" customHeight="1">
      <c r="C399" s="712" t="s">
        <v>3006</v>
      </c>
      <c r="D399" s="746" t="s">
        <v>1895</v>
      </c>
      <c r="E399" s="747"/>
      <c r="F399" s="743" t="s">
        <v>3007</v>
      </c>
      <c r="G399" s="743"/>
      <c r="H399" s="743"/>
    </row>
    <row r="400" spans="1:8" ht="12.75" customHeight="1">
      <c r="C400" s="748" t="s">
        <v>1304</v>
      </c>
      <c r="D400" s="746" t="s">
        <v>1897</v>
      </c>
      <c r="E400" s="4662" t="s">
        <v>3104</v>
      </c>
      <c r="F400" s="4662"/>
      <c r="G400" s="4662"/>
      <c r="H400" s="4662"/>
    </row>
    <row r="401" spans="1:11" ht="12.75" customHeight="1">
      <c r="C401" s="1514" t="s">
        <v>4293</v>
      </c>
      <c r="E401" s="4662" t="s">
        <v>3242</v>
      </c>
      <c r="F401" s="4662"/>
      <c r="G401" s="4662"/>
      <c r="H401" s="4662"/>
    </row>
    <row r="402" spans="1:11" ht="12.75" customHeight="1">
      <c r="C402" s="1515"/>
      <c r="D402" s="1512" t="s">
        <v>3103</v>
      </c>
      <c r="E402" s="4663" t="s">
        <v>3243</v>
      </c>
      <c r="F402" s="4663"/>
      <c r="G402" s="4663"/>
      <c r="H402" s="4663"/>
    </row>
    <row r="403" spans="1:11" ht="3" customHeight="1">
      <c r="D403" s="746"/>
      <c r="E403" s="1511"/>
      <c r="F403" s="1511"/>
      <c r="G403" s="1511"/>
      <c r="H403" s="1511"/>
    </row>
    <row r="404" spans="1:11" ht="12.75" customHeight="1">
      <c r="C404" s="712" t="s">
        <v>3006</v>
      </c>
      <c r="D404" s="746" t="s">
        <v>1895</v>
      </c>
      <c r="E404" s="747"/>
      <c r="F404" s="743" t="s">
        <v>3007</v>
      </c>
      <c r="G404" s="743"/>
      <c r="H404" s="743"/>
    </row>
    <row r="405" spans="1:11" ht="12.75" customHeight="1">
      <c r="C405" s="748" t="s">
        <v>1304</v>
      </c>
      <c r="D405" s="746" t="s">
        <v>1897</v>
      </c>
      <c r="E405" s="4662" t="s">
        <v>3104</v>
      </c>
      <c r="F405" s="4662"/>
      <c r="G405" s="4662"/>
      <c r="H405" s="4662"/>
    </row>
    <row r="406" spans="1:11" ht="12.75" customHeight="1">
      <c r="C406" s="1514" t="s">
        <v>4293</v>
      </c>
      <c r="E406" s="4662" t="s">
        <v>3242</v>
      </c>
      <c r="F406" s="4662"/>
      <c r="G406" s="4662"/>
      <c r="H406" s="4662"/>
    </row>
    <row r="407" spans="1:11" ht="12.75" customHeight="1">
      <c r="C407" s="1515"/>
      <c r="D407" s="1513" t="s">
        <v>3103</v>
      </c>
      <c r="E407" s="4664" t="s">
        <v>3243</v>
      </c>
      <c r="F407" s="4664"/>
      <c r="G407" s="4664"/>
      <c r="H407" s="4664"/>
    </row>
    <row r="408" spans="1:11" ht="3" customHeight="1">
      <c r="D408" s="746"/>
      <c r="E408" s="1511"/>
      <c r="F408" s="1511"/>
      <c r="G408" s="1511"/>
      <c r="H408" s="1511"/>
    </row>
    <row r="409" spans="1:11" ht="12.75" customHeight="1">
      <c r="C409" s="712" t="s">
        <v>3006</v>
      </c>
      <c r="D409" s="746" t="s">
        <v>1895</v>
      </c>
      <c r="E409" s="747"/>
      <c r="F409" s="743" t="s">
        <v>3007</v>
      </c>
      <c r="G409" s="743"/>
      <c r="H409" s="743"/>
    </row>
    <row r="410" spans="1:11" ht="12.75" customHeight="1">
      <c r="C410" s="748" t="s">
        <v>1304</v>
      </c>
      <c r="D410" s="746" t="s">
        <v>1897</v>
      </c>
      <c r="E410" s="4662" t="s">
        <v>3104</v>
      </c>
      <c r="F410" s="4662"/>
      <c r="G410" s="4662"/>
      <c r="H410" s="4662"/>
    </row>
    <row r="411" spans="1:11" ht="12.75" customHeight="1">
      <c r="C411" s="1514" t="s">
        <v>4293</v>
      </c>
      <c r="E411" s="4662" t="s">
        <v>3242</v>
      </c>
      <c r="F411" s="4662"/>
      <c r="G411" s="4662"/>
      <c r="H411" s="4662"/>
    </row>
    <row r="412" spans="1:11" ht="12.75" customHeight="1">
      <c r="C412" s="1515"/>
      <c r="D412" s="1513" t="s">
        <v>3103</v>
      </c>
      <c r="E412" s="4664" t="s">
        <v>3243</v>
      </c>
      <c r="F412" s="4664"/>
      <c r="G412" s="4664"/>
      <c r="H412" s="4664"/>
    </row>
    <row r="413" spans="1:11" ht="6" customHeight="1">
      <c r="D413" s="746"/>
      <c r="E413" s="1511"/>
      <c r="F413" s="1511"/>
      <c r="G413" s="1511"/>
      <c r="H413" s="1511"/>
    </row>
    <row r="414" spans="1:11">
      <c r="A414" s="717" t="s">
        <v>3099</v>
      </c>
      <c r="B414" s="744" t="str">
        <f>IF('Part VI-Revenues &amp; Expenses'!$O$58=0,"",'Part VI-Revenues &amp; Expenses'!$O$58)</f>
        <v/>
      </c>
      <c r="C414" s="717" t="s">
        <v>4291</v>
      </c>
      <c r="D414" s="745" t="s">
        <v>4292</v>
      </c>
    </row>
    <row r="415" spans="1:11" ht="1.9" customHeight="1"/>
    <row r="416" spans="1:11" ht="12.75" customHeight="1">
      <c r="C416" s="712" t="s">
        <v>3006</v>
      </c>
      <c r="D416" s="746" t="s">
        <v>1895</v>
      </c>
      <c r="E416" s="747"/>
      <c r="F416" s="4662" t="s">
        <v>3007</v>
      </c>
      <c r="G416" s="4662"/>
      <c r="H416" s="4662"/>
      <c r="K416" s="699" t="s">
        <v>232</v>
      </c>
    </row>
    <row r="417" spans="1:8" ht="12.75" customHeight="1">
      <c r="C417" s="748" t="s">
        <v>1304</v>
      </c>
      <c r="D417" s="746" t="s">
        <v>1897</v>
      </c>
      <c r="E417" s="4662" t="s">
        <v>3105</v>
      </c>
      <c r="F417" s="4662"/>
      <c r="G417" s="4662"/>
      <c r="H417" s="4662"/>
    </row>
    <row r="418" spans="1:8" ht="12.75" customHeight="1">
      <c r="E418" s="4662" t="s">
        <v>3242</v>
      </c>
      <c r="F418" s="4662"/>
      <c r="G418" s="4662"/>
      <c r="H418" s="4662"/>
    </row>
    <row r="419" spans="1:8" ht="12.75" customHeight="1">
      <c r="D419" s="749" t="s">
        <v>3103</v>
      </c>
      <c r="E419" s="4662" t="s">
        <v>3243</v>
      </c>
      <c r="F419" s="4662"/>
      <c r="G419" s="4662"/>
      <c r="H419" s="4662"/>
    </row>
    <row r="420" spans="1:8" ht="9" customHeight="1" thickBot="1"/>
    <row r="421" spans="1:8" ht="16.149999999999999" customHeight="1" thickBot="1">
      <c r="A421" s="4670">
        <v>70</v>
      </c>
      <c r="B421" s="4671"/>
      <c r="C421" s="1516" t="s">
        <v>1000</v>
      </c>
    </row>
    <row r="422" spans="1:8" ht="9" customHeight="1">
      <c r="A422" s="702"/>
    </row>
    <row r="423" spans="1:8" ht="28.15" customHeight="1">
      <c r="A423" s="4668" t="s">
        <v>4299</v>
      </c>
      <c r="B423" s="4668"/>
      <c r="C423" s="4668"/>
      <c r="D423" s="4668"/>
      <c r="E423" s="4668"/>
      <c r="F423" s="4668"/>
      <c r="G423" s="4668"/>
      <c r="H423" s="4668"/>
    </row>
    <row r="424" spans="1:8" ht="9" customHeight="1">
      <c r="A424" s="702"/>
    </row>
    <row r="425" spans="1:8">
      <c r="A425" s="717" t="s">
        <v>3099</v>
      </c>
      <c r="B425" s="744" t="str">
        <f>IF('Part VI-Revenues &amp; Expenses'!$K$57=0,"",'Part VI-Revenues &amp; Expenses'!$K$57)</f>
        <v/>
      </c>
      <c r="C425" s="717" t="s">
        <v>4288</v>
      </c>
      <c r="D425" s="745" t="s">
        <v>4289</v>
      </c>
    </row>
    <row r="426" spans="1:8" ht="1.9" customHeight="1"/>
    <row r="427" spans="1:8" ht="12.75" customHeight="1">
      <c r="C427" s="712" t="s">
        <v>3006</v>
      </c>
      <c r="D427" s="746" t="s">
        <v>1895</v>
      </c>
      <c r="E427" s="747"/>
      <c r="F427" s="4662" t="s">
        <v>3007</v>
      </c>
      <c r="G427" s="4662"/>
      <c r="H427" s="4662"/>
    </row>
    <row r="428" spans="1:8" ht="12.75" customHeight="1">
      <c r="C428" s="748" t="s">
        <v>1304</v>
      </c>
      <c r="D428" s="746" t="s">
        <v>1897</v>
      </c>
      <c r="E428" s="4662" t="s">
        <v>3104</v>
      </c>
      <c r="F428" s="4662"/>
      <c r="G428" s="4662"/>
      <c r="H428" s="4662"/>
    </row>
    <row r="429" spans="1:8" ht="12.75" customHeight="1">
      <c r="C429" s="1514" t="s">
        <v>4293</v>
      </c>
      <c r="E429" s="4662" t="s">
        <v>3242</v>
      </c>
      <c r="F429" s="4662"/>
      <c r="G429" s="4662"/>
      <c r="H429" s="4662"/>
    </row>
    <row r="430" spans="1:8" ht="12.75" customHeight="1">
      <c r="C430" s="1515"/>
      <c r="D430" s="1513" t="s">
        <v>3103</v>
      </c>
      <c r="E430" s="4664" t="s">
        <v>3243</v>
      </c>
      <c r="F430" s="4664"/>
      <c r="G430" s="4664"/>
      <c r="H430" s="4664"/>
    </row>
    <row r="431" spans="1:8" ht="3" customHeight="1">
      <c r="D431" s="746"/>
      <c r="E431" s="1511"/>
      <c r="F431" s="1511"/>
      <c r="G431" s="1511"/>
      <c r="H431" s="1511"/>
    </row>
    <row r="432" spans="1:8" ht="12.75" customHeight="1">
      <c r="C432" s="712" t="s">
        <v>3006</v>
      </c>
      <c r="D432" s="746" t="s">
        <v>1895</v>
      </c>
      <c r="E432" s="747"/>
      <c r="F432" s="743" t="s">
        <v>3007</v>
      </c>
      <c r="G432" s="743"/>
      <c r="H432" s="743"/>
    </row>
    <row r="433" spans="1:8" ht="12.75" customHeight="1">
      <c r="C433" s="748" t="s">
        <v>1304</v>
      </c>
      <c r="D433" s="746" t="s">
        <v>1897</v>
      </c>
      <c r="E433" s="4662" t="s">
        <v>3104</v>
      </c>
      <c r="F433" s="4662"/>
      <c r="G433" s="4662"/>
      <c r="H433" s="4662"/>
    </row>
    <row r="434" spans="1:8" ht="12.75" customHeight="1">
      <c r="C434" s="1514" t="s">
        <v>4293</v>
      </c>
      <c r="E434" s="4662" t="s">
        <v>3242</v>
      </c>
      <c r="F434" s="4662"/>
      <c r="G434" s="4662"/>
      <c r="H434" s="4662"/>
    </row>
    <row r="435" spans="1:8" ht="12.75" customHeight="1">
      <c r="C435" s="1515"/>
      <c r="D435" s="1513" t="s">
        <v>3103</v>
      </c>
      <c r="E435" s="4664" t="s">
        <v>3243</v>
      </c>
      <c r="F435" s="4664"/>
      <c r="G435" s="4664"/>
      <c r="H435" s="4664"/>
    </row>
    <row r="436" spans="1:8" ht="3" customHeight="1">
      <c r="D436" s="746"/>
      <c r="E436" s="1511"/>
      <c r="F436" s="1511"/>
      <c r="G436" s="1511"/>
      <c r="H436" s="1511"/>
    </row>
    <row r="437" spans="1:8" ht="12.75" customHeight="1">
      <c r="C437" s="712" t="s">
        <v>3006</v>
      </c>
      <c r="D437" s="746" t="s">
        <v>1895</v>
      </c>
      <c r="E437" s="747"/>
      <c r="F437" s="743" t="s">
        <v>3007</v>
      </c>
      <c r="G437" s="743"/>
      <c r="H437" s="743"/>
    </row>
    <row r="438" spans="1:8" ht="12.75" customHeight="1">
      <c r="C438" s="748" t="s">
        <v>1304</v>
      </c>
      <c r="D438" s="746" t="s">
        <v>1897</v>
      </c>
      <c r="E438" s="4662" t="s">
        <v>3104</v>
      </c>
      <c r="F438" s="4662"/>
      <c r="G438" s="4662"/>
      <c r="H438" s="4662"/>
    </row>
    <row r="439" spans="1:8" ht="12.75" customHeight="1">
      <c r="C439" s="1514" t="s">
        <v>4293</v>
      </c>
      <c r="E439" s="4662" t="s">
        <v>3242</v>
      </c>
      <c r="F439" s="4662"/>
      <c r="G439" s="4662"/>
      <c r="H439" s="4662"/>
    </row>
    <row r="440" spans="1:8" ht="12.75" customHeight="1">
      <c r="C440" s="1515"/>
      <c r="D440" s="1513" t="s">
        <v>3103</v>
      </c>
      <c r="E440" s="4664" t="s">
        <v>3243</v>
      </c>
      <c r="F440" s="4664"/>
      <c r="G440" s="4664"/>
      <c r="H440" s="4664"/>
    </row>
    <row r="441" spans="1:8" ht="6" customHeight="1">
      <c r="D441" s="746"/>
      <c r="E441" s="1511"/>
      <c r="F441" s="1511"/>
      <c r="G441" s="1511"/>
      <c r="H441" s="1511"/>
    </row>
    <row r="442" spans="1:8">
      <c r="A442" s="717" t="s">
        <v>3099</v>
      </c>
      <c r="B442" s="744" t="str">
        <f>IF('Part VI-Revenues &amp; Expenses'!$L$57=0,"",'Part VI-Revenues &amp; Expenses'!$L$57)</f>
        <v/>
      </c>
      <c r="C442" s="717" t="s">
        <v>3100</v>
      </c>
      <c r="D442" s="745" t="s">
        <v>3244</v>
      </c>
    </row>
    <row r="443" spans="1:8" ht="1.9" customHeight="1"/>
    <row r="444" spans="1:8" ht="12.75" customHeight="1">
      <c r="C444" s="712" t="s">
        <v>3006</v>
      </c>
      <c r="D444" s="746" t="s">
        <v>1895</v>
      </c>
      <c r="E444" s="747"/>
      <c r="F444" s="743" t="s">
        <v>3007</v>
      </c>
      <c r="G444" s="743"/>
      <c r="H444" s="743"/>
    </row>
    <row r="445" spans="1:8" ht="12.75" customHeight="1">
      <c r="C445" s="748" t="s">
        <v>1304</v>
      </c>
      <c r="D445" s="746" t="s">
        <v>1897</v>
      </c>
      <c r="E445" s="4662" t="s">
        <v>3104</v>
      </c>
      <c r="F445" s="4662"/>
      <c r="G445" s="4662"/>
      <c r="H445" s="4662"/>
    </row>
    <row r="446" spans="1:8" ht="12.75" customHeight="1">
      <c r="C446" s="1514" t="s">
        <v>4293</v>
      </c>
      <c r="E446" s="4662" t="s">
        <v>3242</v>
      </c>
      <c r="F446" s="4662"/>
      <c r="G446" s="4662"/>
      <c r="H446" s="4662"/>
    </row>
    <row r="447" spans="1:8" ht="12.75" customHeight="1">
      <c r="C447" s="1515"/>
      <c r="D447" s="1512" t="s">
        <v>3103</v>
      </c>
      <c r="E447" s="4663" t="s">
        <v>3243</v>
      </c>
      <c r="F447" s="4663"/>
      <c r="G447" s="4663"/>
      <c r="H447" s="4663"/>
    </row>
    <row r="448" spans="1:8" ht="3" customHeight="1">
      <c r="D448" s="746"/>
      <c r="E448" s="1511"/>
      <c r="F448" s="1511"/>
      <c r="G448" s="1511"/>
      <c r="H448" s="1511"/>
    </row>
    <row r="449" spans="1:8" ht="12.75" customHeight="1">
      <c r="C449" s="712" t="s">
        <v>3006</v>
      </c>
      <c r="D449" s="746" t="s">
        <v>1895</v>
      </c>
      <c r="E449" s="747"/>
      <c r="F449" s="743" t="s">
        <v>3007</v>
      </c>
      <c r="G449" s="743"/>
      <c r="H449" s="743"/>
    </row>
    <row r="450" spans="1:8" ht="12.75" customHeight="1">
      <c r="C450" s="748" t="s">
        <v>1304</v>
      </c>
      <c r="D450" s="746" t="s">
        <v>1897</v>
      </c>
      <c r="E450" s="4662" t="s">
        <v>3104</v>
      </c>
      <c r="F450" s="4662"/>
      <c r="G450" s="4662"/>
      <c r="H450" s="4662"/>
    </row>
    <row r="451" spans="1:8" ht="12.75" customHeight="1">
      <c r="C451" s="1514" t="s">
        <v>4293</v>
      </c>
      <c r="E451" s="4662" t="s">
        <v>3242</v>
      </c>
      <c r="F451" s="4662"/>
      <c r="G451" s="4662"/>
      <c r="H451" s="4662"/>
    </row>
    <row r="452" spans="1:8" ht="12.75" customHeight="1">
      <c r="C452" s="1515"/>
      <c r="D452" s="1513" t="s">
        <v>3103</v>
      </c>
      <c r="E452" s="4664" t="s">
        <v>3243</v>
      </c>
      <c r="F452" s="4664"/>
      <c r="G452" s="4664"/>
      <c r="H452" s="4664"/>
    </row>
    <row r="453" spans="1:8" ht="3" customHeight="1">
      <c r="D453" s="746"/>
      <c r="E453" s="1511"/>
      <c r="F453" s="1511"/>
      <c r="G453" s="1511"/>
      <c r="H453" s="1511"/>
    </row>
    <row r="454" spans="1:8" ht="12.75" customHeight="1">
      <c r="C454" s="712" t="s">
        <v>3006</v>
      </c>
      <c r="D454" s="746" t="s">
        <v>1895</v>
      </c>
      <c r="E454" s="747"/>
      <c r="F454" s="743" t="s">
        <v>3007</v>
      </c>
      <c r="G454" s="743"/>
      <c r="H454" s="743"/>
    </row>
    <row r="455" spans="1:8" ht="12.75" customHeight="1">
      <c r="C455" s="748" t="s">
        <v>1304</v>
      </c>
      <c r="D455" s="746" t="s">
        <v>1897</v>
      </c>
      <c r="E455" s="4662" t="s">
        <v>3104</v>
      </c>
      <c r="F455" s="4662"/>
      <c r="G455" s="4662"/>
      <c r="H455" s="4662"/>
    </row>
    <row r="456" spans="1:8" ht="12.75" customHeight="1">
      <c r="C456" s="1514" t="s">
        <v>4293</v>
      </c>
      <c r="E456" s="4662" t="s">
        <v>3242</v>
      </c>
      <c r="F456" s="4662"/>
      <c r="G456" s="4662"/>
      <c r="H456" s="4662"/>
    </row>
    <row r="457" spans="1:8" ht="12.75" customHeight="1">
      <c r="C457" s="1515"/>
      <c r="D457" s="1513" t="s">
        <v>3103</v>
      </c>
      <c r="E457" s="4664" t="s">
        <v>3243</v>
      </c>
      <c r="F457" s="4664"/>
      <c r="G457" s="4664"/>
      <c r="H457" s="4664"/>
    </row>
    <row r="458" spans="1:8" ht="6" customHeight="1">
      <c r="D458" s="746"/>
      <c r="E458" s="1511"/>
      <c r="F458" s="1511"/>
      <c r="G458" s="1511"/>
      <c r="H458" s="1511"/>
    </row>
    <row r="459" spans="1:8">
      <c r="A459" s="717" t="s">
        <v>3099</v>
      </c>
      <c r="B459" s="744" t="str">
        <f>IF('Part VI-Revenues &amp; Expenses'!$M$57=0,"",'Part VI-Revenues &amp; Expenses'!$M$57)</f>
        <v/>
      </c>
      <c r="C459" s="717" t="s">
        <v>3101</v>
      </c>
      <c r="D459" s="745" t="s">
        <v>3245</v>
      </c>
    </row>
    <row r="460" spans="1:8" ht="1.9" customHeight="1"/>
    <row r="461" spans="1:8" ht="12.75" customHeight="1">
      <c r="C461" s="712" t="s">
        <v>3006</v>
      </c>
      <c r="D461" s="746" t="s">
        <v>1895</v>
      </c>
      <c r="E461" s="747"/>
      <c r="F461" s="743" t="s">
        <v>3007</v>
      </c>
      <c r="G461" s="743"/>
      <c r="H461" s="743"/>
    </row>
    <row r="462" spans="1:8" ht="12.75" customHeight="1">
      <c r="C462" s="748" t="s">
        <v>1304</v>
      </c>
      <c r="D462" s="746" t="s">
        <v>1897</v>
      </c>
      <c r="E462" s="4662" t="s">
        <v>3104</v>
      </c>
      <c r="F462" s="4662"/>
      <c r="G462" s="4662"/>
      <c r="H462" s="4662"/>
    </row>
    <row r="463" spans="1:8" ht="12.75" customHeight="1">
      <c r="C463" s="1514" t="s">
        <v>4293</v>
      </c>
      <c r="E463" s="4662" t="s">
        <v>3242</v>
      </c>
      <c r="F463" s="4662"/>
      <c r="G463" s="4662"/>
      <c r="H463" s="4662"/>
    </row>
    <row r="464" spans="1:8" ht="12.75" customHeight="1">
      <c r="C464" s="1515"/>
      <c r="D464" s="1512" t="s">
        <v>3103</v>
      </c>
      <c r="E464" s="4663" t="s">
        <v>3243</v>
      </c>
      <c r="F464" s="4663"/>
      <c r="G464" s="4663"/>
      <c r="H464" s="4663"/>
    </row>
    <row r="465" spans="1:8" ht="3" customHeight="1">
      <c r="D465" s="746"/>
      <c r="E465" s="1511"/>
      <c r="F465" s="1511"/>
      <c r="G465" s="1511"/>
      <c r="H465" s="1511"/>
    </row>
    <row r="466" spans="1:8" ht="12.75" customHeight="1">
      <c r="C466" s="712" t="s">
        <v>3006</v>
      </c>
      <c r="D466" s="746" t="s">
        <v>1895</v>
      </c>
      <c r="E466" s="747"/>
      <c r="F466" s="743" t="s">
        <v>3007</v>
      </c>
      <c r="G466" s="743"/>
      <c r="H466" s="743"/>
    </row>
    <row r="467" spans="1:8" ht="12.75" customHeight="1">
      <c r="C467" s="748" t="s">
        <v>1304</v>
      </c>
      <c r="D467" s="746" t="s">
        <v>1897</v>
      </c>
      <c r="E467" s="4662" t="s">
        <v>3104</v>
      </c>
      <c r="F467" s="4662"/>
      <c r="G467" s="4662"/>
      <c r="H467" s="4662"/>
    </row>
    <row r="468" spans="1:8" ht="12.75" customHeight="1">
      <c r="C468" s="1514" t="s">
        <v>4293</v>
      </c>
      <c r="E468" s="4662" t="s">
        <v>3242</v>
      </c>
      <c r="F468" s="4662"/>
      <c r="G468" s="4662"/>
      <c r="H468" s="4662"/>
    </row>
    <row r="469" spans="1:8" ht="12.75" customHeight="1">
      <c r="C469" s="1515"/>
      <c r="D469" s="1513" t="s">
        <v>3103</v>
      </c>
      <c r="E469" s="4664" t="s">
        <v>3243</v>
      </c>
      <c r="F469" s="4664"/>
      <c r="G469" s="4664"/>
      <c r="H469" s="4664"/>
    </row>
    <row r="470" spans="1:8" ht="3" customHeight="1">
      <c r="D470" s="746"/>
      <c r="E470" s="1511"/>
      <c r="F470" s="1511"/>
      <c r="G470" s="1511"/>
      <c r="H470" s="1511"/>
    </row>
    <row r="471" spans="1:8" ht="12.75" customHeight="1">
      <c r="C471" s="712" t="s">
        <v>3006</v>
      </c>
      <c r="D471" s="746" t="s">
        <v>1895</v>
      </c>
      <c r="E471" s="747"/>
      <c r="F471" s="743" t="s">
        <v>3007</v>
      </c>
      <c r="G471" s="743"/>
      <c r="H471" s="743"/>
    </row>
    <row r="472" spans="1:8" ht="12.75" customHeight="1">
      <c r="C472" s="748" t="s">
        <v>1304</v>
      </c>
      <c r="D472" s="746" t="s">
        <v>1897</v>
      </c>
      <c r="E472" s="4662" t="s">
        <v>3104</v>
      </c>
      <c r="F472" s="4662"/>
      <c r="G472" s="4662"/>
      <c r="H472" s="4662"/>
    </row>
    <row r="473" spans="1:8" ht="12.75" customHeight="1">
      <c r="C473" s="1514" t="s">
        <v>4293</v>
      </c>
      <c r="E473" s="4662" t="s">
        <v>3242</v>
      </c>
      <c r="F473" s="4662"/>
      <c r="G473" s="4662"/>
      <c r="H473" s="4662"/>
    </row>
    <row r="474" spans="1:8" ht="12.75" customHeight="1">
      <c r="C474" s="1515"/>
      <c r="D474" s="1513" t="s">
        <v>3103</v>
      </c>
      <c r="E474" s="4664" t="s">
        <v>3243</v>
      </c>
      <c r="F474" s="4664"/>
      <c r="G474" s="4664"/>
      <c r="H474" s="4664"/>
    </row>
    <row r="475" spans="1:8" ht="6" customHeight="1">
      <c r="D475" s="746"/>
      <c r="E475" s="1511"/>
      <c r="F475" s="1511"/>
      <c r="G475" s="1511"/>
      <c r="H475" s="1511"/>
    </row>
    <row r="476" spans="1:8">
      <c r="A476" s="717" t="s">
        <v>3099</v>
      </c>
      <c r="B476" s="744" t="str">
        <f>IF('Part VI-Revenues &amp; Expenses'!$N$57=0,"",'Part VI-Revenues &amp; Expenses'!$N$57)</f>
        <v/>
      </c>
      <c r="C476" s="717" t="s">
        <v>3102</v>
      </c>
      <c r="D476" s="745" t="s">
        <v>3246</v>
      </c>
    </row>
    <row r="477" spans="1:8" ht="1.9" customHeight="1"/>
    <row r="478" spans="1:8" ht="12.75" customHeight="1">
      <c r="C478" s="712" t="s">
        <v>3006</v>
      </c>
      <c r="D478" s="746" t="s">
        <v>1895</v>
      </c>
      <c r="E478" s="747"/>
      <c r="F478" s="743" t="s">
        <v>3007</v>
      </c>
      <c r="G478" s="743"/>
      <c r="H478" s="743"/>
    </row>
    <row r="479" spans="1:8" ht="12.75" customHeight="1">
      <c r="C479" s="748" t="s">
        <v>1304</v>
      </c>
      <c r="D479" s="746" t="s">
        <v>1897</v>
      </c>
      <c r="E479" s="4662" t="s">
        <v>3104</v>
      </c>
      <c r="F479" s="4662"/>
      <c r="G479" s="4662"/>
      <c r="H479" s="4662"/>
    </row>
    <row r="480" spans="1:8" ht="12.75" customHeight="1">
      <c r="C480" s="1514" t="s">
        <v>4293</v>
      </c>
      <c r="E480" s="4662" t="s">
        <v>3242</v>
      </c>
      <c r="F480" s="4662"/>
      <c r="G480" s="4662"/>
      <c r="H480" s="4662"/>
    </row>
    <row r="481" spans="1:11" ht="12.75" customHeight="1">
      <c r="C481" s="1515"/>
      <c r="D481" s="1512" t="s">
        <v>3103</v>
      </c>
      <c r="E481" s="4663" t="s">
        <v>3243</v>
      </c>
      <c r="F481" s="4663"/>
      <c r="G481" s="4663"/>
      <c r="H481" s="4663"/>
    </row>
    <row r="482" spans="1:11" ht="3" customHeight="1">
      <c r="D482" s="746"/>
      <c r="E482" s="1511"/>
      <c r="F482" s="1511"/>
      <c r="G482" s="1511"/>
      <c r="H482" s="1511"/>
    </row>
    <row r="483" spans="1:11" ht="12.75" customHeight="1">
      <c r="C483" s="712" t="s">
        <v>3006</v>
      </c>
      <c r="D483" s="746" t="s">
        <v>1895</v>
      </c>
      <c r="E483" s="747"/>
      <c r="F483" s="743" t="s">
        <v>3007</v>
      </c>
      <c r="G483" s="743"/>
      <c r="H483" s="743"/>
    </row>
    <row r="484" spans="1:11" ht="12.75" customHeight="1">
      <c r="C484" s="748" t="s">
        <v>1304</v>
      </c>
      <c r="D484" s="746" t="s">
        <v>1897</v>
      </c>
      <c r="E484" s="4662" t="s">
        <v>3104</v>
      </c>
      <c r="F484" s="4662"/>
      <c r="G484" s="4662"/>
      <c r="H484" s="4662"/>
    </row>
    <row r="485" spans="1:11" ht="12.75" customHeight="1">
      <c r="C485" s="1514" t="s">
        <v>4293</v>
      </c>
      <c r="E485" s="4662" t="s">
        <v>3242</v>
      </c>
      <c r="F485" s="4662"/>
      <c r="G485" s="4662"/>
      <c r="H485" s="4662"/>
    </row>
    <row r="486" spans="1:11" ht="12.75" customHeight="1">
      <c r="C486" s="1515"/>
      <c r="D486" s="1513" t="s">
        <v>3103</v>
      </c>
      <c r="E486" s="4664" t="s">
        <v>3243</v>
      </c>
      <c r="F486" s="4664"/>
      <c r="G486" s="4664"/>
      <c r="H486" s="4664"/>
    </row>
    <row r="487" spans="1:11" ht="3" customHeight="1">
      <c r="D487" s="746"/>
      <c r="E487" s="1511"/>
      <c r="F487" s="1511"/>
      <c r="G487" s="1511"/>
      <c r="H487" s="1511"/>
    </row>
    <row r="488" spans="1:11" ht="12.75" customHeight="1">
      <c r="C488" s="712" t="s">
        <v>3006</v>
      </c>
      <c r="D488" s="746" t="s">
        <v>1895</v>
      </c>
      <c r="E488" s="747"/>
      <c r="F488" s="743" t="s">
        <v>3007</v>
      </c>
      <c r="G488" s="743"/>
      <c r="H488" s="743"/>
    </row>
    <row r="489" spans="1:11" ht="12.75" customHeight="1">
      <c r="C489" s="748" t="s">
        <v>1304</v>
      </c>
      <c r="D489" s="746" t="s">
        <v>1897</v>
      </c>
      <c r="E489" s="4662" t="s">
        <v>3104</v>
      </c>
      <c r="F489" s="4662"/>
      <c r="G489" s="4662"/>
      <c r="H489" s="4662"/>
    </row>
    <row r="490" spans="1:11" ht="12.75" customHeight="1">
      <c r="C490" s="1514" t="s">
        <v>4293</v>
      </c>
      <c r="E490" s="4662" t="s">
        <v>3242</v>
      </c>
      <c r="F490" s="4662"/>
      <c r="G490" s="4662"/>
      <c r="H490" s="4662"/>
    </row>
    <row r="491" spans="1:11" ht="12.75" customHeight="1">
      <c r="C491" s="1515"/>
      <c r="D491" s="1513" t="s">
        <v>3103</v>
      </c>
      <c r="E491" s="4664" t="s">
        <v>3243</v>
      </c>
      <c r="F491" s="4664"/>
      <c r="G491" s="4664"/>
      <c r="H491" s="4664"/>
    </row>
    <row r="492" spans="1:11" ht="6" customHeight="1">
      <c r="D492" s="746"/>
      <c r="E492" s="1511"/>
      <c r="F492" s="1511"/>
      <c r="G492" s="1511"/>
      <c r="H492" s="1511"/>
    </row>
    <row r="493" spans="1:11">
      <c r="A493" s="717" t="s">
        <v>3099</v>
      </c>
      <c r="B493" s="744" t="str">
        <f>IF('Part VI-Revenues &amp; Expenses'!$O$57=0,"",'Part VI-Revenues &amp; Expenses'!$O$57)</f>
        <v/>
      </c>
      <c r="C493" s="717" t="s">
        <v>4291</v>
      </c>
      <c r="D493" s="745" t="s">
        <v>4292</v>
      </c>
    </row>
    <row r="494" spans="1:11" ht="1.9" customHeight="1"/>
    <row r="495" spans="1:11" ht="12.75" customHeight="1">
      <c r="C495" s="712" t="s">
        <v>3006</v>
      </c>
      <c r="D495" s="746" t="s">
        <v>1895</v>
      </c>
      <c r="E495" s="747"/>
      <c r="F495" s="4662" t="s">
        <v>3007</v>
      </c>
      <c r="G495" s="4662"/>
      <c r="H495" s="4662"/>
      <c r="K495" s="699" t="s">
        <v>232</v>
      </c>
    </row>
    <row r="496" spans="1:11" ht="12.75" customHeight="1">
      <c r="C496" s="748" t="s">
        <v>1304</v>
      </c>
      <c r="D496" s="746" t="s">
        <v>1897</v>
      </c>
      <c r="E496" s="4662" t="s">
        <v>3105</v>
      </c>
      <c r="F496" s="4662"/>
      <c r="G496" s="4662"/>
      <c r="H496" s="4662"/>
    </row>
    <row r="497" spans="1:8" ht="12.75" customHeight="1">
      <c r="E497" s="4662" t="s">
        <v>3242</v>
      </c>
      <c r="F497" s="4662"/>
      <c r="G497" s="4662"/>
      <c r="H497" s="4662"/>
    </row>
    <row r="498" spans="1:8" ht="12.75" customHeight="1">
      <c r="D498" s="749" t="s">
        <v>3103</v>
      </c>
      <c r="E498" s="4662" t="s">
        <v>3243</v>
      </c>
      <c r="F498" s="4662"/>
      <c r="G498" s="4662"/>
      <c r="H498" s="4662"/>
    </row>
    <row r="499" spans="1:8" ht="9" customHeight="1" thickBot="1"/>
    <row r="500" spans="1:8" ht="16.149999999999999" customHeight="1" thickBot="1">
      <c r="A500" s="4670">
        <v>80</v>
      </c>
      <c r="B500" s="4671"/>
      <c r="C500" s="1516" t="s">
        <v>1000</v>
      </c>
    </row>
    <row r="501" spans="1:8" ht="9" customHeight="1">
      <c r="A501" s="702"/>
    </row>
    <row r="502" spans="1:8" ht="28.15" customHeight="1">
      <c r="A502" s="4668" t="s">
        <v>4300</v>
      </c>
      <c r="B502" s="4668"/>
      <c r="C502" s="4668"/>
      <c r="D502" s="4668"/>
      <c r="E502" s="4668"/>
      <c r="F502" s="4668"/>
      <c r="G502" s="4668"/>
      <c r="H502" s="4668"/>
    </row>
    <row r="503" spans="1:8" ht="9" customHeight="1">
      <c r="A503" s="702"/>
    </row>
    <row r="504" spans="1:8">
      <c r="A504" s="717" t="s">
        <v>3099</v>
      </c>
      <c r="B504" s="744" t="str">
        <f>IF('Part VI-Revenues &amp; Expenses'!$K$56=0,"",'Part VI-Revenues &amp; Expenses'!$K$56)</f>
        <v/>
      </c>
      <c r="C504" s="717" t="s">
        <v>4288</v>
      </c>
      <c r="D504" s="745" t="s">
        <v>4289</v>
      </c>
    </row>
    <row r="505" spans="1:8" ht="1.9" customHeight="1"/>
    <row r="506" spans="1:8" ht="12.75" customHeight="1">
      <c r="C506" s="712" t="s">
        <v>3006</v>
      </c>
      <c r="D506" s="746" t="s">
        <v>1895</v>
      </c>
      <c r="E506" s="747"/>
      <c r="F506" s="4662" t="s">
        <v>3007</v>
      </c>
      <c r="G506" s="4662"/>
      <c r="H506" s="4662"/>
    </row>
    <row r="507" spans="1:8" ht="12.75" customHeight="1">
      <c r="C507" s="748" t="s">
        <v>1304</v>
      </c>
      <c r="D507" s="746" t="s">
        <v>1897</v>
      </c>
      <c r="E507" s="4662" t="s">
        <v>3104</v>
      </c>
      <c r="F507" s="4662"/>
      <c r="G507" s="4662"/>
      <c r="H507" s="4662"/>
    </row>
    <row r="508" spans="1:8" ht="12.75" customHeight="1">
      <c r="C508" s="1514" t="s">
        <v>4293</v>
      </c>
      <c r="E508" s="4662" t="s">
        <v>3242</v>
      </c>
      <c r="F508" s="4662"/>
      <c r="G508" s="4662"/>
      <c r="H508" s="4662"/>
    </row>
    <row r="509" spans="1:8" ht="12.75" customHeight="1">
      <c r="C509" s="1515"/>
      <c r="D509" s="1513" t="s">
        <v>3103</v>
      </c>
      <c r="E509" s="4664" t="s">
        <v>3243</v>
      </c>
      <c r="F509" s="4664"/>
      <c r="G509" s="4664"/>
      <c r="H509" s="4664"/>
    </row>
    <row r="510" spans="1:8" ht="3" customHeight="1">
      <c r="D510" s="746"/>
      <c r="E510" s="1511"/>
      <c r="F510" s="1511"/>
      <c r="G510" s="1511"/>
      <c r="H510" s="1511"/>
    </row>
    <row r="511" spans="1:8" ht="12.75" customHeight="1">
      <c r="C511" s="712" t="s">
        <v>3006</v>
      </c>
      <c r="D511" s="746" t="s">
        <v>1895</v>
      </c>
      <c r="E511" s="747"/>
      <c r="F511" s="743" t="s">
        <v>3007</v>
      </c>
      <c r="G511" s="743"/>
      <c r="H511" s="743"/>
    </row>
    <row r="512" spans="1:8" ht="12.75" customHeight="1">
      <c r="C512" s="748" t="s">
        <v>1304</v>
      </c>
      <c r="D512" s="746" t="s">
        <v>1897</v>
      </c>
      <c r="E512" s="4662" t="s">
        <v>3104</v>
      </c>
      <c r="F512" s="4662"/>
      <c r="G512" s="4662"/>
      <c r="H512" s="4662"/>
    </row>
    <row r="513" spans="1:8" ht="12.75" customHeight="1">
      <c r="C513" s="1514" t="s">
        <v>4293</v>
      </c>
      <c r="E513" s="4662" t="s">
        <v>3242</v>
      </c>
      <c r="F513" s="4662"/>
      <c r="G513" s="4662"/>
      <c r="H513" s="4662"/>
    </row>
    <row r="514" spans="1:8" ht="12.75" customHeight="1">
      <c r="C514" s="1515"/>
      <c r="D514" s="1513" t="s">
        <v>3103</v>
      </c>
      <c r="E514" s="4664" t="s">
        <v>3243</v>
      </c>
      <c r="F514" s="4664"/>
      <c r="G514" s="4664"/>
      <c r="H514" s="4664"/>
    </row>
    <row r="515" spans="1:8" ht="3" customHeight="1">
      <c r="D515" s="746"/>
      <c r="E515" s="1511"/>
      <c r="F515" s="1511"/>
      <c r="G515" s="1511"/>
      <c r="H515" s="1511"/>
    </row>
    <row r="516" spans="1:8" ht="12.75" customHeight="1">
      <c r="C516" s="712" t="s">
        <v>3006</v>
      </c>
      <c r="D516" s="746" t="s">
        <v>1895</v>
      </c>
      <c r="E516" s="747"/>
      <c r="F516" s="743" t="s">
        <v>3007</v>
      </c>
      <c r="G516" s="743"/>
      <c r="H516" s="743"/>
    </row>
    <row r="517" spans="1:8" ht="12.75" customHeight="1">
      <c r="C517" s="748" t="s">
        <v>1304</v>
      </c>
      <c r="D517" s="746" t="s">
        <v>1897</v>
      </c>
      <c r="E517" s="4662" t="s">
        <v>3104</v>
      </c>
      <c r="F517" s="4662"/>
      <c r="G517" s="4662"/>
      <c r="H517" s="4662"/>
    </row>
    <row r="518" spans="1:8" ht="12.75" customHeight="1">
      <c r="C518" s="1514" t="s">
        <v>4293</v>
      </c>
      <c r="E518" s="4662" t="s">
        <v>3242</v>
      </c>
      <c r="F518" s="4662"/>
      <c r="G518" s="4662"/>
      <c r="H518" s="4662"/>
    </row>
    <row r="519" spans="1:8" ht="12.75" customHeight="1">
      <c r="C519" s="1515"/>
      <c r="D519" s="1513" t="s">
        <v>3103</v>
      </c>
      <c r="E519" s="4664" t="s">
        <v>3243</v>
      </c>
      <c r="F519" s="4664"/>
      <c r="G519" s="4664"/>
      <c r="H519" s="4664"/>
    </row>
    <row r="520" spans="1:8" ht="6" customHeight="1">
      <c r="D520" s="746"/>
      <c r="E520" s="1511"/>
      <c r="F520" s="1511"/>
      <c r="G520" s="1511"/>
      <c r="H520" s="1511"/>
    </row>
    <row r="521" spans="1:8">
      <c r="A521" s="717" t="s">
        <v>3099</v>
      </c>
      <c r="B521" s="744" t="str">
        <f>IF('Part VI-Revenues &amp; Expenses'!$L$56=0,"",'Part VI-Revenues &amp; Expenses'!$L$56)</f>
        <v/>
      </c>
      <c r="C521" s="717" t="s">
        <v>3100</v>
      </c>
      <c r="D521" s="745" t="s">
        <v>3244</v>
      </c>
    </row>
    <row r="522" spans="1:8" ht="1.9" customHeight="1"/>
    <row r="523" spans="1:8" ht="12.75" customHeight="1">
      <c r="C523" s="712" t="s">
        <v>3006</v>
      </c>
      <c r="D523" s="746" t="s">
        <v>1895</v>
      </c>
      <c r="E523" s="747"/>
      <c r="F523" s="743" t="s">
        <v>3007</v>
      </c>
      <c r="G523" s="743"/>
      <c r="H523" s="743"/>
    </row>
    <row r="524" spans="1:8" ht="12.75" customHeight="1">
      <c r="C524" s="748" t="s">
        <v>1304</v>
      </c>
      <c r="D524" s="746" t="s">
        <v>1897</v>
      </c>
      <c r="E524" s="4662" t="s">
        <v>3104</v>
      </c>
      <c r="F524" s="4662"/>
      <c r="G524" s="4662"/>
      <c r="H524" s="4662"/>
    </row>
    <row r="525" spans="1:8" ht="12.75" customHeight="1">
      <c r="C525" s="1514" t="s">
        <v>4293</v>
      </c>
      <c r="E525" s="4662" t="s">
        <v>3242</v>
      </c>
      <c r="F525" s="4662"/>
      <c r="G525" s="4662"/>
      <c r="H525" s="4662"/>
    </row>
    <row r="526" spans="1:8" ht="12.75" customHeight="1">
      <c r="C526" s="1515"/>
      <c r="D526" s="1512" t="s">
        <v>3103</v>
      </c>
      <c r="E526" s="4663" t="s">
        <v>3243</v>
      </c>
      <c r="F526" s="4663"/>
      <c r="G526" s="4663"/>
      <c r="H526" s="4663"/>
    </row>
    <row r="527" spans="1:8" ht="3" customHeight="1">
      <c r="D527" s="746"/>
      <c r="E527" s="1511"/>
      <c r="F527" s="1511"/>
      <c r="G527" s="1511"/>
      <c r="H527" s="1511"/>
    </row>
    <row r="528" spans="1:8" ht="12.75" customHeight="1">
      <c r="C528" s="712" t="s">
        <v>3006</v>
      </c>
      <c r="D528" s="746" t="s">
        <v>1895</v>
      </c>
      <c r="E528" s="747"/>
      <c r="F528" s="743" t="s">
        <v>3007</v>
      </c>
      <c r="G528" s="743"/>
      <c r="H528" s="743"/>
    </row>
    <row r="529" spans="1:8" ht="12.75" customHeight="1">
      <c r="C529" s="748" t="s">
        <v>1304</v>
      </c>
      <c r="D529" s="746" t="s">
        <v>1897</v>
      </c>
      <c r="E529" s="4662" t="s">
        <v>3104</v>
      </c>
      <c r="F529" s="4662"/>
      <c r="G529" s="4662"/>
      <c r="H529" s="4662"/>
    </row>
    <row r="530" spans="1:8" ht="12.75" customHeight="1">
      <c r="C530" s="1514" t="s">
        <v>4293</v>
      </c>
      <c r="E530" s="4662" t="s">
        <v>3242</v>
      </c>
      <c r="F530" s="4662"/>
      <c r="G530" s="4662"/>
      <c r="H530" s="4662"/>
    </row>
    <row r="531" spans="1:8" ht="12.75" customHeight="1">
      <c r="C531" s="1515"/>
      <c r="D531" s="1513" t="s">
        <v>3103</v>
      </c>
      <c r="E531" s="4664" t="s">
        <v>3243</v>
      </c>
      <c r="F531" s="4664"/>
      <c r="G531" s="4664"/>
      <c r="H531" s="4664"/>
    </row>
    <row r="532" spans="1:8" ht="3" customHeight="1">
      <c r="D532" s="746"/>
      <c r="E532" s="1511"/>
      <c r="F532" s="1511"/>
      <c r="G532" s="1511"/>
      <c r="H532" s="1511"/>
    </row>
    <row r="533" spans="1:8" ht="12.75" customHeight="1">
      <c r="C533" s="712" t="s">
        <v>3006</v>
      </c>
      <c r="D533" s="746" t="s">
        <v>1895</v>
      </c>
      <c r="E533" s="747"/>
      <c r="F533" s="743" t="s">
        <v>3007</v>
      </c>
      <c r="G533" s="743"/>
      <c r="H533" s="743"/>
    </row>
    <row r="534" spans="1:8" ht="12.75" customHeight="1">
      <c r="C534" s="748" t="s">
        <v>1304</v>
      </c>
      <c r="D534" s="746" t="s">
        <v>1897</v>
      </c>
      <c r="E534" s="4662" t="s">
        <v>3104</v>
      </c>
      <c r="F534" s="4662"/>
      <c r="G534" s="4662"/>
      <c r="H534" s="4662"/>
    </row>
    <row r="535" spans="1:8" ht="12.75" customHeight="1">
      <c r="C535" s="1514" t="s">
        <v>4293</v>
      </c>
      <c r="E535" s="4662" t="s">
        <v>3242</v>
      </c>
      <c r="F535" s="4662"/>
      <c r="G535" s="4662"/>
      <c r="H535" s="4662"/>
    </row>
    <row r="536" spans="1:8" ht="12.75" customHeight="1">
      <c r="C536" s="1515"/>
      <c r="D536" s="1513" t="s">
        <v>3103</v>
      </c>
      <c r="E536" s="4664" t="s">
        <v>3243</v>
      </c>
      <c r="F536" s="4664"/>
      <c r="G536" s="4664"/>
      <c r="H536" s="4664"/>
    </row>
    <row r="537" spans="1:8" ht="6" customHeight="1">
      <c r="D537" s="746"/>
      <c r="E537" s="1511"/>
      <c r="F537" s="1511"/>
      <c r="G537" s="1511"/>
      <c r="H537" s="1511"/>
    </row>
    <row r="538" spans="1:8">
      <c r="A538" s="717" t="s">
        <v>3099</v>
      </c>
      <c r="B538" s="744" t="str">
        <f>IF('Part VI-Revenues &amp; Expenses'!$M$56=0,"",'Part VI-Revenues &amp; Expenses'!$M$56)</f>
        <v/>
      </c>
      <c r="C538" s="717" t="s">
        <v>3101</v>
      </c>
      <c r="D538" s="745" t="s">
        <v>3245</v>
      </c>
    </row>
    <row r="539" spans="1:8" ht="1.9" customHeight="1"/>
    <row r="540" spans="1:8" ht="12.75" customHeight="1">
      <c r="C540" s="712" t="s">
        <v>3006</v>
      </c>
      <c r="D540" s="746" t="s">
        <v>1895</v>
      </c>
      <c r="E540" s="747"/>
      <c r="F540" s="743" t="s">
        <v>3007</v>
      </c>
      <c r="G540" s="743"/>
      <c r="H540" s="743"/>
    </row>
    <row r="541" spans="1:8" ht="12.75" customHeight="1">
      <c r="C541" s="748" t="s">
        <v>1304</v>
      </c>
      <c r="D541" s="746" t="s">
        <v>1897</v>
      </c>
      <c r="E541" s="4662" t="s">
        <v>3104</v>
      </c>
      <c r="F541" s="4662"/>
      <c r="G541" s="4662"/>
      <c r="H541" s="4662"/>
    </row>
    <row r="542" spans="1:8" ht="12.75" customHeight="1">
      <c r="C542" s="1514" t="s">
        <v>4293</v>
      </c>
      <c r="E542" s="4662" t="s">
        <v>3242</v>
      </c>
      <c r="F542" s="4662"/>
      <c r="G542" s="4662"/>
      <c r="H542" s="4662"/>
    </row>
    <row r="543" spans="1:8" ht="12.75" customHeight="1">
      <c r="C543" s="1515"/>
      <c r="D543" s="1512" t="s">
        <v>3103</v>
      </c>
      <c r="E543" s="4663" t="s">
        <v>3243</v>
      </c>
      <c r="F543" s="4663"/>
      <c r="G543" s="4663"/>
      <c r="H543" s="4663"/>
    </row>
    <row r="544" spans="1:8" ht="3" customHeight="1">
      <c r="D544" s="746"/>
      <c r="E544" s="1511"/>
      <c r="F544" s="1511"/>
      <c r="G544" s="1511"/>
      <c r="H544" s="1511"/>
    </row>
    <row r="545" spans="1:8" ht="12.75" customHeight="1">
      <c r="C545" s="712" t="s">
        <v>3006</v>
      </c>
      <c r="D545" s="746" t="s">
        <v>1895</v>
      </c>
      <c r="E545" s="747"/>
      <c r="F545" s="743" t="s">
        <v>3007</v>
      </c>
      <c r="G545" s="743"/>
      <c r="H545" s="743"/>
    </row>
    <row r="546" spans="1:8" ht="12.75" customHeight="1">
      <c r="C546" s="748" t="s">
        <v>1304</v>
      </c>
      <c r="D546" s="746" t="s">
        <v>1897</v>
      </c>
      <c r="E546" s="4662" t="s">
        <v>3104</v>
      </c>
      <c r="F546" s="4662"/>
      <c r="G546" s="4662"/>
      <c r="H546" s="4662"/>
    </row>
    <row r="547" spans="1:8" ht="12.75" customHeight="1">
      <c r="C547" s="1514" t="s">
        <v>4293</v>
      </c>
      <c r="E547" s="4662" t="s">
        <v>3242</v>
      </c>
      <c r="F547" s="4662"/>
      <c r="G547" s="4662"/>
      <c r="H547" s="4662"/>
    </row>
    <row r="548" spans="1:8" ht="12.75" customHeight="1">
      <c r="C548" s="1515"/>
      <c r="D548" s="1513" t="s">
        <v>3103</v>
      </c>
      <c r="E548" s="4664" t="s">
        <v>3243</v>
      </c>
      <c r="F548" s="4664"/>
      <c r="G548" s="4664"/>
      <c r="H548" s="4664"/>
    </row>
    <row r="549" spans="1:8" ht="3" customHeight="1">
      <c r="D549" s="746"/>
      <c r="E549" s="1511"/>
      <c r="F549" s="1511"/>
      <c r="G549" s="1511"/>
      <c r="H549" s="1511"/>
    </row>
    <row r="550" spans="1:8" ht="12.75" customHeight="1">
      <c r="C550" s="712" t="s">
        <v>3006</v>
      </c>
      <c r="D550" s="746" t="s">
        <v>1895</v>
      </c>
      <c r="E550" s="747"/>
      <c r="F550" s="743" t="s">
        <v>3007</v>
      </c>
      <c r="G550" s="743"/>
      <c r="H550" s="743"/>
    </row>
    <row r="551" spans="1:8" ht="12.75" customHeight="1">
      <c r="C551" s="748" t="s">
        <v>1304</v>
      </c>
      <c r="D551" s="746" t="s">
        <v>1897</v>
      </c>
      <c r="E551" s="4662" t="s">
        <v>3104</v>
      </c>
      <c r="F551" s="4662"/>
      <c r="G551" s="4662"/>
      <c r="H551" s="4662"/>
    </row>
    <row r="552" spans="1:8" ht="12.75" customHeight="1">
      <c r="C552" s="1514" t="s">
        <v>4293</v>
      </c>
      <c r="E552" s="4662" t="s">
        <v>3242</v>
      </c>
      <c r="F552" s="4662"/>
      <c r="G552" s="4662"/>
      <c r="H552" s="4662"/>
    </row>
    <row r="553" spans="1:8" ht="12.75" customHeight="1">
      <c r="C553" s="1515"/>
      <c r="D553" s="1513" t="s">
        <v>3103</v>
      </c>
      <c r="E553" s="4664" t="s">
        <v>3243</v>
      </c>
      <c r="F553" s="4664"/>
      <c r="G553" s="4664"/>
      <c r="H553" s="4664"/>
    </row>
    <row r="554" spans="1:8" ht="6" customHeight="1">
      <c r="D554" s="746"/>
      <c r="E554" s="1511"/>
      <c r="F554" s="1511"/>
      <c r="G554" s="1511"/>
      <c r="H554" s="1511"/>
    </row>
    <row r="555" spans="1:8">
      <c r="A555" s="717" t="s">
        <v>3099</v>
      </c>
      <c r="B555" s="744" t="str">
        <f>IF('Part VI-Revenues &amp; Expenses'!$N$56=0,"",'Part VI-Revenues &amp; Expenses'!$N$56)</f>
        <v/>
      </c>
      <c r="C555" s="717" t="s">
        <v>3102</v>
      </c>
      <c r="D555" s="745" t="s">
        <v>3246</v>
      </c>
    </row>
    <row r="556" spans="1:8" ht="1.9" customHeight="1"/>
    <row r="557" spans="1:8" ht="12.75" customHeight="1">
      <c r="C557" s="712" t="s">
        <v>3006</v>
      </c>
      <c r="D557" s="746" t="s">
        <v>1895</v>
      </c>
      <c r="E557" s="747"/>
      <c r="F557" s="743" t="s">
        <v>3007</v>
      </c>
      <c r="G557" s="743"/>
      <c r="H557" s="743"/>
    </row>
    <row r="558" spans="1:8" ht="12.75" customHeight="1">
      <c r="C558" s="748" t="s">
        <v>1304</v>
      </c>
      <c r="D558" s="746" t="s">
        <v>1897</v>
      </c>
      <c r="E558" s="4662" t="s">
        <v>3104</v>
      </c>
      <c r="F558" s="4662"/>
      <c r="G558" s="4662"/>
      <c r="H558" s="4662"/>
    </row>
    <row r="559" spans="1:8" ht="12.75" customHeight="1">
      <c r="C559" s="1514" t="s">
        <v>4293</v>
      </c>
      <c r="E559" s="4662" t="s">
        <v>3242</v>
      </c>
      <c r="F559" s="4662"/>
      <c r="G559" s="4662"/>
      <c r="H559" s="4662"/>
    </row>
    <row r="560" spans="1:8" ht="12.75" customHeight="1">
      <c r="C560" s="1515"/>
      <c r="D560" s="1512" t="s">
        <v>3103</v>
      </c>
      <c r="E560" s="4663" t="s">
        <v>3243</v>
      </c>
      <c r="F560" s="4663"/>
      <c r="G560" s="4663"/>
      <c r="H560" s="4663"/>
    </row>
    <row r="561" spans="1:11" ht="3" customHeight="1">
      <c r="D561" s="746"/>
      <c r="E561" s="1511"/>
      <c r="F561" s="1511"/>
      <c r="G561" s="1511"/>
      <c r="H561" s="1511"/>
    </row>
    <row r="562" spans="1:11" ht="12.75" customHeight="1">
      <c r="C562" s="712" t="s">
        <v>3006</v>
      </c>
      <c r="D562" s="746" t="s">
        <v>1895</v>
      </c>
      <c r="E562" s="747"/>
      <c r="F562" s="743" t="s">
        <v>3007</v>
      </c>
      <c r="G562" s="743"/>
      <c r="H562" s="743"/>
    </row>
    <row r="563" spans="1:11" ht="12.75" customHeight="1">
      <c r="C563" s="748" t="s">
        <v>1304</v>
      </c>
      <c r="D563" s="746" t="s">
        <v>1897</v>
      </c>
      <c r="E563" s="4662" t="s">
        <v>3104</v>
      </c>
      <c r="F563" s="4662"/>
      <c r="G563" s="4662"/>
      <c r="H563" s="4662"/>
    </row>
    <row r="564" spans="1:11" ht="12.75" customHeight="1">
      <c r="C564" s="1514" t="s">
        <v>4293</v>
      </c>
      <c r="E564" s="4662" t="s">
        <v>3242</v>
      </c>
      <c r="F564" s="4662"/>
      <c r="G564" s="4662"/>
      <c r="H564" s="4662"/>
    </row>
    <row r="565" spans="1:11" ht="12.75" customHeight="1">
      <c r="C565" s="1515"/>
      <c r="D565" s="1513" t="s">
        <v>3103</v>
      </c>
      <c r="E565" s="4664" t="s">
        <v>3243</v>
      </c>
      <c r="F565" s="4664"/>
      <c r="G565" s="4664"/>
      <c r="H565" s="4664"/>
    </row>
    <row r="566" spans="1:11" ht="3" customHeight="1">
      <c r="D566" s="746"/>
      <c r="E566" s="1511"/>
      <c r="F566" s="1511"/>
      <c r="G566" s="1511"/>
      <c r="H566" s="1511"/>
    </row>
    <row r="567" spans="1:11" ht="12.75" customHeight="1">
      <c r="C567" s="712" t="s">
        <v>3006</v>
      </c>
      <c r="D567" s="746" t="s">
        <v>1895</v>
      </c>
      <c r="E567" s="747"/>
      <c r="F567" s="743" t="s">
        <v>3007</v>
      </c>
      <c r="G567" s="743"/>
      <c r="H567" s="743"/>
    </row>
    <row r="568" spans="1:11" ht="12.75" customHeight="1">
      <c r="C568" s="748" t="s">
        <v>1304</v>
      </c>
      <c r="D568" s="746" t="s">
        <v>1897</v>
      </c>
      <c r="E568" s="4662" t="s">
        <v>3104</v>
      </c>
      <c r="F568" s="4662"/>
      <c r="G568" s="4662"/>
      <c r="H568" s="4662"/>
    </row>
    <row r="569" spans="1:11" ht="12.75" customHeight="1">
      <c r="C569" s="1514" t="s">
        <v>4293</v>
      </c>
      <c r="E569" s="4662" t="s">
        <v>3242</v>
      </c>
      <c r="F569" s="4662"/>
      <c r="G569" s="4662"/>
      <c r="H569" s="4662"/>
    </row>
    <row r="570" spans="1:11" ht="12.75" customHeight="1">
      <c r="C570" s="1515"/>
      <c r="D570" s="1513" t="s">
        <v>3103</v>
      </c>
      <c r="E570" s="4664" t="s">
        <v>3243</v>
      </c>
      <c r="F570" s="4664"/>
      <c r="G570" s="4664"/>
      <c r="H570" s="4664"/>
    </row>
    <row r="571" spans="1:11" ht="6" customHeight="1">
      <c r="D571" s="746"/>
      <c r="E571" s="1511"/>
      <c r="F571" s="1511"/>
      <c r="G571" s="1511"/>
      <c r="H571" s="1511"/>
    </row>
    <row r="572" spans="1:11">
      <c r="A572" s="717" t="s">
        <v>3099</v>
      </c>
      <c r="B572" s="744" t="str">
        <f>IF('Part VI-Revenues &amp; Expenses'!$O$56=0,"",'Part VI-Revenues &amp; Expenses'!$O$56)</f>
        <v/>
      </c>
      <c r="C572" s="717" t="s">
        <v>4291</v>
      </c>
      <c r="D572" s="745" t="s">
        <v>4292</v>
      </c>
    </row>
    <row r="573" spans="1:11" ht="1.9" customHeight="1"/>
    <row r="574" spans="1:11" ht="12.75" customHeight="1">
      <c r="C574" s="712" t="s">
        <v>3006</v>
      </c>
      <c r="D574" s="746" t="s">
        <v>1895</v>
      </c>
      <c r="E574" s="747"/>
      <c r="F574" s="4662" t="s">
        <v>3007</v>
      </c>
      <c r="G574" s="4662"/>
      <c r="H574" s="4662"/>
      <c r="K574" s="699" t="s">
        <v>232</v>
      </c>
    </row>
    <row r="575" spans="1:11" ht="12.75" customHeight="1">
      <c r="C575" s="748" t="s">
        <v>1304</v>
      </c>
      <c r="D575" s="746" t="s">
        <v>1897</v>
      </c>
      <c r="E575" s="4662" t="s">
        <v>3105</v>
      </c>
      <c r="F575" s="4662"/>
      <c r="G575" s="4662"/>
      <c r="H575" s="4662"/>
    </row>
    <row r="576" spans="1:11" ht="12.75" customHeight="1">
      <c r="E576" s="4662" t="s">
        <v>3242</v>
      </c>
      <c r="F576" s="4662"/>
      <c r="G576" s="4662"/>
      <c r="H576" s="4662"/>
    </row>
    <row r="577" spans="4:8" ht="12.75" customHeight="1">
      <c r="D577" s="749" t="s">
        <v>3103</v>
      </c>
      <c r="E577" s="4662" t="s">
        <v>3243</v>
      </c>
      <c r="F577" s="4662"/>
      <c r="G577" s="4662"/>
      <c r="H577" s="4662"/>
    </row>
    <row r="578" spans="4:8" ht="9" customHeight="1"/>
    <row r="579" spans="4:8" ht="7.5" customHeight="1">
      <c r="E579" s="4662"/>
      <c r="F579" s="4662"/>
      <c r="G579" s="4662"/>
      <c r="H579" s="4662"/>
    </row>
  </sheetData>
  <sheetProtection algorithmName="SHA-512" hashValue="Unri8NwXP0ePSZ+wJqJNYzd9OLP7CCWvjHtohHXVAVYY8aASJ7GkHq3YaGV/YkOnIpRHoKJgLhDMkFrZ+K7mHw==" saltValue="ASUEZmNspNNkLRTDrPcorQ=="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A4" sqref="A4:K4"/>
    </sheetView>
  </sheetViews>
  <sheetFormatPr defaultColWidth="9.140625" defaultRowHeight="15.75"/>
  <cols>
    <col min="1" max="1" width="4.5703125" style="699" customWidth="1"/>
    <col min="2" max="2" width="6" style="699" customWidth="1"/>
    <col min="3" max="3" width="8.28515625" style="699" customWidth="1"/>
    <col min="4" max="4" width="7.42578125" style="699" customWidth="1"/>
    <col min="5" max="5" width="7.85546875" style="699" customWidth="1"/>
    <col min="6" max="7" width="6.85546875" style="699" customWidth="1"/>
    <col min="8" max="8" width="5" style="699" customWidth="1"/>
    <col min="9" max="10" width="6.7109375" style="699" customWidth="1"/>
    <col min="11" max="11" width="3.28515625" style="1567" customWidth="1"/>
    <col min="12" max="13" width="6.85546875" style="699" customWidth="1"/>
    <col min="14" max="14" width="8.140625" style="699" customWidth="1"/>
    <col min="15" max="15" width="9.140625" style="699"/>
    <col min="16" max="17" width="5.5703125" style="699" customWidth="1"/>
    <col min="18" max="18" width="8.140625" style="699" customWidth="1"/>
    <col min="19" max="19" width="5.7109375" style="700" customWidth="1"/>
    <col min="20" max="20" width="5.7109375" style="699" customWidth="1"/>
    <col min="21" max="21" width="3.7109375" style="699" customWidth="1"/>
    <col min="22" max="23" width="5.42578125" style="699" customWidth="1"/>
    <col min="24" max="16384" width="9.140625" style="699"/>
  </cols>
  <sheetData>
    <row r="1" spans="1:14">
      <c r="A1" s="582" t="s">
        <v>3000</v>
      </c>
      <c r="H1" s="708" t="str">
        <f>'Sensitivity Analysis'!C8</f>
        <v>West Point Village Phase II</v>
      </c>
    </row>
    <row r="2" spans="1:14">
      <c r="A2" s="636" t="s">
        <v>3001</v>
      </c>
      <c r="H2" s="699" t="str">
        <f>'Sensitivity Analysis'!E8</f>
        <v>2021-067</v>
      </c>
    </row>
    <row r="3" spans="1:14" ht="3" customHeight="1"/>
    <row r="4" spans="1:14" ht="69.599999999999994" customHeight="1">
      <c r="A4" s="4665" t="s">
        <v>3097</v>
      </c>
      <c r="B4" s="4665"/>
      <c r="C4" s="4665"/>
      <c r="D4" s="4665"/>
      <c r="E4" s="4665"/>
      <c r="F4" s="4665"/>
      <c r="G4" s="4665"/>
      <c r="H4" s="4665"/>
      <c r="I4" s="4665"/>
      <c r="J4" s="4665"/>
      <c r="K4" s="4665"/>
      <c r="L4" s="4672">
        <f>SUM('Part VII-Pro Forma'!B15:B17)/12</f>
        <v>48624.287400000001</v>
      </c>
      <c r="M4" s="4672"/>
      <c r="N4" s="1568" t="s">
        <v>3815</v>
      </c>
    </row>
    <row r="5" spans="1:14" ht="1.5" customHeight="1">
      <c r="C5" s="741"/>
      <c r="D5" s="741"/>
      <c r="E5" s="741"/>
      <c r="F5" s="741"/>
      <c r="G5" s="741"/>
      <c r="H5" s="741"/>
    </row>
    <row r="6" spans="1:14" ht="12.75" customHeight="1">
      <c r="B6" s="742" t="s">
        <v>2323</v>
      </c>
      <c r="C6" s="712" t="s">
        <v>3002</v>
      </c>
      <c r="D6" s="712"/>
      <c r="E6" s="712"/>
      <c r="F6" s="712"/>
      <c r="G6" s="712"/>
      <c r="H6" s="712"/>
    </row>
    <row r="7" spans="1:14" ht="12.75" customHeight="1">
      <c r="B7" s="742" t="s">
        <v>2324</v>
      </c>
      <c r="C7" s="4665" t="s">
        <v>3003</v>
      </c>
      <c r="D7" s="4665"/>
      <c r="E7" s="4665"/>
      <c r="F7" s="4665"/>
      <c r="G7" s="4665"/>
      <c r="H7" s="4665"/>
      <c r="I7" s="4665"/>
      <c r="J7" s="4665"/>
      <c r="K7" s="4665"/>
      <c r="L7" s="4665"/>
      <c r="M7" s="4665"/>
    </row>
    <row r="8" spans="1:14" ht="3" customHeight="1"/>
    <row r="9" spans="1:14">
      <c r="A9" s="699" t="s">
        <v>3004</v>
      </c>
    </row>
    <row r="10" spans="1:14" ht="1.5" customHeight="1"/>
    <row r="11" spans="1:14" ht="26.25" customHeight="1">
      <c r="A11" s="743" t="s">
        <v>1892</v>
      </c>
      <c r="B11" s="4665" t="s">
        <v>3094</v>
      </c>
      <c r="C11" s="4665"/>
      <c r="D11" s="4665"/>
      <c r="E11" s="4665"/>
      <c r="F11" s="4665"/>
      <c r="G11" s="4665"/>
      <c r="H11" s="4665"/>
      <c r="I11" s="4665"/>
      <c r="J11" s="4665"/>
      <c r="K11" s="4665"/>
      <c r="L11" s="4666">
        <f>'Part III-Sources of Funds'!I51+'Part III-Sources of Funds'!I52</f>
        <v>12868713</v>
      </c>
      <c r="M11" s="4666"/>
    </row>
    <row r="12" spans="1:14" ht="1.5" customHeight="1">
      <c r="G12" s="712"/>
      <c r="H12" s="712"/>
    </row>
    <row r="13" spans="1:14" ht="25.9" customHeight="1">
      <c r="A13" s="743" t="s">
        <v>1894</v>
      </c>
      <c r="B13" s="4665" t="s">
        <v>3095</v>
      </c>
      <c r="C13" s="4665"/>
      <c r="D13" s="4665"/>
      <c r="E13" s="4665"/>
      <c r="F13" s="4665"/>
      <c r="G13" s="4665"/>
      <c r="H13" s="4665"/>
      <c r="I13" s="4665"/>
      <c r="J13" s="4665"/>
      <c r="K13" s="4665"/>
      <c r="L13" s="4667" t="s">
        <v>2932</v>
      </c>
      <c r="M13" s="4667"/>
    </row>
    <row r="14" spans="1:14">
      <c r="A14" s="743"/>
      <c r="B14" s="4494"/>
      <c r="C14" s="4494"/>
      <c r="D14" s="4494"/>
      <c r="E14" s="4494"/>
      <c r="F14" s="4494"/>
      <c r="G14" s="4494"/>
      <c r="H14" s="4494"/>
    </row>
    <row r="15" spans="1:14" ht="3" customHeight="1"/>
    <row r="16" spans="1:14">
      <c r="A16" s="743" t="s">
        <v>719</v>
      </c>
      <c r="B16" s="699" t="s">
        <v>3098</v>
      </c>
      <c r="F16" s="735"/>
      <c r="L16" s="4479" t="s">
        <v>2771</v>
      </c>
      <c r="M16" s="4479"/>
    </row>
    <row r="17" spans="1:19" ht="1.5" customHeight="1">
      <c r="L17" s="717"/>
    </row>
    <row r="18" spans="1:19" ht="12" customHeight="1">
      <c r="A18" s="743" t="s">
        <v>2020</v>
      </c>
      <c r="B18" s="712" t="s">
        <v>3096</v>
      </c>
      <c r="C18" s="743"/>
      <c r="D18" s="743"/>
      <c r="E18" s="743"/>
      <c r="L18" s="4494" t="s">
        <v>2624</v>
      </c>
      <c r="M18" s="4494"/>
    </row>
    <row r="19" spans="1:19" ht="12" hidden="1" customHeight="1">
      <c r="B19" s="4494"/>
      <c r="C19" s="4494"/>
      <c r="D19" s="4494"/>
      <c r="E19" s="4494"/>
      <c r="F19" s="4494"/>
      <c r="G19" s="4494"/>
      <c r="H19" s="4494"/>
    </row>
    <row r="20" spans="1:19" ht="13.5" customHeight="1"/>
    <row r="21" spans="1:19" s="498" customFormat="1" ht="12" customHeight="1">
      <c r="A21" s="1637" t="s">
        <v>3005</v>
      </c>
      <c r="K21" s="1638"/>
      <c r="S21" s="1639"/>
    </row>
    <row r="22" spans="1:19" s="498" customFormat="1" ht="3" customHeight="1">
      <c r="K22" s="1638"/>
      <c r="S22" s="1639"/>
    </row>
    <row r="23" spans="1:19" s="498" customFormat="1" ht="42.6" customHeight="1">
      <c r="A23" s="4679" t="s">
        <v>4290</v>
      </c>
      <c r="B23" s="4679"/>
      <c r="C23" s="4679"/>
      <c r="D23" s="4679"/>
      <c r="E23" s="4679"/>
      <c r="F23" s="4679"/>
      <c r="G23" s="4679"/>
      <c r="H23" s="4679"/>
      <c r="I23" s="4679"/>
      <c r="J23" s="4679"/>
      <c r="K23" s="4679"/>
      <c r="L23" s="4679"/>
      <c r="M23" s="4679"/>
      <c r="S23" s="1639"/>
    </row>
    <row r="24" spans="1:19" s="498" customFormat="1" ht="18" customHeight="1">
      <c r="E24" s="1640" t="s">
        <v>539</v>
      </c>
      <c r="F24" s="1640" t="s">
        <v>509</v>
      </c>
      <c r="G24" s="1640" t="s">
        <v>510</v>
      </c>
      <c r="H24" s="1640" t="s">
        <v>511</v>
      </c>
      <c r="I24" s="1640" t="s">
        <v>512</v>
      </c>
      <c r="J24" s="1640" t="s">
        <v>513</v>
      </c>
    </row>
    <row r="25" spans="1:19" s="498" customFormat="1" ht="14.25" customHeight="1">
      <c r="C25" s="1653" t="s">
        <v>3829</v>
      </c>
      <c r="D25" s="1645"/>
      <c r="E25" s="1654">
        <f>'Part VI-Revenues &amp; Expenses'!K56</f>
        <v>0</v>
      </c>
      <c r="F25" s="1655">
        <f>'Part VI-Revenues &amp; Expenses'!L56</f>
        <v>0</v>
      </c>
      <c r="G25" s="1655">
        <f>'Part VI-Revenues &amp; Expenses'!M56</f>
        <v>0</v>
      </c>
      <c r="H25" s="1655">
        <f>'Part VI-Revenues &amp; Expenses'!N56</f>
        <v>0</v>
      </c>
      <c r="I25" s="1655">
        <f>'Part VI-Revenues &amp; Expenses'!O56</f>
        <v>0</v>
      </c>
      <c r="J25" s="1656">
        <f>'Part VI-Revenues &amp; Expenses'!P56</f>
        <v>0</v>
      </c>
    </row>
    <row r="26" spans="1:19" s="498" customFormat="1" ht="15" customHeight="1">
      <c r="C26" s="1653" t="s">
        <v>3830</v>
      </c>
      <c r="D26" s="1645"/>
      <c r="E26" s="1657">
        <f>'Part VI-Revenues &amp; Expenses'!K57</f>
        <v>0</v>
      </c>
      <c r="F26" s="1658">
        <f>'Part VI-Revenues &amp; Expenses'!L57</f>
        <v>0</v>
      </c>
      <c r="G26" s="1658">
        <f>'Part VI-Revenues &amp; Expenses'!M57</f>
        <v>0</v>
      </c>
      <c r="H26" s="1658">
        <f>'Part VI-Revenues &amp; Expenses'!N57</f>
        <v>0</v>
      </c>
      <c r="I26" s="1658">
        <f>'Part VI-Revenues &amp; Expenses'!O57</f>
        <v>0</v>
      </c>
      <c r="J26" s="1659">
        <f>'Part VI-Revenues &amp; Expenses'!P57</f>
        <v>0</v>
      </c>
    </row>
    <row r="27" spans="1:19" s="498" customFormat="1" ht="15" customHeight="1">
      <c r="C27" s="1653" t="s">
        <v>1107</v>
      </c>
      <c r="D27" s="1645"/>
      <c r="E27" s="1657">
        <f>'Part VI-Revenues &amp; Expenses'!K58</f>
        <v>0</v>
      </c>
      <c r="F27" s="1658">
        <f>'Part VI-Revenues &amp; Expenses'!L58</f>
        <v>13</v>
      </c>
      <c r="G27" s="1658">
        <f>'Part VI-Revenues &amp; Expenses'!M58</f>
        <v>34</v>
      </c>
      <c r="H27" s="1658">
        <f>'Part VI-Revenues &amp; Expenses'!N58</f>
        <v>17</v>
      </c>
      <c r="I27" s="1658">
        <f>'Part VI-Revenues &amp; Expenses'!O58</f>
        <v>0</v>
      </c>
      <c r="J27" s="1659">
        <f>'Part VI-Revenues &amp; Expenses'!P58</f>
        <v>64</v>
      </c>
    </row>
    <row r="28" spans="1:19" s="498" customFormat="1" ht="15" customHeight="1">
      <c r="C28" s="1653" t="s">
        <v>111</v>
      </c>
      <c r="D28" s="1645"/>
      <c r="E28" s="1657">
        <f>'Part VI-Revenues &amp; Expenses'!K59</f>
        <v>0</v>
      </c>
      <c r="F28" s="1658">
        <f>'Part VI-Revenues &amp; Expenses'!L59</f>
        <v>0</v>
      </c>
      <c r="G28" s="1658">
        <f>'Part VI-Revenues &amp; Expenses'!M59</f>
        <v>0</v>
      </c>
      <c r="H28" s="1658">
        <f>'Part VI-Revenues &amp; Expenses'!N59</f>
        <v>0</v>
      </c>
      <c r="I28" s="1658">
        <f>'Part VI-Revenues &amp; Expenses'!O59</f>
        <v>0</v>
      </c>
      <c r="J28" s="1659">
        <f>'Part VI-Revenues &amp; Expenses'!P59</f>
        <v>0</v>
      </c>
    </row>
    <row r="29" spans="1:19" s="498" customFormat="1" ht="13.15" customHeight="1">
      <c r="C29" s="1653" t="s">
        <v>3831</v>
      </c>
      <c r="D29" s="1645"/>
      <c r="E29" s="1657">
        <f>'Part VI-Revenues &amp; Expenses'!K60</f>
        <v>0</v>
      </c>
      <c r="F29" s="1658">
        <f>'Part VI-Revenues &amp; Expenses'!L60</f>
        <v>0</v>
      </c>
      <c r="G29" s="1658">
        <f>'Part VI-Revenues &amp; Expenses'!M60</f>
        <v>0</v>
      </c>
      <c r="H29" s="1658">
        <f>'Part VI-Revenues &amp; Expenses'!N60</f>
        <v>0</v>
      </c>
      <c r="I29" s="1658">
        <f>'Part VI-Revenues &amp; Expenses'!O60</f>
        <v>0</v>
      </c>
      <c r="J29" s="1659">
        <f>'Part VI-Revenues &amp; Expenses'!P60</f>
        <v>0</v>
      </c>
    </row>
    <row r="30" spans="1:19" s="498" customFormat="1" ht="13.15" customHeight="1">
      <c r="C30" s="1653" t="s">
        <v>3832</v>
      </c>
      <c r="D30" s="1645"/>
      <c r="E30" s="1657">
        <f>'Part VI-Revenues &amp; Expenses'!K61</f>
        <v>0</v>
      </c>
      <c r="F30" s="1658">
        <f>'Part VI-Revenues &amp; Expenses'!L61</f>
        <v>0</v>
      </c>
      <c r="G30" s="1658">
        <f>'Part VI-Revenues &amp; Expenses'!M61</f>
        <v>0</v>
      </c>
      <c r="H30" s="1658">
        <f>'Part VI-Revenues &amp; Expenses'!N61</f>
        <v>0</v>
      </c>
      <c r="I30" s="1658">
        <f>'Part VI-Revenues &amp; Expenses'!O61</f>
        <v>0</v>
      </c>
      <c r="J30" s="1659">
        <f>'Part VI-Revenues &amp; Expenses'!P61</f>
        <v>0</v>
      </c>
    </row>
    <row r="31" spans="1:19" s="498" customFormat="1" ht="13.15" customHeight="1">
      <c r="C31" s="1653" t="s">
        <v>3833</v>
      </c>
      <c r="D31" s="1645"/>
      <c r="E31" s="1657">
        <f>'Part VI-Revenues &amp; Expenses'!K62</f>
        <v>0</v>
      </c>
      <c r="F31" s="1658">
        <f>'Part VI-Revenues &amp; Expenses'!L62</f>
        <v>0</v>
      </c>
      <c r="G31" s="1658">
        <f>'Part VI-Revenues &amp; Expenses'!M62</f>
        <v>0</v>
      </c>
      <c r="H31" s="1658">
        <f>'Part VI-Revenues &amp; Expenses'!N62</f>
        <v>0</v>
      </c>
      <c r="I31" s="1658">
        <f>'Part VI-Revenues &amp; Expenses'!O62</f>
        <v>0</v>
      </c>
      <c r="J31" s="1659">
        <f>'Part VI-Revenues &amp; Expenses'!P62</f>
        <v>0</v>
      </c>
    </row>
    <row r="32" spans="1:19" s="498" customFormat="1" ht="13.15" customHeight="1">
      <c r="C32" s="1645" t="s">
        <v>513</v>
      </c>
      <c r="D32" s="1645"/>
      <c r="E32" s="1660">
        <f>'Part VI-Revenues &amp; Expenses'!K63</f>
        <v>0</v>
      </c>
      <c r="F32" s="1651">
        <f>'Part VI-Revenues &amp; Expenses'!L63</f>
        <v>13</v>
      </c>
      <c r="G32" s="1651">
        <f>'Part VI-Revenues &amp; Expenses'!M63</f>
        <v>34</v>
      </c>
      <c r="H32" s="1651">
        <f>'Part VI-Revenues &amp; Expenses'!N63</f>
        <v>17</v>
      </c>
      <c r="I32" s="1651">
        <f>'Part VI-Revenues &amp; Expenses'!O63</f>
        <v>0</v>
      </c>
      <c r="J32" s="1661">
        <f>'Part VI-Revenues &amp; Expenses'!P63</f>
        <v>64</v>
      </c>
    </row>
    <row r="33" spans="1:12" s="498" customFormat="1" ht="13.15" customHeight="1" thickBot="1">
      <c r="K33" s="1638"/>
    </row>
    <row r="34" spans="1:12" s="498" customFormat="1" ht="14.25" customHeight="1" thickBot="1">
      <c r="A34" s="1638"/>
      <c r="B34" s="4680" t="s">
        <v>6421</v>
      </c>
      <c r="E34" s="4681" t="s">
        <v>6276</v>
      </c>
      <c r="F34" s="4682"/>
      <c r="G34" s="4682"/>
      <c r="H34" s="4682"/>
      <c r="I34" s="4682"/>
      <c r="J34" s="4682"/>
      <c r="K34" s="4682"/>
      <c r="L34" s="4683"/>
    </row>
    <row r="35" spans="1:12" s="498" customFormat="1" ht="14.25" customHeight="1">
      <c r="A35" s="1638"/>
      <c r="B35" s="4680"/>
      <c r="C35" s="4684" t="s">
        <v>6422</v>
      </c>
      <c r="D35" s="4680" t="s">
        <v>6423</v>
      </c>
      <c r="E35" s="4685" t="s">
        <v>6279</v>
      </c>
      <c r="F35" s="4686"/>
      <c r="G35" s="4689" t="s">
        <v>1304</v>
      </c>
      <c r="H35" s="4691" t="s">
        <v>6275</v>
      </c>
      <c r="I35" s="4692"/>
      <c r="J35" s="4692"/>
      <c r="K35" s="4692"/>
      <c r="L35" s="4693"/>
    </row>
    <row r="36" spans="1:12" s="498" customFormat="1" ht="23.25" customHeight="1">
      <c r="A36" s="4684" t="s">
        <v>1000</v>
      </c>
      <c r="B36" s="4680"/>
      <c r="C36" s="4684"/>
      <c r="D36" s="4680"/>
      <c r="E36" s="4687"/>
      <c r="F36" s="4688"/>
      <c r="G36" s="4690"/>
      <c r="H36" s="4694" t="s">
        <v>6277</v>
      </c>
      <c r="I36" s="4695"/>
      <c r="J36" s="4698" t="s">
        <v>1304</v>
      </c>
      <c r="K36" s="4695" t="s">
        <v>6278</v>
      </c>
      <c r="L36" s="4700"/>
    </row>
    <row r="37" spans="1:12" s="498" customFormat="1" ht="23.25" customHeight="1">
      <c r="A37" s="4684"/>
      <c r="B37" s="4680"/>
      <c r="C37" s="4684"/>
      <c r="D37" s="4680"/>
      <c r="E37" s="4687"/>
      <c r="F37" s="4688"/>
      <c r="G37" s="4690"/>
      <c r="H37" s="4694"/>
      <c r="I37" s="4695"/>
      <c r="J37" s="4699"/>
      <c r="K37" s="4695"/>
      <c r="L37" s="4700"/>
    </row>
    <row r="38" spans="1:12" s="498" customFormat="1" ht="23.25" customHeight="1">
      <c r="A38" s="4680"/>
      <c r="B38" s="4680"/>
      <c r="C38" s="4680"/>
      <c r="D38" s="4680"/>
      <c r="E38" s="4687"/>
      <c r="F38" s="4688"/>
      <c r="G38" s="4690"/>
      <c r="H38" s="4696"/>
      <c r="I38" s="4697"/>
      <c r="J38" s="4699"/>
      <c r="K38" s="4697"/>
      <c r="L38" s="4701"/>
    </row>
    <row r="39" spans="1:12" s="498" customFormat="1" ht="13.15" customHeight="1">
      <c r="A39" s="1642">
        <f>'Part VI-Revenues &amp; Expenses'!B18</f>
        <v>0</v>
      </c>
      <c r="B39" s="1643">
        <f>'Part VI-Revenues &amp; Expenses'!E18</f>
        <v>0</v>
      </c>
      <c r="C39" s="1644" t="str">
        <f>_xlfn.CONCAT('Part VI-Revenues &amp; Expenses'!C18," / ",'Part VI-Revenues &amp; Expenses'!D18)</f>
        <v xml:space="preserve"> / </v>
      </c>
      <c r="D39" s="1643">
        <f>'Part VI-Revenues &amp; Expenses'!F18</f>
        <v>0</v>
      </c>
      <c r="E39" s="4677">
        <f>'Part VI-Revenues &amp; Expenses'!H18</f>
        <v>0</v>
      </c>
      <c r="F39" s="4678"/>
      <c r="G39" s="1645"/>
      <c r="H39" s="4705"/>
      <c r="I39" s="4706"/>
      <c r="J39" s="4706"/>
      <c r="K39" s="4706"/>
      <c r="L39" s="4707"/>
    </row>
    <row r="40" spans="1:12" s="498" customFormat="1" ht="13.15" customHeight="1">
      <c r="A40" s="1646">
        <f>'Part VI-Revenues &amp; Expenses'!B19</f>
        <v>60</v>
      </c>
      <c r="B40" s="1647">
        <f>'Part VI-Revenues &amp; Expenses'!E19</f>
        <v>25</v>
      </c>
      <c r="C40" s="1648" t="str">
        <f>_xlfn.CONCAT('Part VI-Revenues &amp; Expenses'!C19," / ",'Part VI-Revenues &amp; Expenses'!D19)</f>
        <v>2 / 1</v>
      </c>
      <c r="D40" s="1647">
        <f>'Part VI-Revenues &amp; Expenses'!F19</f>
        <v>880</v>
      </c>
      <c r="E40" s="4675">
        <f>'Part VI-Revenues &amp; Expenses'!H19</f>
        <v>933</v>
      </c>
      <c r="F40" s="4676"/>
      <c r="G40" s="1645"/>
      <c r="H40" s="4702"/>
      <c r="I40" s="4703"/>
      <c r="J40" s="4703"/>
      <c r="K40" s="4703"/>
      <c r="L40" s="4704"/>
    </row>
    <row r="41" spans="1:12" s="498" customFormat="1" ht="13.15" customHeight="1">
      <c r="A41" s="1646">
        <f>'Part VI-Revenues &amp; Expenses'!B20</f>
        <v>60</v>
      </c>
      <c r="B41" s="1647">
        <f>'Part VI-Revenues &amp; Expenses'!E20</f>
        <v>7</v>
      </c>
      <c r="C41" s="1648" t="str">
        <f>_xlfn.CONCAT('Part VI-Revenues &amp; Expenses'!C20," / ",'Part VI-Revenues &amp; Expenses'!D20)</f>
        <v>3 / 2</v>
      </c>
      <c r="D41" s="1647">
        <f>'Part VI-Revenues &amp; Expenses'!F20</f>
        <v>1180</v>
      </c>
      <c r="E41" s="4675">
        <f>'Part VI-Revenues &amp; Expenses'!H20</f>
        <v>1244</v>
      </c>
      <c r="F41" s="4676"/>
      <c r="G41" s="1645"/>
      <c r="H41" s="4702"/>
      <c r="I41" s="4703"/>
      <c r="J41" s="4703"/>
      <c r="K41" s="4703"/>
      <c r="L41" s="4704"/>
    </row>
    <row r="42" spans="1:12" s="498" customFormat="1" ht="13.15" customHeight="1">
      <c r="A42" s="1646">
        <f>'Part VI-Revenues &amp; Expenses'!B21</f>
        <v>60</v>
      </c>
      <c r="B42" s="1647">
        <f>'Part VI-Revenues &amp; Expenses'!E21</f>
        <v>13</v>
      </c>
      <c r="C42" s="1648" t="str">
        <f>_xlfn.CONCAT('Part VI-Revenues &amp; Expenses'!C21," / ",'Part VI-Revenues &amp; Expenses'!D21)</f>
        <v>1 / 1</v>
      </c>
      <c r="D42" s="1647">
        <f>'Part VI-Revenues &amp; Expenses'!F21</f>
        <v>680</v>
      </c>
      <c r="E42" s="4675">
        <f>'Part VI-Revenues &amp; Expenses'!H21</f>
        <v>582</v>
      </c>
      <c r="F42" s="4676"/>
      <c r="G42" s="1645"/>
      <c r="H42" s="4702"/>
      <c r="I42" s="4703"/>
      <c r="J42" s="4703"/>
      <c r="K42" s="4703"/>
      <c r="L42" s="4704"/>
    </row>
    <row r="43" spans="1:12" s="498" customFormat="1" ht="13.15" customHeight="1">
      <c r="A43" s="1646">
        <f>'Part VI-Revenues &amp; Expenses'!B22</f>
        <v>60</v>
      </c>
      <c r="B43" s="1647">
        <f>'Part VI-Revenues &amp; Expenses'!E22</f>
        <v>9</v>
      </c>
      <c r="C43" s="1648" t="str">
        <f>_xlfn.CONCAT('Part VI-Revenues &amp; Expenses'!C22," / ",'Part VI-Revenues &amp; Expenses'!D22)</f>
        <v>2 / 1</v>
      </c>
      <c r="D43" s="1647">
        <f>'Part VI-Revenues &amp; Expenses'!F22</f>
        <v>880</v>
      </c>
      <c r="E43" s="4675">
        <f>'Part VI-Revenues &amp; Expenses'!H22</f>
        <v>701</v>
      </c>
      <c r="F43" s="4676"/>
      <c r="G43" s="1645"/>
      <c r="H43" s="4702"/>
      <c r="I43" s="4703"/>
      <c r="J43" s="4703"/>
      <c r="K43" s="4703"/>
      <c r="L43" s="4704"/>
    </row>
    <row r="44" spans="1:12" s="498" customFormat="1" ht="13.15" customHeight="1">
      <c r="A44" s="1646">
        <f>'Part VI-Revenues &amp; Expenses'!B23</f>
        <v>60</v>
      </c>
      <c r="B44" s="1647">
        <f>'Part VI-Revenues &amp; Expenses'!E23</f>
        <v>10</v>
      </c>
      <c r="C44" s="1648" t="str">
        <f>_xlfn.CONCAT('Part VI-Revenues &amp; Expenses'!C23," / ",'Part VI-Revenues &amp; Expenses'!D23)</f>
        <v>3 / 2</v>
      </c>
      <c r="D44" s="1647">
        <f>'Part VI-Revenues &amp; Expenses'!F23</f>
        <v>1180</v>
      </c>
      <c r="E44" s="4675">
        <f>'Part VI-Revenues &amp; Expenses'!H23</f>
        <v>830</v>
      </c>
      <c r="F44" s="4676"/>
      <c r="G44" s="1645"/>
      <c r="H44" s="4702"/>
      <c r="I44" s="4703"/>
      <c r="J44" s="4703"/>
      <c r="K44" s="4703"/>
      <c r="L44" s="4704"/>
    </row>
    <row r="45" spans="1:12" s="498" customFormat="1" ht="13.15" customHeight="1">
      <c r="A45" s="1646">
        <f>'Part VI-Revenues &amp; Expenses'!B24</f>
        <v>0</v>
      </c>
      <c r="B45" s="1647">
        <f>'Part VI-Revenues &amp; Expenses'!E24</f>
        <v>0</v>
      </c>
      <c r="C45" s="1648" t="str">
        <f>_xlfn.CONCAT('Part VI-Revenues &amp; Expenses'!C24," / ",'Part VI-Revenues &amp; Expenses'!D24)</f>
        <v xml:space="preserve"> / </v>
      </c>
      <c r="D45" s="1647">
        <f>'Part VI-Revenues &amp; Expenses'!F24</f>
        <v>0</v>
      </c>
      <c r="E45" s="4675">
        <f>'Part VI-Revenues &amp; Expenses'!H24</f>
        <v>0</v>
      </c>
      <c r="F45" s="4676"/>
      <c r="G45" s="1645"/>
      <c r="H45" s="4702"/>
      <c r="I45" s="4703"/>
      <c r="J45" s="4703"/>
      <c r="K45" s="4703"/>
      <c r="L45" s="4704"/>
    </row>
    <row r="46" spans="1:12" s="498" customFormat="1" ht="13.15" customHeight="1">
      <c r="A46" s="1646">
        <f>'Part VI-Revenues &amp; Expenses'!B25</f>
        <v>0</v>
      </c>
      <c r="B46" s="1647">
        <f>'Part VI-Revenues &amp; Expenses'!E25</f>
        <v>0</v>
      </c>
      <c r="C46" s="1648" t="str">
        <f>_xlfn.CONCAT('Part VI-Revenues &amp; Expenses'!C25," / ",'Part VI-Revenues &amp; Expenses'!D25)</f>
        <v xml:space="preserve"> / </v>
      </c>
      <c r="D46" s="1647">
        <f>'Part VI-Revenues &amp; Expenses'!F25</f>
        <v>0</v>
      </c>
      <c r="E46" s="4675">
        <f>'Part VI-Revenues &amp; Expenses'!H25</f>
        <v>0</v>
      </c>
      <c r="F46" s="4676"/>
      <c r="G46" s="1645"/>
      <c r="H46" s="4702"/>
      <c r="I46" s="4703"/>
      <c r="J46" s="4703"/>
      <c r="K46" s="4703"/>
      <c r="L46" s="4704"/>
    </row>
    <row r="47" spans="1:12" s="498" customFormat="1" ht="13.15" customHeight="1">
      <c r="A47" s="1646">
        <f>'Part VI-Revenues &amp; Expenses'!B26</f>
        <v>0</v>
      </c>
      <c r="B47" s="1647">
        <f>'Part VI-Revenues &amp; Expenses'!E26</f>
        <v>0</v>
      </c>
      <c r="C47" s="1648" t="str">
        <f>_xlfn.CONCAT('Part VI-Revenues &amp; Expenses'!C26," / ",'Part VI-Revenues &amp; Expenses'!D26)</f>
        <v xml:space="preserve"> / </v>
      </c>
      <c r="D47" s="1647">
        <f>'Part VI-Revenues &amp; Expenses'!F26</f>
        <v>0</v>
      </c>
      <c r="E47" s="4675">
        <f>'Part VI-Revenues &amp; Expenses'!H26</f>
        <v>0</v>
      </c>
      <c r="F47" s="4676"/>
      <c r="G47" s="1645"/>
      <c r="H47" s="4702"/>
      <c r="I47" s="4703"/>
      <c r="J47" s="4703"/>
      <c r="K47" s="4703"/>
      <c r="L47" s="4704"/>
    </row>
    <row r="48" spans="1:12" s="498" customFormat="1" ht="13.15" customHeight="1">
      <c r="A48" s="1646">
        <f>'Part VI-Revenues &amp; Expenses'!B27</f>
        <v>0</v>
      </c>
      <c r="B48" s="1647">
        <f>'Part VI-Revenues &amp; Expenses'!E27</f>
        <v>0</v>
      </c>
      <c r="C48" s="1648" t="str">
        <f>_xlfn.CONCAT('Part VI-Revenues &amp; Expenses'!C27," / ",'Part VI-Revenues &amp; Expenses'!D27)</f>
        <v xml:space="preserve"> / </v>
      </c>
      <c r="D48" s="1647">
        <f>'Part VI-Revenues &amp; Expenses'!F27</f>
        <v>0</v>
      </c>
      <c r="E48" s="4675">
        <f>'Part VI-Revenues &amp; Expenses'!H27</f>
        <v>0</v>
      </c>
      <c r="F48" s="4676"/>
      <c r="G48" s="1645"/>
      <c r="H48" s="4702"/>
      <c r="I48" s="4703"/>
      <c r="J48" s="4703"/>
      <c r="K48" s="4703"/>
      <c r="L48" s="4704"/>
    </row>
    <row r="49" spans="1:13" s="498" customFormat="1" ht="13.15" customHeight="1">
      <c r="A49" s="1646">
        <f>'Part VI-Revenues &amp; Expenses'!B28</f>
        <v>0</v>
      </c>
      <c r="B49" s="1647">
        <f>'Part VI-Revenues &amp; Expenses'!E28</f>
        <v>0</v>
      </c>
      <c r="C49" s="1648" t="str">
        <f>_xlfn.CONCAT('Part VI-Revenues &amp; Expenses'!C28," / ",'Part VI-Revenues &amp; Expenses'!D28)</f>
        <v xml:space="preserve"> / </v>
      </c>
      <c r="D49" s="1647">
        <f>'Part VI-Revenues &amp; Expenses'!F28</f>
        <v>0</v>
      </c>
      <c r="E49" s="4675">
        <f>'Part VI-Revenues &amp; Expenses'!H28</f>
        <v>0</v>
      </c>
      <c r="F49" s="4676"/>
      <c r="G49" s="1645"/>
      <c r="H49" s="4702"/>
      <c r="I49" s="4703"/>
      <c r="J49" s="4703"/>
      <c r="K49" s="4703"/>
      <c r="L49" s="4704"/>
    </row>
    <row r="50" spans="1:13" s="498" customFormat="1" ht="13.15" customHeight="1">
      <c r="A50" s="1646">
        <f>'Part VI-Revenues &amp; Expenses'!B29</f>
        <v>0</v>
      </c>
      <c r="B50" s="1647">
        <f>'Part VI-Revenues &amp; Expenses'!E29</f>
        <v>0</v>
      </c>
      <c r="C50" s="1648" t="str">
        <f>_xlfn.CONCAT('Part VI-Revenues &amp; Expenses'!C29," / ",'Part VI-Revenues &amp; Expenses'!D29)</f>
        <v xml:space="preserve"> / </v>
      </c>
      <c r="D50" s="1647">
        <f>'Part VI-Revenues &amp; Expenses'!F29</f>
        <v>0</v>
      </c>
      <c r="E50" s="4675">
        <f>'Part VI-Revenues &amp; Expenses'!H29</f>
        <v>0</v>
      </c>
      <c r="F50" s="4676"/>
      <c r="G50" s="1645"/>
      <c r="H50" s="4702"/>
      <c r="I50" s="4703"/>
      <c r="J50" s="4703"/>
      <c r="K50" s="4703"/>
      <c r="L50" s="4704"/>
    </row>
    <row r="51" spans="1:13" s="498" customFormat="1" ht="13.15" customHeight="1">
      <c r="A51" s="1646">
        <f>'Part VI-Revenues &amp; Expenses'!B30</f>
        <v>0</v>
      </c>
      <c r="B51" s="1647">
        <f>'Part VI-Revenues &amp; Expenses'!E30</f>
        <v>0</v>
      </c>
      <c r="C51" s="1648" t="str">
        <f>_xlfn.CONCAT('Part VI-Revenues &amp; Expenses'!C30," / ",'Part VI-Revenues &amp; Expenses'!D30)</f>
        <v xml:space="preserve"> / </v>
      </c>
      <c r="D51" s="1647">
        <f>'Part VI-Revenues &amp; Expenses'!F30</f>
        <v>0</v>
      </c>
      <c r="E51" s="4675">
        <f>'Part VI-Revenues &amp; Expenses'!H30</f>
        <v>0</v>
      </c>
      <c r="F51" s="4676"/>
      <c r="G51" s="1645"/>
      <c r="H51" s="4702"/>
      <c r="I51" s="4703"/>
      <c r="J51" s="4703"/>
      <c r="K51" s="4703"/>
      <c r="L51" s="4704"/>
    </row>
    <row r="52" spans="1:13" s="498" customFormat="1" ht="13.15" customHeight="1">
      <c r="A52" s="1646">
        <f>'Part VI-Revenues &amp; Expenses'!B31</f>
        <v>0</v>
      </c>
      <c r="B52" s="1647">
        <f>'Part VI-Revenues &amp; Expenses'!E31</f>
        <v>0</v>
      </c>
      <c r="C52" s="1648" t="str">
        <f>_xlfn.CONCAT('Part VI-Revenues &amp; Expenses'!C31," / ",'Part VI-Revenues &amp; Expenses'!D31)</f>
        <v xml:space="preserve"> / </v>
      </c>
      <c r="D52" s="1647">
        <f>'Part VI-Revenues &amp; Expenses'!F31</f>
        <v>0</v>
      </c>
      <c r="E52" s="4675">
        <f>'Part VI-Revenues &amp; Expenses'!H31</f>
        <v>0</v>
      </c>
      <c r="F52" s="4676"/>
      <c r="G52" s="1645"/>
      <c r="H52" s="4702"/>
      <c r="I52" s="4703"/>
      <c r="J52" s="4703"/>
      <c r="K52" s="4703"/>
      <c r="L52" s="4704"/>
    </row>
    <row r="53" spans="1:13" s="498" customFormat="1" ht="13.15" customHeight="1">
      <c r="A53" s="1646">
        <f>'Part VI-Revenues &amp; Expenses'!B32</f>
        <v>0</v>
      </c>
      <c r="B53" s="1647">
        <f>'Part VI-Revenues &amp; Expenses'!E32</f>
        <v>0</v>
      </c>
      <c r="C53" s="1648" t="str">
        <f>_xlfn.CONCAT('Part VI-Revenues &amp; Expenses'!C32," / ",'Part VI-Revenues &amp; Expenses'!D32)</f>
        <v xml:space="preserve"> / </v>
      </c>
      <c r="D53" s="1647">
        <f>'Part VI-Revenues &amp; Expenses'!F32</f>
        <v>0</v>
      </c>
      <c r="E53" s="4675">
        <f>'Part VI-Revenues &amp; Expenses'!H32</f>
        <v>0</v>
      </c>
      <c r="F53" s="4676"/>
      <c r="G53" s="1645"/>
      <c r="H53" s="4702"/>
      <c r="I53" s="4703"/>
      <c r="J53" s="4703"/>
      <c r="K53" s="4703"/>
      <c r="L53" s="4704"/>
    </row>
    <row r="54" spans="1:13" s="498" customFormat="1" ht="13.15" customHeight="1">
      <c r="A54" s="1646">
        <f>'Part VI-Revenues &amp; Expenses'!B33</f>
        <v>0</v>
      </c>
      <c r="B54" s="1647">
        <f>'Part VI-Revenues &amp; Expenses'!E33</f>
        <v>0</v>
      </c>
      <c r="C54" s="1648" t="str">
        <f>_xlfn.CONCAT('Part VI-Revenues &amp; Expenses'!C33," / ",'Part VI-Revenues &amp; Expenses'!D33)</f>
        <v xml:space="preserve"> / </v>
      </c>
      <c r="D54" s="1647">
        <f>'Part VI-Revenues &amp; Expenses'!F33</f>
        <v>0</v>
      </c>
      <c r="E54" s="4675">
        <f>'Part VI-Revenues &amp; Expenses'!H33</f>
        <v>0</v>
      </c>
      <c r="F54" s="4676"/>
      <c r="G54" s="1645"/>
      <c r="H54" s="4702"/>
      <c r="I54" s="4703"/>
      <c r="J54" s="4703"/>
      <c r="K54" s="4703"/>
      <c r="L54" s="4704"/>
    </row>
    <row r="55" spans="1:13" s="498" customFormat="1" ht="13.15" customHeight="1">
      <c r="A55" s="1646">
        <f>'Part VI-Revenues &amp; Expenses'!B34</f>
        <v>0</v>
      </c>
      <c r="B55" s="1647">
        <f>'Part VI-Revenues &amp; Expenses'!E34</f>
        <v>0</v>
      </c>
      <c r="C55" s="1648" t="str">
        <f>_xlfn.CONCAT('Part VI-Revenues &amp; Expenses'!C34," / ",'Part VI-Revenues &amp; Expenses'!D34)</f>
        <v xml:space="preserve"> / </v>
      </c>
      <c r="D55" s="1647">
        <f>'Part VI-Revenues &amp; Expenses'!F34</f>
        <v>0</v>
      </c>
      <c r="E55" s="4675">
        <f>'Part VI-Revenues &amp; Expenses'!H34</f>
        <v>0</v>
      </c>
      <c r="F55" s="4676"/>
      <c r="G55" s="1645"/>
      <c r="H55" s="4702"/>
      <c r="I55" s="4703"/>
      <c r="J55" s="4703"/>
      <c r="K55" s="4703"/>
      <c r="L55" s="4704"/>
    </row>
    <row r="56" spans="1:13" s="498" customFormat="1" ht="13.15" customHeight="1">
      <c r="A56" s="1646">
        <f>'Part VI-Revenues &amp; Expenses'!B35</f>
        <v>0</v>
      </c>
      <c r="B56" s="1647">
        <f>'Part VI-Revenues &amp; Expenses'!E35</f>
        <v>0</v>
      </c>
      <c r="C56" s="1648" t="str">
        <f>_xlfn.CONCAT('Part VI-Revenues &amp; Expenses'!C35," / ",'Part VI-Revenues &amp; Expenses'!D35)</f>
        <v xml:space="preserve"> / </v>
      </c>
      <c r="D56" s="1647">
        <f>'Part VI-Revenues &amp; Expenses'!F35</f>
        <v>0</v>
      </c>
      <c r="E56" s="4675">
        <f>'Part VI-Revenues &amp; Expenses'!H35</f>
        <v>0</v>
      </c>
      <c r="F56" s="4676"/>
      <c r="G56" s="1645"/>
      <c r="H56" s="4702"/>
      <c r="I56" s="4703"/>
      <c r="J56" s="4703"/>
      <c r="K56" s="4703"/>
      <c r="L56" s="4704"/>
    </row>
    <row r="57" spans="1:13" s="498" customFormat="1" ht="13.15" customHeight="1">
      <c r="A57" s="1646">
        <f>'Part VI-Revenues &amp; Expenses'!B36</f>
        <v>0</v>
      </c>
      <c r="B57" s="1647">
        <f>'Part VI-Revenues &amp; Expenses'!E36</f>
        <v>0</v>
      </c>
      <c r="C57" s="1648" t="str">
        <f>_xlfn.CONCAT('Part VI-Revenues &amp; Expenses'!C36," / ",'Part VI-Revenues &amp; Expenses'!D36)</f>
        <v xml:space="preserve"> / </v>
      </c>
      <c r="D57" s="1647">
        <f>'Part VI-Revenues &amp; Expenses'!F36</f>
        <v>0</v>
      </c>
      <c r="E57" s="4675">
        <f>'Part VI-Revenues &amp; Expenses'!H36</f>
        <v>0</v>
      </c>
      <c r="F57" s="4676"/>
      <c r="G57" s="1645"/>
      <c r="H57" s="4702"/>
      <c r="I57" s="4703"/>
      <c r="J57" s="4703"/>
      <c r="K57" s="4703"/>
      <c r="L57" s="4704"/>
    </row>
    <row r="58" spans="1:13" s="498" customFormat="1" ht="13.15" customHeight="1">
      <c r="A58" s="1646">
        <f>'Part VI-Revenues &amp; Expenses'!B37</f>
        <v>0</v>
      </c>
      <c r="B58" s="1647">
        <f>'Part VI-Revenues &amp; Expenses'!E37</f>
        <v>0</v>
      </c>
      <c r="C58" s="1648" t="str">
        <f>_xlfn.CONCAT('Part VI-Revenues &amp; Expenses'!C37," / ",'Part VI-Revenues &amp; Expenses'!D37)</f>
        <v xml:space="preserve"> / </v>
      </c>
      <c r="D58" s="1647">
        <f>'Part VI-Revenues &amp; Expenses'!F37</f>
        <v>0</v>
      </c>
      <c r="E58" s="4675">
        <f>'Part VI-Revenues &amp; Expenses'!H37</f>
        <v>0</v>
      </c>
      <c r="F58" s="4676"/>
      <c r="G58" s="1645"/>
      <c r="H58" s="4702"/>
      <c r="I58" s="4703"/>
      <c r="J58" s="4703"/>
      <c r="K58" s="4703"/>
      <c r="L58" s="4704"/>
    </row>
    <row r="59" spans="1:13" s="498" customFormat="1" ht="13.15" customHeight="1">
      <c r="A59" s="1646">
        <f>'Part VI-Revenues &amp; Expenses'!B38</f>
        <v>0</v>
      </c>
      <c r="B59" s="1647">
        <f>'Part VI-Revenues &amp; Expenses'!E38</f>
        <v>0</v>
      </c>
      <c r="C59" s="1648" t="str">
        <f>_xlfn.CONCAT('Part VI-Revenues &amp; Expenses'!C38," / ",'Part VI-Revenues &amp; Expenses'!D38)</f>
        <v xml:space="preserve"> / </v>
      </c>
      <c r="D59" s="1647">
        <f>'Part VI-Revenues &amp; Expenses'!F38</f>
        <v>0</v>
      </c>
      <c r="E59" s="4675">
        <f>'Part VI-Revenues &amp; Expenses'!H38</f>
        <v>0</v>
      </c>
      <c r="F59" s="4676"/>
      <c r="G59" s="1645"/>
      <c r="H59" s="4702"/>
      <c r="I59" s="4703"/>
      <c r="J59" s="4703"/>
      <c r="K59" s="4703"/>
      <c r="L59" s="4704"/>
    </row>
    <row r="60" spans="1:13" s="498" customFormat="1" ht="13.15" customHeight="1">
      <c r="A60" s="1646">
        <f>'Part VI-Revenues &amp; Expenses'!B39</f>
        <v>0</v>
      </c>
      <c r="B60" s="1647">
        <f>'Part VI-Revenues &amp; Expenses'!E39</f>
        <v>0</v>
      </c>
      <c r="C60" s="1648" t="str">
        <f>_xlfn.CONCAT('Part VI-Revenues &amp; Expenses'!C39," / ",'Part VI-Revenues &amp; Expenses'!D39)</f>
        <v xml:space="preserve"> / </v>
      </c>
      <c r="D60" s="1647">
        <f>'Part VI-Revenues &amp; Expenses'!F39</f>
        <v>0</v>
      </c>
      <c r="E60" s="4675">
        <f>'Part VI-Revenues &amp; Expenses'!H39</f>
        <v>0</v>
      </c>
      <c r="F60" s="4676"/>
      <c r="G60" s="1645"/>
      <c r="H60" s="4702"/>
      <c r="I60" s="4703"/>
      <c r="J60" s="4703"/>
      <c r="K60" s="4703"/>
      <c r="L60" s="4704"/>
      <c r="M60" s="1640"/>
    </row>
    <row r="61" spans="1:13" s="498" customFormat="1" ht="13.15" customHeight="1">
      <c r="A61" s="1646">
        <f>'Part VI-Revenues &amp; Expenses'!B40</f>
        <v>0</v>
      </c>
      <c r="B61" s="1647">
        <f>'Part VI-Revenues &amp; Expenses'!E40</f>
        <v>0</v>
      </c>
      <c r="C61" s="1648" t="str">
        <f>_xlfn.CONCAT('Part VI-Revenues &amp; Expenses'!C40," / ",'Part VI-Revenues &amp; Expenses'!D40)</f>
        <v xml:space="preserve"> / </v>
      </c>
      <c r="D61" s="1647">
        <f>'Part VI-Revenues &amp; Expenses'!F40</f>
        <v>0</v>
      </c>
      <c r="E61" s="4675">
        <f>'Part VI-Revenues &amp; Expenses'!H40</f>
        <v>0</v>
      </c>
      <c r="F61" s="4676"/>
      <c r="G61" s="1645"/>
      <c r="H61" s="4702"/>
      <c r="I61" s="4703"/>
      <c r="J61" s="4703"/>
      <c r="K61" s="4703"/>
      <c r="L61" s="4704"/>
      <c r="M61" s="1640"/>
    </row>
    <row r="62" spans="1:13" s="498" customFormat="1" ht="13.15" customHeight="1">
      <c r="A62" s="1646">
        <f>'Part VI-Revenues &amp; Expenses'!B41</f>
        <v>0</v>
      </c>
      <c r="B62" s="1647">
        <f>'Part VI-Revenues &amp; Expenses'!E41</f>
        <v>0</v>
      </c>
      <c r="C62" s="1648" t="str">
        <f>_xlfn.CONCAT('Part VI-Revenues &amp; Expenses'!C41," / ",'Part VI-Revenues &amp; Expenses'!D41)</f>
        <v xml:space="preserve"> / </v>
      </c>
      <c r="D62" s="1647">
        <f>'Part VI-Revenues &amp; Expenses'!F41</f>
        <v>0</v>
      </c>
      <c r="E62" s="4675">
        <f>'Part VI-Revenues &amp; Expenses'!H41</f>
        <v>0</v>
      </c>
      <c r="F62" s="4676"/>
      <c r="G62" s="1645"/>
      <c r="H62" s="4702"/>
      <c r="I62" s="4703"/>
      <c r="J62" s="4703"/>
      <c r="K62" s="4703"/>
      <c r="L62" s="4704"/>
      <c r="M62" s="1640"/>
    </row>
    <row r="63" spans="1:13" s="498" customFormat="1" ht="13.15" customHeight="1">
      <c r="A63" s="1646">
        <f>'Part VI-Revenues &amp; Expenses'!B42</f>
        <v>0</v>
      </c>
      <c r="B63" s="1647">
        <f>'Part VI-Revenues &amp; Expenses'!E42</f>
        <v>0</v>
      </c>
      <c r="C63" s="1648" t="str">
        <f>_xlfn.CONCAT('Part VI-Revenues &amp; Expenses'!C42," / ",'Part VI-Revenues &amp; Expenses'!D42)</f>
        <v xml:space="preserve"> / </v>
      </c>
      <c r="D63" s="1647">
        <f>'Part VI-Revenues &amp; Expenses'!F42</f>
        <v>0</v>
      </c>
      <c r="E63" s="4675">
        <f>'Part VI-Revenues &amp; Expenses'!H42</f>
        <v>0</v>
      </c>
      <c r="F63" s="4676"/>
      <c r="G63" s="1645"/>
      <c r="H63" s="4702"/>
      <c r="I63" s="4703"/>
      <c r="J63" s="4703"/>
      <c r="K63" s="4703"/>
      <c r="L63" s="4704"/>
      <c r="M63" s="1640"/>
    </row>
    <row r="64" spans="1:13" s="498" customFormat="1" ht="13.15" customHeight="1">
      <c r="A64" s="1646">
        <f>'Part VI-Revenues &amp; Expenses'!B43</f>
        <v>0</v>
      </c>
      <c r="B64" s="1647">
        <f>'Part VI-Revenues &amp; Expenses'!E43</f>
        <v>0</v>
      </c>
      <c r="C64" s="1648" t="str">
        <f>_xlfn.CONCAT('Part VI-Revenues &amp; Expenses'!C43," / ",'Part VI-Revenues &amp; Expenses'!D43)</f>
        <v xml:space="preserve"> / </v>
      </c>
      <c r="D64" s="1647">
        <f>'Part VI-Revenues &amp; Expenses'!F43</f>
        <v>0</v>
      </c>
      <c r="E64" s="4675">
        <f>'Part VI-Revenues &amp; Expenses'!H43</f>
        <v>0</v>
      </c>
      <c r="F64" s="4676"/>
      <c r="G64" s="1645"/>
      <c r="H64" s="4702"/>
      <c r="I64" s="4703"/>
      <c r="J64" s="4703"/>
      <c r="K64" s="4703"/>
      <c r="L64" s="4704"/>
      <c r="M64" s="1640"/>
    </row>
    <row r="65" spans="1:19" s="498" customFormat="1" ht="13.15" customHeight="1">
      <c r="A65" s="1646">
        <f>'Part VI-Revenues &amp; Expenses'!B44</f>
        <v>0</v>
      </c>
      <c r="B65" s="1647">
        <f>'Part VI-Revenues &amp; Expenses'!E44</f>
        <v>0</v>
      </c>
      <c r="C65" s="1648" t="str">
        <f>_xlfn.CONCAT('Part VI-Revenues &amp; Expenses'!C44," / ",'Part VI-Revenues &amp; Expenses'!D44)</f>
        <v xml:space="preserve"> / </v>
      </c>
      <c r="D65" s="1647">
        <f>'Part VI-Revenues &amp; Expenses'!F44</f>
        <v>0</v>
      </c>
      <c r="E65" s="4675">
        <f>'Part VI-Revenues &amp; Expenses'!H44</f>
        <v>0</v>
      </c>
      <c r="F65" s="4676"/>
      <c r="G65" s="1645"/>
      <c r="H65" s="4702"/>
      <c r="I65" s="4703"/>
      <c r="J65" s="4703"/>
      <c r="K65" s="4703"/>
      <c r="L65" s="4704"/>
      <c r="M65" s="1640"/>
    </row>
    <row r="66" spans="1:19" s="498" customFormat="1" ht="13.15" customHeight="1">
      <c r="A66" s="1646">
        <f>'Part VI-Revenues &amp; Expenses'!B45</f>
        <v>0</v>
      </c>
      <c r="B66" s="1647">
        <f>'Part VI-Revenues &amp; Expenses'!E45</f>
        <v>0</v>
      </c>
      <c r="C66" s="1648" t="str">
        <f>_xlfn.CONCAT('Part VI-Revenues &amp; Expenses'!C45," / ",'Part VI-Revenues &amp; Expenses'!D45)</f>
        <v xml:space="preserve"> / </v>
      </c>
      <c r="D66" s="1647">
        <f>'Part VI-Revenues &amp; Expenses'!F45</f>
        <v>0</v>
      </c>
      <c r="E66" s="4675">
        <f>'Part VI-Revenues &amp; Expenses'!H45</f>
        <v>0</v>
      </c>
      <c r="F66" s="4676"/>
      <c r="G66" s="1645"/>
      <c r="H66" s="4702"/>
      <c r="I66" s="4703"/>
      <c r="J66" s="4703"/>
      <c r="K66" s="4703"/>
      <c r="L66" s="4704"/>
      <c r="M66" s="1640"/>
    </row>
    <row r="67" spans="1:19" s="498" customFormat="1" ht="13.15" customHeight="1">
      <c r="A67" s="1646">
        <f>'Part VI-Revenues &amp; Expenses'!B46</f>
        <v>0</v>
      </c>
      <c r="B67" s="1647">
        <f>'Part VI-Revenues &amp; Expenses'!E46</f>
        <v>0</v>
      </c>
      <c r="C67" s="1648" t="str">
        <f>_xlfn.CONCAT('Part VI-Revenues &amp; Expenses'!C46," / ",'Part VI-Revenues &amp; Expenses'!D46)</f>
        <v xml:space="preserve"> / </v>
      </c>
      <c r="D67" s="1647">
        <f>'Part VI-Revenues &amp; Expenses'!F46</f>
        <v>0</v>
      </c>
      <c r="E67" s="4675">
        <f>'Part VI-Revenues &amp; Expenses'!H46</f>
        <v>0</v>
      </c>
      <c r="F67" s="4676"/>
      <c r="G67" s="1645"/>
      <c r="H67" s="4702"/>
      <c r="I67" s="4703"/>
      <c r="J67" s="4703"/>
      <c r="K67" s="4703"/>
      <c r="L67" s="4704"/>
      <c r="M67" s="1640"/>
    </row>
    <row r="68" spans="1:19" s="498" customFormat="1" ht="13.15" customHeight="1">
      <c r="A68" s="1646">
        <f>'Part VI-Revenues &amp; Expenses'!B47</f>
        <v>0</v>
      </c>
      <c r="B68" s="1647">
        <f>'Part VI-Revenues &amp; Expenses'!E47</f>
        <v>0</v>
      </c>
      <c r="C68" s="1648" t="str">
        <f>_xlfn.CONCAT('Part VI-Revenues &amp; Expenses'!C47," / ",'Part VI-Revenues &amp; Expenses'!D47)</f>
        <v xml:space="preserve"> / </v>
      </c>
      <c r="D68" s="1647">
        <f>'Part VI-Revenues &amp; Expenses'!F47</f>
        <v>0</v>
      </c>
      <c r="E68" s="4675">
        <f>'Part VI-Revenues &amp; Expenses'!H47</f>
        <v>0</v>
      </c>
      <c r="F68" s="4676"/>
      <c r="G68" s="1645"/>
      <c r="H68" s="4702"/>
      <c r="I68" s="4703"/>
      <c r="J68" s="4703"/>
      <c r="K68" s="4703"/>
      <c r="L68" s="4704"/>
      <c r="M68" s="1640"/>
    </row>
    <row r="69" spans="1:19" s="498" customFormat="1" ht="13.15" customHeight="1">
      <c r="A69" s="1649">
        <f>'Part VI-Revenues &amp; Expenses'!B48</f>
        <v>0</v>
      </c>
      <c r="B69" s="1650">
        <f>'Part VI-Revenues &amp; Expenses'!E48</f>
        <v>0</v>
      </c>
      <c r="C69" s="1651" t="str">
        <f>_xlfn.CONCAT('Part VI-Revenues &amp; Expenses'!C48," / ",'Part VI-Revenues &amp; Expenses'!D48)</f>
        <v xml:space="preserve"> / </v>
      </c>
      <c r="D69" s="1650">
        <f>'Part VI-Revenues &amp; Expenses'!F48</f>
        <v>0</v>
      </c>
      <c r="E69" s="4673">
        <f>'Part VI-Revenues &amp; Expenses'!H48</f>
        <v>0</v>
      </c>
      <c r="F69" s="4674"/>
      <c r="G69" s="1652"/>
      <c r="H69" s="4708"/>
      <c r="I69" s="4709"/>
      <c r="J69" s="4709"/>
      <c r="K69" s="4709"/>
      <c r="L69" s="4710"/>
      <c r="M69" s="1640"/>
    </row>
    <row r="70" spans="1:19" s="498" customFormat="1" ht="13.15" customHeight="1">
      <c r="C70" s="1638"/>
      <c r="F70" s="1640"/>
      <c r="G70" s="1640"/>
      <c r="H70" s="1640"/>
      <c r="I70" s="1640"/>
      <c r="J70" s="1640"/>
      <c r="K70" s="1641"/>
      <c r="L70" s="1640"/>
      <c r="M70" s="1640"/>
    </row>
    <row r="71" spans="1:19" s="498" customFormat="1" ht="13.15" customHeight="1">
      <c r="C71" s="1638"/>
      <c r="F71" s="1640"/>
      <c r="G71" s="1640"/>
      <c r="H71" s="1640"/>
      <c r="I71" s="1640"/>
      <c r="J71" s="1640"/>
      <c r="K71" s="1641"/>
      <c r="L71" s="1640"/>
      <c r="M71" s="1640"/>
    </row>
    <row r="72" spans="1:19" s="498" customFormat="1" ht="13.15" customHeight="1">
      <c r="C72" s="1638"/>
      <c r="F72" s="1640"/>
      <c r="G72" s="1640"/>
      <c r="H72" s="1640"/>
      <c r="I72" s="1640"/>
      <c r="J72" s="1640"/>
      <c r="K72" s="1641"/>
      <c r="L72" s="1640"/>
      <c r="M72" s="1640"/>
    </row>
    <row r="73" spans="1:19" s="498" customFormat="1" ht="13.15" customHeight="1">
      <c r="C73" s="1638"/>
      <c r="F73" s="1640"/>
      <c r="G73" s="1640"/>
      <c r="H73" s="1640"/>
      <c r="I73" s="1640"/>
      <c r="J73" s="1640"/>
      <c r="K73" s="1641"/>
      <c r="L73" s="1640"/>
      <c r="M73" s="1640"/>
    </row>
    <row r="74" spans="1:19" ht="13.15" customHeight="1">
      <c r="C74" s="1567"/>
      <c r="F74" s="1531"/>
      <c r="G74" s="1531"/>
      <c r="H74" s="1531"/>
      <c r="I74" s="1531"/>
      <c r="J74" s="1531"/>
      <c r="K74" s="1566"/>
      <c r="L74" s="1531"/>
      <c r="M74" s="1531"/>
      <c r="S74" s="699"/>
    </row>
    <row r="75" spans="1:19" ht="13.15" customHeight="1">
      <c r="C75" s="1567"/>
      <c r="F75" s="1531"/>
      <c r="G75" s="1531"/>
      <c r="H75" s="1531"/>
      <c r="I75" s="1531"/>
      <c r="J75" s="1531"/>
      <c r="K75" s="1566"/>
      <c r="L75" s="1531"/>
      <c r="M75" s="1531"/>
      <c r="S75" s="699"/>
    </row>
    <row r="76" spans="1:19" ht="13.15" customHeight="1">
      <c r="C76" s="1567"/>
      <c r="F76" s="1531"/>
      <c r="G76" s="1531"/>
      <c r="H76" s="1531"/>
      <c r="I76" s="1531"/>
      <c r="J76" s="1531"/>
      <c r="K76" s="1566"/>
      <c r="L76" s="1531"/>
      <c r="M76" s="1531"/>
      <c r="S76" s="699"/>
    </row>
    <row r="77" spans="1:19" ht="13.15" customHeight="1">
      <c r="C77" s="1567"/>
      <c r="F77" s="1531"/>
      <c r="G77" s="1531"/>
      <c r="H77" s="1531"/>
      <c r="I77" s="1531"/>
      <c r="J77" s="1531"/>
      <c r="K77" s="1566"/>
      <c r="L77" s="1531"/>
      <c r="M77" s="1531"/>
      <c r="S77" s="699"/>
    </row>
    <row r="78" spans="1:19" ht="13.15" customHeight="1">
      <c r="C78" s="1567"/>
      <c r="F78" s="1531"/>
      <c r="G78" s="1531"/>
      <c r="H78" s="1531"/>
      <c r="I78" s="1531"/>
      <c r="J78" s="1531"/>
      <c r="K78" s="1566"/>
      <c r="L78" s="1531"/>
      <c r="M78" s="1531"/>
      <c r="S78" s="699"/>
    </row>
    <row r="79" spans="1:19" ht="13.15" customHeight="1">
      <c r="C79" s="1567"/>
      <c r="F79" s="1531"/>
      <c r="G79" s="1531"/>
      <c r="H79" s="1531"/>
      <c r="I79" s="1531"/>
      <c r="J79" s="1531"/>
      <c r="K79" s="1566"/>
      <c r="L79" s="1531"/>
      <c r="M79" s="1531"/>
      <c r="S79" s="699"/>
    </row>
    <row r="80" spans="1:19" ht="13.15" customHeight="1">
      <c r="C80" s="1567"/>
      <c r="F80" s="1531"/>
      <c r="G80" s="1531"/>
      <c r="H80" s="1531"/>
      <c r="I80" s="1531"/>
      <c r="J80" s="1531"/>
      <c r="K80" s="1566"/>
      <c r="L80" s="1531"/>
      <c r="M80" s="1531"/>
      <c r="S80" s="699"/>
    </row>
    <row r="81" spans="3:19" ht="13.15" customHeight="1">
      <c r="C81" s="1567"/>
      <c r="F81" s="1531"/>
      <c r="G81" s="1531"/>
      <c r="H81" s="1531"/>
      <c r="I81" s="1531"/>
      <c r="J81" s="1531"/>
      <c r="K81" s="1566"/>
      <c r="L81" s="1531"/>
      <c r="M81" s="1531"/>
      <c r="S81" s="699"/>
    </row>
    <row r="82" spans="3:19" ht="13.15" customHeight="1">
      <c r="C82" s="1567"/>
      <c r="F82" s="1531"/>
      <c r="G82" s="1531"/>
      <c r="H82" s="1531"/>
      <c r="I82" s="1531"/>
      <c r="J82" s="1531"/>
      <c r="K82" s="1566"/>
      <c r="L82" s="1531"/>
      <c r="M82" s="1531"/>
      <c r="S82" s="699"/>
    </row>
    <row r="83" spans="3:19" ht="13.15" customHeight="1">
      <c r="C83" s="1567"/>
      <c r="F83" s="1531"/>
      <c r="G83" s="1531"/>
      <c r="H83" s="1531"/>
      <c r="I83" s="1531"/>
      <c r="J83" s="1531"/>
      <c r="K83" s="1566"/>
      <c r="L83" s="1531"/>
      <c r="M83" s="1531"/>
      <c r="S83" s="699"/>
    </row>
    <row r="84" spans="3:19" ht="13.15" customHeight="1">
      <c r="C84" s="1567"/>
      <c r="F84" s="1531"/>
      <c r="G84" s="1531"/>
      <c r="H84" s="1531"/>
      <c r="I84" s="1531"/>
      <c r="J84" s="1531"/>
      <c r="K84" s="1566"/>
      <c r="L84" s="1531"/>
      <c r="M84" s="1531"/>
      <c r="S84" s="699"/>
    </row>
    <row r="85" spans="3:19" ht="13.15" customHeight="1">
      <c r="C85" s="1567"/>
      <c r="F85" s="1531"/>
      <c r="G85" s="1531"/>
      <c r="H85" s="1531"/>
      <c r="I85" s="1531"/>
      <c r="J85" s="1531"/>
      <c r="K85" s="1566"/>
      <c r="L85" s="1531"/>
      <c r="M85" s="1531"/>
      <c r="S85" s="699"/>
    </row>
    <row r="86" spans="3:19" ht="13.15" customHeight="1">
      <c r="C86" s="1567"/>
      <c r="F86" s="1531"/>
      <c r="G86" s="1531"/>
      <c r="H86" s="1531"/>
      <c r="I86" s="1531"/>
      <c r="J86" s="1531"/>
      <c r="K86" s="1566"/>
      <c r="L86" s="1531"/>
      <c r="M86" s="1531"/>
      <c r="S86" s="699"/>
    </row>
    <row r="87" spans="3:19" ht="13.15" customHeight="1">
      <c r="C87" s="1567"/>
      <c r="F87" s="1531"/>
      <c r="G87" s="1531"/>
      <c r="H87" s="1531"/>
      <c r="I87" s="1531"/>
      <c r="J87" s="1531"/>
      <c r="K87" s="1566"/>
      <c r="L87" s="1531"/>
      <c r="M87" s="1531"/>
      <c r="S87" s="699"/>
    </row>
    <row r="88" spans="3:19" ht="13.15" customHeight="1">
      <c r="C88" s="1567"/>
      <c r="F88" s="1531"/>
      <c r="G88" s="1531"/>
      <c r="H88" s="1531"/>
      <c r="I88" s="1531"/>
      <c r="J88" s="1531"/>
      <c r="K88" s="1566"/>
      <c r="L88" s="1531"/>
      <c r="M88" s="1531"/>
      <c r="S88" s="699"/>
    </row>
    <row r="89" spans="3:19" ht="13.15" customHeight="1">
      <c r="C89" s="1567"/>
      <c r="F89" s="1531"/>
      <c r="G89" s="1531"/>
      <c r="H89" s="1531"/>
      <c r="I89" s="1531"/>
      <c r="J89" s="1531"/>
      <c r="K89" s="1566"/>
      <c r="L89" s="1531"/>
      <c r="M89" s="1531"/>
      <c r="S89" s="699"/>
    </row>
    <row r="90" spans="3:19" ht="13.15" customHeight="1">
      <c r="C90" s="1567"/>
      <c r="F90" s="1531"/>
      <c r="G90" s="1531"/>
      <c r="H90" s="1531"/>
      <c r="I90" s="1531"/>
      <c r="J90" s="1531"/>
      <c r="K90" s="1566"/>
      <c r="L90" s="1531"/>
      <c r="M90" s="1531"/>
      <c r="S90" s="699"/>
    </row>
    <row r="91" spans="3:19" ht="13.15" customHeight="1">
      <c r="C91" s="1567"/>
      <c r="F91" s="1531"/>
      <c r="G91" s="1531"/>
      <c r="H91" s="1531"/>
      <c r="I91" s="1531"/>
      <c r="J91" s="1531"/>
      <c r="K91" s="1566"/>
      <c r="L91" s="1531"/>
      <c r="M91" s="1531"/>
      <c r="S91" s="699"/>
    </row>
    <row r="92" spans="3:19" ht="13.15" customHeight="1">
      <c r="C92" s="1567"/>
      <c r="F92" s="1531"/>
      <c r="G92" s="1531"/>
      <c r="H92" s="1531"/>
      <c r="I92" s="1531"/>
      <c r="J92" s="1531"/>
      <c r="K92" s="1566"/>
      <c r="L92" s="1531"/>
      <c r="M92" s="1531"/>
      <c r="S92" s="699"/>
    </row>
    <row r="93" spans="3:19" ht="13.15" customHeight="1">
      <c r="C93" s="1567"/>
      <c r="F93" s="1531"/>
      <c r="G93" s="1531"/>
      <c r="H93" s="1531"/>
      <c r="I93" s="1531"/>
      <c r="J93" s="1531"/>
      <c r="K93" s="1566"/>
      <c r="L93" s="1531"/>
      <c r="M93" s="1531"/>
      <c r="S93" s="699"/>
    </row>
    <row r="94" spans="3:19" ht="13.15" customHeight="1">
      <c r="C94" s="1567"/>
      <c r="F94" s="1531"/>
      <c r="G94" s="1531"/>
      <c r="H94" s="1531"/>
      <c r="I94" s="1531"/>
      <c r="J94" s="1531"/>
      <c r="K94" s="1566"/>
      <c r="L94" s="1531"/>
      <c r="M94" s="1531"/>
      <c r="S94" s="699"/>
    </row>
    <row r="95" spans="3:19" ht="13.15" customHeight="1">
      <c r="C95" s="1567"/>
      <c r="F95" s="1531"/>
      <c r="G95" s="1531"/>
      <c r="H95" s="1531"/>
      <c r="I95" s="1531"/>
      <c r="J95" s="1531"/>
      <c r="K95" s="1566"/>
      <c r="L95" s="1531"/>
      <c r="M95" s="1531"/>
      <c r="S95" s="699"/>
    </row>
    <row r="96" spans="3:19" ht="13.15" customHeight="1">
      <c r="C96" s="1567"/>
      <c r="F96" s="1531"/>
      <c r="G96" s="1531"/>
      <c r="H96" s="1531"/>
      <c r="I96" s="1531"/>
      <c r="J96" s="1531"/>
      <c r="K96" s="1566"/>
      <c r="L96" s="1531"/>
      <c r="M96" s="1531"/>
      <c r="S96" s="699"/>
    </row>
    <row r="97" spans="3:19" ht="13.15" customHeight="1">
      <c r="C97" s="1567"/>
      <c r="F97" s="1531"/>
      <c r="G97" s="1531"/>
      <c r="H97" s="1531"/>
      <c r="I97" s="1531"/>
      <c r="J97" s="1531"/>
      <c r="K97" s="1566"/>
      <c r="L97" s="1531"/>
      <c r="M97" s="1531"/>
      <c r="S97" s="699"/>
    </row>
    <row r="98" spans="3:19" ht="13.15" customHeight="1">
      <c r="C98" s="1567"/>
      <c r="F98" s="1531"/>
      <c r="G98" s="1531"/>
      <c r="H98" s="1531"/>
      <c r="I98" s="1531"/>
      <c r="J98" s="1531"/>
      <c r="K98" s="1566"/>
      <c r="L98" s="1531"/>
      <c r="M98" s="1531"/>
      <c r="S98" s="699"/>
    </row>
    <row r="99" spans="3:19" ht="13.15" customHeight="1">
      <c r="C99" s="1567"/>
      <c r="F99" s="1531"/>
      <c r="G99" s="1531"/>
      <c r="H99" s="1531"/>
      <c r="I99" s="1531"/>
      <c r="J99" s="1531"/>
      <c r="K99" s="1566"/>
      <c r="L99" s="1531"/>
      <c r="M99" s="1531"/>
      <c r="S99" s="699"/>
    </row>
    <row r="100" spans="3:19" ht="13.15" customHeight="1">
      <c r="C100" s="1567"/>
      <c r="F100" s="1531"/>
      <c r="G100" s="1531"/>
      <c r="H100" s="1531"/>
      <c r="I100" s="1531"/>
      <c r="J100" s="1531"/>
      <c r="K100" s="1566"/>
      <c r="L100" s="1531"/>
      <c r="M100" s="1531"/>
      <c r="S100" s="699"/>
    </row>
    <row r="101" spans="3:19" ht="13.15" customHeight="1">
      <c r="C101" s="1567"/>
      <c r="F101" s="1531"/>
      <c r="G101" s="1531"/>
      <c r="H101" s="1531"/>
      <c r="I101" s="1531"/>
      <c r="J101" s="1531"/>
      <c r="K101" s="1566"/>
      <c r="L101" s="1531"/>
      <c r="M101" s="1531"/>
      <c r="S101" s="699"/>
    </row>
    <row r="102" spans="3:19" ht="13.15" customHeight="1">
      <c r="C102" s="1567"/>
      <c r="F102" s="1531"/>
      <c r="G102" s="1531"/>
      <c r="H102" s="1531"/>
      <c r="I102" s="1531"/>
      <c r="J102" s="1531"/>
      <c r="K102" s="1566"/>
      <c r="L102" s="1531"/>
      <c r="M102" s="1531"/>
      <c r="S102" s="699"/>
    </row>
    <row r="103" spans="3:19" ht="13.15" customHeight="1">
      <c r="C103" s="1567"/>
      <c r="F103" s="1531"/>
      <c r="G103" s="1531"/>
      <c r="H103" s="1531"/>
      <c r="I103" s="1531"/>
      <c r="J103" s="1531"/>
      <c r="K103" s="1566"/>
      <c r="L103" s="1531"/>
      <c r="M103" s="1531"/>
      <c r="S103" s="699"/>
    </row>
    <row r="104" spans="3:19" ht="13.15" customHeight="1">
      <c r="C104" s="1567"/>
      <c r="F104" s="1531"/>
      <c r="G104" s="1531"/>
      <c r="H104" s="1531"/>
      <c r="I104" s="1531"/>
      <c r="J104" s="1531"/>
      <c r="K104" s="1566"/>
      <c r="L104" s="1531"/>
      <c r="M104" s="1531"/>
      <c r="S104" s="699"/>
    </row>
    <row r="105" spans="3:19" ht="13.15" customHeight="1">
      <c r="C105" s="1567"/>
      <c r="F105" s="1531"/>
      <c r="G105" s="1531"/>
      <c r="H105" s="1531"/>
      <c r="I105" s="1531"/>
      <c r="J105" s="1531"/>
      <c r="K105" s="1566"/>
      <c r="L105" s="1531"/>
      <c r="M105" s="1531"/>
      <c r="S105" s="699"/>
    </row>
    <row r="106" spans="3:19" ht="13.15" customHeight="1">
      <c r="C106" s="1567"/>
      <c r="F106" s="1531"/>
      <c r="G106" s="1531"/>
      <c r="H106" s="1531"/>
      <c r="I106" s="1531"/>
      <c r="J106" s="1531"/>
      <c r="K106" s="1566"/>
      <c r="L106" s="1531"/>
      <c r="M106" s="1531"/>
      <c r="S106" s="699"/>
    </row>
    <row r="107" spans="3:19" ht="13.15" customHeight="1">
      <c r="C107" s="1567"/>
      <c r="F107" s="1531"/>
      <c r="G107" s="1531"/>
      <c r="H107" s="1531"/>
      <c r="I107" s="1531"/>
      <c r="J107" s="1531"/>
      <c r="K107" s="1566"/>
      <c r="L107" s="1531"/>
      <c r="M107" s="1531"/>
      <c r="S107" s="699"/>
    </row>
    <row r="108" spans="3:19" ht="13.15" customHeight="1">
      <c r="C108" s="1567" t="s">
        <v>232</v>
      </c>
      <c r="F108" s="1531"/>
      <c r="G108" s="1531"/>
      <c r="H108" s="1531"/>
      <c r="I108" s="1531"/>
      <c r="J108" s="1531"/>
      <c r="K108" s="1566"/>
      <c r="L108" s="1531"/>
      <c r="M108" s="1531"/>
      <c r="S108" s="699"/>
    </row>
    <row r="109" spans="3:19" ht="13.15" customHeight="1">
      <c r="C109" s="1567"/>
      <c r="F109" s="1531"/>
      <c r="G109" s="1531"/>
      <c r="H109" s="1531"/>
      <c r="I109" s="1531"/>
      <c r="J109" s="1531"/>
      <c r="K109" s="1566"/>
      <c r="L109" s="1531"/>
      <c r="M109" s="1531"/>
      <c r="S109" s="699"/>
    </row>
    <row r="110" spans="3:19" ht="13.15" customHeight="1">
      <c r="C110" s="1567"/>
      <c r="F110" s="1531"/>
      <c r="G110" s="1531"/>
      <c r="H110" s="1531"/>
      <c r="I110" s="1531"/>
      <c r="J110" s="1531"/>
      <c r="K110" s="1566"/>
      <c r="L110" s="1531"/>
      <c r="M110" s="1531"/>
      <c r="S110" s="699"/>
    </row>
    <row r="111" spans="3:19" ht="13.15" customHeight="1">
      <c r="C111" s="1567"/>
      <c r="F111" s="1531"/>
      <c r="G111" s="1531"/>
      <c r="H111" s="1531"/>
      <c r="I111" s="1531"/>
      <c r="J111" s="1531"/>
      <c r="K111" s="1566"/>
      <c r="L111" s="1531"/>
      <c r="M111" s="1531"/>
      <c r="S111" s="699"/>
    </row>
    <row r="112" spans="3:19" ht="13.15" customHeight="1">
      <c r="C112" s="1567"/>
      <c r="F112" s="1531"/>
      <c r="G112" s="1531"/>
      <c r="H112" s="1531"/>
      <c r="I112" s="1531"/>
      <c r="J112" s="1531"/>
      <c r="K112" s="1566"/>
      <c r="L112" s="1531"/>
      <c r="M112" s="1531"/>
      <c r="S112" s="699"/>
    </row>
    <row r="113" spans="3:19" ht="13.15" customHeight="1">
      <c r="C113" s="1567"/>
      <c r="F113" s="1531"/>
      <c r="G113" s="1531"/>
      <c r="H113" s="1531"/>
      <c r="I113" s="1531"/>
      <c r="J113" s="1531"/>
      <c r="K113" s="1566"/>
      <c r="L113" s="1531"/>
      <c r="M113" s="1531"/>
      <c r="S113" s="699"/>
    </row>
    <row r="114" spans="3:19" ht="13.15" customHeight="1">
      <c r="C114" s="1567"/>
      <c r="F114" s="1531"/>
      <c r="G114" s="1531"/>
      <c r="H114" s="1531"/>
      <c r="I114" s="1531"/>
      <c r="J114" s="1531"/>
      <c r="K114" s="1566"/>
      <c r="L114" s="1531"/>
      <c r="M114" s="1531"/>
      <c r="S114" s="699"/>
    </row>
    <row r="115" spans="3:19" ht="13.15" customHeight="1">
      <c r="C115" s="1567"/>
      <c r="F115" s="1531"/>
      <c r="G115" s="1531"/>
      <c r="H115" s="1531"/>
      <c r="I115" s="1531"/>
      <c r="J115" s="1531"/>
      <c r="K115" s="1566"/>
      <c r="L115" s="1531"/>
      <c r="M115" s="1531"/>
      <c r="S115" s="699"/>
    </row>
    <row r="116" spans="3:19" ht="13.15" customHeight="1">
      <c r="C116" s="1567"/>
      <c r="F116" s="1531"/>
      <c r="G116" s="1531"/>
      <c r="H116" s="1531"/>
      <c r="I116" s="1531"/>
      <c r="J116" s="1531"/>
      <c r="K116" s="1566"/>
      <c r="L116" s="1531"/>
      <c r="M116" s="1531"/>
      <c r="S116" s="699"/>
    </row>
    <row r="117" spans="3:19" ht="13.15" customHeight="1">
      <c r="C117" s="1567"/>
      <c r="F117" s="1531"/>
      <c r="G117" s="1531"/>
      <c r="H117" s="1531"/>
      <c r="I117" s="1531"/>
      <c r="J117" s="1531"/>
      <c r="K117" s="1566"/>
      <c r="L117" s="1531"/>
      <c r="M117" s="1531"/>
      <c r="S117" s="699"/>
    </row>
    <row r="118" spans="3:19" ht="13.15" customHeight="1">
      <c r="C118" s="1567"/>
      <c r="F118" s="1531"/>
      <c r="G118" s="1531"/>
      <c r="H118" s="1531"/>
      <c r="I118" s="1531"/>
      <c r="J118" s="1531"/>
      <c r="K118" s="1566"/>
      <c r="L118" s="1531"/>
      <c r="M118" s="1531"/>
      <c r="S118" s="699"/>
    </row>
    <row r="119" spans="3:19" ht="13.15" customHeight="1">
      <c r="C119" s="1567"/>
      <c r="F119" s="1531"/>
      <c r="G119" s="1531"/>
      <c r="H119" s="1531"/>
      <c r="I119" s="1531"/>
      <c r="J119" s="1531"/>
      <c r="K119" s="1566"/>
      <c r="L119" s="1531"/>
      <c r="M119" s="1531"/>
      <c r="S119" s="699"/>
    </row>
    <row r="120" spans="3:19" ht="13.15" customHeight="1">
      <c r="C120" s="1567"/>
      <c r="F120" s="1531"/>
      <c r="G120" s="1531"/>
      <c r="H120" s="1531"/>
      <c r="I120" s="1531"/>
      <c r="J120" s="1531"/>
      <c r="K120" s="1566"/>
      <c r="L120" s="1531"/>
      <c r="M120" s="1531"/>
      <c r="S120" s="699"/>
    </row>
    <row r="121" spans="3:19" ht="13.15" customHeight="1">
      <c r="C121" s="1567"/>
      <c r="F121" s="1531"/>
      <c r="G121" s="1531"/>
      <c r="H121" s="1531"/>
      <c r="I121" s="1531"/>
      <c r="J121" s="1531"/>
      <c r="K121" s="1566"/>
      <c r="L121" s="1531"/>
      <c r="M121" s="1531"/>
      <c r="S121" s="699"/>
    </row>
    <row r="122" spans="3:19" ht="13.15" customHeight="1">
      <c r="C122" s="1567"/>
      <c r="F122" s="1531"/>
      <c r="G122" s="1531"/>
      <c r="H122" s="1531"/>
      <c r="I122" s="1531"/>
      <c r="J122" s="1531"/>
      <c r="K122" s="1566"/>
      <c r="L122" s="1531"/>
      <c r="M122" s="1531"/>
      <c r="S122" s="699"/>
    </row>
    <row r="123" spans="3:19" ht="13.15" customHeight="1">
      <c r="C123" s="1567"/>
      <c r="F123" s="1531"/>
      <c r="G123" s="1531"/>
      <c r="H123" s="1531"/>
      <c r="I123" s="1531"/>
      <c r="J123" s="1531"/>
      <c r="K123" s="1566"/>
      <c r="L123" s="1531"/>
      <c r="M123" s="1531"/>
      <c r="S123" s="699"/>
    </row>
    <row r="124" spans="3:19" ht="13.15" customHeight="1">
      <c r="C124" s="1567"/>
      <c r="F124" s="1531"/>
      <c r="G124" s="1531"/>
      <c r="H124" s="1531"/>
      <c r="I124" s="1531"/>
      <c r="J124" s="1531"/>
      <c r="K124" s="1566"/>
      <c r="L124" s="1531"/>
      <c r="M124" s="1531"/>
      <c r="S124" s="699"/>
    </row>
    <row r="125" spans="3:19" ht="13.15" customHeight="1">
      <c r="C125" s="1567"/>
      <c r="F125" s="1531"/>
      <c r="G125" s="1531"/>
      <c r="H125" s="1531"/>
      <c r="I125" s="1531"/>
      <c r="J125" s="1531"/>
      <c r="K125" s="1566"/>
      <c r="L125" s="1531"/>
      <c r="M125" s="1531"/>
      <c r="S125" s="699"/>
    </row>
    <row r="126" spans="3:19" ht="13.15" customHeight="1">
      <c r="C126" s="1567"/>
      <c r="F126" s="1531"/>
      <c r="G126" s="1531"/>
      <c r="H126" s="1531"/>
      <c r="I126" s="1531"/>
      <c r="J126" s="1531"/>
      <c r="K126" s="1566"/>
      <c r="L126" s="1531"/>
      <c r="M126" s="1531"/>
      <c r="S126" s="699"/>
    </row>
    <row r="127" spans="3:19" ht="13.15" customHeight="1">
      <c r="C127" s="1567"/>
      <c r="F127" s="1531"/>
      <c r="G127" s="1531"/>
      <c r="H127" s="1531"/>
      <c r="I127" s="1531"/>
      <c r="J127" s="1531"/>
      <c r="K127" s="1566"/>
      <c r="L127" s="1531"/>
      <c r="M127" s="1531"/>
      <c r="S127" s="699"/>
    </row>
    <row r="128" spans="3:19" ht="13.15" customHeight="1">
      <c r="C128" s="1567"/>
      <c r="F128" s="1531"/>
      <c r="G128" s="1531"/>
      <c r="H128" s="1531"/>
      <c r="I128" s="1531"/>
      <c r="J128" s="1531"/>
      <c r="K128" s="1566"/>
      <c r="L128" s="1531"/>
      <c r="M128" s="1531"/>
      <c r="S128" s="699"/>
    </row>
    <row r="129" spans="3:19" ht="13.15" customHeight="1">
      <c r="C129" s="1567"/>
      <c r="F129" s="1531"/>
      <c r="G129" s="1531"/>
      <c r="H129" s="1531"/>
      <c r="I129" s="1531"/>
      <c r="J129" s="1531"/>
      <c r="K129" s="1566"/>
      <c r="L129" s="1531"/>
      <c r="M129" s="1531"/>
      <c r="S129" s="699"/>
    </row>
    <row r="130" spans="3:19" ht="13.15" customHeight="1">
      <c r="C130" s="1567"/>
      <c r="F130" s="1531"/>
      <c r="G130" s="1531"/>
      <c r="H130" s="1531"/>
      <c r="I130" s="1531"/>
      <c r="J130" s="1531"/>
      <c r="K130" s="1566"/>
      <c r="L130" s="1531"/>
      <c r="M130" s="1531"/>
      <c r="S130" s="699"/>
    </row>
    <row r="131" spans="3:19" ht="13.15" customHeight="1">
      <c r="C131" s="1567"/>
      <c r="F131" s="1531"/>
      <c r="G131" s="1531"/>
      <c r="H131" s="1531"/>
      <c r="I131" s="1531"/>
      <c r="J131" s="1531"/>
      <c r="K131" s="1566"/>
      <c r="L131" s="1531"/>
      <c r="M131" s="1531"/>
      <c r="S131" s="699"/>
    </row>
    <row r="132" spans="3:19" ht="13.15" customHeight="1">
      <c r="C132" s="1567"/>
      <c r="F132" s="1531"/>
      <c r="G132" s="1531"/>
      <c r="H132" s="1531"/>
      <c r="I132" s="1531"/>
      <c r="J132" s="1531"/>
      <c r="K132" s="1566"/>
      <c r="L132" s="1531"/>
      <c r="M132" s="1531"/>
      <c r="S132" s="699"/>
    </row>
    <row r="133" spans="3:19" ht="13.15" customHeight="1">
      <c r="C133" s="1567"/>
      <c r="F133" s="1531"/>
      <c r="G133" s="1531"/>
      <c r="H133" s="1531"/>
      <c r="I133" s="1531"/>
      <c r="J133" s="1531"/>
      <c r="K133" s="1566"/>
      <c r="L133" s="1531"/>
      <c r="M133" s="1531"/>
      <c r="S133" s="699"/>
    </row>
    <row r="134" spans="3:19" ht="13.15" customHeight="1">
      <c r="C134" s="1567"/>
      <c r="F134" s="1531"/>
      <c r="G134" s="1531"/>
      <c r="H134" s="1531"/>
      <c r="I134" s="1531"/>
      <c r="J134" s="1531"/>
      <c r="K134" s="1566"/>
      <c r="L134" s="1531"/>
      <c r="M134" s="1531"/>
      <c r="S134" s="699"/>
    </row>
    <row r="135" spans="3:19" ht="13.15" customHeight="1">
      <c r="C135" s="1567"/>
      <c r="F135" s="1531"/>
      <c r="G135" s="1531"/>
      <c r="H135" s="1531"/>
      <c r="I135" s="1531"/>
      <c r="J135" s="1531"/>
      <c r="K135" s="1566"/>
      <c r="L135" s="1531"/>
      <c r="M135" s="1531"/>
      <c r="S135" s="699"/>
    </row>
    <row r="136" spans="3:19" ht="13.15" customHeight="1">
      <c r="C136" s="1567"/>
      <c r="F136" s="1531"/>
      <c r="G136" s="1531"/>
      <c r="H136" s="1531"/>
      <c r="I136" s="1531"/>
      <c r="J136" s="1531"/>
      <c r="K136" s="1566"/>
      <c r="L136" s="1531"/>
      <c r="M136" s="1531"/>
      <c r="S136" s="699"/>
    </row>
    <row r="137" spans="3:19" ht="13.15" customHeight="1">
      <c r="C137" s="1567"/>
      <c r="F137" s="1531"/>
      <c r="G137" s="1531"/>
      <c r="H137" s="1531"/>
      <c r="I137" s="1531"/>
      <c r="J137" s="1531"/>
      <c r="K137" s="1566"/>
      <c r="L137" s="1531"/>
      <c r="M137" s="1531"/>
      <c r="S137" s="699"/>
    </row>
    <row r="138" spans="3:19" ht="13.15" customHeight="1">
      <c r="C138" s="1567"/>
      <c r="F138" s="1531"/>
      <c r="G138" s="1531"/>
      <c r="H138" s="1531"/>
      <c r="I138" s="1531"/>
      <c r="J138" s="1531"/>
      <c r="K138" s="1566"/>
      <c r="L138" s="1531"/>
      <c r="M138" s="1531"/>
      <c r="S138" s="699"/>
    </row>
    <row r="139" spans="3:19" ht="13.15" customHeight="1">
      <c r="C139" s="1567"/>
      <c r="F139" s="1531"/>
      <c r="G139" s="1531"/>
      <c r="H139" s="1531"/>
      <c r="I139" s="1531"/>
      <c r="J139" s="1531"/>
      <c r="K139" s="1566"/>
      <c r="L139" s="1531"/>
      <c r="M139" s="1531"/>
      <c r="S139" s="699"/>
    </row>
    <row r="140" spans="3:19" ht="13.15" customHeight="1">
      <c r="C140" s="1567"/>
      <c r="F140" s="1531"/>
      <c r="G140" s="1531"/>
      <c r="H140" s="1531"/>
      <c r="I140" s="1531"/>
      <c r="J140" s="1531"/>
      <c r="K140" s="1566"/>
      <c r="L140" s="1531"/>
      <c r="M140" s="1531"/>
      <c r="S140" s="699"/>
    </row>
    <row r="141" spans="3:19" ht="13.15" customHeight="1">
      <c r="C141" s="1567"/>
      <c r="F141" s="1531"/>
      <c r="G141" s="1531"/>
      <c r="H141" s="1531"/>
      <c r="I141" s="1531"/>
      <c r="J141" s="1531"/>
      <c r="K141" s="1566"/>
      <c r="L141" s="1531"/>
      <c r="M141" s="1531"/>
      <c r="S141" s="699"/>
    </row>
    <row r="142" spans="3:19" ht="13.15" customHeight="1">
      <c r="C142" s="1567"/>
      <c r="F142" s="1531"/>
      <c r="G142" s="1531"/>
      <c r="H142" s="1531"/>
      <c r="I142" s="1531"/>
      <c r="J142" s="1531"/>
      <c r="K142" s="1566"/>
      <c r="L142" s="1531"/>
      <c r="M142" s="1531"/>
      <c r="S142" s="699"/>
    </row>
    <row r="143" spans="3:19" ht="13.15" customHeight="1">
      <c r="C143" s="1567"/>
      <c r="F143" s="1531"/>
      <c r="G143" s="1531"/>
      <c r="H143" s="1531"/>
      <c r="I143" s="1531"/>
      <c r="J143" s="1531"/>
      <c r="K143" s="1566"/>
      <c r="L143" s="1531"/>
      <c r="M143" s="1531"/>
      <c r="S143" s="699"/>
    </row>
    <row r="144" spans="3:19" ht="13.15" customHeight="1">
      <c r="C144" s="1567"/>
      <c r="F144" s="1531"/>
      <c r="G144" s="1531"/>
      <c r="H144" s="1531"/>
      <c r="I144" s="1531"/>
      <c r="J144" s="1531"/>
      <c r="K144" s="1566"/>
      <c r="L144" s="1531"/>
      <c r="M144" s="1531"/>
      <c r="S144" s="699"/>
    </row>
    <row r="145" spans="3:19" ht="13.15" customHeight="1">
      <c r="C145" s="1567"/>
      <c r="F145" s="1531"/>
      <c r="G145" s="1531"/>
      <c r="H145" s="1531"/>
      <c r="I145" s="1531"/>
      <c r="J145" s="1531"/>
      <c r="K145" s="1566"/>
      <c r="L145" s="1531"/>
      <c r="M145" s="1531"/>
      <c r="S145" s="699"/>
    </row>
    <row r="146" spans="3:19" ht="13.15" customHeight="1">
      <c r="C146" s="1567"/>
      <c r="F146" s="1531"/>
      <c r="G146" s="1531"/>
      <c r="H146" s="1531"/>
      <c r="I146" s="1531"/>
      <c r="J146" s="1531"/>
      <c r="K146" s="1566"/>
      <c r="L146" s="1531"/>
      <c r="M146" s="1531"/>
      <c r="S146" s="699"/>
    </row>
    <row r="147" spans="3:19" ht="13.15" customHeight="1">
      <c r="C147" s="1567"/>
      <c r="F147" s="1531"/>
      <c r="G147" s="1531"/>
      <c r="H147" s="1531"/>
      <c r="I147" s="1531"/>
      <c r="J147" s="1531"/>
      <c r="K147" s="1566"/>
      <c r="L147" s="1531"/>
      <c r="M147" s="1531"/>
      <c r="S147" s="699"/>
    </row>
    <row r="148" spans="3:19" ht="13.15" customHeight="1">
      <c r="C148" s="1567"/>
      <c r="F148" s="1531"/>
      <c r="G148" s="1531"/>
      <c r="H148" s="1531"/>
      <c r="I148" s="1531"/>
      <c r="J148" s="1531"/>
      <c r="K148" s="1566"/>
      <c r="L148" s="1531"/>
      <c r="M148" s="1531"/>
      <c r="S148" s="699"/>
    </row>
    <row r="149" spans="3:19" ht="13.15" customHeight="1">
      <c r="C149" s="1567"/>
      <c r="F149" s="1531"/>
      <c r="G149" s="1531"/>
      <c r="H149" s="1531"/>
      <c r="I149" s="1531"/>
      <c r="J149" s="1531"/>
      <c r="K149" s="1566"/>
      <c r="L149" s="1531"/>
      <c r="M149" s="1531"/>
      <c r="S149" s="699"/>
    </row>
    <row r="150" spans="3:19" ht="13.15" customHeight="1">
      <c r="C150" s="1567"/>
      <c r="F150" s="1531"/>
      <c r="G150" s="1531"/>
      <c r="H150" s="1531"/>
      <c r="I150" s="1531"/>
      <c r="J150" s="1531"/>
      <c r="K150" s="1566"/>
      <c r="L150" s="1531"/>
      <c r="M150" s="1531"/>
      <c r="S150" s="699"/>
    </row>
    <row r="151" spans="3:19" ht="13.15" customHeight="1">
      <c r="C151" s="1567"/>
      <c r="F151" s="1531"/>
      <c r="G151" s="1531"/>
      <c r="H151" s="1531"/>
      <c r="I151" s="1531"/>
      <c r="J151" s="1531"/>
      <c r="K151" s="1566"/>
      <c r="L151" s="1531"/>
      <c r="M151" s="1531"/>
      <c r="S151" s="699"/>
    </row>
    <row r="152" spans="3:19" ht="13.15" customHeight="1">
      <c r="C152" s="1567"/>
      <c r="F152" s="1531"/>
      <c r="G152" s="1531"/>
      <c r="H152" s="1531"/>
      <c r="I152" s="1531"/>
      <c r="J152" s="1531"/>
      <c r="K152" s="1566"/>
      <c r="L152" s="1531"/>
      <c r="M152" s="1531"/>
      <c r="S152" s="699"/>
    </row>
    <row r="153" spans="3:19" ht="13.15" customHeight="1">
      <c r="C153" s="1567"/>
      <c r="F153" s="1531"/>
      <c r="G153" s="1531"/>
      <c r="H153" s="1531"/>
      <c r="I153" s="1531"/>
      <c r="J153" s="1531"/>
      <c r="K153" s="1566"/>
      <c r="L153" s="1531"/>
      <c r="M153" s="1531"/>
      <c r="S153" s="699"/>
    </row>
    <row r="154" spans="3:19" ht="13.15" customHeight="1">
      <c r="C154" s="1567"/>
      <c r="F154" s="1531"/>
      <c r="G154" s="1531"/>
      <c r="H154" s="1531"/>
      <c r="I154" s="1531"/>
      <c r="J154" s="1531"/>
      <c r="K154" s="1566"/>
      <c r="L154" s="1531"/>
      <c r="M154" s="1531"/>
      <c r="S154" s="699"/>
    </row>
    <row r="155" spans="3:19" ht="13.15" customHeight="1">
      <c r="C155" s="1567"/>
      <c r="F155" s="1531"/>
      <c r="G155" s="1531"/>
      <c r="H155" s="1531"/>
      <c r="I155" s="1531"/>
      <c r="J155" s="1531"/>
      <c r="K155" s="1566"/>
      <c r="L155" s="1531"/>
      <c r="M155" s="1531"/>
      <c r="S155" s="699"/>
    </row>
    <row r="156" spans="3:19" ht="13.15" customHeight="1">
      <c r="C156" s="1567"/>
      <c r="F156" s="1531"/>
      <c r="G156" s="1531"/>
      <c r="H156" s="1531"/>
      <c r="I156" s="1531"/>
      <c r="J156" s="1531"/>
      <c r="K156" s="1566"/>
      <c r="L156" s="1531"/>
      <c r="M156" s="1531"/>
      <c r="S156" s="699"/>
    </row>
    <row r="157" spans="3:19" ht="13.15" customHeight="1">
      <c r="C157" s="1567"/>
      <c r="F157" s="1531"/>
      <c r="G157" s="1531"/>
      <c r="H157" s="1531"/>
      <c r="I157" s="1531"/>
      <c r="J157" s="1531"/>
      <c r="K157" s="1566"/>
      <c r="L157" s="1531"/>
      <c r="M157" s="1531"/>
      <c r="S157" s="699"/>
    </row>
    <row r="158" spans="3:19" ht="13.15" customHeight="1">
      <c r="C158" s="1567"/>
      <c r="F158" s="1531"/>
      <c r="G158" s="1531"/>
      <c r="H158" s="1531"/>
      <c r="I158" s="1531"/>
      <c r="J158" s="1531"/>
      <c r="K158" s="1566"/>
      <c r="L158" s="1531"/>
      <c r="M158" s="1531"/>
      <c r="S158" s="699"/>
    </row>
    <row r="159" spans="3:19" ht="13.15" customHeight="1">
      <c r="C159" s="1567"/>
      <c r="F159" s="1531"/>
      <c r="G159" s="1531"/>
      <c r="H159" s="1531"/>
      <c r="I159" s="1531"/>
      <c r="J159" s="1531"/>
      <c r="K159" s="1566"/>
      <c r="L159" s="1531"/>
      <c r="M159" s="1531"/>
      <c r="S159" s="699"/>
    </row>
    <row r="160" spans="3:19" ht="13.15" customHeight="1">
      <c r="C160" s="1567"/>
      <c r="F160" s="1531"/>
      <c r="G160" s="1531"/>
      <c r="H160" s="1531"/>
      <c r="I160" s="1531"/>
      <c r="J160" s="1531"/>
      <c r="K160" s="1566"/>
      <c r="L160" s="1531"/>
      <c r="M160" s="1531"/>
      <c r="S160" s="699"/>
    </row>
    <row r="161" spans="3:19" ht="13.15" customHeight="1">
      <c r="C161" s="1567"/>
      <c r="F161" s="1531"/>
      <c r="G161" s="1531"/>
      <c r="H161" s="1531"/>
      <c r="I161" s="1531"/>
      <c r="J161" s="1531"/>
      <c r="K161" s="1566"/>
      <c r="L161" s="1531"/>
      <c r="M161" s="1531"/>
      <c r="S161" s="699"/>
    </row>
    <row r="162" spans="3:19" ht="13.15" customHeight="1">
      <c r="C162" s="1567"/>
      <c r="F162" s="1531"/>
      <c r="G162" s="1531"/>
      <c r="H162" s="1531"/>
      <c r="I162" s="1531"/>
      <c r="J162" s="1531"/>
      <c r="K162" s="1566"/>
      <c r="L162" s="1531"/>
      <c r="M162" s="1531"/>
      <c r="S162" s="699"/>
    </row>
    <row r="163" spans="3:19" ht="13.15" customHeight="1">
      <c r="C163" s="1567"/>
      <c r="F163" s="1531"/>
      <c r="G163" s="1531"/>
      <c r="H163" s="1531"/>
      <c r="I163" s="1531"/>
      <c r="J163" s="1531"/>
      <c r="K163" s="1566"/>
      <c r="L163" s="1531"/>
      <c r="M163" s="1531"/>
      <c r="S163" s="699"/>
    </row>
    <row r="164" spans="3:19" ht="13.15" customHeight="1">
      <c r="C164" s="1567"/>
      <c r="F164" s="1531"/>
      <c r="G164" s="1531"/>
      <c r="H164" s="1531"/>
      <c r="I164" s="1531"/>
      <c r="J164" s="1531"/>
      <c r="K164" s="1566"/>
      <c r="L164" s="1531"/>
      <c r="M164" s="1531"/>
      <c r="S164" s="699"/>
    </row>
    <row r="165" spans="3:19" ht="13.15" customHeight="1">
      <c r="C165" s="1567"/>
      <c r="F165" s="1531"/>
      <c r="G165" s="1531"/>
      <c r="H165" s="1531"/>
      <c r="I165" s="1531"/>
      <c r="J165" s="1531"/>
      <c r="K165" s="1566"/>
      <c r="L165" s="1531"/>
      <c r="M165" s="1531"/>
      <c r="S165" s="699"/>
    </row>
    <row r="166" spans="3:19" ht="13.15" customHeight="1">
      <c r="C166" s="1567"/>
      <c r="F166" s="1531"/>
      <c r="G166" s="1531"/>
      <c r="H166" s="1531"/>
      <c r="I166" s="1531"/>
      <c r="J166" s="1531"/>
      <c r="K166" s="1566"/>
      <c r="L166" s="1531"/>
      <c r="M166" s="1531"/>
      <c r="S166" s="699"/>
    </row>
    <row r="167" spans="3:19" ht="13.15" customHeight="1">
      <c r="C167" s="1567"/>
      <c r="F167" s="1531"/>
      <c r="G167" s="1531"/>
      <c r="H167" s="1531"/>
      <c r="I167" s="1531"/>
      <c r="J167" s="1531"/>
      <c r="K167" s="1566"/>
      <c r="L167" s="1531"/>
      <c r="M167" s="1531"/>
      <c r="S167" s="699"/>
    </row>
    <row r="168" spans="3:19" ht="13.15" customHeight="1">
      <c r="C168" s="1567"/>
      <c r="F168" s="1531"/>
      <c r="G168" s="1531"/>
      <c r="H168" s="1531"/>
      <c r="I168" s="1531"/>
      <c r="J168" s="1531"/>
      <c r="K168" s="1566"/>
      <c r="L168" s="1531"/>
      <c r="M168" s="1531"/>
      <c r="S168" s="699"/>
    </row>
    <row r="169" spans="3:19" ht="13.15" customHeight="1">
      <c r="C169" s="1567"/>
      <c r="F169" s="1531"/>
      <c r="G169" s="1531"/>
      <c r="H169" s="1531"/>
      <c r="I169" s="1531"/>
      <c r="J169" s="1531"/>
      <c r="K169" s="1566"/>
      <c r="L169" s="1531"/>
      <c r="M169" s="1531"/>
      <c r="S169" s="699"/>
    </row>
    <row r="170" spans="3:19" ht="13.15" customHeight="1">
      <c r="C170" s="1567"/>
      <c r="F170" s="1531"/>
      <c r="G170" s="1531"/>
      <c r="H170" s="1531"/>
      <c r="I170" s="1531"/>
      <c r="J170" s="1531"/>
      <c r="K170" s="1566"/>
      <c r="L170" s="1531"/>
      <c r="M170" s="1531"/>
      <c r="S170" s="699"/>
    </row>
    <row r="171" spans="3:19" ht="13.15" customHeight="1">
      <c r="C171" s="1567"/>
      <c r="F171" s="1531"/>
      <c r="G171" s="1531"/>
      <c r="H171" s="1531"/>
      <c r="I171" s="1531"/>
      <c r="J171" s="1531"/>
      <c r="K171" s="1566"/>
      <c r="L171" s="1531"/>
      <c r="M171" s="1531"/>
      <c r="S171" s="699"/>
    </row>
    <row r="172" spans="3:19" ht="13.15" customHeight="1">
      <c r="C172" s="1567"/>
      <c r="F172" s="1531"/>
      <c r="G172" s="1531"/>
      <c r="H172" s="1531"/>
      <c r="I172" s="1531"/>
      <c r="J172" s="1531"/>
      <c r="K172" s="1566"/>
      <c r="L172" s="1531"/>
      <c r="M172" s="1531"/>
      <c r="S172" s="699"/>
    </row>
    <row r="173" spans="3:19" ht="13.15" customHeight="1">
      <c r="C173" s="1567"/>
      <c r="F173" s="1531"/>
      <c r="G173" s="1531"/>
      <c r="H173" s="1531"/>
      <c r="I173" s="1531"/>
      <c r="J173" s="1531"/>
      <c r="K173" s="1566"/>
      <c r="L173" s="1531"/>
      <c r="M173" s="1531"/>
      <c r="S173" s="699"/>
    </row>
    <row r="174" spans="3:19" ht="13.15" customHeight="1">
      <c r="C174" s="1567"/>
      <c r="F174" s="1531"/>
      <c r="G174" s="1531"/>
      <c r="H174" s="1531"/>
      <c r="I174" s="1531"/>
      <c r="J174" s="1531"/>
      <c r="K174" s="1566"/>
      <c r="L174" s="1531"/>
      <c r="M174" s="1531"/>
      <c r="S174" s="699"/>
    </row>
    <row r="175" spans="3:19" ht="13.15" customHeight="1">
      <c r="C175" s="1567"/>
      <c r="F175" s="1531"/>
      <c r="G175" s="1531"/>
      <c r="H175" s="1531"/>
      <c r="I175" s="1531"/>
      <c r="J175" s="1531"/>
      <c r="K175" s="1566"/>
      <c r="L175" s="1531"/>
      <c r="M175" s="1531"/>
      <c r="S175" s="699"/>
    </row>
    <row r="176" spans="3:19" ht="13.15" customHeight="1">
      <c r="C176" s="1567"/>
      <c r="F176" s="1531"/>
      <c r="G176" s="1531"/>
      <c r="H176" s="1531"/>
      <c r="I176" s="1531"/>
      <c r="J176" s="1531"/>
      <c r="K176" s="1566"/>
      <c r="L176" s="1531"/>
      <c r="M176" s="1531"/>
      <c r="S176" s="699"/>
    </row>
    <row r="177" spans="3:19" ht="13.15" customHeight="1">
      <c r="C177" s="1567"/>
      <c r="F177" s="1531"/>
      <c r="G177" s="1531"/>
      <c r="H177" s="1531"/>
      <c r="I177" s="1531"/>
      <c r="J177" s="1531"/>
      <c r="K177" s="1566"/>
      <c r="L177" s="1531"/>
      <c r="M177" s="1531"/>
      <c r="S177" s="699"/>
    </row>
    <row r="178" spans="3:19" ht="13.15" customHeight="1">
      <c r="C178" s="1567"/>
      <c r="F178" s="1531"/>
      <c r="G178" s="1531"/>
      <c r="H178" s="1531"/>
      <c r="I178" s="1531"/>
      <c r="J178" s="1531"/>
      <c r="K178" s="1566"/>
      <c r="L178" s="1531"/>
      <c r="M178" s="1531"/>
      <c r="S178" s="699"/>
    </row>
    <row r="179" spans="3:19" ht="13.15" customHeight="1">
      <c r="C179" s="1567"/>
      <c r="F179" s="1531"/>
      <c r="G179" s="1531"/>
      <c r="H179" s="1531"/>
      <c r="I179" s="1531"/>
      <c r="J179" s="1531"/>
      <c r="K179" s="1566"/>
      <c r="L179" s="1531"/>
      <c r="M179" s="1531"/>
      <c r="S179" s="699"/>
    </row>
    <row r="180" spans="3:19" ht="13.15" customHeight="1">
      <c r="C180" s="1567"/>
      <c r="F180" s="1531"/>
      <c r="G180" s="1531"/>
      <c r="H180" s="1531"/>
      <c r="I180" s="1531"/>
      <c r="J180" s="1531"/>
      <c r="K180" s="1566"/>
      <c r="L180" s="1531"/>
      <c r="M180" s="1531"/>
      <c r="S180" s="699"/>
    </row>
    <row r="181" spans="3:19" ht="13.15" customHeight="1">
      <c r="C181" s="1567"/>
      <c r="F181" s="1531"/>
      <c r="G181" s="1531"/>
      <c r="H181" s="1531"/>
      <c r="I181" s="1531"/>
      <c r="J181" s="1531"/>
      <c r="K181" s="1566"/>
      <c r="L181" s="1531"/>
      <c r="M181" s="1531"/>
      <c r="S181" s="699"/>
    </row>
    <row r="182" spans="3:19" ht="13.15" customHeight="1">
      <c r="C182" s="1567"/>
      <c r="F182" s="1531"/>
      <c r="G182" s="1531"/>
      <c r="H182" s="1531"/>
      <c r="I182" s="1531"/>
      <c r="J182" s="1531"/>
      <c r="K182" s="1566"/>
      <c r="L182" s="1531"/>
      <c r="M182" s="1531"/>
      <c r="S182" s="699"/>
    </row>
    <row r="183" spans="3:19" ht="13.15" customHeight="1">
      <c r="C183" s="1567"/>
      <c r="F183" s="1531"/>
      <c r="G183" s="1531"/>
      <c r="H183" s="1531"/>
      <c r="I183" s="1531"/>
      <c r="J183" s="1531"/>
      <c r="K183" s="1566"/>
      <c r="L183" s="1531"/>
      <c r="M183" s="1531"/>
      <c r="S183" s="699"/>
    </row>
    <row r="184" spans="3:19" ht="13.15" customHeight="1">
      <c r="C184" s="1567"/>
      <c r="F184" s="1531"/>
      <c r="G184" s="1531"/>
      <c r="H184" s="1531"/>
      <c r="I184" s="1531"/>
      <c r="J184" s="1531"/>
      <c r="K184" s="1566"/>
      <c r="L184" s="1531"/>
      <c r="M184" s="1531"/>
      <c r="S184" s="699"/>
    </row>
    <row r="185" spans="3:19" ht="13.15" customHeight="1">
      <c r="C185" s="1567"/>
      <c r="F185" s="1531"/>
      <c r="G185" s="1531"/>
      <c r="H185" s="1531"/>
      <c r="I185" s="1531"/>
      <c r="J185" s="1531"/>
      <c r="K185" s="1566"/>
      <c r="L185" s="1531"/>
      <c r="M185" s="1531"/>
      <c r="S185" s="699"/>
    </row>
    <row r="186" spans="3:19" ht="13.15" customHeight="1">
      <c r="C186" s="1567"/>
      <c r="F186" s="1531"/>
      <c r="G186" s="1531"/>
      <c r="H186" s="1531"/>
      <c r="I186" s="1531"/>
      <c r="J186" s="1531"/>
      <c r="K186" s="1566"/>
      <c r="L186" s="1531"/>
      <c r="M186" s="1531"/>
      <c r="S186" s="699"/>
    </row>
    <row r="187" spans="3:19" ht="13.15" customHeight="1">
      <c r="C187" s="1567" t="s">
        <v>232</v>
      </c>
      <c r="F187" s="1531"/>
      <c r="G187" s="1531"/>
      <c r="H187" s="1531"/>
      <c r="I187" s="1531"/>
      <c r="J187" s="1531"/>
      <c r="K187" s="1566"/>
      <c r="L187" s="1531"/>
      <c r="M187" s="1531"/>
      <c r="S187" s="699"/>
    </row>
    <row r="188" spans="3:19" ht="13.15" customHeight="1">
      <c r="C188" s="1567"/>
      <c r="F188" s="1531"/>
      <c r="G188" s="1531"/>
      <c r="H188" s="1531"/>
      <c r="I188" s="1531"/>
      <c r="J188" s="1531"/>
      <c r="K188" s="1566"/>
      <c r="L188" s="1531"/>
      <c r="M188" s="1531"/>
      <c r="S188" s="699"/>
    </row>
    <row r="189" spans="3:19" ht="13.15" customHeight="1">
      <c r="C189" s="1567"/>
      <c r="F189" s="1531"/>
      <c r="G189" s="1531"/>
      <c r="H189" s="1531"/>
      <c r="I189" s="1531"/>
      <c r="J189" s="1531"/>
      <c r="K189" s="1566"/>
      <c r="L189" s="1531"/>
      <c r="M189" s="1531"/>
      <c r="S189" s="699"/>
    </row>
    <row r="190" spans="3:19" ht="13.15" customHeight="1">
      <c r="C190" s="1567"/>
      <c r="F190" s="1531"/>
      <c r="G190" s="1531"/>
      <c r="H190" s="1531"/>
      <c r="I190" s="1531"/>
      <c r="J190" s="1531"/>
      <c r="K190" s="1566"/>
      <c r="L190" s="1531"/>
      <c r="M190" s="1531"/>
      <c r="S190" s="699"/>
    </row>
    <row r="191" spans="3:19" ht="13.15" customHeight="1">
      <c r="C191" s="1567"/>
      <c r="F191" s="1531"/>
      <c r="G191" s="1531"/>
      <c r="H191" s="1531"/>
      <c r="I191" s="1531"/>
      <c r="J191" s="1531"/>
      <c r="K191" s="1566"/>
      <c r="L191" s="1531"/>
      <c r="M191" s="1531"/>
      <c r="S191" s="699"/>
    </row>
    <row r="192" spans="3:19" ht="13.15" customHeight="1">
      <c r="C192" s="1567"/>
      <c r="F192" s="1531"/>
      <c r="G192" s="1531"/>
      <c r="H192" s="1531"/>
      <c r="I192" s="1531"/>
      <c r="J192" s="1531"/>
      <c r="K192" s="1566"/>
      <c r="L192" s="1531"/>
      <c r="M192" s="1531"/>
      <c r="S192" s="699"/>
    </row>
    <row r="193" spans="3:19" ht="13.15" customHeight="1">
      <c r="C193" s="1567"/>
      <c r="F193" s="636"/>
      <c r="G193" s="636"/>
      <c r="H193" s="636"/>
      <c r="I193" s="636"/>
      <c r="J193" s="636"/>
      <c r="K193" s="1566"/>
      <c r="L193" s="636"/>
      <c r="M193" s="636"/>
      <c r="S193" s="699"/>
    </row>
    <row r="194" spans="3:19" ht="13.15" customHeight="1">
      <c r="C194" s="1567"/>
      <c r="F194" s="636"/>
      <c r="G194" s="636"/>
      <c r="H194" s="636"/>
      <c r="I194" s="636"/>
      <c r="J194" s="636"/>
      <c r="K194" s="1566"/>
      <c r="L194" s="636"/>
      <c r="M194" s="636"/>
      <c r="S194" s="699"/>
    </row>
    <row r="195" spans="3:19" ht="13.15" customHeight="1">
      <c r="C195" s="1567"/>
      <c r="F195" s="636"/>
      <c r="G195" s="636"/>
      <c r="H195" s="636"/>
      <c r="I195" s="636"/>
      <c r="J195" s="636"/>
      <c r="K195" s="1566"/>
      <c r="L195" s="636"/>
      <c r="M195" s="636"/>
      <c r="S195" s="699"/>
    </row>
    <row r="196" spans="3:19" ht="13.15" customHeight="1">
      <c r="C196" s="1567"/>
      <c r="F196" s="636"/>
      <c r="G196" s="636"/>
      <c r="H196" s="636"/>
      <c r="I196" s="636"/>
      <c r="J196" s="636"/>
      <c r="K196" s="1566"/>
      <c r="L196" s="636"/>
      <c r="M196" s="636"/>
      <c r="S196" s="699"/>
    </row>
    <row r="197" spans="3:19" ht="13.15" customHeight="1">
      <c r="C197" s="1567"/>
      <c r="F197" s="636"/>
      <c r="G197" s="636"/>
      <c r="H197" s="636"/>
      <c r="I197" s="636"/>
      <c r="J197" s="636"/>
      <c r="K197" s="1566"/>
      <c r="L197" s="636"/>
      <c r="M197" s="636"/>
      <c r="S197" s="699"/>
    </row>
    <row r="198" spans="3:19" ht="13.15" customHeight="1">
      <c r="C198" s="1567"/>
      <c r="F198" s="636"/>
      <c r="G198" s="636"/>
      <c r="H198" s="636"/>
      <c r="I198" s="636"/>
      <c r="J198" s="636"/>
      <c r="K198" s="1566"/>
      <c r="L198" s="636"/>
      <c r="M198" s="636"/>
      <c r="S198" s="699"/>
    </row>
    <row r="199" spans="3:19" ht="13.15" customHeight="1">
      <c r="C199" s="1567"/>
      <c r="F199" s="636"/>
      <c r="G199" s="636"/>
      <c r="H199" s="636"/>
      <c r="I199" s="636"/>
      <c r="J199" s="636"/>
      <c r="K199" s="1566"/>
      <c r="L199" s="636"/>
      <c r="M199" s="636"/>
      <c r="S199" s="699"/>
    </row>
    <row r="200" spans="3:19" ht="13.15" customHeight="1">
      <c r="C200" s="1567"/>
      <c r="F200" s="636"/>
      <c r="G200" s="636"/>
      <c r="H200" s="636"/>
      <c r="I200" s="636"/>
      <c r="J200" s="636"/>
      <c r="K200" s="1566"/>
      <c r="L200" s="636"/>
      <c r="M200" s="636"/>
      <c r="S200" s="699"/>
    </row>
    <row r="201" spans="3:19" ht="13.15" customHeight="1">
      <c r="C201" s="1567"/>
      <c r="F201" s="636"/>
      <c r="G201" s="636"/>
      <c r="H201" s="636"/>
      <c r="I201" s="636"/>
      <c r="J201" s="636"/>
      <c r="K201" s="1566"/>
      <c r="L201" s="636"/>
      <c r="M201" s="636"/>
      <c r="S201" s="699"/>
    </row>
    <row r="202" spans="3:19" ht="13.15" customHeight="1">
      <c r="C202" s="1567"/>
      <c r="F202" s="636"/>
      <c r="G202" s="636"/>
      <c r="H202" s="636"/>
      <c r="I202" s="636"/>
      <c r="J202" s="636"/>
      <c r="K202" s="1566"/>
      <c r="L202" s="636"/>
      <c r="M202" s="636"/>
      <c r="S202" s="699"/>
    </row>
    <row r="203" spans="3:19" ht="13.15" customHeight="1">
      <c r="C203" s="1567"/>
      <c r="F203" s="636"/>
      <c r="G203" s="636"/>
      <c r="H203" s="636"/>
      <c r="I203" s="636"/>
      <c r="J203" s="636"/>
      <c r="K203" s="1566"/>
      <c r="L203" s="636"/>
      <c r="M203" s="636"/>
      <c r="S203" s="699"/>
    </row>
    <row r="204" spans="3:19" ht="13.15" customHeight="1">
      <c r="C204" s="1567"/>
      <c r="F204" s="636"/>
      <c r="G204" s="636"/>
      <c r="H204" s="636"/>
      <c r="I204" s="636"/>
      <c r="J204" s="636"/>
      <c r="K204" s="1566"/>
      <c r="L204" s="636"/>
      <c r="M204" s="636"/>
      <c r="S204" s="699"/>
    </row>
    <row r="205" spans="3:19" ht="13.15" customHeight="1">
      <c r="C205" s="1567"/>
      <c r="F205" s="636"/>
      <c r="G205" s="636"/>
      <c r="H205" s="636"/>
      <c r="I205" s="636"/>
      <c r="J205" s="636"/>
      <c r="K205" s="1566"/>
      <c r="L205" s="636"/>
      <c r="M205" s="636"/>
      <c r="S205" s="699"/>
    </row>
    <row r="206" spans="3:19" ht="13.15" customHeight="1">
      <c r="C206" s="1567"/>
      <c r="F206" s="636"/>
      <c r="G206" s="636"/>
      <c r="H206" s="636"/>
      <c r="I206" s="636"/>
      <c r="J206" s="636"/>
      <c r="K206" s="1566"/>
      <c r="L206" s="636"/>
      <c r="M206" s="636"/>
      <c r="S206" s="699"/>
    </row>
    <row r="207" spans="3:19" ht="13.15" customHeight="1">
      <c r="C207" s="1567"/>
      <c r="F207" s="636"/>
      <c r="G207" s="636"/>
      <c r="H207" s="636"/>
      <c r="I207" s="636"/>
      <c r="J207" s="636"/>
      <c r="K207" s="1566"/>
      <c r="L207" s="636"/>
      <c r="M207" s="636"/>
      <c r="S207" s="699"/>
    </row>
    <row r="208" spans="3:19" ht="13.15" customHeight="1">
      <c r="C208" s="1567"/>
      <c r="F208" s="636"/>
      <c r="G208" s="636"/>
      <c r="H208" s="636"/>
      <c r="I208" s="636"/>
      <c r="J208" s="636"/>
      <c r="K208" s="1566"/>
      <c r="L208" s="636"/>
      <c r="M208" s="636"/>
      <c r="S208" s="699"/>
    </row>
    <row r="209" spans="3:19" ht="13.15" customHeight="1">
      <c r="C209" s="1567"/>
      <c r="F209" s="636"/>
      <c r="G209" s="636"/>
      <c r="H209" s="636"/>
      <c r="I209" s="636"/>
      <c r="J209" s="636"/>
      <c r="K209" s="1566"/>
      <c r="L209" s="636"/>
      <c r="M209" s="636"/>
      <c r="S209" s="699"/>
    </row>
    <row r="210" spans="3:19" ht="13.15" customHeight="1">
      <c r="C210" s="1567"/>
      <c r="F210" s="636"/>
      <c r="G210" s="636"/>
      <c r="H210" s="636"/>
      <c r="I210" s="636"/>
      <c r="J210" s="636"/>
      <c r="K210" s="1566"/>
      <c r="L210" s="636"/>
      <c r="M210" s="636"/>
      <c r="S210" s="699"/>
    </row>
    <row r="211" spans="3:19" ht="13.15" customHeight="1">
      <c r="C211" s="1567"/>
      <c r="F211" s="636"/>
      <c r="G211" s="636"/>
      <c r="H211" s="636"/>
      <c r="I211" s="636"/>
      <c r="J211" s="636"/>
      <c r="K211" s="1566"/>
      <c r="L211" s="636"/>
      <c r="M211" s="636"/>
      <c r="S211" s="699"/>
    </row>
    <row r="212" spans="3:19" ht="13.15" customHeight="1">
      <c r="C212" s="1567"/>
      <c r="F212" s="636"/>
      <c r="G212" s="636"/>
      <c r="H212" s="636"/>
      <c r="I212" s="636"/>
      <c r="J212" s="636"/>
      <c r="K212" s="1566"/>
      <c r="L212" s="636"/>
      <c r="M212" s="636"/>
      <c r="S212" s="699"/>
    </row>
    <row r="213" spans="3:19" ht="13.15" customHeight="1">
      <c r="C213" s="1567"/>
      <c r="F213" s="636"/>
      <c r="G213" s="636"/>
      <c r="H213" s="636"/>
      <c r="I213" s="636"/>
      <c r="J213" s="636"/>
      <c r="K213" s="1566"/>
      <c r="L213" s="636"/>
      <c r="M213" s="636"/>
      <c r="S213" s="699"/>
    </row>
    <row r="214" spans="3:19" ht="13.15" customHeight="1">
      <c r="C214" s="1567"/>
      <c r="F214" s="636"/>
      <c r="G214" s="636"/>
      <c r="H214" s="636"/>
      <c r="I214" s="636"/>
      <c r="J214" s="636"/>
      <c r="K214" s="1566"/>
      <c r="L214" s="636"/>
      <c r="M214" s="636"/>
      <c r="S214" s="699"/>
    </row>
    <row r="215" spans="3:19" ht="13.15" customHeight="1">
      <c r="C215" s="1567"/>
      <c r="F215" s="636"/>
      <c r="G215" s="636"/>
      <c r="H215" s="636"/>
      <c r="I215" s="636"/>
      <c r="J215" s="636"/>
      <c r="K215" s="1566"/>
      <c r="L215" s="636"/>
      <c r="M215" s="636"/>
      <c r="S215" s="699"/>
    </row>
    <row r="216" spans="3:19" ht="13.15" customHeight="1">
      <c r="C216" s="1567"/>
      <c r="F216" s="636"/>
      <c r="G216" s="636"/>
      <c r="H216" s="636"/>
      <c r="I216" s="636"/>
      <c r="J216" s="636"/>
      <c r="K216" s="1566"/>
      <c r="L216" s="636"/>
      <c r="M216" s="636"/>
      <c r="S216" s="699"/>
    </row>
    <row r="217" spans="3:19" ht="13.15" customHeight="1">
      <c r="C217" s="1567"/>
      <c r="F217" s="636"/>
      <c r="G217" s="636"/>
      <c r="H217" s="636"/>
      <c r="I217" s="636"/>
      <c r="J217" s="636"/>
      <c r="K217" s="1566"/>
      <c r="L217" s="636"/>
      <c r="M217" s="636"/>
      <c r="S217" s="699"/>
    </row>
    <row r="218" spans="3:19" ht="13.15" customHeight="1">
      <c r="C218" s="1567"/>
      <c r="F218" s="636"/>
      <c r="G218" s="636"/>
      <c r="H218" s="636"/>
      <c r="I218" s="636"/>
      <c r="J218" s="636"/>
      <c r="K218" s="1566"/>
      <c r="L218" s="636"/>
      <c r="M218" s="636"/>
      <c r="S218" s="699"/>
    </row>
    <row r="219" spans="3:19" ht="13.15" customHeight="1">
      <c r="C219" s="1567"/>
      <c r="F219" s="636"/>
      <c r="G219" s="636"/>
      <c r="H219" s="636"/>
      <c r="I219" s="636"/>
      <c r="J219" s="636"/>
      <c r="K219" s="1566"/>
      <c r="L219" s="636"/>
      <c r="M219" s="636"/>
      <c r="S219" s="699"/>
    </row>
    <row r="220" spans="3:19" ht="13.15" customHeight="1">
      <c r="C220" s="1567"/>
      <c r="F220" s="636"/>
      <c r="G220" s="636"/>
      <c r="H220" s="636"/>
      <c r="I220" s="636"/>
      <c r="J220" s="636"/>
      <c r="K220" s="1566"/>
      <c r="L220" s="636"/>
      <c r="M220" s="636"/>
      <c r="S220" s="699"/>
    </row>
    <row r="221" spans="3:19" ht="13.15" customHeight="1">
      <c r="C221" s="1567"/>
      <c r="F221" s="636"/>
      <c r="G221" s="636"/>
      <c r="H221" s="636"/>
      <c r="I221" s="636"/>
      <c r="J221" s="636"/>
      <c r="K221" s="1566"/>
      <c r="L221" s="636"/>
      <c r="M221" s="636"/>
      <c r="S221" s="699"/>
    </row>
    <row r="222" spans="3:19" ht="13.15" customHeight="1">
      <c r="C222" s="1567"/>
      <c r="F222" s="636"/>
      <c r="G222" s="636"/>
      <c r="H222" s="636"/>
      <c r="I222" s="636"/>
      <c r="J222" s="636"/>
      <c r="K222" s="1566"/>
      <c r="L222" s="636"/>
      <c r="M222" s="636"/>
      <c r="S222" s="699"/>
    </row>
    <row r="223" spans="3:19" ht="13.15" customHeight="1">
      <c r="C223" s="1567"/>
      <c r="F223" s="636"/>
      <c r="G223" s="636"/>
      <c r="H223" s="636"/>
      <c r="I223" s="636"/>
      <c r="J223" s="636"/>
      <c r="K223" s="1566"/>
      <c r="L223" s="636"/>
      <c r="M223" s="636"/>
      <c r="S223" s="699"/>
    </row>
    <row r="224" spans="3:19" ht="13.15" customHeight="1">
      <c r="C224" s="1567"/>
      <c r="F224" s="636"/>
      <c r="G224" s="636"/>
      <c r="H224" s="636"/>
      <c r="I224" s="636"/>
      <c r="J224" s="636"/>
      <c r="K224" s="1566"/>
      <c r="L224" s="636"/>
      <c r="M224" s="636"/>
      <c r="S224" s="699"/>
    </row>
    <row r="225" spans="3:19" ht="13.15" customHeight="1">
      <c r="C225" s="1567"/>
      <c r="F225" s="636"/>
      <c r="G225" s="636"/>
      <c r="H225" s="636"/>
      <c r="I225" s="636"/>
      <c r="J225" s="636"/>
      <c r="K225" s="1566"/>
      <c r="L225" s="636"/>
      <c r="M225" s="636"/>
      <c r="S225" s="699"/>
    </row>
    <row r="226" spans="3:19" ht="13.15" customHeight="1">
      <c r="C226" s="1567"/>
      <c r="F226" s="636"/>
      <c r="G226" s="636"/>
      <c r="H226" s="636"/>
      <c r="I226" s="636"/>
      <c r="J226" s="636"/>
      <c r="K226" s="1566"/>
      <c r="L226" s="636"/>
      <c r="M226" s="636"/>
      <c r="S226" s="699"/>
    </row>
    <row r="227" spans="3:19" ht="13.15" customHeight="1">
      <c r="C227" s="1567"/>
      <c r="F227" s="636"/>
      <c r="G227" s="636"/>
      <c r="H227" s="636"/>
      <c r="I227" s="636"/>
      <c r="J227" s="636"/>
      <c r="K227" s="1566"/>
      <c r="L227" s="636"/>
      <c r="M227" s="636"/>
      <c r="S227" s="699"/>
    </row>
    <row r="228" spans="3:19" ht="13.15" customHeight="1">
      <c r="C228" s="1567"/>
      <c r="F228" s="636"/>
      <c r="G228" s="636"/>
      <c r="H228" s="636"/>
      <c r="I228" s="636"/>
      <c r="J228" s="636"/>
      <c r="K228" s="1566"/>
      <c r="L228" s="636"/>
      <c r="M228" s="636"/>
      <c r="S228" s="699"/>
    </row>
    <row r="229" spans="3:19" ht="13.15" customHeight="1">
      <c r="C229" s="1567"/>
      <c r="F229" s="636"/>
      <c r="G229" s="636"/>
      <c r="H229" s="636"/>
      <c r="I229" s="636"/>
      <c r="J229" s="636"/>
      <c r="K229" s="1566"/>
      <c r="L229" s="636"/>
      <c r="M229" s="636"/>
      <c r="S229" s="699"/>
    </row>
    <row r="230" spans="3:19" ht="13.15" customHeight="1">
      <c r="C230" s="1567"/>
      <c r="F230" s="636"/>
      <c r="G230" s="636"/>
      <c r="H230" s="636"/>
      <c r="I230" s="636"/>
      <c r="J230" s="636"/>
      <c r="K230" s="1566"/>
      <c r="L230" s="636"/>
      <c r="M230" s="636"/>
      <c r="S230" s="699"/>
    </row>
    <row r="231" spans="3:19" ht="13.15" customHeight="1">
      <c r="C231" s="1567"/>
      <c r="F231" s="636"/>
      <c r="G231" s="636"/>
      <c r="H231" s="636"/>
      <c r="I231" s="636"/>
      <c r="J231" s="636"/>
      <c r="K231" s="1566"/>
      <c r="L231" s="636"/>
      <c r="M231" s="636"/>
      <c r="S231" s="699"/>
    </row>
    <row r="232" spans="3:19" ht="13.15" customHeight="1">
      <c r="C232" s="1567"/>
      <c r="F232" s="636"/>
      <c r="G232" s="636"/>
      <c r="H232" s="636"/>
      <c r="I232" s="636"/>
      <c r="J232" s="636"/>
      <c r="K232" s="1566"/>
      <c r="L232" s="636"/>
      <c r="M232" s="636"/>
      <c r="S232" s="699"/>
    </row>
    <row r="233" spans="3:19" ht="13.15" customHeight="1">
      <c r="C233" s="1567"/>
      <c r="F233" s="636"/>
      <c r="G233" s="636"/>
      <c r="H233" s="636"/>
      <c r="I233" s="636"/>
      <c r="J233" s="636"/>
      <c r="K233" s="1566"/>
      <c r="L233" s="636"/>
      <c r="M233" s="636"/>
      <c r="S233" s="699"/>
    </row>
    <row r="234" spans="3:19" ht="13.15" customHeight="1">
      <c r="C234" s="1567"/>
      <c r="F234" s="636"/>
      <c r="G234" s="636"/>
      <c r="H234" s="636"/>
      <c r="I234" s="636"/>
      <c r="J234" s="636"/>
      <c r="K234" s="1566"/>
      <c r="L234" s="636"/>
      <c r="M234" s="636"/>
      <c r="S234" s="699"/>
    </row>
    <row r="235" spans="3:19" ht="13.15" customHeight="1">
      <c r="C235" s="1567"/>
      <c r="F235" s="636"/>
      <c r="G235" s="636"/>
      <c r="H235" s="636"/>
      <c r="I235" s="636"/>
      <c r="J235" s="636"/>
      <c r="K235" s="1566"/>
      <c r="L235" s="636"/>
      <c r="M235" s="636"/>
      <c r="S235" s="699"/>
    </row>
    <row r="236" spans="3:19" ht="13.15" customHeight="1">
      <c r="C236" s="1567"/>
      <c r="F236" s="636"/>
      <c r="G236" s="636"/>
      <c r="H236" s="636"/>
      <c r="I236" s="636"/>
      <c r="J236" s="636"/>
      <c r="K236" s="1566"/>
      <c r="L236" s="636"/>
      <c r="M236" s="636"/>
      <c r="S236" s="699"/>
    </row>
    <row r="237" spans="3:19" ht="13.15" customHeight="1">
      <c r="C237" s="1567"/>
      <c r="F237" s="636"/>
      <c r="G237" s="636"/>
      <c r="H237" s="636"/>
      <c r="I237" s="636"/>
      <c r="J237" s="636"/>
      <c r="K237" s="1566"/>
      <c r="L237" s="636"/>
      <c r="M237" s="636"/>
      <c r="S237" s="699"/>
    </row>
    <row r="238" spans="3:19" ht="13.15" customHeight="1">
      <c r="C238" s="1567"/>
      <c r="F238" s="636"/>
      <c r="G238" s="636"/>
      <c r="H238" s="636"/>
      <c r="I238" s="636"/>
      <c r="J238" s="636"/>
      <c r="K238" s="1566"/>
      <c r="L238" s="636"/>
      <c r="M238" s="636"/>
      <c r="S238" s="699"/>
    </row>
    <row r="239" spans="3:19" ht="13.15" customHeight="1">
      <c r="C239" s="1567"/>
      <c r="F239" s="636"/>
      <c r="G239" s="636"/>
      <c r="H239" s="636"/>
      <c r="I239" s="636"/>
      <c r="J239" s="636"/>
      <c r="K239" s="1566"/>
      <c r="L239" s="636"/>
      <c r="M239" s="636"/>
      <c r="S239" s="699"/>
    </row>
    <row r="240" spans="3:19" ht="13.15" customHeight="1">
      <c r="C240" s="1567"/>
      <c r="F240" s="636"/>
      <c r="G240" s="636"/>
      <c r="H240" s="636"/>
      <c r="I240" s="636"/>
      <c r="J240" s="636"/>
      <c r="K240" s="1566"/>
      <c r="L240" s="636"/>
      <c r="M240" s="636"/>
      <c r="S240" s="699"/>
    </row>
    <row r="241" spans="3:19" ht="13.15" customHeight="1">
      <c r="C241" s="1567"/>
      <c r="F241" s="636"/>
      <c r="G241" s="636"/>
      <c r="H241" s="636"/>
      <c r="I241" s="636"/>
      <c r="J241" s="636"/>
      <c r="K241" s="1566"/>
      <c r="L241" s="636"/>
      <c r="M241" s="636"/>
      <c r="S241" s="699"/>
    </row>
    <row r="242" spans="3:19" ht="13.15" customHeight="1">
      <c r="C242" s="1567"/>
      <c r="F242" s="636"/>
      <c r="G242" s="636"/>
      <c r="H242" s="636"/>
      <c r="I242" s="636"/>
      <c r="J242" s="636"/>
      <c r="K242" s="1566"/>
      <c r="L242" s="636"/>
      <c r="M242" s="636"/>
      <c r="S242" s="699"/>
    </row>
    <row r="243" spans="3:19" ht="13.15" customHeight="1">
      <c r="C243" s="1567"/>
      <c r="F243" s="636"/>
      <c r="G243" s="636"/>
      <c r="H243" s="636"/>
      <c r="I243" s="636"/>
      <c r="J243" s="636"/>
      <c r="K243" s="1566"/>
      <c r="L243" s="636"/>
      <c r="M243" s="636"/>
      <c r="S243" s="699"/>
    </row>
    <row r="244" spans="3:19" ht="13.15" customHeight="1">
      <c r="C244" s="1567"/>
      <c r="F244" s="636"/>
      <c r="G244" s="636"/>
      <c r="H244" s="636"/>
      <c r="I244" s="636"/>
      <c r="J244" s="636"/>
      <c r="K244" s="1566"/>
      <c r="L244" s="636"/>
      <c r="M244" s="636"/>
      <c r="S244" s="699"/>
    </row>
    <row r="245" spans="3:19" ht="13.15" customHeight="1">
      <c r="C245" s="1567"/>
      <c r="F245" s="636"/>
      <c r="G245" s="636"/>
      <c r="H245" s="636"/>
      <c r="I245" s="636"/>
      <c r="J245" s="636"/>
      <c r="K245" s="1566"/>
      <c r="L245" s="636"/>
      <c r="M245" s="636"/>
      <c r="S245" s="699"/>
    </row>
    <row r="246" spans="3:19" ht="13.15" customHeight="1">
      <c r="C246" s="1567"/>
      <c r="K246" s="700"/>
      <c r="S246" s="699"/>
    </row>
    <row r="247" spans="3:19" ht="13.15" customHeight="1">
      <c r="C247" s="1567"/>
      <c r="K247" s="700"/>
      <c r="S247" s="699"/>
    </row>
    <row r="248" spans="3:19" ht="13.15" customHeight="1">
      <c r="C248" s="1567"/>
      <c r="K248" s="700"/>
      <c r="S248" s="699"/>
    </row>
    <row r="249" spans="3:19" ht="13.15" customHeight="1">
      <c r="C249" s="1567"/>
      <c r="K249" s="700"/>
      <c r="S249" s="699"/>
    </row>
    <row r="250" spans="3:19" ht="13.15" customHeight="1">
      <c r="C250" s="1567"/>
      <c r="K250" s="700"/>
      <c r="S250" s="699"/>
    </row>
    <row r="251" spans="3:19" ht="13.15" customHeight="1">
      <c r="C251" s="1567"/>
      <c r="K251" s="700"/>
      <c r="S251" s="699"/>
    </row>
    <row r="252" spans="3:19" ht="13.15" customHeight="1">
      <c r="C252" s="1567"/>
      <c r="K252" s="700"/>
      <c r="S252" s="699"/>
    </row>
    <row r="253" spans="3:19" ht="13.15" customHeight="1">
      <c r="C253" s="1567"/>
      <c r="K253" s="700"/>
      <c r="S253" s="699"/>
    </row>
    <row r="254" spans="3:19" ht="13.15" customHeight="1">
      <c r="C254" s="1567"/>
      <c r="K254" s="700"/>
      <c r="S254" s="699"/>
    </row>
    <row r="255" spans="3:19" ht="13.15" customHeight="1">
      <c r="C255" s="1567"/>
      <c r="K255" s="700"/>
      <c r="S255" s="699"/>
    </row>
    <row r="256" spans="3:19" ht="13.15" customHeight="1">
      <c r="C256" s="1567"/>
      <c r="K256" s="700"/>
      <c r="S256" s="699"/>
    </row>
    <row r="257" spans="3:19" ht="13.15" customHeight="1">
      <c r="C257" s="1567"/>
      <c r="K257" s="700"/>
      <c r="S257" s="699"/>
    </row>
    <row r="258" spans="3:19" ht="13.15" customHeight="1">
      <c r="C258" s="1567"/>
      <c r="K258" s="700"/>
      <c r="S258" s="699"/>
    </row>
    <row r="259" spans="3:19" ht="13.15" customHeight="1">
      <c r="C259" s="1567"/>
      <c r="K259" s="700"/>
      <c r="S259" s="699"/>
    </row>
    <row r="260" spans="3:19" ht="13.15" customHeight="1">
      <c r="C260" s="1567"/>
      <c r="K260" s="700"/>
      <c r="S260" s="699"/>
    </row>
    <row r="261" spans="3:19" ht="13.15" customHeight="1">
      <c r="C261" s="1567"/>
      <c r="K261" s="700"/>
      <c r="S261" s="699"/>
    </row>
    <row r="262" spans="3:19" ht="13.15" customHeight="1">
      <c r="C262" s="1567"/>
      <c r="K262" s="700"/>
      <c r="S262" s="699"/>
    </row>
    <row r="263" spans="3:19" ht="13.15" customHeight="1">
      <c r="C263" s="1567"/>
      <c r="K263" s="700"/>
      <c r="S263" s="699"/>
    </row>
    <row r="264" spans="3:19" ht="13.15" customHeight="1">
      <c r="C264" s="1567"/>
      <c r="K264" s="700"/>
      <c r="S264" s="699"/>
    </row>
    <row r="265" spans="3:19" ht="13.15" customHeight="1">
      <c r="C265" s="1567"/>
      <c r="K265" s="700"/>
      <c r="S265" s="699"/>
    </row>
    <row r="266" spans="3:19" ht="13.15" customHeight="1">
      <c r="C266" s="1567"/>
      <c r="K266" s="700"/>
      <c r="S266" s="699"/>
    </row>
    <row r="267" spans="3:19" ht="13.15" customHeight="1">
      <c r="C267" s="1567" t="s">
        <v>232</v>
      </c>
      <c r="K267" s="700"/>
      <c r="S267" s="699"/>
    </row>
    <row r="268" spans="3:19" ht="13.15" customHeight="1">
      <c r="C268" s="1567"/>
      <c r="K268" s="700"/>
      <c r="S268" s="699"/>
    </row>
    <row r="269" spans="3:19" ht="13.15" customHeight="1">
      <c r="C269" s="1567"/>
      <c r="K269" s="700"/>
      <c r="S269" s="699"/>
    </row>
    <row r="270" spans="3:19" ht="13.15" customHeight="1">
      <c r="C270" s="1567"/>
      <c r="K270" s="700"/>
      <c r="S270" s="699"/>
    </row>
    <row r="271" spans="3:19" ht="13.15" customHeight="1">
      <c r="C271" s="1567"/>
      <c r="K271" s="700"/>
      <c r="S271" s="699"/>
    </row>
    <row r="272" spans="3:19" ht="13.15" customHeight="1">
      <c r="C272" s="1567"/>
      <c r="K272" s="700"/>
      <c r="S272" s="699"/>
    </row>
    <row r="273" spans="3:19" ht="13.15" customHeight="1">
      <c r="C273" s="1567"/>
      <c r="K273" s="700"/>
      <c r="S273" s="699"/>
    </row>
    <row r="274" spans="3:19" ht="13.15" customHeight="1">
      <c r="C274" s="1567"/>
      <c r="K274" s="700"/>
      <c r="S274" s="699"/>
    </row>
    <row r="275" spans="3:19" ht="13.15" customHeight="1">
      <c r="C275" s="1567"/>
      <c r="K275" s="700"/>
      <c r="S275" s="699"/>
    </row>
    <row r="276" spans="3:19" ht="13.15" customHeight="1">
      <c r="C276" s="1567"/>
      <c r="K276" s="700"/>
      <c r="S276" s="699"/>
    </row>
    <row r="277" spans="3:19" ht="13.15" customHeight="1">
      <c r="C277" s="1567"/>
      <c r="K277" s="700"/>
      <c r="S277" s="699"/>
    </row>
    <row r="278" spans="3:19" ht="13.15" customHeight="1">
      <c r="C278" s="1567"/>
      <c r="K278" s="700"/>
      <c r="S278" s="699"/>
    </row>
    <row r="279" spans="3:19" ht="13.15" customHeight="1">
      <c r="C279" s="1567"/>
      <c r="K279" s="700"/>
      <c r="S279" s="699"/>
    </row>
    <row r="280" spans="3:19" ht="13.15" customHeight="1">
      <c r="C280" s="1567"/>
      <c r="K280" s="700"/>
      <c r="S280" s="699"/>
    </row>
    <row r="281" spans="3:19" ht="13.15" customHeight="1">
      <c r="C281" s="1567"/>
      <c r="K281" s="700"/>
      <c r="S281" s="699"/>
    </row>
    <row r="282" spans="3:19" ht="13.15" customHeight="1">
      <c r="C282" s="1567"/>
      <c r="K282" s="700"/>
      <c r="S282" s="699"/>
    </row>
    <row r="283" spans="3:19" ht="13.15" customHeight="1">
      <c r="C283" s="1567"/>
      <c r="K283" s="700"/>
      <c r="S283" s="699"/>
    </row>
    <row r="284" spans="3:19" ht="13.15" customHeight="1">
      <c r="C284" s="1567"/>
      <c r="K284" s="700"/>
      <c r="S284" s="699"/>
    </row>
    <row r="285" spans="3:19" ht="13.15" customHeight="1">
      <c r="C285" s="1567"/>
      <c r="K285" s="700"/>
      <c r="S285" s="699"/>
    </row>
    <row r="286" spans="3:19" ht="13.15" customHeight="1">
      <c r="C286" s="1567"/>
      <c r="K286" s="700"/>
      <c r="S286" s="699"/>
    </row>
    <row r="287" spans="3:19" ht="13.15" customHeight="1">
      <c r="C287" s="1567"/>
      <c r="K287" s="700"/>
      <c r="S287" s="699"/>
    </row>
    <row r="288" spans="3:19" ht="13.15" customHeight="1">
      <c r="C288" s="1567"/>
      <c r="K288" s="700"/>
      <c r="S288" s="699"/>
    </row>
    <row r="289" spans="3:19" ht="13.15" customHeight="1">
      <c r="C289" s="1567"/>
      <c r="K289" s="700"/>
      <c r="S289" s="699"/>
    </row>
    <row r="290" spans="3:19" ht="13.15" customHeight="1">
      <c r="C290" s="1567"/>
      <c r="K290" s="700"/>
      <c r="S290" s="699"/>
    </row>
    <row r="291" spans="3:19" ht="13.15" customHeight="1">
      <c r="C291" s="1567"/>
      <c r="K291" s="700"/>
      <c r="S291" s="699"/>
    </row>
    <row r="292" spans="3:19" ht="13.15" customHeight="1">
      <c r="C292" s="1567"/>
      <c r="K292" s="700"/>
      <c r="S292" s="699"/>
    </row>
    <row r="293" spans="3:19" ht="13.15" customHeight="1">
      <c r="C293" s="1567"/>
      <c r="K293" s="700"/>
      <c r="S293" s="699"/>
    </row>
    <row r="294" spans="3:19" ht="13.15" customHeight="1">
      <c r="C294" s="1567"/>
      <c r="K294" s="700"/>
      <c r="S294" s="699"/>
    </row>
    <row r="295" spans="3:19" ht="13.15" customHeight="1">
      <c r="C295" s="1567"/>
      <c r="K295" s="700"/>
      <c r="S295" s="699"/>
    </row>
    <row r="296" spans="3:19" ht="13.15" customHeight="1">
      <c r="C296" s="1567"/>
      <c r="K296" s="700"/>
      <c r="S296" s="699"/>
    </row>
    <row r="297" spans="3:19" ht="13.15" customHeight="1">
      <c r="C297" s="1567"/>
      <c r="K297" s="700"/>
      <c r="S297" s="699"/>
    </row>
    <row r="298" spans="3:19" ht="13.15" customHeight="1">
      <c r="C298" s="1567"/>
      <c r="K298" s="700"/>
      <c r="S298" s="699"/>
    </row>
    <row r="299" spans="3:19" ht="13.15" customHeight="1">
      <c r="C299" s="1567"/>
      <c r="K299" s="700"/>
      <c r="S299" s="699"/>
    </row>
    <row r="300" spans="3:19" ht="13.15" customHeight="1">
      <c r="C300" s="1567"/>
      <c r="K300" s="700"/>
      <c r="S300" s="699"/>
    </row>
    <row r="301" spans="3:19" ht="13.15" customHeight="1">
      <c r="C301" s="1567"/>
      <c r="K301" s="700"/>
      <c r="S301" s="699"/>
    </row>
    <row r="302" spans="3:19" ht="13.15" customHeight="1">
      <c r="C302" s="1567"/>
      <c r="K302" s="700"/>
      <c r="S302" s="699"/>
    </row>
    <row r="303" spans="3:19" ht="13.15" customHeight="1">
      <c r="C303" s="1567"/>
      <c r="K303" s="700"/>
      <c r="S303" s="699"/>
    </row>
    <row r="304" spans="3:19" ht="13.15" customHeight="1">
      <c r="C304" s="1567"/>
      <c r="K304" s="700"/>
      <c r="S304" s="699"/>
    </row>
    <row r="305" spans="3:19" ht="13.15" customHeight="1">
      <c r="C305" s="1567"/>
      <c r="K305" s="700"/>
      <c r="S305" s="699"/>
    </row>
    <row r="306" spans="3:19" ht="13.15" customHeight="1">
      <c r="C306" s="1567"/>
      <c r="K306" s="700"/>
      <c r="S306" s="699"/>
    </row>
    <row r="307" spans="3:19" ht="13.15" customHeight="1">
      <c r="C307" s="1567"/>
      <c r="K307" s="700"/>
      <c r="S307" s="699"/>
    </row>
    <row r="308" spans="3:19" ht="13.15" customHeight="1">
      <c r="C308" s="1567"/>
      <c r="K308" s="700"/>
      <c r="S308" s="699"/>
    </row>
    <row r="309" spans="3:19" ht="13.15" customHeight="1">
      <c r="C309" s="1567"/>
      <c r="K309" s="700"/>
      <c r="S309" s="699"/>
    </row>
    <row r="310" spans="3:19" ht="13.15" customHeight="1">
      <c r="C310" s="1567"/>
      <c r="K310" s="700"/>
      <c r="S310" s="699"/>
    </row>
    <row r="311" spans="3:19" ht="13.15" customHeight="1">
      <c r="C311" s="1567"/>
      <c r="K311" s="700"/>
      <c r="S311" s="699"/>
    </row>
    <row r="312" spans="3:19" ht="13.15" customHeight="1">
      <c r="C312" s="1567"/>
      <c r="K312" s="700"/>
      <c r="S312" s="699"/>
    </row>
    <row r="313" spans="3:19" ht="13.15" customHeight="1">
      <c r="C313" s="1567"/>
      <c r="K313" s="700"/>
      <c r="S313" s="699"/>
    </row>
    <row r="314" spans="3:19" ht="13.15" customHeight="1">
      <c r="C314" s="1567"/>
      <c r="K314" s="700"/>
      <c r="S314" s="699"/>
    </row>
    <row r="315" spans="3:19" ht="13.15" customHeight="1">
      <c r="C315" s="1567"/>
      <c r="K315" s="700"/>
      <c r="S315" s="699"/>
    </row>
    <row r="316" spans="3:19" ht="13.15" customHeight="1">
      <c r="C316" s="1567"/>
      <c r="K316" s="700"/>
      <c r="S316" s="699"/>
    </row>
    <row r="317" spans="3:19" ht="13.15" customHeight="1">
      <c r="C317" s="1567"/>
      <c r="K317" s="700"/>
      <c r="S317" s="699"/>
    </row>
    <row r="318" spans="3:19" ht="13.15" customHeight="1">
      <c r="C318" s="1567"/>
      <c r="K318" s="700"/>
      <c r="S318" s="699"/>
    </row>
    <row r="319" spans="3:19" ht="13.15" customHeight="1">
      <c r="C319" s="1567"/>
      <c r="K319" s="700"/>
      <c r="S319" s="699"/>
    </row>
    <row r="320" spans="3:19" ht="13.15" customHeight="1">
      <c r="C320" s="1567"/>
      <c r="K320" s="700"/>
      <c r="S320" s="699"/>
    </row>
    <row r="321" spans="3:19" ht="13.15" customHeight="1">
      <c r="C321" s="1567"/>
      <c r="K321" s="700"/>
      <c r="S321" s="699"/>
    </row>
    <row r="322" spans="3:19" ht="13.15" customHeight="1">
      <c r="C322" s="1567"/>
      <c r="K322" s="700"/>
      <c r="S322" s="699"/>
    </row>
    <row r="323" spans="3:19" ht="13.15" customHeight="1">
      <c r="C323" s="1567"/>
      <c r="K323" s="700"/>
      <c r="S323" s="699"/>
    </row>
    <row r="324" spans="3:19" ht="13.15" customHeight="1">
      <c r="C324" s="1567"/>
      <c r="K324" s="700"/>
      <c r="S324" s="699"/>
    </row>
    <row r="325" spans="3:19" ht="13.15" customHeight="1">
      <c r="C325" s="1567"/>
      <c r="K325" s="700"/>
      <c r="S325" s="699"/>
    </row>
    <row r="326" spans="3:19" ht="13.15" customHeight="1">
      <c r="C326" s="1567"/>
      <c r="K326" s="700"/>
      <c r="S326" s="699"/>
    </row>
    <row r="327" spans="3:19" ht="13.15" customHeight="1">
      <c r="C327" s="1567"/>
      <c r="K327" s="700"/>
      <c r="S327" s="699"/>
    </row>
    <row r="328" spans="3:19" ht="13.15" customHeight="1">
      <c r="C328" s="1567"/>
      <c r="K328" s="700"/>
      <c r="S328" s="699"/>
    </row>
    <row r="329" spans="3:19" ht="13.15" customHeight="1">
      <c r="C329" s="1567"/>
      <c r="K329" s="700"/>
      <c r="S329" s="699"/>
    </row>
    <row r="330" spans="3:19" ht="13.15" customHeight="1">
      <c r="C330" s="1567"/>
      <c r="K330" s="700"/>
      <c r="S330" s="699"/>
    </row>
    <row r="331" spans="3:19" ht="13.15" customHeight="1">
      <c r="C331" s="1567"/>
      <c r="K331" s="700"/>
      <c r="S331" s="699"/>
    </row>
    <row r="332" spans="3:19" ht="13.15" customHeight="1">
      <c r="C332" s="1567"/>
      <c r="K332" s="700"/>
      <c r="S332" s="699"/>
    </row>
    <row r="333" spans="3:19" ht="13.15" customHeight="1">
      <c r="C333" s="1567"/>
      <c r="K333" s="700"/>
      <c r="S333" s="699"/>
    </row>
    <row r="334" spans="3:19" ht="13.15" customHeight="1">
      <c r="C334" s="1567"/>
      <c r="K334" s="700"/>
      <c r="S334" s="699"/>
    </row>
    <row r="335" spans="3:19" ht="13.15" customHeight="1">
      <c r="C335" s="1567"/>
      <c r="K335" s="700"/>
      <c r="S335" s="699"/>
    </row>
    <row r="336" spans="3:19" ht="13.15" customHeight="1">
      <c r="C336" s="1567"/>
      <c r="K336" s="700"/>
      <c r="S336" s="699"/>
    </row>
    <row r="337" spans="3:19" ht="13.15" customHeight="1">
      <c r="C337" s="1567"/>
      <c r="K337" s="700"/>
      <c r="S337" s="699"/>
    </row>
    <row r="338" spans="3:19" ht="13.15" customHeight="1">
      <c r="C338" s="1567"/>
      <c r="K338" s="700"/>
      <c r="S338" s="699"/>
    </row>
    <row r="339" spans="3:19" ht="13.15" customHeight="1">
      <c r="C339" s="1567"/>
      <c r="K339" s="700"/>
      <c r="S339" s="699"/>
    </row>
    <row r="340" spans="3:19" ht="13.15" customHeight="1">
      <c r="C340" s="1567"/>
      <c r="K340" s="700"/>
      <c r="S340" s="699"/>
    </row>
    <row r="341" spans="3:19" ht="13.15" customHeight="1">
      <c r="C341" s="1567"/>
      <c r="K341" s="700"/>
      <c r="S341" s="699"/>
    </row>
    <row r="342" spans="3:19" ht="13.15" customHeight="1">
      <c r="C342" s="1567"/>
      <c r="K342" s="700"/>
      <c r="S342" s="699"/>
    </row>
    <row r="343" spans="3:19" ht="13.15" customHeight="1">
      <c r="C343" s="1567"/>
      <c r="K343" s="700"/>
      <c r="S343" s="699"/>
    </row>
    <row r="344" spans="3:19" ht="13.15" customHeight="1">
      <c r="C344" s="1567"/>
      <c r="K344" s="700"/>
      <c r="S344" s="699"/>
    </row>
    <row r="345" spans="3:19" ht="13.15" customHeight="1">
      <c r="C345" s="1567"/>
      <c r="K345" s="700"/>
      <c r="S345" s="699"/>
    </row>
    <row r="346" spans="3:19" ht="13.15" customHeight="1">
      <c r="C346" s="1567" t="s">
        <v>232</v>
      </c>
      <c r="K346" s="700"/>
      <c r="S346" s="699"/>
    </row>
    <row r="347" spans="3:19" ht="13.15" customHeight="1">
      <c r="C347" s="1567"/>
      <c r="K347" s="700"/>
      <c r="S347" s="699"/>
    </row>
    <row r="348" spans="3:19" ht="13.15" customHeight="1">
      <c r="C348" s="1567"/>
      <c r="K348" s="700"/>
      <c r="S348" s="699"/>
    </row>
    <row r="349" spans="3:19" ht="13.15" customHeight="1">
      <c r="C349" s="1567"/>
      <c r="K349" s="700"/>
      <c r="S349" s="699"/>
    </row>
    <row r="350" spans="3:19" ht="13.15" customHeight="1">
      <c r="C350" s="1567"/>
      <c r="K350" s="700"/>
      <c r="S350" s="699"/>
    </row>
    <row r="351" spans="3:19" ht="13.15" customHeight="1">
      <c r="C351" s="1567"/>
      <c r="K351" s="700"/>
      <c r="S351" s="699"/>
    </row>
    <row r="352" spans="3:19" ht="13.15" customHeight="1">
      <c r="C352" s="1567"/>
      <c r="K352" s="700"/>
      <c r="S352" s="699"/>
    </row>
    <row r="353" spans="3:19" ht="13.15" customHeight="1">
      <c r="C353" s="1567"/>
      <c r="K353" s="700"/>
      <c r="S353" s="699"/>
    </row>
    <row r="354" spans="3:19" ht="13.15" customHeight="1">
      <c r="C354" s="1567"/>
      <c r="K354" s="700"/>
      <c r="S354" s="699"/>
    </row>
    <row r="355" spans="3:19" ht="13.15" customHeight="1">
      <c r="C355" s="1567"/>
      <c r="K355" s="700"/>
      <c r="S355" s="699"/>
    </row>
    <row r="356" spans="3:19" ht="13.15" customHeight="1">
      <c r="C356" s="1567"/>
      <c r="K356" s="700"/>
      <c r="S356" s="699"/>
    </row>
    <row r="357" spans="3:19" ht="13.15" customHeight="1">
      <c r="C357" s="1567"/>
      <c r="K357" s="700"/>
      <c r="S357" s="699"/>
    </row>
    <row r="358" spans="3:19" ht="13.15" customHeight="1">
      <c r="C358" s="1567"/>
      <c r="K358" s="700"/>
      <c r="S358" s="699"/>
    </row>
    <row r="359" spans="3:19" ht="13.15" customHeight="1">
      <c r="C359" s="1567"/>
      <c r="K359" s="700"/>
      <c r="S359" s="699"/>
    </row>
    <row r="360" spans="3:19" ht="13.15" customHeight="1">
      <c r="C360" s="1567"/>
      <c r="K360" s="700"/>
      <c r="S360" s="699"/>
    </row>
    <row r="361" spans="3:19" ht="13.15" customHeight="1">
      <c r="C361" s="1567"/>
      <c r="K361" s="700"/>
      <c r="S361" s="699"/>
    </row>
    <row r="362" spans="3:19" ht="13.15" customHeight="1">
      <c r="C362" s="1567"/>
      <c r="K362" s="700"/>
      <c r="S362" s="699"/>
    </row>
    <row r="363" spans="3:19" ht="13.15" customHeight="1">
      <c r="C363" s="1567"/>
      <c r="K363" s="700"/>
      <c r="S363" s="699"/>
    </row>
    <row r="364" spans="3:19" ht="13.15" customHeight="1">
      <c r="C364" s="1567"/>
      <c r="K364" s="700"/>
      <c r="S364" s="699"/>
    </row>
    <row r="365" spans="3:19" ht="13.15" customHeight="1">
      <c r="C365" s="1567"/>
      <c r="K365" s="700"/>
      <c r="S365" s="699"/>
    </row>
    <row r="366" spans="3:19" ht="13.15" customHeight="1">
      <c r="C366" s="1567"/>
      <c r="K366" s="700"/>
      <c r="S366" s="699"/>
    </row>
    <row r="367" spans="3:19" ht="13.15" customHeight="1">
      <c r="C367" s="1567"/>
      <c r="K367" s="700"/>
      <c r="S367" s="699"/>
    </row>
    <row r="368" spans="3:19" ht="13.15" customHeight="1">
      <c r="C368" s="1567"/>
      <c r="K368" s="700"/>
      <c r="S368" s="699"/>
    </row>
    <row r="369" spans="3:19" ht="13.15" customHeight="1">
      <c r="C369" s="1567"/>
      <c r="K369" s="700"/>
      <c r="S369" s="699"/>
    </row>
    <row r="370" spans="3:19" ht="13.15" customHeight="1">
      <c r="C370" s="1567"/>
      <c r="K370" s="700"/>
      <c r="S370" s="699"/>
    </row>
    <row r="371" spans="3:19" ht="13.15" customHeight="1">
      <c r="C371" s="1567"/>
      <c r="K371" s="700"/>
      <c r="S371" s="699"/>
    </row>
    <row r="372" spans="3:19" ht="13.15" customHeight="1">
      <c r="C372" s="1567"/>
      <c r="K372" s="700"/>
      <c r="S372" s="699"/>
    </row>
    <row r="373" spans="3:19" ht="13.15" customHeight="1">
      <c r="C373" s="1567"/>
      <c r="K373" s="700"/>
      <c r="S373" s="699"/>
    </row>
    <row r="374" spans="3:19" ht="13.15" customHeight="1">
      <c r="C374" s="1567"/>
      <c r="K374" s="700"/>
      <c r="S374" s="699"/>
    </row>
    <row r="375" spans="3:19" ht="13.15" customHeight="1">
      <c r="C375" s="1567"/>
      <c r="K375" s="700"/>
      <c r="S375" s="699"/>
    </row>
    <row r="376" spans="3:19" ht="13.15" customHeight="1">
      <c r="C376" s="1567"/>
      <c r="K376" s="700"/>
      <c r="S376" s="699"/>
    </row>
    <row r="377" spans="3:19" ht="13.15" customHeight="1">
      <c r="C377" s="1567"/>
      <c r="K377" s="700"/>
      <c r="S377" s="699"/>
    </row>
    <row r="378" spans="3:19" ht="13.15" customHeight="1">
      <c r="C378" s="1567"/>
      <c r="K378" s="700"/>
      <c r="S378" s="699"/>
    </row>
    <row r="379" spans="3:19" ht="13.15" customHeight="1">
      <c r="C379" s="1567"/>
      <c r="K379" s="700"/>
      <c r="S379" s="699"/>
    </row>
    <row r="380" spans="3:19" ht="13.15" customHeight="1">
      <c r="C380" s="1567"/>
      <c r="K380" s="700"/>
      <c r="S380" s="699"/>
    </row>
    <row r="381" spans="3:19" ht="13.15" customHeight="1">
      <c r="C381" s="1567"/>
      <c r="K381" s="700"/>
      <c r="S381" s="699"/>
    </row>
    <row r="382" spans="3:19" ht="13.15" customHeight="1">
      <c r="C382" s="1567"/>
      <c r="K382" s="700"/>
      <c r="S382" s="699"/>
    </row>
    <row r="383" spans="3:19" ht="13.15" customHeight="1">
      <c r="C383" s="1567"/>
      <c r="K383" s="700"/>
      <c r="S383" s="699"/>
    </row>
    <row r="384" spans="3:19" ht="13.15" customHeight="1">
      <c r="C384" s="1567"/>
      <c r="K384" s="700"/>
      <c r="S384" s="699"/>
    </row>
    <row r="385" spans="3:19" ht="13.15" customHeight="1">
      <c r="C385" s="1567"/>
      <c r="K385" s="700"/>
      <c r="S385" s="699"/>
    </row>
    <row r="386" spans="3:19" ht="13.15" customHeight="1">
      <c r="C386" s="1567"/>
      <c r="K386" s="700"/>
      <c r="S386" s="699"/>
    </row>
    <row r="387" spans="3:19" ht="13.15" customHeight="1">
      <c r="C387" s="1567"/>
      <c r="K387" s="700"/>
      <c r="S387" s="699"/>
    </row>
    <row r="388" spans="3:19" ht="13.15" customHeight="1">
      <c r="C388" s="1567"/>
      <c r="K388" s="700"/>
      <c r="S388" s="699"/>
    </row>
    <row r="389" spans="3:19" ht="13.15" customHeight="1">
      <c r="C389" s="1567"/>
      <c r="K389" s="700"/>
      <c r="S389" s="699"/>
    </row>
    <row r="390" spans="3:19" ht="13.15" customHeight="1">
      <c r="C390" s="1567"/>
      <c r="K390" s="700"/>
      <c r="S390" s="699"/>
    </row>
    <row r="391" spans="3:19" ht="13.15" customHeight="1">
      <c r="C391" s="1567"/>
      <c r="K391" s="700"/>
      <c r="S391" s="699"/>
    </row>
    <row r="392" spans="3:19" ht="13.15" customHeight="1">
      <c r="C392" s="1567"/>
      <c r="K392" s="700"/>
      <c r="S392" s="699"/>
    </row>
    <row r="393" spans="3:19" ht="13.15" customHeight="1">
      <c r="C393" s="1567"/>
      <c r="K393" s="700"/>
      <c r="S393" s="699"/>
    </row>
    <row r="394" spans="3:19" ht="13.15" customHeight="1">
      <c r="C394" s="1567"/>
      <c r="K394" s="700"/>
      <c r="S394" s="699"/>
    </row>
    <row r="395" spans="3:19" ht="13.15" customHeight="1">
      <c r="C395" s="1567"/>
      <c r="K395" s="700"/>
      <c r="S395" s="699"/>
    </row>
    <row r="396" spans="3:19" ht="13.15" customHeight="1">
      <c r="C396" s="1567"/>
      <c r="K396" s="700"/>
      <c r="S396" s="699"/>
    </row>
    <row r="397" spans="3:19" ht="13.15" customHeight="1">
      <c r="C397" s="1567"/>
      <c r="K397" s="700"/>
      <c r="S397" s="699"/>
    </row>
    <row r="398" spans="3:19" ht="13.15" customHeight="1">
      <c r="C398" s="1567"/>
      <c r="K398" s="700"/>
      <c r="S398" s="699"/>
    </row>
    <row r="399" spans="3:19" ht="13.15" customHeight="1">
      <c r="C399" s="1567"/>
      <c r="K399" s="700"/>
      <c r="S399" s="699"/>
    </row>
    <row r="400" spans="3:19" ht="13.15" customHeight="1">
      <c r="C400" s="1567"/>
      <c r="K400" s="700"/>
      <c r="S400" s="699"/>
    </row>
    <row r="401" spans="3:19" ht="13.15" customHeight="1">
      <c r="C401" s="1567"/>
      <c r="K401" s="700"/>
      <c r="S401" s="699"/>
    </row>
    <row r="402" spans="3:19" ht="13.15" customHeight="1">
      <c r="C402" s="1567"/>
      <c r="K402" s="700"/>
      <c r="S402" s="699"/>
    </row>
    <row r="403" spans="3:19" ht="13.15" customHeight="1">
      <c r="C403" s="1567"/>
      <c r="K403" s="700"/>
      <c r="S403" s="699"/>
    </row>
    <row r="404" spans="3:19" ht="13.15" customHeight="1">
      <c r="C404" s="1567"/>
      <c r="K404" s="700"/>
      <c r="S404" s="699"/>
    </row>
    <row r="405" spans="3:19" ht="13.15" customHeight="1">
      <c r="C405" s="1567"/>
      <c r="K405" s="700"/>
      <c r="S405" s="699"/>
    </row>
    <row r="406" spans="3:19" ht="13.15" customHeight="1">
      <c r="C406" s="1567"/>
      <c r="K406" s="700"/>
      <c r="S406" s="699"/>
    </row>
    <row r="407" spans="3:19" ht="13.15" customHeight="1">
      <c r="C407" s="1567"/>
      <c r="K407" s="700"/>
      <c r="S407" s="699"/>
    </row>
    <row r="408" spans="3:19" ht="13.15" customHeight="1">
      <c r="C408" s="1567"/>
      <c r="K408" s="700"/>
      <c r="S408" s="699"/>
    </row>
    <row r="409" spans="3:19" ht="13.15" customHeight="1">
      <c r="C409" s="1567"/>
      <c r="K409" s="700"/>
      <c r="S409" s="699"/>
    </row>
    <row r="410" spans="3:19" ht="13.15" customHeight="1">
      <c r="C410" s="1567"/>
      <c r="K410" s="700"/>
      <c r="S410" s="699"/>
    </row>
    <row r="411" spans="3:19" ht="13.15" customHeight="1">
      <c r="C411" s="1567"/>
      <c r="K411" s="700"/>
      <c r="S411" s="699"/>
    </row>
    <row r="412" spans="3:19" ht="13.15" customHeight="1">
      <c r="C412" s="1567"/>
      <c r="K412" s="700"/>
      <c r="S412" s="699"/>
    </row>
    <row r="413" spans="3:19" ht="13.15" customHeight="1">
      <c r="C413" s="1567"/>
      <c r="K413" s="700"/>
      <c r="S413" s="699"/>
    </row>
    <row r="414" spans="3:19" ht="13.15" customHeight="1">
      <c r="C414" s="1567"/>
      <c r="K414" s="700"/>
      <c r="S414" s="699"/>
    </row>
    <row r="415" spans="3:19" ht="13.15" customHeight="1">
      <c r="C415" s="1567"/>
      <c r="K415" s="700"/>
      <c r="S415" s="699"/>
    </row>
    <row r="416" spans="3:19" ht="13.15" customHeight="1">
      <c r="C416" s="1567"/>
      <c r="K416" s="700"/>
      <c r="S416" s="699"/>
    </row>
    <row r="417" spans="3:19" ht="13.15" customHeight="1">
      <c r="C417" s="1567"/>
      <c r="K417" s="700"/>
      <c r="S417" s="699"/>
    </row>
    <row r="418" spans="3:19" ht="13.15" customHeight="1">
      <c r="C418" s="1567"/>
      <c r="K418" s="700"/>
      <c r="S418" s="699"/>
    </row>
    <row r="419" spans="3:19" ht="13.15" customHeight="1">
      <c r="C419" s="1567"/>
      <c r="K419" s="700"/>
      <c r="S419" s="699"/>
    </row>
    <row r="420" spans="3:19" ht="13.15" customHeight="1">
      <c r="C420" s="1567"/>
      <c r="K420" s="700"/>
      <c r="S420" s="699"/>
    </row>
    <row r="421" spans="3:19" ht="13.15" customHeight="1">
      <c r="C421" s="1567"/>
      <c r="K421" s="700"/>
      <c r="S421" s="699"/>
    </row>
    <row r="422" spans="3:19" ht="13.15" customHeight="1">
      <c r="C422" s="1567"/>
      <c r="K422" s="700"/>
      <c r="S422" s="699"/>
    </row>
    <row r="423" spans="3:19" ht="13.15" customHeight="1">
      <c r="C423" s="1567"/>
      <c r="K423" s="700"/>
      <c r="S423" s="699"/>
    </row>
    <row r="424" spans="3:19" ht="13.15" customHeight="1">
      <c r="C424" s="1567"/>
      <c r="K424" s="700"/>
      <c r="S424" s="699"/>
    </row>
    <row r="425" spans="3:19" ht="13.15" customHeight="1">
      <c r="C425" s="1567" t="s">
        <v>232</v>
      </c>
      <c r="K425" s="700"/>
      <c r="S425" s="699"/>
    </row>
    <row r="426" spans="3:19" ht="13.15" customHeight="1">
      <c r="C426" s="1567"/>
      <c r="K426" s="700"/>
      <c r="S426" s="699"/>
    </row>
    <row r="427" spans="3:19" ht="13.15" customHeight="1">
      <c r="C427" s="1567"/>
      <c r="K427" s="700"/>
      <c r="S427" s="699"/>
    </row>
    <row r="428" spans="3:19" ht="13.15" customHeight="1">
      <c r="C428" s="1567"/>
      <c r="K428" s="700"/>
      <c r="S428" s="699"/>
    </row>
    <row r="429" spans="3:19" ht="9" customHeight="1">
      <c r="C429" s="1567"/>
      <c r="K429" s="700"/>
      <c r="S429" s="699"/>
    </row>
    <row r="430" spans="3:19" ht="7.5" customHeight="1">
      <c r="C430" s="1567"/>
      <c r="K430" s="700"/>
      <c r="S430" s="699"/>
    </row>
    <row r="431" spans="3:19">
      <c r="C431" s="1567"/>
      <c r="K431" s="700"/>
      <c r="S431" s="699"/>
    </row>
  </sheetData>
  <sheetProtection algorithmName="SHA-512" hashValue="I9TD2M6fSJYSu+I5fAaHqwp9AHYgrSgjYQk+obX191/tPTgkDs3MKTuS5EDjv/+mZ0dkdsDEVw/bzeTpJGUrwg==" saltValue="cNpwkxm7utS5duYSv1IunQ=="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1112" customWidth="1"/>
    <col min="2" max="2" width="12.42578125" style="1112" customWidth="1"/>
    <col min="3" max="3" width="12.140625" style="1112" customWidth="1"/>
    <col min="4" max="4" width="9.85546875" style="1112" customWidth="1"/>
    <col min="5" max="5" width="10.42578125" style="1112" customWidth="1"/>
    <col min="6" max="6" width="9.140625" style="1112"/>
    <col min="7" max="7" width="11" style="1112" customWidth="1"/>
    <col min="8" max="8" width="14.42578125" style="1112" customWidth="1"/>
    <col min="9" max="9" width="10.140625" style="1112" customWidth="1"/>
    <col min="10" max="16384" width="9.140625" style="1112"/>
  </cols>
  <sheetData>
    <row r="1" spans="2:13" ht="15.75">
      <c r="B1" s="4726" t="s">
        <v>3631</v>
      </c>
      <c r="C1" s="4726"/>
      <c r="D1" s="4726"/>
      <c r="E1" s="4726"/>
      <c r="F1" s="4726"/>
      <c r="G1" s="4726"/>
      <c r="H1" s="4726"/>
      <c r="I1" s="4726"/>
    </row>
    <row r="2" spans="2:13" ht="15">
      <c r="B2" s="1113" t="s">
        <v>3619</v>
      </c>
      <c r="C2" s="711"/>
      <c r="D2" s="711"/>
      <c r="E2" s="711"/>
      <c r="F2" s="711"/>
      <c r="G2" s="711"/>
      <c r="H2" s="711"/>
      <c r="I2" s="711"/>
    </row>
    <row r="3" spans="2:13" ht="14.25">
      <c r="B3" s="1114" t="s">
        <v>3626</v>
      </c>
      <c r="C3" s="711"/>
      <c r="D3" s="711"/>
      <c r="E3" s="711"/>
      <c r="F3" s="711"/>
      <c r="G3" s="711"/>
      <c r="H3" s="711"/>
      <c r="I3" s="711"/>
    </row>
    <row r="4" spans="2:13">
      <c r="B4" s="4727" t="s">
        <v>3008</v>
      </c>
      <c r="C4" s="4727"/>
      <c r="D4" s="4727"/>
      <c r="E4" s="4733" t="s">
        <v>3009</v>
      </c>
      <c r="F4" s="4735"/>
      <c r="G4" s="4733" t="s">
        <v>587</v>
      </c>
      <c r="H4" s="4734"/>
      <c r="I4" s="4735"/>
      <c r="J4" s="1107" t="s">
        <v>2857</v>
      </c>
      <c r="K4" s="1107"/>
      <c r="L4" s="1115"/>
      <c r="M4" s="1115"/>
    </row>
    <row r="5" spans="2:13">
      <c r="B5" s="4728" t="str">
        <f>'Closing term sheet'!C8</f>
        <v>West Point Village Phase II LLC</v>
      </c>
      <c r="C5" s="4729"/>
      <c r="D5" s="4729"/>
      <c r="E5" s="4739"/>
      <c r="F5" s="4740"/>
      <c r="G5" s="4736" t="str">
        <f>'Closing term sheet'!C28</f>
        <v>West Point Village Phase II</v>
      </c>
      <c r="H5" s="4737"/>
      <c r="I5" s="4738"/>
      <c r="K5" s="699"/>
    </row>
    <row r="6" spans="2:13" ht="4.5" customHeight="1">
      <c r="D6" s="1116"/>
      <c r="E6" s="1116"/>
      <c r="F6" s="1116"/>
      <c r="G6" s="1116"/>
      <c r="H6" s="1116"/>
      <c r="I6" s="1116"/>
      <c r="K6" s="699"/>
    </row>
    <row r="7" spans="2:13">
      <c r="B7" s="4730" t="s">
        <v>3010</v>
      </c>
      <c r="C7" s="4730"/>
      <c r="D7" s="1117"/>
      <c r="E7" s="1117"/>
      <c r="F7" s="1117"/>
      <c r="G7" s="1117"/>
      <c r="H7" s="4731">
        <f>'Preview term'!E9</f>
        <v>0</v>
      </c>
      <c r="I7" s="4732"/>
    </row>
    <row r="8" spans="2:13" ht="4.5" customHeight="1">
      <c r="B8" s="1117"/>
      <c r="C8" s="1117"/>
      <c r="D8" s="1117"/>
      <c r="E8" s="1117"/>
      <c r="F8" s="1117"/>
      <c r="G8" s="1117"/>
      <c r="H8" s="1117"/>
      <c r="I8" s="1117"/>
      <c r="J8" s="1117"/>
    </row>
    <row r="9" spans="2:13">
      <c r="B9" s="1118" t="s">
        <v>3011</v>
      </c>
      <c r="C9" s="1118"/>
      <c r="D9" s="1117"/>
      <c r="E9" s="719" t="s">
        <v>3621</v>
      </c>
      <c r="F9" s="1117"/>
      <c r="G9" s="1117"/>
      <c r="H9" s="1117"/>
      <c r="I9" s="1119" t="str">
        <f>'Closing term sheet'!D12</f>
        <v>&lt;&lt;Select&gt;&gt;</v>
      </c>
    </row>
    <row r="10" spans="2:13" ht="7.5" customHeight="1">
      <c r="B10" s="1117"/>
      <c r="C10" s="1117"/>
      <c r="D10" s="1117"/>
      <c r="E10" s="1117"/>
      <c r="F10" s="1117"/>
      <c r="G10" s="1117"/>
      <c r="H10" s="1117"/>
      <c r="I10" s="1117"/>
    </row>
    <row r="11" spans="2:13" ht="14.25">
      <c r="B11" s="1120" t="s">
        <v>3618</v>
      </c>
      <c r="C11" s="1117"/>
      <c r="D11" s="1121"/>
      <c r="E11" s="1117"/>
      <c r="F11" s="1117"/>
      <c r="G11" s="1117"/>
      <c r="H11" s="1117"/>
      <c r="I11" s="1117"/>
    </row>
    <row r="12" spans="2:13">
      <c r="B12" s="1122" t="s">
        <v>3012</v>
      </c>
      <c r="C12" s="1123"/>
      <c r="D12" s="1123"/>
      <c r="E12" s="1123"/>
      <c r="F12" s="1123"/>
      <c r="G12" s="1123"/>
      <c r="H12" s="1123"/>
      <c r="I12" s="1124" t="s">
        <v>1691</v>
      </c>
    </row>
    <row r="13" spans="2:13">
      <c r="B13" s="1125"/>
      <c r="C13" s="1126"/>
      <c r="D13" s="1117"/>
      <c r="E13" s="719" t="s">
        <v>3013</v>
      </c>
      <c r="F13" s="1117"/>
      <c r="G13" s="1117"/>
      <c r="H13" s="1117"/>
      <c r="I13" s="1127"/>
    </row>
    <row r="14" spans="2:13" ht="7.5" customHeight="1">
      <c r="B14" s="1128"/>
      <c r="C14" s="1117"/>
      <c r="D14" s="1117"/>
      <c r="E14" s="1117"/>
      <c r="F14" s="1121"/>
      <c r="G14" s="1117"/>
      <c r="H14" s="1117"/>
      <c r="I14" s="1127"/>
    </row>
    <row r="15" spans="2:13">
      <c r="B15" s="1128" t="s">
        <v>3106</v>
      </c>
      <c r="C15" s="1117"/>
      <c r="D15" s="1117"/>
      <c r="E15" s="1117"/>
      <c r="F15" s="739"/>
      <c r="G15" s="1117"/>
      <c r="H15" s="1117"/>
      <c r="I15" s="1129"/>
    </row>
    <row r="16" spans="2:13">
      <c r="B16" s="1130" t="s">
        <v>3622</v>
      </c>
      <c r="C16" s="1117"/>
      <c r="D16" s="1117"/>
      <c r="E16" s="1131" t="s">
        <v>3177</v>
      </c>
      <c r="F16" s="1117"/>
      <c r="G16" s="1117"/>
      <c r="H16" s="1117"/>
      <c r="I16" s="1129"/>
    </row>
    <row r="17" spans="2:9" ht="7.5" customHeight="1">
      <c r="B17" s="1125"/>
      <c r="C17" s="1117"/>
      <c r="D17" s="1117"/>
      <c r="E17" s="1117"/>
      <c r="F17" s="1117"/>
      <c r="G17" s="1117"/>
      <c r="H17" s="1117"/>
      <c r="I17" s="1127"/>
    </row>
    <row r="18" spans="2:9">
      <c r="B18" s="1128" t="s">
        <v>3014</v>
      </c>
      <c r="C18" s="1117"/>
      <c r="D18" s="1117"/>
      <c r="E18" s="1117"/>
      <c r="F18" s="1117"/>
      <c r="G18" s="1117"/>
      <c r="H18" s="1117"/>
      <c r="I18" s="1132" t="s">
        <v>1691</v>
      </c>
    </row>
    <row r="19" spans="2:9">
      <c r="B19" s="1133" t="s">
        <v>3623</v>
      </c>
      <c r="C19" s="1117"/>
      <c r="D19" s="1117"/>
      <c r="E19" s="1117"/>
      <c r="F19" s="1117"/>
      <c r="G19" s="1117"/>
      <c r="H19" s="1117"/>
      <c r="I19" s="1134"/>
    </row>
    <row r="20" spans="2:9" ht="7.5" customHeight="1">
      <c r="B20" s="1128"/>
      <c r="C20" s="1117"/>
      <c r="D20" s="1117"/>
      <c r="E20" s="1117"/>
      <c r="F20" s="1117"/>
      <c r="G20" s="1117"/>
      <c r="H20" s="1117"/>
      <c r="I20" s="1134"/>
    </row>
    <row r="21" spans="2:9">
      <c r="B21" s="1128" t="s">
        <v>3620</v>
      </c>
      <c r="C21" s="1117"/>
      <c r="D21" s="1117"/>
      <c r="E21" s="1117"/>
      <c r="F21" s="1117"/>
      <c r="G21" s="1117"/>
      <c r="H21" s="1117"/>
      <c r="I21" s="1129"/>
    </row>
    <row r="22" spans="2:9">
      <c r="B22" s="1133" t="s">
        <v>3624</v>
      </c>
      <c r="C22" s="1117"/>
      <c r="D22" s="1117"/>
      <c r="E22" s="1117"/>
      <c r="F22" s="1117"/>
      <c r="G22" s="1117"/>
      <c r="H22" s="1117"/>
      <c r="I22" s="1134"/>
    </row>
    <row r="23" spans="2:9" ht="3" customHeight="1">
      <c r="B23" s="1135"/>
      <c r="C23" s="1136"/>
      <c r="D23" s="1136"/>
      <c r="E23" s="1136"/>
      <c r="F23" s="1136"/>
      <c r="G23" s="1136"/>
      <c r="H23" s="1136"/>
      <c r="I23" s="1137"/>
    </row>
    <row r="24" spans="2:9" ht="7.5" customHeight="1">
      <c r="B24" s="1117"/>
      <c r="C24" s="1117"/>
      <c r="D24" s="1117"/>
      <c r="E24" s="1117"/>
      <c r="F24" s="1117"/>
      <c r="G24" s="1117"/>
      <c r="H24" s="1117"/>
      <c r="I24" s="1117"/>
    </row>
    <row r="25" spans="2:9" ht="15" customHeight="1">
      <c r="B25" s="1120" t="s">
        <v>3625</v>
      </c>
      <c r="C25" s="1117"/>
      <c r="D25" s="1117"/>
      <c r="E25" s="1117"/>
      <c r="F25" s="1117"/>
      <c r="G25" s="1117"/>
      <c r="H25" s="1117"/>
      <c r="I25" s="1117"/>
    </row>
    <row r="26" spans="2:9" ht="3" customHeight="1">
      <c r="B26" s="1138"/>
      <c r="C26" s="1123"/>
      <c r="D26" s="1123"/>
      <c r="E26" s="1123"/>
      <c r="F26" s="1123"/>
      <c r="G26" s="1123"/>
      <c r="H26" s="1123"/>
      <c r="I26" s="1139"/>
    </row>
    <row r="27" spans="2:9">
      <c r="B27" s="1128" t="s">
        <v>3015</v>
      </c>
      <c r="C27" s="1117"/>
      <c r="D27" s="1140">
        <v>2</v>
      </c>
      <c r="F27" s="1117"/>
      <c r="G27" s="739" t="s">
        <v>3016</v>
      </c>
      <c r="H27" s="1117"/>
      <c r="I27" s="1141">
        <v>2</v>
      </c>
    </row>
    <row r="28" spans="2:9">
      <c r="B28" s="1125"/>
      <c r="C28" s="1131" t="s">
        <v>3017</v>
      </c>
      <c r="D28" s="1142"/>
      <c r="E28" s="1142"/>
      <c r="F28" s="1142"/>
      <c r="H28" s="1142" t="s">
        <v>3018</v>
      </c>
      <c r="I28" s="1127"/>
    </row>
    <row r="29" spans="2:9">
      <c r="B29" s="1125"/>
      <c r="C29" s="1131" t="s">
        <v>3019</v>
      </c>
      <c r="D29" s="1142"/>
      <c r="E29" s="1142"/>
      <c r="F29" s="1142"/>
      <c r="H29" s="1142" t="s">
        <v>3020</v>
      </c>
      <c r="I29" s="1127"/>
    </row>
    <row r="30" spans="2:9">
      <c r="B30" s="1125"/>
      <c r="C30" s="1131" t="s">
        <v>3021</v>
      </c>
      <c r="D30" s="1142"/>
      <c r="E30" s="1142"/>
      <c r="F30" s="1142"/>
      <c r="H30" s="1142" t="s">
        <v>3022</v>
      </c>
      <c r="I30" s="1127"/>
    </row>
    <row r="31" spans="2:9" ht="3" customHeight="1">
      <c r="B31" s="1135"/>
      <c r="C31" s="1136"/>
      <c r="D31" s="1136"/>
      <c r="E31" s="1136"/>
      <c r="F31" s="1136"/>
      <c r="G31" s="1136"/>
      <c r="H31" s="1136"/>
      <c r="I31" s="1137"/>
    </row>
    <row r="32" spans="2:9" ht="7.5" customHeight="1"/>
    <row r="33" spans="2:9" ht="15" customHeight="1">
      <c r="B33" s="695" t="s">
        <v>3627</v>
      </c>
    </row>
    <row r="34" spans="2:9" ht="3" customHeight="1">
      <c r="B34" s="1138"/>
      <c r="C34" s="1123"/>
      <c r="D34" s="1123"/>
      <c r="E34" s="1123"/>
      <c r="F34" s="1123"/>
      <c r="G34" s="1123"/>
      <c r="H34" s="1123"/>
      <c r="I34" s="1139"/>
    </row>
    <row r="35" spans="2:9">
      <c r="B35" s="1128" t="s">
        <v>3630</v>
      </c>
      <c r="C35" s="1117"/>
      <c r="D35" s="1117"/>
      <c r="F35" s="1143"/>
      <c r="H35" s="4711" t="s">
        <v>3639</v>
      </c>
      <c r="I35" s="4712"/>
    </row>
    <row r="36" spans="2:9">
      <c r="B36" s="1144" t="s">
        <v>3638</v>
      </c>
      <c r="C36" s="1142"/>
      <c r="D36" s="1142"/>
      <c r="E36" s="1117"/>
      <c r="F36" s="1340"/>
      <c r="G36" s="1145"/>
      <c r="H36" s="4711"/>
      <c r="I36" s="4712"/>
    </row>
    <row r="37" spans="2:9">
      <c r="B37" s="1144" t="s">
        <v>3636</v>
      </c>
      <c r="D37" s="1142"/>
      <c r="E37" s="1117"/>
      <c r="F37" s="1341"/>
      <c r="G37" s="1145"/>
      <c r="H37" s="4711"/>
      <c r="I37" s="4712"/>
    </row>
    <row r="38" spans="2:9">
      <c r="B38" s="1144" t="s">
        <v>3637</v>
      </c>
      <c r="D38" s="1117"/>
      <c r="E38" s="1117"/>
      <c r="F38" s="1341"/>
      <c r="G38" s="1145"/>
      <c r="H38" s="1145"/>
      <c r="I38" s="1146"/>
    </row>
    <row r="39" spans="2:9" ht="12.75" customHeight="1">
      <c r="B39" s="1144" t="s">
        <v>3635</v>
      </c>
      <c r="C39" s="1117"/>
      <c r="D39" s="1117"/>
      <c r="E39" s="1117"/>
      <c r="F39" s="1341"/>
      <c r="G39" s="1145"/>
      <c r="H39" s="1145"/>
      <c r="I39" s="1146"/>
    </row>
    <row r="40" spans="2:9">
      <c r="B40" s="1147" t="s">
        <v>3634</v>
      </c>
      <c r="C40" s="1148"/>
      <c r="D40" s="1149"/>
      <c r="E40" s="1150"/>
      <c r="F40" s="1341"/>
      <c r="G40" s="1150"/>
      <c r="H40" s="1339"/>
      <c r="I40" s="1127"/>
    </row>
    <row r="41" spans="2:9">
      <c r="B41" s="1147" t="s">
        <v>3633</v>
      </c>
      <c r="C41" s="1148"/>
      <c r="D41" s="1149"/>
      <c r="E41" s="1117"/>
      <c r="F41" s="1341"/>
      <c r="G41" s="1117"/>
      <c r="H41" s="1117"/>
      <c r="I41" s="1127"/>
    </row>
    <row r="42" spans="2:9">
      <c r="B42" s="1151" t="s">
        <v>3632</v>
      </c>
      <c r="C42" s="1152"/>
      <c r="D42" s="1152"/>
      <c r="E42" s="1117"/>
      <c r="F42" s="1342"/>
      <c r="G42" s="1117"/>
      <c r="H42" s="1117"/>
      <c r="I42" s="1127"/>
    </row>
    <row r="43" spans="2:9" ht="3" customHeight="1">
      <c r="B43" s="1135"/>
      <c r="C43" s="1136"/>
      <c r="D43" s="1136"/>
      <c r="E43" s="1136"/>
      <c r="F43" s="1136"/>
      <c r="G43" s="1136"/>
      <c r="H43" s="1136"/>
      <c r="I43" s="1137"/>
    </row>
    <row r="44" spans="2:9" ht="7.5" customHeight="1"/>
    <row r="45" spans="2:9" ht="15" customHeight="1">
      <c r="B45" s="695" t="s">
        <v>3629</v>
      </c>
    </row>
    <row r="46" spans="2:9" ht="3" customHeight="1">
      <c r="B46" s="1138"/>
      <c r="C46" s="1123"/>
      <c r="D46" s="1123"/>
      <c r="E46" s="1123"/>
      <c r="F46" s="1123"/>
      <c r="G46" s="1123"/>
      <c r="H46" s="1123"/>
      <c r="I46" s="1139"/>
    </row>
    <row r="47" spans="2:9" ht="18">
      <c r="B47" s="1128" t="s">
        <v>3628</v>
      </c>
      <c r="C47" s="1117"/>
      <c r="D47" s="1153"/>
      <c r="E47" s="1154" t="str">
        <f>'Sensitivity Analysis'!H7</f>
        <v>New Construction</v>
      </c>
      <c r="F47" s="703" t="s">
        <v>3640</v>
      </c>
      <c r="H47" s="1117"/>
      <c r="I47" s="1127"/>
    </row>
    <row r="48" spans="2:9">
      <c r="B48" s="1133" t="s">
        <v>3023</v>
      </c>
      <c r="C48" s="1142"/>
      <c r="D48" s="1142" t="s">
        <v>3024</v>
      </c>
      <c r="E48" s="1117"/>
      <c r="F48" s="4720" t="str">
        <f>'Closing term sheet'!$C$30</f>
        <v>1650 10th Street</v>
      </c>
      <c r="G48" s="4721"/>
      <c r="H48" s="4721"/>
      <c r="I48" s="4722"/>
    </row>
    <row r="49" spans="2:9">
      <c r="B49" s="1133" t="s">
        <v>3025</v>
      </c>
      <c r="D49" s="1142" t="s">
        <v>3026</v>
      </c>
      <c r="E49" s="1117"/>
      <c r="F49" s="4723"/>
      <c r="G49" s="4724"/>
      <c r="H49" s="4724"/>
      <c r="I49" s="4725"/>
    </row>
    <row r="50" spans="2:9">
      <c r="B50" s="1133" t="s">
        <v>3027</v>
      </c>
      <c r="D50" s="1117"/>
      <c r="E50" s="1117"/>
      <c r="F50" s="1155"/>
      <c r="G50" s="1156"/>
      <c r="H50" s="1156"/>
      <c r="I50" s="1157"/>
    </row>
    <row r="51" spans="2:9" ht="7.5" customHeight="1">
      <c r="B51" s="1125"/>
      <c r="C51" s="1117"/>
      <c r="D51" s="1117"/>
      <c r="E51" s="1117"/>
      <c r="F51" s="1117"/>
      <c r="G51" s="1117"/>
      <c r="H51" s="1117"/>
      <c r="I51" s="1127"/>
    </row>
    <row r="52" spans="2:9">
      <c r="B52" s="1158" t="s">
        <v>3641</v>
      </c>
      <c r="C52" s="4743" t="str">
        <f>'Part I-Project Information'!F39</f>
        <v>West Point</v>
      </c>
      <c r="D52" s="4744"/>
      <c r="E52" s="1159" t="s">
        <v>3642</v>
      </c>
      <c r="F52" s="1119" t="s">
        <v>815</v>
      </c>
      <c r="G52" s="1159" t="s">
        <v>3643</v>
      </c>
      <c r="H52" s="1160">
        <f>'Part I-Project Information'!J39</f>
        <v>318330000</v>
      </c>
      <c r="I52" s="1127"/>
    </row>
    <row r="53" spans="2:9">
      <c r="B53" s="1158" t="s">
        <v>3805</v>
      </c>
      <c r="D53" s="1161" t="e">
        <f>VLOOKUP("='Part I-Project Information'!$J$39",'DCA Underwriting Assumptions'!$G$174:$O$333,9)</f>
        <v>#N/A</v>
      </c>
      <c r="I53" s="1127"/>
    </row>
    <row r="54" spans="2:9">
      <c r="B54" s="1158" t="s">
        <v>3806</v>
      </c>
      <c r="D54" s="1117"/>
      <c r="E54" s="1117"/>
      <c r="F54" s="1117"/>
      <c r="G54" s="1117"/>
      <c r="I54" s="1127"/>
    </row>
    <row r="55" spans="2:9">
      <c r="B55" s="1151" t="s">
        <v>3807</v>
      </c>
      <c r="D55" s="1162" t="e">
        <f>'Closing term sheet'!$D$33</f>
        <v>#VALUE!</v>
      </c>
      <c r="E55" s="1163"/>
      <c r="F55" s="719" t="s">
        <v>3028</v>
      </c>
      <c r="G55" s="1117"/>
      <c r="H55" s="1117"/>
      <c r="I55" s="1127"/>
    </row>
    <row r="56" spans="2:9">
      <c r="B56" s="1151" t="s">
        <v>3809</v>
      </c>
      <c r="D56" s="1164">
        <f>'Closing term sheet'!$D$63</f>
        <v>2692610</v>
      </c>
      <c r="E56" s="1165"/>
      <c r="F56" s="719" t="s">
        <v>3029</v>
      </c>
      <c r="G56" s="1117"/>
      <c r="H56" s="1117"/>
      <c r="I56" s="1127"/>
    </row>
    <row r="57" spans="2:9">
      <c r="B57" s="1144" t="s">
        <v>3808</v>
      </c>
      <c r="D57" s="1166"/>
      <c r="F57" s="719" t="s">
        <v>3030</v>
      </c>
      <c r="G57" s="1117"/>
      <c r="H57" s="1117"/>
      <c r="I57" s="1127"/>
    </row>
    <row r="58" spans="2:9" ht="7.5" customHeight="1">
      <c r="B58" s="1135"/>
      <c r="C58" s="1136"/>
      <c r="D58" s="1136"/>
      <c r="E58" s="1136"/>
      <c r="F58" s="1136"/>
      <c r="G58" s="1136"/>
      <c r="H58" s="1136"/>
      <c r="I58" s="1137"/>
    </row>
    <row r="59" spans="2:9" ht="15" customHeight="1"/>
    <row r="60" spans="2:9" ht="7.5" customHeight="1">
      <c r="B60" s="1138"/>
      <c r="C60" s="1123"/>
      <c r="D60" s="1123"/>
      <c r="E60" s="1123"/>
      <c r="F60" s="1123"/>
      <c r="G60" s="1123"/>
      <c r="H60" s="1123"/>
      <c r="I60" s="1139"/>
    </row>
    <row r="61" spans="2:9">
      <c r="B61" s="4748" t="s">
        <v>3031</v>
      </c>
      <c r="C61" s="4749"/>
      <c r="D61" s="4749"/>
      <c r="E61" s="4749"/>
      <c r="F61" s="4749"/>
      <c r="G61" s="4749"/>
      <c r="H61" s="4749"/>
      <c r="I61" s="4750"/>
    </row>
    <row r="62" spans="2:9" ht="7.5" customHeight="1">
      <c r="B62" s="4745"/>
      <c r="C62" s="4746"/>
      <c r="D62" s="4746"/>
      <c r="E62" s="1117"/>
      <c r="F62" s="1117"/>
      <c r="G62" s="1167"/>
      <c r="H62" s="1117"/>
      <c r="I62" s="1127"/>
    </row>
    <row r="63" spans="2:9">
      <c r="B63" s="1168" t="s">
        <v>3033</v>
      </c>
      <c r="C63" s="1117"/>
      <c r="D63" s="1162">
        <v>4</v>
      </c>
      <c r="F63" s="1117"/>
      <c r="G63" s="4730" t="s">
        <v>3032</v>
      </c>
      <c r="H63" s="4730"/>
      <c r="I63" s="4747"/>
    </row>
    <row r="64" spans="2:9">
      <c r="B64" s="1125"/>
      <c r="C64" s="1142" t="s">
        <v>3036</v>
      </c>
      <c r="D64" s="1142" t="s">
        <v>3037</v>
      </c>
      <c r="F64" s="1117"/>
      <c r="G64" s="731" t="s">
        <v>3034</v>
      </c>
      <c r="H64" s="1117"/>
      <c r="I64" s="1169" t="e">
        <f>'Closing term sheet'!$D$35</f>
        <v>#VALUE!</v>
      </c>
    </row>
    <row r="65" spans="2:9">
      <c r="B65" s="1125"/>
      <c r="C65" s="1142" t="s">
        <v>3038</v>
      </c>
      <c r="D65" s="1142" t="s">
        <v>3039</v>
      </c>
      <c r="F65" s="1117"/>
      <c r="G65" s="1170" t="s">
        <v>3035</v>
      </c>
      <c r="H65" s="1117"/>
      <c r="I65" s="1169">
        <f>C42</f>
        <v>0</v>
      </c>
    </row>
    <row r="66" spans="2:9">
      <c r="B66" s="1133"/>
      <c r="C66" s="1142" t="s">
        <v>3040</v>
      </c>
      <c r="D66" s="1117"/>
      <c r="E66" s="1142"/>
      <c r="F66" s="1117"/>
      <c r="H66" s="1117"/>
      <c r="I66" s="1171"/>
    </row>
    <row r="67" spans="2:9" ht="7.5" customHeight="1">
      <c r="B67" s="1135"/>
      <c r="C67" s="1136"/>
      <c r="D67" s="1136"/>
      <c r="E67" s="1136"/>
      <c r="F67" s="1136"/>
      <c r="G67" s="1136"/>
      <c r="H67" s="1136"/>
      <c r="I67" s="1137"/>
    </row>
    <row r="68" spans="2:9" ht="15" customHeight="1">
      <c r="B68" s="1117"/>
      <c r="C68" s="1117"/>
      <c r="D68" s="1117"/>
      <c r="E68" s="1117"/>
      <c r="F68" s="1117"/>
      <c r="G68" s="1117"/>
      <c r="H68" s="1117"/>
      <c r="I68" s="1117"/>
    </row>
    <row r="69" spans="2:9" ht="7.5" customHeight="1">
      <c r="B69" s="1138"/>
      <c r="C69" s="1123"/>
      <c r="D69" s="1123"/>
      <c r="E69" s="1123"/>
      <c r="F69" s="1123"/>
      <c r="G69" s="1123"/>
      <c r="H69" s="1123"/>
      <c r="I69" s="1139"/>
    </row>
    <row r="70" spans="2:9">
      <c r="B70" s="1128" t="s">
        <v>3041</v>
      </c>
      <c r="C70" s="1117"/>
      <c r="D70" s="1117"/>
      <c r="E70" s="1117"/>
      <c r="F70" s="1117"/>
      <c r="G70" s="1117"/>
      <c r="H70" s="1117"/>
      <c r="I70" s="1127"/>
    </row>
    <row r="71" spans="2:9" ht="7.5" customHeight="1">
      <c r="B71" s="1125"/>
      <c r="C71" s="1117"/>
      <c r="D71" s="1117"/>
      <c r="E71" s="1117"/>
      <c r="F71" s="1117"/>
      <c r="G71" s="1117"/>
      <c r="H71" s="1117"/>
      <c r="I71" s="1127"/>
    </row>
    <row r="72" spans="2:9">
      <c r="B72" s="1128" t="s">
        <v>3042</v>
      </c>
      <c r="D72" s="1117"/>
      <c r="E72" s="1117"/>
      <c r="F72" s="1117"/>
      <c r="G72" s="1117"/>
      <c r="H72" s="1117"/>
      <c r="I72" s="1153"/>
    </row>
    <row r="73" spans="2:9" ht="7.5" customHeight="1">
      <c r="B73" s="1125"/>
      <c r="C73" s="1117"/>
      <c r="D73" s="1117"/>
      <c r="E73" s="1117"/>
      <c r="F73" s="1117"/>
      <c r="G73" s="1117"/>
      <c r="H73" s="1117"/>
      <c r="I73" s="1127"/>
    </row>
    <row r="74" spans="2:9">
      <c r="B74" s="1125" t="s">
        <v>3043</v>
      </c>
      <c r="D74" s="1117"/>
      <c r="E74" s="1117"/>
      <c r="F74" s="1117" t="s">
        <v>3107</v>
      </c>
      <c r="G74" s="1117"/>
      <c r="H74" s="1117"/>
      <c r="I74" s="1172"/>
    </row>
    <row r="75" spans="2:9">
      <c r="B75" s="1125"/>
      <c r="E75" s="1117"/>
      <c r="F75" s="1117" t="s">
        <v>3108</v>
      </c>
      <c r="G75" s="1117"/>
      <c r="H75" s="1117"/>
      <c r="I75" s="1172"/>
    </row>
    <row r="76" spans="2:9">
      <c r="B76" s="1125"/>
      <c r="E76" s="1117"/>
      <c r="F76" s="1117" t="s">
        <v>3109</v>
      </c>
      <c r="G76" s="1117"/>
      <c r="H76" s="1117"/>
      <c r="I76" s="1172"/>
    </row>
    <row r="77" spans="2:9">
      <c r="B77" s="1125"/>
      <c r="E77" s="1117"/>
      <c r="F77" s="739" t="s">
        <v>3110</v>
      </c>
      <c r="G77" s="1117"/>
      <c r="H77" s="1117"/>
      <c r="I77" s="1172"/>
    </row>
    <row r="78" spans="2:9" ht="7.5" customHeight="1">
      <c r="B78" s="1135"/>
      <c r="C78" s="1136"/>
      <c r="D78" s="1136"/>
      <c r="E78" s="1136"/>
      <c r="F78" s="1136"/>
      <c r="G78" s="1136"/>
      <c r="H78" s="1136"/>
      <c r="I78" s="1137"/>
    </row>
    <row r="79" spans="2:9" ht="7.5" customHeight="1"/>
    <row r="80" spans="2:9">
      <c r="B80" s="1138"/>
      <c r="C80" s="1123"/>
      <c r="D80" s="1123"/>
      <c r="E80" s="1123"/>
      <c r="F80" s="1123"/>
      <c r="G80" s="1123"/>
      <c r="H80" s="1123"/>
      <c r="I80" s="1139"/>
    </row>
    <row r="81" spans="2:9">
      <c r="B81" s="4748" t="s">
        <v>3044</v>
      </c>
      <c r="C81" s="4749"/>
      <c r="D81" s="4749"/>
      <c r="E81" s="4749"/>
      <c r="F81" s="4749"/>
      <c r="G81" s="4749"/>
      <c r="H81" s="4749"/>
      <c r="I81" s="4750"/>
    </row>
    <row r="82" spans="2:9">
      <c r="B82" s="1125"/>
      <c r="C82" s="1117"/>
      <c r="D82" s="1117"/>
      <c r="E82" s="1117"/>
      <c r="F82" s="1117"/>
      <c r="G82" s="1117"/>
      <c r="H82" s="1117"/>
      <c r="I82" s="1127"/>
    </row>
    <row r="83" spans="2:9">
      <c r="B83" s="1128" t="s">
        <v>3045</v>
      </c>
      <c r="C83" s="1117"/>
      <c r="D83" s="1117"/>
      <c r="E83" s="1117"/>
      <c r="F83" s="1117"/>
      <c r="G83" s="1117"/>
      <c r="H83" s="1117"/>
      <c r="I83" s="1127"/>
    </row>
    <row r="84" spans="2:9">
      <c r="B84" s="1125"/>
      <c r="C84" s="739" t="s">
        <v>3046</v>
      </c>
      <c r="D84" s="1117"/>
      <c r="E84" s="1117"/>
      <c r="F84" s="4716">
        <f>'Closing term sheet'!D63</f>
        <v>2692610</v>
      </c>
      <c r="G84" s="4716"/>
      <c r="H84" s="1117"/>
      <c r="I84" s="1127"/>
    </row>
    <row r="85" spans="2:9">
      <c r="B85" s="1125"/>
      <c r="C85" s="739" t="s">
        <v>3047</v>
      </c>
      <c r="D85" s="1117"/>
      <c r="E85" s="1117"/>
      <c r="F85" s="4742">
        <f>'Part III-Sources of Funds'!I47+'Part III-Sources of Funds'!L47</f>
        <v>355139.85640294559</v>
      </c>
      <c r="G85" s="4742"/>
      <c r="H85" s="1117"/>
      <c r="I85" s="1127"/>
    </row>
    <row r="86" spans="2:9">
      <c r="B86" s="1125"/>
      <c r="C86" s="739" t="s">
        <v>3048</v>
      </c>
      <c r="D86" s="1117"/>
      <c r="E86" s="1117"/>
      <c r="F86" s="4741"/>
      <c r="G86" s="4741"/>
      <c r="H86" s="1117"/>
      <c r="I86" s="1127"/>
    </row>
    <row r="87" spans="2:9">
      <c r="B87" s="1125"/>
      <c r="C87" s="1142" t="s">
        <v>3049</v>
      </c>
      <c r="D87" s="1117"/>
      <c r="E87" s="1117"/>
      <c r="F87" s="4742">
        <v>11000</v>
      </c>
      <c r="G87" s="4742"/>
      <c r="H87" s="1117"/>
      <c r="I87" s="1127"/>
    </row>
    <row r="88" spans="2:9">
      <c r="B88" s="1125"/>
      <c r="C88" s="739" t="s">
        <v>3050</v>
      </c>
      <c r="D88" s="1117"/>
      <c r="E88" s="1117"/>
      <c r="F88" s="4719"/>
      <c r="G88" s="4719"/>
      <c r="H88" s="1117"/>
      <c r="I88" s="1127"/>
    </row>
    <row r="89" spans="2:9">
      <c r="B89" s="1125"/>
      <c r="C89" s="719" t="s">
        <v>3051</v>
      </c>
      <c r="D89" s="1117"/>
      <c r="E89" s="1117"/>
      <c r="F89" s="4714">
        <f>SUM(F84:G88)</f>
        <v>3058749.8564029457</v>
      </c>
      <c r="G89" s="4714"/>
      <c r="H89" s="1117"/>
      <c r="I89" s="1127"/>
    </row>
    <row r="90" spans="2:9">
      <c r="B90" s="1125"/>
      <c r="C90" s="1117"/>
      <c r="D90" s="1117"/>
      <c r="E90" s="1117"/>
      <c r="F90" s="4715"/>
      <c r="G90" s="4715"/>
      <c r="H90" s="1117"/>
      <c r="I90" s="1127"/>
    </row>
    <row r="91" spans="2:9">
      <c r="B91" s="1128" t="s">
        <v>3052</v>
      </c>
      <c r="C91" s="1117"/>
      <c r="D91" s="1117"/>
      <c r="E91" s="1117"/>
      <c r="F91" s="1117"/>
      <c r="G91" s="1117"/>
      <c r="H91" s="1117"/>
      <c r="I91" s="1127"/>
    </row>
    <row r="92" spans="2:9">
      <c r="B92" s="1125"/>
      <c r="C92" s="739" t="s">
        <v>3053</v>
      </c>
      <c r="D92" s="1117"/>
      <c r="E92" s="1117"/>
      <c r="F92" s="4716"/>
      <c r="G92" s="4716"/>
      <c r="H92" s="1117"/>
      <c r="I92" s="1127"/>
    </row>
    <row r="93" spans="2:9">
      <c r="B93" s="1125"/>
      <c r="C93" s="739" t="s">
        <v>3054</v>
      </c>
      <c r="D93" s="1117"/>
      <c r="E93" s="1117"/>
      <c r="F93" s="4717"/>
      <c r="G93" s="4717"/>
      <c r="H93" s="1117"/>
      <c r="I93" s="1127"/>
    </row>
    <row r="94" spans="2:9">
      <c r="B94" s="1125"/>
      <c r="C94" s="739" t="s">
        <v>3055</v>
      </c>
      <c r="D94" s="1117"/>
      <c r="E94" s="1117"/>
      <c r="F94" s="4718" t="s">
        <v>2932</v>
      </c>
      <c r="G94" s="4713"/>
      <c r="H94" s="1117"/>
      <c r="I94" s="1127"/>
    </row>
    <row r="95" spans="2:9">
      <c r="B95" s="1125"/>
      <c r="C95" s="719" t="s">
        <v>3056</v>
      </c>
      <c r="D95" s="1117"/>
      <c r="E95" s="1117"/>
      <c r="F95" s="4714">
        <f>+SUM(F92:G94)</f>
        <v>0</v>
      </c>
      <c r="G95" s="4714"/>
      <c r="H95" s="1117"/>
      <c r="I95" s="1127"/>
    </row>
    <row r="96" spans="2:9">
      <c r="B96" s="1125"/>
      <c r="C96" s="1117"/>
      <c r="D96" s="1117"/>
      <c r="E96" s="1117"/>
      <c r="F96" s="1117"/>
      <c r="G96" s="1117"/>
      <c r="H96" s="1117"/>
      <c r="I96" s="1127"/>
    </row>
    <row r="97" spans="2:9">
      <c r="B97" s="1128" t="s">
        <v>3057</v>
      </c>
      <c r="C97" s="1117"/>
      <c r="D97" s="1117"/>
      <c r="E97" s="1117"/>
      <c r="F97" s="1117"/>
      <c r="G97" s="1117"/>
      <c r="H97" s="1117"/>
      <c r="I97" s="1127"/>
    </row>
    <row r="98" spans="2:9">
      <c r="B98" s="1125"/>
      <c r="C98" s="739" t="s">
        <v>3058</v>
      </c>
      <c r="D98" s="1117"/>
      <c r="E98" s="1117"/>
      <c r="F98" s="4716"/>
      <c r="G98" s="4716"/>
      <c r="H98" s="1117"/>
      <c r="I98" s="1127"/>
    </row>
    <row r="99" spans="2:9">
      <c r="B99" s="1125"/>
      <c r="C99" s="739" t="s">
        <v>3059</v>
      </c>
      <c r="D99" s="1117"/>
      <c r="E99" s="1117"/>
      <c r="F99" s="4717"/>
      <c r="G99" s="4717"/>
      <c r="H99" s="1117"/>
      <c r="I99" s="1127"/>
    </row>
    <row r="100" spans="2:9">
      <c r="B100" s="1125"/>
      <c r="C100" s="739" t="s">
        <v>3060</v>
      </c>
      <c r="D100" s="1117"/>
      <c r="E100" s="1117"/>
      <c r="F100" s="4719"/>
      <c r="G100" s="4719"/>
      <c r="H100" s="1117"/>
      <c r="I100" s="1127"/>
    </row>
    <row r="101" spans="2:9">
      <c r="B101" s="1125"/>
      <c r="C101" s="719" t="s">
        <v>3061</v>
      </c>
      <c r="D101" s="1117"/>
      <c r="E101" s="1117"/>
      <c r="F101" s="4714">
        <f>+SUM(F98:G100)</f>
        <v>0</v>
      </c>
      <c r="G101" s="4714"/>
      <c r="H101" s="1117"/>
      <c r="I101" s="1127"/>
    </row>
    <row r="102" spans="2:9">
      <c r="B102" s="1125"/>
      <c r="C102" s="1117"/>
      <c r="D102" s="1117"/>
      <c r="E102" s="1117"/>
      <c r="F102" s="1117"/>
      <c r="G102" s="1117"/>
      <c r="H102" s="1117"/>
      <c r="I102" s="1127"/>
    </row>
    <row r="103" spans="2:9">
      <c r="B103" s="1168" t="s">
        <v>3062</v>
      </c>
      <c r="C103" s="739"/>
      <c r="D103" s="1117"/>
      <c r="E103" s="1117"/>
      <c r="F103" s="4713">
        <f>'Part III-Sources of Funds'!I48+'Part III-Sources of Funds'!I49</f>
        <v>0</v>
      </c>
      <c r="G103" s="4713"/>
      <c r="H103" s="1117"/>
      <c r="I103" s="1127"/>
    </row>
    <row r="104" spans="2:9">
      <c r="B104" s="1125"/>
      <c r="C104" s="1117"/>
      <c r="D104" s="1117"/>
      <c r="E104" s="1117"/>
      <c r="F104" s="1117"/>
      <c r="G104" s="1117"/>
      <c r="H104" s="1117"/>
      <c r="I104" s="1173" t="s">
        <v>3063</v>
      </c>
    </row>
    <row r="105" spans="2:9">
      <c r="B105" s="1128" t="s">
        <v>3064</v>
      </c>
      <c r="C105" s="1117"/>
      <c r="D105" s="1117"/>
      <c r="E105" s="1117"/>
      <c r="F105" s="4713">
        <f>+F103+F101+F95+F89</f>
        <v>3058749.8564029457</v>
      </c>
      <c r="G105" s="4713"/>
      <c r="H105" s="1117"/>
      <c r="I105" s="1127"/>
    </row>
    <row r="106" spans="2:9">
      <c r="B106" s="1135"/>
      <c r="C106" s="1136"/>
      <c r="D106" s="1136"/>
      <c r="E106" s="1136"/>
      <c r="F106" s="1136"/>
      <c r="G106" s="1136"/>
      <c r="H106" s="1136"/>
      <c r="I106" s="1137"/>
    </row>
    <row r="108" spans="2:9">
      <c r="C108" s="1174" t="s">
        <v>2768</v>
      </c>
    </row>
    <row r="109" spans="2:9">
      <c r="C109" s="1174" t="s">
        <v>2771</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975687-E7F1-425E-85C3-9BC5D9AB366A}">
  <dimension ref="A1:BFO2201"/>
  <sheetViews>
    <sheetView showGridLines="0" topLeftCell="B1748" zoomScale="118" zoomScaleNormal="118" workbookViewId="0">
      <selection activeCell="B1742" sqref="A1:XFD1048576"/>
    </sheetView>
  </sheetViews>
  <sheetFormatPr defaultColWidth="9.140625" defaultRowHeight="12.75"/>
  <cols>
    <col min="1" max="1" width="9.7109375" style="1925" bestFit="1" customWidth="1"/>
    <col min="2" max="3" width="11.7109375" style="1925" bestFit="1" customWidth="1"/>
    <col min="4" max="6" width="11" style="1925" bestFit="1" customWidth="1"/>
    <col min="7" max="7" width="12.42578125" style="1925" bestFit="1" customWidth="1"/>
    <col min="8" max="8" width="11.85546875" style="1925" bestFit="1" customWidth="1"/>
    <col min="9" max="9" width="9.5703125" style="1925" customWidth="1"/>
    <col min="10" max="10" width="11.85546875" style="1925" bestFit="1" customWidth="1"/>
    <col min="11" max="11" width="13" style="1925" bestFit="1" customWidth="1"/>
    <col min="12" max="13" width="9.7109375" style="1925" bestFit="1" customWidth="1"/>
    <col min="14" max="14" width="11.85546875" style="1925" bestFit="1" customWidth="1"/>
    <col min="15" max="15" width="12.42578125" style="1925" bestFit="1" customWidth="1"/>
    <col min="16" max="16" width="15.42578125" style="1925" bestFit="1" customWidth="1"/>
    <col min="17" max="17" width="11.85546875" style="1925" bestFit="1" customWidth="1"/>
    <col min="18" max="20" width="9.7109375" style="1925" bestFit="1" customWidth="1"/>
    <col min="21" max="21" width="9.140625" style="1925"/>
    <col min="22" max="22" width="9.7109375" style="1925" bestFit="1" customWidth="1"/>
    <col min="23" max="23" width="9.140625" style="1925"/>
    <col min="24" max="359" width="9.7109375" style="1925" bestFit="1" customWidth="1"/>
    <col min="360" max="16384" width="9.140625" style="1925"/>
  </cols>
  <sheetData>
    <row r="1" spans="1:6" s="1853" customFormat="1" ht="15" customHeight="1">
      <c r="A1" s="1852" t="s">
        <v>940</v>
      </c>
    </row>
    <row r="2" spans="1:6" s="1853" customFormat="1" ht="15" customHeight="1">
      <c r="A2" s="1854" t="str">
        <f>'Part I-Project Information'!F35</f>
        <v>West Point Village Phase II</v>
      </c>
    </row>
    <row r="3" spans="1:6" s="1853" customFormat="1" ht="15" customHeight="1">
      <c r="A3" s="1854" t="str">
        <f>CONCATENATE('Part I-Project Information'!F39,", ", 'Part I-Project Information'!J40," County")</f>
        <v>West Point, Troup County</v>
      </c>
    </row>
    <row r="4" spans="1:6" s="1853" customFormat="1" ht="12" customHeight="1"/>
    <row r="5" spans="1:6" s="1853" customFormat="1" ht="12.75" customHeight="1">
      <c r="A5" s="1855" t="str">
        <f>'Project Narrative'!A5</f>
        <v xml:space="preserve">     West Point Village Phase II is the second phase of this project to redevelop the Housing Authority of the City of West Point (WPHA)'s Public Housing Portfolio. WPHA is collaborating with Pennrose LLC and Collaborative Housing Solutions as co-owners and co-develoeprs.  This project will be located at 1650 E 10th Street, West Point, GA on approximately 5 acres of land. West Point Village Phase II will be a newly constructed 72-unit family property consisting of three, three-story, garden-style residential buildings. The project will have amenities that include community/activity room, fitness and computer centers, and an external gathering area. The property will consist of one, two and three-bedroom units with 32 LIHTC units with no rental assistance and 32 LIHTC units subsidized through the HUD Rental Assistance Demonstration (RAD) program wherein WPHA public housing residents from its existing public housing sites will be relocated to this project when completed and pay 30% of their income towards rent. WPHA will engage in a RAD Transfer of Assistance to move the RAD Section 8 PBRA to this project which is not on the WPHA public housing sites. The existing public housing residents will remain in their public housing units until they move into the project’s newly-constructed units.  WPHA will oversee all aspects of the relocation in accordance with federal and state relocation requirements.  All 64 LIHTC units will be affordable to households earning 60% or less of Area Median Income.  In addition, there will be 8 unrestricted, market-rate units. This project is the second phase of a two-phased, master-planned project which will play an important role in the revitalization efforts occuring in the surrounding area.  
     West Point Village Phase II is located in an area ready for renewed investment as described in the 10th Street Redevelopment Plan. Residents of the West Point community are looking to retain their homes, secure work, increase safety, grow their incomes and assets, and find ways to increase their overall prosperity. The City of West Point, Georgia fully supports the development and has committed $775,581 for the cost of nearby off-site public improvements. These include streetscape improvements, streets, paving, curbs, sewers, sidewalks, exterior lighting and more. The new improvements will create a more pedestrian-friendly streetscape that promotes great walkability to nearby retail, employment sectors, the West Point Elementary School and the existing West Point Housing Authority communities.  Additionally, the improvements will support greater connectivity opportunities for future residential and commercial developments.
     Because of the Griffin Housing Authority’s (GHA) exceptional track record, GHA was selected and contracted as the administrator and management agent of the WPHA.  GHA worked closely with Pennrose LLC and Collaborative Housing Solutions in the redevelopment of its previous public housing site, Meriwether Homes, to create vibrant, award-winning communities in Griffin.  GHA and its staff are working in West Point to recreate this type of development and programs to serve the West Point residents and community.  GHA believes that this award-winning program is critical to the redevelopment of affordable housing and can be replicated in other communities outside of Griffin.  This application is the second phase of WPHA's redevelopment efforts in West Point.  Because of GHA's role as administrator of the WPHA, GHA's contact information and experience is provided throughout this application.  To facilitate a holistic redevelopment approach in the area where West Point Village Phase II will be located, West Point’s local community leaders and agencies have committed to serving on a Community Quarterback Board (CQB) which will focus on serving the Defined Neighborhood within the 10th Street Area Redevelopment Plan. CQB members will work closely with the West Point Village Phase II Project Team, the City of West Point, and GHA as the Community-Based Developer to drive community engagement and outreach efforts to establish a Community Transformation Plan (CTP). Through public input, the Community-Based Team will develop strategies that focus on achieving improved health, education, transportation, and employment outcomes for residents within the community. 
     </v>
      </c>
      <c r="B5" s="1856" t="s">
        <v>4080</v>
      </c>
      <c r="C5" s="1856"/>
      <c r="D5" s="1856"/>
      <c r="E5" s="1856"/>
      <c r="F5" s="1856"/>
    </row>
    <row r="6" spans="1:6" s="1853" customFormat="1" ht="12.75" customHeight="1">
      <c r="A6" s="1855"/>
      <c r="B6" s="1856"/>
      <c r="C6" s="1856"/>
      <c r="D6" s="1856"/>
      <c r="E6" s="1856"/>
      <c r="F6" s="1856"/>
    </row>
    <row r="7" spans="1:6" s="1853" customFormat="1" ht="12.75" customHeight="1">
      <c r="A7" s="1855"/>
      <c r="B7" s="1856"/>
      <c r="C7" s="1856"/>
      <c r="D7" s="1856"/>
      <c r="E7" s="1856"/>
      <c r="F7" s="1856"/>
    </row>
    <row r="8" spans="1:6" s="1853" customFormat="1">
      <c r="A8" s="1855"/>
    </row>
    <row r="9" spans="1:6" s="1853" customFormat="1">
      <c r="A9" s="1855"/>
    </row>
    <row r="10" spans="1:6" s="1853" customFormat="1">
      <c r="A10" s="1855"/>
    </row>
    <row r="11" spans="1:6" s="1853" customFormat="1">
      <c r="A11" s="1855"/>
    </row>
    <row r="12" spans="1:6" s="1853" customFormat="1">
      <c r="A12" s="1855"/>
    </row>
    <row r="13" spans="1:6" s="1853" customFormat="1">
      <c r="A13" s="1855"/>
    </row>
    <row r="14" spans="1:6" s="1853" customFormat="1">
      <c r="A14" s="1855"/>
    </row>
    <row r="15" spans="1:6" s="1853" customFormat="1">
      <c r="A15" s="1855"/>
    </row>
    <row r="16" spans="1:6" s="1853" customFormat="1">
      <c r="A16" s="1855"/>
    </row>
    <row r="17" spans="1:26" s="1853" customFormat="1">
      <c r="A17" s="1855"/>
    </row>
    <row r="18" spans="1:26" s="1853" customFormat="1">
      <c r="A18" s="1855"/>
    </row>
    <row r="19" spans="1:26" s="1853" customFormat="1">
      <c r="A19" s="1855"/>
    </row>
    <row r="20" spans="1:26" s="1853" customFormat="1">
      <c r="A20" s="1855"/>
    </row>
    <row r="21" spans="1:26" s="1853" customFormat="1">
      <c r="A21" s="1855"/>
    </row>
    <row r="22" spans="1:26" s="1853" customFormat="1">
      <c r="A22" s="1855"/>
    </row>
    <row r="23" spans="1:26" s="1853" customFormat="1">
      <c r="A23" s="1855"/>
    </row>
    <row r="26" spans="1:26" s="1857" customFormat="1" ht="14.1" customHeight="1">
      <c r="A26" s="1857" t="str">
        <f>CONCATENATE("PART ONE - PROJECT INFORMATION"," - ",$O$7," ",$F$35,", ",'Part I-Project Information'!F63,", ",'Part I-Project Information'!J64," County")</f>
        <v>PART ONE - PROJECT INFORMATION -  , ,  County</v>
      </c>
      <c r="Z26" s="1858">
        <v>2</v>
      </c>
    </row>
    <row r="27" spans="1:26" s="1857" customFormat="1" ht="6" customHeight="1">
      <c r="A27" s="1858"/>
      <c r="B27" s="1858"/>
      <c r="C27" s="1858"/>
      <c r="D27" s="1858"/>
      <c r="E27" s="1858"/>
      <c r="F27" s="1858"/>
      <c r="G27" s="1858"/>
      <c r="H27" s="1858"/>
      <c r="I27" s="1858"/>
      <c r="J27" s="1858"/>
      <c r="K27" s="1858"/>
      <c r="L27" s="1858"/>
      <c r="M27" s="1858"/>
      <c r="N27" s="1858"/>
      <c r="O27" s="1858"/>
      <c r="P27" s="1858"/>
      <c r="Z27" s="1858">
        <v>3</v>
      </c>
    </row>
    <row r="28" spans="1:26" s="1857" customFormat="1" ht="37.5" customHeight="1">
      <c r="A28" s="1857" t="s">
        <v>6281</v>
      </c>
      <c r="Z28" s="1858">
        <v>4</v>
      </c>
    </row>
    <row r="29" spans="1:26" s="1857" customFormat="1" ht="6" customHeight="1">
      <c r="A29" s="1858"/>
      <c r="B29" s="1858"/>
      <c r="C29" s="1858"/>
      <c r="D29" s="1858"/>
      <c r="E29" s="1858"/>
      <c r="F29" s="1858"/>
      <c r="G29" s="1858"/>
      <c r="H29" s="1858"/>
      <c r="I29" s="1858"/>
      <c r="J29" s="1858"/>
      <c r="K29" s="1858"/>
      <c r="L29" s="1858"/>
      <c r="M29" s="1858"/>
      <c r="N29" s="1858"/>
      <c r="O29" s="1858"/>
      <c r="P29" s="1858"/>
      <c r="Z29" s="1858">
        <v>5</v>
      </c>
    </row>
    <row r="30" spans="1:26" s="1857" customFormat="1" ht="12" customHeight="1">
      <c r="B30" s="1859" t="s">
        <v>2258</v>
      </c>
      <c r="F30" s="1858"/>
      <c r="G30" s="1860" t="s">
        <v>7110</v>
      </c>
      <c r="L30" s="1858"/>
      <c r="P30" s="1861" t="s">
        <v>3428</v>
      </c>
      <c r="Z30" s="1858">
        <v>6</v>
      </c>
    </row>
    <row r="31" spans="1:26" s="1857" customFormat="1" ht="12" customHeight="1">
      <c r="B31" s="1862" t="str">
        <f>'Part I-Project Information'!B7</f>
        <v>2021 Core App
May 10 Rev</v>
      </c>
      <c r="C31" s="1863"/>
      <c r="D31" s="1863"/>
      <c r="E31" s="1818"/>
      <c r="F31" s="1858"/>
      <c r="G31" s="1860" t="s">
        <v>7111</v>
      </c>
      <c r="H31" s="1858"/>
      <c r="I31" s="1858"/>
      <c r="J31" s="1858"/>
      <c r="O31" s="1864" t="str">
        <f>'Part I-Project Information'!O7</f>
        <v>2021-067</v>
      </c>
      <c r="P31" s="1864"/>
      <c r="Z31" s="1858">
        <v>7</v>
      </c>
    </row>
    <row r="32" spans="1:26" s="1857" customFormat="1" ht="12" customHeight="1">
      <c r="B32" s="1863"/>
      <c r="C32" s="1863"/>
      <c r="D32" s="1863"/>
      <c r="E32" s="1818"/>
      <c r="G32" s="1865" t="s">
        <v>3078</v>
      </c>
      <c r="H32" s="1858"/>
      <c r="I32" s="1858"/>
      <c r="J32" s="1858"/>
      <c r="Z32" s="1858">
        <v>8</v>
      </c>
    </row>
    <row r="33" spans="1:26" s="1857" customFormat="1" ht="6" customHeight="1">
      <c r="A33" s="1858"/>
      <c r="B33" s="1863"/>
      <c r="C33" s="1863"/>
      <c r="D33" s="1863"/>
      <c r="E33" s="1858"/>
      <c r="H33" s="1858"/>
      <c r="I33" s="1858"/>
      <c r="M33" s="1858"/>
      <c r="Z33" s="1858">
        <v>9</v>
      </c>
    </row>
    <row r="34" spans="1:26" s="1857" customFormat="1" ht="13.35" customHeight="1">
      <c r="A34" s="1857" t="s">
        <v>586</v>
      </c>
      <c r="B34" s="1857" t="s">
        <v>2269</v>
      </c>
      <c r="D34" s="1866"/>
      <c r="E34" s="1858"/>
      <c r="F34" s="1859" t="s">
        <v>3402</v>
      </c>
      <c r="I34" s="1867">
        <f>'Part IV-A-Uses of Funds'!$J$197</f>
        <v>900000</v>
      </c>
      <c r="J34" s="1867"/>
      <c r="L34" s="1857" t="s">
        <v>3403</v>
      </c>
      <c r="O34" s="1868">
        <f>'Part III-Sources of Funds'!$I$6</f>
        <v>0</v>
      </c>
      <c r="P34" s="1868"/>
      <c r="Z34" s="1869">
        <v>10</v>
      </c>
    </row>
    <row r="35" spans="1:26" s="1857" customFormat="1" ht="6" customHeight="1">
      <c r="D35" s="1866"/>
      <c r="E35" s="1858"/>
      <c r="F35" s="1858"/>
      <c r="I35" s="1859"/>
      <c r="N35" s="1861"/>
      <c r="Z35" s="1858">
        <v>11</v>
      </c>
    </row>
    <row r="36" spans="1:26" s="1857" customFormat="1" ht="13.35" customHeight="1">
      <c r="A36" s="1859" t="s">
        <v>710</v>
      </c>
      <c r="B36" s="1857" t="s">
        <v>1947</v>
      </c>
      <c r="F36" s="1870" t="str">
        <f>'Part I-Project Information'!F12</f>
        <v>9% Credit Competitive Round only</v>
      </c>
      <c r="G36" s="1870"/>
      <c r="H36" s="1870"/>
      <c r="I36" s="1871" t="s">
        <v>3345</v>
      </c>
      <c r="J36" s="1857" t="s">
        <v>7112</v>
      </c>
      <c r="L36" s="1858"/>
      <c r="O36" s="1864" t="str">
        <f>'Part I-Project Information'!O12</f>
        <v>2021PA-019</v>
      </c>
      <c r="P36" s="1864"/>
      <c r="Z36" s="1858">
        <v>12</v>
      </c>
    </row>
    <row r="37" spans="1:26" s="1857" customFormat="1" ht="12.75" customHeight="1">
      <c r="A37" s="1858"/>
      <c r="B37" s="1866"/>
      <c r="C37" s="1866"/>
      <c r="D37" s="1866"/>
      <c r="E37" s="1866"/>
      <c r="H37" s="1858"/>
      <c r="J37" s="1860" t="s">
        <v>7049</v>
      </c>
      <c r="K37" s="1859"/>
      <c r="M37" s="1858"/>
      <c r="O37" s="1870" t="str">
        <f>'Part I-Project Information'!O13</f>
        <v>No</v>
      </c>
      <c r="P37" s="1870"/>
      <c r="Z37" s="1858">
        <v>13</v>
      </c>
    </row>
    <row r="38" spans="1:26" s="1857" customFormat="1" ht="3" customHeight="1">
      <c r="A38" s="1858"/>
      <c r="B38" s="1866"/>
      <c r="C38" s="1866"/>
      <c r="D38" s="1866"/>
      <c r="E38" s="1866"/>
      <c r="H38" s="1858"/>
      <c r="J38" s="1859"/>
      <c r="K38" s="1859"/>
      <c r="M38" s="1858"/>
      <c r="Z38" s="1858">
        <v>14</v>
      </c>
    </row>
    <row r="39" spans="1:26" s="1857" customFormat="1" ht="12.75" customHeight="1">
      <c r="A39" s="1858"/>
      <c r="B39" s="1866" t="s">
        <v>4286</v>
      </c>
      <c r="C39" s="1866"/>
      <c r="D39" s="1866"/>
      <c r="E39" s="1866"/>
      <c r="F39" s="1872" t="str">
        <f>'Part I-Project Information'!F15</f>
        <v>No</v>
      </c>
      <c r="G39" s="1859" t="s">
        <v>4287</v>
      </c>
      <c r="N39" s="1870" t="str">
        <f>'Part I-Project Information'!N15</f>
        <v>&lt;&lt;Select previous Application Type&gt;&gt;</v>
      </c>
      <c r="O39" s="1870"/>
      <c r="P39" s="1870"/>
      <c r="Z39" s="1858">
        <v>15</v>
      </c>
    </row>
    <row r="40" spans="1:26" s="1857" customFormat="1" ht="12.75" customHeight="1">
      <c r="A40" s="1858"/>
      <c r="B40" s="1857" t="s">
        <v>4280</v>
      </c>
      <c r="F40" s="1873">
        <f>'Part I-Project Information'!F16</f>
        <v>0</v>
      </c>
      <c r="G40" s="1873"/>
      <c r="H40" s="1873"/>
      <c r="I40" s="1873"/>
      <c r="J40" s="1857" t="s">
        <v>4118</v>
      </c>
      <c r="L40" s="1864">
        <f>'Part I-Project Information'!L16</f>
        <v>0</v>
      </c>
      <c r="M40" s="1864"/>
      <c r="N40" s="1857" t="s">
        <v>4117</v>
      </c>
      <c r="P40" s="1874">
        <f>'Part I-Project Information'!P16</f>
        <v>0</v>
      </c>
      <c r="Z40" s="1858">
        <v>16</v>
      </c>
    </row>
    <row r="41" spans="1:26" s="1857" customFormat="1" ht="12.75" customHeight="1">
      <c r="A41" s="1858"/>
      <c r="B41" s="1857" t="s">
        <v>3401</v>
      </c>
      <c r="F41" s="1872">
        <f>'Part I-Project Information'!F17</f>
        <v>0</v>
      </c>
      <c r="G41" s="1857" t="s">
        <v>4075</v>
      </c>
      <c r="H41" s="1858"/>
      <c r="I41" s="1865"/>
      <c r="J41" s="1859"/>
      <c r="N41" s="1870" t="str">
        <f>'Part I-Project Information'!N17</f>
        <v>&lt;&lt; Select Designation &gt;&gt;</v>
      </c>
      <c r="O41" s="1870"/>
      <c r="P41" s="1870"/>
      <c r="Z41" s="1858">
        <v>17</v>
      </c>
    </row>
    <row r="42" spans="1:26" s="1857" customFormat="1" ht="6" customHeight="1">
      <c r="I42" s="1875"/>
      <c r="J42" s="1875"/>
      <c r="K42" s="1875"/>
      <c r="L42" s="1875"/>
      <c r="M42" s="1875"/>
      <c r="N42" s="1875"/>
      <c r="O42" s="1875"/>
      <c r="P42" s="1875"/>
      <c r="Z42" s="1858">
        <v>18</v>
      </c>
    </row>
    <row r="43" spans="1:26" s="1857" customFormat="1" ht="13.35" customHeight="1">
      <c r="A43" s="1859" t="s">
        <v>712</v>
      </c>
      <c r="B43" s="1857" t="s">
        <v>3824</v>
      </c>
      <c r="D43" s="1859"/>
      <c r="E43" s="1858"/>
      <c r="G43" s="1858"/>
      <c r="H43" s="1858"/>
      <c r="I43" s="1858"/>
      <c r="L43" s="1861"/>
      <c r="Z43" s="1869">
        <v>19</v>
      </c>
    </row>
    <row r="44" spans="1:26" s="1857" customFormat="1" ht="1.5" customHeight="1">
      <c r="A44" s="1859"/>
      <c r="B44" s="1858"/>
      <c r="D44" s="1859"/>
      <c r="E44" s="1858"/>
      <c r="G44" s="1858"/>
      <c r="H44" s="1858"/>
      <c r="I44" s="1858"/>
      <c r="K44" s="1861"/>
      <c r="L44" s="1861"/>
      <c r="O44" s="1858"/>
      <c r="Z44" s="1858">
        <v>20</v>
      </c>
    </row>
    <row r="45" spans="1:26" s="1857" customFormat="1" ht="13.35" customHeight="1">
      <c r="B45" s="1857" t="s">
        <v>3434</v>
      </c>
      <c r="F45" s="1864" t="str">
        <f>'Part I-Project Information'!F21</f>
        <v>Pennrose LLC</v>
      </c>
      <c r="G45" s="1864"/>
      <c r="H45" s="1864"/>
      <c r="I45" s="1857" t="s">
        <v>1716</v>
      </c>
      <c r="J45" s="1864" t="str">
        <f>'Part I-Project Information'!J21</f>
        <v>Mark Dambly</v>
      </c>
      <c r="K45" s="1864"/>
      <c r="L45" s="1864"/>
      <c r="M45" s="1859" t="s">
        <v>1889</v>
      </c>
      <c r="N45" s="1864" t="str">
        <f>'Part I-Project Information'!N21</f>
        <v>President</v>
      </c>
      <c r="O45" s="1864"/>
      <c r="P45" s="1864"/>
      <c r="Z45" s="1858">
        <v>21</v>
      </c>
    </row>
    <row r="46" spans="1:26" s="1857" customFormat="1" ht="13.35" customHeight="1">
      <c r="B46" s="1859" t="s">
        <v>1890</v>
      </c>
      <c r="F46" s="1864" t="str">
        <f>'Part I-Project Information'!F22</f>
        <v>230 Wyoming Avenue</v>
      </c>
      <c r="G46" s="1864"/>
      <c r="H46" s="1864"/>
      <c r="I46" s="1864"/>
      <c r="J46" s="1864"/>
      <c r="K46" s="1864"/>
      <c r="L46" s="1864"/>
      <c r="M46" s="1876" t="s">
        <v>3433</v>
      </c>
      <c r="N46" s="1876"/>
      <c r="O46" s="1876"/>
      <c r="P46" s="1876"/>
      <c r="Z46" s="1858">
        <v>22</v>
      </c>
    </row>
    <row r="47" spans="1:26" s="1857" customFormat="1" ht="13.35" customHeight="1">
      <c r="B47" s="1859" t="s">
        <v>588</v>
      </c>
      <c r="F47" s="1864" t="str">
        <f>'Part I-Project Information'!F23</f>
        <v>Kingston</v>
      </c>
      <c r="G47" s="1864"/>
      <c r="H47" s="1864"/>
      <c r="I47" s="1859" t="s">
        <v>1717</v>
      </c>
      <c r="J47" s="1877" t="str">
        <f>'Part I-Project Information'!J23</f>
        <v>PA</v>
      </c>
      <c r="M47" s="1876"/>
      <c r="N47" s="1876"/>
      <c r="O47" s="1876"/>
      <c r="P47" s="1876"/>
      <c r="Z47" s="1858">
        <v>23</v>
      </c>
    </row>
    <row r="48" spans="1:26" s="1857" customFormat="1" ht="13.35" customHeight="1">
      <c r="B48" s="1859" t="s">
        <v>2127</v>
      </c>
      <c r="F48" s="1878">
        <f>'Part I-Project Information'!F24</f>
        <v>187073535</v>
      </c>
      <c r="G48" s="1878"/>
      <c r="H48" s="1878"/>
      <c r="I48" s="1859" t="s">
        <v>1643</v>
      </c>
      <c r="J48" s="1879">
        <f>'Part I-Project Information'!J24</f>
        <v>2673868668</v>
      </c>
      <c r="K48" s="1879"/>
      <c r="L48" s="1858" t="s">
        <v>1642</v>
      </c>
      <c r="M48" s="1880">
        <f>'Part I-Project Information'!M24</f>
        <v>0</v>
      </c>
      <c r="N48" s="1859" t="s">
        <v>1644</v>
      </c>
      <c r="O48" s="1879">
        <f>'Part I-Project Information'!O24</f>
        <v>2673868668</v>
      </c>
      <c r="P48" s="1879"/>
      <c r="Z48" s="1858">
        <v>24</v>
      </c>
    </row>
    <row r="49" spans="1:26" s="1857" customFormat="1" ht="13.35" customHeight="1">
      <c r="B49" s="1859" t="s">
        <v>1893</v>
      </c>
      <c r="F49" s="1864" t="str">
        <f>'Part I-Project Information'!F25</f>
        <v>mdambly@pennrose.com</v>
      </c>
      <c r="G49" s="1864"/>
      <c r="H49" s="1864"/>
      <c r="I49" s="1864"/>
      <c r="J49" s="1864"/>
      <c r="K49" s="1864"/>
      <c r="N49" s="1859" t="s">
        <v>1888</v>
      </c>
      <c r="O49" s="1879">
        <f>'Part I-Project Information'!O25</f>
        <v>0</v>
      </c>
      <c r="P49" s="1879"/>
      <c r="Z49" s="1858">
        <v>25</v>
      </c>
    </row>
    <row r="50" spans="1:26" s="1857" customFormat="1" ht="13.5" customHeight="1">
      <c r="A50" s="1858"/>
      <c r="B50" s="1857" t="s">
        <v>3823</v>
      </c>
      <c r="C50" s="1866"/>
      <c r="H50" s="1858"/>
      <c r="J50" s="1866"/>
      <c r="P50" s="1881"/>
      <c r="Z50" s="1858">
        <v>26</v>
      </c>
    </row>
    <row r="51" spans="1:26" s="1857" customFormat="1" ht="13.35" customHeight="1">
      <c r="B51" s="1857" t="s">
        <v>3434</v>
      </c>
      <c r="F51" s="1864" t="str">
        <f>'Part I-Project Information'!F27</f>
        <v>Pennrose LLC</v>
      </c>
      <c r="G51" s="1864"/>
      <c r="H51" s="1864"/>
      <c r="I51" s="1857" t="s">
        <v>1716</v>
      </c>
      <c r="J51" s="1864" t="str">
        <f>'Part I-Project Information'!J27</f>
        <v>Brian Thomas</v>
      </c>
      <c r="K51" s="1864"/>
      <c r="L51" s="1864"/>
      <c r="M51" s="1859" t="s">
        <v>1889</v>
      </c>
      <c r="N51" s="1864" t="str">
        <f>'Part I-Project Information'!N27</f>
        <v>Senior Developer</v>
      </c>
      <c r="O51" s="1864"/>
      <c r="P51" s="1864"/>
      <c r="Z51" s="1858">
        <v>27</v>
      </c>
    </row>
    <row r="52" spans="1:26" s="1857" customFormat="1" ht="13.35" customHeight="1">
      <c r="B52" s="1859" t="s">
        <v>1890</v>
      </c>
      <c r="F52" s="1864" t="str">
        <f>'Part I-Project Information'!F28</f>
        <v>675 Ponce De Leon Avenue NE, Suite 8500</v>
      </c>
      <c r="G52" s="1864"/>
      <c r="H52" s="1864"/>
      <c r="I52" s="1864"/>
      <c r="J52" s="1864"/>
      <c r="K52" s="1864"/>
      <c r="L52" s="1864"/>
      <c r="M52" s="1876" t="s">
        <v>3433</v>
      </c>
      <c r="N52" s="1876"/>
      <c r="O52" s="1876"/>
      <c r="P52" s="1876"/>
      <c r="Z52" s="1869">
        <v>28</v>
      </c>
    </row>
    <row r="53" spans="1:26" s="1857" customFormat="1" ht="13.35" customHeight="1">
      <c r="B53" s="1859" t="s">
        <v>588</v>
      </c>
      <c r="F53" s="1864" t="str">
        <f>'Part I-Project Information'!F29</f>
        <v>Atlanta</v>
      </c>
      <c r="G53" s="1864"/>
      <c r="H53" s="1864"/>
      <c r="I53" s="1859" t="s">
        <v>1717</v>
      </c>
      <c r="J53" s="1877" t="str">
        <f>'Part I-Project Information'!J29</f>
        <v>GA</v>
      </c>
      <c r="M53" s="1876"/>
      <c r="N53" s="1876"/>
      <c r="O53" s="1876"/>
      <c r="P53" s="1876"/>
      <c r="Z53" s="1869">
        <v>29</v>
      </c>
    </row>
    <row r="54" spans="1:26" s="1857" customFormat="1" ht="13.35" customHeight="1">
      <c r="B54" s="1859" t="s">
        <v>2127</v>
      </c>
      <c r="F54" s="1878">
        <f>'Part I-Project Information'!F30</f>
        <v>303081884</v>
      </c>
      <c r="G54" s="1878"/>
      <c r="H54" s="1878"/>
      <c r="I54" s="1859" t="s">
        <v>1643</v>
      </c>
      <c r="J54" s="1879">
        <f>'Part I-Project Information'!J30</f>
        <v>0</v>
      </c>
      <c r="K54" s="1879"/>
      <c r="L54" s="1858" t="s">
        <v>1642</v>
      </c>
      <c r="M54" s="1880">
        <f>'Part I-Project Information'!M30</f>
        <v>0</v>
      </c>
      <c r="N54" s="1859" t="s">
        <v>1644</v>
      </c>
      <c r="O54" s="1879">
        <f>'Part I-Project Information'!O30</f>
        <v>4047591733</v>
      </c>
      <c r="P54" s="1879"/>
      <c r="Z54" s="1858">
        <v>30</v>
      </c>
    </row>
    <row r="55" spans="1:26" s="1857" customFormat="1" ht="13.35" customHeight="1">
      <c r="B55" s="1859" t="s">
        <v>1893</v>
      </c>
      <c r="F55" s="1864" t="str">
        <f>'Part I-Project Information'!F31</f>
        <v>bthomas@pennrose.com</v>
      </c>
      <c r="G55" s="1864"/>
      <c r="H55" s="1864"/>
      <c r="I55" s="1864"/>
      <c r="J55" s="1864"/>
      <c r="K55" s="1864"/>
      <c r="N55" s="1859" t="s">
        <v>1888</v>
      </c>
      <c r="O55" s="1879">
        <f>'Part I-Project Information'!O31</f>
        <v>0</v>
      </c>
      <c r="P55" s="1879"/>
      <c r="Z55" s="1858">
        <v>31</v>
      </c>
    </row>
    <row r="56" spans="1:26" s="1857" customFormat="1" ht="6" customHeight="1">
      <c r="A56" s="1858"/>
      <c r="B56" s="1858"/>
      <c r="C56" s="1866"/>
      <c r="H56" s="1858"/>
      <c r="J56" s="1866"/>
      <c r="P56" s="1881"/>
      <c r="Z56" s="1858">
        <v>32</v>
      </c>
    </row>
    <row r="57" spans="1:26" s="1857" customFormat="1" ht="13.35" customHeight="1">
      <c r="A57" s="1859" t="s">
        <v>1711</v>
      </c>
      <c r="B57" s="1857" t="s">
        <v>1415</v>
      </c>
      <c r="D57" s="1866"/>
      <c r="E57" s="1858"/>
      <c r="F57" s="1858"/>
      <c r="G57" s="1859"/>
      <c r="H57" s="1858"/>
      <c r="I57" s="1858"/>
      <c r="J57" s="1858"/>
      <c r="L57" s="1861"/>
      <c r="M57" s="1861"/>
      <c r="Z57" s="1858">
        <v>33</v>
      </c>
    </row>
    <row r="58" spans="1:26" s="1857" customFormat="1" ht="1.5" customHeight="1">
      <c r="A58" s="1859"/>
      <c r="D58" s="1866"/>
      <c r="E58" s="1858"/>
      <c r="F58" s="1858"/>
      <c r="G58" s="1859"/>
      <c r="H58" s="1858"/>
      <c r="I58" s="1858"/>
      <c r="J58" s="1858"/>
      <c r="L58" s="1861"/>
      <c r="Z58" s="1858">
        <v>34</v>
      </c>
    </row>
    <row r="59" spans="1:26" s="1857" customFormat="1" ht="13.35" customHeight="1">
      <c r="B59" s="1857" t="s">
        <v>587</v>
      </c>
      <c r="F59" s="1873" t="str">
        <f>'Part I-Project Information'!F35</f>
        <v>West Point Village Phase II</v>
      </c>
      <c r="G59" s="1873"/>
      <c r="H59" s="1873"/>
      <c r="I59" s="1873"/>
      <c r="J59" s="1873"/>
      <c r="K59" s="1873"/>
      <c r="L59" s="1859" t="s">
        <v>2096</v>
      </c>
      <c r="O59" s="1864" t="str">
        <f>'Part I-Project Information'!O35</f>
        <v>Yes- w/Master Plan</v>
      </c>
      <c r="P59" s="1864"/>
      <c r="Z59" s="1858">
        <v>35</v>
      </c>
    </row>
    <row r="60" spans="1:26" s="1857" customFormat="1" ht="13.35" customHeight="1">
      <c r="A60" s="1861"/>
      <c r="B60" s="1857" t="s">
        <v>2547</v>
      </c>
      <c r="D60" s="1861"/>
      <c r="F60" s="1873" t="str">
        <f>'Part I-Project Information'!F36</f>
        <v>1650 10th Street</v>
      </c>
      <c r="G60" s="1873"/>
      <c r="H60" s="1873"/>
      <c r="I60" s="1873"/>
      <c r="J60" s="1873"/>
      <c r="K60" s="1873"/>
      <c r="L60" s="1857" t="s">
        <v>3320</v>
      </c>
      <c r="O60" s="1864" t="str">
        <f>'Part I-Project Information'!O36</f>
        <v>2020-026</v>
      </c>
      <c r="P60" s="1864"/>
      <c r="Z60" s="1858">
        <v>36</v>
      </c>
    </row>
    <row r="61" spans="1:26" s="1857" customFormat="1" ht="13.35" customHeight="1">
      <c r="A61" s="1861"/>
      <c r="B61" s="1857" t="s">
        <v>7050</v>
      </c>
      <c r="D61" s="1861"/>
      <c r="F61" s="1873">
        <f>'Part I-Project Information'!F37</f>
        <v>0</v>
      </c>
      <c r="G61" s="1873"/>
      <c r="H61" s="1873"/>
      <c r="I61" s="1873"/>
      <c r="J61" s="1873"/>
      <c r="K61" s="1873"/>
      <c r="L61" s="1859" t="s">
        <v>1957</v>
      </c>
      <c r="N61" s="1880" t="str">
        <f>'Part I-Project Information'!N37</f>
        <v>No</v>
      </c>
      <c r="O61" s="1858" t="s">
        <v>3319</v>
      </c>
      <c r="P61" s="1880">
        <f>'Part I-Project Information'!P37</f>
        <v>0</v>
      </c>
      <c r="Z61" s="1858">
        <v>37</v>
      </c>
    </row>
    <row r="62" spans="1:26" s="1857" customFormat="1" ht="13.35" customHeight="1">
      <c r="A62" s="1861"/>
      <c r="B62" s="1857" t="s">
        <v>3362</v>
      </c>
      <c r="D62" s="1861"/>
      <c r="F62" s="1857" t="s">
        <v>3346</v>
      </c>
      <c r="G62" s="1882">
        <f>'Part I-Project Information'!G38</f>
        <v>32.876573</v>
      </c>
      <c r="H62" s="1882"/>
      <c r="I62" s="1858" t="s">
        <v>3347</v>
      </c>
      <c r="J62" s="1882" t="str">
        <f>'Part I-Project Information'!J38</f>
        <v>-85.158506</v>
      </c>
      <c r="K62" s="1882"/>
      <c r="L62" s="1859" t="s">
        <v>2179</v>
      </c>
      <c r="O62" s="1883">
        <f>'Part I-Project Information'!O38</f>
        <v>5.03</v>
      </c>
      <c r="P62" s="1883"/>
      <c r="Z62" s="1869">
        <v>38</v>
      </c>
    </row>
    <row r="63" spans="1:26" s="1857" customFormat="1" ht="13.35" customHeight="1">
      <c r="A63" s="1858"/>
      <c r="B63" s="1857" t="s">
        <v>588</v>
      </c>
      <c r="F63" s="1864" t="str">
        <f>'Part I-Project Information'!F39</f>
        <v>West Point</v>
      </c>
      <c r="G63" s="1864"/>
      <c r="H63" s="1864"/>
      <c r="I63" s="1884" t="s">
        <v>7113</v>
      </c>
      <c r="J63" s="1878">
        <f>'Part I-Project Information'!J39</f>
        <v>318330000</v>
      </c>
      <c r="K63" s="1878"/>
      <c r="L63" s="1857" t="str">
        <f>IF(AND(NOT(F59=""),NOT(F63="Select from list"),J63=""),"Enter Zip!","")</f>
        <v/>
      </c>
      <c r="M63" s="1885" t="s">
        <v>2692</v>
      </c>
      <c r="O63" s="1886" t="str">
        <f>'Part I-Project Information'!O39</f>
        <v>9610</v>
      </c>
      <c r="P63" s="1887"/>
      <c r="Z63" s="1858">
        <v>39</v>
      </c>
    </row>
    <row r="64" spans="1:26" s="1857" customFormat="1" ht="13.35" customHeight="1">
      <c r="A64" s="1858"/>
      <c r="B64" s="1857" t="s">
        <v>4097</v>
      </c>
      <c r="F64" s="1864" t="str">
        <f>'Part I-Project Information'!F40</f>
        <v>City Limits</v>
      </c>
      <c r="G64" s="1864"/>
      <c r="H64" s="1864"/>
      <c r="I64" s="1888" t="s">
        <v>589</v>
      </c>
      <c r="J64" s="1873" t="str">
        <f>'Part I-Project Information'!J40</f>
        <v>Troup</v>
      </c>
      <c r="K64" s="1873"/>
      <c r="M64" s="1859" t="s">
        <v>431</v>
      </c>
      <c r="N64" s="1874" t="str">
        <f>'Part I-Project Information'!N40</f>
        <v>No</v>
      </c>
      <c r="O64" s="1858" t="s">
        <v>432</v>
      </c>
      <c r="P64" s="1874" t="str">
        <f>'Part I-Project Information'!P40</f>
        <v>Yes</v>
      </c>
      <c r="Z64" s="1858">
        <v>40</v>
      </c>
    </row>
    <row r="65" spans="1:26" s="1857" customFormat="1" ht="13.35" customHeight="1">
      <c r="A65" s="1858"/>
      <c r="C65" s="1857" t="s">
        <v>1494</v>
      </c>
      <c r="F65" s="1889" t="str">
        <f>'Part I-Project Information'!F41</f>
        <v>Yes</v>
      </c>
      <c r="I65" s="1858"/>
      <c r="J65" s="1858" t="s">
        <v>2609</v>
      </c>
      <c r="K65" s="1858" t="str">
        <f>'Part I-Project Information'!K41</f>
        <v>Rural</v>
      </c>
      <c r="M65" s="1859" t="s">
        <v>2486</v>
      </c>
      <c r="N65" s="1858" t="str">
        <f>'Part I-Project Information'!N41</f>
        <v>Non-MSA</v>
      </c>
      <c r="O65" s="1864" t="str">
        <f>'Part I-Project Information'!O41</f>
        <v>Troup Co.</v>
      </c>
      <c r="P65" s="1864"/>
      <c r="Z65" s="1858">
        <v>41</v>
      </c>
    </row>
    <row r="66" spans="1:26" s="1857" customFormat="1" ht="6" customHeight="1">
      <c r="A66" s="1858"/>
      <c r="I66" s="1859"/>
      <c r="L66" s="1890"/>
      <c r="M66" s="1890"/>
      <c r="N66" s="1890"/>
      <c r="O66" s="1890"/>
      <c r="P66" s="1890"/>
      <c r="Z66" s="1858">
        <v>42</v>
      </c>
    </row>
    <row r="67" spans="1:26" s="1857" customFormat="1" ht="13.35" customHeight="1">
      <c r="A67" s="1858"/>
      <c r="C67" s="1857" t="s">
        <v>7114</v>
      </c>
      <c r="F67" s="1866" t="s">
        <v>2591</v>
      </c>
      <c r="G67" s="1866"/>
      <c r="H67" s="1857" t="s">
        <v>706</v>
      </c>
      <c r="J67" s="1857" t="s">
        <v>707</v>
      </c>
      <c r="L67" s="1891" t="s">
        <v>7115</v>
      </c>
      <c r="Z67" s="1858">
        <v>43</v>
      </c>
    </row>
    <row r="68" spans="1:26" s="1857" customFormat="1" ht="13.35" customHeight="1">
      <c r="A68" s="1858"/>
      <c r="B68" s="1857" t="s">
        <v>7051</v>
      </c>
      <c r="F68" s="1892">
        <f>'Part I-Project Information'!F44</f>
        <v>3</v>
      </c>
      <c r="G68" s="1892"/>
      <c r="H68" s="1892">
        <f>'Part I-Project Information'!H44</f>
        <v>29</v>
      </c>
      <c r="I68" s="1892"/>
      <c r="J68" s="1892">
        <f>'Part I-Project Information'!J44</f>
        <v>133</v>
      </c>
      <c r="K68" s="1892"/>
      <c r="L68" s="1865" t="s">
        <v>1235</v>
      </c>
      <c r="N68" s="1893" t="s">
        <v>1236</v>
      </c>
      <c r="O68" s="1893"/>
      <c r="P68" s="1893"/>
      <c r="Z68" s="1858">
        <v>44</v>
      </c>
    </row>
    <row r="69" spans="1:26" s="1857" customFormat="1" ht="12.75" customHeight="1">
      <c r="A69" s="1858"/>
      <c r="B69" s="1859" t="s">
        <v>708</v>
      </c>
      <c r="F69" s="1892">
        <f>'Part I-Project Information'!F45</f>
        <v>0</v>
      </c>
      <c r="G69" s="1892"/>
      <c r="H69" s="1892">
        <f>'Part I-Project Information'!H45</f>
        <v>0</v>
      </c>
      <c r="I69" s="1892"/>
      <c r="J69" s="1892">
        <f>'Part I-Project Information'!J45</f>
        <v>0</v>
      </c>
      <c r="K69" s="1892"/>
      <c r="L69" s="1865" t="s">
        <v>2589</v>
      </c>
      <c r="N69" s="1894" t="s">
        <v>2588</v>
      </c>
      <c r="O69" s="1894"/>
      <c r="Z69" s="1858">
        <v>45</v>
      </c>
    </row>
    <row r="70" spans="1:26" s="1857" customFormat="1" ht="3" customHeight="1">
      <c r="A70" s="1858"/>
      <c r="I70" s="1890"/>
      <c r="J70" s="1890"/>
      <c r="K70" s="1890"/>
      <c r="Z70" s="1858">
        <v>46</v>
      </c>
    </row>
    <row r="71" spans="1:26" s="1857" customFormat="1" ht="13.35" customHeight="1">
      <c r="A71" s="1858"/>
      <c r="B71" s="1857" t="s">
        <v>607</v>
      </c>
      <c r="F71" s="1895" t="str">
        <f>'Part I-Project Information'!F47</f>
        <v>City of West Point</v>
      </c>
      <c r="G71" s="1895"/>
      <c r="H71" s="1895"/>
      <c r="I71" s="1895"/>
      <c r="J71" s="1895"/>
      <c r="K71" s="1895"/>
      <c r="L71" s="1896" t="s">
        <v>2552</v>
      </c>
      <c r="M71" s="1864" t="str">
        <f>'Part I-Project Information'!M47</f>
        <v>www.cityofwestpointga.com</v>
      </c>
      <c r="N71" s="1864"/>
      <c r="O71" s="1864"/>
      <c r="P71" s="1864"/>
      <c r="Z71" s="1869">
        <v>47</v>
      </c>
    </row>
    <row r="72" spans="1:26" s="1857" customFormat="1" ht="13.35" customHeight="1">
      <c r="A72" s="1858"/>
      <c r="B72" s="1857" t="s">
        <v>608</v>
      </c>
      <c r="F72" s="1895" t="str">
        <f>'Part I-Project Information'!F48</f>
        <v>Steve Tramell</v>
      </c>
      <c r="G72" s="1895"/>
      <c r="H72" s="1895"/>
      <c r="I72" s="1858" t="s">
        <v>1889</v>
      </c>
      <c r="J72" s="1864" t="str">
        <f>'Part I-Project Information'!J48</f>
        <v>Mayor</v>
      </c>
      <c r="K72" s="1864"/>
      <c r="L72" s="1896"/>
      <c r="Z72" s="1858">
        <v>48</v>
      </c>
    </row>
    <row r="73" spans="1:26" s="1857" customFormat="1" ht="13.35" customHeight="1">
      <c r="A73" s="1858"/>
      <c r="B73" s="1857" t="s">
        <v>1890</v>
      </c>
      <c r="F73" s="1895" t="str">
        <f>'Part I-Project Information'!F49</f>
        <v>730 1st Avenue, West Point GA</v>
      </c>
      <c r="G73" s="1895"/>
      <c r="H73" s="1895"/>
      <c r="I73" s="1895"/>
      <c r="J73" s="1895"/>
      <c r="K73" s="1895"/>
      <c r="L73" s="1859" t="s">
        <v>588</v>
      </c>
      <c r="M73" s="1895" t="str">
        <f>'Part I-Project Information'!M49</f>
        <v>West Point</v>
      </c>
      <c r="N73" s="1895"/>
      <c r="O73" s="1895"/>
      <c r="P73" s="1895"/>
      <c r="Z73" s="1858">
        <v>49</v>
      </c>
    </row>
    <row r="74" spans="1:26" s="1857" customFormat="1" ht="13.35" customHeight="1">
      <c r="A74" s="1858"/>
      <c r="B74" s="1859" t="s">
        <v>2127</v>
      </c>
      <c r="F74" s="1878">
        <f>'Part I-Project Information'!F50</f>
        <v>318330487</v>
      </c>
      <c r="G74" s="1878"/>
      <c r="H74" s="1858" t="s">
        <v>1891</v>
      </c>
      <c r="I74" s="1879">
        <f>'Part I-Project Information'!I50</f>
        <v>7067732441</v>
      </c>
      <c r="J74" s="1879"/>
      <c r="K74" s="1879"/>
      <c r="L74" s="1859" t="s">
        <v>1718</v>
      </c>
      <c r="M74" s="1895" t="str">
        <f>'Part I-Project Information'!M50</f>
        <v>steve.tramell@cityofwestpointga.com</v>
      </c>
      <c r="N74" s="1895"/>
      <c r="O74" s="1895"/>
      <c r="P74" s="1895"/>
      <c r="Z74" s="1858">
        <v>50</v>
      </c>
    </row>
    <row r="75" spans="1:26" s="1857" customFormat="1" ht="6" customHeight="1">
      <c r="A75" s="1858"/>
      <c r="B75" s="1858"/>
      <c r="C75" s="1884"/>
      <c r="D75" s="1884"/>
      <c r="E75" s="1884"/>
      <c r="F75" s="1858"/>
      <c r="G75" s="1858"/>
      <c r="H75" s="1858"/>
      <c r="I75" s="1858"/>
      <c r="J75" s="1884"/>
      <c r="K75" s="1858"/>
      <c r="L75" s="1858"/>
      <c r="P75" s="1881"/>
      <c r="Z75" s="1858">
        <v>51</v>
      </c>
    </row>
    <row r="76" spans="1:26" s="1857" customFormat="1" ht="12" customHeight="1">
      <c r="A76" s="1859" t="s">
        <v>1713</v>
      </c>
      <c r="B76" s="1857" t="s">
        <v>1416</v>
      </c>
      <c r="F76" s="1897"/>
      <c r="I76" s="1859"/>
      <c r="Z76" s="1858">
        <v>52</v>
      </c>
    </row>
    <row r="77" spans="1:26" s="1857" customFormat="1" ht="1.5" customHeight="1">
      <c r="A77" s="1858"/>
      <c r="I77" s="1859"/>
      <c r="Z77" s="1858">
        <v>53</v>
      </c>
    </row>
    <row r="78" spans="1:26" s="1857" customFormat="1">
      <c r="A78" s="1858"/>
      <c r="B78" s="1858" t="s">
        <v>1892</v>
      </c>
      <c r="C78" s="1857" t="s">
        <v>7052</v>
      </c>
      <c r="K78" s="1865"/>
      <c r="M78" s="1893"/>
      <c r="N78" s="1893"/>
      <c r="O78" s="1893"/>
      <c r="P78" s="1893"/>
      <c r="Q78" s="1858"/>
      <c r="Z78" s="1858">
        <v>54</v>
      </c>
    </row>
    <row r="79" spans="1:26" s="1866" customFormat="1" ht="13.35" customHeight="1">
      <c r="B79" s="1858"/>
      <c r="C79" s="1857" t="s">
        <v>2191</v>
      </c>
      <c r="D79" s="1857"/>
      <c r="E79" s="1857"/>
      <c r="H79" s="1898">
        <f>'Part I-Project Information'!H55</f>
        <v>72</v>
      </c>
      <c r="K79" s="1859" t="s">
        <v>3312</v>
      </c>
      <c r="L79" s="1857"/>
      <c r="M79" s="1899" t="s">
        <v>3311</v>
      </c>
      <c r="N79" s="1898">
        <f>'Part I-Project Information'!N55</f>
        <v>0</v>
      </c>
      <c r="O79" s="1900" t="s">
        <v>3116</v>
      </c>
      <c r="P79" s="1898">
        <f>'Part I-Project Information'!P55</f>
        <v>0</v>
      </c>
      <c r="Q79" s="1858"/>
      <c r="Z79" s="1858">
        <v>55</v>
      </c>
    </row>
    <row r="80" spans="1:26" s="1857" customFormat="1">
      <c r="A80" s="1858"/>
      <c r="B80" s="1858"/>
      <c r="C80" s="1901" t="s">
        <v>336</v>
      </c>
      <c r="H80" s="1898">
        <f>'Part I-Project Information'!H56</f>
        <v>0</v>
      </c>
      <c r="K80" s="1901" t="s">
        <v>350</v>
      </c>
      <c r="P80" s="1898">
        <f>'Part I-Project Information'!P56</f>
        <v>0</v>
      </c>
      <c r="Z80" s="1869">
        <v>56</v>
      </c>
    </row>
    <row r="81" spans="1:26" s="1857" customFormat="1" ht="13.35" customHeight="1">
      <c r="B81" s="1858"/>
      <c r="C81" s="1859" t="s">
        <v>335</v>
      </c>
      <c r="H81" s="1898">
        <f>'Part I-Project Information'!H57</f>
        <v>0</v>
      </c>
      <c r="I81" s="1902" t="s">
        <v>2696</v>
      </c>
      <c r="K81" s="1857" t="s">
        <v>337</v>
      </c>
      <c r="P81" s="1880">
        <f>'Part I-Project Information'!P57</f>
        <v>0</v>
      </c>
      <c r="Q81" s="1858"/>
      <c r="Z81" s="1869">
        <v>57</v>
      </c>
    </row>
    <row r="82" spans="1:26" s="1857" customFormat="1" ht="3.6" customHeight="1">
      <c r="A82" s="1858"/>
      <c r="Z82" s="1858">
        <v>58</v>
      </c>
    </row>
    <row r="83" spans="1:26" s="1857" customFormat="1">
      <c r="A83" s="1858"/>
      <c r="B83" s="1858" t="s">
        <v>1894</v>
      </c>
      <c r="C83" s="1857" t="s">
        <v>2192</v>
      </c>
      <c r="H83" s="1880" t="str">
        <f>'Part I-Project Information'!H59</f>
        <v>No</v>
      </c>
      <c r="O83" s="1893"/>
      <c r="P83" s="1865"/>
      <c r="Z83" s="1858">
        <v>59</v>
      </c>
    </row>
    <row r="84" spans="1:26" s="1857" customFormat="1" ht="3" customHeight="1">
      <c r="A84" s="1858"/>
      <c r="J84" s="1865"/>
      <c r="K84" s="1903"/>
      <c r="L84" s="1865"/>
      <c r="M84" s="1903"/>
      <c r="N84" s="1903"/>
      <c r="O84" s="1903"/>
      <c r="P84" s="1903"/>
      <c r="Z84" s="1858">
        <v>60</v>
      </c>
    </row>
    <row r="85" spans="1:26" s="1857" customFormat="1" ht="13.35" customHeight="1">
      <c r="A85" s="1858"/>
      <c r="B85" s="1861" t="s">
        <v>719</v>
      </c>
      <c r="C85" s="1857" t="s">
        <v>2172</v>
      </c>
      <c r="I85" s="1884" t="s">
        <v>3256</v>
      </c>
      <c r="J85" s="1861" t="s">
        <v>2020</v>
      </c>
      <c r="K85" s="1866" t="s">
        <v>2197</v>
      </c>
      <c r="P85" s="1858"/>
      <c r="Q85" s="1858"/>
      <c r="R85" s="1858"/>
      <c r="Z85" s="1858">
        <v>61</v>
      </c>
    </row>
    <row r="86" spans="1:26" s="1857" customFormat="1" ht="13.35" customHeight="1">
      <c r="A86" s="1858"/>
      <c r="B86" s="1904"/>
      <c r="C86" s="1866" t="s">
        <v>2173</v>
      </c>
      <c r="H86" s="1898">
        <f>'Part I-Project Information'!H62</f>
        <v>64</v>
      </c>
      <c r="I86" s="1905">
        <f>'Part VI-Revenues &amp; Expenses'!$P$100</f>
        <v>32</v>
      </c>
      <c r="J86" s="1858"/>
      <c r="K86" s="1866" t="s">
        <v>2599</v>
      </c>
      <c r="P86" s="1898">
        <f>'Part I-Project Information'!P62</f>
        <v>58820</v>
      </c>
      <c r="Z86" s="1858">
        <v>62</v>
      </c>
    </row>
    <row r="87" spans="1:26" s="1857" customFormat="1" ht="13.35" customHeight="1">
      <c r="A87" s="1858"/>
      <c r="C87" s="1866" t="s">
        <v>242</v>
      </c>
      <c r="H87" s="1898">
        <f>'Part I-Project Information'!H63</f>
        <v>8</v>
      </c>
      <c r="J87" s="1858"/>
      <c r="K87" s="1866" t="s">
        <v>2600</v>
      </c>
      <c r="P87" s="1898">
        <f>'Part I-Project Information'!P63</f>
        <v>7340</v>
      </c>
      <c r="Z87" s="1858">
        <v>63</v>
      </c>
    </row>
    <row r="88" spans="1:26" s="1857" customFormat="1" ht="13.35" customHeight="1">
      <c r="A88" s="1858"/>
      <c r="C88" s="1866" t="s">
        <v>2296</v>
      </c>
      <c r="H88" s="1898">
        <f>'Part I-Project Information'!H64</f>
        <v>72</v>
      </c>
      <c r="J88" s="1858"/>
      <c r="K88" s="1866" t="s">
        <v>2601</v>
      </c>
      <c r="P88" s="1898">
        <f>'Part I-Project Information'!P64</f>
        <v>66160</v>
      </c>
      <c r="Z88" s="1858">
        <v>64</v>
      </c>
    </row>
    <row r="89" spans="1:26" s="1857" customFormat="1" ht="13.35" customHeight="1">
      <c r="A89" s="1858"/>
      <c r="C89" s="1866" t="s">
        <v>2297</v>
      </c>
      <c r="H89" s="1898">
        <f>'Part I-Project Information'!H65</f>
        <v>0</v>
      </c>
      <c r="J89" s="1858"/>
      <c r="K89" s="1866" t="s">
        <v>2602</v>
      </c>
      <c r="P89" s="1898">
        <f>'Part I-Project Information'!P65</f>
        <v>0</v>
      </c>
      <c r="Z89" s="1858">
        <v>65</v>
      </c>
    </row>
    <row r="90" spans="1:26" s="1857" customFormat="1" ht="13.35" customHeight="1">
      <c r="A90" s="1858"/>
      <c r="C90" s="1866" t="s">
        <v>1712</v>
      </c>
      <c r="H90" s="1898">
        <f>'Part I-Project Information'!H66</f>
        <v>72</v>
      </c>
      <c r="K90" s="1866" t="s">
        <v>1369</v>
      </c>
      <c r="P90" s="1898">
        <f>'Part I-Project Information'!P66</f>
        <v>66160</v>
      </c>
      <c r="Z90" s="1869">
        <v>66</v>
      </c>
    </row>
    <row r="91" spans="1:26" s="1857" customFormat="1" ht="3" customHeight="1">
      <c r="A91" s="1858"/>
      <c r="I91" s="1858"/>
      <c r="L91" s="1858"/>
      <c r="M91" s="1858"/>
      <c r="P91" s="1881"/>
      <c r="Z91" s="1858">
        <v>67</v>
      </c>
    </row>
    <row r="92" spans="1:26" s="1857" customFormat="1" ht="11.25" customHeight="1">
      <c r="A92" s="1858"/>
      <c r="H92" s="1858" t="s">
        <v>3440</v>
      </c>
      <c r="I92" s="1858" t="s">
        <v>2542</v>
      </c>
      <c r="L92" s="1858"/>
      <c r="M92" s="1858"/>
      <c r="P92" s="1881"/>
      <c r="Z92" s="1858">
        <v>68</v>
      </c>
    </row>
    <row r="93" spans="1:26" s="1857" customFormat="1" ht="13.35" customHeight="1">
      <c r="A93" s="1858"/>
      <c r="B93" s="1858" t="s">
        <v>1656</v>
      </c>
      <c r="C93" s="1857" t="s">
        <v>2193</v>
      </c>
      <c r="D93" s="1866" t="s">
        <v>1905</v>
      </c>
      <c r="H93" s="1880">
        <f>'Part I-Project Information'!H69</f>
        <v>3</v>
      </c>
      <c r="I93" s="1880">
        <f>'Part I-Project Information'!I69</f>
        <v>0</v>
      </c>
      <c r="K93" s="1866" t="s">
        <v>7116</v>
      </c>
      <c r="P93" s="1880">
        <f>'Part I-Project Information'!P69</f>
        <v>2560</v>
      </c>
      <c r="Z93" s="1858">
        <v>69</v>
      </c>
    </row>
    <row r="94" spans="1:26" s="1857" customFormat="1" ht="13.35" customHeight="1">
      <c r="A94" s="1858"/>
      <c r="B94" s="1858"/>
      <c r="D94" s="1904" t="s">
        <v>1906</v>
      </c>
      <c r="H94" s="1880">
        <f>'Part I-Project Information'!H70</f>
        <v>0</v>
      </c>
      <c r="I94" s="1880">
        <f>'Part I-Project Information'!I70</f>
        <v>0</v>
      </c>
      <c r="K94" s="1866" t="s">
        <v>241</v>
      </c>
      <c r="P94" s="1905">
        <f>+P90+P93</f>
        <v>68720</v>
      </c>
      <c r="Z94" s="1858">
        <v>70</v>
      </c>
    </row>
    <row r="95" spans="1:26" s="1857" customFormat="1" ht="13.35" customHeight="1">
      <c r="A95" s="1858"/>
      <c r="B95" s="1858"/>
      <c r="D95" s="1904" t="s">
        <v>1907</v>
      </c>
      <c r="H95" s="1905">
        <f>+H93+H94</f>
        <v>3</v>
      </c>
      <c r="I95" s="1905">
        <f>+I93+I94</f>
        <v>0</v>
      </c>
      <c r="Z95" s="1858">
        <v>71</v>
      </c>
    </row>
    <row r="96" spans="1:26" s="1857" customFormat="1" ht="3" customHeight="1">
      <c r="A96" s="1858"/>
      <c r="B96" s="1858"/>
      <c r="G96" s="1858"/>
      <c r="I96" s="1866"/>
      <c r="P96" s="1881"/>
      <c r="Z96" s="1858">
        <v>72</v>
      </c>
    </row>
    <row r="97" spans="1:26" s="1857" customFormat="1" ht="13.35" customHeight="1">
      <c r="A97" s="1858"/>
      <c r="B97" s="1858" t="s">
        <v>1657</v>
      </c>
      <c r="C97" s="1857" t="s">
        <v>2635</v>
      </c>
      <c r="H97" s="1880">
        <f>'Part I-Project Information'!H73</f>
        <v>111</v>
      </c>
      <c r="K97" s="1906" t="s">
        <v>6776</v>
      </c>
      <c r="L97" s="1906"/>
      <c r="M97" s="1906"/>
      <c r="N97" s="1906"/>
      <c r="O97" s="1906"/>
      <c r="P97" s="1906"/>
      <c r="Z97" s="1858">
        <v>73</v>
      </c>
    </row>
    <row r="98" spans="1:26" s="1857" customFormat="1" ht="6" customHeight="1">
      <c r="A98" s="1858"/>
      <c r="B98" s="1858"/>
      <c r="C98" s="1866"/>
      <c r="G98" s="1858"/>
      <c r="I98" s="1866"/>
      <c r="J98" s="1866"/>
      <c r="K98" s="1906"/>
      <c r="L98" s="1906"/>
      <c r="M98" s="1906"/>
      <c r="N98" s="1906"/>
      <c r="O98" s="1906"/>
      <c r="P98" s="1906"/>
      <c r="Z98" s="1858">
        <v>74</v>
      </c>
    </row>
    <row r="99" spans="1:26" s="1857" customFormat="1" ht="13.35" customHeight="1">
      <c r="A99" s="1858" t="s">
        <v>505</v>
      </c>
      <c r="B99" s="1866" t="s">
        <v>1146</v>
      </c>
      <c r="D99" s="1866"/>
      <c r="E99" s="1866"/>
      <c r="G99" s="1858"/>
      <c r="K99" s="1906"/>
      <c r="L99" s="1906"/>
      <c r="M99" s="1906"/>
      <c r="N99" s="1906"/>
      <c r="O99" s="1906"/>
      <c r="P99" s="1906"/>
      <c r="Z99" s="1869">
        <v>75</v>
      </c>
    </row>
    <row r="100" spans="1:26" s="1857" customFormat="1" ht="3" customHeight="1">
      <c r="A100" s="1858"/>
      <c r="C100" s="1904"/>
      <c r="D100" s="1904"/>
      <c r="E100" s="1904"/>
      <c r="G100" s="1858"/>
      <c r="P100" s="1881"/>
      <c r="Z100" s="1858">
        <v>76</v>
      </c>
    </row>
    <row r="101" spans="1:26" s="1857" customFormat="1" ht="13.35" customHeight="1">
      <c r="A101" s="1858"/>
      <c r="B101" s="1858" t="s">
        <v>1892</v>
      </c>
      <c r="C101" s="1859" t="s">
        <v>7117</v>
      </c>
      <c r="D101" s="1904"/>
      <c r="E101" s="1907" t="s">
        <v>6602</v>
      </c>
      <c r="G101" s="1858"/>
      <c r="H101" s="1864" t="str">
        <f>'Part I-Project Information'!H77</f>
        <v>Family</v>
      </c>
      <c r="I101" s="1864"/>
      <c r="J101" s="1864"/>
      <c r="K101" s="1857" t="s">
        <v>1692</v>
      </c>
      <c r="M101" s="1864">
        <f>'Part I-Project Information'!M77</f>
        <v>0</v>
      </c>
      <c r="N101" s="1864"/>
      <c r="O101" s="1864"/>
      <c r="P101" s="1864"/>
      <c r="Z101" s="1858">
        <v>77</v>
      </c>
    </row>
    <row r="102" spans="1:26" s="1857" customFormat="1" ht="3" customHeight="1">
      <c r="A102" s="1858"/>
      <c r="B102" s="1858"/>
      <c r="D102" s="1904"/>
      <c r="E102" s="1904"/>
      <c r="F102" s="1904"/>
      <c r="G102" s="1904"/>
      <c r="I102" s="1858"/>
      <c r="K102" s="1859"/>
      <c r="L102" s="1859"/>
      <c r="M102" s="1858"/>
      <c r="P102" s="1881"/>
      <c r="Z102" s="1858">
        <v>78</v>
      </c>
    </row>
    <row r="103" spans="1:26" s="1857" customFormat="1" ht="12.75" customHeight="1">
      <c r="A103" s="1858"/>
      <c r="B103" s="1858"/>
      <c r="E103" s="1865" t="s">
        <v>6603</v>
      </c>
      <c r="K103" s="1908" t="s">
        <v>4024</v>
      </c>
      <c r="L103" s="1909" t="s">
        <v>2697</v>
      </c>
      <c r="M103" s="1880">
        <f>'Part I-Project Information'!M79</f>
        <v>72</v>
      </c>
      <c r="N103" s="1909" t="s">
        <v>2698</v>
      </c>
      <c r="O103" s="1880">
        <f>'Part I-Project Information'!O79</f>
        <v>0</v>
      </c>
      <c r="P103" s="1859" t="s">
        <v>4023</v>
      </c>
      <c r="Z103" s="1858">
        <v>79</v>
      </c>
    </row>
    <row r="104" spans="1:26" s="1857" customFormat="1">
      <c r="A104" s="1858"/>
      <c r="B104" s="1858"/>
      <c r="D104" s="1859"/>
      <c r="E104" s="1904"/>
      <c r="J104" s="1908"/>
      <c r="K104" s="1908"/>
      <c r="L104" s="1861" t="s">
        <v>2699</v>
      </c>
      <c r="M104" s="1880">
        <f>'Part I-Project Information'!M80</f>
        <v>0</v>
      </c>
      <c r="N104" s="1861" t="s">
        <v>3430</v>
      </c>
      <c r="O104" s="1880">
        <f>'Part I-Project Information'!O80</f>
        <v>0</v>
      </c>
      <c r="P104" s="1880">
        <f>'Part I-Project Information'!P80</f>
        <v>0</v>
      </c>
      <c r="Z104" s="1858">
        <v>80</v>
      </c>
    </row>
    <row r="105" spans="1:26" s="1857" customFormat="1" ht="9" customHeight="1">
      <c r="A105" s="1858"/>
      <c r="B105" s="1858"/>
      <c r="D105" s="1904"/>
      <c r="E105" s="1904"/>
      <c r="F105" s="1904"/>
      <c r="G105" s="1904"/>
      <c r="I105" s="1858"/>
      <c r="K105" s="1859"/>
      <c r="L105" s="1859"/>
      <c r="M105" s="1858"/>
      <c r="P105" s="1881"/>
      <c r="Z105" s="1858">
        <v>81</v>
      </c>
    </row>
    <row r="106" spans="1:26" s="1857" customFormat="1" ht="13.35" customHeight="1">
      <c r="A106" s="1858"/>
      <c r="B106" s="1858"/>
      <c r="C106" s="1859" t="s">
        <v>7118</v>
      </c>
      <c r="D106" s="1904"/>
      <c r="E106" s="1907" t="s">
        <v>6605</v>
      </c>
      <c r="G106" s="1858"/>
      <c r="H106" s="1864" t="str">
        <f>'Part I-Project Information'!H82</f>
        <v>&lt;&lt; Select CURRENT Tenancy &gt;&gt;</v>
      </c>
      <c r="I106" s="1864"/>
      <c r="J106" s="1864"/>
      <c r="K106" s="1857" t="s">
        <v>1692</v>
      </c>
      <c r="M106" s="1864">
        <f>'Part I-Project Information'!M82</f>
        <v>0</v>
      </c>
      <c r="N106" s="1864"/>
      <c r="O106" s="1864"/>
      <c r="P106" s="1864"/>
      <c r="Z106" s="1858">
        <v>82</v>
      </c>
    </row>
    <row r="107" spans="1:26" s="1857" customFormat="1" ht="3" customHeight="1">
      <c r="A107" s="1858"/>
      <c r="B107" s="1858"/>
      <c r="D107" s="1904"/>
      <c r="E107" s="1904"/>
      <c r="F107" s="1904"/>
      <c r="G107" s="1904"/>
      <c r="I107" s="1858"/>
      <c r="K107" s="1859"/>
      <c r="L107" s="1859"/>
      <c r="M107" s="1858"/>
      <c r="P107" s="1881"/>
      <c r="Z107" s="1858">
        <v>83</v>
      </c>
    </row>
    <row r="108" spans="1:26" s="1857" customFormat="1" ht="12.75" customHeight="1">
      <c r="A108" s="1858"/>
      <c r="B108" s="1858"/>
      <c r="E108" s="1904"/>
      <c r="K108" s="1908" t="s">
        <v>4024</v>
      </c>
      <c r="L108" s="1909" t="s">
        <v>2697</v>
      </c>
      <c r="M108" s="1880">
        <f>'Part I-Project Information'!M84</f>
        <v>0</v>
      </c>
      <c r="N108" s="1909" t="s">
        <v>2698</v>
      </c>
      <c r="O108" s="1880">
        <f>'Part I-Project Information'!O84</f>
        <v>0</v>
      </c>
      <c r="P108" s="1859" t="s">
        <v>4023</v>
      </c>
      <c r="Z108" s="1869">
        <v>84</v>
      </c>
    </row>
    <row r="109" spans="1:26" s="1857" customFormat="1">
      <c r="A109" s="1858"/>
      <c r="B109" s="1858"/>
      <c r="D109" s="1859"/>
      <c r="E109" s="1904"/>
      <c r="J109" s="1908"/>
      <c r="K109" s="1908"/>
      <c r="L109" s="1861" t="s">
        <v>2699</v>
      </c>
      <c r="M109" s="1880">
        <f>'Part I-Project Information'!M85</f>
        <v>0</v>
      </c>
      <c r="N109" s="1861" t="s">
        <v>3430</v>
      </c>
      <c r="O109" s="1880">
        <f>'Part I-Project Information'!O85</f>
        <v>0</v>
      </c>
      <c r="P109" s="1880">
        <f>'Part I-Project Information'!P85</f>
        <v>0</v>
      </c>
      <c r="Z109" s="1869">
        <v>85</v>
      </c>
    </row>
    <row r="110" spans="1:26" s="1857" customFormat="1" ht="9" customHeight="1">
      <c r="A110" s="1858"/>
      <c r="B110" s="1858"/>
      <c r="D110" s="1904"/>
      <c r="E110" s="1904"/>
      <c r="F110" s="1904"/>
      <c r="G110" s="1904"/>
      <c r="I110" s="1858"/>
      <c r="K110" s="1859"/>
      <c r="L110" s="1859"/>
      <c r="M110" s="1858"/>
      <c r="P110" s="1881"/>
      <c r="Z110" s="1858">
        <v>86</v>
      </c>
    </row>
    <row r="111" spans="1:26" s="1857" customFormat="1">
      <c r="A111" s="1858"/>
      <c r="B111" s="1858" t="s">
        <v>1894</v>
      </c>
      <c r="C111" s="1857" t="s">
        <v>1361</v>
      </c>
      <c r="E111" s="1866"/>
      <c r="F111" s="1904" t="s">
        <v>764</v>
      </c>
      <c r="H111" s="1898">
        <f>'Part I-Project Information'!H87</f>
        <v>4</v>
      </c>
      <c r="K111" s="1857" t="s">
        <v>495</v>
      </c>
      <c r="N111" s="1910">
        <f>'Part I-Project Information'!N87</f>
        <v>5.5555555555555552E-2</v>
      </c>
      <c r="O111" s="1861" t="s">
        <v>3329</v>
      </c>
      <c r="P111" s="1911">
        <f>'DCA Underwriting Assumptions'!$Q$155</f>
        <v>0.05</v>
      </c>
      <c r="Z111" s="1858">
        <v>87</v>
      </c>
    </row>
    <row r="112" spans="1:26" s="1857" customFormat="1">
      <c r="A112" s="1858"/>
      <c r="B112" s="1858"/>
      <c r="D112" s="1904" t="s">
        <v>2633</v>
      </c>
      <c r="E112" s="1904"/>
      <c r="F112" s="1904" t="s">
        <v>764</v>
      </c>
      <c r="H112" s="1898">
        <f>'Part I-Project Information'!H88</f>
        <v>2</v>
      </c>
      <c r="K112" s="1857" t="s">
        <v>2634</v>
      </c>
      <c r="N112" s="1910">
        <f>'Part I-Project Information'!N88</f>
        <v>0.5</v>
      </c>
      <c r="O112" s="1861" t="s">
        <v>3329</v>
      </c>
      <c r="P112" s="1911">
        <f>'DCA Underwriting Assumptions'!$Q$156</f>
        <v>0.4</v>
      </c>
      <c r="Z112" s="1858">
        <v>88</v>
      </c>
    </row>
    <row r="113" spans="1:26" s="1857" customFormat="1" ht="9" customHeight="1">
      <c r="A113" s="1858"/>
      <c r="B113" s="1858"/>
      <c r="D113" s="1904"/>
      <c r="E113" s="1904"/>
      <c r="F113" s="1904"/>
      <c r="I113" s="1858"/>
      <c r="K113" s="1859"/>
      <c r="L113" s="1859"/>
      <c r="M113" s="1858"/>
      <c r="N113" s="1858"/>
      <c r="P113" s="1858"/>
      <c r="Z113" s="1858">
        <v>89</v>
      </c>
    </row>
    <row r="114" spans="1:26" s="1857" customFormat="1">
      <c r="A114" s="1858"/>
      <c r="B114" s="1858" t="s">
        <v>719</v>
      </c>
      <c r="C114" s="1857" t="s">
        <v>1758</v>
      </c>
      <c r="D114" s="1866"/>
      <c r="E114" s="1866"/>
      <c r="F114" s="1904" t="s">
        <v>764</v>
      </c>
      <c r="H114" s="1898">
        <f>'Part I-Project Information'!H90</f>
        <v>2</v>
      </c>
      <c r="K114" s="1857" t="s">
        <v>495</v>
      </c>
      <c r="N114" s="1910">
        <f>'Part I-Project Information'!N90</f>
        <v>2.7777777777777776E-2</v>
      </c>
      <c r="O114" s="1861" t="s">
        <v>3329</v>
      </c>
      <c r="P114" s="1911">
        <f>'DCA Underwriting Assumptions'!$Q$157</f>
        <v>0.02</v>
      </c>
      <c r="Z114" s="1858">
        <v>90</v>
      </c>
    </row>
    <row r="115" spans="1:26" s="1857" customFormat="1">
      <c r="A115" s="1858"/>
      <c r="B115" s="1858"/>
      <c r="D115" s="1904"/>
      <c r="E115" s="1904"/>
      <c r="F115" s="1904"/>
      <c r="G115" s="1904"/>
      <c r="I115" s="1858"/>
      <c r="J115" s="1858"/>
      <c r="K115" s="1858"/>
      <c r="L115" s="1858"/>
      <c r="M115" s="1858"/>
      <c r="P115" s="1881"/>
      <c r="Z115" s="1858">
        <v>91</v>
      </c>
    </row>
    <row r="116" spans="1:26" s="1857" customFormat="1" ht="13.35" customHeight="1">
      <c r="A116" s="1866" t="s">
        <v>742</v>
      </c>
      <c r="B116" s="1904" t="s">
        <v>3989</v>
      </c>
      <c r="D116" s="1904"/>
      <c r="E116" s="1904"/>
      <c r="F116" s="1904"/>
      <c r="G116" s="1904"/>
      <c r="H116" s="1904"/>
      <c r="I116" s="1858"/>
      <c r="M116" s="1858"/>
      <c r="P116" s="1881"/>
      <c r="Z116" s="1858">
        <v>92</v>
      </c>
    </row>
    <row r="117" spans="1:26" s="1857" customFormat="1" ht="1.5" customHeight="1">
      <c r="A117" s="1858"/>
      <c r="B117" s="1858"/>
      <c r="C117" s="1904"/>
      <c r="D117" s="1904"/>
      <c r="E117" s="1904"/>
      <c r="F117" s="1904"/>
      <c r="L117" s="1858"/>
      <c r="M117" s="1858"/>
      <c r="Z117" s="1858">
        <v>93</v>
      </c>
    </row>
    <row r="118" spans="1:26" s="1857" customFormat="1" ht="13.35" customHeight="1">
      <c r="A118" s="1858"/>
      <c r="B118" s="1858" t="s">
        <v>1892</v>
      </c>
      <c r="C118" s="1859" t="s">
        <v>2270</v>
      </c>
      <c r="D118" s="1904"/>
      <c r="F118" s="1859"/>
      <c r="K118" s="1864" t="str">
        <f>'Part I-Project Information'!K94</f>
        <v>40% of Units at 60% of AMI</v>
      </c>
      <c r="L118" s="1864"/>
      <c r="M118" s="1864"/>
      <c r="Z118" s="1869">
        <v>94</v>
      </c>
    </row>
    <row r="119" spans="1:26" s="1857" customFormat="1" ht="1.5" customHeight="1">
      <c r="A119" s="1858"/>
      <c r="B119" s="1858"/>
      <c r="D119" s="1904"/>
      <c r="F119" s="1904"/>
      <c r="G119" s="1904"/>
      <c r="H119" s="1902" t="s">
        <v>4096</v>
      </c>
      <c r="L119" s="1858"/>
      <c r="M119" s="1858"/>
      <c r="Z119" s="1858">
        <v>95</v>
      </c>
    </row>
    <row r="120" spans="1:26" s="1857" customFormat="1" ht="13.35" customHeight="1">
      <c r="B120" s="1858" t="s">
        <v>1894</v>
      </c>
      <c r="C120" s="1857" t="s">
        <v>1473</v>
      </c>
      <c r="K120" s="1859" t="s">
        <v>4010</v>
      </c>
      <c r="N120" s="1912"/>
      <c r="P120" s="1880" t="str">
        <f>'Part I-Project Information'!P96</f>
        <v>N/a</v>
      </c>
      <c r="Z120" s="1858">
        <v>96</v>
      </c>
    </row>
    <row r="121" spans="1:26" s="1857" customFormat="1" ht="4.5" customHeight="1">
      <c r="A121" s="1858"/>
      <c r="B121" s="1858"/>
      <c r="D121" s="1904"/>
      <c r="E121" s="1904"/>
      <c r="F121" s="1904"/>
      <c r="G121" s="1904"/>
      <c r="I121" s="1858"/>
      <c r="J121" s="1858"/>
      <c r="K121" s="1858"/>
      <c r="L121" s="1858"/>
      <c r="M121" s="1858"/>
      <c r="P121" s="1881"/>
      <c r="Z121" s="1858">
        <v>97</v>
      </c>
    </row>
    <row r="122" spans="1:26" s="1857" customFormat="1" ht="13.35" customHeight="1">
      <c r="A122" s="1866" t="s">
        <v>281</v>
      </c>
      <c r="B122" s="1904" t="s">
        <v>1948</v>
      </c>
      <c r="D122" s="1904"/>
      <c r="Z122" s="1858">
        <v>98</v>
      </c>
    </row>
    <row r="123" spans="1:26" s="1857" customFormat="1" ht="1.5" customHeight="1">
      <c r="A123" s="1858"/>
      <c r="B123" s="1858"/>
      <c r="D123" s="1904"/>
      <c r="P123" s="1881"/>
      <c r="Z123" s="1858">
        <v>99</v>
      </c>
    </row>
    <row r="124" spans="1:26" s="1857" customFormat="1" ht="13.35" customHeight="1">
      <c r="A124" s="1866"/>
      <c r="B124" s="1858" t="s">
        <v>1892</v>
      </c>
      <c r="C124" s="1857" t="s">
        <v>2555</v>
      </c>
      <c r="F124" s="1866" t="s">
        <v>2479</v>
      </c>
      <c r="H124" s="1880" t="str">
        <f>'Part I-Project Information'!H100</f>
        <v>No</v>
      </c>
      <c r="K124" s="1859" t="s">
        <v>932</v>
      </c>
      <c r="M124" s="1880" t="str">
        <f>'Part I-Project Information'!M100</f>
        <v>No</v>
      </c>
      <c r="O124" s="1861" t="s">
        <v>3929</v>
      </c>
      <c r="P124" s="1880" t="str">
        <f>'Part I-Project Information'!P100</f>
        <v>No</v>
      </c>
      <c r="Z124" s="1858">
        <v>100</v>
      </c>
    </row>
    <row r="125" spans="1:26" s="1857" customFormat="1" ht="13.35" customHeight="1">
      <c r="A125" s="1866"/>
      <c r="B125" s="1858"/>
      <c r="F125" s="1904" t="s">
        <v>3445</v>
      </c>
      <c r="H125" s="1880" t="str">
        <f>'Part I-Project Information'!H101</f>
        <v>No</v>
      </c>
      <c r="K125" s="1859" t="s">
        <v>6314</v>
      </c>
      <c r="P125" s="1880" t="str">
        <f>'Part I-Project Information'!P101</f>
        <v>No</v>
      </c>
      <c r="Z125" s="1858">
        <v>101</v>
      </c>
    </row>
    <row r="126" spans="1:26" s="1857" customFormat="1" ht="2.25" customHeight="1">
      <c r="A126" s="1858"/>
      <c r="B126" s="1858"/>
      <c r="C126" s="1904"/>
      <c r="F126" s="1904"/>
      <c r="H126" s="1904"/>
      <c r="J126" s="1858"/>
      <c r="K126" s="1858"/>
      <c r="L126" s="1858"/>
      <c r="M126" s="1858"/>
      <c r="N126" s="1858"/>
      <c r="P126" s="1881"/>
      <c r="Z126" s="1858">
        <v>102</v>
      </c>
    </row>
    <row r="127" spans="1:26" s="1857" customFormat="1" ht="13.35" customHeight="1">
      <c r="A127" s="1866"/>
      <c r="B127" s="1858" t="s">
        <v>1894</v>
      </c>
      <c r="C127" s="1857" t="s">
        <v>2556</v>
      </c>
      <c r="F127" s="1859" t="s">
        <v>2532</v>
      </c>
      <c r="H127" s="1880" t="str">
        <f>'Part I-Project Information'!H103</f>
        <v>No</v>
      </c>
      <c r="J127" s="1858"/>
      <c r="K127" s="1913"/>
      <c r="L127" s="1858"/>
      <c r="Z127" s="1869">
        <v>103</v>
      </c>
    </row>
    <row r="128" spans="1:26" s="1857" customFormat="1" ht="4.5" customHeight="1">
      <c r="A128" s="1858"/>
      <c r="B128" s="1858"/>
      <c r="D128" s="1904"/>
      <c r="E128" s="1904"/>
      <c r="F128" s="1904"/>
      <c r="G128" s="1904"/>
      <c r="I128" s="1858"/>
      <c r="J128" s="1858"/>
      <c r="K128" s="1858"/>
      <c r="L128" s="1858"/>
      <c r="M128" s="1858"/>
      <c r="P128" s="1881"/>
      <c r="Z128" s="1858">
        <v>104</v>
      </c>
    </row>
    <row r="129" spans="1:26" s="1857" customFormat="1" ht="13.35" customHeight="1">
      <c r="A129" s="1866" t="s">
        <v>407</v>
      </c>
      <c r="B129" s="1904" t="s">
        <v>6313</v>
      </c>
      <c r="D129" s="1904"/>
      <c r="H129" s="1864" t="str">
        <f>'Part I-Project Information'!H105</f>
        <v>Rural</v>
      </c>
      <c r="I129" s="1864"/>
      <c r="J129" s="1858"/>
      <c r="Z129" s="1858">
        <v>105</v>
      </c>
    </row>
    <row r="130" spans="1:26" s="1857" customFormat="1" ht="4.5" customHeight="1">
      <c r="A130" s="1858"/>
      <c r="D130" s="1884"/>
      <c r="I130" s="1884"/>
      <c r="J130" s="1866"/>
      <c r="P130" s="1881"/>
      <c r="Z130" s="1858">
        <v>106</v>
      </c>
    </row>
    <row r="131" spans="1:26" s="1857" customFormat="1" ht="13.35" customHeight="1">
      <c r="A131" s="1866" t="s">
        <v>346</v>
      </c>
      <c r="B131" s="1866" t="s">
        <v>1144</v>
      </c>
      <c r="I131" s="1884"/>
      <c r="J131" s="1866"/>
      <c r="P131" s="1881"/>
      <c r="Z131" s="1858">
        <v>107</v>
      </c>
    </row>
    <row r="132" spans="1:26" s="1857" customFormat="1" ht="3" customHeight="1">
      <c r="A132" s="1866"/>
      <c r="B132" s="1858"/>
      <c r="C132" s="1866"/>
      <c r="I132" s="1884"/>
      <c r="J132" s="1866"/>
      <c r="Z132" s="1858">
        <v>108</v>
      </c>
    </row>
    <row r="133" spans="1:26" s="1857" customFormat="1" ht="13.35" customHeight="1">
      <c r="A133" s="1858"/>
      <c r="B133" s="1858"/>
      <c r="C133" s="1866" t="s">
        <v>525</v>
      </c>
      <c r="E133" s="1864">
        <f>'Part I-Project Information'!E109</f>
        <v>0</v>
      </c>
      <c r="F133" s="1864"/>
      <c r="G133" s="1864"/>
      <c r="H133" s="1864"/>
      <c r="I133" s="1864"/>
      <c r="J133" s="1864"/>
      <c r="K133" s="1864"/>
      <c r="L133" s="1864"/>
      <c r="M133" s="1866" t="s">
        <v>526</v>
      </c>
      <c r="N133" s="1866"/>
      <c r="O133" s="1914">
        <f>'Part I-Project Information'!O109</f>
        <v>0</v>
      </c>
      <c r="P133" s="1914"/>
      <c r="Z133" s="1858">
        <v>109</v>
      </c>
    </row>
    <row r="134" spans="1:26" s="1857" customFormat="1" ht="13.35" customHeight="1">
      <c r="C134" s="1859" t="s">
        <v>982</v>
      </c>
      <c r="D134" s="1861"/>
      <c r="E134" s="1864">
        <f>'Part I-Project Information'!E110</f>
        <v>0</v>
      </c>
      <c r="F134" s="1864"/>
      <c r="G134" s="1864"/>
      <c r="H134" s="1864"/>
      <c r="I134" s="1864"/>
      <c r="J134" s="1864"/>
      <c r="K134" s="1864"/>
      <c r="L134" s="1864"/>
      <c r="M134" s="1866" t="s">
        <v>775</v>
      </c>
      <c r="N134" s="1866"/>
      <c r="O134" s="1873">
        <f>'Part I-Project Information'!O110</f>
        <v>0</v>
      </c>
      <c r="P134" s="1873"/>
      <c r="Z134" s="1858">
        <v>110</v>
      </c>
    </row>
    <row r="135" spans="1:26" s="1857" customFormat="1" ht="13.35" customHeight="1">
      <c r="C135" s="1859" t="s">
        <v>588</v>
      </c>
      <c r="E135" s="1864">
        <f>'Part I-Project Information'!E111</f>
        <v>0</v>
      </c>
      <c r="F135" s="1915"/>
      <c r="G135" s="1915"/>
      <c r="H135" s="1858" t="s">
        <v>1717</v>
      </c>
      <c r="I135" s="1889">
        <f>'Part I-Project Information'!I111</f>
        <v>0</v>
      </c>
      <c r="J135" s="1858" t="s">
        <v>2127</v>
      </c>
      <c r="K135" s="1878">
        <f>'Part I-Project Information'!K111</f>
        <v>0</v>
      </c>
      <c r="L135" s="1915"/>
      <c r="M135" s="1866" t="s">
        <v>3305</v>
      </c>
      <c r="N135" s="1866"/>
      <c r="O135" s="1916">
        <f>-'Part I-Project Information'!O111</f>
        <v>0</v>
      </c>
      <c r="P135" s="1916"/>
      <c r="Z135" s="1858">
        <v>111</v>
      </c>
    </row>
    <row r="136" spans="1:26" s="1857" customFormat="1" ht="13.35" customHeight="1">
      <c r="C136" s="1857" t="s">
        <v>2098</v>
      </c>
      <c r="E136" s="1864">
        <f>'Part I-Project Information'!E112</f>
        <v>0</v>
      </c>
      <c r="F136" s="1915"/>
      <c r="G136" s="1915"/>
      <c r="H136" s="1858" t="s">
        <v>1889</v>
      </c>
      <c r="I136" s="1864">
        <f>'Part I-Project Information'!I112</f>
        <v>0</v>
      </c>
      <c r="J136" s="1915"/>
      <c r="K136" s="1915"/>
      <c r="L136" s="1858" t="s">
        <v>1893</v>
      </c>
      <c r="M136" s="1864">
        <f>'Part I-Project Information'!M112</f>
        <v>0</v>
      </c>
      <c r="N136" s="1915"/>
      <c r="O136" s="1915"/>
      <c r="P136" s="1915"/>
      <c r="Z136" s="1869">
        <v>112</v>
      </c>
    </row>
    <row r="137" spans="1:26" s="1857" customFormat="1" ht="13.35" customHeight="1">
      <c r="C137" s="1859" t="s">
        <v>2097</v>
      </c>
      <c r="E137" s="1879">
        <f>'Part I-Project Information'!E113</f>
        <v>0</v>
      </c>
      <c r="F137" s="1879"/>
      <c r="G137" s="1879"/>
      <c r="H137" s="1858" t="s">
        <v>1719</v>
      </c>
      <c r="I137" s="1879">
        <f>'Part I-Project Information'!I113</f>
        <v>0</v>
      </c>
      <c r="J137" s="1915"/>
      <c r="K137" s="1858" t="s">
        <v>2552</v>
      </c>
      <c r="L137" s="1873">
        <f>'Part I-Project Information'!L113</f>
        <v>0</v>
      </c>
      <c r="M137" s="1873"/>
      <c r="N137" s="1873"/>
      <c r="O137" s="1873"/>
      <c r="P137" s="1873"/>
      <c r="Z137" s="1869">
        <v>113</v>
      </c>
    </row>
    <row r="138" spans="1:26" s="1857" customFormat="1" ht="3" customHeight="1">
      <c r="A138" s="1858"/>
      <c r="B138" s="1858"/>
      <c r="G138" s="1884"/>
      <c r="H138" s="1858"/>
      <c r="I138" s="1858"/>
      <c r="M138" s="1881"/>
      <c r="Z138" s="1858">
        <v>114</v>
      </c>
    </row>
    <row r="139" spans="1:26" s="1857" customFormat="1" ht="13.35" customHeight="1">
      <c r="A139" s="1866" t="s">
        <v>347</v>
      </c>
      <c r="B139" s="1904" t="s">
        <v>1596</v>
      </c>
      <c r="D139" s="1884"/>
      <c r="E139" s="1884"/>
      <c r="F139" s="1858"/>
      <c r="G139" s="1858"/>
      <c r="H139" s="1858"/>
      <c r="P139" s="1881"/>
      <c r="Z139" s="1858">
        <v>115</v>
      </c>
    </row>
    <row r="140" spans="1:26" s="1857" customFormat="1" ht="1.5" customHeight="1">
      <c r="A140" s="1866"/>
      <c r="B140" s="1904"/>
      <c r="D140" s="1884"/>
      <c r="E140" s="1884"/>
      <c r="F140" s="1858"/>
      <c r="G140" s="1858"/>
      <c r="H140" s="1858"/>
      <c r="I140" s="1858"/>
      <c r="J140" s="1884"/>
      <c r="K140" s="1858"/>
      <c r="L140" s="1858"/>
      <c r="P140" s="1881"/>
      <c r="Z140" s="1858">
        <v>116</v>
      </c>
    </row>
    <row r="141" spans="1:26" s="1857" customFormat="1" ht="13.35" customHeight="1">
      <c r="B141" s="1866" t="s">
        <v>2058</v>
      </c>
      <c r="D141" s="1866"/>
      <c r="E141" s="1866"/>
      <c r="F141" s="1866"/>
      <c r="G141" s="1866"/>
      <c r="H141" s="1866"/>
      <c r="I141" s="1866"/>
      <c r="J141" s="1866"/>
      <c r="K141" s="1866"/>
      <c r="L141" s="1866"/>
      <c r="M141" s="1866"/>
      <c r="N141" s="1866"/>
      <c r="O141" s="1866"/>
      <c r="P141" s="1866"/>
      <c r="Z141" s="1858">
        <v>117</v>
      </c>
    </row>
    <row r="142" spans="1:26" s="1857" customFormat="1" ht="1.5" customHeight="1">
      <c r="A142" s="1858"/>
      <c r="B142" s="1858"/>
      <c r="C142" s="1904"/>
      <c r="D142" s="1904"/>
      <c r="E142" s="1904"/>
      <c r="F142" s="1904"/>
      <c r="G142" s="1904"/>
      <c r="H142" s="1904"/>
      <c r="I142" s="1904"/>
      <c r="J142" s="1904"/>
      <c r="K142" s="1904"/>
      <c r="L142" s="1904"/>
      <c r="M142" s="1904"/>
      <c r="N142" s="1904"/>
      <c r="O142" s="1904"/>
      <c r="P142" s="1904"/>
      <c r="Z142" s="1858">
        <v>118</v>
      </c>
    </row>
    <row r="143" spans="1:26" s="1857" customFormat="1" ht="13.35" customHeight="1">
      <c r="A143" s="1858"/>
      <c r="B143" s="1858" t="s">
        <v>1892</v>
      </c>
      <c r="C143" s="1904" t="s">
        <v>1362</v>
      </c>
      <c r="D143" s="1904"/>
      <c r="E143" s="1904"/>
      <c r="F143" s="1858"/>
      <c r="G143" s="1858"/>
      <c r="H143" s="1880">
        <f>'Part I-Project Information'!H119</f>
        <v>3</v>
      </c>
      <c r="Z143" s="1858">
        <v>119</v>
      </c>
    </row>
    <row r="144" spans="1:26" s="1857" customFormat="1" ht="1.5" customHeight="1">
      <c r="A144" s="1858"/>
      <c r="B144" s="1858"/>
      <c r="C144" s="1904"/>
      <c r="D144" s="1904"/>
      <c r="E144" s="1904"/>
      <c r="F144" s="1904"/>
      <c r="G144" s="1904"/>
      <c r="H144" s="1904"/>
      <c r="J144" s="1904"/>
      <c r="M144" s="1904"/>
      <c r="N144" s="1904"/>
      <c r="O144" s="1904"/>
      <c r="Z144" s="1858">
        <v>120</v>
      </c>
    </row>
    <row r="145" spans="1:26" s="1857" customFormat="1" ht="13.35" customHeight="1">
      <c r="A145" s="1858"/>
      <c r="B145" s="1858" t="s">
        <v>1894</v>
      </c>
      <c r="C145" s="1904" t="s">
        <v>397</v>
      </c>
      <c r="D145" s="1904"/>
      <c r="E145" s="1904"/>
      <c r="F145" s="1858"/>
      <c r="G145" s="1858"/>
      <c r="H145" s="1880">
        <f>'Part I-Project Information'!H121</f>
        <v>2748500</v>
      </c>
      <c r="J145" s="1884"/>
      <c r="K145" s="1859"/>
      <c r="Z145" s="1858">
        <v>121</v>
      </c>
    </row>
    <row r="146" spans="1:26" s="1857" customFormat="1" ht="1.5" customHeight="1">
      <c r="A146" s="1858"/>
      <c r="B146" s="1858"/>
      <c r="C146" s="1904"/>
      <c r="D146" s="1904"/>
      <c r="E146" s="1904"/>
      <c r="F146" s="1904"/>
      <c r="G146" s="1904"/>
      <c r="H146" s="1904"/>
      <c r="I146" s="1904"/>
      <c r="J146" s="1904"/>
      <c r="K146" s="1904"/>
      <c r="M146" s="1904"/>
      <c r="N146" s="1904"/>
      <c r="O146" s="1904"/>
      <c r="P146" s="1904"/>
      <c r="Z146" s="1869">
        <v>122</v>
      </c>
    </row>
    <row r="147" spans="1:26" s="1857" customFormat="1" ht="13.35" customHeight="1">
      <c r="B147" s="1858" t="s">
        <v>719</v>
      </c>
      <c r="C147" s="1904" t="s">
        <v>291</v>
      </c>
      <c r="D147" s="1904"/>
      <c r="E147" s="1904"/>
      <c r="F147" s="1858"/>
      <c r="G147" s="1858"/>
      <c r="H147" s="1858"/>
      <c r="I147" s="1858"/>
      <c r="J147" s="1884"/>
      <c r="K147" s="1858"/>
      <c r="L147" s="1858"/>
      <c r="Z147" s="1858">
        <v>123</v>
      </c>
    </row>
    <row r="148" spans="1:26" s="1857" customFormat="1" ht="13.35" customHeight="1">
      <c r="B148" s="1858"/>
      <c r="C148" s="1904" t="s">
        <v>2040</v>
      </c>
      <c r="D148" s="1904"/>
      <c r="F148" s="1904" t="s">
        <v>1093</v>
      </c>
      <c r="G148" s="1858"/>
      <c r="H148" s="1858"/>
      <c r="I148" s="1858" t="s">
        <v>1246</v>
      </c>
      <c r="J148" s="1904" t="s">
        <v>2040</v>
      </c>
      <c r="K148" s="1904"/>
      <c r="M148" s="1904" t="s">
        <v>1093</v>
      </c>
      <c r="N148" s="1858"/>
      <c r="O148" s="1858"/>
      <c r="P148" s="1858" t="s">
        <v>1246</v>
      </c>
      <c r="Z148" s="1858">
        <v>124</v>
      </c>
    </row>
    <row r="149" spans="1:26" s="1857" customFormat="1" ht="13.35" customHeight="1">
      <c r="A149" s="1858"/>
      <c r="B149" s="1858"/>
      <c r="C149" s="1870" t="str">
        <f>'Part I-Project Information'!C125</f>
        <v>Pennrose Holdings LLC</v>
      </c>
      <c r="D149" s="1870"/>
      <c r="E149" s="1870"/>
      <c r="F149" s="1870" t="str">
        <f>'Part I-Project Information'!F125</f>
        <v>West Point Village Ph II (this application)</v>
      </c>
      <c r="G149" s="1870"/>
      <c r="H149" s="1870"/>
      <c r="I149" s="1917" t="str">
        <f>'Part I-Project Information'!I125</f>
        <v>Direct</v>
      </c>
      <c r="J149" s="1870" t="str">
        <f>'Part I-Project Information'!J125</f>
        <v>Pennrose Holdings LLC</v>
      </c>
      <c r="K149" s="1870"/>
      <c r="L149" s="1870"/>
      <c r="M149" s="1870" t="str">
        <f>'Part I-Project Information'!M125</f>
        <v>Roswell Redevelopment Phase I</v>
      </c>
      <c r="N149" s="1870"/>
      <c r="O149" s="1870"/>
      <c r="P149" s="1917" t="str">
        <f>'Part I-Project Information'!P125</f>
        <v>Direct</v>
      </c>
      <c r="Z149" s="1858">
        <v>125</v>
      </c>
    </row>
    <row r="150" spans="1:26" s="1857" customFormat="1" ht="13.35" customHeight="1">
      <c r="A150" s="1858"/>
      <c r="B150" s="1858"/>
      <c r="C150" s="1870" t="str">
        <f>'Part I-Project Information'!C126</f>
        <v>Pennrose LLC</v>
      </c>
      <c r="D150" s="1870"/>
      <c r="E150" s="1870"/>
      <c r="F150" s="1870" t="str">
        <f>'Part I-Project Information'!F126</f>
        <v>West Point Village Ph II (this application)</v>
      </c>
      <c r="G150" s="1870"/>
      <c r="H150" s="1870"/>
      <c r="I150" s="1917" t="str">
        <f>'Part I-Project Information'!I126</f>
        <v>Direct</v>
      </c>
      <c r="J150" s="1870" t="str">
        <f>'Part I-Project Information'!J126</f>
        <v>Pennrose LLC</v>
      </c>
      <c r="K150" s="1870"/>
      <c r="L150" s="1870"/>
      <c r="M150" s="1870" t="str">
        <f>'Part I-Project Information'!M126</f>
        <v>Roswell Redevelopment Phase I</v>
      </c>
      <c r="N150" s="1870"/>
      <c r="O150" s="1870"/>
      <c r="P150" s="1917" t="str">
        <f>'Part I-Project Information'!P126</f>
        <v>Direct</v>
      </c>
      <c r="Z150" s="1858">
        <v>126</v>
      </c>
    </row>
    <row r="151" spans="1:26" s="1857" customFormat="1" ht="13.35" customHeight="1">
      <c r="A151" s="1858"/>
      <c r="B151" s="1858"/>
      <c r="C151" s="1870" t="str">
        <f>'Part I-Project Information'!C127</f>
        <v>Hunt PR Holdings LLC</v>
      </c>
      <c r="D151" s="1870"/>
      <c r="E151" s="1870"/>
      <c r="F151" s="1870" t="str">
        <f>'Part I-Project Information'!F127</f>
        <v>West Point Village Ph II (this application)</v>
      </c>
      <c r="G151" s="1870"/>
      <c r="H151" s="1870"/>
      <c r="I151" s="1917" t="str">
        <f>'Part I-Project Information'!I127</f>
        <v>Direct</v>
      </c>
      <c r="J151" s="1870" t="str">
        <f>'Part I-Project Information'!J127</f>
        <v>Hunt PR Holdings LLC</v>
      </c>
      <c r="K151" s="1870"/>
      <c r="L151" s="1870"/>
      <c r="M151" s="1870" t="str">
        <f>'Part I-Project Information'!M127</f>
        <v>Roswell Redevelopment Phase I</v>
      </c>
      <c r="N151" s="1870"/>
      <c r="O151" s="1870"/>
      <c r="P151" s="1917" t="str">
        <f>'Part I-Project Information'!P127</f>
        <v>Direct</v>
      </c>
      <c r="Z151" s="1858">
        <v>127</v>
      </c>
    </row>
    <row r="152" spans="1:26" s="1857" customFormat="1" ht="13.35" customHeight="1">
      <c r="A152" s="1858"/>
      <c r="B152" s="1858"/>
      <c r="C152" s="1870" t="str">
        <f>'Part I-Project Information'!C128</f>
        <v>Collaborative Housing Solutions</v>
      </c>
      <c r="D152" s="1870"/>
      <c r="E152" s="1870"/>
      <c r="F152" s="1870" t="str">
        <f>'Part I-Project Information'!F128</f>
        <v>West Point Village Ph II (this application)</v>
      </c>
      <c r="G152" s="1870"/>
      <c r="H152" s="1870"/>
      <c r="I152" s="1917" t="str">
        <f>'Part I-Project Information'!I128</f>
        <v>Direct</v>
      </c>
      <c r="J152" s="1870" t="str">
        <f>'Part I-Project Information'!J128</f>
        <v>Housing Authority of the City of Roswell</v>
      </c>
      <c r="K152" s="1870"/>
      <c r="L152" s="1870"/>
      <c r="M152" s="1870" t="str">
        <f>'Part I-Project Information'!M128</f>
        <v>Roswell Redevelopment Phase I</v>
      </c>
      <c r="N152" s="1870"/>
      <c r="O152" s="1870"/>
      <c r="P152" s="1917" t="str">
        <f>'Part I-Project Information'!P128</f>
        <v>Direct</v>
      </c>
      <c r="Z152" s="1858">
        <v>128</v>
      </c>
    </row>
    <row r="153" spans="1:26" s="1857" customFormat="1" ht="13.35" customHeight="1">
      <c r="A153" s="1858"/>
      <c r="B153" s="1858"/>
      <c r="C153" s="1870" t="str">
        <f>'Part I-Project Information'!C129</f>
        <v>Housing Authority of the City of West Point</v>
      </c>
      <c r="D153" s="1870"/>
      <c r="E153" s="1870"/>
      <c r="F153" s="1870" t="str">
        <f>'Part I-Project Information'!F129</f>
        <v>West Point Village Ph II (this application)</v>
      </c>
      <c r="G153" s="1870"/>
      <c r="H153" s="1870"/>
      <c r="I153" s="1917" t="str">
        <f>'Part I-Project Information'!I129</f>
        <v>Direct</v>
      </c>
      <c r="J153" s="1870" t="str">
        <f>'Part I-Project Information'!J129</f>
        <v>SCB  River Pointe II Phase II, LLC</v>
      </c>
      <c r="K153" s="1870"/>
      <c r="L153" s="1870"/>
      <c r="M153" s="1870" t="str">
        <f>'Part I-Project Information'!M129</f>
        <v>River Pointe II Phase II</v>
      </c>
      <c r="N153" s="1870"/>
      <c r="O153" s="1870"/>
      <c r="P153" s="1917" t="str">
        <f>'Part I-Project Information'!P129</f>
        <v>Direct</v>
      </c>
      <c r="Z153" s="1858">
        <v>129</v>
      </c>
    </row>
    <row r="154" spans="1:26" s="1857" customFormat="1" ht="13.35" customHeight="1">
      <c r="A154" s="1858"/>
      <c r="B154" s="1858"/>
      <c r="C154" s="1870" t="str">
        <f>'Part I-Project Information'!C130</f>
        <v>TWC Housing LLC/Hunt ELP, LTD</v>
      </c>
      <c r="D154" s="1870"/>
      <c r="E154" s="1870"/>
      <c r="F154" s="1870" t="str">
        <f>'Part I-Project Information'!F130</f>
        <v>River Pointe II Phase II</v>
      </c>
      <c r="G154" s="1870"/>
      <c r="H154" s="1870"/>
      <c r="I154" s="1917" t="str">
        <f>'Part I-Project Information'!I130</f>
        <v>Direct</v>
      </c>
      <c r="J154" s="1870" t="str">
        <f>'Part I-Project Information'!J130</f>
        <v>Savannah Community Builders, Inc.</v>
      </c>
      <c r="K154" s="1870"/>
      <c r="L154" s="1870"/>
      <c r="M154" s="1870" t="str">
        <f>'Part I-Project Information'!M130</f>
        <v>River Pointe II Phase II</v>
      </c>
      <c r="N154" s="1870"/>
      <c r="O154" s="1870"/>
      <c r="P154" s="1917" t="str">
        <f>'Part I-Project Information'!P130</f>
        <v>Direct</v>
      </c>
      <c r="Z154" s="1858">
        <v>130</v>
      </c>
    </row>
    <row r="155" spans="1:26" s="1857" customFormat="1" ht="1.5" customHeight="1">
      <c r="A155" s="1858"/>
      <c r="B155" s="1858"/>
      <c r="C155" s="1904"/>
      <c r="D155" s="1904"/>
      <c r="E155" s="1904"/>
      <c r="F155" s="1904"/>
      <c r="G155" s="1904"/>
      <c r="H155" s="1904"/>
      <c r="I155" s="1904"/>
      <c r="J155" s="1904"/>
      <c r="K155" s="1904"/>
      <c r="L155" s="1904"/>
      <c r="M155" s="1904"/>
      <c r="N155" s="1904"/>
      <c r="O155" s="1904"/>
      <c r="P155" s="1904"/>
      <c r="Z155" s="1869">
        <v>131</v>
      </c>
    </row>
    <row r="156" spans="1:26" s="1857" customFormat="1" ht="13.35" customHeight="1">
      <c r="A156" s="1858"/>
      <c r="B156" s="1858" t="s">
        <v>2020</v>
      </c>
      <c r="C156" s="1866" t="s">
        <v>1760</v>
      </c>
      <c r="D156" s="1866"/>
      <c r="E156" s="1866"/>
      <c r="F156" s="1866"/>
      <c r="G156" s="1866"/>
      <c r="H156" s="1866"/>
      <c r="I156" s="1866"/>
      <c r="J156" s="1866"/>
      <c r="K156" s="1866"/>
      <c r="L156" s="1866"/>
      <c r="M156" s="1866"/>
      <c r="N156" s="1866"/>
      <c r="O156" s="1866"/>
      <c r="P156" s="1866"/>
      <c r="Z156" s="1858">
        <v>132</v>
      </c>
    </row>
    <row r="157" spans="1:26" s="1857" customFormat="1" ht="13.35" customHeight="1">
      <c r="A157" s="1858"/>
      <c r="B157" s="1858"/>
      <c r="C157" s="1866"/>
      <c r="D157" s="1866"/>
      <c r="E157" s="1866"/>
      <c r="F157" s="1866"/>
      <c r="G157" s="1866"/>
      <c r="H157" s="1866"/>
      <c r="I157" s="1866"/>
      <c r="J157" s="1866"/>
      <c r="K157" s="1866"/>
      <c r="L157" s="1866"/>
      <c r="M157" s="1866"/>
      <c r="N157" s="1866"/>
      <c r="O157" s="1866"/>
      <c r="P157" s="1866"/>
      <c r="Z157" s="1858">
        <v>133</v>
      </c>
    </row>
    <row r="158" spans="1:26" s="1857" customFormat="1" ht="13.35" customHeight="1">
      <c r="B158" s="1858"/>
      <c r="C158" s="1904" t="s">
        <v>2040</v>
      </c>
      <c r="D158" s="1904"/>
      <c r="F158" s="1904" t="s">
        <v>1093</v>
      </c>
      <c r="G158" s="1858"/>
      <c r="H158" s="1858"/>
      <c r="I158" s="1858"/>
      <c r="J158" s="1904" t="s">
        <v>2040</v>
      </c>
      <c r="K158" s="1904"/>
      <c r="M158" s="1904" t="s">
        <v>1093</v>
      </c>
      <c r="N158" s="1858"/>
      <c r="O158" s="1858"/>
      <c r="P158" s="1858"/>
      <c r="Z158" s="1858">
        <v>134</v>
      </c>
    </row>
    <row r="159" spans="1:26" s="1857" customFormat="1" ht="13.35" customHeight="1">
      <c r="A159" s="1858"/>
      <c r="B159" s="1858"/>
      <c r="C159" s="1870" t="str">
        <f>'Part I-Project Information'!C135</f>
        <v>Pennrose Holdings LLC</v>
      </c>
      <c r="D159" s="1870"/>
      <c r="E159" s="1870"/>
      <c r="F159" s="1870" t="str">
        <f>'Part I-Project Information'!F135</f>
        <v>Roswell Redevelopment Phase I</v>
      </c>
      <c r="G159" s="1870"/>
      <c r="H159" s="1870"/>
      <c r="I159" s="1870"/>
      <c r="J159" s="1870">
        <f>'Part I-Project Information'!J135</f>
        <v>7</v>
      </c>
      <c r="K159" s="1870"/>
      <c r="L159" s="1870"/>
      <c r="M159" s="1870">
        <f>'Part I-Project Information'!M135</f>
        <v>0</v>
      </c>
      <c r="N159" s="1870"/>
      <c r="O159" s="1870"/>
      <c r="P159" s="1870"/>
      <c r="Z159" s="1858">
        <v>135</v>
      </c>
    </row>
    <row r="160" spans="1:26" s="1857" customFormat="1" ht="13.35" customHeight="1">
      <c r="A160" s="1858"/>
      <c r="B160" s="1858"/>
      <c r="C160" s="1870" t="str">
        <f>'Part I-Project Information'!C136</f>
        <v>Pennrose LLC</v>
      </c>
      <c r="D160" s="1870"/>
      <c r="E160" s="1870"/>
      <c r="F160" s="1870" t="str">
        <f>'Part I-Project Information'!F136</f>
        <v>Roswell Redevelopment Phase I</v>
      </c>
      <c r="G160" s="1870"/>
      <c r="H160" s="1870"/>
      <c r="I160" s="1870"/>
      <c r="J160" s="1870">
        <f>'Part I-Project Information'!J136</f>
        <v>8</v>
      </c>
      <c r="K160" s="1870"/>
      <c r="L160" s="1870"/>
      <c r="M160" s="1870">
        <f>'Part I-Project Information'!M136</f>
        <v>0</v>
      </c>
      <c r="N160" s="1870"/>
      <c r="O160" s="1870"/>
      <c r="P160" s="1870"/>
      <c r="Z160" s="1858">
        <v>136</v>
      </c>
    </row>
    <row r="161" spans="1:26" s="1857" customFormat="1" ht="13.35" customHeight="1">
      <c r="A161" s="1858"/>
      <c r="B161" s="1858"/>
      <c r="C161" s="1870" t="str">
        <f>'Part I-Project Information'!C137</f>
        <v>Hunt PR Holdings LLC</v>
      </c>
      <c r="D161" s="1870"/>
      <c r="E161" s="1870"/>
      <c r="F161" s="1870" t="str">
        <f>'Part I-Project Information'!F137</f>
        <v>Roswell Redevelopment Phase I</v>
      </c>
      <c r="G161" s="1870"/>
      <c r="H161" s="1870"/>
      <c r="I161" s="1870"/>
      <c r="J161" s="1870">
        <f>'Part I-Project Information'!J137</f>
        <v>9</v>
      </c>
      <c r="K161" s="1870"/>
      <c r="L161" s="1870"/>
      <c r="M161" s="1870">
        <f>'Part I-Project Information'!M137</f>
        <v>0</v>
      </c>
      <c r="N161" s="1870"/>
      <c r="O161" s="1870"/>
      <c r="P161" s="1870"/>
      <c r="Z161" s="1858">
        <v>137</v>
      </c>
    </row>
    <row r="162" spans="1:26" s="1857" customFormat="1" ht="13.35" customHeight="1">
      <c r="A162" s="1858"/>
      <c r="B162" s="1858"/>
      <c r="C162" s="1870" t="str">
        <f>'Part I-Project Information'!C138</f>
        <v>Housing Authority of the City of Roswell</v>
      </c>
      <c r="D162" s="1870"/>
      <c r="E162" s="1870"/>
      <c r="F162" s="1870" t="str">
        <f>'Part I-Project Information'!F138</f>
        <v>Roswell Redevelopment Phase I</v>
      </c>
      <c r="G162" s="1870"/>
      <c r="H162" s="1870"/>
      <c r="I162" s="1870"/>
      <c r="J162" s="1870">
        <f>'Part I-Project Information'!J138</f>
        <v>10</v>
      </c>
      <c r="K162" s="1870"/>
      <c r="L162" s="1870"/>
      <c r="M162" s="1870">
        <f>'Part I-Project Information'!M138</f>
        <v>0</v>
      </c>
      <c r="N162" s="1870"/>
      <c r="O162" s="1870"/>
      <c r="P162" s="1870"/>
      <c r="Z162" s="1858">
        <v>138</v>
      </c>
    </row>
    <row r="163" spans="1:26" s="1857" customFormat="1" ht="13.35" customHeight="1">
      <c r="A163" s="1858"/>
      <c r="B163" s="1858"/>
      <c r="C163" s="1870">
        <f>'Part I-Project Information'!C139</f>
        <v>5</v>
      </c>
      <c r="D163" s="1870"/>
      <c r="E163" s="1870"/>
      <c r="F163" s="1870">
        <f>'Part I-Project Information'!F139</f>
        <v>0</v>
      </c>
      <c r="G163" s="1870"/>
      <c r="H163" s="1870"/>
      <c r="I163" s="1870"/>
      <c r="J163" s="1870">
        <f>'Part I-Project Information'!J139</f>
        <v>11</v>
      </c>
      <c r="K163" s="1870"/>
      <c r="L163" s="1870"/>
      <c r="M163" s="1870">
        <f>'Part I-Project Information'!M139</f>
        <v>0</v>
      </c>
      <c r="N163" s="1870"/>
      <c r="O163" s="1870"/>
      <c r="P163" s="1870"/>
      <c r="Z163" s="1858">
        <v>139</v>
      </c>
    </row>
    <row r="164" spans="1:26" s="1857" customFormat="1" ht="13.35" customHeight="1">
      <c r="A164" s="1858"/>
      <c r="B164" s="1858"/>
      <c r="C164" s="1870">
        <f>'Part I-Project Information'!C140</f>
        <v>6</v>
      </c>
      <c r="D164" s="1870"/>
      <c r="E164" s="1870"/>
      <c r="F164" s="1870">
        <f>'Part I-Project Information'!F140</f>
        <v>0</v>
      </c>
      <c r="G164" s="1870"/>
      <c r="H164" s="1870"/>
      <c r="I164" s="1870"/>
      <c r="J164" s="1870">
        <f>'Part I-Project Information'!J140</f>
        <v>12</v>
      </c>
      <c r="K164" s="1870"/>
      <c r="L164" s="1870"/>
      <c r="M164" s="1870">
        <f>'Part I-Project Information'!M140</f>
        <v>0</v>
      </c>
      <c r="N164" s="1870"/>
      <c r="O164" s="1870"/>
      <c r="P164" s="1870"/>
      <c r="Z164" s="1869">
        <v>140</v>
      </c>
    </row>
    <row r="165" spans="1:26" s="1857" customFormat="1" ht="3" customHeight="1">
      <c r="A165" s="1858"/>
      <c r="B165" s="1858"/>
      <c r="C165" s="1904"/>
      <c r="D165" s="1904"/>
      <c r="E165" s="1904"/>
      <c r="F165" s="1858"/>
      <c r="G165" s="1858"/>
      <c r="H165" s="1858"/>
      <c r="I165" s="1858"/>
      <c r="J165" s="1884"/>
      <c r="K165" s="1858"/>
      <c r="L165" s="1858"/>
      <c r="P165" s="1881"/>
      <c r="Z165" s="1869">
        <v>141</v>
      </c>
    </row>
    <row r="166" spans="1:26" s="1857" customFormat="1" ht="14.45" customHeight="1">
      <c r="A166" s="1857" t="s">
        <v>348</v>
      </c>
      <c r="B166" s="1857" t="s">
        <v>7053</v>
      </c>
      <c r="I166" s="1880" t="str">
        <f>'Part I-Project Information'!I142</f>
        <v>No</v>
      </c>
      <c r="K166" s="1857" t="s">
        <v>6479</v>
      </c>
      <c r="M166" s="1858"/>
      <c r="P166" s="1881"/>
      <c r="Z166" s="1858">
        <v>142</v>
      </c>
    </row>
    <row r="167" spans="1:26" s="1857" customFormat="1" ht="6" customHeight="1">
      <c r="A167" s="1866"/>
      <c r="B167" s="1858"/>
      <c r="C167" s="1904"/>
      <c r="D167" s="1904"/>
      <c r="E167" s="1904"/>
      <c r="F167" s="1904"/>
      <c r="G167" s="1858"/>
      <c r="I167" s="1857" t="str">
        <f>'Part I-Project Information'!I142</f>
        <v>No</v>
      </c>
      <c r="M167" s="1858"/>
      <c r="Z167" s="1858">
        <v>143</v>
      </c>
    </row>
    <row r="168" spans="1:26" s="1857" customFormat="1" ht="12" customHeight="1">
      <c r="A168" s="1858"/>
      <c r="B168" s="1858" t="s">
        <v>1892</v>
      </c>
      <c r="C168" s="1859" t="s">
        <v>6838</v>
      </c>
      <c r="I168" s="1880">
        <f>'Part I-Project Information'!I144</f>
        <v>0</v>
      </c>
      <c r="K168" s="1857" t="s">
        <v>6480</v>
      </c>
      <c r="M168" s="1858"/>
      <c r="O168" s="1914">
        <f>'Part I-Project Information'!O144</f>
        <v>0</v>
      </c>
      <c r="P168" s="1914"/>
      <c r="Z168" s="1858">
        <v>144</v>
      </c>
    </row>
    <row r="169" spans="1:26" s="1857" customFormat="1" ht="12" customHeight="1">
      <c r="A169" s="1858"/>
      <c r="B169" s="1858"/>
      <c r="C169" s="1904" t="s">
        <v>2308</v>
      </c>
      <c r="D169" s="1904"/>
      <c r="E169" s="1904"/>
      <c r="F169" s="1858"/>
      <c r="I169" s="1918">
        <f>'Part I-Project Information'!I145</f>
        <v>0</v>
      </c>
      <c r="K169" s="1857" t="s">
        <v>6482</v>
      </c>
      <c r="O169" s="1914">
        <f>'Part I-Project Information'!O145</f>
        <v>0</v>
      </c>
      <c r="P169" s="1914"/>
      <c r="Z169" s="1858">
        <v>145</v>
      </c>
    </row>
    <row r="170" spans="1:26" s="1857" customFormat="1" ht="12" customHeight="1">
      <c r="A170" s="1858"/>
      <c r="B170" s="1858"/>
      <c r="C170" s="1908" t="s">
        <v>1636</v>
      </c>
      <c r="D170" s="1859"/>
      <c r="I170" s="1880">
        <f>'Part I-Project Information'!I146</f>
        <v>0</v>
      </c>
      <c r="K170" s="1857" t="s">
        <v>6483</v>
      </c>
      <c r="O170" s="1914">
        <f>'Part I-Project Information'!O146</f>
        <v>0</v>
      </c>
      <c r="P170" s="1914"/>
      <c r="Z170" s="1858">
        <v>146</v>
      </c>
    </row>
    <row r="171" spans="1:26" s="1857" customFormat="1" ht="12" customHeight="1">
      <c r="A171" s="1858"/>
      <c r="B171" s="1858"/>
      <c r="C171" s="1904" t="s">
        <v>2309</v>
      </c>
      <c r="D171" s="1904"/>
      <c r="E171" s="1904"/>
      <c r="F171" s="1858"/>
      <c r="I171" s="1918">
        <f>'Part I-Project Information'!I147</f>
        <v>0</v>
      </c>
      <c r="K171" s="1866" t="s">
        <v>2142</v>
      </c>
      <c r="O171" s="1864" t="str">
        <f>'Part I-Project Information'!O147</f>
        <v>GA-</v>
      </c>
      <c r="P171" s="1864"/>
      <c r="Z171" s="1858">
        <v>147</v>
      </c>
    </row>
    <row r="172" spans="1:26" s="1857" customFormat="1" ht="12" customHeight="1">
      <c r="A172" s="1858"/>
      <c r="B172" s="1858"/>
      <c r="C172" s="1904" t="s">
        <v>2307</v>
      </c>
      <c r="F172" s="1858" t="s">
        <v>6396</v>
      </c>
      <c r="G172" s="1914">
        <f>'Part I-Project Information'!G148</f>
        <v>0</v>
      </c>
      <c r="H172" s="1914"/>
      <c r="I172" s="1919">
        <f>'Part I-Project Information'!I148</f>
        <v>0</v>
      </c>
      <c r="K172" s="1866" t="s">
        <v>2143</v>
      </c>
      <c r="O172" s="1864" t="str">
        <f>'Part I-Project Information'!O148</f>
        <v>GA-</v>
      </c>
      <c r="P172" s="1864"/>
      <c r="Z172" s="1858">
        <v>148</v>
      </c>
    </row>
    <row r="173" spans="1:26" s="1857" customFormat="1" ht="12" customHeight="1">
      <c r="A173" s="1858"/>
      <c r="B173" s="1858"/>
      <c r="C173" s="1904" t="s">
        <v>2070</v>
      </c>
      <c r="D173" s="1904"/>
      <c r="E173" s="1904"/>
      <c r="F173" s="1858"/>
      <c r="I173" s="1914">
        <f>'Part I-Project Information'!I149</f>
        <v>0</v>
      </c>
      <c r="J173" s="1914"/>
      <c r="P173" s="1881"/>
      <c r="Z173" s="1858">
        <v>149</v>
      </c>
    </row>
    <row r="174" spans="1:26" s="1857" customFormat="1" ht="6" customHeight="1">
      <c r="A174" s="1858"/>
      <c r="B174" s="1858"/>
      <c r="C174" s="1904"/>
      <c r="D174" s="1904"/>
      <c r="E174" s="1904"/>
      <c r="F174" s="1858"/>
      <c r="G174" s="1858"/>
      <c r="M174" s="1858"/>
      <c r="P174" s="1881"/>
      <c r="Z174" s="1869">
        <v>150</v>
      </c>
    </row>
    <row r="175" spans="1:26" s="1857" customFormat="1" ht="12" customHeight="1">
      <c r="A175" s="1858"/>
      <c r="B175" s="1858" t="s">
        <v>1894</v>
      </c>
      <c r="C175" s="1859" t="s">
        <v>6839</v>
      </c>
      <c r="I175" s="1880">
        <f>'Part I-Project Information'!I151</f>
        <v>0</v>
      </c>
      <c r="K175" s="1857" t="s">
        <v>6480</v>
      </c>
      <c r="M175" s="1858"/>
      <c r="O175" s="1914">
        <f>'Part I-Project Information'!O151</f>
        <v>0</v>
      </c>
      <c r="P175" s="1914"/>
      <c r="Z175" s="1858">
        <v>151</v>
      </c>
    </row>
    <row r="176" spans="1:26" s="1857" customFormat="1" ht="12" customHeight="1">
      <c r="A176" s="1858"/>
      <c r="B176" s="1858"/>
      <c r="C176" s="1904" t="s">
        <v>6397</v>
      </c>
      <c r="D176" s="1904"/>
      <c r="E176" s="1904"/>
      <c r="F176" s="1858"/>
      <c r="I176" s="1918">
        <f>'Part I-Project Information'!I152</f>
        <v>0</v>
      </c>
      <c r="K176" s="1857" t="s">
        <v>6482</v>
      </c>
      <c r="O176" s="1914">
        <f>'Part I-Project Information'!O152</f>
        <v>0</v>
      </c>
      <c r="P176" s="1914"/>
      <c r="Z176" s="1858">
        <v>152</v>
      </c>
    </row>
    <row r="177" spans="1:26" s="1857" customFormat="1" ht="12" customHeight="1">
      <c r="A177" s="1858"/>
      <c r="B177" s="1858"/>
      <c r="C177" s="1908" t="s">
        <v>1636</v>
      </c>
      <c r="D177" s="1859"/>
      <c r="I177" s="1880">
        <f>'Part I-Project Information'!I153</f>
        <v>0</v>
      </c>
      <c r="K177" s="1857" t="s">
        <v>6483</v>
      </c>
      <c r="O177" s="1914">
        <f>'Part I-Project Information'!O153</f>
        <v>0</v>
      </c>
      <c r="P177" s="1914"/>
      <c r="Z177" s="1858">
        <v>153</v>
      </c>
    </row>
    <row r="178" spans="1:26" s="1857" customFormat="1" ht="12" customHeight="1">
      <c r="A178" s="1858"/>
      <c r="B178" s="1858"/>
      <c r="C178" s="1904" t="s">
        <v>2309</v>
      </c>
      <c r="D178" s="1904"/>
      <c r="E178" s="1904"/>
      <c r="F178" s="1858"/>
      <c r="I178" s="1918">
        <f>'Part I-Project Information'!I154</f>
        <v>0</v>
      </c>
      <c r="K178" s="1866" t="s">
        <v>2142</v>
      </c>
      <c r="O178" s="1864" t="str">
        <f>'Part I-Project Information'!O154</f>
        <v>GA-</v>
      </c>
      <c r="P178" s="1864"/>
      <c r="Z178" s="1858">
        <v>154</v>
      </c>
    </row>
    <row r="179" spans="1:26" s="1857" customFormat="1" ht="12" customHeight="1">
      <c r="A179" s="1858"/>
      <c r="B179" s="1858"/>
      <c r="C179" s="1904" t="s">
        <v>2307</v>
      </c>
      <c r="F179" s="1858" t="s">
        <v>6396</v>
      </c>
      <c r="G179" s="1914">
        <f>'Part I-Project Information'!G155</f>
        <v>0</v>
      </c>
      <c r="H179" s="1914"/>
      <c r="I179" s="1919">
        <f>'Part I-Project Information'!I155</f>
        <v>0</v>
      </c>
      <c r="K179" s="1866" t="s">
        <v>2143</v>
      </c>
      <c r="O179" s="1864" t="str">
        <f>'Part I-Project Information'!O155</f>
        <v>GA-</v>
      </c>
      <c r="P179" s="1864"/>
      <c r="Z179" s="1858">
        <v>155</v>
      </c>
    </row>
    <row r="180" spans="1:26" s="1857" customFormat="1" ht="12" customHeight="1">
      <c r="A180" s="1858"/>
      <c r="B180" s="1858"/>
      <c r="C180" s="1904" t="s">
        <v>2070</v>
      </c>
      <c r="D180" s="1904"/>
      <c r="E180" s="1904"/>
      <c r="F180" s="1858"/>
      <c r="I180" s="1914">
        <f>'Part I-Project Information'!I156</f>
        <v>0</v>
      </c>
      <c r="J180" s="1914"/>
      <c r="P180" s="1881"/>
      <c r="Z180" s="1858">
        <v>156</v>
      </c>
    </row>
    <row r="181" spans="1:26" s="1857" customFormat="1" ht="6" customHeight="1">
      <c r="A181" s="1858"/>
      <c r="B181" s="1858"/>
      <c r="C181" s="1904"/>
      <c r="D181" s="1904"/>
      <c r="E181" s="1904"/>
      <c r="F181" s="1858"/>
      <c r="G181" s="1858"/>
      <c r="M181" s="1858"/>
      <c r="P181" s="1881"/>
      <c r="Z181" s="1858">
        <v>157</v>
      </c>
    </row>
    <row r="182" spans="1:26" s="1857" customFormat="1" ht="12" customHeight="1">
      <c r="A182" s="1858"/>
      <c r="B182" s="1858" t="s">
        <v>719</v>
      </c>
      <c r="C182" s="1920" t="s">
        <v>2549</v>
      </c>
      <c r="D182" s="1904"/>
      <c r="E182" s="1866" t="s">
        <v>7119</v>
      </c>
      <c r="F182" s="1866"/>
      <c r="G182" s="1866"/>
      <c r="I182" s="1919">
        <f>'Part I-Project Information'!I158</f>
        <v>0</v>
      </c>
      <c r="K182" s="1866" t="s">
        <v>4087</v>
      </c>
      <c r="L182" s="1866"/>
      <c r="M182" s="1866"/>
      <c r="O182" s="1919">
        <f>'Part I-Project Information'!O158</f>
        <v>0</v>
      </c>
      <c r="P182" s="1881"/>
      <c r="Z182" s="1858">
        <v>158</v>
      </c>
    </row>
    <row r="183" spans="1:26" s="1857" customFormat="1" ht="12" customHeight="1">
      <c r="A183" s="1858"/>
      <c r="C183" s="1904"/>
      <c r="D183" s="1904"/>
      <c r="E183" s="1866" t="s">
        <v>7120</v>
      </c>
      <c r="F183" s="1866"/>
      <c r="G183" s="1866"/>
      <c r="I183" s="1919">
        <f>'Part I-Project Information'!I159</f>
        <v>0</v>
      </c>
      <c r="K183" s="1866"/>
      <c r="L183" s="1866"/>
      <c r="M183" s="1866"/>
      <c r="P183" s="1881"/>
      <c r="Z183" s="1869">
        <v>159</v>
      </c>
    </row>
    <row r="184" spans="1:26" s="1857" customFormat="1" ht="6" customHeight="1">
      <c r="A184" s="1858"/>
      <c r="B184" s="1858"/>
      <c r="C184" s="1904"/>
      <c r="D184" s="1904"/>
      <c r="E184" s="1904"/>
      <c r="F184" s="1858"/>
      <c r="P184" s="1881"/>
      <c r="Z184" s="1858">
        <v>160</v>
      </c>
    </row>
    <row r="185" spans="1:26" s="1857" customFormat="1" ht="12" customHeight="1">
      <c r="A185" s="1858"/>
      <c r="B185" s="1858" t="s">
        <v>2020</v>
      </c>
      <c r="C185" s="1904" t="s">
        <v>4084</v>
      </c>
      <c r="D185" s="1904"/>
      <c r="E185" s="1904"/>
      <c r="F185" s="1858"/>
      <c r="I185" s="1919">
        <f>'Part I-Project Information'!I161</f>
        <v>0</v>
      </c>
      <c r="P185" s="1881"/>
      <c r="Z185" s="1858">
        <v>161</v>
      </c>
    </row>
    <row r="186" spans="1:26" s="1857" customFormat="1" ht="9" customHeight="1">
      <c r="A186" s="1858"/>
      <c r="B186" s="1858"/>
      <c r="C186" s="1904"/>
      <c r="D186" s="1904"/>
      <c r="E186" s="1904"/>
      <c r="F186" s="1858"/>
      <c r="G186" s="1858"/>
      <c r="H186" s="1858"/>
      <c r="I186" s="1858"/>
      <c r="J186" s="1884"/>
      <c r="K186" s="1858"/>
      <c r="L186" s="1858"/>
      <c r="Z186" s="1858">
        <v>162</v>
      </c>
    </row>
    <row r="187" spans="1:26" s="1857" customFormat="1" ht="13.35" customHeight="1">
      <c r="A187" s="1866" t="s">
        <v>1648</v>
      </c>
      <c r="B187" s="1866" t="s">
        <v>1145</v>
      </c>
      <c r="D187" s="1866"/>
      <c r="E187" s="1866"/>
      <c r="F187" s="1866"/>
      <c r="G187" s="1858"/>
      <c r="H187" s="1858"/>
      <c r="I187" s="1858"/>
      <c r="J187" s="1884"/>
      <c r="K187" s="1858"/>
      <c r="L187" s="1858"/>
      <c r="P187" s="1857" t="s">
        <v>1714</v>
      </c>
      <c r="Z187" s="1858">
        <v>163</v>
      </c>
    </row>
    <row r="188" spans="1:26" s="1857" customFormat="1" ht="6" customHeight="1">
      <c r="A188" s="1866"/>
      <c r="B188" s="1858"/>
      <c r="C188" s="1904"/>
      <c r="D188" s="1904"/>
      <c r="E188" s="1904"/>
      <c r="F188" s="1904"/>
      <c r="G188" s="1858"/>
      <c r="H188" s="1858"/>
      <c r="I188" s="1858"/>
      <c r="J188" s="1884"/>
      <c r="K188" s="1858"/>
      <c r="L188" s="1858"/>
      <c r="Z188" s="1858">
        <v>164</v>
      </c>
    </row>
    <row r="189" spans="1:26" s="1857" customFormat="1" ht="13.35" customHeight="1">
      <c r="A189" s="1858"/>
      <c r="B189" s="1858" t="s">
        <v>1892</v>
      </c>
      <c r="C189" s="1884" t="s">
        <v>1736</v>
      </c>
      <c r="F189" s="1858"/>
      <c r="G189" s="1858"/>
      <c r="H189" s="1858"/>
      <c r="I189" s="1858"/>
      <c r="J189" s="1884"/>
      <c r="K189" s="1858"/>
      <c r="L189" s="1858"/>
      <c r="Z189" s="1858">
        <v>165</v>
      </c>
    </row>
    <row r="190" spans="1:26" s="1857" customFormat="1" ht="12.6" customHeight="1">
      <c r="A190" s="1858"/>
      <c r="B190" s="1858"/>
      <c r="C190" s="1866" t="s">
        <v>1466</v>
      </c>
      <c r="D190" s="1884"/>
      <c r="E190" s="1884"/>
      <c r="F190" s="1858"/>
      <c r="G190" s="1858"/>
      <c r="H190" s="1858"/>
      <c r="I190" s="1919" t="str">
        <f>'Part I-Project Information'!I166</f>
        <v>Yes</v>
      </c>
      <c r="Z190" s="1858">
        <v>166</v>
      </c>
    </row>
    <row r="191" spans="1:26" s="1857" customFormat="1" ht="12.6" customHeight="1">
      <c r="A191" s="1858"/>
      <c r="B191" s="1858"/>
      <c r="C191" s="1908" t="s">
        <v>6840</v>
      </c>
      <c r="D191" s="1908"/>
      <c r="E191" s="1908"/>
      <c r="F191" s="1908"/>
      <c r="I191" s="1857" t="s">
        <v>3962</v>
      </c>
      <c r="K191" s="1908"/>
      <c r="L191" s="1908"/>
      <c r="N191" s="1921">
        <f>'Part I-Project Information'!N167</f>
        <v>32</v>
      </c>
      <c r="P191" s="1922">
        <f>'Part I-Project Information'!P167</f>
        <v>0.44444444444444442</v>
      </c>
      <c r="Z191" s="1858">
        <v>167</v>
      </c>
    </row>
    <row r="192" spans="1:26" s="1857" customFormat="1" ht="12.6" customHeight="1">
      <c r="A192" s="1858"/>
      <c r="B192" s="1858"/>
      <c r="D192" s="1908"/>
      <c r="E192" s="1908"/>
      <c r="F192" s="1908"/>
      <c r="I192" s="1857" t="s">
        <v>3961</v>
      </c>
      <c r="K192" s="1908"/>
      <c r="L192" s="1908"/>
      <c r="N192" s="1921">
        <f>'Part I-Project Information'!N168</f>
        <v>32</v>
      </c>
      <c r="P192" s="1922">
        <f>'Part I-Project Information'!P168</f>
        <v>0.44444444444444442</v>
      </c>
      <c r="Z192" s="1869">
        <v>168</v>
      </c>
    </row>
    <row r="193" spans="1:26" s="1857" customFormat="1" ht="12" customHeight="1">
      <c r="A193" s="1858"/>
      <c r="B193" s="1858"/>
      <c r="C193" s="1866" t="s">
        <v>6303</v>
      </c>
      <c r="D193" s="1884"/>
      <c r="E193" s="1884"/>
      <c r="F193" s="1858"/>
      <c r="G193" s="1858"/>
      <c r="H193" s="1858"/>
      <c r="I193" s="1919" t="str">
        <f>'Part I-Project Information'!I169</f>
        <v>Yes</v>
      </c>
      <c r="J193" s="1859" t="s">
        <v>6304</v>
      </c>
      <c r="N193" s="1921">
        <f>'Part I-Project Information'!N169</f>
        <v>344</v>
      </c>
      <c r="P193" s="1922">
        <f>'Part I-Project Information'!P169</f>
        <v>4.7777777777777777</v>
      </c>
      <c r="Z193" s="1869">
        <v>169</v>
      </c>
    </row>
    <row r="194" spans="1:26" s="1857" customFormat="1" ht="3" customHeight="1">
      <c r="A194" s="1858"/>
      <c r="B194" s="1858"/>
      <c r="Z194" s="1858">
        <v>170</v>
      </c>
    </row>
    <row r="195" spans="1:26" s="1857" customFormat="1" ht="12.6" customHeight="1">
      <c r="A195" s="1858"/>
      <c r="B195" s="1858"/>
      <c r="C195" s="1857" t="s">
        <v>1715</v>
      </c>
      <c r="D195" s="1864" t="str">
        <f>'Part I-Project Information'!D171</f>
        <v>Housing Authority of the City of West Point</v>
      </c>
      <c r="E195" s="1864"/>
      <c r="F195" s="1864"/>
      <c r="G195" s="1864"/>
      <c r="H195" s="1864"/>
      <c r="I195" s="1859" t="s">
        <v>3927</v>
      </c>
      <c r="N195" s="1879">
        <f>'Part I-Project Information'!N171</f>
        <v>7066451202</v>
      </c>
      <c r="O195" s="1879"/>
      <c r="P195" s="1879"/>
      <c r="Z195" s="1858">
        <v>171</v>
      </c>
    </row>
    <row r="196" spans="1:26" s="1857" customFormat="1" ht="12.6" customHeight="1">
      <c r="A196" s="1858"/>
      <c r="B196" s="1858"/>
      <c r="C196" s="1859" t="s">
        <v>3928</v>
      </c>
      <c r="D196" s="1864" t="str">
        <f>'Part I-Project Information'!D172</f>
        <v>1201 E 12th St</v>
      </c>
      <c r="E196" s="1864"/>
      <c r="F196" s="1864"/>
      <c r="G196" s="1864"/>
      <c r="H196" s="1864"/>
      <c r="I196" s="1857" t="s">
        <v>1716</v>
      </c>
      <c r="J196" s="1879" t="str">
        <f>'Part I-Project Information'!J172</f>
        <v>Robert Dull</v>
      </c>
      <c r="K196" s="1879"/>
      <c r="L196" s="1879"/>
      <c r="M196" s="1857" t="s">
        <v>1889</v>
      </c>
      <c r="N196" s="1864" t="str">
        <f>'Part I-Project Information'!N172</f>
        <v>Chief Executive Officer</v>
      </c>
      <c r="O196" s="1864"/>
      <c r="P196" s="1864"/>
      <c r="Z196" s="1858">
        <v>172</v>
      </c>
    </row>
    <row r="197" spans="1:26" s="1857" customFormat="1" ht="12.6" customHeight="1">
      <c r="A197" s="1858"/>
      <c r="B197" s="1858"/>
      <c r="C197" s="1859" t="s">
        <v>588</v>
      </c>
      <c r="D197" s="1864" t="str">
        <f>'Part I-Project Information'!D173</f>
        <v>West Point</v>
      </c>
      <c r="E197" s="1864"/>
      <c r="F197" s="1857" t="s">
        <v>2127</v>
      </c>
      <c r="G197" s="1878">
        <f>'Part I-Project Information'!G173</f>
        <v>318331747</v>
      </c>
      <c r="H197" s="1878"/>
      <c r="I197" s="1859" t="s">
        <v>1719</v>
      </c>
      <c r="J197" s="1879">
        <f>'Part I-Project Information'!J173</f>
        <v>7702277657</v>
      </c>
      <c r="K197" s="1879"/>
      <c r="L197" s="1879"/>
      <c r="M197" s="1857" t="s">
        <v>1888</v>
      </c>
      <c r="N197" s="1879">
        <f>'Part I-Project Information'!N173</f>
        <v>0</v>
      </c>
      <c r="O197" s="1879"/>
      <c r="P197" s="1879"/>
      <c r="Z197" s="1858">
        <v>173</v>
      </c>
    </row>
    <row r="198" spans="1:26" s="1857" customFormat="1" ht="12.6" customHeight="1">
      <c r="A198" s="1858"/>
      <c r="B198" s="1858"/>
      <c r="C198" s="1857" t="s">
        <v>2552</v>
      </c>
      <c r="D198" s="1864" t="str">
        <f>'Part I-Project Information'!D174</f>
        <v>https://www.griffinhousingauthority.com/west-point</v>
      </c>
      <c r="E198" s="1864"/>
      <c r="F198" s="1864"/>
      <c r="G198" s="1864"/>
      <c r="H198" s="1864"/>
      <c r="I198" s="1859" t="s">
        <v>1718</v>
      </c>
      <c r="J198" s="1873" t="str">
        <f>'Part I-Project Information'!J174</f>
        <v>rdull@griffinhousingauthority.com</v>
      </c>
      <c r="K198" s="1873"/>
      <c r="L198" s="1873"/>
      <c r="M198" s="1873"/>
      <c r="N198" s="1873"/>
      <c r="O198" s="1873"/>
      <c r="P198" s="1873"/>
      <c r="Z198" s="1858">
        <v>174</v>
      </c>
    </row>
    <row r="199" spans="1:26" s="1857" customFormat="1" ht="12" customHeight="1">
      <c r="A199" s="1858"/>
      <c r="B199" s="1858"/>
      <c r="C199" s="1857" t="s">
        <v>3963</v>
      </c>
      <c r="E199" s="1923"/>
      <c r="F199" s="1923"/>
      <c r="G199" s="1923"/>
      <c r="H199" s="1858"/>
      <c r="I199" s="1919" t="str">
        <f>'Part I-Project Information'!I175</f>
        <v>Yes</v>
      </c>
      <c r="J199" s="1866" t="s">
        <v>731</v>
      </c>
      <c r="K199" s="1866"/>
      <c r="L199" s="1919">
        <f>'Part I-Project Information'!L175</f>
        <v>2044</v>
      </c>
      <c r="M199" s="1923"/>
      <c r="N199" s="1858"/>
      <c r="O199" s="1923"/>
      <c r="P199" s="1923"/>
      <c r="Z199" s="1858">
        <v>175</v>
      </c>
    </row>
    <row r="200" spans="1:26" s="1857" customFormat="1" ht="12" customHeight="1">
      <c r="A200" s="1858"/>
      <c r="B200" s="1858"/>
      <c r="C200" s="1908" t="s">
        <v>6523</v>
      </c>
      <c r="D200" s="1908"/>
      <c r="E200" s="1908"/>
      <c r="F200" s="1908"/>
      <c r="G200" s="1908"/>
      <c r="H200" s="1908"/>
      <c r="I200" s="1908"/>
      <c r="J200" s="1908"/>
      <c r="K200" s="1908"/>
      <c r="M200" s="1908"/>
      <c r="Z200" s="1858">
        <v>176</v>
      </c>
    </row>
    <row r="201" spans="1:26" s="1857" customFormat="1" ht="12" customHeight="1">
      <c r="A201" s="1858"/>
      <c r="B201" s="1858"/>
      <c r="C201" s="1908"/>
      <c r="D201" s="1908"/>
      <c r="E201" s="1908"/>
      <c r="F201" s="1908"/>
      <c r="G201" s="1908"/>
      <c r="H201" s="1908"/>
      <c r="I201" s="1908"/>
      <c r="J201" s="1908"/>
      <c r="K201" s="1908"/>
      <c r="L201" s="1919">
        <f>'Part I-Project Information'!L177</f>
        <v>0</v>
      </c>
      <c r="M201" s="1908"/>
      <c r="N201" s="1866" t="s">
        <v>731</v>
      </c>
      <c r="O201" s="1866"/>
      <c r="P201" s="1919">
        <f>'Part I-Project Information'!P177</f>
        <v>0</v>
      </c>
      <c r="Z201" s="1858">
        <v>177</v>
      </c>
    </row>
    <row r="202" spans="1:26" s="1857" customFormat="1" ht="6" customHeight="1">
      <c r="A202" s="1858"/>
      <c r="B202" s="1858"/>
      <c r="Z202" s="1869">
        <v>178</v>
      </c>
    </row>
    <row r="203" spans="1:26" s="1857" customFormat="1" ht="12.6" customHeight="1">
      <c r="A203" s="1858"/>
      <c r="B203" s="1858" t="s">
        <v>1894</v>
      </c>
      <c r="C203" s="1859" t="s">
        <v>2550</v>
      </c>
      <c r="D203" s="1859"/>
      <c r="E203" s="1859"/>
      <c r="F203" s="1859"/>
      <c r="G203" s="1859"/>
      <c r="I203" s="1919" t="str">
        <f>'Part I-Project Information'!I179</f>
        <v>No</v>
      </c>
      <c r="J203" s="1857" t="s">
        <v>731</v>
      </c>
      <c r="L203" s="1919">
        <f>'Part I-Project Information'!L179</f>
        <v>0</v>
      </c>
      <c r="M203" s="1857" t="s">
        <v>2221</v>
      </c>
      <c r="P203" s="1924">
        <f>'Part I-Project Information'!P179</f>
        <v>0</v>
      </c>
      <c r="Z203" s="1858">
        <v>179</v>
      </c>
    </row>
    <row r="204" spans="1:26" s="1857" customFormat="1" ht="12.6" customHeight="1">
      <c r="A204" s="1858"/>
      <c r="B204" s="1858"/>
      <c r="C204" s="1859" t="s">
        <v>2551</v>
      </c>
      <c r="D204" s="1859"/>
      <c r="E204" s="1859"/>
      <c r="F204" s="1859"/>
      <c r="G204" s="1859"/>
      <c r="I204" s="1919" t="str">
        <f>'Part I-Project Information'!I180</f>
        <v>Yes</v>
      </c>
      <c r="J204" s="1857" t="s">
        <v>731</v>
      </c>
      <c r="L204" s="1919">
        <f>'Part I-Project Information'!L180</f>
        <v>2054</v>
      </c>
      <c r="M204" s="1857" t="s">
        <v>2221</v>
      </c>
      <c r="P204" s="1924">
        <f>'Part I-Project Information'!P180</f>
        <v>15</v>
      </c>
      <c r="Z204" s="1858">
        <v>180</v>
      </c>
    </row>
    <row r="205" spans="1:26" s="1857" customFormat="1" ht="6" customHeight="1">
      <c r="A205" s="1858"/>
      <c r="B205" s="1858"/>
      <c r="C205" s="1859"/>
      <c r="D205" s="1859"/>
      <c r="F205" s="1859"/>
      <c r="G205" s="1859"/>
      <c r="K205" s="1858"/>
      <c r="O205" s="1858"/>
      <c r="P205" s="1881"/>
      <c r="Z205" s="1858">
        <v>181</v>
      </c>
    </row>
    <row r="206" spans="1:26" s="1857" customFormat="1" ht="12.6" customHeight="1">
      <c r="A206" s="1858"/>
      <c r="B206" s="1858" t="s">
        <v>719</v>
      </c>
      <c r="C206" s="1859" t="s">
        <v>1677</v>
      </c>
      <c r="D206" s="1859"/>
      <c r="E206" s="1859"/>
      <c r="F206" s="1859"/>
      <c r="G206" s="1859"/>
      <c r="I206" s="1919" t="str">
        <f>'Part I-Project Information'!I182</f>
        <v>No</v>
      </c>
      <c r="P206" s="1881"/>
      <c r="Z206" s="1858">
        <v>182</v>
      </c>
    </row>
    <row r="207" spans="1:26" s="1857" customFormat="1" ht="1.5" customHeight="1">
      <c r="A207" s="1858"/>
      <c r="B207" s="1858"/>
      <c r="C207" s="1859"/>
      <c r="E207" s="1923"/>
      <c r="F207" s="1923"/>
      <c r="G207" s="1923"/>
      <c r="I207" s="1923"/>
      <c r="J207" s="1923"/>
      <c r="K207" s="1858"/>
      <c r="L207" s="1923"/>
      <c r="M207" s="1923"/>
      <c r="N207" s="1858"/>
      <c r="O207" s="1923"/>
      <c r="P207" s="1923"/>
      <c r="Z207" s="1858">
        <v>183</v>
      </c>
    </row>
    <row r="208" spans="1:26" ht="13.5">
      <c r="B208" s="1858" t="s">
        <v>2020</v>
      </c>
      <c r="C208" s="1875" t="s">
        <v>6800</v>
      </c>
      <c r="D208" s="1926"/>
      <c r="E208" s="1927"/>
      <c r="F208" s="1927"/>
      <c r="G208" s="1927"/>
      <c r="H208" s="1927"/>
      <c r="I208" s="1927"/>
      <c r="J208" s="1927"/>
      <c r="K208" s="1927"/>
      <c r="L208" s="1927"/>
      <c r="M208" s="1927"/>
      <c r="N208" s="1927"/>
      <c r="O208" s="1927"/>
      <c r="P208" s="1927"/>
      <c r="Z208" s="1858">
        <v>184</v>
      </c>
    </row>
    <row r="209" spans="1:26" ht="12" customHeight="1">
      <c r="B209" s="1866"/>
      <c r="C209" s="1928" t="s">
        <v>1895</v>
      </c>
      <c r="D209" s="1875" t="s">
        <v>6487</v>
      </c>
      <c r="E209" s="1866"/>
      <c r="F209" s="1926"/>
      <c r="G209" s="1926"/>
      <c r="H209" s="1926"/>
      <c r="I209" s="1927"/>
      <c r="J209" s="1927"/>
      <c r="K209" s="1927"/>
      <c r="L209" s="1919" t="str">
        <f>'Part I-Project Information'!L185</f>
        <v>No</v>
      </c>
      <c r="M209" s="1875" t="s">
        <v>6488</v>
      </c>
      <c r="N209" s="1926"/>
      <c r="O209" s="1929">
        <f>'Part I-Project Information'!O185</f>
        <v>0</v>
      </c>
      <c r="P209" s="1929"/>
      <c r="Z209" s="1858">
        <v>185</v>
      </c>
    </row>
    <row r="210" spans="1:26" ht="12" customHeight="1">
      <c r="B210" s="1866"/>
      <c r="C210" s="1928" t="s">
        <v>1897</v>
      </c>
      <c r="D210" s="1875" t="s">
        <v>6617</v>
      </c>
      <c r="E210" s="1866"/>
      <c r="F210" s="1926"/>
      <c r="G210" s="1926"/>
      <c r="H210" s="1926"/>
      <c r="I210" s="1927"/>
      <c r="J210" s="1927"/>
      <c r="K210" s="1927"/>
      <c r="L210" s="1919">
        <f>'Part I-Project Information'!L186</f>
        <v>0</v>
      </c>
      <c r="M210" s="1875" t="s">
        <v>6488</v>
      </c>
      <c r="N210" s="1926"/>
      <c r="O210" s="1929">
        <f>'Part I-Project Information'!O186</f>
        <v>0</v>
      </c>
      <c r="P210" s="1929"/>
      <c r="Z210" s="1858">
        <v>186</v>
      </c>
    </row>
    <row r="211" spans="1:26" ht="12" customHeight="1">
      <c r="B211" s="1866"/>
      <c r="C211" s="1928" t="s">
        <v>2415</v>
      </c>
      <c r="D211" s="1875" t="s">
        <v>6489</v>
      </c>
      <c r="E211" s="1866"/>
      <c r="F211" s="1926"/>
      <c r="G211" s="1926"/>
      <c r="H211" s="1926"/>
      <c r="I211" s="1927"/>
      <c r="J211" s="1927"/>
      <c r="K211" s="1927"/>
      <c r="L211" s="1919" t="str">
        <f>'Part I-Project Information'!L187</f>
        <v>No</v>
      </c>
      <c r="M211" s="1875" t="s">
        <v>6488</v>
      </c>
      <c r="N211" s="1926"/>
      <c r="O211" s="1929">
        <f>'Part I-Project Information'!O187</f>
        <v>0</v>
      </c>
      <c r="P211" s="1929"/>
      <c r="Z211" s="1869">
        <v>187</v>
      </c>
    </row>
    <row r="212" spans="1:26" ht="3" customHeight="1">
      <c r="B212" s="1930"/>
      <c r="D212" s="1927"/>
      <c r="E212" s="1927"/>
      <c r="F212" s="1927"/>
      <c r="G212" s="1927"/>
      <c r="H212" s="1927"/>
      <c r="I212" s="1927"/>
      <c r="J212" s="1927"/>
      <c r="K212" s="1927"/>
      <c r="L212" s="1926"/>
      <c r="M212" s="1926"/>
      <c r="N212" s="1926"/>
      <c r="O212" s="1926"/>
      <c r="P212" s="1926"/>
      <c r="Z212" s="1858">
        <v>188</v>
      </c>
    </row>
    <row r="213" spans="1:26" ht="13.5">
      <c r="B213" s="1931"/>
      <c r="C213" s="1875" t="s">
        <v>6803</v>
      </c>
      <c r="D213" s="1926"/>
      <c r="E213" s="1926"/>
      <c r="F213" s="1926"/>
      <c r="G213" s="1926"/>
      <c r="H213" s="1932" t="str">
        <f>'Part I-Project Information'!H189</f>
        <v/>
      </c>
      <c r="I213" s="1932"/>
      <c r="J213" s="1866"/>
      <c r="K213" s="1926"/>
      <c r="L213" s="1866"/>
      <c r="M213" s="1866"/>
      <c r="N213" s="1866"/>
      <c r="O213" s="1866"/>
      <c r="P213" s="1866"/>
      <c r="Z213" s="1858">
        <v>189</v>
      </c>
    </row>
    <row r="214" spans="1:26" ht="3.75" customHeight="1">
      <c r="A214" s="1933"/>
      <c r="B214" s="1875"/>
      <c r="C214" s="1875"/>
      <c r="D214" s="1875"/>
      <c r="E214" s="1875"/>
      <c r="F214" s="1875"/>
      <c r="G214" s="1875"/>
      <c r="H214" s="1875"/>
      <c r="I214" s="1875"/>
      <c r="J214" s="1875"/>
      <c r="K214" s="1875"/>
      <c r="L214" s="1875"/>
      <c r="M214" s="1875"/>
      <c r="N214" s="1934"/>
      <c r="O214" s="1934"/>
      <c r="P214" s="1875"/>
      <c r="Z214" s="1858">
        <v>190</v>
      </c>
    </row>
    <row r="215" spans="1:26" ht="12.75" customHeight="1">
      <c r="A215" s="1935"/>
      <c r="B215" s="1936"/>
      <c r="C215" s="1937" t="s">
        <v>6790</v>
      </c>
      <c r="D215" s="1937"/>
      <c r="E215" s="1937"/>
      <c r="F215" s="1937"/>
      <c r="G215" s="1866"/>
      <c r="H215" s="1875" t="s">
        <v>6805</v>
      </c>
      <c r="I215" s="1875"/>
      <c r="J215" s="1875" t="s">
        <v>6789</v>
      </c>
      <c r="K215" s="1875"/>
      <c r="L215" s="1875" t="s">
        <v>6788</v>
      </c>
      <c r="M215" s="1875"/>
      <c r="N215" s="1875"/>
      <c r="O215" s="1875"/>
      <c r="P215" s="1875"/>
      <c r="Z215" s="1858">
        <v>191</v>
      </c>
    </row>
    <row r="216" spans="1:26">
      <c r="A216" s="1935"/>
      <c r="B216" s="1938"/>
      <c r="C216" s="1937" t="s">
        <v>6801</v>
      </c>
      <c r="D216" s="1937"/>
      <c r="E216" s="1937"/>
      <c r="F216" s="1939" t="s">
        <v>6782</v>
      </c>
      <c r="G216" s="1939" t="s">
        <v>6783</v>
      </c>
      <c r="H216" s="1940" t="str">
        <f>'Part I-Project Information'!H192</f>
        <v/>
      </c>
      <c r="I216" s="1941" t="s">
        <v>6784</v>
      </c>
      <c r="J216" s="1875"/>
      <c r="K216" s="1875"/>
      <c r="L216" s="1875"/>
      <c r="M216" s="1875"/>
      <c r="N216" s="1875"/>
      <c r="O216" s="1875"/>
      <c r="P216" s="1875"/>
      <c r="R216" s="1866"/>
      <c r="S216" s="1866"/>
      <c r="T216" s="1866"/>
      <c r="U216" s="1866"/>
      <c r="V216" s="1866"/>
      <c r="Z216" s="1858">
        <v>192</v>
      </c>
    </row>
    <row r="217" spans="1:26" ht="12" customHeight="1">
      <c r="A217" s="1936"/>
      <c r="B217" s="1866"/>
      <c r="C217" s="1938" t="s">
        <v>6785</v>
      </c>
      <c r="D217" s="1938"/>
      <c r="E217" s="1857"/>
      <c r="F217" s="1924">
        <f>'Part I-Project Information'!F193</f>
        <v>0</v>
      </c>
      <c r="G217" s="1924">
        <f>'Part I-Project Information'!G193</f>
        <v>0</v>
      </c>
      <c r="H217" s="1942">
        <f>'Part I-Project Information'!H193</f>
        <v>0</v>
      </c>
      <c r="I217" s="1942">
        <f>'Part I-Project Information'!I193</f>
        <v>0</v>
      </c>
      <c r="J217" s="1929">
        <f>'Part I-Project Information'!J193</f>
        <v>0</v>
      </c>
      <c r="K217" s="1929"/>
      <c r="L217" s="1943">
        <f>'Part I-Project Information'!L193</f>
        <v>0</v>
      </c>
      <c r="M217" s="1943"/>
      <c r="N217" s="1943"/>
      <c r="O217" s="1943"/>
      <c r="P217" s="1943"/>
      <c r="R217" s="1866"/>
      <c r="S217" s="1866"/>
      <c r="T217" s="1866"/>
      <c r="U217" s="1866"/>
      <c r="V217" s="1866"/>
      <c r="Z217" s="1858">
        <v>193</v>
      </c>
    </row>
    <row r="218" spans="1:26" ht="12" customHeight="1">
      <c r="A218" s="1936"/>
      <c r="B218" s="1866"/>
      <c r="C218" s="1938" t="s">
        <v>6786</v>
      </c>
      <c r="D218" s="1938"/>
      <c r="E218" s="1857"/>
      <c r="F218" s="1924">
        <f>'Part I-Project Information'!F194</f>
        <v>0</v>
      </c>
      <c r="G218" s="1924">
        <f>'Part I-Project Information'!G194</f>
        <v>0</v>
      </c>
      <c r="H218" s="1942">
        <f>'Part I-Project Information'!H194</f>
        <v>0</v>
      </c>
      <c r="I218" s="1942">
        <f>'Part I-Project Information'!I194</f>
        <v>0</v>
      </c>
      <c r="J218" s="1929">
        <f>'Part I-Project Information'!J194</f>
        <v>0</v>
      </c>
      <c r="K218" s="1929"/>
      <c r="L218" s="1943">
        <f>'Part I-Project Information'!L194</f>
        <v>0</v>
      </c>
      <c r="M218" s="1943"/>
      <c r="N218" s="1943"/>
      <c r="O218" s="1943"/>
      <c r="P218" s="1943"/>
      <c r="R218" s="1866"/>
      <c r="S218" s="1866"/>
      <c r="T218" s="1866"/>
      <c r="U218" s="1866"/>
      <c r="V218" s="1866"/>
      <c r="Z218" s="1858">
        <v>194</v>
      </c>
    </row>
    <row r="219" spans="1:26" ht="12" customHeight="1">
      <c r="A219" s="1936"/>
      <c r="B219" s="1866"/>
      <c r="C219" s="1938" t="s">
        <v>6490</v>
      </c>
      <c r="D219" s="1938"/>
      <c r="E219" s="1857"/>
      <c r="F219" s="1924">
        <f>'Part I-Project Information'!F195</f>
        <v>0</v>
      </c>
      <c r="G219" s="1924">
        <f>'Part I-Project Information'!G195</f>
        <v>0</v>
      </c>
      <c r="H219" s="1942">
        <f>'Part I-Project Information'!H195</f>
        <v>0</v>
      </c>
      <c r="I219" s="1942">
        <f>'Part I-Project Information'!I195</f>
        <v>0</v>
      </c>
      <c r="J219" s="1929">
        <f>'Part I-Project Information'!J195</f>
        <v>0</v>
      </c>
      <c r="K219" s="1929"/>
      <c r="L219" s="1943">
        <f>'Part I-Project Information'!L195</f>
        <v>0</v>
      </c>
      <c r="M219" s="1943"/>
      <c r="N219" s="1943"/>
      <c r="O219" s="1943"/>
      <c r="P219" s="1943"/>
      <c r="R219" s="1866"/>
      <c r="S219" s="1866"/>
      <c r="T219" s="1866"/>
      <c r="U219" s="1866"/>
      <c r="V219" s="1866"/>
      <c r="Z219" s="1858">
        <v>195</v>
      </c>
    </row>
    <row r="220" spans="1:26" ht="12" customHeight="1">
      <c r="A220" s="1936"/>
      <c r="B220" s="1866"/>
      <c r="C220" s="1938" t="s">
        <v>6787</v>
      </c>
      <c r="D220" s="1938"/>
      <c r="E220" s="1857"/>
      <c r="F220" s="1924">
        <f>'Part I-Project Information'!F196</f>
        <v>0</v>
      </c>
      <c r="G220" s="1924">
        <f>'Part I-Project Information'!G196</f>
        <v>0</v>
      </c>
      <c r="H220" s="1942">
        <f>'Part I-Project Information'!H196</f>
        <v>0</v>
      </c>
      <c r="I220" s="1942">
        <f>'Part I-Project Information'!I196</f>
        <v>0</v>
      </c>
      <c r="J220" s="1929">
        <f>'Part I-Project Information'!J196</f>
        <v>0</v>
      </c>
      <c r="K220" s="1929"/>
      <c r="L220" s="1943">
        <f>'Part I-Project Information'!L196</f>
        <v>0</v>
      </c>
      <c r="M220" s="1943"/>
      <c r="N220" s="1943"/>
      <c r="O220" s="1943"/>
      <c r="P220" s="1943"/>
      <c r="R220" s="1866"/>
      <c r="S220" s="1866"/>
      <c r="T220" s="1866"/>
      <c r="U220" s="1866"/>
      <c r="V220" s="1866"/>
      <c r="Z220" s="1869">
        <v>196</v>
      </c>
    </row>
    <row r="221" spans="1:26" ht="12" customHeight="1">
      <c r="A221" s="1889"/>
      <c r="B221" s="1866"/>
      <c r="C221" s="1864" t="str">
        <f>'Part I-Project Information'!C197</f>
        <v>Other (indicate type here &amp; explain below):</v>
      </c>
      <c r="D221" s="1864"/>
      <c r="E221" s="1864"/>
      <c r="F221" s="1924">
        <f>'Part I-Project Information'!F197</f>
        <v>0</v>
      </c>
      <c r="G221" s="1924">
        <f>'Part I-Project Information'!G197</f>
        <v>0</v>
      </c>
      <c r="H221" s="1942">
        <f>'Part I-Project Information'!H197</f>
        <v>0</v>
      </c>
      <c r="I221" s="1942">
        <f>'Part I-Project Information'!I197</f>
        <v>0</v>
      </c>
      <c r="J221" s="1929">
        <f>'Part I-Project Information'!J197</f>
        <v>0</v>
      </c>
      <c r="K221" s="1929"/>
      <c r="L221" s="1943">
        <f>'Part I-Project Information'!L197</f>
        <v>0</v>
      </c>
      <c r="M221" s="1943"/>
      <c r="N221" s="1943"/>
      <c r="O221" s="1943"/>
      <c r="P221" s="1943"/>
      <c r="R221" s="1866"/>
      <c r="S221" s="1866"/>
      <c r="T221" s="1866"/>
      <c r="U221" s="1866"/>
      <c r="V221" s="1866"/>
      <c r="Z221" s="1869">
        <v>197</v>
      </c>
    </row>
    <row r="222" spans="1:26" ht="13.5" customHeight="1">
      <c r="A222" s="1889"/>
      <c r="B222" s="1944" t="s">
        <v>6804</v>
      </c>
      <c r="C222" s="1945"/>
      <c r="D222" s="1945"/>
      <c r="E222" s="1946"/>
      <c r="F222" s="1947"/>
      <c r="G222" s="1947"/>
      <c r="H222" s="1948"/>
      <c r="I222" s="1948"/>
      <c r="J222" s="1949"/>
      <c r="K222" s="1949"/>
      <c r="L222" s="1949"/>
      <c r="M222" s="1949"/>
      <c r="N222" s="1950"/>
      <c r="O222" s="1950"/>
      <c r="P222" s="1951"/>
      <c r="Z222" s="1858">
        <v>198</v>
      </c>
    </row>
    <row r="223" spans="1:26" ht="22.5" customHeight="1">
      <c r="A223" s="1889"/>
      <c r="B223" s="1952" t="str">
        <f>'Part I-Project Information'!B199</f>
        <v>The proposed project site is currently vacant</v>
      </c>
      <c r="C223" s="1952"/>
      <c r="D223" s="1952"/>
      <c r="E223" s="1952"/>
      <c r="F223" s="1952"/>
      <c r="G223" s="1952"/>
      <c r="H223" s="1952"/>
      <c r="I223" s="1952"/>
      <c r="J223" s="1952"/>
      <c r="K223" s="1952"/>
      <c r="L223" s="1952"/>
      <c r="M223" s="1952"/>
      <c r="N223" s="1952"/>
      <c r="O223" s="1952"/>
      <c r="P223" s="1952"/>
      <c r="Z223" s="1858">
        <v>199</v>
      </c>
    </row>
    <row r="224" spans="1:26" ht="22.5" customHeight="1">
      <c r="A224" s="1889"/>
      <c r="B224" s="1952"/>
      <c r="C224" s="1952"/>
      <c r="D224" s="1952"/>
      <c r="E224" s="1952"/>
      <c r="F224" s="1952"/>
      <c r="G224" s="1952"/>
      <c r="H224" s="1952"/>
      <c r="I224" s="1952"/>
      <c r="J224" s="1952"/>
      <c r="K224" s="1952"/>
      <c r="L224" s="1952"/>
      <c r="M224" s="1952"/>
      <c r="N224" s="1952"/>
      <c r="O224" s="1952"/>
      <c r="P224" s="1952"/>
      <c r="Z224" s="1858">
        <v>200</v>
      </c>
    </row>
    <row r="225" spans="1:26" ht="22.5" customHeight="1">
      <c r="A225" s="1935"/>
      <c r="B225" s="1952"/>
      <c r="C225" s="1952"/>
      <c r="D225" s="1952"/>
      <c r="E225" s="1952"/>
      <c r="F225" s="1952"/>
      <c r="G225" s="1952"/>
      <c r="H225" s="1952"/>
      <c r="I225" s="1952"/>
      <c r="J225" s="1952"/>
      <c r="K225" s="1952"/>
      <c r="L225" s="1952"/>
      <c r="M225" s="1952"/>
      <c r="N225" s="1952"/>
      <c r="O225" s="1952"/>
      <c r="P225" s="1952"/>
      <c r="Z225" s="1858">
        <v>201</v>
      </c>
    </row>
    <row r="226" spans="1:26" s="1857" customFormat="1" ht="6" customHeight="1">
      <c r="A226" s="1858"/>
      <c r="B226" s="1858"/>
      <c r="M226" s="1859"/>
      <c r="N226" s="1904"/>
      <c r="O226" s="1904"/>
      <c r="P226" s="1953"/>
      <c r="Z226" s="1858">
        <v>202</v>
      </c>
    </row>
    <row r="227" spans="1:26" s="1857" customFormat="1" ht="13.35" customHeight="1">
      <c r="A227" s="1858"/>
      <c r="B227" s="1858" t="s">
        <v>1656</v>
      </c>
      <c r="C227" s="1859" t="s">
        <v>1543</v>
      </c>
      <c r="D227" s="1904"/>
      <c r="E227" s="1904"/>
      <c r="F227" s="1904"/>
      <c r="G227" s="1904"/>
      <c r="H227" s="1858"/>
      <c r="J227" s="1866"/>
      <c r="K227" s="1884"/>
      <c r="O227" s="1858"/>
      <c r="P227" s="1881"/>
      <c r="Z227" s="1858">
        <v>203</v>
      </c>
    </row>
    <row r="228" spans="1:26" s="1857" customFormat="1" ht="12.6" customHeight="1">
      <c r="A228" s="1858"/>
      <c r="B228" s="1858"/>
      <c r="C228" s="1857" t="s">
        <v>2110</v>
      </c>
      <c r="I228" s="1919" t="str">
        <f>'Part I-Project Information'!I204</f>
        <v>No</v>
      </c>
      <c r="L228" s="1857" t="s">
        <v>1544</v>
      </c>
      <c r="P228" s="1919" t="str">
        <f>'Part I-Project Information'!P204</f>
        <v>Yes</v>
      </c>
      <c r="Z228" s="1858">
        <v>204</v>
      </c>
    </row>
    <row r="229" spans="1:26" s="1857" customFormat="1" ht="12.6" customHeight="1">
      <c r="A229" s="1858"/>
      <c r="B229" s="1858"/>
      <c r="C229" s="1857" t="s">
        <v>2111</v>
      </c>
      <c r="I229" s="1919" t="str">
        <f>'Part I-Project Information'!I205</f>
        <v>No</v>
      </c>
      <c r="L229" s="1857" t="s">
        <v>6545</v>
      </c>
      <c r="P229" s="1919" t="str">
        <f>'Part I-Project Information'!P205</f>
        <v>No</v>
      </c>
      <c r="Z229" s="1858">
        <v>205</v>
      </c>
    </row>
    <row r="230" spans="1:26" s="1857" customFormat="1" ht="12.6" customHeight="1">
      <c r="A230" s="1858"/>
      <c r="C230" s="1857" t="s">
        <v>2566</v>
      </c>
      <c r="I230" s="1919" t="str">
        <f>'Part I-Project Information'!I206</f>
        <v>No</v>
      </c>
      <c r="L230" s="1857" t="s">
        <v>2540</v>
      </c>
      <c r="N230" s="1954">
        <f>'Part I-Project Information'!N206</f>
        <v>0</v>
      </c>
      <c r="O230" s="1954"/>
      <c r="P230" s="1919" t="str">
        <f>'Part I-Project Information'!P206</f>
        <v>No</v>
      </c>
      <c r="Z230" s="1869">
        <v>206</v>
      </c>
    </row>
    <row r="231" spans="1:26" s="1857" customFormat="1" ht="12.6" customHeight="1">
      <c r="A231" s="1858"/>
      <c r="B231" s="1858"/>
      <c r="C231" s="1857" t="s">
        <v>1237</v>
      </c>
      <c r="D231" s="1876"/>
      <c r="I231" s="1919" t="str">
        <f>'Part I-Project Information'!I207</f>
        <v>No</v>
      </c>
      <c r="L231" s="1857" t="s">
        <v>3206</v>
      </c>
      <c r="P231" s="1919" t="str">
        <f>'Part I-Project Information'!P207</f>
        <v>No</v>
      </c>
      <c r="Z231" s="1858">
        <v>207</v>
      </c>
    </row>
    <row r="232" spans="1:26" s="1857" customFormat="1" ht="12.6" customHeight="1">
      <c r="A232" s="1858"/>
      <c r="C232" s="1857" t="s">
        <v>4126</v>
      </c>
      <c r="I232" s="1919" t="str">
        <f>'Part I-Project Information'!I208</f>
        <v>No</v>
      </c>
      <c r="J232" s="1955" t="s">
        <v>2584</v>
      </c>
      <c r="O232" s="1956">
        <f>-'Part I-Project Information'!O208</f>
        <v>0</v>
      </c>
      <c r="P232" s="1956"/>
      <c r="Z232" s="1858">
        <v>208</v>
      </c>
    </row>
    <row r="233" spans="1:26" s="1857" customFormat="1" ht="12.6" customHeight="1">
      <c r="A233" s="1858"/>
      <c r="C233" s="1857" t="s">
        <v>1723</v>
      </c>
      <c r="I233" s="1919" t="str">
        <f>'Part I-Project Information'!I209</f>
        <v>No</v>
      </c>
      <c r="J233" s="1955" t="s">
        <v>2584</v>
      </c>
      <c r="O233" s="1956">
        <f>-'Part I-Project Information'!O209</f>
        <v>0</v>
      </c>
      <c r="P233" s="1956"/>
      <c r="Z233" s="1858">
        <v>209</v>
      </c>
    </row>
    <row r="234" spans="1:26" s="1857" customFormat="1" ht="12.6" customHeight="1">
      <c r="A234" s="1858"/>
      <c r="B234" s="1858"/>
      <c r="C234" s="1857" t="s">
        <v>2689</v>
      </c>
      <c r="I234" s="1919" t="str">
        <f>'Part I-Project Information'!I210</f>
        <v>No</v>
      </c>
      <c r="J234" s="1955" t="s">
        <v>2584</v>
      </c>
      <c r="O234" s="1956">
        <f>-'Part I-Project Information'!O210</f>
        <v>0</v>
      </c>
      <c r="P234" s="1956"/>
      <c r="Z234" s="1858">
        <v>210</v>
      </c>
    </row>
    <row r="235" spans="1:26" s="1857" customFormat="1" ht="12.6" customHeight="1">
      <c r="A235" s="1858"/>
      <c r="B235" s="1858"/>
      <c r="C235" s="1938" t="s">
        <v>6399</v>
      </c>
      <c r="I235" s="1919" t="str">
        <f>'Part I-Project Information'!I211</f>
        <v>No</v>
      </c>
      <c r="J235" s="1955"/>
      <c r="Z235" s="1858">
        <v>211</v>
      </c>
    </row>
    <row r="236" spans="1:26" s="1857" customFormat="1" ht="3" customHeight="1">
      <c r="A236" s="1858"/>
      <c r="B236" s="1858"/>
      <c r="P236" s="1866"/>
      <c r="Z236" s="1858">
        <v>212</v>
      </c>
    </row>
    <row r="237" spans="1:26" s="1857" customFormat="1" ht="13.35" customHeight="1">
      <c r="B237" s="1858" t="s">
        <v>1657</v>
      </c>
      <c r="C237" s="1859" t="s">
        <v>709</v>
      </c>
      <c r="F237" s="1859" t="s">
        <v>609</v>
      </c>
      <c r="I237" s="1929">
        <f>'Part I-Project Information'!I213</f>
        <v>0</v>
      </c>
      <c r="J237" s="1929"/>
      <c r="Z237" s="1858">
        <v>213</v>
      </c>
    </row>
    <row r="238" spans="1:26" s="1857" customFormat="1" ht="12.6" customHeight="1">
      <c r="A238" s="1858"/>
      <c r="B238" s="1858"/>
      <c r="D238" s="1904"/>
      <c r="E238" s="1904"/>
      <c r="F238" s="1859" t="s">
        <v>265</v>
      </c>
      <c r="I238" s="1929">
        <f>'Part I-Project Information'!I214</f>
        <v>0</v>
      </c>
      <c r="J238" s="1929"/>
      <c r="Z238" s="1858">
        <v>214</v>
      </c>
    </row>
    <row r="239" spans="1:26" s="1857" customFormat="1" ht="12.6" customHeight="1">
      <c r="A239" s="1858"/>
      <c r="B239" s="1858"/>
      <c r="D239" s="1904"/>
      <c r="E239" s="1904"/>
      <c r="F239" s="1859" t="s">
        <v>2191</v>
      </c>
      <c r="I239" s="1929">
        <f>'Part I-Project Information'!I215</f>
        <v>45323</v>
      </c>
      <c r="J239" s="1929"/>
      <c r="Z239" s="1869">
        <v>215</v>
      </c>
    </row>
    <row r="240" spans="1:26" s="1857" customFormat="1" ht="2.25" customHeight="1">
      <c r="L240" s="1866"/>
      <c r="M240" s="1866"/>
      <c r="N240" s="1866"/>
      <c r="O240" s="1866"/>
      <c r="P240" s="1861"/>
      <c r="Z240" s="1858">
        <v>216</v>
      </c>
    </row>
    <row r="241" spans="1:26" s="1866" customFormat="1" ht="12" customHeight="1">
      <c r="A241" s="1866" t="s">
        <v>2604</v>
      </c>
      <c r="C241" s="1866" t="s">
        <v>543</v>
      </c>
      <c r="M241" s="1866" t="s">
        <v>2148</v>
      </c>
      <c r="N241" s="1866" t="s">
        <v>74</v>
      </c>
      <c r="Z241" s="1858">
        <v>217</v>
      </c>
    </row>
    <row r="242" spans="1:26" s="1866" customFormat="1" ht="103.5" customHeight="1">
      <c r="A242" s="1957" t="str">
        <f>'Part I-Project Information'!A218</f>
        <v>There have been no changes to this project or project team since pre-application.
The 32 PBRA PHA units are the second phase of units included in the West Point Housing Authority's RAD Portfolio Conversion.</v>
      </c>
      <c r="B242" s="1957"/>
      <c r="C242" s="1957"/>
      <c r="D242" s="1957"/>
      <c r="E242" s="1957"/>
      <c r="F242" s="1957"/>
      <c r="G242" s="1957"/>
      <c r="H242" s="1957"/>
      <c r="I242" s="1957"/>
      <c r="J242" s="1957"/>
      <c r="K242" s="1957"/>
      <c r="L242" s="1957"/>
      <c r="M242" s="1957"/>
      <c r="N242" s="1957"/>
      <c r="O242" s="1957"/>
      <c r="P242" s="1957"/>
      <c r="Q242" s="1925"/>
      <c r="R242" s="1925"/>
      <c r="S242" s="1925"/>
      <c r="T242" s="1925"/>
      <c r="U242" s="1925"/>
      <c r="Z242" s="1858">
        <v>218</v>
      </c>
    </row>
    <row r="247" spans="1:26" s="1857" customFormat="1" ht="14.1" customHeight="1">
      <c r="A247" s="1857" t="str">
        <f>CONCATENATE("PART TWO - DEVELOPMENT TEAM INFORMATION","  -  ",'Part I-Project Information'!$O$7," ",'Part I-Project Information'!$F$35,", ",'Part I-Project Information'!F284,", ",'Part I-Project Information'!J285," County")</f>
        <v>PART TWO - DEVELOPMENT TEAM INFORMATION  -  2021-067 West Point Village Phase II, ,  County</v>
      </c>
      <c r="Z247" s="1858">
        <v>2</v>
      </c>
    </row>
    <row r="248" spans="1:26" s="1866" customFormat="1" ht="12" customHeight="1">
      <c r="A248" s="1859" t="s">
        <v>3810</v>
      </c>
      <c r="Z248" s="1858">
        <v>3</v>
      </c>
    </row>
    <row r="249" spans="1:26" s="1857" customFormat="1" ht="13.35" customHeight="1">
      <c r="A249" s="1857" t="s">
        <v>586</v>
      </c>
      <c r="B249" s="1859" t="s">
        <v>1771</v>
      </c>
      <c r="C249" s="1859"/>
      <c r="E249" s="1859"/>
      <c r="F249" s="1859"/>
      <c r="G249" s="1859"/>
      <c r="H249" s="1860" t="s">
        <v>3612</v>
      </c>
      <c r="O249" s="1958" t="str">
        <f>'Part I-Project Information'!$B$7</f>
        <v>2021 Core App
May 10 Rev</v>
      </c>
      <c r="P249" s="1958"/>
      <c r="Q249" s="1958"/>
      <c r="R249" s="1958"/>
      <c r="S249" s="1958"/>
      <c r="Z249" s="1858">
        <v>4</v>
      </c>
    </row>
    <row r="250" spans="1:26" s="1857" customFormat="1" ht="8.4499999999999993" customHeight="1">
      <c r="D250" s="1859"/>
      <c r="E250" s="1859"/>
      <c r="F250" s="1859"/>
      <c r="G250" s="1859"/>
      <c r="H250" s="1859"/>
      <c r="I250" s="1859"/>
      <c r="J250" s="1859"/>
      <c r="Z250" s="1858">
        <v>5</v>
      </c>
    </row>
    <row r="251" spans="1:26" s="1857" customFormat="1" ht="11.25" customHeight="1">
      <c r="B251" s="1857" t="s">
        <v>1892</v>
      </c>
      <c r="C251" s="1859" t="s">
        <v>1767</v>
      </c>
      <c r="H251" s="1864" t="str">
        <f>'Part II-Development Team'!H6</f>
        <v>West Point Village Phase II LLC</v>
      </c>
      <c r="I251" s="1915"/>
      <c r="J251" s="1915"/>
      <c r="K251" s="1915"/>
      <c r="L251" s="1915"/>
      <c r="M251" s="1915"/>
      <c r="N251" s="1915"/>
      <c r="O251" s="1889" t="s">
        <v>1898</v>
      </c>
      <c r="P251" s="1889"/>
      <c r="Q251" s="1864" t="str">
        <f>'Part II-Development Team'!Q6</f>
        <v>Mark H. Dambly</v>
      </c>
      <c r="R251" s="1915"/>
      <c r="S251" s="1915"/>
      <c r="Z251" s="1858">
        <v>6</v>
      </c>
    </row>
    <row r="252" spans="1:26" s="1857" customFormat="1" ht="11.25" customHeight="1">
      <c r="D252" s="1888"/>
      <c r="E252" s="1859" t="s">
        <v>982</v>
      </c>
      <c r="F252" s="1861"/>
      <c r="H252" s="1864" t="str">
        <f>'Part II-Development Team'!H7</f>
        <v>230 Wyoming Avenue</v>
      </c>
      <c r="I252" s="1915"/>
      <c r="J252" s="1915"/>
      <c r="K252" s="1915"/>
      <c r="L252" s="1915"/>
      <c r="M252" s="1915"/>
      <c r="N252" s="1915"/>
      <c r="O252" s="1889" t="s">
        <v>1668</v>
      </c>
      <c r="P252" s="1864"/>
      <c r="Q252" s="1864" t="str">
        <f>'Part II-Development Team'!Q7</f>
        <v>President, Managing Mbr</v>
      </c>
      <c r="R252" s="1915"/>
      <c r="S252" s="1915"/>
      <c r="Z252" s="1858">
        <v>7</v>
      </c>
    </row>
    <row r="253" spans="1:26" s="1857" customFormat="1" ht="11.25" customHeight="1">
      <c r="D253" s="1888"/>
      <c r="E253" s="1859" t="s">
        <v>588</v>
      </c>
      <c r="H253" s="1864" t="str">
        <f>'Part II-Development Team'!H8</f>
        <v>Kingston</v>
      </c>
      <c r="I253" s="1915"/>
      <c r="J253" s="1915"/>
      <c r="K253" s="1880" t="s">
        <v>732</v>
      </c>
      <c r="L253" s="1864">
        <f>'Part II-Development Team'!L8</f>
        <v>0</v>
      </c>
      <c r="M253" s="1915"/>
      <c r="N253" s="1915"/>
      <c r="O253" s="1889" t="s">
        <v>1644</v>
      </c>
      <c r="P253" s="1864"/>
      <c r="Q253" s="1879">
        <f>'Part II-Development Team'!Q8</f>
        <v>2673868668</v>
      </c>
      <c r="R253" s="1879"/>
      <c r="S253" s="1879"/>
      <c r="Z253" s="1858">
        <v>8</v>
      </c>
    </row>
    <row r="254" spans="1:26" s="1857" customFormat="1" ht="11.25" customHeight="1">
      <c r="D254" s="1888"/>
      <c r="E254" s="1859" t="s">
        <v>1717</v>
      </c>
      <c r="H254" s="1889" t="str">
        <f>'Part II-Development Team'!H9</f>
        <v>PA</v>
      </c>
      <c r="I254" s="1880" t="s">
        <v>2127</v>
      </c>
      <c r="J254" s="1878">
        <f>'Part II-Development Team'!J9</f>
        <v>187043535</v>
      </c>
      <c r="K254" s="1915"/>
      <c r="L254" s="1864" t="s">
        <v>3322</v>
      </c>
      <c r="M254" s="1864" t="str">
        <f>'Part II-Development Team'!M9</f>
        <v>For Profit</v>
      </c>
      <c r="N254" s="1864"/>
      <c r="O254" s="1889" t="s">
        <v>1888</v>
      </c>
      <c r="P254" s="1864"/>
      <c r="Q254" s="1879">
        <f>'Part II-Development Team'!Q9</f>
        <v>0</v>
      </c>
      <c r="R254" s="1879"/>
      <c r="S254" s="1879"/>
      <c r="Z254" s="1858">
        <v>9</v>
      </c>
    </row>
    <row r="255" spans="1:26" s="1857" customFormat="1" ht="11.25" customHeight="1">
      <c r="D255" s="1888"/>
      <c r="E255" s="1859" t="s">
        <v>3613</v>
      </c>
      <c r="H255" s="1879">
        <f>'Part II-Development Team'!H10</f>
        <v>2673868600</v>
      </c>
      <c r="I255" s="1879"/>
      <c r="J255" s="1919">
        <f>'Part II-Development Team'!J10</f>
        <v>0</v>
      </c>
      <c r="K255" s="1880" t="s">
        <v>1893</v>
      </c>
      <c r="L255" s="1873" t="str">
        <f>'Part II-Development Team'!L10</f>
        <v>mdambly@pennrose.com</v>
      </c>
      <c r="M255" s="1873"/>
      <c r="N255" s="1873"/>
      <c r="O255" s="1873"/>
      <c r="P255" s="1873"/>
      <c r="Q255" s="1873"/>
      <c r="R255" s="1873"/>
      <c r="S255" s="1873"/>
      <c r="Z255" s="1869">
        <v>10</v>
      </c>
    </row>
    <row r="256" spans="1:26" s="1857" customFormat="1" ht="11.25" customHeight="1">
      <c r="D256" s="1888"/>
      <c r="E256" s="1860" t="s">
        <v>3612</v>
      </c>
      <c r="H256" s="1959"/>
      <c r="I256" s="1864"/>
      <c r="J256" s="1864"/>
      <c r="K256" s="1870"/>
      <c r="L256" s="1864"/>
      <c r="M256" s="1864"/>
      <c r="N256" s="1864" t="s">
        <v>6841</v>
      </c>
      <c r="O256" s="1864"/>
      <c r="P256" s="1864"/>
      <c r="Q256" s="1880"/>
      <c r="R256" s="1864"/>
      <c r="S256" s="1864"/>
      <c r="T256" s="1864"/>
      <c r="Z256" s="1858">
        <v>11</v>
      </c>
    </row>
    <row r="257" spans="2:26" s="1857" customFormat="1" ht="4.3499999999999996" customHeight="1">
      <c r="D257" s="1909"/>
      <c r="E257" s="1859"/>
      <c r="F257" s="1859"/>
      <c r="G257" s="1859"/>
      <c r="H257" s="1889"/>
      <c r="I257" s="1889"/>
      <c r="J257" s="1889"/>
      <c r="K257" s="1864"/>
      <c r="L257" s="1864"/>
      <c r="M257" s="1864"/>
      <c r="N257" s="1889"/>
      <c r="O257" s="1889"/>
      <c r="P257" s="1889"/>
      <c r="Q257" s="1889"/>
      <c r="R257" s="1889"/>
      <c r="S257" s="1889"/>
      <c r="T257" s="1889"/>
      <c r="Z257" s="1858">
        <v>12</v>
      </c>
    </row>
    <row r="258" spans="2:26" s="1857" customFormat="1" ht="11.25" customHeight="1">
      <c r="B258" s="1866" t="s">
        <v>1894</v>
      </c>
      <c r="C258" s="1859" t="s">
        <v>1768</v>
      </c>
      <c r="F258" s="1859"/>
      <c r="G258" s="1859"/>
      <c r="H258" s="1889"/>
      <c r="I258" s="1889"/>
      <c r="J258" s="1864"/>
      <c r="K258" s="1864"/>
      <c r="L258" s="1864"/>
      <c r="M258" s="1864"/>
      <c r="N258" s="1960" t="s">
        <v>1236</v>
      </c>
      <c r="O258" s="1864"/>
      <c r="P258" s="1864"/>
      <c r="Q258" s="1864"/>
      <c r="R258" s="1864"/>
      <c r="S258" s="1864"/>
      <c r="W258" s="1960"/>
      <c r="X258" s="1960"/>
      <c r="Y258" s="1960"/>
      <c r="Z258" s="1858">
        <v>13</v>
      </c>
    </row>
    <row r="259" spans="2:26" s="1857" customFormat="1" ht="11.25" customHeight="1">
      <c r="C259" s="1961" t="s">
        <v>1895</v>
      </c>
      <c r="D259" s="1866" t="s">
        <v>1896</v>
      </c>
      <c r="H259" s="1864"/>
      <c r="I259" s="1864"/>
      <c r="J259" s="1864"/>
      <c r="K259" s="1864"/>
      <c r="L259" s="1864"/>
      <c r="M259" s="1864"/>
      <c r="N259" s="1870"/>
      <c r="O259" s="1864"/>
      <c r="P259" s="1864"/>
      <c r="Q259" s="1864"/>
      <c r="R259" s="1864"/>
      <c r="S259" s="1864"/>
      <c r="W259" s="1962"/>
      <c r="X259" s="1962"/>
      <c r="Y259" s="1962"/>
      <c r="Z259" s="1858">
        <v>14</v>
      </c>
    </row>
    <row r="260" spans="2:26" s="1857" customFormat="1" ht="11.25" customHeight="1">
      <c r="D260" s="1857" t="s">
        <v>2021</v>
      </c>
      <c r="E260" s="1857" t="s">
        <v>1769</v>
      </c>
      <c r="H260" s="1864" t="str">
        <f>'Part II-Development Team'!H15</f>
        <v>West Point Village MM LLC</v>
      </c>
      <c r="I260" s="1915"/>
      <c r="J260" s="1915"/>
      <c r="K260" s="1915"/>
      <c r="L260" s="1915"/>
      <c r="M260" s="1915"/>
      <c r="N260" s="1915"/>
      <c r="O260" s="1889" t="s">
        <v>1898</v>
      </c>
      <c r="P260" s="1889"/>
      <c r="Q260" s="1864" t="str">
        <f>'Part II-Development Team'!Q15</f>
        <v>Richard A. Gower</v>
      </c>
      <c r="R260" s="1915"/>
      <c r="S260" s="1915"/>
      <c r="Z260" s="1858">
        <v>15</v>
      </c>
    </row>
    <row r="261" spans="2:26" s="1857" customFormat="1" ht="11.25" customHeight="1">
      <c r="D261" s="1888"/>
      <c r="E261" s="1859" t="s">
        <v>982</v>
      </c>
      <c r="F261" s="1861"/>
      <c r="H261" s="1864" t="str">
        <f>'Part II-Development Team'!H16</f>
        <v>230 Wyoming Avenue</v>
      </c>
      <c r="I261" s="1915"/>
      <c r="J261" s="1915"/>
      <c r="K261" s="1915"/>
      <c r="L261" s="1915"/>
      <c r="M261" s="1915"/>
      <c r="N261" s="1915"/>
      <c r="O261" s="1889" t="s">
        <v>1668</v>
      </c>
      <c r="P261" s="1864"/>
      <c r="Q261" s="1864" t="str">
        <f>'Part II-Development Team'!Q16</f>
        <v>Chief Financial Officer</v>
      </c>
      <c r="R261" s="1915"/>
      <c r="S261" s="1915"/>
      <c r="Z261" s="1858">
        <v>16</v>
      </c>
    </row>
    <row r="262" spans="2:26" s="1857" customFormat="1" ht="11.25" customHeight="1">
      <c r="D262" s="1888"/>
      <c r="E262" s="1859" t="s">
        <v>588</v>
      </c>
      <c r="H262" s="1864" t="str">
        <f>'Part II-Development Team'!H17</f>
        <v>Kingston</v>
      </c>
      <c r="I262" s="1915"/>
      <c r="J262" s="1915"/>
      <c r="K262" s="1880" t="s">
        <v>2552</v>
      </c>
      <c r="L262" s="1864" t="str">
        <f>'Part II-Development Team'!L17</f>
        <v>www.pennrose.com</v>
      </c>
      <c r="M262" s="1915"/>
      <c r="N262" s="1915"/>
      <c r="O262" s="1889" t="s">
        <v>1644</v>
      </c>
      <c r="P262" s="1864"/>
      <c r="Q262" s="1879">
        <f>'Part II-Development Team'!Q17</f>
        <v>2673868680</v>
      </c>
      <c r="R262" s="1879"/>
      <c r="S262" s="1879"/>
      <c r="Z262" s="1858">
        <v>17</v>
      </c>
    </row>
    <row r="263" spans="2:26" s="1857" customFormat="1" ht="11.25" customHeight="1">
      <c r="E263" s="1859" t="s">
        <v>1717</v>
      </c>
      <c r="H263" s="1889" t="str">
        <f>'Part II-Development Team'!H18</f>
        <v>PA</v>
      </c>
      <c r="I263" s="1864"/>
      <c r="J263" s="1864"/>
      <c r="K263" s="1880" t="s">
        <v>2127</v>
      </c>
      <c r="L263" s="1878">
        <f>'Part II-Development Team'!L18</f>
        <v>187043535</v>
      </c>
      <c r="M263" s="1915"/>
      <c r="N263" s="1864"/>
      <c r="O263" s="1889" t="s">
        <v>1888</v>
      </c>
      <c r="P263" s="1864"/>
      <c r="Q263" s="1879">
        <f>'Part II-Development Team'!Q18</f>
        <v>0</v>
      </c>
      <c r="R263" s="1879"/>
      <c r="S263" s="1879"/>
      <c r="Z263" s="1858">
        <v>18</v>
      </c>
    </row>
    <row r="264" spans="2:26" s="1857" customFormat="1" ht="11.25" customHeight="1">
      <c r="D264" s="1888"/>
      <c r="E264" s="1859" t="s">
        <v>3613</v>
      </c>
      <c r="H264" s="1879">
        <f>'Part II-Development Team'!H19</f>
        <v>2673868680</v>
      </c>
      <c r="I264" s="1879"/>
      <c r="J264" s="1919">
        <f>'Part II-Development Team'!J19</f>
        <v>0</v>
      </c>
      <c r="K264" s="1880" t="s">
        <v>1893</v>
      </c>
      <c r="L264" s="1873" t="str">
        <f>'Part II-Development Team'!L19</f>
        <v>rgower@pennrose.com</v>
      </c>
      <c r="M264" s="1873"/>
      <c r="N264" s="1873"/>
      <c r="O264" s="1873"/>
      <c r="P264" s="1873"/>
      <c r="Q264" s="1873"/>
      <c r="R264" s="1873"/>
      <c r="S264" s="1873"/>
      <c r="Z264" s="1869">
        <v>19</v>
      </c>
    </row>
    <row r="265" spans="2:26" s="1866" customFormat="1" ht="4.3499999999999996" customHeight="1">
      <c r="H265" s="1879"/>
      <c r="I265" s="1879"/>
      <c r="J265" s="1879"/>
      <c r="K265" s="1880"/>
      <c r="L265" s="1879"/>
      <c r="M265" s="1879"/>
      <c r="N265" s="1880"/>
      <c r="O265" s="1879"/>
      <c r="P265" s="1879"/>
      <c r="Q265" s="1880"/>
      <c r="R265" s="1879"/>
      <c r="S265" s="1879"/>
      <c r="Z265" s="1858">
        <v>20</v>
      </c>
    </row>
    <row r="266" spans="2:26" s="1857" customFormat="1" ht="11.25" customHeight="1">
      <c r="D266" s="1857" t="s">
        <v>2022</v>
      </c>
      <c r="E266" s="1857" t="s">
        <v>1770</v>
      </c>
      <c r="H266" s="1864" t="str">
        <f>'Part II-Development Team'!H21</f>
        <v>Collaborative Housing Solutions, Inc.</v>
      </c>
      <c r="I266" s="1915"/>
      <c r="J266" s="1915"/>
      <c r="K266" s="1915"/>
      <c r="L266" s="1915"/>
      <c r="M266" s="1915"/>
      <c r="N266" s="1915"/>
      <c r="O266" s="1889" t="s">
        <v>1898</v>
      </c>
      <c r="P266" s="1889"/>
      <c r="Q266" s="1864" t="str">
        <f>'Part II-Development Team'!Q21</f>
        <v>Richelle Patton</v>
      </c>
      <c r="R266" s="1915"/>
      <c r="S266" s="1915"/>
      <c r="Z266" s="1858">
        <v>21</v>
      </c>
    </row>
    <row r="267" spans="2:26" s="1857" customFormat="1" ht="11.25" customHeight="1">
      <c r="D267" s="1888"/>
      <c r="E267" s="1859" t="s">
        <v>982</v>
      </c>
      <c r="F267" s="1861"/>
      <c r="H267" s="1864" t="str">
        <f>'Part II-Development Team'!H22</f>
        <v>PO Box 2616</v>
      </c>
      <c r="I267" s="1915"/>
      <c r="J267" s="1915"/>
      <c r="K267" s="1915"/>
      <c r="L267" s="1915"/>
      <c r="M267" s="1915"/>
      <c r="N267" s="1915"/>
      <c r="O267" s="1889" t="s">
        <v>1668</v>
      </c>
      <c r="P267" s="1864"/>
      <c r="Q267" s="1864" t="str">
        <f>'Part II-Development Team'!Q22</f>
        <v>President</v>
      </c>
      <c r="R267" s="1915"/>
      <c r="S267" s="1915"/>
      <c r="Z267" s="1858">
        <v>22</v>
      </c>
    </row>
    <row r="268" spans="2:26" s="1857" customFormat="1" ht="11.25" customHeight="1">
      <c r="D268" s="1888"/>
      <c r="E268" s="1859" t="s">
        <v>588</v>
      </c>
      <c r="H268" s="1864" t="str">
        <f>'Part II-Development Team'!H23</f>
        <v>Decatur</v>
      </c>
      <c r="I268" s="1915"/>
      <c r="J268" s="1915"/>
      <c r="K268" s="1880" t="s">
        <v>2552</v>
      </c>
      <c r="L268" s="1864" t="str">
        <f>'Part II-Development Team'!L23</f>
        <v>www.collaborativehousingsolutions.com</v>
      </c>
      <c r="M268" s="1915"/>
      <c r="N268" s="1915"/>
      <c r="O268" s="1889" t="s">
        <v>1644</v>
      </c>
      <c r="P268" s="1864"/>
      <c r="Q268" s="1879">
        <f>'Part II-Development Team'!Q23</f>
        <v>4049976786</v>
      </c>
      <c r="R268" s="1879"/>
      <c r="S268" s="1879"/>
      <c r="Z268" s="1858">
        <v>23</v>
      </c>
    </row>
    <row r="269" spans="2:26" s="1857" customFormat="1" ht="11.25" customHeight="1">
      <c r="E269" s="1859" t="s">
        <v>1717</v>
      </c>
      <c r="H269" s="1889" t="str">
        <f>'Part II-Development Team'!H24</f>
        <v>GA</v>
      </c>
      <c r="I269" s="1864"/>
      <c r="J269" s="1864"/>
      <c r="K269" s="1880" t="s">
        <v>2127</v>
      </c>
      <c r="L269" s="1878">
        <f>'Part II-Development Team'!L24</f>
        <v>300312616</v>
      </c>
      <c r="M269" s="1915"/>
      <c r="N269" s="1864"/>
      <c r="O269" s="1889" t="s">
        <v>1888</v>
      </c>
      <c r="P269" s="1864"/>
      <c r="Q269" s="1879">
        <f>'Part II-Development Team'!Q24</f>
        <v>0</v>
      </c>
      <c r="R269" s="1879"/>
      <c r="S269" s="1879"/>
      <c r="Z269" s="1858">
        <v>24</v>
      </c>
    </row>
    <row r="270" spans="2:26" s="1857" customFormat="1" ht="11.25" customHeight="1">
      <c r="D270" s="1888"/>
      <c r="E270" s="1859" t="s">
        <v>3613</v>
      </c>
      <c r="H270" s="1879">
        <f>'Part II-Development Team'!H25</f>
        <v>4049976786</v>
      </c>
      <c r="I270" s="1879"/>
      <c r="J270" s="1919">
        <f>'Part II-Development Team'!J25</f>
        <v>0</v>
      </c>
      <c r="K270" s="1880" t="s">
        <v>1893</v>
      </c>
      <c r="L270" s="1873" t="str">
        <f>'Part II-Development Team'!L25</f>
        <v>richelle@collaborativehousingsolutions.com</v>
      </c>
      <c r="M270" s="1873"/>
      <c r="N270" s="1873"/>
      <c r="O270" s="1873"/>
      <c r="P270" s="1873"/>
      <c r="Q270" s="1873"/>
      <c r="R270" s="1873"/>
      <c r="S270" s="1873"/>
      <c r="Z270" s="1858">
        <v>25</v>
      </c>
    </row>
    <row r="271" spans="2:26" s="1857" customFormat="1" ht="4.3499999999999996" customHeight="1">
      <c r="D271" s="1888"/>
      <c r="G271" s="1859"/>
      <c r="H271" s="1879"/>
      <c r="I271" s="1879"/>
      <c r="J271" s="1879"/>
      <c r="K271" s="1880"/>
      <c r="L271" s="1879"/>
      <c r="M271" s="1879"/>
      <c r="N271" s="1880"/>
      <c r="O271" s="1879"/>
      <c r="P271" s="1879"/>
      <c r="Q271" s="1880"/>
      <c r="R271" s="1879"/>
      <c r="S271" s="1879"/>
      <c r="Z271" s="1869">
        <v>26</v>
      </c>
    </row>
    <row r="272" spans="2:26" s="1857" customFormat="1" ht="11.25" customHeight="1">
      <c r="D272" s="1857" t="s">
        <v>1655</v>
      </c>
      <c r="E272" s="1857" t="s">
        <v>1770</v>
      </c>
      <c r="H272" s="1864" t="str">
        <f>'Part II-Development Team'!H27</f>
        <v>Housing Authority of the City of West Point</v>
      </c>
      <c r="I272" s="1915"/>
      <c r="J272" s="1915"/>
      <c r="K272" s="1915"/>
      <c r="L272" s="1915"/>
      <c r="M272" s="1915"/>
      <c r="N272" s="1915"/>
      <c r="O272" s="1889" t="s">
        <v>1898</v>
      </c>
      <c r="P272" s="1889"/>
      <c r="Q272" s="1864" t="str">
        <f>'Part II-Development Team'!Q27</f>
        <v>Robert Dull</v>
      </c>
      <c r="R272" s="1915"/>
      <c r="S272" s="1915"/>
      <c r="Z272" s="1858">
        <v>27</v>
      </c>
    </row>
    <row r="273" spans="3:26" s="1857" customFormat="1" ht="11.25" customHeight="1">
      <c r="D273" s="1888"/>
      <c r="E273" s="1859" t="s">
        <v>982</v>
      </c>
      <c r="F273" s="1861"/>
      <c r="H273" s="1864" t="str">
        <f>'Part II-Development Team'!H28</f>
        <v>327 S 9th Street</v>
      </c>
      <c r="I273" s="1915"/>
      <c r="J273" s="1915"/>
      <c r="K273" s="1915"/>
      <c r="L273" s="1915"/>
      <c r="M273" s="1915"/>
      <c r="N273" s="1915"/>
      <c r="O273" s="1889" t="s">
        <v>1668</v>
      </c>
      <c r="P273" s="1864"/>
      <c r="Q273" s="1864" t="str">
        <f>'Part II-Development Team'!Q28</f>
        <v>Chief Executive Officer</v>
      </c>
      <c r="R273" s="1915"/>
      <c r="S273" s="1915"/>
      <c r="Z273" s="1858">
        <v>28</v>
      </c>
    </row>
    <row r="274" spans="3:26" s="1857" customFormat="1" ht="11.25" customHeight="1">
      <c r="D274" s="1888"/>
      <c r="E274" s="1859" t="s">
        <v>588</v>
      </c>
      <c r="H274" s="1864" t="str">
        <f>'Part II-Development Team'!H29</f>
        <v>West Point</v>
      </c>
      <c r="I274" s="1915"/>
      <c r="J274" s="1915"/>
      <c r="K274" s="1880" t="s">
        <v>2552</v>
      </c>
      <c r="L274" s="1864" t="str">
        <f>'Part II-Development Team'!L29</f>
        <v>www.griffinhousingauthority.com/west-point.com</v>
      </c>
      <c r="M274" s="1915"/>
      <c r="N274" s="1915"/>
      <c r="O274" s="1889" t="s">
        <v>1644</v>
      </c>
      <c r="P274" s="1864"/>
      <c r="Q274" s="1879">
        <f>'Part II-Development Team'!Q29</f>
        <v>7702277657</v>
      </c>
      <c r="R274" s="1879"/>
      <c r="S274" s="1879"/>
      <c r="Z274" s="1858">
        <v>29</v>
      </c>
    </row>
    <row r="275" spans="3:26" s="1857" customFormat="1" ht="11.25" customHeight="1">
      <c r="E275" s="1859" t="s">
        <v>1717</v>
      </c>
      <c r="H275" s="1889" t="str">
        <f>'Part II-Development Team'!H30</f>
        <v>GA</v>
      </c>
      <c r="I275" s="1864"/>
      <c r="J275" s="1864"/>
      <c r="K275" s="1880" t="s">
        <v>2127</v>
      </c>
      <c r="L275" s="1878">
        <f>'Part II-Development Team'!L30</f>
        <v>318331747</v>
      </c>
      <c r="M275" s="1915"/>
      <c r="N275" s="1864"/>
      <c r="O275" s="1889" t="s">
        <v>1888</v>
      </c>
      <c r="P275" s="1864"/>
      <c r="Q275" s="1879">
        <f>'Part II-Development Team'!Q30</f>
        <v>0</v>
      </c>
      <c r="R275" s="1879"/>
      <c r="S275" s="1879"/>
      <c r="Z275" s="1858">
        <v>30</v>
      </c>
    </row>
    <row r="276" spans="3:26" s="1857" customFormat="1" ht="11.25" customHeight="1">
      <c r="D276" s="1888"/>
      <c r="E276" s="1859" t="s">
        <v>3613</v>
      </c>
      <c r="H276" s="1879">
        <f>'Part II-Development Team'!H31</f>
        <v>7066451202</v>
      </c>
      <c r="I276" s="1879"/>
      <c r="J276" s="1919">
        <f>'Part II-Development Team'!J31</f>
        <v>0</v>
      </c>
      <c r="K276" s="1880" t="s">
        <v>1893</v>
      </c>
      <c r="L276" s="1873" t="str">
        <f>'Part II-Development Team'!L31</f>
        <v>rdull@griffinhousingauthority.com</v>
      </c>
      <c r="M276" s="1873"/>
      <c r="N276" s="1873"/>
      <c r="O276" s="1873"/>
      <c r="P276" s="1873"/>
      <c r="Q276" s="1873"/>
      <c r="R276" s="1873"/>
      <c r="S276" s="1873"/>
      <c r="Z276" s="1858">
        <v>31</v>
      </c>
    </row>
    <row r="277" spans="3:26" s="1866" customFormat="1" ht="4.3499999999999996" customHeight="1">
      <c r="H277" s="1915"/>
      <c r="I277" s="1915"/>
      <c r="J277" s="1915"/>
      <c r="K277" s="1915"/>
      <c r="L277" s="1915"/>
      <c r="M277" s="1915"/>
      <c r="N277" s="1915"/>
      <c r="O277" s="1915"/>
      <c r="P277" s="1915"/>
      <c r="Q277" s="1915"/>
      <c r="R277" s="1915"/>
      <c r="S277" s="1915"/>
      <c r="Z277" s="1858">
        <v>32</v>
      </c>
    </row>
    <row r="278" spans="3:26" s="1857" customFormat="1" ht="11.25" customHeight="1">
      <c r="C278" s="1961" t="s">
        <v>1897</v>
      </c>
      <c r="D278" s="1866" t="s">
        <v>1772</v>
      </c>
      <c r="H278" s="1864"/>
      <c r="I278" s="1864"/>
      <c r="J278" s="1864"/>
      <c r="K278" s="1963" t="s">
        <v>3612</v>
      </c>
      <c r="L278" s="1864"/>
      <c r="M278" s="1864"/>
      <c r="N278" s="1864"/>
      <c r="O278" s="1864"/>
      <c r="P278" s="1864"/>
      <c r="Q278" s="1864"/>
      <c r="R278" s="1864"/>
      <c r="S278" s="1864"/>
      <c r="Z278" s="1858">
        <v>33</v>
      </c>
    </row>
    <row r="279" spans="3:26" s="1857" customFormat="1" ht="11.25" customHeight="1">
      <c r="D279" s="1857" t="s">
        <v>2021</v>
      </c>
      <c r="E279" s="1857" t="s">
        <v>720</v>
      </c>
      <c r="H279" s="1864" t="str">
        <f>'Part II-Development Team'!H34</f>
        <v>Hudson Housing Capital LLC (Proposed)</v>
      </c>
      <c r="I279" s="1915"/>
      <c r="J279" s="1915"/>
      <c r="K279" s="1915"/>
      <c r="L279" s="1915"/>
      <c r="M279" s="1915"/>
      <c r="N279" s="1915"/>
      <c r="O279" s="1889" t="s">
        <v>1898</v>
      </c>
      <c r="P279" s="1889"/>
      <c r="Q279" s="1864" t="str">
        <f>'Part II-Development Team'!Q34</f>
        <v>W. Kimmel Cameron, Jr.</v>
      </c>
      <c r="R279" s="1915"/>
      <c r="S279" s="1915"/>
      <c r="Z279" s="1858">
        <v>34</v>
      </c>
    </row>
    <row r="280" spans="3:26" s="1857" customFormat="1" ht="11.25" customHeight="1">
      <c r="D280" s="1888"/>
      <c r="E280" s="1859" t="s">
        <v>982</v>
      </c>
      <c r="F280" s="1861"/>
      <c r="H280" s="1864" t="str">
        <f>'Part II-Development Team'!H35</f>
        <v>630 Fifth Avenue, Suite 285</v>
      </c>
      <c r="I280" s="1915"/>
      <c r="J280" s="1915"/>
      <c r="K280" s="1915"/>
      <c r="L280" s="1915"/>
      <c r="M280" s="1915"/>
      <c r="N280" s="1915"/>
      <c r="O280" s="1889" t="s">
        <v>1668</v>
      </c>
      <c r="P280" s="1864"/>
      <c r="Q280" s="1864" t="str">
        <f>'Part II-Development Team'!Q35</f>
        <v>Senior Vice President</v>
      </c>
      <c r="R280" s="1915"/>
      <c r="S280" s="1915"/>
      <c r="Z280" s="1869">
        <v>35</v>
      </c>
    </row>
    <row r="281" spans="3:26" s="1857" customFormat="1" ht="11.25" customHeight="1">
      <c r="D281" s="1888"/>
      <c r="E281" s="1859" t="s">
        <v>588</v>
      </c>
      <c r="H281" s="1864" t="str">
        <f>'Part II-Development Team'!H36</f>
        <v>New York</v>
      </c>
      <c r="I281" s="1915"/>
      <c r="J281" s="1915"/>
      <c r="K281" s="1880" t="s">
        <v>2552</v>
      </c>
      <c r="L281" s="1864" t="str">
        <f>'Part II-Development Team'!L36</f>
        <v>https://www.hudsonhousing.com/</v>
      </c>
      <c r="M281" s="1915"/>
      <c r="N281" s="1915"/>
      <c r="O281" s="1889" t="s">
        <v>1644</v>
      </c>
      <c r="P281" s="1864"/>
      <c r="Q281" s="1879">
        <f>'Part II-Development Team'!Q36</f>
        <v>2122184448</v>
      </c>
      <c r="R281" s="1879"/>
      <c r="S281" s="1879"/>
      <c r="Z281" s="1858">
        <v>36</v>
      </c>
    </row>
    <row r="282" spans="3:26" s="1857" customFormat="1" ht="11.25" customHeight="1">
      <c r="E282" s="1859" t="s">
        <v>1717</v>
      </c>
      <c r="H282" s="1889" t="str">
        <f>'Part II-Development Team'!H37</f>
        <v>NY</v>
      </c>
      <c r="I282" s="1864"/>
      <c r="J282" s="1864"/>
      <c r="K282" s="1880" t="s">
        <v>2127</v>
      </c>
      <c r="L282" s="1878">
        <f>'Part II-Development Team'!L37</f>
        <v>101110213</v>
      </c>
      <c r="M282" s="1915"/>
      <c r="N282" s="1864"/>
      <c r="O282" s="1889" t="s">
        <v>1888</v>
      </c>
      <c r="P282" s="1864"/>
      <c r="Q282" s="1879">
        <f>'Part II-Development Team'!Q37</f>
        <v>0</v>
      </c>
      <c r="R282" s="1879"/>
      <c r="S282" s="1879"/>
      <c r="Z282" s="1858">
        <v>37</v>
      </c>
    </row>
    <row r="283" spans="3:26" s="1857" customFormat="1" ht="11.25" customHeight="1">
      <c r="D283" s="1888"/>
      <c r="E283" s="1859" t="s">
        <v>3613</v>
      </c>
      <c r="H283" s="1879">
        <f>'Part II-Development Team'!H38</f>
        <v>2122184488</v>
      </c>
      <c r="I283" s="1879"/>
      <c r="J283" s="1919">
        <f>'Part II-Development Team'!J38</f>
        <v>0</v>
      </c>
      <c r="K283" s="1880" t="s">
        <v>1893</v>
      </c>
      <c r="L283" s="1873" t="str">
        <f>'Part II-Development Team'!L38</f>
        <v>kimmel.cameron@hudsonhousing.com</v>
      </c>
      <c r="M283" s="1873"/>
      <c r="N283" s="1873"/>
      <c r="O283" s="1873"/>
      <c r="P283" s="1873"/>
      <c r="Q283" s="1873"/>
      <c r="R283" s="1873"/>
      <c r="S283" s="1873"/>
      <c r="Z283" s="1858">
        <v>38</v>
      </c>
    </row>
    <row r="284" spans="3:26" s="1866" customFormat="1" ht="4.3499999999999996" customHeight="1">
      <c r="H284" s="1879"/>
      <c r="I284" s="1879"/>
      <c r="J284" s="1879"/>
      <c r="K284" s="1880"/>
      <c r="L284" s="1879"/>
      <c r="M284" s="1879"/>
      <c r="N284" s="1880"/>
      <c r="O284" s="1879"/>
      <c r="P284" s="1879"/>
      <c r="Q284" s="1880"/>
      <c r="R284" s="1879"/>
      <c r="S284" s="1879"/>
      <c r="Z284" s="1858">
        <v>39</v>
      </c>
    </row>
    <row r="285" spans="3:26" s="1857" customFormat="1" ht="11.25" customHeight="1">
      <c r="D285" s="1857" t="s">
        <v>2022</v>
      </c>
      <c r="E285" s="1857" t="s">
        <v>721</v>
      </c>
      <c r="H285" s="1864" t="str">
        <f>'Part II-Development Team'!H40</f>
        <v>(Same as Federal)</v>
      </c>
      <c r="I285" s="1915"/>
      <c r="J285" s="1915"/>
      <c r="K285" s="1915"/>
      <c r="L285" s="1915"/>
      <c r="M285" s="1915"/>
      <c r="N285" s="1915"/>
      <c r="O285" s="1889" t="s">
        <v>1898</v>
      </c>
      <c r="P285" s="1889"/>
      <c r="Q285" s="1864">
        <f>'Part II-Development Team'!Q40</f>
        <v>0</v>
      </c>
      <c r="R285" s="1915"/>
      <c r="S285" s="1915"/>
      <c r="Z285" s="1858">
        <v>40</v>
      </c>
    </row>
    <row r="286" spans="3:26" s="1857" customFormat="1" ht="11.25" customHeight="1">
      <c r="D286" s="1888"/>
      <c r="E286" s="1859" t="s">
        <v>982</v>
      </c>
      <c r="F286" s="1861"/>
      <c r="H286" s="1864">
        <f>'Part II-Development Team'!H41</f>
        <v>0</v>
      </c>
      <c r="I286" s="1915"/>
      <c r="J286" s="1915"/>
      <c r="K286" s="1915"/>
      <c r="L286" s="1915"/>
      <c r="M286" s="1915"/>
      <c r="N286" s="1915"/>
      <c r="O286" s="1889" t="s">
        <v>1668</v>
      </c>
      <c r="P286" s="1864"/>
      <c r="Q286" s="1864">
        <f>'Part II-Development Team'!Q41</f>
        <v>0</v>
      </c>
      <c r="R286" s="1915"/>
      <c r="S286" s="1915"/>
      <c r="Z286" s="1858">
        <v>41</v>
      </c>
    </row>
    <row r="287" spans="3:26" s="1857" customFormat="1" ht="11.25" customHeight="1">
      <c r="D287" s="1888"/>
      <c r="E287" s="1859" t="s">
        <v>588</v>
      </c>
      <c r="H287" s="1864">
        <f>'Part II-Development Team'!H42</f>
        <v>0</v>
      </c>
      <c r="I287" s="1915"/>
      <c r="J287" s="1915"/>
      <c r="K287" s="1880" t="s">
        <v>2552</v>
      </c>
      <c r="L287" s="1864">
        <f>'Part II-Development Team'!L42</f>
        <v>0</v>
      </c>
      <c r="M287" s="1915"/>
      <c r="N287" s="1915"/>
      <c r="O287" s="1889" t="s">
        <v>1644</v>
      </c>
      <c r="P287" s="1864"/>
      <c r="Q287" s="1879">
        <f>'Part II-Development Team'!Q42</f>
        <v>0</v>
      </c>
      <c r="R287" s="1879"/>
      <c r="S287" s="1879"/>
      <c r="Z287" s="1858">
        <v>42</v>
      </c>
    </row>
    <row r="288" spans="3:26" s="1857" customFormat="1" ht="11.25" customHeight="1">
      <c r="E288" s="1859" t="s">
        <v>1717</v>
      </c>
      <c r="H288" s="1889">
        <f>'Part II-Development Team'!H43</f>
        <v>0</v>
      </c>
      <c r="I288" s="1864"/>
      <c r="J288" s="1864"/>
      <c r="K288" s="1880" t="s">
        <v>2127</v>
      </c>
      <c r="L288" s="1878">
        <f>'Part II-Development Team'!L43</f>
        <v>0</v>
      </c>
      <c r="M288" s="1915"/>
      <c r="N288" s="1864"/>
      <c r="O288" s="1889" t="s">
        <v>1888</v>
      </c>
      <c r="P288" s="1864"/>
      <c r="Q288" s="1879">
        <f>'Part II-Development Team'!Q43</f>
        <v>0</v>
      </c>
      <c r="R288" s="1879"/>
      <c r="S288" s="1879"/>
      <c r="Z288" s="1858">
        <v>43</v>
      </c>
    </row>
    <row r="289" spans="1:26" s="1857" customFormat="1" ht="11.25" customHeight="1">
      <c r="D289" s="1888"/>
      <c r="E289" s="1859" t="s">
        <v>3613</v>
      </c>
      <c r="H289" s="1879">
        <f>'Part II-Development Team'!H44</f>
        <v>0</v>
      </c>
      <c r="I289" s="1879"/>
      <c r="J289" s="1919">
        <f>'Part II-Development Team'!J44</f>
        <v>0</v>
      </c>
      <c r="K289" s="1880" t="s">
        <v>1893</v>
      </c>
      <c r="L289" s="1873">
        <f>'Part II-Development Team'!L44</f>
        <v>0</v>
      </c>
      <c r="M289" s="1873"/>
      <c r="N289" s="1873"/>
      <c r="O289" s="1873"/>
      <c r="P289" s="1873"/>
      <c r="Q289" s="1873"/>
      <c r="R289" s="1873"/>
      <c r="S289" s="1873"/>
      <c r="Z289" s="1869">
        <v>44</v>
      </c>
    </row>
    <row r="290" spans="1:26" s="1857" customFormat="1" ht="4.3499999999999996" customHeight="1">
      <c r="D290" s="1888"/>
      <c r="E290" s="1859"/>
      <c r="H290" s="1959"/>
      <c r="I290" s="1959"/>
      <c r="J290" s="1918"/>
      <c r="K290" s="1880"/>
      <c r="L290" s="1959"/>
      <c r="M290" s="1959"/>
      <c r="N290" s="1880"/>
      <c r="O290" s="1959"/>
      <c r="P290" s="1959"/>
      <c r="Q290" s="1880"/>
      <c r="R290" s="1959"/>
      <c r="S290" s="1959"/>
      <c r="Z290" s="1858">
        <v>45</v>
      </c>
    </row>
    <row r="291" spans="1:26" s="1857" customFormat="1" ht="11.25" customHeight="1">
      <c r="C291" s="1964" t="s">
        <v>2415</v>
      </c>
      <c r="D291" s="1866" t="s">
        <v>621</v>
      </c>
      <c r="H291" s="1864"/>
      <c r="I291" s="1864"/>
      <c r="J291" s="1864"/>
      <c r="K291" s="1963" t="s">
        <v>3612</v>
      </c>
      <c r="L291" s="1864"/>
      <c r="M291" s="1864"/>
      <c r="N291" s="1864"/>
      <c r="O291" s="1864"/>
      <c r="P291" s="1864"/>
      <c r="Q291" s="1864"/>
      <c r="R291" s="1864"/>
      <c r="S291" s="1864"/>
      <c r="Z291" s="1858">
        <v>46</v>
      </c>
    </row>
    <row r="292" spans="1:26" s="1857" customFormat="1" ht="11.25" customHeight="1">
      <c r="E292" s="1857" t="s">
        <v>87</v>
      </c>
      <c r="H292" s="1864">
        <f>'Part II-Development Team'!H47</f>
        <v>0</v>
      </c>
      <c r="I292" s="1915"/>
      <c r="J292" s="1915"/>
      <c r="K292" s="1915"/>
      <c r="L292" s="1915"/>
      <c r="M292" s="1915"/>
      <c r="N292" s="1915"/>
      <c r="O292" s="1889" t="s">
        <v>1898</v>
      </c>
      <c r="P292" s="1889"/>
      <c r="Q292" s="1864">
        <f>'Part II-Development Team'!Q47</f>
        <v>0</v>
      </c>
      <c r="R292" s="1915"/>
      <c r="S292" s="1915"/>
      <c r="Z292" s="1858">
        <v>47</v>
      </c>
    </row>
    <row r="293" spans="1:26" s="1857" customFormat="1" ht="11.25" customHeight="1">
      <c r="D293" s="1888"/>
      <c r="E293" s="1859" t="s">
        <v>982</v>
      </c>
      <c r="F293" s="1861"/>
      <c r="H293" s="1864">
        <f>'Part II-Development Team'!H48</f>
        <v>0</v>
      </c>
      <c r="I293" s="1915"/>
      <c r="J293" s="1915"/>
      <c r="K293" s="1915"/>
      <c r="L293" s="1915"/>
      <c r="M293" s="1915"/>
      <c r="N293" s="1915"/>
      <c r="O293" s="1889" t="s">
        <v>1668</v>
      </c>
      <c r="P293" s="1864"/>
      <c r="Q293" s="1864">
        <f>'Part II-Development Team'!Q48</f>
        <v>0</v>
      </c>
      <c r="R293" s="1915"/>
      <c r="S293" s="1915"/>
      <c r="Z293" s="1858">
        <v>48</v>
      </c>
    </row>
    <row r="294" spans="1:26" s="1857" customFormat="1" ht="11.25" customHeight="1">
      <c r="D294" s="1888"/>
      <c r="E294" s="1859" t="s">
        <v>588</v>
      </c>
      <c r="H294" s="1864">
        <f>'Part II-Development Team'!H49</f>
        <v>0</v>
      </c>
      <c r="I294" s="1915"/>
      <c r="J294" s="1915"/>
      <c r="K294" s="1880" t="s">
        <v>2552</v>
      </c>
      <c r="L294" s="1864">
        <f>'Part II-Development Team'!L49</f>
        <v>0</v>
      </c>
      <c r="M294" s="1915"/>
      <c r="N294" s="1915"/>
      <c r="O294" s="1889" t="s">
        <v>1644</v>
      </c>
      <c r="P294" s="1864"/>
      <c r="Q294" s="1879">
        <f>'Part II-Development Team'!Q49</f>
        <v>0</v>
      </c>
      <c r="R294" s="1879"/>
      <c r="S294" s="1879"/>
      <c r="Z294" s="1858">
        <v>49</v>
      </c>
    </row>
    <row r="295" spans="1:26" s="1857" customFormat="1" ht="11.25" customHeight="1">
      <c r="E295" s="1859" t="s">
        <v>1717</v>
      </c>
      <c r="H295" s="1889">
        <f>'Part II-Development Team'!H50</f>
        <v>0</v>
      </c>
      <c r="I295" s="1864"/>
      <c r="J295" s="1864"/>
      <c r="K295" s="1880" t="s">
        <v>2127</v>
      </c>
      <c r="L295" s="1878">
        <f>'Part II-Development Team'!L50</f>
        <v>0</v>
      </c>
      <c r="M295" s="1915"/>
      <c r="N295" s="1864"/>
      <c r="O295" s="1889" t="s">
        <v>1888</v>
      </c>
      <c r="P295" s="1864"/>
      <c r="Q295" s="1879">
        <f>'Part II-Development Team'!Q50</f>
        <v>0</v>
      </c>
      <c r="R295" s="1879"/>
      <c r="S295" s="1879"/>
      <c r="Z295" s="1858">
        <v>50</v>
      </c>
    </row>
    <row r="296" spans="1:26" s="1857" customFormat="1" ht="11.25" customHeight="1">
      <c r="D296" s="1888"/>
      <c r="E296" s="1859" t="s">
        <v>3613</v>
      </c>
      <c r="H296" s="1879">
        <f>'Part II-Development Team'!H51</f>
        <v>0</v>
      </c>
      <c r="I296" s="1879"/>
      <c r="J296" s="1919">
        <f>'Part II-Development Team'!J51</f>
        <v>0</v>
      </c>
      <c r="K296" s="1880" t="s">
        <v>1893</v>
      </c>
      <c r="L296" s="1873">
        <f>'Part II-Development Team'!L51</f>
        <v>0</v>
      </c>
      <c r="M296" s="1873"/>
      <c r="N296" s="1873"/>
      <c r="O296" s="1873"/>
      <c r="P296" s="1873"/>
      <c r="Q296" s="1873"/>
      <c r="R296" s="1873"/>
      <c r="S296" s="1873"/>
      <c r="Z296" s="1858">
        <v>51</v>
      </c>
    </row>
    <row r="297" spans="1:26" s="1866" customFormat="1" ht="6.75" customHeight="1">
      <c r="H297" s="1915"/>
      <c r="I297" s="1915"/>
      <c r="J297" s="1915"/>
      <c r="K297" s="1915"/>
      <c r="L297" s="1915"/>
      <c r="M297" s="1915"/>
      <c r="N297" s="1915"/>
      <c r="O297" s="1915"/>
      <c r="P297" s="1915"/>
      <c r="Q297" s="1915"/>
      <c r="R297" s="1915"/>
      <c r="S297" s="1915"/>
      <c r="Z297" s="1858">
        <v>52</v>
      </c>
    </row>
    <row r="298" spans="1:26" s="1857" customFormat="1" ht="13.35" customHeight="1">
      <c r="A298" s="1857" t="s">
        <v>710</v>
      </c>
      <c r="B298" s="1857" t="s">
        <v>622</v>
      </c>
      <c r="G298" s="1858"/>
      <c r="H298" s="1880"/>
      <c r="I298" s="1880"/>
      <c r="J298" s="1864"/>
      <c r="K298" s="1963" t="s">
        <v>3612</v>
      </c>
      <c r="L298" s="1864"/>
      <c r="M298" s="1864"/>
      <c r="N298" s="1864"/>
      <c r="O298" s="1864"/>
      <c r="P298" s="1864"/>
      <c r="Q298" s="1864"/>
      <c r="R298" s="1864"/>
      <c r="S298" s="1864"/>
      <c r="Z298" s="1869">
        <v>53</v>
      </c>
    </row>
    <row r="299" spans="1:26" s="1857" customFormat="1" ht="3" customHeight="1">
      <c r="G299" s="1858"/>
      <c r="H299" s="1879"/>
      <c r="I299" s="1879"/>
      <c r="J299" s="1879"/>
      <c r="K299" s="1880"/>
      <c r="L299" s="1879"/>
      <c r="M299" s="1879"/>
      <c r="N299" s="1880"/>
      <c r="O299" s="1879"/>
      <c r="P299" s="1879"/>
      <c r="Q299" s="1880"/>
      <c r="R299" s="1879"/>
      <c r="S299" s="1879"/>
      <c r="Z299" s="1858">
        <v>54</v>
      </c>
    </row>
    <row r="300" spans="1:26" s="1857" customFormat="1" ht="11.25" customHeight="1">
      <c r="B300" s="1857" t="s">
        <v>1892</v>
      </c>
      <c r="C300" s="1857" t="s">
        <v>271</v>
      </c>
      <c r="H300" s="1864" t="str">
        <f>'Part II-Development Team'!H55</f>
        <v>Pennrose LLC</v>
      </c>
      <c r="I300" s="1915"/>
      <c r="J300" s="1915"/>
      <c r="K300" s="1915"/>
      <c r="L300" s="1915"/>
      <c r="M300" s="1915"/>
      <c r="N300" s="1915"/>
      <c r="O300" s="1889" t="s">
        <v>1898</v>
      </c>
      <c r="P300" s="1889"/>
      <c r="Q300" s="1864" t="str">
        <f>'Part II-Development Team'!Q55</f>
        <v>Mark H.Dambly</v>
      </c>
      <c r="R300" s="1915"/>
      <c r="S300" s="1915"/>
      <c r="Z300" s="1858">
        <v>55</v>
      </c>
    </row>
    <row r="301" spans="1:26" s="1857" customFormat="1" ht="11.25" customHeight="1">
      <c r="D301" s="1888"/>
      <c r="E301" s="1859" t="s">
        <v>982</v>
      </c>
      <c r="F301" s="1861"/>
      <c r="H301" s="1864" t="str">
        <f>'Part II-Development Team'!H56</f>
        <v>1301 N 31st Street</v>
      </c>
      <c r="I301" s="1915"/>
      <c r="J301" s="1915"/>
      <c r="K301" s="1915"/>
      <c r="L301" s="1915"/>
      <c r="M301" s="1915"/>
      <c r="N301" s="1915"/>
      <c r="O301" s="1889" t="s">
        <v>1668</v>
      </c>
      <c r="P301" s="1864"/>
      <c r="Q301" s="1864" t="str">
        <f>'Part II-Development Team'!Q56</f>
        <v>President</v>
      </c>
      <c r="R301" s="1915"/>
      <c r="S301" s="1915"/>
      <c r="Z301" s="1858">
        <v>56</v>
      </c>
    </row>
    <row r="302" spans="1:26" s="1857" customFormat="1" ht="11.25" customHeight="1">
      <c r="D302" s="1888"/>
      <c r="E302" s="1859" t="s">
        <v>588</v>
      </c>
      <c r="H302" s="1864" t="str">
        <f>'Part II-Development Team'!H57</f>
        <v>Philadelphia</v>
      </c>
      <c r="I302" s="1915"/>
      <c r="J302" s="1915"/>
      <c r="K302" s="1880" t="s">
        <v>2552</v>
      </c>
      <c r="L302" s="1864" t="str">
        <f>'Part II-Development Team'!L57</f>
        <v>www.pennrose.com</v>
      </c>
      <c r="M302" s="1915"/>
      <c r="N302" s="1915"/>
      <c r="O302" s="1889" t="s">
        <v>1644</v>
      </c>
      <c r="P302" s="1864"/>
      <c r="Q302" s="1879">
        <f>'Part II-Development Team'!Q57</f>
        <v>2673868668</v>
      </c>
      <c r="R302" s="1879"/>
      <c r="S302" s="1879"/>
      <c r="Z302" s="1858">
        <v>57</v>
      </c>
    </row>
    <row r="303" spans="1:26" s="1857" customFormat="1" ht="11.25" customHeight="1">
      <c r="E303" s="1859" t="s">
        <v>1717</v>
      </c>
      <c r="H303" s="1889" t="str">
        <f>'Part II-Development Team'!H58</f>
        <v>PA</v>
      </c>
      <c r="I303" s="1864"/>
      <c r="J303" s="1864"/>
      <c r="K303" s="1880" t="s">
        <v>2127</v>
      </c>
      <c r="L303" s="1878">
        <f>'Part II-Development Team'!L58</f>
        <v>191214495</v>
      </c>
      <c r="M303" s="1915"/>
      <c r="N303" s="1864"/>
      <c r="O303" s="1889" t="s">
        <v>1888</v>
      </c>
      <c r="P303" s="1864"/>
      <c r="Q303" s="1879">
        <f>'Part II-Development Team'!Q58</f>
        <v>0</v>
      </c>
      <c r="R303" s="1879"/>
      <c r="S303" s="1879"/>
      <c r="Z303" s="1858">
        <v>58</v>
      </c>
    </row>
    <row r="304" spans="1:26" s="1857" customFormat="1" ht="11.25" customHeight="1">
      <c r="D304" s="1888"/>
      <c r="E304" s="1859" t="s">
        <v>3613</v>
      </c>
      <c r="H304" s="1879">
        <f>'Part II-Development Team'!H59</f>
        <v>2673868600</v>
      </c>
      <c r="I304" s="1879"/>
      <c r="J304" s="1919">
        <f>'Part II-Development Team'!J59</f>
        <v>0</v>
      </c>
      <c r="K304" s="1880" t="s">
        <v>1893</v>
      </c>
      <c r="L304" s="1873" t="str">
        <f>'Part II-Development Team'!L59</f>
        <v>mdambly@pennrose.com</v>
      </c>
      <c r="M304" s="1873"/>
      <c r="N304" s="1873"/>
      <c r="O304" s="1873"/>
      <c r="P304" s="1873"/>
      <c r="Q304" s="1873"/>
      <c r="R304" s="1873"/>
      <c r="S304" s="1873"/>
      <c r="Z304" s="1858">
        <v>59</v>
      </c>
    </row>
    <row r="305" spans="2:26" s="1857" customFormat="1" ht="6.6" customHeight="1">
      <c r="D305" s="1888"/>
      <c r="G305" s="1859"/>
      <c r="H305" s="1879"/>
      <c r="I305" s="1879"/>
      <c r="J305" s="1879"/>
      <c r="K305" s="1880"/>
      <c r="L305" s="1879"/>
      <c r="M305" s="1879"/>
      <c r="N305" s="1880"/>
      <c r="O305" s="1879"/>
      <c r="P305" s="1879"/>
      <c r="Q305" s="1880"/>
      <c r="R305" s="1879"/>
      <c r="S305" s="1879"/>
      <c r="Z305" s="1858">
        <v>60</v>
      </c>
    </row>
    <row r="306" spans="2:26" s="1857" customFormat="1" ht="11.25" customHeight="1">
      <c r="B306" s="1857" t="s">
        <v>1894</v>
      </c>
      <c r="C306" s="1857" t="s">
        <v>272</v>
      </c>
      <c r="H306" s="1864" t="str">
        <f>'Part II-Development Team'!H61</f>
        <v>Collaborative Housing Solutions, Inc.</v>
      </c>
      <c r="I306" s="1915"/>
      <c r="J306" s="1915"/>
      <c r="K306" s="1915"/>
      <c r="L306" s="1915"/>
      <c r="M306" s="1915"/>
      <c r="N306" s="1915"/>
      <c r="O306" s="1889" t="s">
        <v>1898</v>
      </c>
      <c r="P306" s="1889"/>
      <c r="Q306" s="1864" t="str">
        <f>'Part II-Development Team'!Q61</f>
        <v>Richelle Patton</v>
      </c>
      <c r="R306" s="1915"/>
      <c r="S306" s="1915"/>
      <c r="Z306" s="1858">
        <v>61</v>
      </c>
    </row>
    <row r="307" spans="2:26" s="1857" customFormat="1" ht="11.25" customHeight="1">
      <c r="D307" s="1888"/>
      <c r="E307" s="1859" t="s">
        <v>982</v>
      </c>
      <c r="F307" s="1861"/>
      <c r="H307" s="1864" t="str">
        <f>'Part II-Development Team'!H62</f>
        <v>PO Box 2616</v>
      </c>
      <c r="I307" s="1915"/>
      <c r="J307" s="1915"/>
      <c r="K307" s="1915"/>
      <c r="L307" s="1915"/>
      <c r="M307" s="1915"/>
      <c r="N307" s="1915"/>
      <c r="O307" s="1889" t="s">
        <v>1668</v>
      </c>
      <c r="P307" s="1864"/>
      <c r="Q307" s="1864" t="str">
        <f>'Part II-Development Team'!Q62</f>
        <v>President</v>
      </c>
      <c r="R307" s="1915"/>
      <c r="S307" s="1915"/>
      <c r="Z307" s="1869">
        <v>62</v>
      </c>
    </row>
    <row r="308" spans="2:26" s="1857" customFormat="1" ht="11.25" customHeight="1">
      <c r="D308" s="1888"/>
      <c r="E308" s="1859" t="s">
        <v>588</v>
      </c>
      <c r="H308" s="1864" t="str">
        <f>'Part II-Development Team'!H63</f>
        <v>Decatur</v>
      </c>
      <c r="I308" s="1915"/>
      <c r="J308" s="1915"/>
      <c r="K308" s="1880" t="s">
        <v>2552</v>
      </c>
      <c r="L308" s="1864" t="str">
        <f>'Part II-Development Team'!L63</f>
        <v>www.collaborativehousingsolutions.com</v>
      </c>
      <c r="M308" s="1915"/>
      <c r="N308" s="1915"/>
      <c r="O308" s="1889" t="s">
        <v>1644</v>
      </c>
      <c r="P308" s="1864"/>
      <c r="Q308" s="1879">
        <f>'Part II-Development Team'!Q63</f>
        <v>4049976786</v>
      </c>
      <c r="R308" s="1879"/>
      <c r="S308" s="1879"/>
      <c r="Z308" s="1858">
        <v>63</v>
      </c>
    </row>
    <row r="309" spans="2:26" s="1857" customFormat="1" ht="11.25" customHeight="1">
      <c r="E309" s="1859" t="s">
        <v>1717</v>
      </c>
      <c r="H309" s="1889" t="str">
        <f>'Part II-Development Team'!H64</f>
        <v>GA</v>
      </c>
      <c r="I309" s="1864"/>
      <c r="J309" s="1864"/>
      <c r="K309" s="1880" t="s">
        <v>2127</v>
      </c>
      <c r="L309" s="1878">
        <f>'Part II-Development Team'!L64</f>
        <v>300312616</v>
      </c>
      <c r="M309" s="1915"/>
      <c r="N309" s="1864"/>
      <c r="O309" s="1889" t="s">
        <v>1888</v>
      </c>
      <c r="P309" s="1864"/>
      <c r="Q309" s="1879">
        <f>'Part II-Development Team'!Q64</f>
        <v>0</v>
      </c>
      <c r="R309" s="1879"/>
      <c r="S309" s="1879"/>
      <c r="Z309" s="1858">
        <v>64</v>
      </c>
    </row>
    <row r="310" spans="2:26" s="1857" customFormat="1" ht="11.25" customHeight="1">
      <c r="D310" s="1888"/>
      <c r="E310" s="1859" t="s">
        <v>3613</v>
      </c>
      <c r="H310" s="1879">
        <f>'Part II-Development Team'!H65</f>
        <v>4049976786</v>
      </c>
      <c r="I310" s="1879"/>
      <c r="J310" s="1919">
        <f>'Part II-Development Team'!J65</f>
        <v>0</v>
      </c>
      <c r="K310" s="1880" t="s">
        <v>1893</v>
      </c>
      <c r="L310" s="1873" t="str">
        <f>'Part II-Development Team'!L65</f>
        <v>richelle@collaborativehousingsolutions.com</v>
      </c>
      <c r="M310" s="1873"/>
      <c r="N310" s="1873"/>
      <c r="O310" s="1873"/>
      <c r="P310" s="1873"/>
      <c r="Q310" s="1873"/>
      <c r="R310" s="1873"/>
      <c r="S310" s="1873"/>
      <c r="Z310" s="1858">
        <v>65</v>
      </c>
    </row>
    <row r="311" spans="2:26" s="1857" customFormat="1" ht="6.6" customHeight="1">
      <c r="D311" s="1888"/>
      <c r="G311" s="1859"/>
      <c r="H311" s="1879"/>
      <c r="I311" s="1879"/>
      <c r="J311" s="1879"/>
      <c r="K311" s="1880"/>
      <c r="L311" s="1879"/>
      <c r="M311" s="1879"/>
      <c r="N311" s="1880"/>
      <c r="O311" s="1879"/>
      <c r="P311" s="1879"/>
      <c r="Q311" s="1880"/>
      <c r="R311" s="1879"/>
      <c r="S311" s="1879"/>
      <c r="Z311" s="1858">
        <v>66</v>
      </c>
    </row>
    <row r="312" spans="2:26" s="1857" customFormat="1" ht="11.25" customHeight="1">
      <c r="B312" s="1857" t="s">
        <v>719</v>
      </c>
      <c r="C312" s="1857" t="s">
        <v>1467</v>
      </c>
      <c r="H312" s="1864" t="str">
        <f>'Part II-Development Team'!H67</f>
        <v>Housing Authority of the City of West Point</v>
      </c>
      <c r="I312" s="1915"/>
      <c r="J312" s="1915"/>
      <c r="K312" s="1915"/>
      <c r="L312" s="1915"/>
      <c r="M312" s="1915"/>
      <c r="N312" s="1915"/>
      <c r="O312" s="1889" t="s">
        <v>1898</v>
      </c>
      <c r="P312" s="1889"/>
      <c r="Q312" s="1864" t="str">
        <f>'Part II-Development Team'!Q67</f>
        <v>Robert Dull</v>
      </c>
      <c r="R312" s="1915"/>
      <c r="S312" s="1915"/>
      <c r="Z312" s="1858">
        <v>67</v>
      </c>
    </row>
    <row r="313" spans="2:26" s="1857" customFormat="1" ht="11.25" customHeight="1">
      <c r="D313" s="1888"/>
      <c r="E313" s="1859" t="s">
        <v>982</v>
      </c>
      <c r="F313" s="1861"/>
      <c r="H313" s="1864" t="str">
        <f>'Part II-Development Team'!H68</f>
        <v>327 S 9th Street</v>
      </c>
      <c r="I313" s="1915"/>
      <c r="J313" s="1915"/>
      <c r="K313" s="1915"/>
      <c r="L313" s="1915"/>
      <c r="M313" s="1915"/>
      <c r="N313" s="1915"/>
      <c r="O313" s="1889" t="s">
        <v>1668</v>
      </c>
      <c r="P313" s="1864"/>
      <c r="Q313" s="1864" t="str">
        <f>'Part II-Development Team'!Q68</f>
        <v>Chief Executive Officer</v>
      </c>
      <c r="R313" s="1915"/>
      <c r="S313" s="1915"/>
      <c r="Z313" s="1858">
        <v>68</v>
      </c>
    </row>
    <row r="314" spans="2:26" s="1857" customFormat="1" ht="11.25" customHeight="1">
      <c r="D314" s="1888"/>
      <c r="E314" s="1859" t="s">
        <v>588</v>
      </c>
      <c r="H314" s="1864" t="str">
        <f>'Part II-Development Team'!H69</f>
        <v>West Point</v>
      </c>
      <c r="I314" s="1915"/>
      <c r="J314" s="1915"/>
      <c r="K314" s="1880" t="s">
        <v>2552</v>
      </c>
      <c r="L314" s="1864" t="str">
        <f>'Part II-Development Team'!L69</f>
        <v>www.griffinhousingauthority.com/west-point.com</v>
      </c>
      <c r="M314" s="1915"/>
      <c r="N314" s="1915"/>
      <c r="O314" s="1889" t="s">
        <v>1644</v>
      </c>
      <c r="P314" s="1864"/>
      <c r="Q314" s="1879">
        <f>'Part II-Development Team'!Q69</f>
        <v>7702277657</v>
      </c>
      <c r="R314" s="1879"/>
      <c r="S314" s="1879"/>
      <c r="Z314" s="1869">
        <v>69</v>
      </c>
    </row>
    <row r="315" spans="2:26" s="1857" customFormat="1" ht="11.25" customHeight="1">
      <c r="E315" s="1859" t="s">
        <v>1717</v>
      </c>
      <c r="H315" s="1889" t="str">
        <f>'Part II-Development Team'!H70</f>
        <v>GA</v>
      </c>
      <c r="I315" s="1864"/>
      <c r="J315" s="1864"/>
      <c r="K315" s="1880" t="s">
        <v>2127</v>
      </c>
      <c r="L315" s="1878">
        <f>'Part II-Development Team'!L70</f>
        <v>318331747</v>
      </c>
      <c r="M315" s="1915"/>
      <c r="N315" s="1864"/>
      <c r="O315" s="1889" t="s">
        <v>1888</v>
      </c>
      <c r="P315" s="1864"/>
      <c r="Q315" s="1879">
        <f>'Part II-Development Team'!Q70</f>
        <v>0</v>
      </c>
      <c r="R315" s="1879"/>
      <c r="S315" s="1879"/>
      <c r="Z315" s="1858">
        <v>70</v>
      </c>
    </row>
    <row r="316" spans="2:26" s="1857" customFormat="1" ht="11.25" customHeight="1">
      <c r="D316" s="1888"/>
      <c r="E316" s="1859" t="s">
        <v>3613</v>
      </c>
      <c r="H316" s="1879">
        <f>'Part II-Development Team'!H71</f>
        <v>7066451202</v>
      </c>
      <c r="I316" s="1879"/>
      <c r="J316" s="1919">
        <f>'Part II-Development Team'!J71</f>
        <v>0</v>
      </c>
      <c r="K316" s="1880" t="s">
        <v>1893</v>
      </c>
      <c r="L316" s="1873" t="str">
        <f>'Part II-Development Team'!L71</f>
        <v>rdull@griffinhousingauthority.com</v>
      </c>
      <c r="M316" s="1873"/>
      <c r="N316" s="1873"/>
      <c r="O316" s="1873"/>
      <c r="P316" s="1873"/>
      <c r="Q316" s="1873"/>
      <c r="R316" s="1873"/>
      <c r="S316" s="1873"/>
      <c r="Z316" s="1858">
        <v>71</v>
      </c>
    </row>
    <row r="317" spans="2:26" s="1866" customFormat="1" ht="6.6" customHeight="1">
      <c r="H317" s="1879"/>
      <c r="I317" s="1879"/>
      <c r="J317" s="1879"/>
      <c r="K317" s="1880"/>
      <c r="L317" s="1879"/>
      <c r="M317" s="1879"/>
      <c r="N317" s="1880"/>
      <c r="O317" s="1879"/>
      <c r="P317" s="1879"/>
      <c r="Q317" s="1880"/>
      <c r="R317" s="1879"/>
      <c r="S317" s="1879"/>
      <c r="Z317" s="1858">
        <v>72</v>
      </c>
    </row>
    <row r="318" spans="2:26" s="1857" customFormat="1" ht="11.25" customHeight="1">
      <c r="B318" s="1857" t="s">
        <v>2020</v>
      </c>
      <c r="C318" s="1857" t="s">
        <v>273</v>
      </c>
      <c r="H318" s="1864">
        <f>'Part II-Development Team'!H73</f>
        <v>0</v>
      </c>
      <c r="I318" s="1915"/>
      <c r="J318" s="1915"/>
      <c r="K318" s="1915"/>
      <c r="L318" s="1915"/>
      <c r="M318" s="1915"/>
      <c r="N318" s="1915"/>
      <c r="O318" s="1889" t="s">
        <v>1898</v>
      </c>
      <c r="P318" s="1889"/>
      <c r="Q318" s="1864">
        <f>'Part II-Development Team'!Q73</f>
        <v>0</v>
      </c>
      <c r="R318" s="1915"/>
      <c r="S318" s="1915"/>
      <c r="Z318" s="1858">
        <v>73</v>
      </c>
    </row>
    <row r="319" spans="2:26" s="1857" customFormat="1" ht="11.25" customHeight="1">
      <c r="D319" s="1888"/>
      <c r="E319" s="1859" t="s">
        <v>982</v>
      </c>
      <c r="F319" s="1861"/>
      <c r="H319" s="1864">
        <f>'Part II-Development Team'!H74</f>
        <v>0</v>
      </c>
      <c r="I319" s="1915"/>
      <c r="J319" s="1915"/>
      <c r="K319" s="1915"/>
      <c r="L319" s="1915"/>
      <c r="M319" s="1915"/>
      <c r="N319" s="1915"/>
      <c r="O319" s="1889" t="s">
        <v>1668</v>
      </c>
      <c r="P319" s="1864"/>
      <c r="Q319" s="1864">
        <f>'Part II-Development Team'!Q74</f>
        <v>0</v>
      </c>
      <c r="R319" s="1915"/>
      <c r="S319" s="1915"/>
      <c r="Z319" s="1858">
        <v>74</v>
      </c>
    </row>
    <row r="320" spans="2:26" s="1857" customFormat="1" ht="11.25" customHeight="1">
      <c r="D320" s="1888"/>
      <c r="E320" s="1859" t="s">
        <v>588</v>
      </c>
      <c r="H320" s="1864">
        <f>'Part II-Development Team'!H75</f>
        <v>0</v>
      </c>
      <c r="I320" s="1915"/>
      <c r="J320" s="1915"/>
      <c r="K320" s="1880" t="s">
        <v>2552</v>
      </c>
      <c r="L320" s="1864">
        <f>'Part II-Development Team'!L75</f>
        <v>0</v>
      </c>
      <c r="M320" s="1915"/>
      <c r="N320" s="1915"/>
      <c r="O320" s="1889" t="s">
        <v>1644</v>
      </c>
      <c r="P320" s="1864"/>
      <c r="Q320" s="1879">
        <f>'Part II-Development Team'!Q75</f>
        <v>0</v>
      </c>
      <c r="R320" s="1879"/>
      <c r="S320" s="1879"/>
      <c r="Z320" s="1858">
        <v>75</v>
      </c>
    </row>
    <row r="321" spans="1:26" s="1857" customFormat="1" ht="11.25" customHeight="1">
      <c r="E321" s="1859" t="s">
        <v>1717</v>
      </c>
      <c r="H321" s="1889">
        <f>'Part II-Development Team'!H76</f>
        <v>0</v>
      </c>
      <c r="I321" s="1864"/>
      <c r="J321" s="1864"/>
      <c r="K321" s="1880" t="s">
        <v>2127</v>
      </c>
      <c r="L321" s="1878">
        <f>'Part II-Development Team'!L76</f>
        <v>0</v>
      </c>
      <c r="M321" s="1915"/>
      <c r="N321" s="1864"/>
      <c r="O321" s="1889" t="s">
        <v>1888</v>
      </c>
      <c r="P321" s="1864"/>
      <c r="Q321" s="1879">
        <f>'Part II-Development Team'!Q76</f>
        <v>0</v>
      </c>
      <c r="R321" s="1879"/>
      <c r="S321" s="1879"/>
      <c r="Z321" s="1858">
        <v>76</v>
      </c>
    </row>
    <row r="322" spans="1:26" s="1857" customFormat="1" ht="11.25" customHeight="1">
      <c r="D322" s="1888"/>
      <c r="E322" s="1859" t="s">
        <v>3613</v>
      </c>
      <c r="H322" s="1879">
        <f>'Part II-Development Team'!H77</f>
        <v>0</v>
      </c>
      <c r="I322" s="1879"/>
      <c r="J322" s="1919">
        <f>'Part II-Development Team'!J77</f>
        <v>0</v>
      </c>
      <c r="K322" s="1880" t="s">
        <v>1893</v>
      </c>
      <c r="L322" s="1873">
        <f>'Part II-Development Team'!L77</f>
        <v>0</v>
      </c>
      <c r="M322" s="1873"/>
      <c r="N322" s="1873"/>
      <c r="O322" s="1873"/>
      <c r="P322" s="1873"/>
      <c r="Q322" s="1873"/>
      <c r="R322" s="1873"/>
      <c r="S322" s="1873"/>
      <c r="Z322" s="1858">
        <v>77</v>
      </c>
    </row>
    <row r="323" spans="1:26" s="1866" customFormat="1" ht="6.75" customHeight="1">
      <c r="H323" s="1915"/>
      <c r="I323" s="1915"/>
      <c r="J323" s="1915"/>
      <c r="K323" s="1915"/>
      <c r="L323" s="1915"/>
      <c r="M323" s="1915"/>
      <c r="N323" s="1915"/>
      <c r="O323" s="1915"/>
      <c r="P323" s="1915"/>
      <c r="Q323" s="1915"/>
      <c r="R323" s="1915"/>
      <c r="S323" s="1915"/>
      <c r="Z323" s="1869">
        <v>78</v>
      </c>
    </row>
    <row r="324" spans="1:26" s="1859" customFormat="1" ht="13.35" customHeight="1">
      <c r="A324" s="1859" t="s">
        <v>712</v>
      </c>
      <c r="B324" s="1859" t="s">
        <v>274</v>
      </c>
      <c r="H324" s="1889"/>
      <c r="I324" s="1889"/>
      <c r="J324" s="1889"/>
      <c r="K324" s="1963" t="s">
        <v>3612</v>
      </c>
      <c r="L324" s="1889"/>
      <c r="M324" s="1889"/>
      <c r="N324" s="1889"/>
      <c r="O324" s="1889"/>
      <c r="P324" s="1889"/>
      <c r="Q324" s="1889"/>
      <c r="R324" s="1889"/>
      <c r="S324" s="1889"/>
      <c r="Z324" s="1858">
        <v>79</v>
      </c>
    </row>
    <row r="325" spans="1:26" s="1859" customFormat="1" ht="3" customHeight="1">
      <c r="H325" s="1879"/>
      <c r="I325" s="1879"/>
      <c r="J325" s="1879"/>
      <c r="K325" s="1880"/>
      <c r="L325" s="1879"/>
      <c r="M325" s="1879"/>
      <c r="N325" s="1880"/>
      <c r="O325" s="1879"/>
      <c r="P325" s="1879"/>
      <c r="Q325" s="1880"/>
      <c r="R325" s="1879"/>
      <c r="S325" s="1879"/>
      <c r="Z325" s="1858">
        <v>80</v>
      </c>
    </row>
    <row r="326" spans="1:26" s="1857" customFormat="1" ht="11.25" customHeight="1">
      <c r="B326" s="1857" t="s">
        <v>1892</v>
      </c>
      <c r="C326" s="1857" t="s">
        <v>275</v>
      </c>
      <c r="H326" s="1864">
        <f>'Part II-Development Team'!H81</f>
        <v>0</v>
      </c>
      <c r="I326" s="1915"/>
      <c r="J326" s="1915"/>
      <c r="K326" s="1915"/>
      <c r="L326" s="1915"/>
      <c r="M326" s="1915"/>
      <c r="N326" s="1915"/>
      <c r="O326" s="1889" t="s">
        <v>1898</v>
      </c>
      <c r="P326" s="1889"/>
      <c r="Q326" s="1864">
        <f>'Part II-Development Team'!Q81</f>
        <v>0</v>
      </c>
      <c r="R326" s="1915"/>
      <c r="S326" s="1915"/>
      <c r="Z326" s="1858">
        <v>81</v>
      </c>
    </row>
    <row r="327" spans="1:26" s="1857" customFormat="1" ht="11.25" customHeight="1">
      <c r="D327" s="1888"/>
      <c r="E327" s="1859" t="s">
        <v>982</v>
      </c>
      <c r="F327" s="1861"/>
      <c r="H327" s="1864">
        <f>'Part II-Development Team'!H82</f>
        <v>0</v>
      </c>
      <c r="I327" s="1915"/>
      <c r="J327" s="1915"/>
      <c r="K327" s="1915"/>
      <c r="L327" s="1915"/>
      <c r="M327" s="1915"/>
      <c r="N327" s="1915"/>
      <c r="O327" s="1889" t="s">
        <v>1668</v>
      </c>
      <c r="P327" s="1864"/>
      <c r="Q327" s="1864">
        <f>'Part II-Development Team'!Q82</f>
        <v>0</v>
      </c>
      <c r="R327" s="1915"/>
      <c r="S327" s="1915"/>
      <c r="Z327" s="1858">
        <v>82</v>
      </c>
    </row>
    <row r="328" spans="1:26" s="1857" customFormat="1" ht="11.25" customHeight="1">
      <c r="D328" s="1888"/>
      <c r="E328" s="1859" t="s">
        <v>588</v>
      </c>
      <c r="H328" s="1864">
        <f>'Part II-Development Team'!H83</f>
        <v>0</v>
      </c>
      <c r="I328" s="1915"/>
      <c r="J328" s="1915"/>
      <c r="K328" s="1880" t="s">
        <v>2552</v>
      </c>
      <c r="L328" s="1864">
        <f>'Part II-Development Team'!L83</f>
        <v>0</v>
      </c>
      <c r="M328" s="1915"/>
      <c r="N328" s="1915"/>
      <c r="O328" s="1889" t="s">
        <v>1644</v>
      </c>
      <c r="P328" s="1864"/>
      <c r="Q328" s="1879">
        <f>'Part II-Development Team'!Q83</f>
        <v>0</v>
      </c>
      <c r="R328" s="1879"/>
      <c r="S328" s="1879"/>
      <c r="Z328" s="1858">
        <v>83</v>
      </c>
    </row>
    <row r="329" spans="1:26" s="1857" customFormat="1" ht="11.25" customHeight="1">
      <c r="E329" s="1859" t="s">
        <v>1717</v>
      </c>
      <c r="H329" s="1889">
        <f>'Part II-Development Team'!H84</f>
        <v>0</v>
      </c>
      <c r="I329" s="1864"/>
      <c r="J329" s="1864"/>
      <c r="K329" s="1880" t="s">
        <v>2127</v>
      </c>
      <c r="L329" s="1878">
        <f>'Part II-Development Team'!L84</f>
        <v>0</v>
      </c>
      <c r="M329" s="1915"/>
      <c r="N329" s="1864"/>
      <c r="O329" s="1889" t="s">
        <v>1888</v>
      </c>
      <c r="P329" s="1864"/>
      <c r="Q329" s="1879">
        <f>'Part II-Development Team'!Q84</f>
        <v>0</v>
      </c>
      <c r="R329" s="1879"/>
      <c r="S329" s="1879"/>
      <c r="Z329" s="1858">
        <v>84</v>
      </c>
    </row>
    <row r="330" spans="1:26" s="1857" customFormat="1" ht="11.25" customHeight="1">
      <c r="D330" s="1888"/>
      <c r="E330" s="1859" t="s">
        <v>3613</v>
      </c>
      <c r="H330" s="1879">
        <f>'Part II-Development Team'!H85</f>
        <v>0</v>
      </c>
      <c r="I330" s="1879"/>
      <c r="J330" s="1919">
        <f>'Part II-Development Team'!J85</f>
        <v>0</v>
      </c>
      <c r="K330" s="1880" t="s">
        <v>1893</v>
      </c>
      <c r="L330" s="1873">
        <f>'Part II-Development Team'!L85</f>
        <v>0</v>
      </c>
      <c r="M330" s="1873"/>
      <c r="N330" s="1873"/>
      <c r="O330" s="1873"/>
      <c r="P330" s="1873"/>
      <c r="Q330" s="1873"/>
      <c r="R330" s="1873"/>
      <c r="S330" s="1873"/>
      <c r="Z330" s="1858">
        <v>85</v>
      </c>
    </row>
    <row r="331" spans="1:26" s="1866" customFormat="1" ht="6.6" customHeight="1">
      <c r="H331" s="1879"/>
      <c r="I331" s="1879"/>
      <c r="J331" s="1879"/>
      <c r="K331" s="1880"/>
      <c r="L331" s="1879"/>
      <c r="M331" s="1879"/>
      <c r="N331" s="1880"/>
      <c r="O331" s="1879"/>
      <c r="P331" s="1879"/>
      <c r="Q331" s="1880"/>
      <c r="R331" s="1879"/>
      <c r="S331" s="1879"/>
      <c r="Z331" s="1858">
        <v>86</v>
      </c>
    </row>
    <row r="332" spans="1:26" s="1857" customFormat="1" ht="11.25" customHeight="1">
      <c r="B332" s="1857" t="s">
        <v>1894</v>
      </c>
      <c r="C332" s="1857" t="s">
        <v>276</v>
      </c>
      <c r="H332" s="1864" t="str">
        <f>'Part II-Development Team'!H87</f>
        <v>Capstone Building Corp</v>
      </c>
      <c r="I332" s="1915"/>
      <c r="J332" s="1915"/>
      <c r="K332" s="1915"/>
      <c r="L332" s="1915"/>
      <c r="M332" s="1915"/>
      <c r="N332" s="1915"/>
      <c r="O332" s="1889" t="s">
        <v>1898</v>
      </c>
      <c r="P332" s="1889"/>
      <c r="Q332" s="1864" t="str">
        <f>'Part II-Development Team'!Q87</f>
        <v>Chris Travis</v>
      </c>
      <c r="R332" s="1915"/>
      <c r="S332" s="1915"/>
      <c r="Z332" s="1869">
        <v>87</v>
      </c>
    </row>
    <row r="333" spans="1:26" s="1857" customFormat="1" ht="11.25" customHeight="1">
      <c r="D333" s="1888"/>
      <c r="E333" s="1859" t="s">
        <v>982</v>
      </c>
      <c r="F333" s="1861"/>
      <c r="H333" s="1864" t="str">
        <f>'Part II-Development Team'!H88</f>
        <v>3415 Independence Drive</v>
      </c>
      <c r="I333" s="1915"/>
      <c r="J333" s="1915"/>
      <c r="K333" s="1915"/>
      <c r="L333" s="1915"/>
      <c r="M333" s="1915"/>
      <c r="N333" s="1915"/>
      <c r="O333" s="1889" t="s">
        <v>1668</v>
      </c>
      <c r="P333" s="1864"/>
      <c r="Q333" s="1864" t="str">
        <f>'Part II-Development Team'!Q88</f>
        <v>Sr.VP, Finance</v>
      </c>
      <c r="R333" s="1915"/>
      <c r="S333" s="1915"/>
      <c r="Z333" s="1858">
        <v>88</v>
      </c>
    </row>
    <row r="334" spans="1:26" s="1857" customFormat="1" ht="11.25" customHeight="1">
      <c r="D334" s="1888"/>
      <c r="E334" s="1859" t="s">
        <v>588</v>
      </c>
      <c r="H334" s="1864" t="str">
        <f>'Part II-Development Team'!H89</f>
        <v>Birmingham</v>
      </c>
      <c r="I334" s="1915"/>
      <c r="J334" s="1915"/>
      <c r="K334" s="1880" t="s">
        <v>2552</v>
      </c>
      <c r="L334" s="1864" t="str">
        <f>'Part II-Development Team'!L89</f>
        <v>www.capstonebuilding.com</v>
      </c>
      <c r="M334" s="1915"/>
      <c r="N334" s="1915"/>
      <c r="O334" s="1889" t="s">
        <v>1644</v>
      </c>
      <c r="P334" s="1864"/>
      <c r="Q334" s="1879">
        <f>'Part II-Development Team'!Q89</f>
        <v>2053805671</v>
      </c>
      <c r="R334" s="1879"/>
      <c r="S334" s="1879"/>
      <c r="Z334" s="1858">
        <v>89</v>
      </c>
    </row>
    <row r="335" spans="1:26" s="1857" customFormat="1" ht="11.25" customHeight="1">
      <c r="E335" s="1859" t="s">
        <v>1717</v>
      </c>
      <c r="H335" s="1889" t="str">
        <f>'Part II-Development Team'!H90</f>
        <v>AL</v>
      </c>
      <c r="I335" s="1864"/>
      <c r="J335" s="1864"/>
      <c r="K335" s="1880" t="s">
        <v>2127</v>
      </c>
      <c r="L335" s="1878">
        <f>'Part II-Development Team'!L90</f>
        <v>352098314</v>
      </c>
      <c r="M335" s="1915"/>
      <c r="N335" s="1864"/>
      <c r="O335" s="1889" t="s">
        <v>1888</v>
      </c>
      <c r="P335" s="1864"/>
      <c r="Q335" s="1879">
        <f>'Part II-Development Team'!Q90</f>
        <v>0</v>
      </c>
      <c r="R335" s="1879"/>
      <c r="S335" s="1879"/>
      <c r="Z335" s="1858">
        <v>90</v>
      </c>
    </row>
    <row r="336" spans="1:26" s="1857" customFormat="1" ht="11.25" customHeight="1">
      <c r="D336" s="1888"/>
      <c r="E336" s="1859" t="s">
        <v>3613</v>
      </c>
      <c r="H336" s="1879">
        <f>'Part II-Development Team'!H91</f>
        <v>2053805671</v>
      </c>
      <c r="I336" s="1879"/>
      <c r="J336" s="1919">
        <f>'Part II-Development Team'!J91</f>
        <v>0</v>
      </c>
      <c r="K336" s="1880" t="s">
        <v>1893</v>
      </c>
      <c r="L336" s="1873" t="str">
        <f>'Part II-Development Team'!L91</f>
        <v>ctravis@capstonebuilding.com</v>
      </c>
      <c r="M336" s="1873"/>
      <c r="N336" s="1873"/>
      <c r="O336" s="1873"/>
      <c r="P336" s="1873"/>
      <c r="Q336" s="1873"/>
      <c r="R336" s="1873"/>
      <c r="S336" s="1873"/>
      <c r="Z336" s="1858">
        <v>91</v>
      </c>
    </row>
    <row r="337" spans="2:26" s="1866" customFormat="1" ht="6.6" customHeight="1">
      <c r="H337" s="1879"/>
      <c r="I337" s="1879"/>
      <c r="J337" s="1879"/>
      <c r="K337" s="1880"/>
      <c r="L337" s="1879"/>
      <c r="M337" s="1879"/>
      <c r="N337" s="1880"/>
      <c r="O337" s="1879"/>
      <c r="P337" s="1879"/>
      <c r="Q337" s="1880"/>
      <c r="R337" s="1879"/>
      <c r="S337" s="1879"/>
      <c r="Z337" s="1858">
        <v>92</v>
      </c>
    </row>
    <row r="338" spans="2:26" s="1857" customFormat="1" ht="11.25" customHeight="1">
      <c r="B338" s="1857" t="s">
        <v>719</v>
      </c>
      <c r="C338" s="1857" t="s">
        <v>277</v>
      </c>
      <c r="F338" s="1866"/>
      <c r="H338" s="1864" t="str">
        <f>'Part II-Development Team'!H93</f>
        <v>Pennrose Management Company</v>
      </c>
      <c r="I338" s="1915"/>
      <c r="J338" s="1915"/>
      <c r="K338" s="1915"/>
      <c r="L338" s="1915"/>
      <c r="M338" s="1915"/>
      <c r="N338" s="1915"/>
      <c r="O338" s="1889" t="s">
        <v>1898</v>
      </c>
      <c r="P338" s="1889"/>
      <c r="Q338" s="1864" t="str">
        <f>'Part II-Development Team'!Q93</f>
        <v>Lisa D. Landis</v>
      </c>
      <c r="R338" s="1915"/>
      <c r="S338" s="1915"/>
      <c r="Z338" s="1869">
        <v>93</v>
      </c>
    </row>
    <row r="339" spans="2:26" s="1857" customFormat="1" ht="11.25" customHeight="1">
      <c r="D339" s="1888"/>
      <c r="E339" s="1859" t="s">
        <v>982</v>
      </c>
      <c r="F339" s="1861"/>
      <c r="H339" s="1864" t="str">
        <f>'Part II-Development Team'!H94</f>
        <v>1301 North 31st Street</v>
      </c>
      <c r="I339" s="1915"/>
      <c r="J339" s="1915"/>
      <c r="K339" s="1915"/>
      <c r="L339" s="1915"/>
      <c r="M339" s="1915"/>
      <c r="N339" s="1915"/>
      <c r="O339" s="1889" t="s">
        <v>1668</v>
      </c>
      <c r="P339" s="1864"/>
      <c r="Q339" s="1864" t="str">
        <f>'Part II-Development Team'!Q94</f>
        <v>Senior Vice President</v>
      </c>
      <c r="R339" s="1915"/>
      <c r="S339" s="1915"/>
      <c r="Z339" s="1858">
        <v>94</v>
      </c>
    </row>
    <row r="340" spans="2:26" s="1857" customFormat="1" ht="11.25" customHeight="1">
      <c r="D340" s="1888"/>
      <c r="E340" s="1859" t="s">
        <v>588</v>
      </c>
      <c r="H340" s="1864" t="str">
        <f>'Part II-Development Team'!H95</f>
        <v>Philadelphia</v>
      </c>
      <c r="I340" s="1915"/>
      <c r="J340" s="1915"/>
      <c r="K340" s="1880" t="s">
        <v>2552</v>
      </c>
      <c r="L340" s="1864" t="str">
        <f>'Part II-Development Team'!L95</f>
        <v>www.pennrose.com</v>
      </c>
      <c r="M340" s="1915"/>
      <c r="N340" s="1915"/>
      <c r="O340" s="1889" t="s">
        <v>1644</v>
      </c>
      <c r="P340" s="1864"/>
      <c r="Q340" s="1879">
        <f>'Part II-Development Team'!Q95</f>
        <v>0</v>
      </c>
      <c r="R340" s="1879"/>
      <c r="S340" s="1879"/>
      <c r="Z340" s="1858">
        <v>95</v>
      </c>
    </row>
    <row r="341" spans="2:26" s="1857" customFormat="1" ht="11.25" customHeight="1">
      <c r="D341" s="1888"/>
      <c r="E341" s="1859" t="s">
        <v>1717</v>
      </c>
      <c r="H341" s="1889" t="str">
        <f>'Part II-Development Team'!H96</f>
        <v>PA</v>
      </c>
      <c r="I341" s="1864"/>
      <c r="J341" s="1864"/>
      <c r="K341" s="1880" t="s">
        <v>2127</v>
      </c>
      <c r="L341" s="1878">
        <f>'Part II-Development Team'!L96</f>
        <v>191214495</v>
      </c>
      <c r="M341" s="1915"/>
      <c r="N341" s="1864"/>
      <c r="O341" s="1889" t="s">
        <v>1888</v>
      </c>
      <c r="P341" s="1864"/>
      <c r="Q341" s="1879">
        <f>'Part II-Development Team'!Q96</f>
        <v>0</v>
      </c>
      <c r="R341" s="1879"/>
      <c r="S341" s="1879"/>
      <c r="Z341" s="1858">
        <v>96</v>
      </c>
    </row>
    <row r="342" spans="2:26" s="1857" customFormat="1" ht="11.25" customHeight="1">
      <c r="D342" s="1888"/>
      <c r="E342" s="1859" t="s">
        <v>3613</v>
      </c>
      <c r="H342" s="1879">
        <f>'Part II-Development Team'!H97</f>
        <v>2673868600</v>
      </c>
      <c r="I342" s="1879"/>
      <c r="J342" s="1919">
        <f>'Part II-Development Team'!J97</f>
        <v>0</v>
      </c>
      <c r="K342" s="1880" t="s">
        <v>1893</v>
      </c>
      <c r="L342" s="1873" t="str">
        <f>'Part II-Development Team'!L97</f>
        <v>llandis@pennrose.com</v>
      </c>
      <c r="M342" s="1873"/>
      <c r="N342" s="1873"/>
      <c r="O342" s="1873"/>
      <c r="P342" s="1873"/>
      <c r="Q342" s="1873"/>
      <c r="R342" s="1873"/>
      <c r="S342" s="1873"/>
      <c r="Z342" s="1858">
        <v>97</v>
      </c>
    </row>
    <row r="343" spans="2:26" s="1866" customFormat="1" ht="6.6" customHeight="1">
      <c r="H343" s="1879"/>
      <c r="I343" s="1879"/>
      <c r="J343" s="1879"/>
      <c r="K343" s="1880"/>
      <c r="L343" s="1879"/>
      <c r="M343" s="1879"/>
      <c r="N343" s="1880"/>
      <c r="O343" s="1879"/>
      <c r="P343" s="1879"/>
      <c r="Q343" s="1880"/>
      <c r="R343" s="1879"/>
      <c r="S343" s="1879"/>
      <c r="Z343" s="1858">
        <v>98</v>
      </c>
    </row>
    <row r="344" spans="2:26" s="1857" customFormat="1" ht="11.25" customHeight="1">
      <c r="B344" s="1857" t="s">
        <v>2020</v>
      </c>
      <c r="C344" s="1857" t="s">
        <v>278</v>
      </c>
      <c r="H344" s="1864" t="str">
        <f>'Part II-Development Team'!H99</f>
        <v>Berman Indictor LLP</v>
      </c>
      <c r="I344" s="1915"/>
      <c r="J344" s="1915"/>
      <c r="K344" s="1915"/>
      <c r="L344" s="1915"/>
      <c r="M344" s="1915"/>
      <c r="N344" s="1915"/>
      <c r="O344" s="1889" t="s">
        <v>1898</v>
      </c>
      <c r="P344" s="1889"/>
      <c r="Q344" s="1864" t="str">
        <f>'Part II-Development Team'!Q99</f>
        <v>Steve Berman</v>
      </c>
      <c r="R344" s="1915"/>
      <c r="S344" s="1915"/>
      <c r="Z344" s="1858">
        <v>99</v>
      </c>
    </row>
    <row r="345" spans="2:26" s="1857" customFormat="1" ht="11.25" customHeight="1">
      <c r="D345" s="1888"/>
      <c r="E345" s="1859" t="s">
        <v>982</v>
      </c>
      <c r="F345" s="1861"/>
      <c r="H345" s="1864" t="str">
        <f>'Part II-Development Team'!H100</f>
        <v>30 N.41st Street, Ste.450</v>
      </c>
      <c r="I345" s="1915"/>
      <c r="J345" s="1915"/>
      <c r="K345" s="1915"/>
      <c r="L345" s="1915"/>
      <c r="M345" s="1915"/>
      <c r="N345" s="1915"/>
      <c r="O345" s="1889" t="s">
        <v>1668</v>
      </c>
      <c r="P345" s="1864"/>
      <c r="Q345" s="1864" t="str">
        <f>'Part II-Development Team'!Q100</f>
        <v>Principal</v>
      </c>
      <c r="R345" s="1915"/>
      <c r="S345" s="1915"/>
      <c r="Z345" s="1858">
        <v>100</v>
      </c>
    </row>
    <row r="346" spans="2:26" s="1857" customFormat="1" ht="11.25" customHeight="1">
      <c r="D346" s="1888"/>
      <c r="E346" s="1859" t="s">
        <v>588</v>
      </c>
      <c r="H346" s="1864" t="str">
        <f>'Part II-Development Team'!H101</f>
        <v>Philadelphia</v>
      </c>
      <c r="I346" s="1915"/>
      <c r="J346" s="1915"/>
      <c r="K346" s="1880" t="s">
        <v>2552</v>
      </c>
      <c r="L346" s="1864" t="str">
        <f>'Part II-Development Team'!L101</f>
        <v>www.bermanindictor.com</v>
      </c>
      <c r="M346" s="1915"/>
      <c r="N346" s="1915"/>
      <c r="O346" s="1889" t="s">
        <v>1644</v>
      </c>
      <c r="P346" s="1864"/>
      <c r="Q346" s="1879">
        <f>'Part II-Development Team'!Q101</f>
        <v>2158259740</v>
      </c>
      <c r="R346" s="1879"/>
      <c r="S346" s="1879"/>
      <c r="Z346" s="1858">
        <v>101</v>
      </c>
    </row>
    <row r="347" spans="2:26" s="1857" customFormat="1" ht="11.25" customHeight="1">
      <c r="D347" s="1888"/>
      <c r="E347" s="1859" t="s">
        <v>1717</v>
      </c>
      <c r="H347" s="1889" t="str">
        <f>'Part II-Development Team'!H102</f>
        <v>PA</v>
      </c>
      <c r="I347" s="1864"/>
      <c r="J347" s="1864"/>
      <c r="K347" s="1880" t="s">
        <v>2127</v>
      </c>
      <c r="L347" s="1878">
        <f>'Part II-Development Team'!L102</f>
        <v>191042590</v>
      </c>
      <c r="M347" s="1915"/>
      <c r="N347" s="1864"/>
      <c r="O347" s="1889" t="s">
        <v>1888</v>
      </c>
      <c r="P347" s="1864"/>
      <c r="Q347" s="1879">
        <f>'Part II-Development Team'!Q102</f>
        <v>0</v>
      </c>
      <c r="R347" s="1879"/>
      <c r="S347" s="1879"/>
      <c r="Z347" s="1869">
        <v>102</v>
      </c>
    </row>
    <row r="348" spans="2:26" s="1866" customFormat="1" ht="11.25" customHeight="1">
      <c r="E348" s="1859" t="s">
        <v>3613</v>
      </c>
      <c r="F348" s="1857"/>
      <c r="G348" s="1857"/>
      <c r="H348" s="1879">
        <f>'Part II-Development Team'!H103</f>
        <v>9014357700</v>
      </c>
      <c r="I348" s="1879"/>
      <c r="J348" s="1919">
        <f>'Part II-Development Team'!J103</f>
        <v>0</v>
      </c>
      <c r="K348" s="1880" t="s">
        <v>1893</v>
      </c>
      <c r="L348" s="1873" t="str">
        <f>'Part II-Development Team'!L103</f>
        <v>berman@bermanindictor.com</v>
      </c>
      <c r="M348" s="1873"/>
      <c r="N348" s="1873"/>
      <c r="O348" s="1873"/>
      <c r="P348" s="1873"/>
      <c r="Q348" s="1873"/>
      <c r="R348" s="1873"/>
      <c r="S348" s="1873"/>
      <c r="Z348" s="1858">
        <v>103</v>
      </c>
    </row>
    <row r="349" spans="2:26" s="1866" customFormat="1" ht="6" customHeight="1">
      <c r="E349" s="1859"/>
      <c r="F349" s="1857"/>
      <c r="G349" s="1857"/>
      <c r="H349" s="1879"/>
      <c r="I349" s="1879"/>
      <c r="J349" s="1879"/>
      <c r="K349" s="1880"/>
      <c r="L349" s="1879"/>
      <c r="M349" s="1879"/>
      <c r="N349" s="1880"/>
      <c r="O349" s="1879"/>
      <c r="P349" s="1879"/>
      <c r="Q349" s="1880"/>
      <c r="R349" s="1879"/>
      <c r="S349" s="1879"/>
      <c r="Z349" s="1858">
        <v>104</v>
      </c>
    </row>
    <row r="350" spans="2:26" s="1857" customFormat="1" ht="11.25" customHeight="1">
      <c r="B350" s="1857" t="s">
        <v>1656</v>
      </c>
      <c r="C350" s="1857" t="s">
        <v>279</v>
      </c>
      <c r="H350" s="1864" t="str">
        <f>'Part II-Development Team'!H105</f>
        <v>CohnReznick</v>
      </c>
      <c r="I350" s="1915"/>
      <c r="J350" s="1915"/>
      <c r="K350" s="1915"/>
      <c r="L350" s="1915"/>
      <c r="M350" s="1915"/>
      <c r="N350" s="1915"/>
      <c r="O350" s="1889" t="s">
        <v>1898</v>
      </c>
      <c r="P350" s="1889"/>
      <c r="Q350" s="1864" t="str">
        <f>'Part II-Development Team'!Q105</f>
        <v>Michael Cumming</v>
      </c>
      <c r="R350" s="1915"/>
      <c r="S350" s="1915"/>
      <c r="Z350" s="1858">
        <v>105</v>
      </c>
    </row>
    <row r="351" spans="2:26" s="1857" customFormat="1" ht="11.25" customHeight="1">
      <c r="D351" s="1888"/>
      <c r="E351" s="1859" t="s">
        <v>982</v>
      </c>
      <c r="F351" s="1861"/>
      <c r="H351" s="1864" t="str">
        <f>'Part II-Development Team'!H106</f>
        <v>500 East Pratt Street, Ste. 200</v>
      </c>
      <c r="I351" s="1915"/>
      <c r="J351" s="1915"/>
      <c r="K351" s="1915"/>
      <c r="L351" s="1915"/>
      <c r="M351" s="1915"/>
      <c r="N351" s="1915"/>
      <c r="O351" s="1889" t="s">
        <v>1668</v>
      </c>
      <c r="P351" s="1864"/>
      <c r="Q351" s="1864" t="str">
        <f>'Part II-Development Team'!Q106</f>
        <v>Principal</v>
      </c>
      <c r="R351" s="1915"/>
      <c r="S351" s="1915"/>
      <c r="Z351" s="1858">
        <v>106</v>
      </c>
    </row>
    <row r="352" spans="2:26" s="1857" customFormat="1" ht="11.25" customHeight="1">
      <c r="D352" s="1888"/>
      <c r="E352" s="1859" t="s">
        <v>588</v>
      </c>
      <c r="H352" s="1864" t="str">
        <f>'Part II-Development Team'!H107</f>
        <v>Baltimore</v>
      </c>
      <c r="I352" s="1915"/>
      <c r="J352" s="1915"/>
      <c r="K352" s="1880" t="s">
        <v>2552</v>
      </c>
      <c r="L352" s="1864" t="str">
        <f>'Part II-Development Team'!L107</f>
        <v>www.cohnreznick.com</v>
      </c>
      <c r="M352" s="1915"/>
      <c r="N352" s="1915"/>
      <c r="O352" s="1889" t="s">
        <v>1644</v>
      </c>
      <c r="P352" s="1864"/>
      <c r="Q352" s="1879">
        <f>'Part II-Development Team'!Q107</f>
        <v>2158259740</v>
      </c>
      <c r="R352" s="1879"/>
      <c r="S352" s="1879"/>
      <c r="Z352" s="1858">
        <v>107</v>
      </c>
    </row>
    <row r="353" spans="1:26" s="1857" customFormat="1" ht="11.25" customHeight="1">
      <c r="D353" s="1888"/>
      <c r="E353" s="1859" t="s">
        <v>1717</v>
      </c>
      <c r="H353" s="1889" t="str">
        <f>'Part II-Development Team'!H108</f>
        <v>MD</v>
      </c>
      <c r="I353" s="1864"/>
      <c r="J353" s="1864"/>
      <c r="K353" s="1880" t="s">
        <v>2127</v>
      </c>
      <c r="L353" s="1878">
        <f>'Part II-Development Team'!L108</f>
        <v>212023100</v>
      </c>
      <c r="M353" s="1915"/>
      <c r="N353" s="1864"/>
      <c r="O353" s="1889" t="s">
        <v>1888</v>
      </c>
      <c r="P353" s="1864"/>
      <c r="Q353" s="1879">
        <f>'Part II-Development Team'!Q108</f>
        <v>0</v>
      </c>
      <c r="R353" s="1879"/>
      <c r="S353" s="1879"/>
      <c r="Z353" s="1858">
        <v>108</v>
      </c>
    </row>
    <row r="354" spans="1:26" s="1866" customFormat="1" ht="11.25" customHeight="1">
      <c r="E354" s="1859" t="s">
        <v>3613</v>
      </c>
      <c r="F354" s="1857"/>
      <c r="G354" s="1857"/>
      <c r="H354" s="1879">
        <f>'Part II-Development Team'!H109</f>
        <v>4107834900</v>
      </c>
      <c r="I354" s="1879"/>
      <c r="J354" s="1919">
        <f>'Part II-Development Team'!J109</f>
        <v>0</v>
      </c>
      <c r="K354" s="1880" t="s">
        <v>1893</v>
      </c>
      <c r="L354" s="1873" t="str">
        <f>'Part II-Development Team'!L109</f>
        <v>mike.cummings@cohnreznick.com</v>
      </c>
      <c r="M354" s="1873"/>
      <c r="N354" s="1873"/>
      <c r="O354" s="1873"/>
      <c r="P354" s="1873"/>
      <c r="Q354" s="1873"/>
      <c r="R354" s="1873"/>
      <c r="S354" s="1873"/>
      <c r="Z354" s="1858">
        <v>109</v>
      </c>
    </row>
    <row r="355" spans="1:26" s="1866" customFormat="1" ht="6.6" customHeight="1">
      <c r="E355" s="1859"/>
      <c r="F355" s="1857"/>
      <c r="G355" s="1857"/>
      <c r="H355" s="1879"/>
      <c r="I355" s="1879"/>
      <c r="J355" s="1879"/>
      <c r="K355" s="1880"/>
      <c r="L355" s="1879"/>
      <c r="M355" s="1879"/>
      <c r="N355" s="1880"/>
      <c r="O355" s="1879"/>
      <c r="P355" s="1879"/>
      <c r="Q355" s="1880"/>
      <c r="R355" s="1879"/>
      <c r="S355" s="1879"/>
      <c r="Z355" s="1858">
        <v>110</v>
      </c>
    </row>
    <row r="356" spans="1:26" s="1857" customFormat="1" ht="11.25" customHeight="1">
      <c r="B356" s="1857" t="s">
        <v>1657</v>
      </c>
      <c r="C356" s="1857" t="s">
        <v>280</v>
      </c>
      <c r="H356" s="1864" t="str">
        <f>'Part II-Development Team'!H111</f>
        <v>Kitchen and Associates</v>
      </c>
      <c r="I356" s="1915"/>
      <c r="J356" s="1915"/>
      <c r="K356" s="1915"/>
      <c r="L356" s="1915"/>
      <c r="M356" s="1915"/>
      <c r="N356" s="1915"/>
      <c r="O356" s="1889" t="s">
        <v>1898</v>
      </c>
      <c r="P356" s="1889"/>
      <c r="Q356" s="1864" t="str">
        <f>'Part II-Development Team'!Q111</f>
        <v>Steve Schoch</v>
      </c>
      <c r="R356" s="1915"/>
      <c r="S356" s="1915"/>
      <c r="Z356" s="1869">
        <v>111</v>
      </c>
    </row>
    <row r="357" spans="1:26" s="1857" customFormat="1" ht="11.25" customHeight="1">
      <c r="D357" s="1888"/>
      <c r="E357" s="1859" t="s">
        <v>982</v>
      </c>
      <c r="F357" s="1861"/>
      <c r="H357" s="1864" t="str">
        <f>'Part II-Development Team'!H112</f>
        <v>756 Haddon Avenue</v>
      </c>
      <c r="I357" s="1915"/>
      <c r="J357" s="1915"/>
      <c r="K357" s="1915"/>
      <c r="L357" s="1915"/>
      <c r="M357" s="1915"/>
      <c r="N357" s="1915"/>
      <c r="O357" s="1889" t="s">
        <v>1668</v>
      </c>
      <c r="P357" s="1864"/>
      <c r="Q357" s="1864" t="str">
        <f>'Part II-Development Team'!Q112</f>
        <v>Principal</v>
      </c>
      <c r="R357" s="1915"/>
      <c r="S357" s="1915"/>
      <c r="Z357" s="1858">
        <v>112</v>
      </c>
    </row>
    <row r="358" spans="1:26" s="1857" customFormat="1" ht="11.25" customHeight="1">
      <c r="D358" s="1888"/>
      <c r="E358" s="1859" t="s">
        <v>588</v>
      </c>
      <c r="H358" s="1864" t="str">
        <f>'Part II-Development Team'!H113</f>
        <v>Collingwood</v>
      </c>
      <c r="I358" s="1915"/>
      <c r="J358" s="1915"/>
      <c r="K358" s="1880" t="s">
        <v>2552</v>
      </c>
      <c r="L358" s="1864" t="str">
        <f>'Part II-Development Team'!L113</f>
        <v>www.kitchenandassociates.com</v>
      </c>
      <c r="M358" s="1915"/>
      <c r="N358" s="1915"/>
      <c r="O358" s="1889" t="s">
        <v>1644</v>
      </c>
      <c r="P358" s="1864"/>
      <c r="Q358" s="1879">
        <f>'Part II-Development Team'!Q113</f>
        <v>8565592063</v>
      </c>
      <c r="R358" s="1879"/>
      <c r="S358" s="1879"/>
      <c r="Z358" s="1858">
        <v>113</v>
      </c>
    </row>
    <row r="359" spans="1:26" s="1857" customFormat="1" ht="11.25" customHeight="1">
      <c r="D359" s="1888"/>
      <c r="E359" s="1859" t="s">
        <v>1717</v>
      </c>
      <c r="H359" s="1889" t="str">
        <f>'Part II-Development Team'!H114</f>
        <v>NJ</v>
      </c>
      <c r="I359" s="1864"/>
      <c r="J359" s="1864"/>
      <c r="K359" s="1880" t="s">
        <v>2127</v>
      </c>
      <c r="L359" s="1878">
        <f>'Part II-Development Team'!L114</f>
        <v>81083712</v>
      </c>
      <c r="M359" s="1915"/>
      <c r="N359" s="1864"/>
      <c r="O359" s="1889" t="s">
        <v>1888</v>
      </c>
      <c r="P359" s="1864"/>
      <c r="Q359" s="1879">
        <f>'Part II-Development Team'!Q114</f>
        <v>0</v>
      </c>
      <c r="R359" s="1879"/>
      <c r="S359" s="1879"/>
      <c r="Z359" s="1858">
        <v>114</v>
      </c>
    </row>
    <row r="360" spans="1:26" s="1857" customFormat="1" ht="11.25" customHeight="1">
      <c r="D360" s="1888"/>
      <c r="E360" s="1859" t="s">
        <v>3613</v>
      </c>
      <c r="H360" s="1879">
        <f>'Part II-Development Team'!H115</f>
        <v>8568541880</v>
      </c>
      <c r="I360" s="1879"/>
      <c r="J360" s="1919">
        <f>'Part II-Development Team'!J115</f>
        <v>0</v>
      </c>
      <c r="K360" s="1880" t="s">
        <v>1893</v>
      </c>
      <c r="L360" s="1873" t="str">
        <f>'Part II-Development Team'!L115</f>
        <v>sschoch@kitchenandassociates.com</v>
      </c>
      <c r="M360" s="1873"/>
      <c r="N360" s="1873"/>
      <c r="O360" s="1873"/>
      <c r="P360" s="1873"/>
      <c r="Q360" s="1873"/>
      <c r="R360" s="1873"/>
      <c r="S360" s="1873"/>
      <c r="Z360" s="1858">
        <v>115</v>
      </c>
    </row>
    <row r="361" spans="1:26" s="1866" customFormat="1" ht="3" customHeight="1">
      <c r="H361" s="1915"/>
      <c r="I361" s="1915"/>
      <c r="J361" s="1915"/>
      <c r="K361" s="1915"/>
      <c r="L361" s="1915"/>
      <c r="M361" s="1915"/>
      <c r="N361" s="1915"/>
      <c r="O361" s="1915"/>
      <c r="P361" s="1915"/>
      <c r="Q361" s="1915"/>
      <c r="R361" s="1915"/>
      <c r="S361" s="1915"/>
      <c r="Z361" s="1858">
        <v>116</v>
      </c>
    </row>
    <row r="362" spans="1:26" s="1857" customFormat="1" ht="12" customHeight="1">
      <c r="A362" s="1857" t="s">
        <v>1711</v>
      </c>
      <c r="B362" s="1857" t="s">
        <v>2482</v>
      </c>
      <c r="G362" s="1858"/>
      <c r="H362" s="1880"/>
      <c r="I362" s="1880"/>
      <c r="J362" s="1880"/>
      <c r="K362" s="1880"/>
      <c r="L362" s="1880"/>
      <c r="M362" s="1880"/>
      <c r="N362" s="1880"/>
      <c r="O362" s="1880"/>
      <c r="P362" s="1880"/>
      <c r="Q362" s="1880"/>
      <c r="R362" s="1864"/>
      <c r="S362" s="1864"/>
      <c r="Z362" s="1858">
        <v>117</v>
      </c>
    </row>
    <row r="363" spans="1:26" s="1857" customFormat="1" ht="12" customHeight="1">
      <c r="B363" s="1857" t="s">
        <v>1892</v>
      </c>
      <c r="C363" s="1857" t="s">
        <v>7054</v>
      </c>
      <c r="G363" s="1858"/>
      <c r="H363" s="1880"/>
      <c r="I363" s="1880"/>
      <c r="J363" s="1880"/>
      <c r="K363" s="1880"/>
      <c r="L363" s="1880"/>
      <c r="M363" s="1880"/>
      <c r="N363" s="1880"/>
      <c r="O363" s="1880"/>
      <c r="P363" s="1880"/>
      <c r="Q363" s="1880"/>
      <c r="R363" s="1864"/>
      <c r="S363" s="1864"/>
      <c r="Z363" s="1869">
        <v>118</v>
      </c>
    </row>
    <row r="364" spans="1:26" s="1866" customFormat="1" ht="2.25" customHeight="1">
      <c r="H364" s="1915"/>
      <c r="I364" s="1915"/>
      <c r="J364" s="1915"/>
      <c r="K364" s="1915"/>
      <c r="L364" s="1915"/>
      <c r="M364" s="1915"/>
      <c r="N364" s="1915"/>
      <c r="O364" s="1915"/>
      <c r="P364" s="1915"/>
      <c r="Q364" s="1915"/>
      <c r="R364" s="1915"/>
      <c r="S364" s="1915"/>
      <c r="Z364" s="1858">
        <v>119</v>
      </c>
    </row>
    <row r="365" spans="1:26" s="1857" customFormat="1" ht="11.25" customHeight="1">
      <c r="C365" s="1902" t="s">
        <v>1895</v>
      </c>
      <c r="D365" s="1857" t="s">
        <v>7121</v>
      </c>
      <c r="H365" s="1864">
        <f>'Part II-Development Team'!H120</f>
        <v>0</v>
      </c>
      <c r="I365" s="1864"/>
      <c r="J365" s="1864"/>
      <c r="K365" s="1880" t="s">
        <v>1716</v>
      </c>
      <c r="L365" s="1864">
        <f>'Part II-Development Team'!L120</f>
        <v>0</v>
      </c>
      <c r="M365" s="1915"/>
      <c r="N365" s="1915"/>
      <c r="O365" s="1889" t="s">
        <v>3261</v>
      </c>
      <c r="P365" s="1864"/>
      <c r="Q365" s="1879">
        <f>'Part II-Development Team'!Q120</f>
        <v>0</v>
      </c>
      <c r="R365" s="1965"/>
      <c r="S365" s="1965"/>
      <c r="Z365" s="1858">
        <v>120</v>
      </c>
    </row>
    <row r="366" spans="1:26" s="1857" customFormat="1" ht="11.25" customHeight="1">
      <c r="D366" s="1888"/>
      <c r="E366" s="1859" t="s">
        <v>6486</v>
      </c>
      <c r="F366" s="1861"/>
      <c r="H366" s="1864">
        <f>'Part II-Development Team'!H121</f>
        <v>0</v>
      </c>
      <c r="I366" s="1915"/>
      <c r="J366" s="1915"/>
      <c r="K366" s="1915"/>
      <c r="L366" s="1915"/>
      <c r="M366" s="1915"/>
      <c r="N366" s="1915"/>
      <c r="O366" s="1889" t="s">
        <v>588</v>
      </c>
      <c r="P366" s="1864"/>
      <c r="Q366" s="1864">
        <f>'Part II-Development Team'!Q121</f>
        <v>0</v>
      </c>
      <c r="R366" s="1915"/>
      <c r="S366" s="1915"/>
      <c r="Z366" s="1858">
        <v>121</v>
      </c>
    </row>
    <row r="367" spans="1:26" s="1857" customFormat="1">
      <c r="D367" s="1888"/>
      <c r="E367" s="1859" t="s">
        <v>1717</v>
      </c>
      <c r="H367" s="1889">
        <f>'Part II-Development Team'!H122</f>
        <v>0</v>
      </c>
      <c r="I367" s="1880" t="s">
        <v>2127</v>
      </c>
      <c r="J367" s="1878">
        <f>'Part II-Development Team'!J122</f>
        <v>0</v>
      </c>
      <c r="K367" s="1915"/>
      <c r="L367" s="1880" t="s">
        <v>1893</v>
      </c>
      <c r="M367" s="1873">
        <f>'Part II-Development Team'!M122</f>
        <v>0</v>
      </c>
      <c r="N367" s="1873"/>
      <c r="O367" s="1873"/>
      <c r="P367" s="1873"/>
      <c r="Q367" s="1873"/>
      <c r="R367" s="1873"/>
      <c r="S367" s="1873"/>
      <c r="Z367" s="1858">
        <v>122</v>
      </c>
    </row>
    <row r="368" spans="1:26" s="1866" customFormat="1">
      <c r="H368" s="1915"/>
      <c r="I368" s="1915"/>
      <c r="J368" s="1915"/>
      <c r="K368" s="1915"/>
      <c r="L368" s="1915"/>
      <c r="M368" s="1915"/>
      <c r="N368" s="1915"/>
      <c r="O368" s="1915"/>
      <c r="P368" s="1915"/>
      <c r="Q368" s="1915"/>
      <c r="R368" s="1915"/>
      <c r="S368" s="1915"/>
      <c r="Z368" s="1858">
        <v>123</v>
      </c>
    </row>
    <row r="369" spans="3:26" s="1857" customFormat="1">
      <c r="C369" s="1902"/>
      <c r="D369" s="1857" t="s">
        <v>7122</v>
      </c>
      <c r="H369" s="1864">
        <f>'Part II-Development Team'!H124</f>
        <v>0</v>
      </c>
      <c r="I369" s="1864"/>
      <c r="J369" s="1864"/>
      <c r="K369" s="1880" t="s">
        <v>1716</v>
      </c>
      <c r="L369" s="1864">
        <f>'Part II-Development Team'!L124</f>
        <v>0</v>
      </c>
      <c r="M369" s="1915"/>
      <c r="N369" s="1915"/>
      <c r="O369" s="1889" t="s">
        <v>3261</v>
      </c>
      <c r="P369" s="1864"/>
      <c r="Q369" s="1879">
        <f>'Part II-Development Team'!Q124</f>
        <v>0</v>
      </c>
      <c r="R369" s="1965"/>
      <c r="S369" s="1965"/>
      <c r="Z369" s="1858">
        <v>124</v>
      </c>
    </row>
    <row r="370" spans="3:26" s="1857" customFormat="1">
      <c r="D370" s="1888"/>
      <c r="E370" s="1859" t="s">
        <v>6486</v>
      </c>
      <c r="F370" s="1861"/>
      <c r="H370" s="1864">
        <f>'Part II-Development Team'!H125</f>
        <v>0</v>
      </c>
      <c r="I370" s="1915"/>
      <c r="J370" s="1915"/>
      <c r="K370" s="1915"/>
      <c r="L370" s="1915"/>
      <c r="M370" s="1915"/>
      <c r="N370" s="1915"/>
      <c r="O370" s="1889" t="s">
        <v>588</v>
      </c>
      <c r="P370" s="1864"/>
      <c r="Q370" s="1864">
        <f>'Part II-Development Team'!Q125</f>
        <v>0</v>
      </c>
      <c r="R370" s="1915"/>
      <c r="S370" s="1915"/>
      <c r="Z370" s="1858">
        <v>125</v>
      </c>
    </row>
    <row r="371" spans="3:26" s="1857" customFormat="1">
      <c r="D371" s="1888"/>
      <c r="E371" s="1859" t="s">
        <v>1717</v>
      </c>
      <c r="H371" s="1889">
        <f>'Part II-Development Team'!H126</f>
        <v>0</v>
      </c>
      <c r="I371" s="1880" t="s">
        <v>2127</v>
      </c>
      <c r="J371" s="1878">
        <f>'Part II-Development Team'!J126</f>
        <v>0</v>
      </c>
      <c r="K371" s="1915"/>
      <c r="L371" s="1880" t="s">
        <v>1893</v>
      </c>
      <c r="M371" s="1873">
        <f>'Part II-Development Team'!M126</f>
        <v>0</v>
      </c>
      <c r="N371" s="1873"/>
      <c r="O371" s="1873"/>
      <c r="P371" s="1873"/>
      <c r="Q371" s="1873"/>
      <c r="R371" s="1873"/>
      <c r="S371" s="1873"/>
      <c r="Z371" s="1858">
        <v>126</v>
      </c>
    </row>
    <row r="372" spans="3:26" s="1866" customFormat="1">
      <c r="H372" s="1915"/>
      <c r="I372" s="1915"/>
      <c r="J372" s="1915"/>
      <c r="K372" s="1915"/>
      <c r="L372" s="1915"/>
      <c r="M372" s="1915"/>
      <c r="N372" s="1915"/>
      <c r="O372" s="1915"/>
      <c r="P372" s="1915"/>
      <c r="Q372" s="1915"/>
      <c r="R372" s="1915"/>
      <c r="S372" s="1915"/>
      <c r="Z372" s="1869">
        <v>127</v>
      </c>
    </row>
    <row r="373" spans="3:26" s="1857" customFormat="1">
      <c r="C373" s="1902"/>
      <c r="D373" s="1857" t="s">
        <v>7055</v>
      </c>
      <c r="H373" s="1864">
        <f>'Part II-Development Team'!H128</f>
        <v>0</v>
      </c>
      <c r="I373" s="1864"/>
      <c r="J373" s="1864"/>
      <c r="K373" s="1880" t="s">
        <v>1716</v>
      </c>
      <c r="L373" s="1864">
        <f>'Part II-Development Team'!L128</f>
        <v>0</v>
      </c>
      <c r="M373" s="1915"/>
      <c r="N373" s="1915"/>
      <c r="O373" s="1889" t="s">
        <v>3261</v>
      </c>
      <c r="P373" s="1864"/>
      <c r="Q373" s="1879">
        <f>'Part II-Development Team'!Q128</f>
        <v>0</v>
      </c>
      <c r="R373" s="1965"/>
      <c r="S373" s="1965"/>
      <c r="Z373" s="1858">
        <v>128</v>
      </c>
    </row>
    <row r="374" spans="3:26" s="1857" customFormat="1">
      <c r="D374" s="1888"/>
      <c r="E374" s="1859" t="s">
        <v>6486</v>
      </c>
      <c r="F374" s="1861"/>
      <c r="H374" s="1864">
        <f>'Part II-Development Team'!H129</f>
        <v>0</v>
      </c>
      <c r="I374" s="1915"/>
      <c r="J374" s="1915"/>
      <c r="K374" s="1915"/>
      <c r="L374" s="1915"/>
      <c r="M374" s="1915"/>
      <c r="N374" s="1915"/>
      <c r="O374" s="1889" t="s">
        <v>588</v>
      </c>
      <c r="P374" s="1864"/>
      <c r="Q374" s="1864">
        <f>'Part II-Development Team'!Q129</f>
        <v>0</v>
      </c>
      <c r="R374" s="1915"/>
      <c r="S374" s="1915"/>
      <c r="Z374" s="1858">
        <v>129</v>
      </c>
    </row>
    <row r="375" spans="3:26" s="1857" customFormat="1">
      <c r="D375" s="1888"/>
      <c r="E375" s="1859" t="s">
        <v>1717</v>
      </c>
      <c r="H375" s="1889">
        <f>'Part II-Development Team'!H130</f>
        <v>0</v>
      </c>
      <c r="I375" s="1880" t="s">
        <v>2127</v>
      </c>
      <c r="J375" s="1878">
        <f>'Part II-Development Team'!J130</f>
        <v>0</v>
      </c>
      <c r="K375" s="1915"/>
      <c r="L375" s="1880" t="s">
        <v>1893</v>
      </c>
      <c r="M375" s="1873">
        <f>'Part II-Development Team'!M130</f>
        <v>0</v>
      </c>
      <c r="N375" s="1873"/>
      <c r="O375" s="1873"/>
      <c r="P375" s="1873"/>
      <c r="Q375" s="1873"/>
      <c r="R375" s="1873"/>
      <c r="S375" s="1873"/>
      <c r="Z375" s="1858">
        <v>130</v>
      </c>
    </row>
    <row r="376" spans="3:26" s="1866" customFormat="1">
      <c r="H376" s="1915"/>
      <c r="I376" s="1915"/>
      <c r="J376" s="1915"/>
      <c r="K376" s="1915"/>
      <c r="L376" s="1915"/>
      <c r="M376" s="1915"/>
      <c r="N376" s="1915"/>
      <c r="O376" s="1915"/>
      <c r="P376" s="1915"/>
      <c r="Q376" s="1915"/>
      <c r="R376" s="1915"/>
      <c r="S376" s="1915"/>
      <c r="Z376" s="1858">
        <v>131</v>
      </c>
    </row>
    <row r="377" spans="3:26" s="1857" customFormat="1">
      <c r="C377" s="1902"/>
      <c r="D377" s="1857" t="s">
        <v>7123</v>
      </c>
      <c r="H377" s="1864">
        <f>'Part II-Development Team'!H132</f>
        <v>0</v>
      </c>
      <c r="I377" s="1864"/>
      <c r="J377" s="1864"/>
      <c r="K377" s="1880" t="s">
        <v>1716</v>
      </c>
      <c r="L377" s="1864">
        <f>'Part II-Development Team'!L132</f>
        <v>0</v>
      </c>
      <c r="M377" s="1915"/>
      <c r="N377" s="1915"/>
      <c r="O377" s="1889" t="s">
        <v>3261</v>
      </c>
      <c r="P377" s="1864"/>
      <c r="Q377" s="1879">
        <f>'Part II-Development Team'!Q132</f>
        <v>0</v>
      </c>
      <c r="R377" s="1965"/>
      <c r="S377" s="1965"/>
      <c r="Z377" s="1858">
        <v>132</v>
      </c>
    </row>
    <row r="378" spans="3:26" s="1857" customFormat="1">
      <c r="D378" s="1888"/>
      <c r="E378" s="1859" t="s">
        <v>6486</v>
      </c>
      <c r="F378" s="1861"/>
      <c r="H378" s="1864">
        <f>'Part II-Development Team'!H133</f>
        <v>0</v>
      </c>
      <c r="I378" s="1915"/>
      <c r="J378" s="1915"/>
      <c r="K378" s="1915"/>
      <c r="L378" s="1915"/>
      <c r="M378" s="1915"/>
      <c r="N378" s="1915"/>
      <c r="O378" s="1889" t="s">
        <v>588</v>
      </c>
      <c r="P378" s="1864"/>
      <c r="Q378" s="1864">
        <f>'Part II-Development Team'!Q133</f>
        <v>0</v>
      </c>
      <c r="R378" s="1915"/>
      <c r="S378" s="1915"/>
      <c r="Z378" s="1858">
        <v>133</v>
      </c>
    </row>
    <row r="379" spans="3:26" s="1857" customFormat="1">
      <c r="D379" s="1888"/>
      <c r="E379" s="1859" t="s">
        <v>1717</v>
      </c>
      <c r="H379" s="1889">
        <f>'Part II-Development Team'!H134</f>
        <v>0</v>
      </c>
      <c r="I379" s="1880" t="s">
        <v>2127</v>
      </c>
      <c r="J379" s="1878">
        <f>'Part II-Development Team'!J134</f>
        <v>0</v>
      </c>
      <c r="K379" s="1915"/>
      <c r="L379" s="1880" t="s">
        <v>1893</v>
      </c>
      <c r="M379" s="1873">
        <f>'Part II-Development Team'!M134</f>
        <v>0</v>
      </c>
      <c r="N379" s="1873"/>
      <c r="O379" s="1873"/>
      <c r="P379" s="1873"/>
      <c r="Q379" s="1873"/>
      <c r="R379" s="1873"/>
      <c r="S379" s="1873"/>
      <c r="Z379" s="1858">
        <v>134</v>
      </c>
    </row>
    <row r="380" spans="3:26" s="1866" customFormat="1">
      <c r="H380" s="1915"/>
      <c r="I380" s="1915"/>
      <c r="J380" s="1915"/>
      <c r="K380" s="1915"/>
      <c r="L380" s="1915"/>
      <c r="M380" s="1915"/>
      <c r="N380" s="1915"/>
      <c r="O380" s="1915"/>
      <c r="P380" s="1915"/>
      <c r="Q380" s="1915"/>
      <c r="R380" s="1915"/>
      <c r="S380" s="1915"/>
      <c r="Z380" s="1858">
        <v>135</v>
      </c>
    </row>
    <row r="381" spans="3:26" s="1857" customFormat="1">
      <c r="C381" s="1902"/>
      <c r="D381" s="1857" t="s">
        <v>7056</v>
      </c>
      <c r="H381" s="1864">
        <f>'Part II-Development Team'!H136</f>
        <v>0</v>
      </c>
      <c r="I381" s="1864"/>
      <c r="J381" s="1864"/>
      <c r="K381" s="1880" t="s">
        <v>1716</v>
      </c>
      <c r="L381" s="1864">
        <f>'Part II-Development Team'!L136</f>
        <v>0</v>
      </c>
      <c r="M381" s="1915"/>
      <c r="N381" s="1915"/>
      <c r="O381" s="1889" t="s">
        <v>3261</v>
      </c>
      <c r="P381" s="1864"/>
      <c r="Q381" s="1879">
        <f>'Part II-Development Team'!Q136</f>
        <v>0</v>
      </c>
      <c r="R381" s="1965"/>
      <c r="S381" s="1965"/>
      <c r="Z381" s="1869">
        <v>136</v>
      </c>
    </row>
    <row r="382" spans="3:26" s="1857" customFormat="1">
      <c r="D382" s="1888"/>
      <c r="E382" s="1859" t="s">
        <v>6486</v>
      </c>
      <c r="F382" s="1861"/>
      <c r="H382" s="1864">
        <f>'Part II-Development Team'!H137</f>
        <v>0</v>
      </c>
      <c r="I382" s="1915"/>
      <c r="J382" s="1915"/>
      <c r="K382" s="1915"/>
      <c r="L382" s="1915"/>
      <c r="M382" s="1915"/>
      <c r="N382" s="1915"/>
      <c r="O382" s="1889" t="s">
        <v>588</v>
      </c>
      <c r="P382" s="1864"/>
      <c r="Q382" s="1864">
        <f>'Part II-Development Team'!Q137</f>
        <v>0</v>
      </c>
      <c r="R382" s="1915"/>
      <c r="S382" s="1915"/>
      <c r="Z382" s="1858">
        <v>137</v>
      </c>
    </row>
    <row r="383" spans="3:26" s="1857" customFormat="1">
      <c r="D383" s="1888"/>
      <c r="E383" s="1859" t="s">
        <v>1717</v>
      </c>
      <c r="H383" s="1889">
        <f>'Part II-Development Team'!H138</f>
        <v>0</v>
      </c>
      <c r="I383" s="1880" t="s">
        <v>2127</v>
      </c>
      <c r="J383" s="1878">
        <f>'Part II-Development Team'!J138</f>
        <v>0</v>
      </c>
      <c r="K383" s="1915"/>
      <c r="L383" s="1880" t="s">
        <v>1893</v>
      </c>
      <c r="M383" s="1873">
        <f>'Part II-Development Team'!M138</f>
        <v>0</v>
      </c>
      <c r="N383" s="1873"/>
      <c r="O383" s="1873"/>
      <c r="P383" s="1873"/>
      <c r="Q383" s="1873"/>
      <c r="R383" s="1873"/>
      <c r="S383" s="1873"/>
      <c r="Z383" s="1858">
        <v>138</v>
      </c>
    </row>
    <row r="384" spans="3:26" s="1866" customFormat="1">
      <c r="H384" s="1915"/>
      <c r="I384" s="1915"/>
      <c r="J384" s="1915"/>
      <c r="K384" s="1915"/>
      <c r="L384" s="1915"/>
      <c r="M384" s="1915"/>
      <c r="N384" s="1915"/>
      <c r="O384" s="1915"/>
      <c r="P384" s="1915"/>
      <c r="Q384" s="1915"/>
      <c r="R384" s="1915"/>
      <c r="S384" s="1915"/>
      <c r="Z384" s="1858">
        <v>139</v>
      </c>
    </row>
    <row r="385" spans="1:26" s="1857" customFormat="1">
      <c r="C385" s="1902"/>
      <c r="D385" s="1857" t="s">
        <v>7124</v>
      </c>
      <c r="H385" s="1864">
        <f>'Part II-Development Team'!H140</f>
        <v>0</v>
      </c>
      <c r="I385" s="1864"/>
      <c r="J385" s="1864"/>
      <c r="K385" s="1880" t="s">
        <v>1716</v>
      </c>
      <c r="L385" s="1864">
        <f>'Part II-Development Team'!L140</f>
        <v>0</v>
      </c>
      <c r="M385" s="1915"/>
      <c r="N385" s="1915"/>
      <c r="O385" s="1889" t="s">
        <v>3261</v>
      </c>
      <c r="P385" s="1864"/>
      <c r="Q385" s="1879">
        <f>'Part II-Development Team'!Q140</f>
        <v>0</v>
      </c>
      <c r="R385" s="1965"/>
      <c r="S385" s="1965"/>
      <c r="Z385" s="1858">
        <v>140</v>
      </c>
    </row>
    <row r="386" spans="1:26" s="1857" customFormat="1">
      <c r="D386" s="1888"/>
      <c r="E386" s="1859" t="s">
        <v>6486</v>
      </c>
      <c r="F386" s="1861"/>
      <c r="H386" s="1864">
        <f>'Part II-Development Team'!H141</f>
        <v>0</v>
      </c>
      <c r="I386" s="1915"/>
      <c r="J386" s="1915"/>
      <c r="K386" s="1915"/>
      <c r="L386" s="1915"/>
      <c r="M386" s="1915"/>
      <c r="N386" s="1915"/>
      <c r="O386" s="1889" t="s">
        <v>588</v>
      </c>
      <c r="P386" s="1864"/>
      <c r="Q386" s="1864">
        <f>'Part II-Development Team'!Q141</f>
        <v>0</v>
      </c>
      <c r="R386" s="1915"/>
      <c r="S386" s="1915"/>
      <c r="Z386" s="1858">
        <v>141</v>
      </c>
    </row>
    <row r="387" spans="1:26" s="1857" customFormat="1">
      <c r="D387" s="1888"/>
      <c r="E387" s="1859" t="s">
        <v>1717</v>
      </c>
      <c r="H387" s="1889">
        <f>'Part II-Development Team'!H142</f>
        <v>0</v>
      </c>
      <c r="I387" s="1880" t="s">
        <v>2127</v>
      </c>
      <c r="J387" s="1878">
        <f>'Part II-Development Team'!J142</f>
        <v>0</v>
      </c>
      <c r="K387" s="1915"/>
      <c r="L387" s="1880" t="s">
        <v>1893</v>
      </c>
      <c r="M387" s="1873">
        <f>'Part II-Development Team'!M142</f>
        <v>0</v>
      </c>
      <c r="N387" s="1873"/>
      <c r="O387" s="1873"/>
      <c r="P387" s="1873"/>
      <c r="Q387" s="1873"/>
      <c r="R387" s="1873"/>
      <c r="S387" s="1873"/>
      <c r="Z387" s="1858">
        <v>142</v>
      </c>
    </row>
    <row r="388" spans="1:26" s="1866" customFormat="1">
      <c r="H388" s="1915"/>
      <c r="I388" s="1915"/>
      <c r="J388" s="1915"/>
      <c r="K388" s="1915"/>
      <c r="L388" s="1915"/>
      <c r="M388" s="1915"/>
      <c r="N388" s="1915"/>
      <c r="O388" s="1915"/>
      <c r="P388" s="1915"/>
      <c r="Q388" s="1915"/>
      <c r="R388" s="1915"/>
      <c r="S388" s="1915"/>
      <c r="Z388" s="1858">
        <v>143</v>
      </c>
    </row>
    <row r="389" spans="1:26" s="1857" customFormat="1">
      <c r="C389" s="1902" t="s">
        <v>1897</v>
      </c>
      <c r="D389" s="1857" t="s">
        <v>7057</v>
      </c>
      <c r="H389" s="1864" t="str">
        <f>'Part II-Development Team'!H144</f>
        <v>Housing Authority of the City of West Point</v>
      </c>
      <c r="I389" s="1864"/>
      <c r="J389" s="1864"/>
      <c r="K389" s="1880" t="s">
        <v>1716</v>
      </c>
      <c r="L389" s="1864" t="str">
        <f>'Part II-Development Team'!L144</f>
        <v>Robert Dull</v>
      </c>
      <c r="M389" s="1915"/>
      <c r="N389" s="1915"/>
      <c r="O389" s="1889" t="s">
        <v>3261</v>
      </c>
      <c r="P389" s="1864"/>
      <c r="Q389" s="1879">
        <f>'Part II-Development Team'!Q144</f>
        <v>7702277657</v>
      </c>
      <c r="R389" s="1965"/>
      <c r="S389" s="1965"/>
      <c r="Z389" s="1858">
        <v>144</v>
      </c>
    </row>
    <row r="390" spans="1:26" s="1857" customFormat="1" ht="11.25" customHeight="1">
      <c r="D390" s="1888"/>
      <c r="E390" s="1859" t="s">
        <v>6486</v>
      </c>
      <c r="F390" s="1861"/>
      <c r="H390" s="1864" t="str">
        <f>'Part II-Development Team'!H145</f>
        <v>327 S 9th Street</v>
      </c>
      <c r="I390" s="1915"/>
      <c r="J390" s="1915"/>
      <c r="K390" s="1915"/>
      <c r="L390" s="1915"/>
      <c r="M390" s="1915"/>
      <c r="N390" s="1915"/>
      <c r="O390" s="1889" t="s">
        <v>588</v>
      </c>
      <c r="P390" s="1864"/>
      <c r="Q390" s="1864" t="str">
        <f>'Part II-Development Team'!Q145</f>
        <v>West Point</v>
      </c>
      <c r="R390" s="1915"/>
      <c r="S390" s="1915"/>
      <c r="Z390" s="1869">
        <v>145</v>
      </c>
    </row>
    <row r="391" spans="1:26" s="1857" customFormat="1" ht="11.25" customHeight="1">
      <c r="D391" s="1888"/>
      <c r="E391" s="1859" t="s">
        <v>1717</v>
      </c>
      <c r="H391" s="1889" t="str">
        <f>'Part II-Development Team'!H146</f>
        <v>GA</v>
      </c>
      <c r="I391" s="1880" t="s">
        <v>2127</v>
      </c>
      <c r="J391" s="1878">
        <f>'Part II-Development Team'!J146</f>
        <v>318331747</v>
      </c>
      <c r="K391" s="1915"/>
      <c r="L391" s="1880" t="s">
        <v>1893</v>
      </c>
      <c r="M391" s="1873" t="str">
        <f>'Part II-Development Team'!M146</f>
        <v>rdull@griffinhousingauthority.com</v>
      </c>
      <c r="N391" s="1873"/>
      <c r="O391" s="1873"/>
      <c r="P391" s="1873"/>
      <c r="Q391" s="1873"/>
      <c r="R391" s="1873"/>
      <c r="S391" s="1873"/>
      <c r="Z391" s="1869">
        <v>146</v>
      </c>
    </row>
    <row r="392" spans="1:26" s="1866" customFormat="1" ht="2.25" customHeight="1">
      <c r="H392" s="1915"/>
      <c r="I392" s="1915"/>
      <c r="J392" s="1915"/>
      <c r="K392" s="1915"/>
      <c r="L392" s="1915"/>
      <c r="M392" s="1915"/>
      <c r="N392" s="1915"/>
      <c r="O392" s="1915"/>
      <c r="P392" s="1915"/>
      <c r="Q392" s="1915"/>
      <c r="R392" s="1915"/>
      <c r="S392" s="1915"/>
      <c r="Z392" s="1858">
        <v>147</v>
      </c>
    </row>
    <row r="393" spans="1:26" s="1857" customFormat="1" ht="11.25" customHeight="1">
      <c r="C393" s="1902" t="s">
        <v>2415</v>
      </c>
      <c r="D393" s="1857" t="s">
        <v>7058</v>
      </c>
      <c r="H393" s="1864">
        <f>'Part II-Development Team'!H148</f>
        <v>0</v>
      </c>
      <c r="I393" s="1864"/>
      <c r="J393" s="1864"/>
      <c r="K393" s="1880" t="s">
        <v>1716</v>
      </c>
      <c r="L393" s="1864">
        <f>'Part II-Development Team'!L148</f>
        <v>0</v>
      </c>
      <c r="M393" s="1915"/>
      <c r="N393" s="1915"/>
      <c r="O393" s="1889" t="s">
        <v>3261</v>
      </c>
      <c r="P393" s="1864"/>
      <c r="Q393" s="1879">
        <f>'Part II-Development Team'!Q148</f>
        <v>0</v>
      </c>
      <c r="R393" s="1965"/>
      <c r="S393" s="1965"/>
      <c r="Z393" s="1858">
        <v>148</v>
      </c>
    </row>
    <row r="394" spans="1:26" s="1857" customFormat="1" ht="11.25" customHeight="1">
      <c r="D394" s="1888"/>
      <c r="E394" s="1859" t="s">
        <v>6486</v>
      </c>
      <c r="F394" s="1861"/>
      <c r="H394" s="1864">
        <f>'Part II-Development Team'!H149</f>
        <v>0</v>
      </c>
      <c r="I394" s="1915"/>
      <c r="J394" s="1915"/>
      <c r="K394" s="1915"/>
      <c r="L394" s="1915"/>
      <c r="M394" s="1915"/>
      <c r="N394" s="1915"/>
      <c r="O394" s="1889" t="s">
        <v>588</v>
      </c>
      <c r="P394" s="1864"/>
      <c r="Q394" s="1864">
        <f>'Part II-Development Team'!Q149</f>
        <v>0</v>
      </c>
      <c r="R394" s="1915"/>
      <c r="S394" s="1915"/>
      <c r="Z394" s="1858">
        <v>149</v>
      </c>
    </row>
    <row r="395" spans="1:26" s="1857" customFormat="1" ht="11.25" customHeight="1">
      <c r="D395" s="1888"/>
      <c r="E395" s="1859" t="s">
        <v>1717</v>
      </c>
      <c r="H395" s="1889">
        <f>'Part II-Development Team'!H150</f>
        <v>0</v>
      </c>
      <c r="I395" s="1880" t="s">
        <v>2127</v>
      </c>
      <c r="J395" s="1878">
        <f>'Part II-Development Team'!J150</f>
        <v>0</v>
      </c>
      <c r="K395" s="1915"/>
      <c r="L395" s="1880" t="s">
        <v>1893</v>
      </c>
      <c r="M395" s="1873">
        <f>'Part II-Development Team'!M150</f>
        <v>0</v>
      </c>
      <c r="N395" s="1873"/>
      <c r="O395" s="1873"/>
      <c r="P395" s="1873"/>
      <c r="Q395" s="1873"/>
      <c r="R395" s="1873"/>
      <c r="S395" s="1873"/>
      <c r="Z395" s="1858">
        <v>150</v>
      </c>
    </row>
    <row r="396" spans="1:26" s="1866" customFormat="1" ht="6" customHeight="1">
      <c r="H396" s="1915"/>
      <c r="I396" s="1915"/>
      <c r="J396" s="1915"/>
      <c r="K396" s="1915"/>
      <c r="L396" s="1915"/>
      <c r="M396" s="1915"/>
      <c r="N396" s="1915"/>
      <c r="O396" s="1915"/>
      <c r="P396" s="1915"/>
      <c r="Q396" s="1915"/>
      <c r="R396" s="1915"/>
      <c r="S396" s="1915"/>
      <c r="Z396" s="1858">
        <v>151</v>
      </c>
    </row>
    <row r="397" spans="1:26" s="1866" customFormat="1" ht="12" customHeight="1">
      <c r="B397" s="1857" t="s">
        <v>1894</v>
      </c>
      <c r="C397" s="1857" t="s">
        <v>6842</v>
      </c>
      <c r="H397" s="1855"/>
      <c r="I397" s="1855"/>
      <c r="J397" s="1855"/>
      <c r="K397" s="1855"/>
      <c r="L397" s="1855"/>
      <c r="M397" s="1855"/>
      <c r="N397" s="1855"/>
      <c r="O397" s="1855"/>
      <c r="P397" s="1855"/>
      <c r="Q397" s="1855"/>
      <c r="R397" s="1855"/>
      <c r="S397" s="1855"/>
      <c r="Z397" s="1858">
        <v>152</v>
      </c>
    </row>
    <row r="398" spans="1:26" s="1866" customFormat="1" ht="13.5" customHeight="1">
      <c r="A398" s="1857" t="s">
        <v>3435</v>
      </c>
      <c r="B398" s="1857"/>
      <c r="C398" s="1857"/>
      <c r="D398" s="1857"/>
      <c r="E398" s="1857"/>
      <c r="H398" s="1880" t="s">
        <v>2391</v>
      </c>
      <c r="I398" s="1864" t="s">
        <v>6795</v>
      </c>
      <c r="J398" s="1864"/>
      <c r="K398" s="1864"/>
      <c r="L398" s="1864"/>
      <c r="M398" s="1864"/>
      <c r="N398" s="1864"/>
      <c r="O398" s="1864"/>
      <c r="P398" s="1864"/>
      <c r="Q398" s="1864"/>
      <c r="R398" s="1864"/>
      <c r="S398" s="1864"/>
      <c r="Z398" s="1858">
        <v>153</v>
      </c>
    </row>
    <row r="399" spans="1:26" s="1857" customFormat="1" ht="15" customHeight="1">
      <c r="B399" s="1966" t="s">
        <v>1895</v>
      </c>
      <c r="C399" s="1908" t="s">
        <v>2630</v>
      </c>
      <c r="E399" s="1908"/>
      <c r="H399" s="1967" t="str">
        <f>'Part II-Development Team'!H154</f>
        <v>No</v>
      </c>
      <c r="I399" s="1952">
        <f>'Part II-Development Team'!I154</f>
        <v>0</v>
      </c>
      <c r="J399" s="1952"/>
      <c r="K399" s="1952"/>
      <c r="L399" s="1952"/>
      <c r="M399" s="1952"/>
      <c r="N399" s="1952"/>
      <c r="O399" s="1952"/>
      <c r="P399" s="1952"/>
      <c r="Q399" s="1952"/>
      <c r="R399" s="1952"/>
      <c r="S399" s="1952"/>
      <c r="U399" s="1856" t="s">
        <v>1939</v>
      </c>
      <c r="V399" s="1856"/>
      <c r="Z399" s="1858">
        <v>154</v>
      </c>
    </row>
    <row r="400" spans="1:26" s="1857" customFormat="1" ht="15" customHeight="1">
      <c r="B400" s="1966" t="s">
        <v>1897</v>
      </c>
      <c r="C400" s="1908" t="s">
        <v>6484</v>
      </c>
      <c r="E400" s="1908"/>
      <c r="H400" s="1967" t="str">
        <f>'Part II-Development Team'!H155</f>
        <v>No</v>
      </c>
      <c r="I400" s="1952" t="str">
        <f>'Part II-Development Team'!I155</f>
        <v>Applicant has entered into an Option to Ground Lease with the Housing Authority of the City of West Point(WPHA).  WPHA is a co-General Partner owner and a developer in the project.</v>
      </c>
      <c r="J400" s="1952"/>
      <c r="K400" s="1952"/>
      <c r="L400" s="1952"/>
      <c r="M400" s="1952"/>
      <c r="N400" s="1952"/>
      <c r="O400" s="1952"/>
      <c r="P400" s="1952"/>
      <c r="Q400" s="1952"/>
      <c r="R400" s="1952"/>
      <c r="S400" s="1952"/>
      <c r="U400" s="1856"/>
      <c r="V400" s="1856"/>
      <c r="Z400" s="1869">
        <v>155</v>
      </c>
    </row>
    <row r="401" spans="1:26" s="1857" customFormat="1" ht="15" customHeight="1">
      <c r="B401" s="1966" t="s">
        <v>2415</v>
      </c>
      <c r="C401" s="1908" t="s">
        <v>2669</v>
      </c>
      <c r="E401" s="1908"/>
      <c r="H401" s="1967" t="str">
        <f>'Part II-Development Team'!H156</f>
        <v>No</v>
      </c>
      <c r="I401" s="1952">
        <f>'Part II-Development Team'!I156</f>
        <v>0</v>
      </c>
      <c r="J401" s="1952"/>
      <c r="K401" s="1952"/>
      <c r="L401" s="1952"/>
      <c r="M401" s="1952"/>
      <c r="N401" s="1952"/>
      <c r="O401" s="1952"/>
      <c r="P401" s="1952"/>
      <c r="Q401" s="1952"/>
      <c r="R401" s="1952"/>
      <c r="S401" s="1952"/>
      <c r="U401" s="1856"/>
      <c r="V401" s="1856"/>
      <c r="Z401" s="1858">
        <v>156</v>
      </c>
    </row>
    <row r="402" spans="1:26" s="1857" customFormat="1" ht="15" customHeight="1">
      <c r="B402" s="1966" t="s">
        <v>1178</v>
      </c>
      <c r="C402" s="1908" t="s">
        <v>2631</v>
      </c>
      <c r="E402" s="1908"/>
      <c r="H402" s="1967" t="str">
        <f>'Part II-Development Team'!H157</f>
        <v>No</v>
      </c>
      <c r="I402" s="1952">
        <f>'Part II-Development Team'!I157</f>
        <v>0</v>
      </c>
      <c r="J402" s="1952"/>
      <c r="K402" s="1952"/>
      <c r="L402" s="1952"/>
      <c r="M402" s="1952"/>
      <c r="N402" s="1952"/>
      <c r="O402" s="1952"/>
      <c r="P402" s="1952"/>
      <c r="Q402" s="1952"/>
      <c r="R402" s="1952"/>
      <c r="S402" s="1952"/>
      <c r="U402" s="1856"/>
      <c r="V402" s="1856"/>
      <c r="Z402" s="1858">
        <v>157</v>
      </c>
    </row>
    <row r="403" spans="1:26" s="1857" customFormat="1" ht="15" customHeight="1">
      <c r="B403" s="1966" t="s">
        <v>1179</v>
      </c>
      <c r="C403" s="1908" t="s">
        <v>3194</v>
      </c>
      <c r="E403" s="1908"/>
      <c r="H403" s="1967" t="str">
        <f>'Part II-Development Team'!H158</f>
        <v>No</v>
      </c>
      <c r="I403" s="1952">
        <f>'Part II-Development Team'!I158</f>
        <v>0</v>
      </c>
      <c r="J403" s="1952"/>
      <c r="K403" s="1952"/>
      <c r="L403" s="1952"/>
      <c r="M403" s="1952"/>
      <c r="N403" s="1952"/>
      <c r="O403" s="1952"/>
      <c r="P403" s="1952"/>
      <c r="Q403" s="1952"/>
      <c r="R403" s="1952"/>
      <c r="S403" s="1952"/>
      <c r="U403" s="1856"/>
      <c r="V403" s="1856"/>
      <c r="Z403" s="1858">
        <v>158</v>
      </c>
    </row>
    <row r="404" spans="1:26" s="1857" customFormat="1" ht="15" customHeight="1">
      <c r="B404" s="1966" t="s">
        <v>1791</v>
      </c>
      <c r="C404" s="1908" t="s">
        <v>3195</v>
      </c>
      <c r="E404" s="1908"/>
      <c r="H404" s="1967" t="str">
        <f>'Part II-Development Team'!H159</f>
        <v>No</v>
      </c>
      <c r="I404" s="1952">
        <f>'Part II-Development Team'!I159</f>
        <v>0</v>
      </c>
      <c r="J404" s="1952"/>
      <c r="K404" s="1952"/>
      <c r="L404" s="1952"/>
      <c r="M404" s="1952"/>
      <c r="N404" s="1952"/>
      <c r="O404" s="1952"/>
      <c r="P404" s="1952"/>
      <c r="Q404" s="1952"/>
      <c r="R404" s="1952"/>
      <c r="S404" s="1952"/>
      <c r="U404" s="1856"/>
      <c r="V404" s="1856"/>
      <c r="Z404" s="1858">
        <v>159</v>
      </c>
    </row>
    <row r="405" spans="1:26" s="1857" customFormat="1" ht="15" customHeight="1">
      <c r="B405" s="1966" t="s">
        <v>481</v>
      </c>
      <c r="C405" s="1908" t="s">
        <v>2632</v>
      </c>
      <c r="E405" s="1908"/>
      <c r="H405" s="1967" t="str">
        <f>'Part II-Development Team'!H160</f>
        <v>No</v>
      </c>
      <c r="I405" s="1952">
        <f>'Part II-Development Team'!I160</f>
        <v>0</v>
      </c>
      <c r="J405" s="1952"/>
      <c r="K405" s="1952"/>
      <c r="L405" s="1952"/>
      <c r="M405" s="1952"/>
      <c r="N405" s="1952"/>
      <c r="O405" s="1952"/>
      <c r="P405" s="1952"/>
      <c r="Q405" s="1952"/>
      <c r="R405" s="1952"/>
      <c r="S405" s="1952"/>
      <c r="Z405" s="1858">
        <v>160</v>
      </c>
    </row>
    <row r="406" spans="1:26" s="1857" customFormat="1" ht="15" customHeight="1">
      <c r="B406" s="1966" t="s">
        <v>482</v>
      </c>
      <c r="C406" s="1908" t="s">
        <v>4073</v>
      </c>
      <c r="E406" s="1908"/>
      <c r="H406" s="1967" t="str">
        <f>'Part II-Development Team'!H161</f>
        <v>No</v>
      </c>
      <c r="I406" s="1952">
        <f>'Part II-Development Team'!I161</f>
        <v>0</v>
      </c>
      <c r="J406" s="1952"/>
      <c r="K406" s="1952"/>
      <c r="L406" s="1952"/>
      <c r="M406" s="1952"/>
      <c r="N406" s="1952"/>
      <c r="O406" s="1952"/>
      <c r="P406" s="1952"/>
      <c r="Q406" s="1952"/>
      <c r="R406" s="1952"/>
      <c r="S406" s="1952"/>
      <c r="Z406" s="1858">
        <v>161</v>
      </c>
    </row>
    <row r="407" spans="1:26" s="1857" customFormat="1" ht="15" customHeight="1">
      <c r="B407" s="1966" t="s">
        <v>4072</v>
      </c>
      <c r="C407" s="1855" t="str">
        <f>+'Part II-Development Team'!C162</f>
        <v>Other (Indicate the 2 roles involved)</v>
      </c>
      <c r="D407" s="1855"/>
      <c r="E407" s="1855"/>
      <c r="F407" s="1855"/>
      <c r="G407" s="1855"/>
      <c r="H407" s="1967" t="str">
        <f>'Part II-Development Team'!H162</f>
        <v>Yes</v>
      </c>
      <c r="I407" s="1952" t="str">
        <f>'Part II-Development Team'!I162</f>
        <v>Pennrose Holdings LLC is the Managing General Partner of the West Point Village I LLC ownership entity and Pennrose LLC is a developer of the project. Pennrose Holdings LLC and Pennrose LLC have an identity of interest, since Mark Dambly, Richard Barnhart, Timothy Henkel, and Hunt PR Holdings LLC are all Principals of the Managing GP entity and developer entity.  These individuals also have ownership interests in Pennrose Management Company.  A co-General Partner, Collaborative West Point I, LLC, is a wholly-owned affiliate of Collaborative Housing Solutions, Inc. which is also a developer.  The Housing Authority of the City of West Point is a co-General Partner and developer.</v>
      </c>
      <c r="J407" s="1952"/>
      <c r="K407" s="1952"/>
      <c r="L407" s="1952"/>
      <c r="M407" s="1952"/>
      <c r="N407" s="1952"/>
      <c r="O407" s="1952"/>
      <c r="P407" s="1952"/>
      <c r="Q407" s="1952"/>
      <c r="R407" s="1952"/>
      <c r="S407" s="1952"/>
      <c r="Z407" s="1858">
        <v>162</v>
      </c>
    </row>
    <row r="408" spans="1:26" s="1857" customFormat="1" ht="13.35" customHeight="1">
      <c r="A408" s="1857" t="s">
        <v>1711</v>
      </c>
      <c r="B408" s="1857" t="s">
        <v>7125</v>
      </c>
      <c r="G408" s="1858"/>
      <c r="H408" s="1858"/>
      <c r="I408" s="1858"/>
      <c r="J408" s="1858"/>
      <c r="K408" s="1858"/>
      <c r="L408" s="1858"/>
      <c r="M408" s="1858"/>
      <c r="N408" s="1858"/>
      <c r="O408" s="1858"/>
      <c r="P408" s="1858"/>
      <c r="Q408" s="1858"/>
      <c r="Z408" s="1858">
        <v>163</v>
      </c>
    </row>
    <row r="409" spans="1:26" s="1857" customFormat="1" ht="2.25" customHeight="1">
      <c r="G409" s="1858"/>
      <c r="H409" s="1858"/>
      <c r="I409" s="1858"/>
      <c r="J409" s="1858"/>
      <c r="K409" s="1858"/>
      <c r="L409" s="1858"/>
      <c r="M409" s="1858"/>
      <c r="N409" s="1858"/>
      <c r="O409" s="1858"/>
      <c r="P409" s="1858"/>
      <c r="Q409" s="1858"/>
      <c r="Z409" s="1869">
        <v>164</v>
      </c>
    </row>
    <row r="410" spans="1:26" s="1866" customFormat="1" ht="13.35" customHeight="1">
      <c r="B410" s="1857" t="s">
        <v>719</v>
      </c>
      <c r="C410" s="1857" t="s">
        <v>6843</v>
      </c>
      <c r="Z410" s="1858">
        <v>165</v>
      </c>
    </row>
    <row r="411" spans="1:26" s="1857" customFormat="1" ht="12.75" customHeight="1">
      <c r="A411" s="1908" t="s">
        <v>610</v>
      </c>
      <c r="B411" s="1908"/>
      <c r="C411" s="1908"/>
      <c r="D411" s="1908"/>
      <c r="E411" s="1908" t="s">
        <v>3183</v>
      </c>
      <c r="F411" s="1908"/>
      <c r="G411" s="1908"/>
      <c r="H411" s="1908"/>
      <c r="I411" s="1908"/>
      <c r="J411" s="1908" t="s">
        <v>3184</v>
      </c>
      <c r="K411" s="1908" t="s">
        <v>7059</v>
      </c>
      <c r="L411" s="1908" t="s">
        <v>7060</v>
      </c>
      <c r="M411" s="1906" t="s">
        <v>7061</v>
      </c>
      <c r="N411" s="1906"/>
      <c r="O411" s="1906"/>
      <c r="P411" s="1906"/>
      <c r="Q411" s="1906"/>
      <c r="R411" s="1906"/>
      <c r="S411" s="1906"/>
      <c r="Z411" s="1858">
        <v>166</v>
      </c>
    </row>
    <row r="412" spans="1:26" s="1857" customFormat="1" ht="12.75" customHeight="1">
      <c r="A412" s="1908"/>
      <c r="B412" s="1908"/>
      <c r="C412" s="1908"/>
      <c r="D412" s="1908"/>
      <c r="E412" s="1908"/>
      <c r="F412" s="1908"/>
      <c r="G412" s="1908"/>
      <c r="H412" s="1908"/>
      <c r="I412" s="1908"/>
      <c r="J412" s="1908"/>
      <c r="K412" s="1908"/>
      <c r="L412" s="1908"/>
      <c r="M412" s="1906"/>
      <c r="N412" s="1906"/>
      <c r="O412" s="1906"/>
      <c r="P412" s="1906"/>
      <c r="Q412" s="1906"/>
      <c r="R412" s="1906"/>
      <c r="S412" s="1906"/>
      <c r="Z412" s="1858">
        <v>167</v>
      </c>
    </row>
    <row r="413" spans="1:26" s="1857" customFormat="1" ht="12.75" customHeight="1">
      <c r="A413" s="1908"/>
      <c r="B413" s="1908"/>
      <c r="C413" s="1908"/>
      <c r="D413" s="1908"/>
      <c r="E413" s="1908"/>
      <c r="F413" s="1908"/>
      <c r="G413" s="1908"/>
      <c r="H413" s="1908"/>
      <c r="I413" s="1908"/>
      <c r="J413" s="1908"/>
      <c r="K413" s="1908"/>
      <c r="L413" s="1908"/>
      <c r="M413" s="1906"/>
      <c r="N413" s="1906"/>
      <c r="O413" s="1906"/>
      <c r="P413" s="1906"/>
      <c r="Q413" s="1906"/>
      <c r="R413" s="1906"/>
      <c r="S413" s="1906"/>
      <c r="Z413" s="1858">
        <v>168</v>
      </c>
    </row>
    <row r="414" spans="1:26" s="1857" customFormat="1" ht="12.75" customHeight="1">
      <c r="A414" s="1908"/>
      <c r="B414" s="1908"/>
      <c r="C414" s="1908"/>
      <c r="D414" s="1908"/>
      <c r="E414" s="1968" t="s">
        <v>7126</v>
      </c>
      <c r="F414" s="1968"/>
      <c r="G414" s="1968"/>
      <c r="H414" s="1968"/>
      <c r="I414" s="1908"/>
      <c r="J414" s="1908"/>
      <c r="K414" s="1908"/>
      <c r="L414" s="1908"/>
      <c r="M414" s="1906"/>
      <c r="N414" s="1906"/>
      <c r="O414" s="1906"/>
      <c r="P414" s="1906"/>
      <c r="Q414" s="1906"/>
      <c r="R414" s="1906"/>
      <c r="S414" s="1906"/>
      <c r="Z414" s="1858">
        <v>169</v>
      </c>
    </row>
    <row r="415" spans="1:26" s="1857" customFormat="1" ht="13.5" customHeight="1">
      <c r="A415" s="1908"/>
      <c r="B415" s="1908"/>
      <c r="C415" s="1908"/>
      <c r="D415" s="1908"/>
      <c r="E415" s="1968"/>
      <c r="F415" s="1968"/>
      <c r="G415" s="1968"/>
      <c r="H415" s="1968"/>
      <c r="I415" s="1969" t="s">
        <v>2391</v>
      </c>
      <c r="J415" s="1908"/>
      <c r="K415" s="1908"/>
      <c r="L415" s="1908"/>
      <c r="M415" s="1884" t="s">
        <v>2391</v>
      </c>
      <c r="N415" s="1866" t="s">
        <v>2693</v>
      </c>
      <c r="O415" s="1866"/>
      <c r="P415" s="1866"/>
      <c r="Q415" s="1866"/>
      <c r="R415" s="1866"/>
      <c r="S415" s="1866"/>
      <c r="Z415" s="1858">
        <v>170</v>
      </c>
    </row>
    <row r="416" spans="1:26" s="1857" customFormat="1" ht="23.25" customHeight="1">
      <c r="A416" s="1906" t="s">
        <v>3178</v>
      </c>
      <c r="B416" s="1906"/>
      <c r="C416" s="1906"/>
      <c r="D416" s="1906"/>
      <c r="E416" s="1952" t="str">
        <f>'Part II-Development Team'!E171</f>
        <v>Pennrose Holdings LLC</v>
      </c>
      <c r="F416" s="1952"/>
      <c r="G416" s="1952"/>
      <c r="H416" s="1952"/>
      <c r="I416" s="1967" t="str">
        <f>'Part II-Development Team'!I171</f>
        <v>No</v>
      </c>
      <c r="J416" s="1967" t="str">
        <f>'Part II-Development Team'!J171</f>
        <v>No</v>
      </c>
      <c r="K416" s="1970" t="str">
        <f>'Part II-Development Team'!K171</f>
        <v>For Profit</v>
      </c>
      <c r="L416" s="1971">
        <f>'Part II-Development Team'!L171</f>
        <v>6.3999999999999997E-5</v>
      </c>
      <c r="M416" s="1967" t="str">
        <f>'Part II-Development Team'!M171</f>
        <v>No</v>
      </c>
      <c r="N416" s="1952">
        <f>'Part II-Development Team'!N171</f>
        <v>0</v>
      </c>
      <c r="O416" s="1952"/>
      <c r="P416" s="1952"/>
      <c r="Q416" s="1952"/>
      <c r="R416" s="1952"/>
      <c r="S416" s="1952"/>
      <c r="Z416" s="1869">
        <v>171</v>
      </c>
    </row>
    <row r="417" spans="1:26" s="1857" customFormat="1" ht="23.25" customHeight="1">
      <c r="A417" s="1906" t="s">
        <v>3179</v>
      </c>
      <c r="B417" s="1906"/>
      <c r="C417" s="1906"/>
      <c r="D417" s="1906"/>
      <c r="E417" s="1952" t="str">
        <f>'Part II-Development Team'!E172</f>
        <v>Collaborative West Point II, LLC</v>
      </c>
      <c r="F417" s="1952"/>
      <c r="G417" s="1952"/>
      <c r="H417" s="1952"/>
      <c r="I417" s="1967" t="str">
        <f>'Part II-Development Team'!I172</f>
        <v>No</v>
      </c>
      <c r="J417" s="1967" t="str">
        <f>'Part II-Development Team'!J172</f>
        <v>No</v>
      </c>
      <c r="K417" s="1970" t="str">
        <f>'Part II-Development Team'!K172</f>
        <v>For Profit</v>
      </c>
      <c r="L417" s="1971">
        <f>'Part II-Development Team'!L172</f>
        <v>2.0999999999999999E-5</v>
      </c>
      <c r="M417" s="1967" t="str">
        <f>'Part II-Development Team'!M172</f>
        <v>No</v>
      </c>
      <c r="N417" s="1952">
        <f>'Part II-Development Team'!N172</f>
        <v>0</v>
      </c>
      <c r="O417" s="1952"/>
      <c r="P417" s="1952"/>
      <c r="Q417" s="1952"/>
      <c r="R417" s="1952"/>
      <c r="S417" s="1952"/>
      <c r="U417" s="1856" t="s">
        <v>1939</v>
      </c>
      <c r="V417" s="1856"/>
      <c r="Z417" s="1858">
        <v>172</v>
      </c>
    </row>
    <row r="418" spans="1:26" s="1857" customFormat="1" ht="23.25" customHeight="1">
      <c r="A418" s="1906" t="s">
        <v>3180</v>
      </c>
      <c r="B418" s="1906"/>
      <c r="C418" s="1906"/>
      <c r="D418" s="1906"/>
      <c r="E418" s="1952" t="str">
        <f>'Part II-Development Team'!E173</f>
        <v>Housing Authority of the Ciy of West Point</v>
      </c>
      <c r="F418" s="1952"/>
      <c r="G418" s="1952"/>
      <c r="H418" s="1952"/>
      <c r="I418" s="1967" t="str">
        <f>'Part II-Development Team'!I173</f>
        <v>No</v>
      </c>
      <c r="J418" s="1967" t="str">
        <f>'Part II-Development Team'!J173</f>
        <v>No</v>
      </c>
      <c r="K418" s="1970" t="str">
        <f>'Part II-Development Team'!K173</f>
        <v>Nonprofit</v>
      </c>
      <c r="L418" s="1971">
        <f>'Part II-Development Team'!L173</f>
        <v>1.5E-5</v>
      </c>
      <c r="M418" s="1967" t="str">
        <f>'Part II-Development Team'!M173</f>
        <v>No</v>
      </c>
      <c r="N418" s="1952">
        <f>'Part II-Development Team'!N173</f>
        <v>0</v>
      </c>
      <c r="O418" s="1952"/>
      <c r="P418" s="1952"/>
      <c r="Q418" s="1952"/>
      <c r="R418" s="1952"/>
      <c r="S418" s="1952"/>
      <c r="U418" s="1856"/>
      <c r="V418" s="1856"/>
      <c r="Z418" s="1858">
        <v>173</v>
      </c>
    </row>
    <row r="419" spans="1:26" s="1857" customFormat="1" ht="23.25" customHeight="1">
      <c r="A419" s="1906" t="s">
        <v>3181</v>
      </c>
      <c r="B419" s="1906"/>
      <c r="C419" s="1906"/>
      <c r="D419" s="1906"/>
      <c r="E419" s="1952" t="str">
        <f>'Part II-Development Team'!E174</f>
        <v>Hudson Housing Capital LLC</v>
      </c>
      <c r="F419" s="1952"/>
      <c r="G419" s="1952"/>
      <c r="H419" s="1952"/>
      <c r="I419" s="1967" t="str">
        <f>'Part II-Development Team'!I174</f>
        <v>No</v>
      </c>
      <c r="J419" s="1967" t="str">
        <f>'Part II-Development Team'!J174</f>
        <v>No</v>
      </c>
      <c r="K419" s="1970" t="str">
        <f>'Part II-Development Team'!K174</f>
        <v>For Profit</v>
      </c>
      <c r="L419" s="1971">
        <f>'Part II-Development Team'!L174</f>
        <v>0.9899</v>
      </c>
      <c r="M419" s="1967" t="str">
        <f>'Part II-Development Team'!M174</f>
        <v>No</v>
      </c>
      <c r="N419" s="1952">
        <f>'Part II-Development Team'!N174</f>
        <v>0</v>
      </c>
      <c r="O419" s="1952"/>
      <c r="P419" s="1952"/>
      <c r="Q419" s="1952"/>
      <c r="R419" s="1952"/>
      <c r="S419" s="1952"/>
      <c r="U419" s="1856"/>
      <c r="V419" s="1856"/>
      <c r="Z419" s="1858">
        <v>174</v>
      </c>
    </row>
    <row r="420" spans="1:26" s="1857" customFormat="1" ht="23.25" customHeight="1">
      <c r="A420" s="1906" t="s">
        <v>3182</v>
      </c>
      <c r="B420" s="1906"/>
      <c r="C420" s="1906"/>
      <c r="D420" s="1906"/>
      <c r="E420" s="1952" t="str">
        <f>'Part II-Development Team'!E175</f>
        <v>Hudson Housing Capital LLC</v>
      </c>
      <c r="F420" s="1952"/>
      <c r="G420" s="1952"/>
      <c r="H420" s="1952"/>
      <c r="I420" s="1967" t="str">
        <f>'Part II-Development Team'!I175</f>
        <v>No</v>
      </c>
      <c r="J420" s="1967" t="str">
        <f>'Part II-Development Team'!J175</f>
        <v>No</v>
      </c>
      <c r="K420" s="1970" t="str">
        <f>'Part II-Development Team'!K175</f>
        <v>For Profit</v>
      </c>
      <c r="L420" s="1971">
        <f>'Part II-Development Team'!L175</f>
        <v>0.01</v>
      </c>
      <c r="M420" s="1967" t="str">
        <f>'Part II-Development Team'!M175</f>
        <v>No</v>
      </c>
      <c r="N420" s="1952">
        <f>'Part II-Development Team'!N175</f>
        <v>0</v>
      </c>
      <c r="O420" s="1952"/>
      <c r="P420" s="1952"/>
      <c r="Q420" s="1952"/>
      <c r="R420" s="1952"/>
      <c r="S420" s="1952"/>
      <c r="U420" s="1856"/>
      <c r="V420" s="1856"/>
      <c r="Z420" s="1858">
        <v>175</v>
      </c>
    </row>
    <row r="421" spans="1:26" s="1857" customFormat="1" ht="23.25" customHeight="1">
      <c r="A421" s="1906" t="s">
        <v>2683</v>
      </c>
      <c r="B421" s="1906"/>
      <c r="C421" s="1906"/>
      <c r="D421" s="1906"/>
      <c r="E421" s="1952">
        <f>'Part II-Development Team'!E176</f>
        <v>0</v>
      </c>
      <c r="F421" s="1952"/>
      <c r="G421" s="1952"/>
      <c r="H421" s="1952"/>
      <c r="I421" s="1967" t="str">
        <f>'Part II-Development Team'!I176</f>
        <v>Select</v>
      </c>
      <c r="J421" s="1967" t="str">
        <f>'Part II-Development Team'!J176</f>
        <v>Select</v>
      </c>
      <c r="K421" s="1970">
        <f>'Part II-Development Team'!K176</f>
        <v>0</v>
      </c>
      <c r="L421" s="1971">
        <f>'Part II-Development Team'!L176</f>
        <v>0</v>
      </c>
      <c r="M421" s="1967" t="str">
        <f>'Part II-Development Team'!M176</f>
        <v>Select</v>
      </c>
      <c r="N421" s="1952">
        <f>'Part II-Development Team'!N176</f>
        <v>0</v>
      </c>
      <c r="O421" s="1952"/>
      <c r="P421" s="1952"/>
      <c r="Q421" s="1952"/>
      <c r="R421" s="1952"/>
      <c r="S421" s="1952"/>
      <c r="U421" s="1856"/>
      <c r="V421" s="1856"/>
      <c r="Z421" s="1858">
        <v>176</v>
      </c>
    </row>
    <row r="422" spans="1:26" s="1857" customFormat="1" ht="23.25" customHeight="1">
      <c r="A422" s="1906" t="s">
        <v>623</v>
      </c>
      <c r="B422" s="1906"/>
      <c r="C422" s="1906"/>
      <c r="D422" s="1906"/>
      <c r="E422" s="1952" t="str">
        <f>'Part II-Development Team'!E177</f>
        <v>Pennrose LLC</v>
      </c>
      <c r="F422" s="1952"/>
      <c r="G422" s="1952"/>
      <c r="H422" s="1952"/>
      <c r="I422" s="1967" t="str">
        <f>'Part II-Development Team'!I177</f>
        <v>No</v>
      </c>
      <c r="J422" s="1967" t="str">
        <f>'Part II-Development Team'!J177</f>
        <v>No</v>
      </c>
      <c r="K422" s="1970" t="str">
        <f>'Part II-Development Team'!K177</f>
        <v>For Profit</v>
      </c>
      <c r="L422" s="1971">
        <f>'Part II-Development Team'!L177</f>
        <v>0</v>
      </c>
      <c r="M422" s="1967" t="str">
        <f>'Part II-Development Team'!M177</f>
        <v>No</v>
      </c>
      <c r="N422" s="1952">
        <f>'Part II-Development Team'!N177</f>
        <v>0</v>
      </c>
      <c r="O422" s="1952"/>
      <c r="P422" s="1952"/>
      <c r="Q422" s="1952"/>
      <c r="R422" s="1952"/>
      <c r="S422" s="1952"/>
      <c r="U422" s="1856"/>
      <c r="V422" s="1856"/>
      <c r="Z422" s="1858">
        <v>177</v>
      </c>
    </row>
    <row r="423" spans="1:26" s="1857" customFormat="1" ht="23.25" customHeight="1">
      <c r="A423" s="1906" t="s">
        <v>2684</v>
      </c>
      <c r="B423" s="1906"/>
      <c r="C423" s="1906"/>
      <c r="D423" s="1906"/>
      <c r="E423" s="1952" t="str">
        <f>'Part II-Development Team'!E178</f>
        <v>Collaborative Housing Solutions, Inc.</v>
      </c>
      <c r="F423" s="1952"/>
      <c r="G423" s="1952"/>
      <c r="H423" s="1952"/>
      <c r="I423" s="1967" t="str">
        <f>'Part II-Development Team'!I178</f>
        <v>No</v>
      </c>
      <c r="J423" s="1967" t="str">
        <f>'Part II-Development Team'!J178</f>
        <v>No</v>
      </c>
      <c r="K423" s="1970" t="str">
        <f>'Part II-Development Team'!K178</f>
        <v>For Profit</v>
      </c>
      <c r="L423" s="1971">
        <f>'Part II-Development Team'!L178</f>
        <v>0</v>
      </c>
      <c r="M423" s="1967" t="str">
        <f>'Part II-Development Team'!M178</f>
        <v>No</v>
      </c>
      <c r="N423" s="1952">
        <f>'Part II-Development Team'!N178</f>
        <v>0</v>
      </c>
      <c r="O423" s="1952"/>
      <c r="P423" s="1952"/>
      <c r="Q423" s="1952"/>
      <c r="R423" s="1952"/>
      <c r="S423" s="1952"/>
      <c r="Z423" s="1869">
        <v>178</v>
      </c>
    </row>
    <row r="424" spans="1:26" s="1857" customFormat="1" ht="23.25" customHeight="1">
      <c r="A424" s="1906" t="s">
        <v>2685</v>
      </c>
      <c r="B424" s="1906"/>
      <c r="C424" s="1906"/>
      <c r="D424" s="1906"/>
      <c r="E424" s="1952" t="str">
        <f>'Part II-Development Team'!E179</f>
        <v>Housing Authority of the Ciy of West Point</v>
      </c>
      <c r="F424" s="1952"/>
      <c r="G424" s="1952"/>
      <c r="H424" s="1952"/>
      <c r="I424" s="1967" t="str">
        <f>'Part II-Development Team'!I179</f>
        <v>No</v>
      </c>
      <c r="J424" s="1967" t="str">
        <f>'Part II-Development Team'!J179</f>
        <v>No</v>
      </c>
      <c r="K424" s="1970" t="str">
        <f>'Part II-Development Team'!K179</f>
        <v>Nonprofit</v>
      </c>
      <c r="L424" s="1971">
        <f>'Part II-Development Team'!L179</f>
        <v>0</v>
      </c>
      <c r="M424" s="1967" t="str">
        <f>'Part II-Development Team'!M179</f>
        <v>No</v>
      </c>
      <c r="N424" s="1952">
        <f>'Part II-Development Team'!N179</f>
        <v>0</v>
      </c>
      <c r="O424" s="1952"/>
      <c r="P424" s="1952"/>
      <c r="Q424" s="1952"/>
      <c r="R424" s="1952"/>
      <c r="S424" s="1952"/>
      <c r="Z424" s="1858">
        <v>179</v>
      </c>
    </row>
    <row r="425" spans="1:26" s="1857" customFormat="1" ht="23.25" customHeight="1">
      <c r="A425" s="1906" t="s">
        <v>2687</v>
      </c>
      <c r="B425" s="1906"/>
      <c r="C425" s="1906"/>
      <c r="D425" s="1906"/>
      <c r="E425" s="1952">
        <f>'Part II-Development Team'!E180</f>
        <v>0</v>
      </c>
      <c r="F425" s="1952"/>
      <c r="G425" s="1952"/>
      <c r="H425" s="1952"/>
      <c r="I425" s="1967" t="str">
        <f>'Part II-Development Team'!I180</f>
        <v>Select</v>
      </c>
      <c r="J425" s="1967" t="str">
        <f>'Part II-Development Team'!J180</f>
        <v>Select</v>
      </c>
      <c r="K425" s="1970">
        <f>'Part II-Development Team'!K180</f>
        <v>0</v>
      </c>
      <c r="L425" s="1971">
        <f>'Part II-Development Team'!L180</f>
        <v>0</v>
      </c>
      <c r="M425" s="1967" t="str">
        <f>'Part II-Development Team'!M180</f>
        <v>Select</v>
      </c>
      <c r="N425" s="1952">
        <f>'Part II-Development Team'!N180</f>
        <v>0</v>
      </c>
      <c r="O425" s="1952"/>
      <c r="P425" s="1952"/>
      <c r="Q425" s="1952"/>
      <c r="R425" s="1952"/>
      <c r="S425" s="1952"/>
      <c r="Z425" s="1858">
        <v>180</v>
      </c>
    </row>
    <row r="426" spans="1:26" s="1857" customFormat="1" ht="23.25" customHeight="1">
      <c r="A426" s="1906" t="s">
        <v>2686</v>
      </c>
      <c r="B426" s="1906"/>
      <c r="C426" s="1906"/>
      <c r="D426" s="1906"/>
      <c r="E426" s="1952">
        <f>'Part II-Development Team'!E181</f>
        <v>0</v>
      </c>
      <c r="F426" s="1952"/>
      <c r="G426" s="1952"/>
      <c r="H426" s="1952"/>
      <c r="I426" s="1967" t="str">
        <f>'Part II-Development Team'!I181</f>
        <v>Select</v>
      </c>
      <c r="J426" s="1967" t="str">
        <f>'Part II-Development Team'!J181</f>
        <v>Select</v>
      </c>
      <c r="K426" s="1970">
        <f>'Part II-Development Team'!K181</f>
        <v>0</v>
      </c>
      <c r="L426" s="1971">
        <f>'Part II-Development Team'!L181</f>
        <v>0</v>
      </c>
      <c r="M426" s="1967" t="str">
        <f>'Part II-Development Team'!M181</f>
        <v>Select</v>
      </c>
      <c r="N426" s="1952">
        <f>'Part II-Development Team'!N181</f>
        <v>0</v>
      </c>
      <c r="O426" s="1952"/>
      <c r="P426" s="1952"/>
      <c r="Q426" s="1952"/>
      <c r="R426" s="1952"/>
      <c r="S426" s="1952"/>
      <c r="Z426" s="1858">
        <v>181</v>
      </c>
    </row>
    <row r="427" spans="1:26" s="1857" customFormat="1" ht="23.25" customHeight="1">
      <c r="A427" s="1906" t="s">
        <v>1468</v>
      </c>
      <c r="B427" s="1906"/>
      <c r="C427" s="1906"/>
      <c r="D427" s="1906"/>
      <c r="E427" s="1952" t="str">
        <f>'Part II-Development Team'!E182</f>
        <v>Capstone Building Corp</v>
      </c>
      <c r="F427" s="1952"/>
      <c r="G427" s="1952"/>
      <c r="H427" s="1952"/>
      <c r="I427" s="1967" t="str">
        <f>'Part II-Development Team'!I182</f>
        <v>No</v>
      </c>
      <c r="J427" s="1967" t="str">
        <f>'Part II-Development Team'!J182</f>
        <v>No</v>
      </c>
      <c r="K427" s="1970" t="str">
        <f>'Part II-Development Team'!K182</f>
        <v>For Profit</v>
      </c>
      <c r="L427" s="1971">
        <f>'Part II-Development Team'!L182</f>
        <v>0</v>
      </c>
      <c r="M427" s="1967" t="str">
        <f>'Part II-Development Team'!M182</f>
        <v>No</v>
      </c>
      <c r="N427" s="1952">
        <f>'Part II-Development Team'!N182</f>
        <v>0</v>
      </c>
      <c r="O427" s="1952"/>
      <c r="P427" s="1952"/>
      <c r="Q427" s="1952"/>
      <c r="R427" s="1952"/>
      <c r="S427" s="1952"/>
      <c r="Z427" s="1858">
        <v>182</v>
      </c>
    </row>
    <row r="428" spans="1:26" s="1857" customFormat="1" ht="23.25" customHeight="1">
      <c r="A428" s="1906" t="s">
        <v>2688</v>
      </c>
      <c r="B428" s="1906"/>
      <c r="C428" s="1906"/>
      <c r="D428" s="1906"/>
      <c r="E428" s="1952" t="str">
        <f>'Part II-Development Team'!E183</f>
        <v>Pennrose Management Company</v>
      </c>
      <c r="F428" s="1952"/>
      <c r="G428" s="1952"/>
      <c r="H428" s="1952"/>
      <c r="I428" s="1967" t="str">
        <f>'Part II-Development Team'!I183</f>
        <v>No</v>
      </c>
      <c r="J428" s="1967" t="str">
        <f>'Part II-Development Team'!J183</f>
        <v>No</v>
      </c>
      <c r="K428" s="1970" t="str">
        <f>'Part II-Development Team'!K183</f>
        <v>For Profit</v>
      </c>
      <c r="L428" s="1971">
        <f>'Part II-Development Team'!L183</f>
        <v>0</v>
      </c>
      <c r="M428" s="1967" t="str">
        <f>'Part II-Development Team'!M183</f>
        <v>No</v>
      </c>
      <c r="N428" s="1952">
        <f>'Part II-Development Team'!N183</f>
        <v>0</v>
      </c>
      <c r="O428" s="1952"/>
      <c r="P428" s="1952"/>
      <c r="Q428" s="1952"/>
      <c r="R428" s="1952"/>
      <c r="S428" s="1952"/>
      <c r="Z428" s="1858">
        <v>183</v>
      </c>
    </row>
    <row r="429" spans="1:26" s="1857" customFormat="1" ht="12" customHeight="1">
      <c r="J429" s="1858"/>
      <c r="K429" s="1909" t="s">
        <v>513</v>
      </c>
      <c r="L429" s="1972">
        <f>SUM(L416:L428)</f>
        <v>1</v>
      </c>
      <c r="M429" s="1858"/>
      <c r="P429" s="1866"/>
      <c r="Z429" s="1858">
        <v>184</v>
      </c>
    </row>
    <row r="430" spans="1:26" s="1866" customFormat="1" ht="11.25" customHeight="1">
      <c r="A430" s="1866" t="s">
        <v>505</v>
      </c>
      <c r="C430" s="1866" t="s">
        <v>543</v>
      </c>
      <c r="N430" s="1866" t="s">
        <v>505</v>
      </c>
      <c r="O430" s="1866" t="s">
        <v>74</v>
      </c>
      <c r="Z430" s="1858">
        <v>185</v>
      </c>
    </row>
    <row r="431" spans="1:26" s="1866" customFormat="1" ht="105.75" customHeight="1">
      <c r="A431" s="1957" t="str">
        <f>'Part II-Development Team'!A186</f>
        <v>West Point Village MM LLC is the Managing GP for the ownership entity, and there are 3 members of the Mangaging GP, which are Pennrose Holdings LLC (Managing Member), Collaborative Housing Solutions, Inc.(Member), Housing Authority of the City of West Point (Member).
Co-Developer 2 is a public housing agency, not a Nonprofit as listed above.
There are no members of the project team that have been convicted of a felony or any instances where a conflict of interect occurs.  However, there are several identities of interest, listed above in Section IV.B, Other Required Information, Identity of Interest. 
The applicant/owner has entered into an Option to Ground Lease with the Housing Authority of the City of West Point who is a co-General Partner and a developer in the project.</v>
      </c>
      <c r="B431" s="1957"/>
      <c r="C431" s="1957"/>
      <c r="D431" s="1957"/>
      <c r="E431" s="1957"/>
      <c r="F431" s="1957"/>
      <c r="G431" s="1957"/>
      <c r="H431" s="1957"/>
      <c r="I431" s="1957"/>
      <c r="J431" s="1957"/>
      <c r="K431" s="1957"/>
      <c r="L431" s="1957"/>
      <c r="M431" s="1957"/>
      <c r="N431" s="1957"/>
      <c r="O431" s="1957"/>
      <c r="P431" s="1957"/>
      <c r="Q431" s="1957"/>
      <c r="R431" s="1957"/>
      <c r="S431" s="1957"/>
      <c r="T431" s="1925"/>
      <c r="U431" s="1925"/>
      <c r="V431" s="1925"/>
      <c r="W431" s="1925"/>
      <c r="X431" s="1925"/>
      <c r="Z431" s="1858">
        <v>186</v>
      </c>
    </row>
    <row r="436" spans="1:52" s="1876" customFormat="1" ht="14.1" customHeight="1">
      <c r="A436" s="1857" t="str">
        <f>CONCATENATE("PART THREE - SOURCES OF FUNDS (Proposed)","  -  ",'Part I-Project Information'!$O$7," ",'Part I-Project Information'!$F$35,", ",'Part I-Project Information'!$F$39,", ",'Part I-Project Information'!$J$40," County")</f>
        <v>PART THREE - SOURCES OF FUNDS (Proposed)  -  2021-067 West Point Village Phase II, West Point, Troup County</v>
      </c>
      <c r="B436" s="1857"/>
      <c r="C436" s="1857"/>
      <c r="D436" s="1857"/>
      <c r="E436" s="1857"/>
      <c r="F436" s="1857"/>
      <c r="G436" s="1857"/>
      <c r="H436" s="1857"/>
      <c r="I436" s="1857"/>
      <c r="J436" s="1857"/>
      <c r="K436" s="1857"/>
      <c r="L436" s="1857"/>
      <c r="M436" s="1857"/>
      <c r="N436" s="1857"/>
      <c r="O436" s="1857"/>
      <c r="P436" s="1857"/>
      <c r="Q436" s="1857"/>
      <c r="S436" s="1876" t="str">
        <f>$A$2</f>
        <v>West Point Village Phase II</v>
      </c>
      <c r="Y436" s="1973"/>
      <c r="Z436" s="1858">
        <v>2</v>
      </c>
      <c r="AZ436" s="1973"/>
    </row>
    <row r="437" spans="1:52" s="1974" customFormat="1" ht="17.45" customHeight="1">
      <c r="A437" s="1866"/>
      <c r="B437" s="1866"/>
      <c r="C437" s="1866"/>
      <c r="D437" s="1866"/>
      <c r="E437" s="1866"/>
      <c r="F437" s="1866"/>
      <c r="G437" s="1818"/>
      <c r="H437" s="1818"/>
      <c r="I437" s="1818"/>
      <c r="J437" s="1818"/>
      <c r="K437" s="1818"/>
      <c r="L437" s="1818"/>
      <c r="Y437" s="1973"/>
      <c r="Z437" s="1858">
        <v>3</v>
      </c>
      <c r="AZ437" s="1973"/>
    </row>
    <row r="438" spans="1:52" s="1876" customFormat="1" ht="13.35" customHeight="1">
      <c r="A438" s="1857" t="s">
        <v>586</v>
      </c>
      <c r="B438" s="1857" t="s">
        <v>2377</v>
      </c>
      <c r="C438" s="1857"/>
      <c r="D438" s="1857"/>
      <c r="E438" s="1857"/>
      <c r="F438" s="1857"/>
      <c r="G438" s="1857"/>
      <c r="L438" s="1975" t="str">
        <f>'Part I-Project Information'!$B$7</f>
        <v>2021 Core App
May 10 Rev</v>
      </c>
      <c r="M438" s="1975"/>
      <c r="N438" s="1975"/>
      <c r="O438" s="1975"/>
      <c r="P438" s="1975"/>
      <c r="S438" s="1876" t="str">
        <f>B438</f>
        <v>GOVERNMENT FUNDING SOURCES  (check all that apply)</v>
      </c>
      <c r="Y438" s="1973"/>
      <c r="Z438" s="1858">
        <v>4</v>
      </c>
      <c r="AZ438" s="1973"/>
    </row>
    <row r="439" spans="1:52" s="1876" customFormat="1" ht="15.75" customHeight="1">
      <c r="A439" s="1866"/>
      <c r="B439" s="1858"/>
      <c r="C439" s="1866"/>
      <c r="D439" s="1857"/>
      <c r="E439" s="1857"/>
      <c r="F439" s="1857"/>
      <c r="G439" s="1857"/>
      <c r="S439" s="1853" t="s">
        <v>2536</v>
      </c>
      <c r="T439" s="1853"/>
      <c r="Y439" s="1973"/>
      <c r="Z439" s="1858">
        <v>5</v>
      </c>
      <c r="AZ439" s="1973"/>
    </row>
    <row r="440" spans="1:52" s="1876" customFormat="1" ht="16.5" customHeight="1">
      <c r="A440" s="1858"/>
      <c r="B440" s="1880" t="str">
        <f>'Part III-Sources of Funds'!B6</f>
        <v>Yes</v>
      </c>
      <c r="C440" s="1860" t="s">
        <v>2299</v>
      </c>
      <c r="D440" s="1857"/>
      <c r="E440" s="1880" t="str">
        <f>'Part III-Sources of Funds'!E6</f>
        <v>No</v>
      </c>
      <c r="F440" s="1860" t="s">
        <v>6289</v>
      </c>
      <c r="G440" s="1857"/>
      <c r="I440" s="1976">
        <f>'Part III-Sources of Funds'!I6</f>
        <v>0</v>
      </c>
      <c r="J440" s="1977"/>
      <c r="L440" s="1880" t="str">
        <f>'Part III-Sources of Funds'!L6</f>
        <v>No</v>
      </c>
      <c r="M440" s="1860" t="s">
        <v>1475</v>
      </c>
      <c r="Q440" s="1891"/>
      <c r="S440" s="1957"/>
      <c r="T440" s="1957"/>
      <c r="Y440" s="1973"/>
      <c r="Z440" s="1858">
        <v>6</v>
      </c>
      <c r="AZ440" s="1973"/>
    </row>
    <row r="441" spans="1:52" s="1876" customFormat="1" ht="16.5" customHeight="1">
      <c r="A441" s="1858"/>
      <c r="B441" s="1880" t="str">
        <f>'Part III-Sources of Funds'!B7</f>
        <v>No</v>
      </c>
      <c r="C441" s="1860" t="s">
        <v>4057</v>
      </c>
      <c r="D441" s="1857"/>
      <c r="E441" s="1880" t="str">
        <f>'Part III-Sources of Funds'!E7</f>
        <v>No</v>
      </c>
      <c r="F441" s="1860" t="s">
        <v>6290</v>
      </c>
      <c r="I441" s="1976">
        <f>'Part III-Sources of Funds'!I7</f>
        <v>0</v>
      </c>
      <c r="J441" s="1977"/>
      <c r="L441" s="1880" t="str">
        <f>'Part III-Sources of Funds'!L7</f>
        <v>No</v>
      </c>
      <c r="M441" s="1860" t="s">
        <v>523</v>
      </c>
      <c r="P441" s="1891"/>
      <c r="Q441" s="1891"/>
      <c r="S441" s="1957"/>
      <c r="T441" s="1957"/>
      <c r="Y441" s="1973"/>
      <c r="Z441" s="1858">
        <v>7</v>
      </c>
      <c r="AZ441" s="1973"/>
    </row>
    <row r="442" spans="1:52" s="1876" customFormat="1" ht="16.5" customHeight="1">
      <c r="A442" s="1857"/>
      <c r="B442" s="1880" t="str">
        <f>'Part III-Sources of Funds'!B8</f>
        <v>No</v>
      </c>
      <c r="C442" s="1860" t="s">
        <v>524</v>
      </c>
      <c r="F442" s="1876" t="s">
        <v>6291</v>
      </c>
      <c r="H442" s="1870" t="str">
        <f>'Part III-Sources of Funds'!H8</f>
        <v>Specify Other HOME Source here</v>
      </c>
      <c r="I442" s="1870"/>
      <c r="J442" s="1870"/>
      <c r="L442" s="1880" t="str">
        <f>'Part III-Sources of Funds'!L8</f>
        <v>No</v>
      </c>
      <c r="M442" s="1860" t="s">
        <v>3275</v>
      </c>
      <c r="P442" s="1891"/>
      <c r="Q442" s="1891"/>
      <c r="S442" s="1957"/>
      <c r="T442" s="1957"/>
      <c r="Y442" s="1973"/>
      <c r="Z442" s="1858">
        <v>8</v>
      </c>
      <c r="AZ442" s="1973"/>
    </row>
    <row r="443" spans="1:52" s="1876" customFormat="1" ht="16.5" customHeight="1">
      <c r="A443" s="1858"/>
      <c r="B443" s="1880" t="str">
        <f>'Part III-Sources of Funds'!B9</f>
        <v>No</v>
      </c>
      <c r="C443" s="1876" t="s">
        <v>3439</v>
      </c>
      <c r="E443" s="1880" t="str">
        <f>'Part III-Sources of Funds'!E9</f>
        <v>No</v>
      </c>
      <c r="F443" s="1870" t="str">
        <f>'Part III-Sources of Funds'!F9</f>
        <v>Other Type of FEDERAL Funding - describe type/program here</v>
      </c>
      <c r="G443" s="1870"/>
      <c r="H443" s="1870"/>
      <c r="I443" s="1870"/>
      <c r="J443" s="1870"/>
      <c r="L443" s="1880" t="str">
        <f>'Part III-Sources of Funds'!L9</f>
        <v>No</v>
      </c>
      <c r="M443" s="1860" t="s">
        <v>4058</v>
      </c>
      <c r="Q443" s="1891"/>
      <c r="S443" s="1957"/>
      <c r="T443" s="1957"/>
      <c r="Y443" s="1973"/>
      <c r="Z443" s="1858">
        <v>9</v>
      </c>
      <c r="AZ443" s="1973"/>
    </row>
    <row r="444" spans="1:52" s="1876" customFormat="1" ht="16.5" customHeight="1">
      <c r="A444" s="1858"/>
      <c r="B444" s="1880" t="str">
        <f>'Part III-Sources of Funds'!B10</f>
        <v>No</v>
      </c>
      <c r="C444" s="1860" t="s">
        <v>2480</v>
      </c>
      <c r="F444" s="1870" t="str">
        <f>'Part III-Sources of Funds'!F10</f>
        <v>Specify Source/Administrator of Other FEDERAL Funding here</v>
      </c>
      <c r="G444" s="1870"/>
      <c r="H444" s="1870"/>
      <c r="I444" s="1870"/>
      <c r="J444" s="1870"/>
      <c r="L444" s="1880" t="str">
        <f>'Part III-Sources of Funds'!L10</f>
        <v>No</v>
      </c>
      <c r="M444" s="1860" t="s">
        <v>3318</v>
      </c>
      <c r="P444" s="1891"/>
      <c r="Q444" s="1891"/>
      <c r="S444" s="1957"/>
      <c r="T444" s="1957"/>
      <c r="Y444" s="1973"/>
      <c r="Z444" s="1869">
        <v>10</v>
      </c>
      <c r="AZ444" s="1973"/>
    </row>
    <row r="445" spans="1:52" s="1876" customFormat="1" ht="16.5" customHeight="1">
      <c r="A445" s="1858"/>
      <c r="B445" s="1880" t="str">
        <f>'Part III-Sources of Funds'!B11</f>
        <v>No</v>
      </c>
      <c r="C445" s="1860" t="s">
        <v>2481</v>
      </c>
      <c r="E445" s="1880" t="str">
        <f>'Part III-Sources of Funds'!E11</f>
        <v>No</v>
      </c>
      <c r="F445" s="1870" t="str">
        <f>'Part III-Sources of Funds'!F11</f>
        <v>Other Type of STATE/LOCAL Funding - describe type/program here</v>
      </c>
      <c r="G445" s="1870"/>
      <c r="H445" s="1870"/>
      <c r="I445" s="1870"/>
      <c r="J445" s="1870"/>
      <c r="L445" s="1880" t="str">
        <f>'Part III-Sources of Funds'!L11</f>
        <v>No</v>
      </c>
      <c r="M445" s="1876" t="s">
        <v>2485</v>
      </c>
      <c r="S445" s="1957"/>
      <c r="T445" s="1957"/>
      <c r="Y445" s="1973"/>
      <c r="Z445" s="1858">
        <v>11</v>
      </c>
      <c r="AZ445" s="1973"/>
    </row>
    <row r="446" spans="1:52" s="1876" customFormat="1" ht="16.5" customHeight="1">
      <c r="A446" s="1858"/>
      <c r="B446" s="1880" t="str">
        <f>'Part III-Sources of Funds'!B12</f>
        <v>No</v>
      </c>
      <c r="C446" s="1860" t="s">
        <v>3321</v>
      </c>
      <c r="F446" s="1870" t="str">
        <f>'Part III-Sources of Funds'!F12</f>
        <v>Specify Source/Administrator of Other STATE/LOCAL Funding here</v>
      </c>
      <c r="G446" s="1870"/>
      <c r="H446" s="1870"/>
      <c r="I446" s="1870"/>
      <c r="J446" s="1870"/>
      <c r="L446" s="1880" t="str">
        <f>'Part III-Sources of Funds'!L12</f>
        <v>No</v>
      </c>
      <c r="M446" s="1876" t="s">
        <v>3351</v>
      </c>
      <c r="S446" s="1957"/>
      <c r="T446" s="1957"/>
      <c r="Y446" s="1973"/>
      <c r="Z446" s="1858">
        <v>12</v>
      </c>
      <c r="AZ446" s="1973"/>
    </row>
    <row r="447" spans="1:52" s="1876" customFormat="1" ht="16.5" customHeight="1">
      <c r="A447" s="1858"/>
      <c r="B447" s="1880" t="str">
        <f>'Part III-Sources of Funds'!B13</f>
        <v>Yes</v>
      </c>
      <c r="C447" s="1860" t="s">
        <v>2484</v>
      </c>
      <c r="E447" s="1880" t="str">
        <f>'Part III-Sources of Funds'!E13</f>
        <v>Yes</v>
      </c>
      <c r="F447" s="1860" t="s">
        <v>3350</v>
      </c>
      <c r="H447" s="1870" t="str">
        <f>'Part III-Sources of Funds'!H13</f>
        <v>RAD PBRA</v>
      </c>
      <c r="I447" s="1870"/>
      <c r="J447" s="1870"/>
      <c r="L447" s="1880" t="str">
        <f>'Part III-Sources of Funds'!L13</f>
        <v>No</v>
      </c>
      <c r="M447" s="1876" t="s">
        <v>6288</v>
      </c>
      <c r="S447" s="1957"/>
      <c r="T447" s="1957"/>
      <c r="Y447" s="1973"/>
      <c r="Z447" s="1858">
        <v>13</v>
      </c>
      <c r="AZ447" s="1973"/>
    </row>
    <row r="448" spans="1:52" s="1876" customFormat="1" ht="16.5" customHeight="1">
      <c r="A448" s="1858"/>
      <c r="B448" s="1880" t="str">
        <f>'Part III-Sources of Funds'!B14</f>
        <v>No</v>
      </c>
      <c r="C448" s="1876" t="s">
        <v>2483</v>
      </c>
      <c r="E448" s="1880" t="str">
        <f>'Part III-Sources of Funds'!E14</f>
        <v>No</v>
      </c>
      <c r="F448" s="1860" t="s">
        <v>3438</v>
      </c>
      <c r="L448" s="1880" t="str">
        <f>'Part III-Sources of Funds'!L14</f>
        <v>Yes</v>
      </c>
      <c r="M448" s="1876" t="s">
        <v>6535</v>
      </c>
      <c r="S448" s="1957"/>
      <c r="T448" s="1957"/>
      <c r="Y448" s="1973"/>
      <c r="Z448" s="1858">
        <v>14</v>
      </c>
      <c r="AZ448" s="1973"/>
    </row>
    <row r="449" spans="1:52" s="1876" customFormat="1" ht="16.5" customHeight="1">
      <c r="A449" s="1858"/>
      <c r="B449" s="1880" t="str">
        <f>'Part III-Sources of Funds'!B15</f>
        <v>No</v>
      </c>
      <c r="C449" s="1876" t="s">
        <v>3349</v>
      </c>
      <c r="E449" s="1880" t="str">
        <f>'Part III-Sources of Funds'!E15</f>
        <v>No</v>
      </c>
      <c r="F449" s="1860" t="s">
        <v>6292</v>
      </c>
      <c r="L449" s="1880" t="str">
        <f>'Part III-Sources of Funds'!L15</f>
        <v>No</v>
      </c>
      <c r="M449" s="1891" t="s">
        <v>6293</v>
      </c>
      <c r="Y449" s="1973"/>
      <c r="Z449" s="1858">
        <v>15</v>
      </c>
      <c r="AZ449" s="1973"/>
    </row>
    <row r="450" spans="1:52" s="1876" customFormat="1" ht="16.5" customHeight="1">
      <c r="A450" s="1858"/>
      <c r="B450" s="1880" t="str">
        <f>'Part III-Sources of Funds'!B16</f>
        <v>No</v>
      </c>
      <c r="C450" s="1860" t="s">
        <v>1720</v>
      </c>
      <c r="E450" s="1880" t="str">
        <f>'Part III-Sources of Funds'!E16</f>
        <v>No</v>
      </c>
      <c r="F450" s="1860" t="s">
        <v>6835</v>
      </c>
      <c r="I450" s="1976">
        <f>'Part III-Sources of Funds'!I16</f>
        <v>0</v>
      </c>
      <c r="J450" s="1977"/>
      <c r="L450" s="1880" t="str">
        <f>'Part III-Sources of Funds'!L16</f>
        <v>No</v>
      </c>
      <c r="M450" s="1891" t="s">
        <v>6287</v>
      </c>
      <c r="Y450" s="1973"/>
      <c r="Z450" s="1858">
        <v>16</v>
      </c>
      <c r="AZ450" s="1973"/>
    </row>
    <row r="451" spans="1:52" s="1876" customFormat="1" ht="17.100000000000001" customHeight="1">
      <c r="A451" s="1858"/>
      <c r="B451" s="1876" t="s">
        <v>4059</v>
      </c>
      <c r="C451" s="1857"/>
      <c r="D451" s="1857"/>
      <c r="E451" s="1857"/>
      <c r="F451" s="1857"/>
      <c r="G451" s="1857"/>
      <c r="H451" s="1857"/>
      <c r="I451" s="1857"/>
      <c r="J451" s="1857"/>
      <c r="K451" s="1857"/>
      <c r="L451" s="1857"/>
      <c r="M451" s="1974"/>
      <c r="N451" s="1857"/>
      <c r="O451" s="1857"/>
      <c r="P451" s="1857"/>
      <c r="Q451" s="1857"/>
      <c r="Y451" s="1973"/>
      <c r="Z451" s="1858">
        <v>17</v>
      </c>
      <c r="AZ451" s="1973"/>
    </row>
    <row r="452" spans="1:52" s="1876" customFormat="1" ht="12" customHeight="1">
      <c r="A452" s="1858"/>
      <c r="L452" s="1857"/>
      <c r="M452" s="1866"/>
      <c r="N452" s="1857"/>
      <c r="O452" s="1857"/>
      <c r="P452" s="1857"/>
      <c r="Q452" s="1857"/>
      <c r="Y452" s="1973"/>
      <c r="Z452" s="1858">
        <v>18</v>
      </c>
      <c r="AZ452" s="1973"/>
    </row>
    <row r="453" spans="1:52" s="1876" customFormat="1" ht="15" customHeight="1">
      <c r="A453" s="1857" t="s">
        <v>710</v>
      </c>
      <c r="B453" s="1859" t="s">
        <v>2240</v>
      </c>
      <c r="C453" s="1857"/>
      <c r="D453" s="1857"/>
      <c r="E453" s="1857"/>
      <c r="F453" s="1857"/>
      <c r="G453" s="1857"/>
      <c r="L453" s="1857"/>
      <c r="M453" s="1857"/>
      <c r="N453" s="1857"/>
      <c r="O453" s="1857"/>
      <c r="P453" s="1857"/>
      <c r="Q453" s="1857"/>
      <c r="S453" s="1876" t="str">
        <f>B453</f>
        <v>CONSTRUCTION FINANCING</v>
      </c>
      <c r="Y453" s="1973"/>
      <c r="Z453" s="1869">
        <v>19</v>
      </c>
      <c r="AZ453" s="1973"/>
    </row>
    <row r="454" spans="1:52" s="1876" customFormat="1" ht="5.25" customHeight="1">
      <c r="A454" s="1857"/>
      <c r="B454" s="1859"/>
      <c r="C454" s="1857"/>
      <c r="K454" s="1857"/>
      <c r="L454" s="1857"/>
      <c r="M454" s="1857"/>
      <c r="N454" s="1858"/>
      <c r="O454" s="1858"/>
      <c r="P454" s="1857"/>
      <c r="Q454" s="1857"/>
      <c r="Y454" s="1973"/>
      <c r="Z454" s="1858">
        <v>20</v>
      </c>
      <c r="AZ454" s="1973"/>
    </row>
    <row r="455" spans="1:52" s="1876" customFormat="1" ht="17.100000000000001" customHeight="1">
      <c r="A455" s="1857"/>
      <c r="B455" s="1859" t="s">
        <v>1783</v>
      </c>
      <c r="C455" s="1857"/>
      <c r="D455" s="1857"/>
      <c r="E455" s="1857"/>
      <c r="F455" s="1857"/>
      <c r="G455" s="1857"/>
      <c r="H455" s="1857" t="s">
        <v>1249</v>
      </c>
      <c r="I455" s="1857"/>
      <c r="J455" s="1857"/>
      <c r="K455" s="1857"/>
      <c r="L455" s="1857" t="s">
        <v>4022</v>
      </c>
      <c r="M455" s="1857"/>
      <c r="N455" s="1857" t="s">
        <v>1446</v>
      </c>
      <c r="O455" s="1857"/>
      <c r="P455" s="1857" t="s">
        <v>1564</v>
      </c>
      <c r="Q455" s="1857"/>
      <c r="S455" s="1853" t="s">
        <v>2536</v>
      </c>
      <c r="T455" s="1853"/>
      <c r="Y455" s="1973"/>
      <c r="Z455" s="1858">
        <v>21</v>
      </c>
      <c r="AZ455" s="1973" t="s">
        <v>6652</v>
      </c>
    </row>
    <row r="456" spans="1:52" s="1876" customFormat="1" ht="15.75" customHeight="1">
      <c r="A456" s="1857"/>
      <c r="B456" s="1857" t="s">
        <v>1525</v>
      </c>
      <c r="C456" s="1857"/>
      <c r="D456" s="1857"/>
      <c r="E456" s="1857"/>
      <c r="F456" s="1857"/>
      <c r="G456" s="1857"/>
      <c r="H456" s="1864" t="str">
        <f>'Part III-Sources of Funds'!H22</f>
        <v>Truist Community Capital</v>
      </c>
      <c r="I456" s="1864"/>
      <c r="J456" s="1864"/>
      <c r="K456" s="1864"/>
      <c r="L456" s="1872">
        <f>'Part III-Sources of Funds'!L22</f>
        <v>2692610</v>
      </c>
      <c r="M456" s="1872"/>
      <c r="N456" s="1978">
        <f>'Part III-Sources of Funds'!N22</f>
        <v>2.9499999999999998E-2</v>
      </c>
      <c r="O456" s="1978"/>
      <c r="P456" s="1979">
        <f>'Part III-Sources of Funds'!P22</f>
        <v>24</v>
      </c>
      <c r="Q456" s="1979"/>
      <c r="S456" s="1957"/>
      <c r="T456" s="1957"/>
      <c r="Y456" s="1973" t="s">
        <v>6652</v>
      </c>
      <c r="Z456" s="1858">
        <v>22</v>
      </c>
      <c r="AZ456" s="1973" t="s">
        <v>6653</v>
      </c>
    </row>
    <row r="457" spans="1:52" s="1876" customFormat="1" ht="15.75" customHeight="1">
      <c r="A457" s="1857"/>
      <c r="B457" s="1857" t="s">
        <v>1526</v>
      </c>
      <c r="C457" s="1857"/>
      <c r="D457" s="1857"/>
      <c r="E457" s="1857"/>
      <c r="F457" s="1857"/>
      <c r="G457" s="1857"/>
      <c r="H457" s="1864">
        <f>'Part III-Sources of Funds'!H23</f>
        <v>0</v>
      </c>
      <c r="I457" s="1864"/>
      <c r="J457" s="1864"/>
      <c r="K457" s="1864"/>
      <c r="L457" s="1872">
        <f>'Part III-Sources of Funds'!L23</f>
        <v>0</v>
      </c>
      <c r="M457" s="1872"/>
      <c r="N457" s="1978">
        <f>'Part III-Sources of Funds'!N23</f>
        <v>0</v>
      </c>
      <c r="O457" s="1978"/>
      <c r="P457" s="1979">
        <f>'Part III-Sources of Funds'!P23</f>
        <v>0</v>
      </c>
      <c r="Q457" s="1979"/>
      <c r="S457" s="1957"/>
      <c r="T457" s="1957"/>
      <c r="Y457" s="1973" t="s">
        <v>6653</v>
      </c>
      <c r="Z457" s="1858">
        <v>23</v>
      </c>
      <c r="AZ457" s="1973" t="s">
        <v>6654</v>
      </c>
    </row>
    <row r="458" spans="1:52" s="1876" customFormat="1" ht="15.75" customHeight="1">
      <c r="A458" s="1857"/>
      <c r="B458" s="1857" t="s">
        <v>1527</v>
      </c>
      <c r="C458" s="1857"/>
      <c r="D458" s="1857"/>
      <c r="E458" s="1857"/>
      <c r="F458" s="1857"/>
      <c r="G458" s="1857"/>
      <c r="H458" s="1864">
        <f>'Part III-Sources of Funds'!H24</f>
        <v>0</v>
      </c>
      <c r="I458" s="1864"/>
      <c r="J458" s="1864"/>
      <c r="K458" s="1864"/>
      <c r="L458" s="1872">
        <f>'Part III-Sources of Funds'!L24</f>
        <v>0</v>
      </c>
      <c r="M458" s="1872"/>
      <c r="N458" s="1978">
        <f>'Part III-Sources of Funds'!N24</f>
        <v>0</v>
      </c>
      <c r="O458" s="1978"/>
      <c r="P458" s="1979">
        <f>'Part III-Sources of Funds'!P24</f>
        <v>0</v>
      </c>
      <c r="Q458" s="1979"/>
      <c r="S458" s="1957"/>
      <c r="T458" s="1957"/>
      <c r="Y458" s="1973" t="s">
        <v>6654</v>
      </c>
      <c r="Z458" s="1858">
        <v>24</v>
      </c>
      <c r="AZ458" s="1973" t="s">
        <v>6655</v>
      </c>
    </row>
    <row r="459" spans="1:52" s="1876" customFormat="1" ht="15.75" customHeight="1">
      <c r="A459" s="1857"/>
      <c r="B459" s="1857" t="s">
        <v>2113</v>
      </c>
      <c r="C459" s="1857"/>
      <c r="D459" s="1857"/>
      <c r="E459" s="1857"/>
      <c r="F459" s="1857"/>
      <c r="G459" s="1857"/>
      <c r="H459" s="1864">
        <f>'Part III-Sources of Funds'!H25</f>
        <v>0</v>
      </c>
      <c r="I459" s="1864"/>
      <c r="J459" s="1864"/>
      <c r="K459" s="1864"/>
      <c r="L459" s="1872">
        <f>'Part III-Sources of Funds'!L25</f>
        <v>0</v>
      </c>
      <c r="M459" s="1872"/>
      <c r="N459" s="1980"/>
      <c r="O459" s="1980"/>
      <c r="P459" s="1857"/>
      <c r="Q459" s="1857"/>
      <c r="S459" s="1957"/>
      <c r="T459" s="1957"/>
      <c r="Y459" s="1973" t="s">
        <v>6655</v>
      </c>
      <c r="Z459" s="1858">
        <v>25</v>
      </c>
      <c r="AZ459" s="1973" t="s">
        <v>6656</v>
      </c>
    </row>
    <row r="460" spans="1:52" s="1876" customFormat="1" ht="15.75" customHeight="1">
      <c r="A460" s="1857"/>
      <c r="B460" s="1857" t="s">
        <v>768</v>
      </c>
      <c r="C460" s="1857"/>
      <c r="D460" s="1857"/>
      <c r="E460" s="1857"/>
      <c r="H460" s="1864">
        <f>'Part III-Sources of Funds'!H26</f>
        <v>0</v>
      </c>
      <c r="I460" s="1864"/>
      <c r="J460" s="1864"/>
      <c r="K460" s="1864"/>
      <c r="L460" s="1872">
        <f>'Part III-Sources of Funds'!L26</f>
        <v>0</v>
      </c>
      <c r="M460" s="1872"/>
      <c r="N460" s="1980"/>
      <c r="O460" s="1980"/>
      <c r="P460" s="1857"/>
      <c r="Q460" s="1857"/>
      <c r="S460" s="1957"/>
      <c r="T460" s="1957"/>
      <c r="Y460" s="1973" t="s">
        <v>6656</v>
      </c>
      <c r="Z460" s="1869">
        <v>26</v>
      </c>
      <c r="AZ460" s="1973" t="s">
        <v>6657</v>
      </c>
    </row>
    <row r="461" spans="1:52" s="1876" customFormat="1" ht="15.75" customHeight="1">
      <c r="A461" s="1857"/>
      <c r="B461" s="1857" t="s">
        <v>611</v>
      </c>
      <c r="C461" s="1857"/>
      <c r="D461" s="1857"/>
      <c r="E461" s="1857"/>
      <c r="H461" s="1864">
        <f>'Part III-Sources of Funds'!H27</f>
        <v>0</v>
      </c>
      <c r="I461" s="1864"/>
      <c r="J461" s="1864"/>
      <c r="K461" s="1864"/>
      <c r="L461" s="1872">
        <f>'Part III-Sources of Funds'!L27</f>
        <v>0</v>
      </c>
      <c r="M461" s="1872"/>
      <c r="N461" s="1980"/>
      <c r="O461" s="1980"/>
      <c r="P461" s="1857"/>
      <c r="Q461" s="1857"/>
      <c r="S461" s="1957"/>
      <c r="T461" s="1957"/>
      <c r="Y461" s="1973" t="s">
        <v>6657</v>
      </c>
      <c r="Z461" s="1858">
        <v>27</v>
      </c>
      <c r="AZ461" s="1973" t="s">
        <v>6658</v>
      </c>
    </row>
    <row r="462" spans="1:52" s="1876" customFormat="1" ht="15.75" customHeight="1">
      <c r="A462" s="1857"/>
      <c r="B462" s="1857" t="s">
        <v>769</v>
      </c>
      <c r="C462" s="1857"/>
      <c r="D462" s="1857"/>
      <c r="E462" s="1857"/>
      <c r="H462" s="1864" t="str">
        <f>'Part III-Sources of Funds'!H28</f>
        <v>Hudson Housing Capital</v>
      </c>
      <c r="I462" s="1864"/>
      <c r="J462" s="1864"/>
      <c r="K462" s="1864"/>
      <c r="L462" s="1872">
        <f>'Part III-Sources of Funds'!L28</f>
        <v>6815461.5</v>
      </c>
      <c r="M462" s="1872"/>
      <c r="N462" s="1857"/>
      <c r="Q462" s="1857"/>
      <c r="S462" s="1957"/>
      <c r="T462" s="1957"/>
      <c r="Y462" s="1973" t="s">
        <v>6658</v>
      </c>
      <c r="Z462" s="1858">
        <v>28</v>
      </c>
      <c r="AZ462" s="1973" t="s">
        <v>6659</v>
      </c>
    </row>
    <row r="463" spans="1:52" s="1876" customFormat="1" ht="15.75" customHeight="1">
      <c r="A463" s="1857"/>
      <c r="B463" s="1857" t="s">
        <v>770</v>
      </c>
      <c r="C463" s="1857"/>
      <c r="D463" s="1857"/>
      <c r="E463" s="1857"/>
      <c r="H463" s="1864" t="str">
        <f>'Part III-Sources of Funds'!H29</f>
        <v>Hudson Housing Capital</v>
      </c>
      <c r="I463" s="1864"/>
      <c r="J463" s="1864"/>
      <c r="K463" s="1864"/>
      <c r="L463" s="1872">
        <f>'Part III-Sources of Funds'!L29</f>
        <v>4766380.1999999993</v>
      </c>
      <c r="M463" s="1872"/>
      <c r="N463" s="1857"/>
      <c r="Q463" s="1857"/>
      <c r="S463" s="1957"/>
      <c r="T463" s="1957"/>
      <c r="Y463" s="1973" t="s">
        <v>6659</v>
      </c>
      <c r="Z463" s="1858">
        <v>29</v>
      </c>
      <c r="AZ463" s="1973" t="s">
        <v>6660</v>
      </c>
    </row>
    <row r="464" spans="1:52" s="1876" customFormat="1" ht="15.75" customHeight="1">
      <c r="A464" s="1857"/>
      <c r="B464" s="1857" t="s">
        <v>231</v>
      </c>
      <c r="C464" s="1857"/>
      <c r="D464" s="1864">
        <f>'Part III-Sources of Funds'!D30</f>
        <v>0</v>
      </c>
      <c r="E464" s="1864"/>
      <c r="F464" s="1864"/>
      <c r="G464" s="1864"/>
      <c r="H464" s="1864">
        <f>'Part III-Sources of Funds'!H30</f>
        <v>0</v>
      </c>
      <c r="I464" s="1864"/>
      <c r="J464" s="1864"/>
      <c r="K464" s="1864"/>
      <c r="L464" s="1872">
        <f>'Part III-Sources of Funds'!L30</f>
        <v>0</v>
      </c>
      <c r="M464" s="1872"/>
      <c r="N464" s="1857"/>
      <c r="Q464" s="1857"/>
      <c r="S464" s="1957"/>
      <c r="T464" s="1957"/>
      <c r="Y464" s="1973" t="s">
        <v>6660</v>
      </c>
      <c r="Z464" s="1858">
        <v>30</v>
      </c>
      <c r="AZ464" s="1973" t="s">
        <v>6661</v>
      </c>
    </row>
    <row r="465" spans="1:52" s="1876" customFormat="1" ht="15.75" customHeight="1">
      <c r="A465" s="1857"/>
      <c r="B465" s="1857" t="s">
        <v>231</v>
      </c>
      <c r="C465" s="1857"/>
      <c r="D465" s="1864">
        <f>'Part III-Sources of Funds'!D31</f>
        <v>0</v>
      </c>
      <c r="E465" s="1864"/>
      <c r="F465" s="1864"/>
      <c r="G465" s="1864"/>
      <c r="H465" s="1864">
        <f>'Part III-Sources of Funds'!H31</f>
        <v>0</v>
      </c>
      <c r="I465" s="1864"/>
      <c r="J465" s="1864"/>
      <c r="K465" s="1864"/>
      <c r="L465" s="1872">
        <f>'Part III-Sources of Funds'!L31</f>
        <v>0</v>
      </c>
      <c r="M465" s="1872"/>
      <c r="N465" s="1857"/>
      <c r="S465" s="1957"/>
      <c r="T465" s="1957"/>
      <c r="Y465" s="1973" t="s">
        <v>6661</v>
      </c>
      <c r="Z465" s="1858">
        <v>31</v>
      </c>
      <c r="AZ465" s="1973" t="s">
        <v>6662</v>
      </c>
    </row>
    <row r="466" spans="1:52" s="1876" customFormat="1" ht="15.75" customHeight="1">
      <c r="A466" s="1857"/>
      <c r="B466" s="1857" t="s">
        <v>231</v>
      </c>
      <c r="C466" s="1857"/>
      <c r="D466" s="1864">
        <f>'Part III-Sources of Funds'!D32</f>
        <v>0</v>
      </c>
      <c r="E466" s="1864"/>
      <c r="F466" s="1864"/>
      <c r="G466" s="1864"/>
      <c r="H466" s="1864">
        <f>'Part III-Sources of Funds'!H32</f>
        <v>0</v>
      </c>
      <c r="I466" s="1864"/>
      <c r="J466" s="1864"/>
      <c r="K466" s="1864"/>
      <c r="L466" s="1872">
        <f>'Part III-Sources of Funds'!L32</f>
        <v>0</v>
      </c>
      <c r="M466" s="1872"/>
      <c r="N466" s="1857"/>
      <c r="S466" s="1957"/>
      <c r="T466" s="1957"/>
      <c r="Y466" s="1973" t="s">
        <v>6662</v>
      </c>
      <c r="Z466" s="1858">
        <v>32</v>
      </c>
      <c r="AZ466" s="1973"/>
    </row>
    <row r="467" spans="1:52" s="1876" customFormat="1" ht="16.5" customHeight="1">
      <c r="A467" s="1857"/>
      <c r="B467" s="1859" t="s">
        <v>1250</v>
      </c>
      <c r="C467" s="1857"/>
      <c r="D467" s="1857"/>
      <c r="E467" s="1857"/>
      <c r="F467" s="1857"/>
      <c r="G467" s="1857"/>
      <c r="H467" s="1857"/>
      <c r="I467" s="1857"/>
      <c r="L467" s="1981">
        <f>SUM(L456:L466)</f>
        <v>14274451.699999999</v>
      </c>
      <c r="M467" s="1981"/>
      <c r="N467" s="1866"/>
      <c r="S467" s="1957"/>
      <c r="T467" s="1957"/>
      <c r="Y467" s="1973"/>
      <c r="Z467" s="1858">
        <v>33</v>
      </c>
      <c r="AZ467" s="1973"/>
    </row>
    <row r="468" spans="1:52" s="1876" customFormat="1" ht="16.5" customHeight="1">
      <c r="A468" s="1857"/>
      <c r="B468" s="1859" t="s">
        <v>1251</v>
      </c>
      <c r="C468" s="1857"/>
      <c r="D468" s="1857"/>
      <c r="E468" s="1857"/>
      <c r="F468" s="1857"/>
      <c r="G468" s="1857"/>
      <c r="H468" s="1857"/>
      <c r="I468" s="1857"/>
      <c r="L468" s="1982">
        <f>'Part IV-A-Uses of Funds'!$G$18+'Part IV-A-Uses of Funds'!$G$24+'Part IV-A-Uses of Funds'!$G$28+'Part IV-A-Uses of Funds'!$G$36+'Part IV-A-Uses of Funds'!$G$41+'Part IV-A-Uses of Funds'!$G$46+'Part IV-A-Uses of Funds'!$G$55+'Part IV-A-Uses of Funds'!$G$73+'Part IV-A-Uses of Funds'!$G$86+'Part IV-A-Uses of Funds'!$G$92+('Part IV-A-Uses of Funds'!$G$114-'Part IV-A-Uses of Funds'!$G$109)+'Part IV-A-Uses of Funds'!$F$123+'Part IV-A-Uses of Funds'!$G$129</f>
        <v>13270118.279999999</v>
      </c>
      <c r="M468" s="1982"/>
      <c r="N468" s="1866"/>
      <c r="S468" s="1957"/>
      <c r="T468" s="1957"/>
      <c r="Y468" s="1973"/>
      <c r="Z468" s="1858">
        <v>34</v>
      </c>
      <c r="AZ468" s="1973"/>
    </row>
    <row r="469" spans="1:52" s="1876" customFormat="1" ht="16.5" customHeight="1">
      <c r="A469" s="1857"/>
      <c r="B469" s="1859" t="s">
        <v>2062</v>
      </c>
      <c r="C469" s="1857"/>
      <c r="D469" s="1857"/>
      <c r="E469" s="1857"/>
      <c r="F469" s="1857"/>
      <c r="G469" s="1857"/>
      <c r="H469" s="1857"/>
      <c r="I469" s="1857"/>
      <c r="L469" s="1983">
        <f>L467-L468</f>
        <v>1004333.4199999999</v>
      </c>
      <c r="M469" s="1983"/>
      <c r="N469" s="1866"/>
      <c r="S469" s="1957"/>
      <c r="T469" s="1957"/>
      <c r="Y469" s="1973"/>
      <c r="Z469" s="1869">
        <v>35</v>
      </c>
      <c r="AZ469" s="1926"/>
    </row>
    <row r="470" spans="1:52" s="1974" customFormat="1" ht="9.6" customHeight="1">
      <c r="A470" s="1866"/>
      <c r="B470" s="1859"/>
      <c r="C470" s="1866"/>
      <c r="D470" s="1866"/>
      <c r="E470" s="1866"/>
      <c r="F470" s="1866"/>
      <c r="G470" s="1866"/>
      <c r="H470" s="1866"/>
      <c r="I470" s="1866"/>
      <c r="J470" s="1866"/>
      <c r="K470" s="1866"/>
      <c r="L470" s="1866"/>
      <c r="M470" s="1858"/>
      <c r="N470" s="1858"/>
      <c r="Y470" s="1926"/>
      <c r="Z470" s="1858">
        <v>36</v>
      </c>
      <c r="AZ470" s="1926"/>
    </row>
    <row r="471" spans="1:52" s="1974" customFormat="1" ht="9.6" customHeight="1">
      <c r="A471" s="1857" t="s">
        <v>712</v>
      </c>
      <c r="B471" s="1859" t="s">
        <v>767</v>
      </c>
      <c r="C471" s="1866"/>
      <c r="D471" s="1866"/>
      <c r="E471" s="1866"/>
      <c r="F471" s="1866"/>
      <c r="G471" s="1866"/>
      <c r="H471" s="1866"/>
      <c r="I471" s="1866"/>
      <c r="J471" s="1866"/>
      <c r="K471" s="1866"/>
      <c r="L471" s="1866"/>
      <c r="M471" s="1858"/>
      <c r="N471" s="1858"/>
      <c r="O471" s="1866"/>
      <c r="S471" s="1876" t="str">
        <f>B471</f>
        <v>PERMANENT FINANCING</v>
      </c>
      <c r="Y471" s="1926"/>
      <c r="Z471" s="1858">
        <v>37</v>
      </c>
      <c r="AZ471" s="1973"/>
    </row>
    <row r="472" spans="1:52" s="1876" customFormat="1" ht="13.35" customHeight="1">
      <c r="A472" s="1857"/>
      <c r="B472" s="1857"/>
      <c r="C472" s="1857"/>
      <c r="D472" s="1857"/>
      <c r="E472" s="1857"/>
      <c r="F472" s="1858"/>
      <c r="G472" s="1858"/>
      <c r="H472" s="1857"/>
      <c r="I472" s="1857"/>
      <c r="K472" s="1884" t="s">
        <v>2006</v>
      </c>
      <c r="L472" s="1858" t="s">
        <v>1247</v>
      </c>
      <c r="M472" s="1858" t="s">
        <v>1252</v>
      </c>
      <c r="P472" s="1866" t="s">
        <v>31</v>
      </c>
      <c r="Q472" s="1866"/>
      <c r="Y472" s="1973"/>
      <c r="Z472" s="1858">
        <v>38</v>
      </c>
      <c r="AZ472" s="1973"/>
    </row>
    <row r="473" spans="1:52" s="1876" customFormat="1" ht="13.35" customHeight="1">
      <c r="A473" s="1857"/>
      <c r="B473" s="1859" t="s">
        <v>1783</v>
      </c>
      <c r="C473" s="1857"/>
      <c r="D473" s="1857"/>
      <c r="E473" s="1857" t="s">
        <v>1249</v>
      </c>
      <c r="F473" s="1857"/>
      <c r="G473" s="1857"/>
      <c r="H473" s="1857"/>
      <c r="I473" s="1857" t="s">
        <v>4021</v>
      </c>
      <c r="J473" s="1857"/>
      <c r="K473" s="1858" t="s">
        <v>1722</v>
      </c>
      <c r="L473" s="1858" t="s">
        <v>2112</v>
      </c>
      <c r="M473" s="1858" t="s">
        <v>2112</v>
      </c>
      <c r="N473" s="1857" t="s">
        <v>69</v>
      </c>
      <c r="O473" s="1857"/>
      <c r="P473" s="1875"/>
      <c r="Q473" s="1875"/>
      <c r="S473" s="1853" t="s">
        <v>2536</v>
      </c>
      <c r="T473" s="1853"/>
      <c r="Y473" s="1973"/>
      <c r="Z473" s="1858">
        <v>39</v>
      </c>
      <c r="AZ473" s="1973" t="s">
        <v>6663</v>
      </c>
    </row>
    <row r="474" spans="1:52" s="1876" customFormat="1" ht="15.75" customHeight="1">
      <c r="A474" s="1857"/>
      <c r="B474" s="1857" t="s">
        <v>2489</v>
      </c>
      <c r="C474" s="1857"/>
      <c r="D474" s="1857"/>
      <c r="E474" s="1864" t="str">
        <f>'Part III-Sources of Funds'!E40</f>
        <v>Grandbridge Real Estate Capital</v>
      </c>
      <c r="F474" s="1864"/>
      <c r="G474" s="1864"/>
      <c r="H474" s="1864"/>
      <c r="I474" s="1895">
        <f>'Part III-Sources of Funds'!I40</f>
        <v>2013092</v>
      </c>
      <c r="J474" s="1864"/>
      <c r="K474" s="1984">
        <f>'Part III-Sources of Funds'!K40</f>
        <v>5.2499999999999998E-2</v>
      </c>
      <c r="L474" s="1880">
        <f>'Part III-Sources of Funds'!L40</f>
        <v>35</v>
      </c>
      <c r="M474" s="1880">
        <f>'Part III-Sources of Funds'!M40</f>
        <v>35</v>
      </c>
      <c r="N474" s="1864" t="str">
        <f>'Part III-Sources of Funds'!N40</f>
        <v>Amortizing</v>
      </c>
      <c r="O474" s="1864"/>
      <c r="P474" s="1982">
        <f>'Part III-Sources of Funds'!P40</f>
        <v>125796.43867670429</v>
      </c>
      <c r="Q474" s="1982"/>
      <c r="S474" s="1957"/>
      <c r="T474" s="1957"/>
      <c r="Y474" s="1973" t="s">
        <v>6663</v>
      </c>
      <c r="Z474" s="1858">
        <v>40</v>
      </c>
      <c r="AZ474" s="1973" t="s">
        <v>6664</v>
      </c>
    </row>
    <row r="475" spans="1:52" s="1876" customFormat="1" ht="15.75" customHeight="1">
      <c r="A475" s="1857"/>
      <c r="B475" s="1857" t="s">
        <v>2490</v>
      </c>
      <c r="C475" s="1857"/>
      <c r="D475" s="1857"/>
      <c r="E475" s="1864">
        <f>'Part III-Sources of Funds'!E41</f>
        <v>0</v>
      </c>
      <c r="F475" s="1864"/>
      <c r="G475" s="1864"/>
      <c r="H475" s="1864"/>
      <c r="I475" s="1895">
        <f>'Part III-Sources of Funds'!I41</f>
        <v>0</v>
      </c>
      <c r="J475" s="1864"/>
      <c r="K475" s="1984">
        <f>'Part III-Sources of Funds'!K41</f>
        <v>0</v>
      </c>
      <c r="L475" s="1880">
        <f>'Part III-Sources of Funds'!L41</f>
        <v>0</v>
      </c>
      <c r="M475" s="1880">
        <f>'Part III-Sources of Funds'!M41</f>
        <v>0</v>
      </c>
      <c r="N475" s="1864">
        <f>'Part III-Sources of Funds'!N41</f>
        <v>0</v>
      </c>
      <c r="O475" s="1864"/>
      <c r="P475" s="1982" t="str">
        <f>'Part III-Sources of Funds'!P41</f>
        <v/>
      </c>
      <c r="Q475" s="1982"/>
      <c r="S475" s="1957"/>
      <c r="T475" s="1957"/>
      <c r="Y475" s="1973" t="s">
        <v>6664</v>
      </c>
      <c r="Z475" s="1858">
        <v>41</v>
      </c>
      <c r="AZ475" s="1973" t="s">
        <v>6665</v>
      </c>
    </row>
    <row r="476" spans="1:52" s="1876" customFormat="1" ht="15.75" customHeight="1">
      <c r="A476" s="1857"/>
      <c r="B476" s="1857" t="s">
        <v>2491</v>
      </c>
      <c r="C476" s="1857"/>
      <c r="D476" s="1857"/>
      <c r="E476" s="1864">
        <f>'Part III-Sources of Funds'!E42</f>
        <v>0</v>
      </c>
      <c r="F476" s="1864"/>
      <c r="G476" s="1864"/>
      <c r="H476" s="1864"/>
      <c r="I476" s="1895">
        <f>'Part III-Sources of Funds'!I42</f>
        <v>0</v>
      </c>
      <c r="J476" s="1864"/>
      <c r="K476" s="1984">
        <f>'Part III-Sources of Funds'!K42</f>
        <v>0</v>
      </c>
      <c r="L476" s="1880">
        <f>'Part III-Sources of Funds'!L42</f>
        <v>0</v>
      </c>
      <c r="M476" s="1880">
        <f>'Part III-Sources of Funds'!M42</f>
        <v>0</v>
      </c>
      <c r="N476" s="1864">
        <f>'Part III-Sources of Funds'!N42</f>
        <v>0</v>
      </c>
      <c r="O476" s="1864"/>
      <c r="P476" s="1982" t="str">
        <f>'Part III-Sources of Funds'!P42</f>
        <v/>
      </c>
      <c r="Q476" s="1982"/>
      <c r="S476" s="1957"/>
      <c r="T476" s="1957"/>
      <c r="Y476" s="1973" t="s">
        <v>6665</v>
      </c>
      <c r="Z476" s="1858">
        <v>42</v>
      </c>
      <c r="AZ476" s="1973" t="s">
        <v>6666</v>
      </c>
    </row>
    <row r="477" spans="1:52" s="1876" customFormat="1" ht="15.75" customHeight="1">
      <c r="A477" s="1857"/>
      <c r="B477" s="1857" t="s">
        <v>711</v>
      </c>
      <c r="C477" s="1864">
        <f>'Part III-Sources of Funds'!C43</f>
        <v>0</v>
      </c>
      <c r="D477" s="1864"/>
      <c r="E477" s="1864">
        <f>'Part III-Sources of Funds'!E43</f>
        <v>0</v>
      </c>
      <c r="F477" s="1864"/>
      <c r="G477" s="1864"/>
      <c r="H477" s="1864"/>
      <c r="I477" s="1895">
        <f>'Part III-Sources of Funds'!I43</f>
        <v>0</v>
      </c>
      <c r="J477" s="1864"/>
      <c r="K477" s="1984">
        <f>'Part III-Sources of Funds'!K43</f>
        <v>0</v>
      </c>
      <c r="L477" s="1880">
        <f>'Part III-Sources of Funds'!L43</f>
        <v>0</v>
      </c>
      <c r="M477" s="1880">
        <f>'Part III-Sources of Funds'!M43</f>
        <v>0</v>
      </c>
      <c r="N477" s="1864">
        <f>'Part III-Sources of Funds'!N43</f>
        <v>0</v>
      </c>
      <c r="O477" s="1864"/>
      <c r="P477" s="1982" t="str">
        <f>'Part III-Sources of Funds'!P43</f>
        <v/>
      </c>
      <c r="Q477" s="1982"/>
      <c r="S477" s="1957"/>
      <c r="T477" s="1957"/>
      <c r="Y477" s="1973" t="s">
        <v>6666</v>
      </c>
      <c r="Z477" s="1858">
        <v>43</v>
      </c>
      <c r="AZ477" s="1973" t="s">
        <v>6667</v>
      </c>
    </row>
    <row r="478" spans="1:52" s="1876" customFormat="1" ht="15.75" customHeight="1">
      <c r="A478" s="1857"/>
      <c r="B478" s="1857" t="s">
        <v>4144</v>
      </c>
      <c r="C478" s="1857"/>
      <c r="D478" s="1857"/>
      <c r="E478" s="1864">
        <f>'Part III-Sources of Funds'!E44</f>
        <v>0</v>
      </c>
      <c r="F478" s="1864"/>
      <c r="G478" s="1864"/>
      <c r="H478" s="1864"/>
      <c r="I478" s="1895">
        <f>'Part III-Sources of Funds'!I44</f>
        <v>0</v>
      </c>
      <c r="J478" s="1864"/>
      <c r="K478" s="1985"/>
      <c r="L478" s="1858"/>
      <c r="M478" s="1858"/>
      <c r="N478" s="1857"/>
      <c r="O478" s="1857"/>
      <c r="P478" s="1981"/>
      <c r="Q478" s="1981"/>
      <c r="S478" s="1957"/>
      <c r="T478" s="1957"/>
      <c r="Y478" s="1973" t="s">
        <v>6667</v>
      </c>
      <c r="Z478" s="1869">
        <v>44</v>
      </c>
      <c r="AZ478" s="1973" t="s">
        <v>6668</v>
      </c>
    </row>
    <row r="479" spans="1:52" s="1876" customFormat="1" ht="15.75" customHeight="1">
      <c r="A479" s="1857"/>
      <c r="B479" s="1857" t="s">
        <v>219</v>
      </c>
      <c r="C479" s="1857"/>
      <c r="D479" s="1986">
        <f>'Part III-Sources of Funds'!D45</f>
        <v>0.21139242857142818</v>
      </c>
      <c r="E479" s="1864">
        <f>'Part III-Sources of Funds'!E45</f>
        <v>0</v>
      </c>
      <c r="F479" s="1864"/>
      <c r="G479" s="1864"/>
      <c r="H479" s="1864"/>
      <c r="I479" s="1895">
        <f>'Part III-Sources of Funds'!I45</f>
        <v>355139.27999999933</v>
      </c>
      <c r="J479" s="1864"/>
      <c r="K479" s="1984">
        <f>'Part III-Sources of Funds'!K45</f>
        <v>0</v>
      </c>
      <c r="L479" s="1880">
        <f>'Part III-Sources of Funds'!L45</f>
        <v>15</v>
      </c>
      <c r="M479" s="1880">
        <f>'Part III-Sources of Funds'!M45</f>
        <v>15</v>
      </c>
      <c r="N479" s="1864" t="str">
        <f>'Part III-Sources of Funds'!N45</f>
        <v>Cash Flow</v>
      </c>
      <c r="O479" s="1864"/>
      <c r="P479" s="1982">
        <f>'Part III-Sources of Funds'!P45</f>
        <v>0</v>
      </c>
      <c r="Q479" s="1982"/>
      <c r="S479" s="1957"/>
      <c r="T479" s="1957"/>
      <c r="Y479" s="1973" t="s">
        <v>6668</v>
      </c>
      <c r="Z479" s="1858">
        <v>45</v>
      </c>
      <c r="AZ479" s="1973"/>
    </row>
    <row r="480" spans="1:52" s="1876" customFormat="1" ht="3" customHeight="1">
      <c r="A480" s="1857"/>
      <c r="B480" s="1857"/>
      <c r="C480" s="1857"/>
      <c r="D480" s="1857"/>
      <c r="E480" s="1857"/>
      <c r="F480" s="1857"/>
      <c r="G480" s="1857"/>
      <c r="H480" s="1857"/>
      <c r="I480" s="1917"/>
      <c r="J480" s="1987"/>
      <c r="K480" s="1984"/>
      <c r="L480" s="1880"/>
      <c r="M480" s="1880"/>
      <c r="N480" s="1988"/>
      <c r="O480" s="1988"/>
      <c r="P480" s="1880"/>
      <c r="Q480" s="1880"/>
      <c r="S480" s="1957"/>
      <c r="T480" s="1957"/>
      <c r="Y480" s="1973"/>
      <c r="Z480" s="1858">
        <v>46</v>
      </c>
      <c r="AZ480" s="1973"/>
    </row>
    <row r="481" spans="1:52" s="1876" customFormat="1" ht="14.25" customHeight="1">
      <c r="A481" s="1857"/>
      <c r="B481" s="1876" t="s">
        <v>3557</v>
      </c>
      <c r="C481" s="1857"/>
      <c r="E481" s="1876" t="s">
        <v>3510</v>
      </c>
      <c r="F481" s="1989">
        <f>'Part III-Sources of Funds'!F47</f>
        <v>616130.23032215552</v>
      </c>
      <c r="H481" s="1990" t="s">
        <v>3556</v>
      </c>
      <c r="I481" s="1989">
        <f>'Part III-Sources of Funds'!I47</f>
        <v>355139.27999999939</v>
      </c>
      <c r="K481" s="1990" t="s">
        <v>3558</v>
      </c>
      <c r="L481" s="1991">
        <f>'Part III-Sources of Funds'!L47</f>
        <v>0.57640294619906574</v>
      </c>
      <c r="M481" s="1991"/>
      <c r="N481" s="1982" t="s">
        <v>4028</v>
      </c>
      <c r="O481" s="1982"/>
      <c r="P481" s="1992">
        <f>'Part III-Sources of Funds'!P47</f>
        <v>0</v>
      </c>
      <c r="Q481" s="1992"/>
      <c r="S481" s="1957"/>
      <c r="T481" s="1957"/>
      <c r="Y481" s="1973"/>
      <c r="Z481" s="1858">
        <v>47</v>
      </c>
      <c r="AZ481" s="1973"/>
    </row>
    <row r="482" spans="1:52" s="1876" customFormat="1" ht="3" customHeight="1">
      <c r="A482" s="1857"/>
      <c r="B482" s="1857"/>
      <c r="C482" s="1857"/>
      <c r="D482" s="1857"/>
      <c r="E482" s="1857"/>
      <c r="F482" s="1857"/>
      <c r="G482" s="1857"/>
      <c r="H482" s="1857"/>
      <c r="I482" s="1917"/>
      <c r="J482" s="1987"/>
      <c r="K482" s="1984"/>
      <c r="L482" s="1880"/>
      <c r="M482" s="1880"/>
      <c r="N482" s="1988"/>
      <c r="O482" s="1988"/>
      <c r="P482" s="1880"/>
      <c r="Q482" s="1880"/>
      <c r="S482" s="1957"/>
      <c r="T482" s="1957"/>
      <c r="Y482" s="1973"/>
      <c r="Z482" s="1858">
        <v>48</v>
      </c>
      <c r="AZ482" s="1973" t="s">
        <v>6669</v>
      </c>
    </row>
    <row r="483" spans="1:52" s="1876" customFormat="1" ht="15.75" customHeight="1">
      <c r="A483" s="1857"/>
      <c r="B483" s="1857" t="s">
        <v>2113</v>
      </c>
      <c r="C483" s="1857"/>
      <c r="D483" s="1857"/>
      <c r="E483" s="1864">
        <f>'Part III-Sources of Funds'!E49</f>
        <v>0</v>
      </c>
      <c r="F483" s="1864"/>
      <c r="G483" s="1864"/>
      <c r="H483" s="1864"/>
      <c r="I483" s="1895">
        <f>'Part III-Sources of Funds'!I49</f>
        <v>0</v>
      </c>
      <c r="J483" s="1864"/>
      <c r="K483" s="1857"/>
      <c r="L483" s="1857"/>
      <c r="M483" s="1857"/>
      <c r="N483" s="1857"/>
      <c r="O483" s="1857"/>
      <c r="P483" s="1858" t="s">
        <v>491</v>
      </c>
      <c r="Q483" s="1857"/>
      <c r="S483" s="1957"/>
      <c r="T483" s="1957"/>
      <c r="Y483" s="1973" t="s">
        <v>6669</v>
      </c>
      <c r="Z483" s="1858">
        <v>49</v>
      </c>
      <c r="AZ483" s="1973" t="s">
        <v>6670</v>
      </c>
    </row>
    <row r="484" spans="1:52" s="1876" customFormat="1" ht="15.75" customHeight="1">
      <c r="A484" s="1857"/>
      <c r="B484" s="1857" t="s">
        <v>768</v>
      </c>
      <c r="C484" s="1857"/>
      <c r="D484" s="1857"/>
      <c r="E484" s="1864">
        <f>'Part III-Sources of Funds'!E50</f>
        <v>0</v>
      </c>
      <c r="F484" s="1864"/>
      <c r="G484" s="1864"/>
      <c r="H484" s="1864"/>
      <c r="I484" s="1895">
        <f>'Part III-Sources of Funds'!I50</f>
        <v>0</v>
      </c>
      <c r="J484" s="1864"/>
      <c r="L484" s="1993" t="s">
        <v>492</v>
      </c>
      <c r="M484" s="1993"/>
      <c r="N484" s="1994" t="s">
        <v>493</v>
      </c>
      <c r="O484" s="1994"/>
      <c r="P484" s="1995" t="s">
        <v>2440</v>
      </c>
      <c r="Q484" s="1857"/>
      <c r="S484" s="1957"/>
      <c r="T484" s="1957"/>
      <c r="Y484" s="1973" t="s">
        <v>6670</v>
      </c>
      <c r="Z484" s="1858">
        <v>50</v>
      </c>
      <c r="AZ484" s="1973" t="s">
        <v>6671</v>
      </c>
    </row>
    <row r="485" spans="1:52" s="1876" customFormat="1" ht="15.75" customHeight="1">
      <c r="A485" s="1857"/>
      <c r="B485" s="1857" t="s">
        <v>769</v>
      </c>
      <c r="C485" s="1857"/>
      <c r="D485" s="1857"/>
      <c r="E485" s="1864" t="str">
        <f>'Part III-Sources of Funds'!E51</f>
        <v>Hudson Housing Capital</v>
      </c>
      <c r="F485" s="1864"/>
      <c r="G485" s="1864"/>
      <c r="H485" s="1864"/>
      <c r="I485" s="1895">
        <f>'Part III-Sources of Funds'!I51</f>
        <v>7572735</v>
      </c>
      <c r="J485" s="1864"/>
      <c r="L485" s="1996">
        <f>'Part III-Sources of Funds'!L51</f>
        <v>7650000</v>
      </c>
      <c r="M485" s="1996"/>
      <c r="N485" s="1997">
        <f>I485-L485</f>
        <v>-77265</v>
      </c>
      <c r="O485" s="1997"/>
      <c r="P485" s="1998">
        <f>I485/I495</f>
        <v>0.49695629767341348</v>
      </c>
      <c r="Q485" s="1857"/>
      <c r="S485" s="1957"/>
      <c r="T485" s="1957"/>
      <c r="Y485" s="1973" t="s">
        <v>6671</v>
      </c>
      <c r="Z485" s="1869">
        <v>51</v>
      </c>
      <c r="AZ485" s="1973" t="s">
        <v>6672</v>
      </c>
    </row>
    <row r="486" spans="1:52" s="1876" customFormat="1" ht="15.75" customHeight="1">
      <c r="A486" s="1857"/>
      <c r="B486" s="1857" t="s">
        <v>770</v>
      </c>
      <c r="C486" s="1857"/>
      <c r="D486" s="1857"/>
      <c r="E486" s="1864" t="str">
        <f>'Part III-Sources of Funds'!E52</f>
        <v>Hudson Housing Capital</v>
      </c>
      <c r="F486" s="1864"/>
      <c r="G486" s="1864"/>
      <c r="H486" s="1864"/>
      <c r="I486" s="1895">
        <f>'Part III-Sources of Funds'!I52</f>
        <v>5295977.9999999991</v>
      </c>
      <c r="J486" s="1864"/>
      <c r="L486" s="1996">
        <f>'Part III-Sources of Funds'!L52</f>
        <v>5220000</v>
      </c>
      <c r="M486" s="1996"/>
      <c r="N486" s="1997">
        <f>I486-L486</f>
        <v>75977.999999999069</v>
      </c>
      <c r="O486" s="1997"/>
      <c r="P486" s="1998">
        <f>I486/I495</f>
        <v>0.3475454534510779</v>
      </c>
      <c r="Q486" s="1857"/>
      <c r="S486" s="1957"/>
      <c r="T486" s="1957"/>
      <c r="Y486" s="1973" t="s">
        <v>6672</v>
      </c>
      <c r="Z486" s="1858">
        <v>52</v>
      </c>
      <c r="AZ486" s="1973" t="s">
        <v>6673</v>
      </c>
    </row>
    <row r="487" spans="1:52" s="1876" customFormat="1" ht="15.75" customHeight="1">
      <c r="A487" s="1857"/>
      <c r="B487" s="1857" t="s">
        <v>1360</v>
      </c>
      <c r="C487" s="1857"/>
      <c r="D487" s="1857"/>
      <c r="E487" s="1864">
        <f>'Part III-Sources of Funds'!E53</f>
        <v>0</v>
      </c>
      <c r="F487" s="1864"/>
      <c r="G487" s="1864"/>
      <c r="H487" s="1864"/>
      <c r="I487" s="1895">
        <f>'Part III-Sources of Funds'!I53</f>
        <v>0</v>
      </c>
      <c r="J487" s="1864"/>
      <c r="P487" s="1998">
        <f>SUM(P485:P486)</f>
        <v>0.84450175112449144</v>
      </c>
      <c r="Q487" s="1857"/>
      <c r="S487" s="1957"/>
      <c r="T487" s="1957"/>
      <c r="Y487" s="1973" t="s">
        <v>6673</v>
      </c>
      <c r="Z487" s="1858">
        <v>53</v>
      </c>
      <c r="AZ487" s="1973"/>
    </row>
    <row r="488" spans="1:52" s="1876" customFormat="1" ht="15.75" customHeight="1">
      <c r="A488" s="1857"/>
      <c r="B488" s="1857" t="s">
        <v>506</v>
      </c>
      <c r="C488" s="1857"/>
      <c r="D488" s="1857"/>
      <c r="E488" s="1864">
        <f>'Part III-Sources of Funds'!E54</f>
        <v>0</v>
      </c>
      <c r="F488" s="1864"/>
      <c r="G488" s="1864"/>
      <c r="H488" s="1864"/>
      <c r="I488" s="1895">
        <f>'Part III-Sources of Funds'!I54</f>
        <v>0</v>
      </c>
      <c r="J488" s="1864"/>
      <c r="K488" s="1857"/>
      <c r="Q488" s="1857"/>
      <c r="S488" s="1957"/>
      <c r="T488" s="1957"/>
      <c r="Y488" s="1973"/>
      <c r="Z488" s="1858">
        <v>54</v>
      </c>
      <c r="AZ488" s="1973"/>
    </row>
    <row r="489" spans="1:52" s="1876" customFormat="1" ht="15.75" customHeight="1">
      <c r="A489" s="1857"/>
      <c r="B489" s="1857" t="s">
        <v>1781</v>
      </c>
      <c r="C489" s="1857"/>
      <c r="D489" s="1857"/>
      <c r="E489" s="1864">
        <f>'Part III-Sources of Funds'!E55</f>
        <v>0</v>
      </c>
      <c r="F489" s="1864"/>
      <c r="G489" s="1864"/>
      <c r="H489" s="1864"/>
      <c r="I489" s="1895">
        <f>'Part III-Sources of Funds'!I55</f>
        <v>0</v>
      </c>
      <c r="J489" s="1864"/>
      <c r="N489" s="1857"/>
      <c r="O489" s="1857"/>
      <c r="P489" s="1857"/>
      <c r="Q489" s="1857"/>
      <c r="S489" s="1957"/>
      <c r="T489" s="1957"/>
      <c r="Y489" s="1973"/>
      <c r="Z489" s="1858">
        <v>55</v>
      </c>
      <c r="AZ489" s="1973"/>
    </row>
    <row r="490" spans="1:52" s="1876" customFormat="1" ht="15.75" customHeight="1">
      <c r="A490" s="1857"/>
      <c r="B490" s="1857" t="s">
        <v>1782</v>
      </c>
      <c r="C490" s="1857"/>
      <c r="D490" s="1857"/>
      <c r="E490" s="1864">
        <f>'Part III-Sources of Funds'!E56</f>
        <v>0</v>
      </c>
      <c r="F490" s="1864"/>
      <c r="G490" s="1864"/>
      <c r="H490" s="1864"/>
      <c r="I490" s="1895">
        <f>'Part III-Sources of Funds'!I56</f>
        <v>0</v>
      </c>
      <c r="J490" s="1864"/>
      <c r="M490" s="1857"/>
      <c r="N490" s="1857"/>
      <c r="O490" s="1857"/>
      <c r="P490" s="1857"/>
      <c r="Q490" s="1857"/>
      <c r="S490" s="1957"/>
      <c r="T490" s="1957"/>
      <c r="Y490" s="1973"/>
      <c r="Z490" s="1858">
        <v>56</v>
      </c>
      <c r="AZ490" s="1973" t="s">
        <v>6674</v>
      </c>
    </row>
    <row r="491" spans="1:52" s="1876" customFormat="1" ht="15.75" customHeight="1">
      <c r="A491" s="1857"/>
      <c r="B491" s="1857" t="s">
        <v>711</v>
      </c>
      <c r="C491" s="1864">
        <f>'Part III-Sources of Funds'!C57</f>
        <v>0</v>
      </c>
      <c r="D491" s="1864"/>
      <c r="E491" s="1864" t="str">
        <f>'Part III-Sources of Funds'!E57</f>
        <v>GP Contribution for 0.01% of Equity</v>
      </c>
      <c r="F491" s="1864"/>
      <c r="G491" s="1864"/>
      <c r="H491" s="1864"/>
      <c r="I491" s="1895">
        <f>'Part III-Sources of Funds'!I57</f>
        <v>1287</v>
      </c>
      <c r="J491" s="1864"/>
      <c r="M491" s="1857"/>
      <c r="N491" s="1857"/>
      <c r="O491" s="1857"/>
      <c r="P491" s="1857"/>
      <c r="Q491" s="1857"/>
      <c r="S491" s="1957"/>
      <c r="T491" s="1957"/>
      <c r="Y491" s="1973" t="s">
        <v>6674</v>
      </c>
      <c r="Z491" s="1858">
        <v>57</v>
      </c>
      <c r="AZ491" s="1973" t="s">
        <v>6675</v>
      </c>
    </row>
    <row r="492" spans="1:52" s="1876" customFormat="1" ht="15.75" customHeight="1">
      <c r="A492" s="1857"/>
      <c r="B492" s="1857" t="s">
        <v>711</v>
      </c>
      <c r="C492" s="1864">
        <f>'Part III-Sources of Funds'!C58</f>
        <v>0</v>
      </c>
      <c r="D492" s="1864"/>
      <c r="E492" s="1864">
        <f>'Part III-Sources of Funds'!E58</f>
        <v>0</v>
      </c>
      <c r="F492" s="1864"/>
      <c r="G492" s="1864"/>
      <c r="H492" s="1864"/>
      <c r="I492" s="1895">
        <f>'Part III-Sources of Funds'!I58</f>
        <v>0</v>
      </c>
      <c r="J492" s="1864"/>
      <c r="K492" s="1857"/>
      <c r="L492" s="1858"/>
      <c r="M492" s="1857"/>
      <c r="N492" s="1857"/>
      <c r="O492" s="1857"/>
      <c r="P492" s="1857"/>
      <c r="Q492" s="1857"/>
      <c r="S492" s="1957"/>
      <c r="T492" s="1957"/>
      <c r="Y492" s="1973" t="s">
        <v>6675</v>
      </c>
      <c r="Z492" s="1858">
        <v>58</v>
      </c>
      <c r="AZ492" s="1973" t="s">
        <v>6676</v>
      </c>
    </row>
    <row r="493" spans="1:52" s="1876" customFormat="1" ht="15.75" customHeight="1">
      <c r="A493" s="1857"/>
      <c r="B493" s="1857" t="s">
        <v>711</v>
      </c>
      <c r="C493" s="1864">
        <f>'Part III-Sources of Funds'!C59</f>
        <v>0</v>
      </c>
      <c r="D493" s="1864"/>
      <c r="E493" s="1864">
        <f>'Part III-Sources of Funds'!E59</f>
        <v>0</v>
      </c>
      <c r="F493" s="1864"/>
      <c r="G493" s="1864"/>
      <c r="H493" s="1864"/>
      <c r="I493" s="1895">
        <f>'Part III-Sources of Funds'!I59</f>
        <v>0</v>
      </c>
      <c r="J493" s="1864"/>
      <c r="K493" s="1857"/>
      <c r="L493" s="1858"/>
      <c r="M493" s="1857"/>
      <c r="N493" s="1857"/>
      <c r="O493" s="1857"/>
      <c r="P493" s="1857"/>
      <c r="Q493" s="1857"/>
      <c r="S493" s="1957"/>
      <c r="T493" s="1957"/>
      <c r="Y493" s="1973" t="s">
        <v>6676</v>
      </c>
      <c r="Z493" s="1858">
        <v>59</v>
      </c>
      <c r="AZ493" s="1973"/>
    </row>
    <row r="494" spans="1:52" s="1876" customFormat="1" ht="14.25" customHeight="1">
      <c r="A494" s="1857"/>
      <c r="B494" s="1859" t="s">
        <v>2114</v>
      </c>
      <c r="C494" s="1857"/>
      <c r="D494" s="1857"/>
      <c r="E494" s="1857"/>
      <c r="F494" s="1857"/>
      <c r="G494" s="1857"/>
      <c r="I494" s="1981">
        <f>SUM(I474:J479)+SUM(I483:J493)</f>
        <v>15238231.279999999</v>
      </c>
      <c r="J494" s="1981"/>
      <c r="K494" s="1857"/>
      <c r="L494" s="1858"/>
      <c r="M494" s="1857"/>
      <c r="N494" s="1857"/>
      <c r="O494" s="1857"/>
      <c r="P494" s="1857"/>
      <c r="Q494" s="1857"/>
      <c r="S494" s="1957"/>
      <c r="T494" s="1957"/>
      <c r="Y494" s="1973"/>
      <c r="Z494" s="1869">
        <v>60</v>
      </c>
      <c r="AZ494" s="1973"/>
    </row>
    <row r="495" spans="1:52" s="1876" customFormat="1" ht="14.25" customHeight="1">
      <c r="A495" s="1857"/>
      <c r="B495" s="1859" t="s">
        <v>2115</v>
      </c>
      <c r="C495" s="1857"/>
      <c r="D495" s="1857"/>
      <c r="E495" s="1857"/>
      <c r="F495" s="1857"/>
      <c r="G495" s="1857"/>
      <c r="I495" s="1981">
        <f>'Part IV-A-Uses of Funds'!$G$146</f>
        <v>15238231.279999999</v>
      </c>
      <c r="J495" s="1981"/>
      <c r="K495" s="1857"/>
      <c r="L495" s="1858"/>
      <c r="M495" s="1857"/>
      <c r="N495" s="1857"/>
      <c r="O495" s="1857"/>
      <c r="P495" s="1857"/>
      <c r="Q495" s="1857"/>
      <c r="S495" s="1957"/>
      <c r="T495" s="1957"/>
      <c r="Y495" s="1973"/>
      <c r="Z495" s="1858">
        <v>61</v>
      </c>
      <c r="AZ495" s="1973"/>
    </row>
    <row r="496" spans="1:52" s="1876" customFormat="1" ht="14.25" customHeight="1">
      <c r="A496" s="1857"/>
      <c r="B496" s="1859" t="s">
        <v>1464</v>
      </c>
      <c r="C496" s="1857"/>
      <c r="D496" s="1857"/>
      <c r="E496" s="1857"/>
      <c r="F496" s="1857"/>
      <c r="G496" s="1857"/>
      <c r="I496" s="1983">
        <f>I494-I495</f>
        <v>0</v>
      </c>
      <c r="J496" s="1983"/>
      <c r="K496" s="1857"/>
      <c r="L496" s="1858"/>
      <c r="M496" s="1857"/>
      <c r="N496" s="1857"/>
      <c r="O496" s="1857"/>
      <c r="P496" s="1857"/>
      <c r="Q496" s="1857"/>
      <c r="S496" s="1957"/>
      <c r="T496" s="1957"/>
      <c r="Y496" s="1973"/>
      <c r="Z496" s="1858">
        <v>62</v>
      </c>
      <c r="AZ496" s="1973"/>
    </row>
    <row r="497" spans="1:53" s="1876" customFormat="1" ht="13.35" customHeight="1">
      <c r="A497" s="1857" t="s">
        <v>4145</v>
      </c>
      <c r="B497" s="1859"/>
      <c r="C497" s="1857"/>
      <c r="D497" s="1857"/>
      <c r="E497" s="1857"/>
      <c r="F497" s="1857"/>
      <c r="G497" s="1857"/>
      <c r="H497" s="1999"/>
      <c r="I497" s="1999"/>
      <c r="J497" s="1866"/>
      <c r="K497" s="1857"/>
      <c r="L497" s="1858"/>
      <c r="M497" s="1857"/>
      <c r="N497" s="1857"/>
      <c r="O497" s="1857"/>
      <c r="P497" s="1857"/>
      <c r="Q497" s="1857"/>
      <c r="R497" s="1857"/>
      <c r="S497" s="1857"/>
      <c r="T497" s="1857"/>
      <c r="Y497" s="1973"/>
      <c r="Z497" s="1858">
        <v>63</v>
      </c>
      <c r="AZ497" s="1926"/>
    </row>
    <row r="498" spans="1:53" s="1974" customFormat="1" ht="6" customHeight="1">
      <c r="A498" s="1866"/>
      <c r="B498" s="1866"/>
      <c r="C498" s="1866"/>
      <c r="D498" s="1866"/>
      <c r="E498" s="1866"/>
      <c r="F498" s="1866"/>
      <c r="G498" s="1866"/>
      <c r="H498" s="1866"/>
      <c r="I498" s="1866"/>
      <c r="J498" s="1866"/>
      <c r="K498" s="1866"/>
      <c r="L498" s="1866"/>
      <c r="M498" s="1866"/>
      <c r="N498" s="1866"/>
      <c r="O498" s="1866"/>
      <c r="P498" s="1866"/>
      <c r="Q498" s="1866"/>
      <c r="Y498" s="1926"/>
      <c r="Z498" s="1858">
        <v>64</v>
      </c>
      <c r="AZ498" s="1926"/>
    </row>
    <row r="499" spans="1:53" s="1974" customFormat="1" ht="12" customHeight="1">
      <c r="A499" s="1857" t="s">
        <v>1711</v>
      </c>
      <c r="B499" s="1857" t="s">
        <v>543</v>
      </c>
      <c r="C499" s="1866"/>
      <c r="D499" s="1866"/>
      <c r="E499" s="1866"/>
      <c r="F499" s="1866"/>
      <c r="G499" s="1866"/>
      <c r="H499" s="1866"/>
      <c r="I499" s="1866"/>
      <c r="J499" s="1866"/>
      <c r="M499" s="1857" t="s">
        <v>1711</v>
      </c>
      <c r="N499" s="1857" t="s">
        <v>74</v>
      </c>
      <c r="O499" s="1866"/>
      <c r="P499" s="1866"/>
      <c r="Q499" s="1866"/>
      <c r="Y499" s="1926"/>
      <c r="Z499" s="1858">
        <v>65</v>
      </c>
      <c r="AZ499" s="2000"/>
    </row>
    <row r="500" spans="1:53" s="1974" customFormat="1" ht="111.75" customHeight="1">
      <c r="A500" s="1957" t="str">
        <f>'Part III-Sources of Funds'!A66</f>
        <v>DCA requires that “Any and all costs directly associated with developing unrestricted units must be covered by unrestricted financing sources. The market rate units to total units percentage must be less than or equal to the unrestricted permanent financing to total development cost percentage." The applicant has included 8 market-rate units, or approximately 11.1% of the units. Based on the sources of funds above, the mortgage represents approximately 13.2% of total sources, therefore the applicant has satisfied this criteria.</v>
      </c>
      <c r="B500" s="1957"/>
      <c r="C500" s="1957"/>
      <c r="D500" s="1957"/>
      <c r="E500" s="1957"/>
      <c r="F500" s="1957"/>
      <c r="G500" s="1957"/>
      <c r="H500" s="1957"/>
      <c r="I500" s="1957"/>
      <c r="J500" s="1957"/>
      <c r="K500" s="1957"/>
      <c r="L500" s="1957"/>
      <c r="M500" s="1957"/>
      <c r="N500" s="1957"/>
      <c r="O500" s="1957"/>
      <c r="P500" s="1957"/>
      <c r="Q500" s="1957"/>
      <c r="S500" s="1856" t="s">
        <v>2541</v>
      </c>
      <c r="T500" s="1856"/>
      <c r="U500" s="1856"/>
      <c r="V500" s="1856"/>
      <c r="W500" s="1856"/>
      <c r="Y500" s="2000"/>
      <c r="Z500" s="1858">
        <v>66</v>
      </c>
      <c r="AZ500" s="2000"/>
    </row>
    <row r="505" spans="1:53" s="1857" customFormat="1" ht="13.5" customHeight="1">
      <c r="A505" s="1857" t="str">
        <f>CONCATENATE("PART FOUR (A):  USES OF FUNDS","  -  ",'Part I-Project Information'!$O$7," ",'Part I-Project Information'!$F$35,", ",'Part I-Project Information'!F542,", ",'Part I-Project Information'!J543," County")</f>
        <v>PART FOUR (A):  USES OF FUNDS  -  2021-067 West Point Village Phase II, ,  County</v>
      </c>
      <c r="W505" s="1857" t="str">
        <f>A505</f>
        <v>PART FOUR (A):  USES OF FUNDS  -  2021-067 West Point Village Phase II, ,  County</v>
      </c>
      <c r="AZ505" s="1938"/>
      <c r="BA505" s="1858">
        <v>2</v>
      </c>
    </row>
    <row r="506" spans="1:53" s="1866" customFormat="1" ht="2.25" customHeight="1">
      <c r="AZ506" s="1875"/>
      <c r="BA506" s="1858">
        <v>3</v>
      </c>
    </row>
    <row r="507" spans="1:53" s="1857" customFormat="1" ht="4.5" customHeight="1">
      <c r="AZ507" s="1938"/>
      <c r="BA507" s="1858">
        <v>4</v>
      </c>
    </row>
    <row r="508" spans="1:53" s="1857" customFormat="1" ht="2.1" customHeight="1">
      <c r="A508" s="1858"/>
      <c r="B508" s="1858"/>
      <c r="C508" s="1858"/>
      <c r="D508" s="2001"/>
      <c r="E508" s="2001"/>
      <c r="F508" s="2001"/>
      <c r="G508" s="2001"/>
      <c r="H508" s="2001"/>
      <c r="J508" s="1858"/>
      <c r="K508" s="1858"/>
      <c r="L508" s="1858"/>
      <c r="M508" s="1858"/>
      <c r="N508" s="1858"/>
      <c r="O508" s="1858"/>
      <c r="P508" s="1858"/>
      <c r="Q508" s="1858"/>
      <c r="R508" s="1858"/>
      <c r="S508" s="1858"/>
      <c r="T508" s="1858"/>
      <c r="AZ508" s="1938"/>
      <c r="BA508" s="1858">
        <v>5</v>
      </c>
    </row>
    <row r="509" spans="1:53" s="1857" customFormat="1" ht="19.5" customHeight="1">
      <c r="A509" s="2001" t="s">
        <v>586</v>
      </c>
      <c r="B509" s="2001" t="s">
        <v>866</v>
      </c>
      <c r="D509" s="2002" t="str">
        <f>'Part I-Project Information'!$B$7</f>
        <v>2021 Core App
May 10 Rev</v>
      </c>
      <c r="E509" s="2002"/>
      <c r="F509" s="2002"/>
      <c r="G509" s="2002"/>
      <c r="H509" s="2002"/>
      <c r="I509" s="2001"/>
      <c r="J509" s="1857" t="s">
        <v>260</v>
      </c>
      <c r="L509" s="2003"/>
      <c r="M509" s="2003" t="s">
        <v>468</v>
      </c>
      <c r="N509" s="2003"/>
      <c r="P509" s="1857" t="s">
        <v>261</v>
      </c>
      <c r="S509" s="1857" t="s">
        <v>262</v>
      </c>
      <c r="V509" s="2004" t="str">
        <f>B509</f>
        <v>DEVELOPMENT BUDGET</v>
      </c>
      <c r="AZ509" s="1938"/>
      <c r="BA509" s="1858">
        <v>6</v>
      </c>
    </row>
    <row r="510" spans="1:53" s="1857" customFormat="1" ht="19.5" customHeight="1">
      <c r="D510" s="2002"/>
      <c r="E510" s="2002"/>
      <c r="F510" s="2002"/>
      <c r="G510" s="1857" t="s">
        <v>94</v>
      </c>
      <c r="L510" s="2003"/>
      <c r="M510" s="2003"/>
      <c r="N510" s="2003"/>
      <c r="V510" s="1866" t="s">
        <v>2536</v>
      </c>
      <c r="X510" s="1866"/>
      <c r="AZ510" s="1938"/>
      <c r="BA510" s="1858">
        <v>7</v>
      </c>
    </row>
    <row r="511" spans="1:53" s="1857" customFormat="1" ht="12" customHeight="1">
      <c r="B511" s="1857" t="s">
        <v>95</v>
      </c>
      <c r="O511" s="1858" t="str">
        <f>B511</f>
        <v>PRE-DEVELOPMENT COSTS</v>
      </c>
      <c r="W511" s="1857" t="str">
        <f>B511</f>
        <v>PRE-DEVELOPMENT COSTS</v>
      </c>
      <c r="AZ511" s="1938"/>
      <c r="BA511" s="1858">
        <v>8</v>
      </c>
    </row>
    <row r="512" spans="1:53" s="1857" customFormat="1" ht="11.25" customHeight="1">
      <c r="B512" s="1857" t="s">
        <v>1909</v>
      </c>
      <c r="G512" s="1872">
        <f>'Part IV-A-Uses of Funds'!G9</f>
        <v>0</v>
      </c>
      <c r="H512" s="1872"/>
      <c r="J512" s="1872">
        <f>'Part IV-A-Uses of Funds'!J9</f>
        <v>0</v>
      </c>
      <c r="K512" s="1872"/>
      <c r="L512" s="1890"/>
      <c r="M512" s="1872">
        <f>'Part IV-A-Uses of Funds'!M9</f>
        <v>0</v>
      </c>
      <c r="N512" s="1872"/>
      <c r="P512" s="1872">
        <f>'Part IV-A-Uses of Funds'!P9</f>
        <v>0</v>
      </c>
      <c r="Q512" s="1872"/>
      <c r="S512" s="1872">
        <f>'Part IV-A-Uses of Funds'!S9</f>
        <v>0</v>
      </c>
      <c r="T512" s="1872"/>
      <c r="V512" s="2005"/>
      <c r="W512" s="2006"/>
      <c r="X512" s="2006"/>
      <c r="AZ512" s="1938"/>
      <c r="BA512" s="1858">
        <v>9</v>
      </c>
    </row>
    <row r="513" spans="1:53" s="1857" customFormat="1" ht="11.25" customHeight="1">
      <c r="B513" s="1857" t="s">
        <v>437</v>
      </c>
      <c r="G513" s="1872">
        <f>'Part IV-A-Uses of Funds'!G10</f>
        <v>6750</v>
      </c>
      <c r="H513" s="1872"/>
      <c r="J513" s="1872">
        <f>'Part IV-A-Uses of Funds'!J10</f>
        <v>6750</v>
      </c>
      <c r="K513" s="1872"/>
      <c r="L513" s="1890"/>
      <c r="M513" s="1872">
        <f>'Part IV-A-Uses of Funds'!M10</f>
        <v>0</v>
      </c>
      <c r="N513" s="1872"/>
      <c r="P513" s="1872">
        <f>'Part IV-A-Uses of Funds'!P10</f>
        <v>0</v>
      </c>
      <c r="Q513" s="1872"/>
      <c r="S513" s="1872">
        <f>'Part IV-A-Uses of Funds'!S10</f>
        <v>0</v>
      </c>
      <c r="T513" s="1872"/>
      <c r="V513" s="2005"/>
      <c r="W513" s="2006"/>
      <c r="X513" s="2006"/>
      <c r="AZ513" s="1938"/>
      <c r="BA513" s="1869">
        <v>10</v>
      </c>
    </row>
    <row r="514" spans="1:53" s="1857" customFormat="1" ht="11.25" customHeight="1">
      <c r="B514" s="1857" t="s">
        <v>466</v>
      </c>
      <c r="G514" s="1872">
        <f>'Part IV-A-Uses of Funds'!G11</f>
        <v>18500</v>
      </c>
      <c r="H514" s="1872"/>
      <c r="J514" s="1872">
        <f>'Part IV-A-Uses of Funds'!J11</f>
        <v>18500</v>
      </c>
      <c r="K514" s="1872"/>
      <c r="L514" s="1890"/>
      <c r="M514" s="1872">
        <f>'Part IV-A-Uses of Funds'!M11</f>
        <v>0</v>
      </c>
      <c r="N514" s="1872"/>
      <c r="P514" s="1872">
        <f>'Part IV-A-Uses of Funds'!P11</f>
        <v>0</v>
      </c>
      <c r="Q514" s="1872"/>
      <c r="S514" s="1872">
        <f>'Part IV-A-Uses of Funds'!S11</f>
        <v>0</v>
      </c>
      <c r="T514" s="1872"/>
      <c r="V514" s="2005"/>
      <c r="W514" s="2006"/>
      <c r="X514" s="2006"/>
      <c r="AZ514" s="1938"/>
      <c r="BA514" s="1858">
        <v>11</v>
      </c>
    </row>
    <row r="515" spans="1:53" s="1857" customFormat="1" ht="11.25" customHeight="1">
      <c r="B515" s="1857" t="s">
        <v>467</v>
      </c>
      <c r="G515" s="1872">
        <f>'Part IV-A-Uses of Funds'!G12</f>
        <v>18000</v>
      </c>
      <c r="H515" s="1872"/>
      <c r="J515" s="1872">
        <f>'Part IV-A-Uses of Funds'!J12</f>
        <v>18000</v>
      </c>
      <c r="K515" s="1872"/>
      <c r="L515" s="1890"/>
      <c r="M515" s="1872">
        <f>'Part IV-A-Uses of Funds'!M12</f>
        <v>0</v>
      </c>
      <c r="N515" s="1872"/>
      <c r="P515" s="1872">
        <f>'Part IV-A-Uses of Funds'!P12</f>
        <v>0</v>
      </c>
      <c r="Q515" s="1872"/>
      <c r="S515" s="1872">
        <f>'Part IV-A-Uses of Funds'!S12</f>
        <v>0</v>
      </c>
      <c r="T515" s="1872"/>
      <c r="V515" s="2005"/>
      <c r="W515" s="2006"/>
      <c r="X515" s="2006"/>
      <c r="AZ515" s="1938"/>
      <c r="BA515" s="1858">
        <v>12</v>
      </c>
    </row>
    <row r="516" spans="1:53" s="1857" customFormat="1" ht="11.25" customHeight="1">
      <c r="B516" s="1857" t="s">
        <v>2384</v>
      </c>
      <c r="G516" s="1872">
        <f>'Part IV-A-Uses of Funds'!G13</f>
        <v>35000</v>
      </c>
      <c r="H516" s="1872"/>
      <c r="J516" s="1872">
        <f>'Part IV-A-Uses of Funds'!J13</f>
        <v>35000</v>
      </c>
      <c r="K516" s="1872"/>
      <c r="L516" s="1890"/>
      <c r="M516" s="1872">
        <f>'Part IV-A-Uses of Funds'!M13</f>
        <v>0</v>
      </c>
      <c r="N516" s="1872"/>
      <c r="P516" s="1872">
        <f>'Part IV-A-Uses of Funds'!P13</f>
        <v>0</v>
      </c>
      <c r="Q516" s="1872"/>
      <c r="S516" s="1872">
        <f>'Part IV-A-Uses of Funds'!S13</f>
        <v>0</v>
      </c>
      <c r="T516" s="1872"/>
      <c r="V516" s="2005"/>
      <c r="W516" s="2006"/>
      <c r="X516" s="2006"/>
      <c r="AZ516" s="1938"/>
      <c r="BA516" s="1858">
        <v>13</v>
      </c>
    </row>
    <row r="517" spans="1:53" s="1857" customFormat="1" ht="11.25" customHeight="1">
      <c r="B517" s="1857" t="s">
        <v>182</v>
      </c>
      <c r="G517" s="1872">
        <f>'Part IV-A-Uses of Funds'!G14</f>
        <v>0</v>
      </c>
      <c r="H517" s="1872"/>
      <c r="J517" s="1872">
        <f>'Part IV-A-Uses of Funds'!J14</f>
        <v>0</v>
      </c>
      <c r="K517" s="1872"/>
      <c r="L517" s="1890"/>
      <c r="M517" s="1872">
        <f>'Part IV-A-Uses of Funds'!M14</f>
        <v>0</v>
      </c>
      <c r="N517" s="1872"/>
      <c r="P517" s="1872">
        <f>'Part IV-A-Uses of Funds'!P14</f>
        <v>0</v>
      </c>
      <c r="Q517" s="1872"/>
      <c r="S517" s="1872">
        <f>'Part IV-A-Uses of Funds'!S14</f>
        <v>0</v>
      </c>
      <c r="T517" s="1872"/>
      <c r="V517" s="2005"/>
      <c r="W517" s="2006"/>
      <c r="X517" s="2006"/>
      <c r="AZ517" s="1938"/>
      <c r="BA517" s="1858">
        <v>14</v>
      </c>
    </row>
    <row r="518" spans="1:53" s="1857" customFormat="1" ht="11.25" customHeight="1">
      <c r="A518" s="2007" t="str">
        <f>IF(AND(G518&gt;0,OR(C518="",C518="&lt;Enter detailed description here; use Comments section if needed&gt;")),"X","")</f>
        <v/>
      </c>
      <c r="B518" s="1865" t="s">
        <v>6576</v>
      </c>
      <c r="C518" s="1870" t="str">
        <f>'Part IV-A-Uses of Funds'!C15</f>
        <v>&lt;&lt; Enter description here; provide detail &amp; justification in tab Part IV-b &gt;&gt;</v>
      </c>
      <c r="D518" s="1870"/>
      <c r="E518" s="1870"/>
      <c r="F518" s="1870"/>
      <c r="G518" s="1872">
        <f>'Part IV-A-Uses of Funds'!G15</f>
        <v>0</v>
      </c>
      <c r="H518" s="1872"/>
      <c r="J518" s="1872">
        <f>'Part IV-A-Uses of Funds'!J15</f>
        <v>0</v>
      </c>
      <c r="K518" s="1872"/>
      <c r="L518" s="1890"/>
      <c r="M518" s="1872">
        <f>'Part IV-A-Uses of Funds'!M15</f>
        <v>0</v>
      </c>
      <c r="N518" s="1872"/>
      <c r="P518" s="1872">
        <f>'Part IV-A-Uses of Funds'!P15</f>
        <v>0</v>
      </c>
      <c r="Q518" s="1872"/>
      <c r="S518" s="1872">
        <f>'Part IV-A-Uses of Funds'!S15</f>
        <v>0</v>
      </c>
      <c r="T518" s="1872"/>
      <c r="U518" s="1859" t="str">
        <f>IF(AND(G518&gt;0,OR(C518="",C518="&lt;Enter detailed description here; use Comments section if needed&gt;")),"NO DESCRIPTION PROVIDED - please enter detailed description in Other box at left; use Comments section below if needed.","")</f>
        <v/>
      </c>
      <c r="V518" s="2005"/>
      <c r="W518" s="2006"/>
      <c r="X518" s="2006"/>
      <c r="AZ518" s="1938" t="s">
        <v>6677</v>
      </c>
      <c r="BA518" s="1858">
        <v>15</v>
      </c>
    </row>
    <row r="519" spans="1:53" s="1857" customFormat="1" ht="11.25" customHeight="1">
      <c r="A519" s="2007" t="str">
        <f>IF(AND(G519&gt;0,OR(C519="",C519="&lt;Enter detailed description here; use Comments section if needed&gt;")),"X","")</f>
        <v/>
      </c>
      <c r="B519" s="1865" t="s">
        <v>6577</v>
      </c>
      <c r="C519" s="1870" t="str">
        <f>'Part IV-A-Uses of Funds'!C16</f>
        <v>&lt;&lt; Enter description here; provide detail &amp; justification in tab Part IV-b &gt;&gt;</v>
      </c>
      <c r="D519" s="1870"/>
      <c r="E519" s="1870"/>
      <c r="F519" s="1870"/>
      <c r="G519" s="1872">
        <f>'Part IV-A-Uses of Funds'!G16</f>
        <v>0</v>
      </c>
      <c r="H519" s="1872"/>
      <c r="J519" s="1872">
        <f>'Part IV-A-Uses of Funds'!J16</f>
        <v>0</v>
      </c>
      <c r="K519" s="1872"/>
      <c r="L519" s="1890"/>
      <c r="M519" s="1872">
        <f>'Part IV-A-Uses of Funds'!M16</f>
        <v>0</v>
      </c>
      <c r="N519" s="1872"/>
      <c r="P519" s="1872">
        <f>'Part IV-A-Uses of Funds'!P16</f>
        <v>0</v>
      </c>
      <c r="Q519" s="1872"/>
      <c r="S519" s="1872">
        <f>'Part IV-A-Uses of Funds'!S16</f>
        <v>0</v>
      </c>
      <c r="T519" s="1872"/>
      <c r="U519" s="1859" t="str">
        <f>IF(AND(G519&gt;0,OR(C519="",C519="&lt;Enter detailed description here; use Comments section if needed&gt;")),"NO DESCRIPTION PROVIDED - please enter detailed description in Other box at left; use Comments section below if needed.","")</f>
        <v/>
      </c>
      <c r="V519" s="2005"/>
      <c r="W519" s="2006"/>
      <c r="X519" s="2006"/>
      <c r="AZ519" s="1938" t="s">
        <v>6678</v>
      </c>
      <c r="BA519" s="1858">
        <v>16</v>
      </c>
    </row>
    <row r="520" spans="1:53" s="1857" customFormat="1" ht="11.25" customHeight="1">
      <c r="A520" s="2007" t="str">
        <f>IF(AND(G520&gt;0,OR(C520="",C520="&lt;Enter detailed description here; use Comments section if needed&gt;")),"X","")</f>
        <v/>
      </c>
      <c r="B520" s="1865" t="s">
        <v>6578</v>
      </c>
      <c r="C520" s="1870" t="str">
        <f>'Part IV-A-Uses of Funds'!C17</f>
        <v>&lt;&lt; Enter description here; provide detail &amp; justification in tab Part IV-b &gt;&gt;</v>
      </c>
      <c r="D520" s="1870"/>
      <c r="E520" s="1870"/>
      <c r="F520" s="1870"/>
      <c r="G520" s="1872">
        <f>'Part IV-A-Uses of Funds'!G17</f>
        <v>0</v>
      </c>
      <c r="H520" s="1872"/>
      <c r="J520" s="1872">
        <f>'Part IV-A-Uses of Funds'!J17</f>
        <v>0</v>
      </c>
      <c r="K520" s="1872"/>
      <c r="L520" s="1890"/>
      <c r="M520" s="1872">
        <f>'Part IV-A-Uses of Funds'!M17</f>
        <v>0</v>
      </c>
      <c r="N520" s="1872"/>
      <c r="P520" s="1872">
        <f>'Part IV-A-Uses of Funds'!P17</f>
        <v>0</v>
      </c>
      <c r="Q520" s="1872"/>
      <c r="S520" s="1872">
        <f>'Part IV-A-Uses of Funds'!S17</f>
        <v>0</v>
      </c>
      <c r="T520" s="1872"/>
      <c r="U520" s="1859" t="str">
        <f>IF(AND(G520&gt;0,OR(C520="",C520="&lt;Enter detailed description here; use Comments section if needed&gt;")),"NO DESCRIPTION PROVIDED - please enter detailed description in Other box at left; use Comments section below if needed.","")</f>
        <v/>
      </c>
      <c r="V520" s="2005"/>
      <c r="W520" s="2006"/>
      <c r="X520" s="2006"/>
      <c r="AZ520" s="1938" t="s">
        <v>6679</v>
      </c>
      <c r="BA520" s="1858">
        <v>17</v>
      </c>
    </row>
    <row r="521" spans="1:53" s="1857" customFormat="1" ht="12.6" customHeight="1">
      <c r="F521" s="2008" t="s">
        <v>183</v>
      </c>
      <c r="G521" s="2003">
        <f>SUM(G512:G520)</f>
        <v>78250</v>
      </c>
      <c r="H521" s="2003"/>
      <c r="J521" s="2003">
        <f>SUM(J512:J520)</f>
        <v>78250</v>
      </c>
      <c r="K521" s="2003"/>
      <c r="L521" s="1890"/>
      <c r="M521" s="2003">
        <f>SUM(M512:M520)</f>
        <v>0</v>
      </c>
      <c r="N521" s="2003"/>
      <c r="P521" s="2003">
        <f>SUM(P512:P520)</f>
        <v>0</v>
      </c>
      <c r="Q521" s="2003"/>
      <c r="S521" s="2003">
        <f>SUM(S512:S520)</f>
        <v>0</v>
      </c>
      <c r="T521" s="2003"/>
      <c r="V521" s="2005">
        <f>SUM(V512:V520)</f>
        <v>0</v>
      </c>
      <c r="W521" s="2006"/>
      <c r="X521" s="2006"/>
      <c r="AZ521" s="1938" t="s">
        <v>6680</v>
      </c>
      <c r="BA521" s="1858">
        <v>18</v>
      </c>
    </row>
    <row r="522" spans="1:53" s="1857" customFormat="1" ht="12" customHeight="1">
      <c r="B522" s="1857" t="s">
        <v>2101</v>
      </c>
      <c r="J522" s="2003"/>
      <c r="K522" s="2003"/>
      <c r="M522" s="2003"/>
      <c r="N522" s="2003"/>
      <c r="O522" s="1890" t="str">
        <f>B522</f>
        <v>ACQUISITION</v>
      </c>
      <c r="P522" s="2003"/>
      <c r="Q522" s="2003"/>
      <c r="S522" s="2003"/>
      <c r="T522" s="2003"/>
      <c r="V522" s="2009"/>
      <c r="W522" s="1857" t="str">
        <f>B522</f>
        <v>ACQUISITION</v>
      </c>
      <c r="AZ522" s="1938"/>
      <c r="BA522" s="1869">
        <v>19</v>
      </c>
    </row>
    <row r="523" spans="1:53" s="1857" customFormat="1" ht="11.25" customHeight="1">
      <c r="B523" s="1857" t="s">
        <v>2102</v>
      </c>
      <c r="E523" s="2010" t="s">
        <v>3352</v>
      </c>
      <c r="F523" s="2011">
        <f>IF('Part I-Project Information'!$O$38="","",G523/'Part I-Project Information'!$O$38)</f>
        <v>0</v>
      </c>
      <c r="G523" s="1872">
        <f>'Part IV-A-Uses of Funds'!G20</f>
        <v>0</v>
      </c>
      <c r="H523" s="1872"/>
      <c r="J523" s="1890"/>
      <c r="K523" s="2003"/>
      <c r="L523" s="1890"/>
      <c r="M523" s="1890"/>
      <c r="N523" s="2003"/>
      <c r="P523" s="1890"/>
      <c r="Q523" s="2003"/>
      <c r="S523" s="1872">
        <f>'Part IV-A-Uses of Funds'!S20</f>
        <v>0</v>
      </c>
      <c r="T523" s="1872"/>
      <c r="V523" s="2005"/>
      <c r="W523" s="2006"/>
      <c r="X523" s="2006"/>
      <c r="AZ523" s="1938"/>
      <c r="BA523" s="1858">
        <v>20</v>
      </c>
    </row>
    <row r="524" spans="1:53" s="1857" customFormat="1" ht="11.25" customHeight="1">
      <c r="B524" s="1857" t="s">
        <v>1079</v>
      </c>
      <c r="G524" s="1872">
        <f>'Part IV-A-Uses of Funds'!G21</f>
        <v>0</v>
      </c>
      <c r="H524" s="1872"/>
      <c r="J524" s="1890"/>
      <c r="K524" s="2003"/>
      <c r="L524" s="1890"/>
      <c r="M524" s="1890"/>
      <c r="N524" s="2003"/>
      <c r="P524" s="1890"/>
      <c r="Q524" s="2003"/>
      <c r="S524" s="1872">
        <f>'Part IV-A-Uses of Funds'!S21</f>
        <v>0</v>
      </c>
      <c r="T524" s="1872"/>
      <c r="V524" s="2005"/>
      <c r="W524" s="2006"/>
      <c r="X524" s="2006"/>
      <c r="AZ524" s="1938"/>
      <c r="BA524" s="1858">
        <v>21</v>
      </c>
    </row>
    <row r="525" spans="1:53" s="1857" customFormat="1" ht="11.25" customHeight="1">
      <c r="B525" s="1857" t="s">
        <v>438</v>
      </c>
      <c r="G525" s="1872">
        <f>'Part IV-A-Uses of Funds'!G22</f>
        <v>0</v>
      </c>
      <c r="H525" s="1872"/>
      <c r="J525" s="1890"/>
      <c r="K525" s="2003"/>
      <c r="L525" s="1890"/>
      <c r="M525" s="1872">
        <f>'Part IV-A-Uses of Funds'!M22</f>
        <v>0</v>
      </c>
      <c r="N525" s="1872"/>
      <c r="P525" s="1890"/>
      <c r="Q525" s="2003"/>
      <c r="S525" s="1872">
        <f>'Part IV-A-Uses of Funds'!S22</f>
        <v>0</v>
      </c>
      <c r="T525" s="1872"/>
      <c r="V525" s="2005"/>
      <c r="W525" s="2006"/>
      <c r="X525" s="2006"/>
      <c r="AZ525" s="1938"/>
      <c r="BA525" s="1858">
        <v>22</v>
      </c>
    </row>
    <row r="526" spans="1:53" s="1857" customFormat="1" ht="11.25" customHeight="1">
      <c r="B526" s="1857" t="s">
        <v>411</v>
      </c>
      <c r="G526" s="1872">
        <f>'Part IV-A-Uses of Funds'!G23</f>
        <v>0</v>
      </c>
      <c r="H526" s="1872"/>
      <c r="J526" s="1890"/>
      <c r="K526" s="2003"/>
      <c r="L526" s="1890"/>
      <c r="M526" s="1872">
        <f>'Part IV-A-Uses of Funds'!M23</f>
        <v>0</v>
      </c>
      <c r="N526" s="1872"/>
      <c r="P526" s="1890"/>
      <c r="Q526" s="2003"/>
      <c r="S526" s="1872">
        <f>'Part IV-A-Uses of Funds'!S23</f>
        <v>0</v>
      </c>
      <c r="T526" s="1872"/>
      <c r="V526" s="2005"/>
      <c r="W526" s="2006"/>
      <c r="X526" s="2006"/>
      <c r="AZ526" s="1938"/>
      <c r="BA526" s="1858">
        <v>23</v>
      </c>
    </row>
    <row r="527" spans="1:53" s="1857" customFormat="1" ht="12.6" customHeight="1">
      <c r="F527" s="2008" t="s">
        <v>183</v>
      </c>
      <c r="G527" s="2003">
        <f>SUM(G523:G526)</f>
        <v>0</v>
      </c>
      <c r="H527" s="2003"/>
      <c r="J527" s="1890"/>
      <c r="K527" s="2003"/>
      <c r="L527" s="1890"/>
      <c r="M527" s="2003">
        <f>SUM(M525:M526)</f>
        <v>0</v>
      </c>
      <c r="N527" s="2003"/>
      <c r="P527" s="1890"/>
      <c r="Q527" s="2003"/>
      <c r="S527" s="2003">
        <f>SUM(S523:S526)</f>
        <v>0</v>
      </c>
      <c r="T527" s="2003"/>
      <c r="V527" s="2005">
        <f>SUM(V523:V526)</f>
        <v>0</v>
      </c>
      <c r="W527" s="2006"/>
      <c r="X527" s="2006"/>
      <c r="AZ527" s="1938" t="s">
        <v>6681</v>
      </c>
      <c r="BA527" s="1858">
        <v>24</v>
      </c>
    </row>
    <row r="528" spans="1:53" s="1857" customFormat="1" ht="12" customHeight="1">
      <c r="B528" s="1857" t="s">
        <v>1080</v>
      </c>
      <c r="J528" s="1890"/>
      <c r="K528" s="2003"/>
      <c r="M528" s="1890"/>
      <c r="N528" s="2003"/>
      <c r="O528" s="1890" t="str">
        <f>B528</f>
        <v>LAND IMPROVEMENTS</v>
      </c>
      <c r="P528" s="1890"/>
      <c r="Q528" s="2003"/>
      <c r="S528" s="1890"/>
      <c r="T528" s="2003"/>
      <c r="V528" s="2009"/>
      <c r="W528" s="1857" t="str">
        <f>B528</f>
        <v>LAND IMPROVEMENTS</v>
      </c>
      <c r="AZ528" s="1938"/>
      <c r="BA528" s="1858">
        <v>25</v>
      </c>
    </row>
    <row r="529" spans="2:53" s="1857" customFormat="1" ht="11.25" customHeight="1">
      <c r="B529" s="1857" t="s">
        <v>1081</v>
      </c>
      <c r="E529" s="2010" t="s">
        <v>3352</v>
      </c>
      <c r="F529" s="2011">
        <f>IF('Part I-Project Information'!$O$38="","",G529/'Part I-Project Information'!$O$38)</f>
        <v>273435.18886679917</v>
      </c>
      <c r="G529" s="1872">
        <f>'Part IV-A-Uses of Funds'!G26</f>
        <v>1375379</v>
      </c>
      <c r="H529" s="1872"/>
      <c r="J529" s="1872">
        <f>'Part IV-A-Uses of Funds'!J26</f>
        <v>1169072.1499999999</v>
      </c>
      <c r="K529" s="1872"/>
      <c r="L529" s="1890"/>
      <c r="M529" s="1872">
        <f>'Part IV-A-Uses of Funds'!M26</f>
        <v>0</v>
      </c>
      <c r="N529" s="1872"/>
      <c r="P529" s="1872">
        <f>'Part IV-A-Uses of Funds'!P26</f>
        <v>0</v>
      </c>
      <c r="Q529" s="1872"/>
      <c r="S529" s="1872">
        <f>'Part IV-A-Uses of Funds'!S26</f>
        <v>206306.85</v>
      </c>
      <c r="T529" s="1872"/>
      <c r="V529" s="2005"/>
      <c r="W529" s="2006"/>
      <c r="X529" s="2006"/>
      <c r="AZ529" s="1938"/>
      <c r="BA529" s="1869">
        <v>26</v>
      </c>
    </row>
    <row r="530" spans="2:53" s="1857" customFormat="1" ht="11.25" customHeight="1">
      <c r="B530" s="1857" t="s">
        <v>1082</v>
      </c>
      <c r="G530" s="1872">
        <f>'Part IV-A-Uses of Funds'!G27</f>
        <v>0</v>
      </c>
      <c r="H530" s="1872"/>
      <c r="J530" s="1872">
        <f>'Part IV-A-Uses of Funds'!J27</f>
        <v>0</v>
      </c>
      <c r="K530" s="1872"/>
      <c r="L530" s="2012"/>
      <c r="M530" s="2003"/>
      <c r="N530" s="2003"/>
      <c r="P530" s="2003"/>
      <c r="Q530" s="2003"/>
      <c r="S530" s="1872">
        <f>'Part IV-A-Uses of Funds'!S27</f>
        <v>0</v>
      </c>
      <c r="T530" s="1872"/>
      <c r="V530" s="2005"/>
      <c r="W530" s="2006"/>
      <c r="X530" s="2006"/>
      <c r="AZ530" s="1938"/>
      <c r="BA530" s="1858">
        <v>27</v>
      </c>
    </row>
    <row r="531" spans="2:53" s="1857" customFormat="1" ht="12.6" customHeight="1">
      <c r="F531" s="2008" t="s">
        <v>183</v>
      </c>
      <c r="G531" s="2003">
        <f>SUM(G529:G530)</f>
        <v>1375379</v>
      </c>
      <c r="H531" s="2003"/>
      <c r="J531" s="2003">
        <f>SUM(J529:J530)</f>
        <v>1169072.1499999999</v>
      </c>
      <c r="K531" s="2003"/>
      <c r="L531" s="1890"/>
      <c r="M531" s="2003">
        <f>M529</f>
        <v>0</v>
      </c>
      <c r="N531" s="2003"/>
      <c r="P531" s="2003">
        <f>P529</f>
        <v>0</v>
      </c>
      <c r="Q531" s="2003"/>
      <c r="S531" s="2003">
        <f>SUM(S529:S530)</f>
        <v>206306.85</v>
      </c>
      <c r="T531" s="2003"/>
      <c r="V531" s="2005">
        <f>SUM(V529:V530)</f>
        <v>0</v>
      </c>
      <c r="W531" s="2006"/>
      <c r="X531" s="2006"/>
      <c r="AZ531" s="1938" t="s">
        <v>6682</v>
      </c>
      <c r="BA531" s="1858">
        <v>28</v>
      </c>
    </row>
    <row r="532" spans="2:53" s="1857" customFormat="1" ht="12" customHeight="1">
      <c r="B532" s="1857" t="s">
        <v>1083</v>
      </c>
      <c r="J532" s="1890"/>
      <c r="K532" s="2003"/>
      <c r="M532" s="1890"/>
      <c r="N532" s="2003"/>
      <c r="O532" s="1890" t="str">
        <f>B532</f>
        <v>STRUCTURES</v>
      </c>
      <c r="P532" s="1890"/>
      <c r="Q532" s="2003"/>
      <c r="S532" s="1890"/>
      <c r="T532" s="2003"/>
      <c r="V532" s="2009"/>
      <c r="W532" s="1857" t="str">
        <f>B532</f>
        <v>STRUCTURES</v>
      </c>
      <c r="AZ532" s="1938"/>
      <c r="BA532" s="1858">
        <v>29</v>
      </c>
    </row>
    <row r="533" spans="2:53" s="1857" customFormat="1" ht="11.25" customHeight="1">
      <c r="B533" s="1857" t="s">
        <v>1084</v>
      </c>
      <c r="G533" s="1872">
        <f>'Part IV-A-Uses of Funds'!G30</f>
        <v>7903123</v>
      </c>
      <c r="H533" s="1872"/>
      <c r="J533" s="1872">
        <f>'Part IV-A-Uses of Funds'!J30</f>
        <v>7903123</v>
      </c>
      <c r="K533" s="1872"/>
      <c r="L533" s="1890"/>
      <c r="M533" s="1872">
        <f>'Part IV-A-Uses of Funds'!M30</f>
        <v>0</v>
      </c>
      <c r="N533" s="1872"/>
      <c r="P533" s="1872">
        <f>'Part IV-A-Uses of Funds'!P30</f>
        <v>0</v>
      </c>
      <c r="Q533" s="1872"/>
      <c r="S533" s="1872">
        <f>'Part IV-A-Uses of Funds'!S30</f>
        <v>0</v>
      </c>
      <c r="T533" s="1872"/>
      <c r="V533" s="2005"/>
      <c r="W533" s="2006"/>
      <c r="X533" s="2006"/>
      <c r="AZ533" s="1938"/>
      <c r="BA533" s="1858">
        <v>30</v>
      </c>
    </row>
    <row r="534" spans="2:53" s="1857" customFormat="1" ht="11.25" customHeight="1">
      <c r="B534" s="1857" t="s">
        <v>1085</v>
      </c>
      <c r="G534" s="1872">
        <f>'Part IV-A-Uses of Funds'!G31</f>
        <v>0</v>
      </c>
      <c r="H534" s="1872"/>
      <c r="J534" s="1872">
        <f>'Part IV-A-Uses of Funds'!J31</f>
        <v>0</v>
      </c>
      <c r="K534" s="1872"/>
      <c r="L534" s="1890"/>
      <c r="M534" s="1872">
        <f>'Part IV-A-Uses of Funds'!M31</f>
        <v>0</v>
      </c>
      <c r="N534" s="1872"/>
      <c r="P534" s="1872">
        <f>'Part IV-A-Uses of Funds'!P31</f>
        <v>0</v>
      </c>
      <c r="Q534" s="1872"/>
      <c r="S534" s="1872">
        <f>'Part IV-A-Uses of Funds'!S31</f>
        <v>0</v>
      </c>
      <c r="T534" s="1872"/>
      <c r="V534" s="2005"/>
      <c r="W534" s="2006"/>
      <c r="X534" s="2006"/>
      <c r="AZ534" s="1938"/>
      <c r="BA534" s="1858">
        <v>31</v>
      </c>
    </row>
    <row r="535" spans="2:53" s="1857" customFormat="1" ht="11.25" customHeight="1">
      <c r="B535" s="1857" t="s">
        <v>6299</v>
      </c>
      <c r="G535" s="1872">
        <f>'Part IV-A-Uses of Funds'!G32</f>
        <v>0</v>
      </c>
      <c r="H535" s="1872"/>
      <c r="J535" s="1872">
        <f>'Part IV-A-Uses of Funds'!J32</f>
        <v>0</v>
      </c>
      <c r="K535" s="1872"/>
      <c r="L535" s="1890"/>
      <c r="M535" s="1872">
        <f>'Part IV-A-Uses of Funds'!M32</f>
        <v>0</v>
      </c>
      <c r="N535" s="1872"/>
      <c r="P535" s="1872">
        <f>'Part IV-A-Uses of Funds'!P32</f>
        <v>0</v>
      </c>
      <c r="Q535" s="1872"/>
      <c r="S535" s="1872">
        <f>'Part IV-A-Uses of Funds'!S32</f>
        <v>0</v>
      </c>
      <c r="T535" s="1872"/>
      <c r="V535" s="2005"/>
      <c r="W535" s="2006"/>
      <c r="X535" s="2006"/>
      <c r="AZ535" s="1938"/>
      <c r="BA535" s="1858">
        <v>32</v>
      </c>
    </row>
    <row r="536" spans="2:53" s="1857" customFormat="1" ht="11.25" customHeight="1">
      <c r="B536" s="1857" t="s">
        <v>6297</v>
      </c>
      <c r="G536" s="1872">
        <f>'Part IV-A-Uses of Funds'!G33</f>
        <v>0</v>
      </c>
      <c r="H536" s="1872"/>
      <c r="J536" s="1872">
        <f>'Part IV-A-Uses of Funds'!J33</f>
        <v>0</v>
      </c>
      <c r="K536" s="1872"/>
      <c r="L536" s="1890"/>
      <c r="M536" s="1872">
        <f>'Part IV-A-Uses of Funds'!M33</f>
        <v>0</v>
      </c>
      <c r="N536" s="1872"/>
      <c r="P536" s="1872">
        <f>'Part IV-A-Uses of Funds'!P33</f>
        <v>0</v>
      </c>
      <c r="Q536" s="1872"/>
      <c r="S536" s="1872">
        <f>'Part IV-A-Uses of Funds'!S33</f>
        <v>0</v>
      </c>
      <c r="T536" s="1872"/>
      <c r="V536" s="2005"/>
      <c r="W536" s="2006"/>
      <c r="X536" s="2006"/>
      <c r="AZ536" s="1938"/>
      <c r="BA536" s="1858">
        <v>33</v>
      </c>
    </row>
    <row r="537" spans="2:53" s="1866" customFormat="1" ht="11.25" customHeight="1">
      <c r="B537" s="1857" t="s">
        <v>2603</v>
      </c>
      <c r="G537" s="1872">
        <f>'Part IV-A-Uses of Funds'!G34</f>
        <v>0</v>
      </c>
      <c r="H537" s="1872"/>
      <c r="I537" s="1857"/>
      <c r="J537" s="1872">
        <f>'Part IV-A-Uses of Funds'!J34</f>
        <v>0</v>
      </c>
      <c r="K537" s="1872"/>
      <c r="L537" s="1890"/>
      <c r="M537" s="1872">
        <f>'Part IV-A-Uses of Funds'!M34</f>
        <v>0</v>
      </c>
      <c r="N537" s="1872"/>
      <c r="O537" s="1857"/>
      <c r="P537" s="1872">
        <f>'Part IV-A-Uses of Funds'!P34</f>
        <v>0</v>
      </c>
      <c r="Q537" s="1872"/>
      <c r="R537" s="1857"/>
      <c r="S537" s="1872">
        <f>'Part IV-A-Uses of Funds'!S34</f>
        <v>0</v>
      </c>
      <c r="T537" s="1872"/>
      <c r="V537" s="2005"/>
      <c r="W537" s="2006"/>
      <c r="X537" s="2006"/>
      <c r="AZ537" s="1875"/>
      <c r="BA537" s="1858">
        <v>34</v>
      </c>
    </row>
    <row r="538" spans="2:53" s="1866" customFormat="1" ht="11.25" customHeight="1">
      <c r="B538" s="1857" t="s">
        <v>6298</v>
      </c>
      <c r="G538" s="1872">
        <f>'Part IV-A-Uses of Funds'!G35</f>
        <v>0</v>
      </c>
      <c r="H538" s="1872"/>
      <c r="I538" s="1857"/>
      <c r="J538" s="1872">
        <f>'Part IV-A-Uses of Funds'!J35</f>
        <v>0</v>
      </c>
      <c r="K538" s="1872"/>
      <c r="L538" s="1890"/>
      <c r="M538" s="1872">
        <f>'Part IV-A-Uses of Funds'!M35</f>
        <v>0</v>
      </c>
      <c r="N538" s="1872"/>
      <c r="O538" s="1857"/>
      <c r="P538" s="1872">
        <f>'Part IV-A-Uses of Funds'!P35</f>
        <v>0</v>
      </c>
      <c r="Q538" s="1872"/>
      <c r="R538" s="1857"/>
      <c r="S538" s="1872">
        <f>'Part IV-A-Uses of Funds'!S35</f>
        <v>0</v>
      </c>
      <c r="T538" s="1872"/>
      <c r="V538" s="2005"/>
      <c r="W538" s="2006"/>
      <c r="X538" s="2006"/>
      <c r="AZ538" s="1875"/>
      <c r="BA538" s="1869">
        <v>35</v>
      </c>
    </row>
    <row r="539" spans="2:53" s="1857" customFormat="1" ht="12.6" customHeight="1">
      <c r="C539" s="2013"/>
      <c r="D539" s="2013"/>
      <c r="E539" s="2014"/>
      <c r="F539" s="2008" t="s">
        <v>183</v>
      </c>
      <c r="G539" s="2003">
        <f>SUM(G533:G538)</f>
        <v>7903123</v>
      </c>
      <c r="H539" s="2003"/>
      <c r="J539" s="2003">
        <f>SUM(J533:J538)</f>
        <v>7903123</v>
      </c>
      <c r="K539" s="2003"/>
      <c r="L539" s="1890"/>
      <c r="M539" s="2003">
        <f>SUM(M533:M538)</f>
        <v>0</v>
      </c>
      <c r="N539" s="2003"/>
      <c r="P539" s="2003">
        <f>SUM(P533:P538)</f>
        <v>0</v>
      </c>
      <c r="Q539" s="2003"/>
      <c r="S539" s="2003">
        <f>SUM(S533:S538)</f>
        <v>0</v>
      </c>
      <c r="T539" s="2003"/>
      <c r="V539" s="2005">
        <f>SUM(V533:V538)</f>
        <v>0</v>
      </c>
      <c r="W539" s="2006"/>
      <c r="X539" s="2006"/>
      <c r="AZ539" s="1938" t="s">
        <v>6683</v>
      </c>
      <c r="BA539" s="1858">
        <v>36</v>
      </c>
    </row>
    <row r="540" spans="2:53" s="1857" customFormat="1" ht="12" customHeight="1">
      <c r="B540" s="1857" t="s">
        <v>2238</v>
      </c>
      <c r="D540" s="1876" t="s">
        <v>3356</v>
      </c>
      <c r="E540" s="1876"/>
      <c r="F540" s="2015">
        <f>SUM(F541:F543)</f>
        <v>0</v>
      </c>
      <c r="G540" s="1865" t="str">
        <f>IF(G541&gt;E541,"Proposed Builder Profit exceeds DCA Maximum!!!",IF(G542&gt;E542,"Proposed Builder Overhead exceeds DCA Maximum!!!",IF(G543&gt;E543,"Proposed General Requirements exceeds DCA Maximum!!!",IF(G544&gt;E544,"Proposed Contractor Services amount exceeds DCA Maximum!!!",""))))</f>
        <v/>
      </c>
      <c r="H540" s="1866"/>
      <c r="I540" s="1866"/>
      <c r="J540" s="1890"/>
      <c r="K540" s="2003"/>
      <c r="M540" s="1890"/>
      <c r="N540" s="2003"/>
      <c r="O540" s="1890" t="str">
        <f>B540</f>
        <v>CONTRACTOR SERVICES</v>
      </c>
      <c r="P540" s="1890"/>
      <c r="Q540" s="2003"/>
      <c r="S540" s="1890"/>
      <c r="T540" s="2003"/>
      <c r="V540" s="2009"/>
      <c r="W540" s="1857" t="str">
        <f>B540</f>
        <v>CONTRACTOR SERVICES</v>
      </c>
      <c r="AZ540" s="1938"/>
      <c r="BA540" s="1858">
        <v>37</v>
      </c>
    </row>
    <row r="541" spans="2:53" s="1857" customFormat="1" ht="11.25" customHeight="1">
      <c r="B541" s="1857" t="s">
        <v>2239</v>
      </c>
      <c r="D541" s="2016">
        <f>'DCA Underwriting Assumptions'!$R$78</f>
        <v>0.06</v>
      </c>
      <c r="E541" s="2017">
        <f>D541*(G531+G539)</f>
        <v>556710.12</v>
      </c>
      <c r="F541" s="2016">
        <f>IF(($G$28+$G$36)=0,0,G541/($G$28+$G$36))</f>
        <v>0</v>
      </c>
      <c r="G541" s="1872">
        <f>'Part IV-A-Uses of Funds'!G38</f>
        <v>556710.12</v>
      </c>
      <c r="H541" s="1872"/>
      <c r="I541" s="1866"/>
      <c r="J541" s="1872">
        <f>'Part IV-A-Uses of Funds'!J38</f>
        <v>556710.12</v>
      </c>
      <c r="K541" s="1872"/>
      <c r="L541" s="1890"/>
      <c r="M541" s="1872">
        <f>'Part IV-A-Uses of Funds'!M38</f>
        <v>0</v>
      </c>
      <c r="N541" s="1872"/>
      <c r="P541" s="1872">
        <f>'Part IV-A-Uses of Funds'!P38</f>
        <v>0</v>
      </c>
      <c r="Q541" s="1872"/>
      <c r="S541" s="1872">
        <f>'Part IV-A-Uses of Funds'!S38</f>
        <v>0</v>
      </c>
      <c r="T541" s="1872"/>
      <c r="V541" s="2005"/>
      <c r="W541" s="2006"/>
      <c r="X541" s="2006"/>
      <c r="AZ541" s="1938"/>
      <c r="BA541" s="1869">
        <v>38</v>
      </c>
    </row>
    <row r="542" spans="2:53" s="1857" customFormat="1" ht="11.25" customHeight="1">
      <c r="B542" s="1857" t="s">
        <v>2573</v>
      </c>
      <c r="D542" s="2016">
        <f>'DCA Underwriting Assumptions'!$R$79</f>
        <v>0.02</v>
      </c>
      <c r="E542" s="2017">
        <f>D542*(G531+G539)</f>
        <v>185570.04</v>
      </c>
      <c r="F542" s="2016">
        <f>IF(($G$28+$G$36)=0,0,G542/($G$28+$G$36))</f>
        <v>0</v>
      </c>
      <c r="G542" s="1872">
        <f>'Part IV-A-Uses of Funds'!G39</f>
        <v>185570.04</v>
      </c>
      <c r="H542" s="1872"/>
      <c r="I542" s="1866"/>
      <c r="J542" s="1872">
        <f>'Part IV-A-Uses of Funds'!J39</f>
        <v>185570.04</v>
      </c>
      <c r="K542" s="1872"/>
      <c r="L542" s="1890"/>
      <c r="M542" s="1872">
        <f>'Part IV-A-Uses of Funds'!M39</f>
        <v>0</v>
      </c>
      <c r="N542" s="1872"/>
      <c r="P542" s="1872">
        <f>'Part IV-A-Uses of Funds'!P39</f>
        <v>0</v>
      </c>
      <c r="Q542" s="1872"/>
      <c r="S542" s="1872">
        <f>'Part IV-A-Uses of Funds'!S39</f>
        <v>0</v>
      </c>
      <c r="T542" s="1872"/>
      <c r="V542" s="2005"/>
      <c r="W542" s="2006"/>
      <c r="X542" s="2006"/>
      <c r="AZ542" s="1938"/>
      <c r="BA542" s="1858">
        <v>39</v>
      </c>
    </row>
    <row r="543" spans="2:53" s="1857" customFormat="1" ht="11.25" customHeight="1">
      <c r="B543" s="1857" t="s">
        <v>2574</v>
      </c>
      <c r="D543" s="2016">
        <f>'DCA Underwriting Assumptions'!$R$80</f>
        <v>0.06</v>
      </c>
      <c r="E543" s="2017">
        <f>D543*(G531+G539)</f>
        <v>556710.12</v>
      </c>
      <c r="F543" s="2016">
        <f>IF(($G$28+$G$36)=0,0,G543/($G$28+$G$36))</f>
        <v>0</v>
      </c>
      <c r="G543" s="1872">
        <f>'Part IV-A-Uses of Funds'!G40</f>
        <v>556710.12</v>
      </c>
      <c r="H543" s="1872"/>
      <c r="I543" s="1866"/>
      <c r="J543" s="1872">
        <f>'Part IV-A-Uses of Funds'!J40</f>
        <v>556710.12</v>
      </c>
      <c r="K543" s="1872"/>
      <c r="L543" s="1890"/>
      <c r="M543" s="1872">
        <f>'Part IV-A-Uses of Funds'!M40</f>
        <v>0</v>
      </c>
      <c r="N543" s="1872"/>
      <c r="P543" s="1872">
        <f>'Part IV-A-Uses of Funds'!P40</f>
        <v>0</v>
      </c>
      <c r="Q543" s="1872"/>
      <c r="S543" s="1872">
        <f>'Part IV-A-Uses of Funds'!S40</f>
        <v>0</v>
      </c>
      <c r="T543" s="1872"/>
      <c r="V543" s="2005"/>
      <c r="W543" s="2006"/>
      <c r="X543" s="2006"/>
      <c r="AZ543" s="1938"/>
      <c r="BA543" s="1858">
        <v>40</v>
      </c>
    </row>
    <row r="544" spans="2:53" s="1857" customFormat="1" ht="12.6" customHeight="1">
      <c r="B544" s="1865" t="s">
        <v>3357</v>
      </c>
      <c r="D544" s="2015">
        <f>SUM(D541:D543)</f>
        <v>0.14000000000000001</v>
      </c>
      <c r="E544" s="2018">
        <f>SUM(E541:E543)</f>
        <v>1298990.28</v>
      </c>
      <c r="F544" s="2008" t="s">
        <v>183</v>
      </c>
      <c r="G544" s="2003">
        <f>SUM(G541:G543)</f>
        <v>1298990.28</v>
      </c>
      <c r="H544" s="2003"/>
      <c r="J544" s="2003">
        <f>SUM(J541:J543)</f>
        <v>1298990.28</v>
      </c>
      <c r="K544" s="2003"/>
      <c r="L544" s="1890"/>
      <c r="M544" s="2003">
        <f>SUM(M541:M543)</f>
        <v>0</v>
      </c>
      <c r="N544" s="2003"/>
      <c r="P544" s="2003">
        <f>SUM(P541:P543)</f>
        <v>0</v>
      </c>
      <c r="Q544" s="2003"/>
      <c r="S544" s="2003">
        <f>SUM(S541:S543)</f>
        <v>0</v>
      </c>
      <c r="T544" s="2003"/>
      <c r="V544" s="2005">
        <f>SUM(V541:V543)</f>
        <v>0</v>
      </c>
      <c r="W544" s="2006"/>
      <c r="X544" s="2006"/>
      <c r="AZ544" s="1938" t="s">
        <v>6684</v>
      </c>
      <c r="BA544" s="1858">
        <v>41</v>
      </c>
    </row>
    <row r="545" spans="1:53" s="1857" customFormat="1" ht="3" customHeight="1">
      <c r="A545" s="1858"/>
      <c r="B545" s="1858"/>
      <c r="C545" s="1858"/>
      <c r="D545" s="1858"/>
      <c r="E545" s="1858"/>
      <c r="F545" s="1858"/>
      <c r="G545" s="1858"/>
      <c r="H545" s="1858"/>
      <c r="I545" s="1858"/>
      <c r="J545" s="1858"/>
      <c r="K545" s="1858"/>
      <c r="L545" s="1858"/>
      <c r="M545" s="1858"/>
      <c r="N545" s="1858"/>
      <c r="O545" s="1858"/>
      <c r="P545" s="1858"/>
      <c r="Q545" s="1858"/>
      <c r="R545" s="1858"/>
      <c r="S545" s="1858"/>
      <c r="T545" s="1858"/>
      <c r="V545" s="2009"/>
      <c r="AZ545" s="1938"/>
      <c r="BA545" s="1858">
        <v>42</v>
      </c>
    </row>
    <row r="546" spans="1:53" s="1857" customFormat="1">
      <c r="A546" s="1858"/>
      <c r="C546" s="2019" t="s">
        <v>6817</v>
      </c>
      <c r="E546" s="1858"/>
      <c r="F546" s="1858"/>
      <c r="G546" s="2020">
        <f>G531+G539+G544</f>
        <v>10577492.279999999</v>
      </c>
      <c r="H546" s="2020"/>
      <c r="I546" s="1858"/>
      <c r="J546" s="1858"/>
      <c r="K546" s="1858"/>
      <c r="L546" s="1858"/>
      <c r="M546" s="1858"/>
      <c r="N546" s="1858"/>
      <c r="O546" s="1858"/>
      <c r="P546" s="1858"/>
      <c r="Q546" s="1858"/>
      <c r="R546" s="1858"/>
      <c r="S546" s="1858"/>
      <c r="T546" s="1858"/>
      <c r="V546" s="2009"/>
      <c r="AZ546" s="1938"/>
      <c r="BA546" s="1858">
        <v>43</v>
      </c>
    </row>
    <row r="547" spans="1:53" s="1938" customFormat="1" ht="3" customHeight="1">
      <c r="AZ547" s="1875" t="s">
        <v>6685</v>
      </c>
      <c r="BA547" s="1858">
        <v>44</v>
      </c>
    </row>
    <row r="548" spans="1:53" s="1857" customFormat="1" ht="12" customHeight="1">
      <c r="B548" s="1857" t="s">
        <v>7127</v>
      </c>
      <c r="J548" s="1890"/>
      <c r="K548" s="2003"/>
      <c r="M548" s="1890"/>
      <c r="N548" s="2003"/>
      <c r="O548" s="1890" t="str">
        <f>B548</f>
        <v>OTHER CONSTRUCTION HARD COSTS (Non-GC work scope items done by Owner)</v>
      </c>
      <c r="P548" s="1890"/>
      <c r="Q548" s="2003"/>
      <c r="S548" s="1890"/>
      <c r="T548" s="2003"/>
      <c r="V548" s="2009"/>
      <c r="W548" s="1857" t="str">
        <f>B548</f>
        <v>OTHER CONSTRUCTION HARD COSTS (Non-GC work scope items done by Owner)</v>
      </c>
      <c r="AZ548" s="1938"/>
      <c r="BA548" s="1858">
        <v>45</v>
      </c>
    </row>
    <row r="549" spans="1:53" s="1866" customFormat="1" ht="11.25" customHeight="1">
      <c r="B549" s="1865" t="s">
        <v>6579</v>
      </c>
      <c r="C549" s="1870" t="str">
        <f>'Part IV-A-Uses of Funds'!C46</f>
        <v>&lt;&lt; Enter description here; provide detail &amp; justification in tab Part IV-b &gt;&gt;</v>
      </c>
      <c r="D549" s="1870"/>
      <c r="E549" s="1870"/>
      <c r="F549" s="1870"/>
      <c r="G549" s="1872">
        <f>'Part IV-A-Uses of Funds'!G46</f>
        <v>0</v>
      </c>
      <c r="H549" s="1872"/>
      <c r="I549" s="1857"/>
      <c r="J549" s="1872">
        <f>'Part IV-A-Uses of Funds'!J46</f>
        <v>0</v>
      </c>
      <c r="K549" s="1872"/>
      <c r="L549" s="1890"/>
      <c r="M549" s="1872">
        <f>'Part IV-A-Uses of Funds'!M46</f>
        <v>0</v>
      </c>
      <c r="N549" s="1872"/>
      <c r="O549" s="1857"/>
      <c r="P549" s="1872">
        <f>'Part IV-A-Uses of Funds'!P46</f>
        <v>0</v>
      </c>
      <c r="Q549" s="1872"/>
      <c r="R549" s="1857"/>
      <c r="S549" s="1872">
        <f>'Part IV-A-Uses of Funds'!S46</f>
        <v>0</v>
      </c>
      <c r="T549" s="1872"/>
      <c r="V549" s="2005"/>
      <c r="W549" s="2006"/>
      <c r="X549" s="2006"/>
      <c r="AZ549" s="1938"/>
      <c r="BA549" s="1858">
        <v>46</v>
      </c>
    </row>
    <row r="550" spans="1:53" s="1857" customFormat="1" ht="6" customHeight="1">
      <c r="A550" s="1858"/>
      <c r="B550" s="1858"/>
      <c r="C550" s="1858"/>
      <c r="D550" s="1858"/>
      <c r="E550" s="1858"/>
      <c r="F550" s="1858"/>
      <c r="G550" s="1858"/>
      <c r="H550" s="1858"/>
      <c r="I550" s="1858"/>
      <c r="J550" s="1858"/>
      <c r="K550" s="1858"/>
      <c r="L550" s="1858"/>
      <c r="M550" s="1858"/>
      <c r="N550" s="1858"/>
      <c r="O550" s="1858"/>
      <c r="P550" s="1858"/>
      <c r="Q550" s="1858"/>
      <c r="R550" s="1858"/>
      <c r="S550" s="1858"/>
      <c r="T550" s="1858"/>
      <c r="V550" s="2009"/>
      <c r="W550" s="2006"/>
      <c r="X550" s="2006"/>
      <c r="AZ550" s="1938" t="s">
        <v>6686</v>
      </c>
      <c r="BA550" s="1869">
        <v>47</v>
      </c>
    </row>
    <row r="551" spans="1:53" s="1857" customFormat="1" ht="12.6" customHeight="1">
      <c r="B551" s="2021" t="s">
        <v>7128</v>
      </c>
      <c r="C551" s="2022"/>
      <c r="E551" s="1857" t="s">
        <v>2578</v>
      </c>
      <c r="F551" s="2023">
        <f>C552/'Part VI-Revenues &amp; Expenses'!$P$65</f>
        <v>146909.61499999999</v>
      </c>
      <c r="G551" s="2024" t="s">
        <v>7129</v>
      </c>
      <c r="J551" s="2025">
        <f>C552/'Part VI-Revenues &amp; Expenses'!$P$67</f>
        <v>146909.61499999999</v>
      </c>
      <c r="K551" s="2025"/>
      <c r="M551" s="2026" t="s">
        <v>6797</v>
      </c>
      <c r="N551" s="2026"/>
      <c r="P551" s="2025">
        <f>C552/'Part I-Project Information'!$P$70</f>
        <v>153.92159895227007</v>
      </c>
      <c r="Q551" s="2025"/>
      <c r="S551" s="1897" t="s">
        <v>6799</v>
      </c>
      <c r="T551" s="1897"/>
      <c r="V551" s="2009"/>
      <c r="W551" s="2006"/>
      <c r="X551" s="2006"/>
      <c r="AZ551" s="1938"/>
      <c r="BA551" s="1858">
        <v>48</v>
      </c>
    </row>
    <row r="552" spans="1:53" s="1857" customFormat="1" ht="12.6" customHeight="1">
      <c r="B552" s="2027" t="s">
        <v>6816</v>
      </c>
      <c r="C552" s="2028">
        <f>G531+G539+G544+G549</f>
        <v>10577492.279999999</v>
      </c>
      <c r="F552" s="2023">
        <f>C552/'Part VI-Revenues &amp; Expenses'!$P$166</f>
        <v>159.87745284159612</v>
      </c>
      <c r="G552" s="1897" t="s">
        <v>7130</v>
      </c>
      <c r="J552" s="2025">
        <f>C552/'Part VI-Revenues &amp; Expenses'!$P$168</f>
        <v>159.87745284159612</v>
      </c>
      <c r="K552" s="2025"/>
      <c r="M552" s="1897" t="s">
        <v>6798</v>
      </c>
      <c r="N552" s="1897"/>
      <c r="V552" s="2009"/>
      <c r="W552" s="2006"/>
      <c r="X552" s="2006"/>
      <c r="AZ552" s="1938"/>
      <c r="BA552" s="1858">
        <v>49</v>
      </c>
    </row>
    <row r="553" spans="1:53" s="1857" customFormat="1" ht="3" customHeight="1">
      <c r="A553" s="1858"/>
      <c r="B553" s="1858"/>
      <c r="C553" s="1858"/>
      <c r="D553" s="1858"/>
      <c r="E553" s="1858"/>
      <c r="F553" s="1858"/>
      <c r="G553" s="1858"/>
      <c r="H553" s="1858"/>
      <c r="I553" s="1858"/>
      <c r="J553" s="1858"/>
      <c r="K553" s="1858"/>
      <c r="L553" s="1858"/>
      <c r="M553" s="1858"/>
      <c r="N553" s="1858"/>
      <c r="O553" s="1858"/>
      <c r="P553" s="1858"/>
      <c r="Q553" s="1858"/>
      <c r="R553" s="1858"/>
      <c r="S553" s="1858"/>
      <c r="T553" s="1858"/>
      <c r="V553" s="2009"/>
      <c r="AZ553" s="1938"/>
      <c r="BA553" s="1869">
        <v>56</v>
      </c>
    </row>
    <row r="554" spans="1:53" s="1857" customFormat="1" ht="18.75" customHeight="1">
      <c r="A554" s="2001" t="s">
        <v>586</v>
      </c>
      <c r="B554" s="2001" t="s">
        <v>7131</v>
      </c>
      <c r="J554" s="1857" t="s">
        <v>260</v>
      </c>
      <c r="L554" s="2003"/>
      <c r="M554" s="2003" t="s">
        <v>468</v>
      </c>
      <c r="N554" s="2003"/>
      <c r="P554" s="1857" t="s">
        <v>261</v>
      </c>
      <c r="S554" s="1857" t="s">
        <v>262</v>
      </c>
      <c r="V554" s="2009"/>
      <c r="W554" s="2004" t="str">
        <f>B554</f>
        <v>DEVELOPMENT BUDGET (cont'd)</v>
      </c>
      <c r="AZ554" s="1938"/>
      <c r="BA554" s="1858">
        <v>58</v>
      </c>
    </row>
    <row r="555" spans="1:53" s="1857" customFormat="1" ht="18.75" customHeight="1">
      <c r="G555" s="1857" t="s">
        <v>94</v>
      </c>
      <c r="L555" s="2003"/>
      <c r="M555" s="2003"/>
      <c r="N555" s="2003"/>
      <c r="V555" s="2009"/>
      <c r="W555" s="1866" t="s">
        <v>2536</v>
      </c>
      <c r="X555" s="1866"/>
      <c r="AZ555" s="1938"/>
      <c r="BA555" s="1858">
        <v>59</v>
      </c>
    </row>
    <row r="556" spans="1:53" s="1857" customFormat="1" ht="9" customHeight="1">
      <c r="A556" s="1858"/>
      <c r="B556" s="1858"/>
      <c r="C556" s="1858"/>
      <c r="D556" s="1858"/>
      <c r="E556" s="1858"/>
      <c r="F556" s="1858"/>
      <c r="G556" s="1858"/>
      <c r="H556" s="1858"/>
      <c r="I556" s="1858"/>
      <c r="J556" s="1858"/>
      <c r="K556" s="1858"/>
      <c r="L556" s="1858"/>
      <c r="M556" s="1858"/>
      <c r="N556" s="1858"/>
      <c r="O556" s="1858"/>
      <c r="P556" s="1858"/>
      <c r="Q556" s="1858"/>
      <c r="R556" s="1858"/>
      <c r="S556" s="1858"/>
      <c r="T556" s="1858"/>
      <c r="V556" s="2009"/>
      <c r="AZ556" s="1875"/>
      <c r="BA556" s="1858">
        <v>50</v>
      </c>
    </row>
    <row r="557" spans="1:53" s="1857" customFormat="1" ht="12" customHeight="1">
      <c r="B557" s="1857" t="s">
        <v>6607</v>
      </c>
      <c r="F557" s="2029" t="s">
        <v>3562</v>
      </c>
      <c r="G557" s="1857" t="str">
        <f>IF(G558&gt;E558,"Check Contingency Amount!!!!","")</f>
        <v/>
      </c>
      <c r="J557" s="1890"/>
      <c r="K557" s="2003"/>
      <c r="M557" s="1890"/>
      <c r="N557" s="2003"/>
      <c r="O557" s="1890" t="str">
        <f>B557</f>
        <v>CONSTRUCTION CONTINGENCY (CC)</v>
      </c>
      <c r="P557" s="1890"/>
      <c r="Q557" s="2003"/>
      <c r="S557" s="1890"/>
      <c r="T557" s="2003"/>
      <c r="V557" s="2009"/>
      <c r="W557" s="1857" t="str">
        <f>B557</f>
        <v>CONSTRUCTION CONTINGENCY (CC)</v>
      </c>
      <c r="AZ557" s="1938"/>
      <c r="BA557" s="1858">
        <v>51</v>
      </c>
    </row>
    <row r="558" spans="1:53" s="1866" customFormat="1" ht="11.25" customHeight="1">
      <c r="B558" s="1857" t="s">
        <v>1871</v>
      </c>
      <c r="D558" s="2030" t="s">
        <v>3561</v>
      </c>
      <c r="E558" s="2031">
        <f>IF('Part VI-Revenues &amp; Expenses'!$P$67=0,"",(('Part VI-Revenues &amp; Expenses'!$P$115/'Part VI-Revenues &amp; Expenses'!$P$67)*'Part IV-A-Uses of Funds'!$C$49*'DCA Underwriting Assumptions'!$R$76+(('Part VI-Revenues &amp; Expenses'!$P$118+'Part VI-Revenues &amp; Expenses'!$P$121)/'Part VI-Revenues &amp; Expenses'!$P$67)*'Part IV-A-Uses of Funds'!$C$49*'DCA Underwriting Assumptions'!$R$77))</f>
        <v>528874.61399999994</v>
      </c>
      <c r="F558" s="2032">
        <f>G558/C552</f>
        <v>4.9999941952214785E-2</v>
      </c>
      <c r="G558" s="1872">
        <f>'Part IV-A-Uses of Funds'!G55</f>
        <v>528874</v>
      </c>
      <c r="H558" s="1872"/>
      <c r="I558" s="1857"/>
      <c r="J558" s="1872">
        <f>'Part IV-A-Uses of Funds'!J55</f>
        <v>528874</v>
      </c>
      <c r="K558" s="1872"/>
      <c r="L558" s="1890"/>
      <c r="M558" s="1872">
        <f>'Part IV-A-Uses of Funds'!M55</f>
        <v>0</v>
      </c>
      <c r="N558" s="1872"/>
      <c r="O558" s="1857"/>
      <c r="P558" s="1872">
        <f>'Part IV-A-Uses of Funds'!P55</f>
        <v>0</v>
      </c>
      <c r="Q558" s="1872"/>
      <c r="R558" s="1857"/>
      <c r="S558" s="1872">
        <f>'Part IV-A-Uses of Funds'!S55</f>
        <v>0</v>
      </c>
      <c r="T558" s="1872"/>
      <c r="V558" s="2005"/>
      <c r="W558" s="2006"/>
      <c r="X558" s="2006"/>
      <c r="AZ558" s="1938"/>
      <c r="BA558" s="1858">
        <v>52</v>
      </c>
    </row>
    <row r="559" spans="1:53" s="1857" customFormat="1" ht="6" customHeight="1">
      <c r="A559" s="1858"/>
      <c r="B559" s="1858"/>
      <c r="C559" s="1858"/>
      <c r="D559" s="1858"/>
      <c r="E559" s="1858"/>
      <c r="F559" s="1858"/>
      <c r="G559" s="1858"/>
      <c r="H559" s="1858"/>
      <c r="I559" s="1858"/>
      <c r="J559" s="1858"/>
      <c r="K559" s="1858"/>
      <c r="L559" s="1858"/>
      <c r="M559" s="1858"/>
      <c r="N559" s="1858"/>
      <c r="O559" s="1858"/>
      <c r="P559" s="1858"/>
      <c r="Q559" s="1858"/>
      <c r="R559" s="1858"/>
      <c r="S559" s="1858"/>
      <c r="T559" s="1858"/>
      <c r="V559" s="2009"/>
      <c r="W559" s="2006"/>
      <c r="X559" s="2006"/>
      <c r="AZ559" s="1938"/>
      <c r="BA559" s="1858">
        <v>53</v>
      </c>
    </row>
    <row r="560" spans="1:53" s="1857" customFormat="1" ht="12.6" customHeight="1">
      <c r="B560" s="2033" t="s">
        <v>6608</v>
      </c>
      <c r="C560" s="2022"/>
      <c r="E560" s="1857" t="s">
        <v>6609</v>
      </c>
      <c r="F560" s="2023">
        <f>B561/'Part VI-Revenues &amp; Expenses'!$P$65</f>
        <v>154255.08722222221</v>
      </c>
      <c r="G560" s="2024" t="s">
        <v>7129</v>
      </c>
      <c r="J560" s="2025">
        <f>B561/'Part VI-Revenues &amp; Expenses'!$P$67</f>
        <v>154255.08722222221</v>
      </c>
      <c r="K560" s="2025"/>
      <c r="M560" s="2026" t="s">
        <v>6797</v>
      </c>
      <c r="N560" s="2026"/>
      <c r="P560" s="2025">
        <f>B561/'Part I-Project Information'!$P$70</f>
        <v>161.61766996507566</v>
      </c>
      <c r="Q560" s="2025"/>
      <c r="S560" s="1897" t="s">
        <v>6799</v>
      </c>
      <c r="T560" s="1897"/>
      <c r="V560" s="2009"/>
      <c r="W560" s="2006"/>
      <c r="X560" s="2006"/>
      <c r="AZ560" s="1938"/>
      <c r="BA560" s="1858">
        <v>54</v>
      </c>
    </row>
    <row r="561" spans="1:53" s="1857" customFormat="1" ht="12.6" customHeight="1">
      <c r="B561" s="2028">
        <f>C552+G558</f>
        <v>11106366.279999999</v>
      </c>
      <c r="C561" s="2028"/>
      <c r="F561" s="2023">
        <f>B561/'Part VI-Revenues &amp; Expenses'!$P$166</f>
        <v>167.87131620314389</v>
      </c>
      <c r="G561" s="1897" t="s">
        <v>7130</v>
      </c>
      <c r="J561" s="2025">
        <f>B561/'Part VI-Revenues &amp; Expenses'!$P$168</f>
        <v>167.87131620314389</v>
      </c>
      <c r="K561" s="2025"/>
      <c r="M561" s="1897" t="s">
        <v>6798</v>
      </c>
      <c r="N561" s="1897"/>
      <c r="V561" s="2009"/>
      <c r="W561" s="2006"/>
      <c r="X561" s="2006"/>
      <c r="AZ561" s="1938"/>
      <c r="BA561" s="1858">
        <v>55</v>
      </c>
    </row>
    <row r="562" spans="1:53" s="1857" customFormat="1" ht="6" customHeight="1">
      <c r="A562" s="1858"/>
      <c r="B562" s="1858"/>
      <c r="C562" s="1858"/>
      <c r="D562" s="1858"/>
      <c r="E562" s="1858"/>
      <c r="F562" s="1858"/>
      <c r="G562" s="1858"/>
      <c r="H562" s="1858"/>
      <c r="I562" s="1858"/>
      <c r="J562" s="1858"/>
      <c r="K562" s="1858"/>
      <c r="L562" s="1858"/>
      <c r="M562" s="1858"/>
      <c r="N562" s="1858"/>
      <c r="O562" s="1858"/>
      <c r="P562" s="1858"/>
      <c r="Q562" s="1858"/>
      <c r="R562" s="1858"/>
      <c r="S562" s="1858"/>
      <c r="T562" s="1858"/>
      <c r="V562" s="2009"/>
      <c r="W562" s="2006"/>
      <c r="X562" s="2006"/>
      <c r="AZ562" s="1938"/>
      <c r="BA562" s="1858">
        <v>53</v>
      </c>
    </row>
    <row r="563" spans="1:53" s="1857" customFormat="1" ht="12" customHeight="1">
      <c r="B563" s="1857" t="s">
        <v>692</v>
      </c>
      <c r="J563" s="1890"/>
      <c r="K563" s="2003"/>
      <c r="M563" s="1890"/>
      <c r="N563" s="2003"/>
      <c r="O563" s="1890" t="str">
        <f>B563</f>
        <v>CONSTRUCTION PERIOD FINANCING</v>
      </c>
      <c r="P563" s="1890"/>
      <c r="Q563" s="2003"/>
      <c r="S563" s="1890"/>
      <c r="T563" s="2003"/>
      <c r="V563" s="2009"/>
      <c r="W563" s="1857" t="str">
        <f>B563</f>
        <v>CONSTRUCTION PERIOD FINANCING</v>
      </c>
      <c r="AZ563" s="1938"/>
      <c r="BA563" s="1858">
        <v>60</v>
      </c>
    </row>
    <row r="564" spans="1:53" s="1857" customFormat="1" ht="12" customHeight="1">
      <c r="B564" s="1857" t="s">
        <v>3358</v>
      </c>
      <c r="G564" s="1872">
        <f>'Part IV-A-Uses of Funds'!G61</f>
        <v>0</v>
      </c>
      <c r="H564" s="1872"/>
      <c r="J564" s="1872">
        <f>'Part IV-A-Uses of Funds'!J61</f>
        <v>0</v>
      </c>
      <c r="K564" s="1872"/>
      <c r="L564" s="1890"/>
      <c r="M564" s="1872">
        <f>'Part IV-A-Uses of Funds'!M61</f>
        <v>0</v>
      </c>
      <c r="N564" s="1872"/>
      <c r="P564" s="1872">
        <f>'Part IV-A-Uses of Funds'!P61</f>
        <v>0</v>
      </c>
      <c r="Q564" s="1872"/>
      <c r="S564" s="1872">
        <f>'Part IV-A-Uses of Funds'!S61</f>
        <v>0</v>
      </c>
      <c r="T564" s="1872"/>
      <c r="V564" s="2005"/>
      <c r="W564" s="2006"/>
      <c r="X564" s="2006"/>
      <c r="AZ564" s="1938"/>
      <c r="BA564" s="1858">
        <v>61</v>
      </c>
    </row>
    <row r="565" spans="1:53" s="1857" customFormat="1" ht="12" customHeight="1">
      <c r="B565" s="1857" t="s">
        <v>3359</v>
      </c>
      <c r="G565" s="1872">
        <f>'Part IV-A-Uses of Funds'!G62</f>
        <v>0</v>
      </c>
      <c r="H565" s="1872"/>
      <c r="J565" s="1872">
        <f>'Part IV-A-Uses of Funds'!J62</f>
        <v>0</v>
      </c>
      <c r="K565" s="1872"/>
      <c r="L565" s="1890"/>
      <c r="M565" s="1872">
        <f>'Part IV-A-Uses of Funds'!M62</f>
        <v>0</v>
      </c>
      <c r="N565" s="1872"/>
      <c r="P565" s="1872">
        <f>'Part IV-A-Uses of Funds'!P62</f>
        <v>0</v>
      </c>
      <c r="Q565" s="1872"/>
      <c r="S565" s="1872">
        <f>'Part IV-A-Uses of Funds'!S62</f>
        <v>0</v>
      </c>
      <c r="T565" s="1872"/>
      <c r="V565" s="2005"/>
      <c r="W565" s="2006"/>
      <c r="X565" s="2006"/>
      <c r="AZ565" s="1938"/>
      <c r="BA565" s="1858">
        <v>62</v>
      </c>
    </row>
    <row r="566" spans="1:53" s="1857" customFormat="1" ht="12" customHeight="1">
      <c r="B566" s="1857" t="s">
        <v>2241</v>
      </c>
      <c r="G566" s="1872">
        <f>'Part IV-A-Uses of Funds'!G63</f>
        <v>26900</v>
      </c>
      <c r="H566" s="1872"/>
      <c r="J566" s="1872">
        <f>'Part IV-A-Uses of Funds'!J63</f>
        <v>26900</v>
      </c>
      <c r="K566" s="1872"/>
      <c r="L566" s="1890"/>
      <c r="M566" s="1872">
        <f>'Part IV-A-Uses of Funds'!M63</f>
        <v>0</v>
      </c>
      <c r="N566" s="1872"/>
      <c r="P566" s="1872">
        <f>'Part IV-A-Uses of Funds'!P63</f>
        <v>0</v>
      </c>
      <c r="Q566" s="1872"/>
      <c r="S566" s="1872">
        <f>'Part IV-A-Uses of Funds'!S63</f>
        <v>0</v>
      </c>
      <c r="T566" s="1872"/>
      <c r="V566" s="2005"/>
      <c r="W566" s="2006"/>
      <c r="X566" s="2006"/>
      <c r="AZ566" s="1938"/>
      <c r="BA566" s="1869">
        <v>63</v>
      </c>
    </row>
    <row r="567" spans="1:53" s="1857" customFormat="1" ht="12" customHeight="1">
      <c r="B567" s="1857" t="s">
        <v>2242</v>
      </c>
      <c r="G567" s="1872">
        <f>'Part IV-A-Uses of Funds'!G64</f>
        <v>95915</v>
      </c>
      <c r="H567" s="1872"/>
      <c r="J567" s="1872">
        <f>'Part IV-A-Uses of Funds'!J64</f>
        <v>95915</v>
      </c>
      <c r="K567" s="1872"/>
      <c r="L567" s="1890"/>
      <c r="M567" s="1872">
        <f>'Part IV-A-Uses of Funds'!M64</f>
        <v>0</v>
      </c>
      <c r="N567" s="1872"/>
      <c r="P567" s="1872">
        <f>'Part IV-A-Uses of Funds'!P64</f>
        <v>0</v>
      </c>
      <c r="Q567" s="1872"/>
      <c r="S567" s="1872">
        <f>'Part IV-A-Uses of Funds'!S64</f>
        <v>0</v>
      </c>
      <c r="T567" s="1872"/>
      <c r="V567" s="2005"/>
      <c r="W567" s="2006"/>
      <c r="X567" s="2006"/>
      <c r="AZ567" s="1938"/>
      <c r="BA567" s="1858">
        <v>64</v>
      </c>
    </row>
    <row r="568" spans="1:53" s="1857" customFormat="1" ht="12" customHeight="1">
      <c r="B568" s="1857" t="s">
        <v>2243</v>
      </c>
      <c r="G568" s="1872">
        <f>'Part IV-A-Uses of Funds'!G65</f>
        <v>60000</v>
      </c>
      <c r="H568" s="1872"/>
      <c r="J568" s="1872">
        <f>'Part IV-A-Uses of Funds'!J65</f>
        <v>60000</v>
      </c>
      <c r="K568" s="1872"/>
      <c r="L568" s="1890"/>
      <c r="M568" s="1872">
        <f>'Part IV-A-Uses of Funds'!M65</f>
        <v>0</v>
      </c>
      <c r="N568" s="1872"/>
      <c r="P568" s="1872">
        <f>'Part IV-A-Uses of Funds'!P65</f>
        <v>0</v>
      </c>
      <c r="Q568" s="1872"/>
      <c r="S568" s="1872">
        <f>'Part IV-A-Uses of Funds'!S65</f>
        <v>0</v>
      </c>
      <c r="T568" s="1872"/>
      <c r="V568" s="2005"/>
      <c r="W568" s="2006"/>
      <c r="X568" s="2006"/>
      <c r="AZ568" s="1938" t="s">
        <v>6687</v>
      </c>
      <c r="BA568" s="1858">
        <v>65</v>
      </c>
    </row>
    <row r="569" spans="1:53" s="1857" customFormat="1" ht="12" customHeight="1">
      <c r="B569" s="1857" t="s">
        <v>2538</v>
      </c>
      <c r="G569" s="1872">
        <f>'Part IV-A-Uses of Funds'!G66</f>
        <v>24000</v>
      </c>
      <c r="H569" s="1872"/>
      <c r="J569" s="1872">
        <f>'Part IV-A-Uses of Funds'!J66</f>
        <v>24000</v>
      </c>
      <c r="K569" s="1872"/>
      <c r="L569" s="1890"/>
      <c r="M569" s="1872">
        <f>'Part IV-A-Uses of Funds'!M66</f>
        <v>0</v>
      </c>
      <c r="N569" s="1872"/>
      <c r="P569" s="1872">
        <f>'Part IV-A-Uses of Funds'!P66</f>
        <v>0</v>
      </c>
      <c r="Q569" s="1872"/>
      <c r="S569" s="1872">
        <f>'Part IV-A-Uses of Funds'!S66</f>
        <v>0</v>
      </c>
      <c r="T569" s="1872"/>
      <c r="V569" s="2005"/>
      <c r="W569" s="2006"/>
      <c r="X569" s="2006"/>
      <c r="AZ569" s="1938" t="s">
        <v>6688</v>
      </c>
      <c r="BA569" s="1858">
        <v>66</v>
      </c>
    </row>
    <row r="570" spans="1:53" s="1857" customFormat="1" ht="12" customHeight="1">
      <c r="B570" s="1857" t="s">
        <v>693</v>
      </c>
      <c r="G570" s="1872">
        <f>'Part IV-A-Uses of Funds'!G67</f>
        <v>0</v>
      </c>
      <c r="H570" s="1872"/>
      <c r="J570" s="1872">
        <f>'Part IV-A-Uses of Funds'!J67</f>
        <v>0</v>
      </c>
      <c r="K570" s="1872"/>
      <c r="L570" s="1890"/>
      <c r="M570" s="1872">
        <f>'Part IV-A-Uses of Funds'!M67</f>
        <v>0</v>
      </c>
      <c r="N570" s="1872"/>
      <c r="P570" s="1872">
        <f>'Part IV-A-Uses of Funds'!P67</f>
        <v>0</v>
      </c>
      <c r="Q570" s="1872"/>
      <c r="S570" s="1872">
        <f>'Part IV-A-Uses of Funds'!S67</f>
        <v>0</v>
      </c>
      <c r="T570" s="1872"/>
      <c r="V570" s="2005"/>
      <c r="W570" s="2006"/>
      <c r="X570" s="2006"/>
      <c r="AZ570" s="1938" t="s">
        <v>6689</v>
      </c>
      <c r="BA570" s="1858">
        <v>67</v>
      </c>
    </row>
    <row r="571" spans="1:53" s="1857" customFormat="1" ht="12" customHeight="1">
      <c r="B571" s="1857" t="s">
        <v>2244</v>
      </c>
      <c r="G571" s="1872">
        <f>'Part IV-A-Uses of Funds'!G68</f>
        <v>25000</v>
      </c>
      <c r="H571" s="1872"/>
      <c r="J571" s="1872">
        <f>'Part IV-A-Uses of Funds'!J68</f>
        <v>25000</v>
      </c>
      <c r="K571" s="1872"/>
      <c r="L571" s="1890"/>
      <c r="M571" s="1872">
        <f>'Part IV-A-Uses of Funds'!M68</f>
        <v>0</v>
      </c>
      <c r="N571" s="1872"/>
      <c r="P571" s="1872">
        <f>'Part IV-A-Uses of Funds'!P68</f>
        <v>0</v>
      </c>
      <c r="Q571" s="1872"/>
      <c r="S571" s="1872">
        <f>'Part IV-A-Uses of Funds'!S68</f>
        <v>0</v>
      </c>
      <c r="T571" s="1872"/>
      <c r="V571" s="2005"/>
      <c r="W571" s="2006"/>
      <c r="X571" s="2006"/>
      <c r="AZ571" s="1938"/>
      <c r="BA571" s="1858">
        <v>68</v>
      </c>
    </row>
    <row r="572" spans="1:53" s="1857" customFormat="1" ht="12" customHeight="1">
      <c r="B572" s="1857" t="s">
        <v>1228</v>
      </c>
      <c r="G572" s="1872">
        <f>'Part IV-A-Uses of Funds'!G69</f>
        <v>65000</v>
      </c>
      <c r="H572" s="1872"/>
      <c r="J572" s="1872">
        <f>'Part IV-A-Uses of Funds'!J69</f>
        <v>65000</v>
      </c>
      <c r="K572" s="1872"/>
      <c r="L572" s="1890"/>
      <c r="M572" s="1872">
        <f>'Part IV-A-Uses of Funds'!M69</f>
        <v>0</v>
      </c>
      <c r="N572" s="1872"/>
      <c r="P572" s="1872">
        <f>'Part IV-A-Uses of Funds'!P69</f>
        <v>0</v>
      </c>
      <c r="Q572" s="1872"/>
      <c r="S572" s="1872">
        <f>'Part IV-A-Uses of Funds'!S69</f>
        <v>0</v>
      </c>
      <c r="T572" s="1872"/>
      <c r="V572" s="2005"/>
      <c r="W572" s="2006"/>
      <c r="X572" s="2006"/>
      <c r="AZ572" s="1938"/>
      <c r="BA572" s="1858">
        <v>69</v>
      </c>
    </row>
    <row r="573" spans="1:53" s="1857" customFormat="1" ht="12" customHeight="1">
      <c r="B573" s="1920" t="s">
        <v>1111</v>
      </c>
      <c r="D573" s="2032"/>
      <c r="E573" s="2032"/>
      <c r="F573" s="2034"/>
      <c r="G573" s="1872">
        <f>'Part IV-A-Uses of Funds'!G70</f>
        <v>91500</v>
      </c>
      <c r="H573" s="1872"/>
      <c r="I573" s="1866"/>
      <c r="J573" s="1872">
        <f>'Part IV-A-Uses of Funds'!J70</f>
        <v>84655</v>
      </c>
      <c r="K573" s="1872"/>
      <c r="L573" s="1890"/>
      <c r="M573" s="1872">
        <f>'Part IV-A-Uses of Funds'!M70</f>
        <v>0</v>
      </c>
      <c r="N573" s="1872"/>
      <c r="P573" s="1872">
        <f>'Part IV-A-Uses of Funds'!P70</f>
        <v>0</v>
      </c>
      <c r="Q573" s="1872"/>
      <c r="S573" s="1872">
        <f>'Part IV-A-Uses of Funds'!S70</f>
        <v>6845</v>
      </c>
      <c r="T573" s="1872"/>
      <c r="V573" s="2005"/>
      <c r="W573" s="2006"/>
      <c r="X573" s="2006"/>
      <c r="AZ573" s="1938"/>
      <c r="BA573" s="1858">
        <v>70</v>
      </c>
    </row>
    <row r="574" spans="1:53" s="1857" customFormat="1" ht="12" customHeight="1">
      <c r="A574" s="2007" t="str">
        <f>IF(AND(G574&gt;0,OR(C574="",C574="&lt;Enter detailed description here; use Comments section if needed&gt;")),"X","")</f>
        <v/>
      </c>
      <c r="B574" s="1865" t="s">
        <v>6581</v>
      </c>
      <c r="C574" s="1870" t="str">
        <f>'Part IV-A-Uses of Funds'!C71</f>
        <v>RAD CNA Tool</v>
      </c>
      <c r="D574" s="1870"/>
      <c r="E574" s="1870"/>
      <c r="F574" s="1870"/>
      <c r="G574" s="1872">
        <f>'Part IV-A-Uses of Funds'!G71</f>
        <v>10000</v>
      </c>
      <c r="H574" s="1872"/>
      <c r="J574" s="1872">
        <f>'Part IV-A-Uses of Funds'!J71</f>
        <v>10000</v>
      </c>
      <c r="K574" s="1872"/>
      <c r="L574" s="1890"/>
      <c r="M574" s="1872">
        <f>'Part IV-A-Uses of Funds'!M71</f>
        <v>0</v>
      </c>
      <c r="N574" s="1872"/>
      <c r="P574" s="1872">
        <f>'Part IV-A-Uses of Funds'!P71</f>
        <v>0</v>
      </c>
      <c r="Q574" s="1872"/>
      <c r="S574" s="1872">
        <f>'Part IV-A-Uses of Funds'!S71</f>
        <v>0</v>
      </c>
      <c r="T574" s="1872"/>
      <c r="U574" s="1859" t="str">
        <f>IF(AND(G574&gt;0,OR(C574="",C574="&lt;Enter detailed description here; use Comments section if needed&gt;")),"NO DESCRIPTION PROVIDED - please enter detailed description in Other box at left; use Comments section below if needed.","")</f>
        <v/>
      </c>
      <c r="V574" s="2005"/>
      <c r="W574" s="2006"/>
      <c r="X574" s="2006"/>
      <c r="AZ574" s="1938"/>
      <c r="BA574" s="1858">
        <v>71</v>
      </c>
    </row>
    <row r="575" spans="1:53" s="1857" customFormat="1" ht="12" customHeight="1">
      <c r="A575" s="2007" t="str">
        <f>IF(AND(G575&gt;0,OR(C575="",C575="&lt;Enter detailed description here; use Comments section if needed&gt;")),"X","")</f>
        <v/>
      </c>
      <c r="B575" s="1865" t="s">
        <v>6582</v>
      </c>
      <c r="C575" s="1870" t="str">
        <f>'Part IV-A-Uses of Funds'!C72</f>
        <v>Construction lender due diligence</v>
      </c>
      <c r="D575" s="1870"/>
      <c r="E575" s="1870"/>
      <c r="F575" s="1870"/>
      <c r="G575" s="1872">
        <f>'Part IV-A-Uses of Funds'!G72</f>
        <v>15000</v>
      </c>
      <c r="H575" s="1872"/>
      <c r="J575" s="1872">
        <f>'Part IV-A-Uses of Funds'!J72</f>
        <v>15000</v>
      </c>
      <c r="K575" s="1872"/>
      <c r="L575" s="1890"/>
      <c r="M575" s="1872">
        <f>'Part IV-A-Uses of Funds'!M72</f>
        <v>0</v>
      </c>
      <c r="N575" s="1872"/>
      <c r="P575" s="1872">
        <f>'Part IV-A-Uses of Funds'!P72</f>
        <v>0</v>
      </c>
      <c r="Q575" s="1872"/>
      <c r="S575" s="1872">
        <f>'Part IV-A-Uses of Funds'!S72</f>
        <v>0</v>
      </c>
      <c r="T575" s="1872"/>
      <c r="U575" s="1859" t="str">
        <f>IF(AND(G575&gt;0,OR(C575="",C575="&lt;Enter detailed description here; use Comments section if needed&gt;")),"NO DESCRIPTION PROVIDED - please enter detailed description in Other box at left; use Comments section below if needed.","")</f>
        <v/>
      </c>
      <c r="V575" s="2005"/>
      <c r="W575" s="2006"/>
      <c r="X575" s="2006"/>
      <c r="AZ575" s="1938"/>
      <c r="BA575" s="1869">
        <v>72</v>
      </c>
    </row>
    <row r="576" spans="1:53" s="1857" customFormat="1" ht="12" customHeight="1">
      <c r="F576" s="2008" t="s">
        <v>183</v>
      </c>
      <c r="G576" s="2003">
        <f>SUM(G564:G575)</f>
        <v>413315</v>
      </c>
      <c r="H576" s="2003"/>
      <c r="J576" s="2003">
        <f>SUM(J564:J575)</f>
        <v>406470</v>
      </c>
      <c r="K576" s="2003"/>
      <c r="L576" s="1890"/>
      <c r="M576" s="2003">
        <f>SUM(M564:M575)</f>
        <v>0</v>
      </c>
      <c r="N576" s="2003"/>
      <c r="P576" s="2003">
        <f>SUM(P564:P575)</f>
        <v>0</v>
      </c>
      <c r="Q576" s="2003"/>
      <c r="S576" s="2003">
        <f>SUM(S564:S575)</f>
        <v>6845</v>
      </c>
      <c r="T576" s="2003"/>
      <c r="V576" s="2005">
        <f>SUM(V564:V575)</f>
        <v>0</v>
      </c>
      <c r="W576" s="2006"/>
      <c r="X576" s="2006"/>
      <c r="AZ576" s="1938"/>
      <c r="BA576" s="1858">
        <v>73</v>
      </c>
    </row>
    <row r="577" spans="1:53" s="1857" customFormat="1" ht="12" customHeight="1">
      <c r="B577" s="1857" t="s">
        <v>456</v>
      </c>
      <c r="G577" s="2003"/>
      <c r="H577" s="2003"/>
      <c r="J577" s="2003"/>
      <c r="K577" s="2003"/>
      <c r="M577" s="2003"/>
      <c r="N577" s="2003"/>
      <c r="O577" s="1890" t="str">
        <f>B577</f>
        <v>PROFESSIONAL SERVICES</v>
      </c>
      <c r="P577" s="2003"/>
      <c r="Q577" s="2003"/>
      <c r="S577" s="2003"/>
      <c r="T577" s="2003"/>
      <c r="V577" s="2009"/>
      <c r="W577" s="1857" t="str">
        <f>B577</f>
        <v>PROFESSIONAL SERVICES</v>
      </c>
      <c r="AZ577" s="1938"/>
      <c r="BA577" s="1858">
        <v>74</v>
      </c>
    </row>
    <row r="578" spans="1:53" s="1857" customFormat="1" ht="12" customHeight="1">
      <c r="B578" s="1857" t="s">
        <v>457</v>
      </c>
      <c r="G578" s="1872">
        <f>'Part IV-A-Uses of Funds'!G75</f>
        <v>334650</v>
      </c>
      <c r="H578" s="1872"/>
      <c r="J578" s="1872">
        <f>'Part IV-A-Uses of Funds'!J75</f>
        <v>334650</v>
      </c>
      <c r="K578" s="1872"/>
      <c r="L578" s="1890"/>
      <c r="M578" s="1872">
        <f>'Part IV-A-Uses of Funds'!M75</f>
        <v>0</v>
      </c>
      <c r="N578" s="1872"/>
      <c r="P578" s="1872">
        <f>'Part IV-A-Uses of Funds'!P75</f>
        <v>0</v>
      </c>
      <c r="Q578" s="1872"/>
      <c r="S578" s="1872">
        <f>'Part IV-A-Uses of Funds'!S75</f>
        <v>0</v>
      </c>
      <c r="T578" s="1872"/>
      <c r="V578" s="2005"/>
      <c r="W578" s="2006"/>
      <c r="X578" s="2006"/>
      <c r="AZ578" s="1938"/>
      <c r="BA578" s="1869">
        <v>75</v>
      </c>
    </row>
    <row r="579" spans="1:53" s="1857" customFormat="1" ht="12" customHeight="1">
      <c r="B579" s="1857" t="s">
        <v>458</v>
      </c>
      <c r="G579" s="1872">
        <f>'Part IV-A-Uses of Funds'!G76</f>
        <v>120000</v>
      </c>
      <c r="H579" s="1872"/>
      <c r="J579" s="1872">
        <f>'Part IV-A-Uses of Funds'!J76</f>
        <v>120000</v>
      </c>
      <c r="K579" s="1872"/>
      <c r="L579" s="1890"/>
      <c r="M579" s="1872">
        <f>'Part IV-A-Uses of Funds'!M76</f>
        <v>0</v>
      </c>
      <c r="N579" s="1872"/>
      <c r="P579" s="1872">
        <f>'Part IV-A-Uses of Funds'!P76</f>
        <v>0</v>
      </c>
      <c r="Q579" s="1872"/>
      <c r="S579" s="1872">
        <f>'Part IV-A-Uses of Funds'!S76</f>
        <v>0</v>
      </c>
      <c r="T579" s="1872"/>
      <c r="V579" s="2005"/>
      <c r="W579" s="2006"/>
      <c r="X579" s="2006"/>
      <c r="AZ579" s="1938"/>
      <c r="BA579" s="1858">
        <v>76</v>
      </c>
    </row>
    <row r="580" spans="1:53" s="1857" customFormat="1" ht="12" customHeight="1">
      <c r="B580" s="1857" t="s">
        <v>1086</v>
      </c>
      <c r="D580" s="1861"/>
      <c r="E580" s="2035"/>
      <c r="G580" s="1872">
        <f>'Part IV-A-Uses of Funds'!G77</f>
        <v>31075</v>
      </c>
      <c r="H580" s="1872"/>
      <c r="J580" s="1872">
        <f>'Part IV-A-Uses of Funds'!J77</f>
        <v>31075</v>
      </c>
      <c r="K580" s="1872"/>
      <c r="L580" s="1890"/>
      <c r="M580" s="1872">
        <f>'Part IV-A-Uses of Funds'!M77</f>
        <v>0</v>
      </c>
      <c r="N580" s="1872"/>
      <c r="P580" s="1872">
        <f>'Part IV-A-Uses of Funds'!P77</f>
        <v>0</v>
      </c>
      <c r="Q580" s="1872"/>
      <c r="S580" s="1872">
        <f>'Part IV-A-Uses of Funds'!S77</f>
        <v>0</v>
      </c>
      <c r="T580" s="1872"/>
      <c r="V580" s="2005"/>
      <c r="W580" s="2006"/>
      <c r="X580" s="2006"/>
      <c r="AZ580" s="1938"/>
      <c r="BA580" s="1858">
        <v>77</v>
      </c>
    </row>
    <row r="581" spans="1:53" s="1857" customFormat="1" ht="12" customHeight="1">
      <c r="B581" s="1857" t="s">
        <v>1087</v>
      </c>
      <c r="G581" s="1872">
        <f>'Part IV-A-Uses of Funds'!G78</f>
        <v>7560</v>
      </c>
      <c r="H581" s="1872"/>
      <c r="J581" s="1872">
        <f>'Part IV-A-Uses of Funds'!J78</f>
        <v>7560</v>
      </c>
      <c r="K581" s="1872"/>
      <c r="L581" s="1890"/>
      <c r="M581" s="1872">
        <f>'Part IV-A-Uses of Funds'!M78</f>
        <v>0</v>
      </c>
      <c r="N581" s="1872"/>
      <c r="P581" s="1872">
        <f>'Part IV-A-Uses of Funds'!P78</f>
        <v>0</v>
      </c>
      <c r="Q581" s="1872"/>
      <c r="S581" s="1872">
        <f>'Part IV-A-Uses of Funds'!S78</f>
        <v>0</v>
      </c>
      <c r="T581" s="1872"/>
      <c r="V581" s="2005"/>
      <c r="W581" s="2006"/>
      <c r="X581" s="2006"/>
      <c r="AZ581" s="1938"/>
      <c r="BA581" s="1858">
        <v>78</v>
      </c>
    </row>
    <row r="582" spans="1:53" s="1857" customFormat="1" ht="12" customHeight="1">
      <c r="B582" s="1857" t="s">
        <v>1088</v>
      </c>
      <c r="G582" s="1872">
        <f>'Part IV-A-Uses of Funds'!G79</f>
        <v>10000</v>
      </c>
      <c r="H582" s="1872"/>
      <c r="J582" s="1872">
        <f>'Part IV-A-Uses of Funds'!J79</f>
        <v>10000</v>
      </c>
      <c r="K582" s="1872"/>
      <c r="L582" s="1890"/>
      <c r="M582" s="1872">
        <f>'Part IV-A-Uses of Funds'!M79</f>
        <v>0</v>
      </c>
      <c r="N582" s="1872"/>
      <c r="P582" s="1872">
        <f>'Part IV-A-Uses of Funds'!P79</f>
        <v>0</v>
      </c>
      <c r="Q582" s="1872"/>
      <c r="S582" s="1872">
        <f>'Part IV-A-Uses of Funds'!S79</f>
        <v>0</v>
      </c>
      <c r="T582" s="1872"/>
      <c r="V582" s="2005"/>
      <c r="W582" s="2006"/>
      <c r="X582" s="2006"/>
      <c r="AZ582" s="1938" t="s">
        <v>6690</v>
      </c>
      <c r="BA582" s="1858">
        <v>79</v>
      </c>
    </row>
    <row r="583" spans="1:53" s="1857" customFormat="1" ht="12" customHeight="1">
      <c r="B583" s="1857" t="s">
        <v>1089</v>
      </c>
      <c r="G583" s="1872">
        <f>'Part IV-A-Uses of Funds'!G80</f>
        <v>60000</v>
      </c>
      <c r="H583" s="1872"/>
      <c r="J583" s="1872">
        <f>'Part IV-A-Uses of Funds'!J80</f>
        <v>60000</v>
      </c>
      <c r="K583" s="1872"/>
      <c r="L583" s="1890"/>
      <c r="M583" s="1872">
        <f>'Part IV-A-Uses of Funds'!M80</f>
        <v>0</v>
      </c>
      <c r="N583" s="1872"/>
      <c r="P583" s="1872">
        <f>'Part IV-A-Uses of Funds'!P80</f>
        <v>0</v>
      </c>
      <c r="Q583" s="1872"/>
      <c r="S583" s="1872">
        <f>'Part IV-A-Uses of Funds'!S80</f>
        <v>0</v>
      </c>
      <c r="T583" s="1872"/>
      <c r="V583" s="2005"/>
      <c r="W583" s="2006"/>
      <c r="X583" s="2006"/>
      <c r="AZ583" s="1938" t="s">
        <v>6691</v>
      </c>
      <c r="BA583" s="1858">
        <v>80</v>
      </c>
    </row>
    <row r="584" spans="1:53" s="1857" customFormat="1" ht="12" customHeight="1">
      <c r="B584" s="1857" t="s">
        <v>459</v>
      </c>
      <c r="G584" s="1872">
        <f>'Part IV-A-Uses of Funds'!G81</f>
        <v>145000</v>
      </c>
      <c r="H584" s="1872"/>
      <c r="J584" s="1872">
        <f>'Part IV-A-Uses of Funds'!J81</f>
        <v>145000</v>
      </c>
      <c r="K584" s="1872"/>
      <c r="L584" s="1890"/>
      <c r="M584" s="1872">
        <f>'Part IV-A-Uses of Funds'!M81</f>
        <v>0</v>
      </c>
      <c r="N584" s="1872"/>
      <c r="P584" s="1872">
        <f>'Part IV-A-Uses of Funds'!P81</f>
        <v>0</v>
      </c>
      <c r="Q584" s="1872"/>
      <c r="S584" s="1872">
        <f>'Part IV-A-Uses of Funds'!S81</f>
        <v>0</v>
      </c>
      <c r="T584" s="1872"/>
      <c r="V584" s="2005"/>
      <c r="W584" s="2006"/>
      <c r="X584" s="2006"/>
      <c r="AZ584" s="1875"/>
      <c r="BA584" s="1858">
        <v>81</v>
      </c>
    </row>
    <row r="585" spans="1:53" s="1857" customFormat="1" ht="12" customHeight="1">
      <c r="B585" s="1857" t="s">
        <v>460</v>
      </c>
      <c r="G585" s="1872">
        <f>'Part IV-A-Uses of Funds'!G82</f>
        <v>150000</v>
      </c>
      <c r="H585" s="1872"/>
      <c r="J585" s="1872">
        <f>'Part IV-A-Uses of Funds'!J82</f>
        <v>150000</v>
      </c>
      <c r="K585" s="1872"/>
      <c r="L585" s="1890"/>
      <c r="M585" s="1872">
        <f>'Part IV-A-Uses of Funds'!M82</f>
        <v>0</v>
      </c>
      <c r="N585" s="1872"/>
      <c r="P585" s="1872">
        <f>'Part IV-A-Uses of Funds'!P82</f>
        <v>0</v>
      </c>
      <c r="Q585" s="1872"/>
      <c r="S585" s="1872">
        <f>'Part IV-A-Uses of Funds'!S82</f>
        <v>0</v>
      </c>
      <c r="T585" s="1872"/>
      <c r="V585" s="2005"/>
      <c r="W585" s="2006"/>
      <c r="X585" s="2006"/>
      <c r="AZ585" s="1938"/>
      <c r="BA585" s="1858">
        <v>82</v>
      </c>
    </row>
    <row r="586" spans="1:53" s="1857" customFormat="1" ht="12" customHeight="1">
      <c r="B586" s="1857" t="s">
        <v>1956</v>
      </c>
      <c r="G586" s="1872">
        <f>'Part IV-A-Uses of Funds'!G83</f>
        <v>36000</v>
      </c>
      <c r="H586" s="1872"/>
      <c r="J586" s="1872">
        <f>'Part IV-A-Uses of Funds'!J83</f>
        <v>36000</v>
      </c>
      <c r="K586" s="1872"/>
      <c r="L586" s="1890"/>
      <c r="M586" s="1872">
        <f>'Part IV-A-Uses of Funds'!M83</f>
        <v>0</v>
      </c>
      <c r="N586" s="1872"/>
      <c r="P586" s="1872">
        <f>'Part IV-A-Uses of Funds'!P83</f>
        <v>0</v>
      </c>
      <c r="Q586" s="1872"/>
      <c r="S586" s="1872">
        <f>'Part IV-A-Uses of Funds'!S83</f>
        <v>0</v>
      </c>
      <c r="T586" s="1872"/>
      <c r="V586" s="2005"/>
      <c r="W586" s="2006"/>
      <c r="X586" s="2006"/>
      <c r="AZ586" s="1938"/>
      <c r="BA586" s="1858">
        <v>83</v>
      </c>
    </row>
    <row r="587" spans="1:53" s="1857" customFormat="1" ht="12" customHeight="1">
      <c r="B587" s="1857" t="s">
        <v>1229</v>
      </c>
      <c r="G587" s="1872">
        <f>'Part IV-A-Uses of Funds'!G84</f>
        <v>0</v>
      </c>
      <c r="H587" s="1872"/>
      <c r="J587" s="1872">
        <f>'Part IV-A-Uses of Funds'!J84</f>
        <v>0</v>
      </c>
      <c r="K587" s="1872"/>
      <c r="L587" s="1890"/>
      <c r="M587" s="1872">
        <f>'Part IV-A-Uses of Funds'!M84</f>
        <v>0</v>
      </c>
      <c r="N587" s="1872"/>
      <c r="P587" s="1872">
        <f>'Part IV-A-Uses of Funds'!P84</f>
        <v>0</v>
      </c>
      <c r="Q587" s="1872"/>
      <c r="S587" s="1872">
        <f>'Part IV-A-Uses of Funds'!S84</f>
        <v>0</v>
      </c>
      <c r="T587" s="1872"/>
      <c r="V587" s="2005"/>
      <c r="W587" s="2006"/>
      <c r="X587" s="2006"/>
      <c r="AZ587" s="1938"/>
      <c r="BA587" s="1869">
        <v>84</v>
      </c>
    </row>
    <row r="588" spans="1:53" s="1857" customFormat="1" ht="12" customHeight="1">
      <c r="A588" s="2007" t="str">
        <f>IF(AND(G588&gt;0,OR(C588="",C588="&lt;Enter detailed description here; use Comments section if needed&gt;")),"X","")</f>
        <v/>
      </c>
      <c r="B588" s="1865" t="s">
        <v>6583</v>
      </c>
      <c r="C588" s="1870" t="str">
        <f>'Part IV-A-Uses of Funds'!C85</f>
        <v>Landscape Architect</v>
      </c>
      <c r="D588" s="1870"/>
      <c r="E588" s="1870"/>
      <c r="F588" s="1870"/>
      <c r="G588" s="1872">
        <f>'Part IV-A-Uses of Funds'!G85</f>
        <v>20000</v>
      </c>
      <c r="H588" s="1872"/>
      <c r="J588" s="1872">
        <f>'Part IV-A-Uses of Funds'!J85</f>
        <v>20000</v>
      </c>
      <c r="K588" s="1872"/>
      <c r="L588" s="1890"/>
      <c r="M588" s="1872">
        <f>'Part IV-A-Uses of Funds'!M85</f>
        <v>0</v>
      </c>
      <c r="N588" s="1872"/>
      <c r="P588" s="1872">
        <f>'Part IV-A-Uses of Funds'!P85</f>
        <v>0</v>
      </c>
      <c r="Q588" s="1872"/>
      <c r="S588" s="1872">
        <f>'Part IV-A-Uses of Funds'!S85</f>
        <v>0</v>
      </c>
      <c r="T588" s="1872"/>
      <c r="U588" s="1859" t="str">
        <f>IF(AND(G588&gt;0,OR(C588="",C588="&lt;Enter detailed description here; use Comments section if needed&gt;")),"NO DESCRIPTION PROVIDED - please enter detailed description in Other box at left; use Comments section below if needed.","")</f>
        <v/>
      </c>
      <c r="V588" s="2005"/>
      <c r="W588" s="2006"/>
      <c r="X588" s="2006"/>
      <c r="AZ588" s="1938"/>
      <c r="BA588" s="1858">
        <v>85</v>
      </c>
    </row>
    <row r="589" spans="1:53" s="1857" customFormat="1" ht="12" customHeight="1">
      <c r="F589" s="2008" t="s">
        <v>183</v>
      </c>
      <c r="G589" s="2003">
        <f>SUM(G578:G588)</f>
        <v>914285</v>
      </c>
      <c r="H589" s="2003"/>
      <c r="J589" s="2003">
        <f>SUM(J578:J588)</f>
        <v>914285</v>
      </c>
      <c r="K589" s="2003"/>
      <c r="L589" s="1890"/>
      <c r="M589" s="2003">
        <f>SUM(M578:M588)</f>
        <v>0</v>
      </c>
      <c r="N589" s="2003"/>
      <c r="P589" s="2003">
        <f>SUM(P578:P588)</f>
        <v>0</v>
      </c>
      <c r="Q589" s="2003"/>
      <c r="S589" s="2003">
        <f>SUM(S578:S588)</f>
        <v>0</v>
      </c>
      <c r="T589" s="2003"/>
      <c r="V589" s="2005">
        <f>SUM(V578:V588)</f>
        <v>0</v>
      </c>
      <c r="W589" s="2006"/>
      <c r="X589" s="2006"/>
      <c r="AZ589" s="1938" t="s">
        <v>6692</v>
      </c>
      <c r="BA589" s="1858">
        <v>86</v>
      </c>
    </row>
    <row r="590" spans="1:53" s="1866" customFormat="1" ht="12" customHeight="1">
      <c r="A590" s="1857"/>
      <c r="B590" s="1857" t="s">
        <v>1221</v>
      </c>
      <c r="C590" s="1857"/>
      <c r="D590" s="2036" t="s">
        <v>3361</v>
      </c>
      <c r="E590" s="2037">
        <f>G595/'Part VI-Revenues &amp; Expenses'!$P$67</f>
        <v>1686.1388888888889</v>
      </c>
      <c r="F590" s="1857"/>
      <c r="G590" s="1857"/>
      <c r="H590" s="1857"/>
      <c r="I590" s="1857"/>
      <c r="J590" s="1890"/>
      <c r="K590" s="1890"/>
      <c r="M590" s="1890"/>
      <c r="N590" s="1890"/>
      <c r="O590" s="1890" t="str">
        <f>B590</f>
        <v>LOCAL GOVERNMENT FEES</v>
      </c>
      <c r="P590" s="1890"/>
      <c r="Q590" s="1890"/>
      <c r="S590" s="1890"/>
      <c r="T590" s="1890"/>
      <c r="V590" s="2009"/>
      <c r="W590" s="1857" t="str">
        <f>B590</f>
        <v>LOCAL GOVERNMENT FEES</v>
      </c>
      <c r="AZ590" s="1938"/>
      <c r="BA590" s="1858">
        <v>87</v>
      </c>
    </row>
    <row r="591" spans="1:53" s="1857" customFormat="1" ht="12" customHeight="1">
      <c r="B591" s="1857" t="s">
        <v>1222</v>
      </c>
      <c r="G591" s="1872">
        <f>'Part IV-A-Uses of Funds'!G88</f>
        <v>121402</v>
      </c>
      <c r="H591" s="1872"/>
      <c r="J591" s="1872">
        <f>'Part IV-A-Uses of Funds'!J88</f>
        <v>121402</v>
      </c>
      <c r="K591" s="1872"/>
      <c r="L591" s="1890"/>
      <c r="M591" s="1872">
        <f>'Part IV-A-Uses of Funds'!M88</f>
        <v>0</v>
      </c>
      <c r="N591" s="1872"/>
      <c r="P591" s="1872">
        <f>'Part IV-A-Uses of Funds'!P88</f>
        <v>0</v>
      </c>
      <c r="Q591" s="1872"/>
      <c r="S591" s="1872">
        <f>'Part IV-A-Uses of Funds'!S88</f>
        <v>0</v>
      </c>
      <c r="T591" s="1872"/>
      <c r="V591" s="2005"/>
      <c r="W591" s="2006"/>
      <c r="X591" s="2006"/>
      <c r="AZ591" s="1938"/>
      <c r="BA591" s="1858">
        <v>88</v>
      </c>
    </row>
    <row r="592" spans="1:53" s="1857" customFormat="1" ht="12" customHeight="1">
      <c r="B592" s="1857" t="s">
        <v>1223</v>
      </c>
      <c r="G592" s="1872">
        <f>'Part IV-A-Uses of Funds'!G89</f>
        <v>0</v>
      </c>
      <c r="H592" s="1872"/>
      <c r="J592" s="1872">
        <f>'Part IV-A-Uses of Funds'!J89</f>
        <v>0</v>
      </c>
      <c r="K592" s="1872"/>
      <c r="L592" s="1890"/>
      <c r="M592" s="1872">
        <f>'Part IV-A-Uses of Funds'!M89</f>
        <v>0</v>
      </c>
      <c r="N592" s="1872"/>
      <c r="P592" s="1872">
        <f>'Part IV-A-Uses of Funds'!P89</f>
        <v>0</v>
      </c>
      <c r="Q592" s="1872"/>
      <c r="S592" s="1872">
        <f>'Part IV-A-Uses of Funds'!S89</f>
        <v>0</v>
      </c>
      <c r="T592" s="1872"/>
      <c r="V592" s="2005"/>
      <c r="W592" s="2006"/>
      <c r="X592" s="2006"/>
      <c r="AZ592" s="1938"/>
      <c r="BA592" s="1858">
        <v>89</v>
      </c>
    </row>
    <row r="593" spans="1:53" s="1857" customFormat="1" ht="12" customHeight="1">
      <c r="B593" s="1857" t="s">
        <v>1224</v>
      </c>
      <c r="D593" s="2008" t="s">
        <v>1353</v>
      </c>
      <c r="E593" s="2038" t="str">
        <f>'Part IV-A-Uses of Funds'!E90</f>
        <v>No</v>
      </c>
      <c r="G593" s="1872">
        <f>'Part IV-A-Uses of Funds'!G90</f>
        <v>0</v>
      </c>
      <c r="H593" s="1872"/>
      <c r="I593" s="1866"/>
      <c r="J593" s="1872">
        <f>'Part IV-A-Uses of Funds'!J90</f>
        <v>0</v>
      </c>
      <c r="K593" s="1872"/>
      <c r="L593" s="1890"/>
      <c r="M593" s="1872">
        <f>'Part IV-A-Uses of Funds'!M90</f>
        <v>0</v>
      </c>
      <c r="N593" s="1872"/>
      <c r="P593" s="1872">
        <f>'Part IV-A-Uses of Funds'!P90</f>
        <v>0</v>
      </c>
      <c r="Q593" s="1872"/>
      <c r="S593" s="1872">
        <f>'Part IV-A-Uses of Funds'!S90</f>
        <v>0</v>
      </c>
      <c r="T593" s="1872"/>
      <c r="V593" s="2005"/>
      <c r="W593" s="2006"/>
      <c r="X593" s="2006"/>
      <c r="AZ593" s="1938"/>
      <c r="BA593" s="1858">
        <v>90</v>
      </c>
    </row>
    <row r="594" spans="1:53" s="1857" customFormat="1" ht="12" customHeight="1">
      <c r="B594" s="1857" t="s">
        <v>1225</v>
      </c>
      <c r="D594" s="2008" t="s">
        <v>1353</v>
      </c>
      <c r="E594" s="2038" t="str">
        <f>'Part IV-A-Uses of Funds'!E91</f>
        <v>No</v>
      </c>
      <c r="G594" s="1872">
        <f>'Part IV-A-Uses of Funds'!G91</f>
        <v>0</v>
      </c>
      <c r="H594" s="1872"/>
      <c r="I594" s="1866"/>
      <c r="J594" s="1872">
        <f>'Part IV-A-Uses of Funds'!J91</f>
        <v>0</v>
      </c>
      <c r="K594" s="1872"/>
      <c r="L594" s="1890"/>
      <c r="M594" s="1872">
        <f>'Part IV-A-Uses of Funds'!M91</f>
        <v>0</v>
      </c>
      <c r="N594" s="1872"/>
      <c r="P594" s="1872">
        <f>'Part IV-A-Uses of Funds'!P91</f>
        <v>0</v>
      </c>
      <c r="Q594" s="1872"/>
      <c r="S594" s="1872">
        <f>'Part IV-A-Uses of Funds'!S91</f>
        <v>0</v>
      </c>
      <c r="T594" s="1872"/>
      <c r="V594" s="2005"/>
      <c r="W594" s="2006"/>
      <c r="X594" s="2006"/>
      <c r="AZ594" s="1938"/>
      <c r="BA594" s="1858">
        <v>91</v>
      </c>
    </row>
    <row r="595" spans="1:53" s="1857" customFormat="1" ht="12" customHeight="1">
      <c r="F595" s="2008" t="s">
        <v>183</v>
      </c>
      <c r="G595" s="2003">
        <f>SUM(G591:G594)</f>
        <v>121402</v>
      </c>
      <c r="H595" s="2003"/>
      <c r="J595" s="2003">
        <f>SUM(J591:J594)</f>
        <v>121402</v>
      </c>
      <c r="K595" s="2003"/>
      <c r="L595" s="1890"/>
      <c r="M595" s="2003">
        <f>SUM(M591:M594)</f>
        <v>0</v>
      </c>
      <c r="N595" s="2003"/>
      <c r="P595" s="2003">
        <f>SUM(P591:P594)</f>
        <v>0</v>
      </c>
      <c r="Q595" s="2003"/>
      <c r="S595" s="2003">
        <f>SUM(S591:S594)</f>
        <v>0</v>
      </c>
      <c r="T595" s="2003"/>
      <c r="V595" s="2005">
        <f>SUM(V591:V594)</f>
        <v>0</v>
      </c>
      <c r="W595" s="2006"/>
      <c r="X595" s="2006"/>
      <c r="AZ595" s="1938"/>
      <c r="BA595" s="1858">
        <v>92</v>
      </c>
    </row>
    <row r="596" spans="1:53" s="1857" customFormat="1" ht="6" customHeight="1">
      <c r="A596" s="1858"/>
      <c r="B596" s="1858"/>
      <c r="C596" s="1858"/>
      <c r="D596" s="1858"/>
      <c r="E596" s="1858"/>
      <c r="F596" s="1858"/>
      <c r="G596" s="1858"/>
      <c r="H596" s="1858"/>
      <c r="I596" s="1858"/>
      <c r="J596" s="1858"/>
      <c r="K596" s="1858"/>
      <c r="L596" s="1858"/>
      <c r="M596" s="1858"/>
      <c r="N596" s="1858"/>
      <c r="O596" s="1858"/>
      <c r="P596" s="1858"/>
      <c r="Q596" s="1858"/>
      <c r="R596" s="1858"/>
      <c r="S596" s="1858"/>
      <c r="T596" s="1858"/>
      <c r="V596" s="2009"/>
      <c r="AZ596" s="1938"/>
      <c r="BA596" s="1858">
        <v>101</v>
      </c>
    </row>
    <row r="597" spans="1:53" s="1857" customFormat="1" ht="18" customHeight="1">
      <c r="A597" s="2001" t="s">
        <v>586</v>
      </c>
      <c r="B597" s="2001" t="s">
        <v>7132</v>
      </c>
      <c r="J597" s="1857" t="s">
        <v>260</v>
      </c>
      <c r="L597" s="2003"/>
      <c r="M597" s="2003" t="s">
        <v>468</v>
      </c>
      <c r="N597" s="2003"/>
      <c r="P597" s="1857" t="s">
        <v>261</v>
      </c>
      <c r="S597" s="1857" t="s">
        <v>262</v>
      </c>
      <c r="V597" s="2004" t="str">
        <f>B597</f>
        <v>DEVELOPMENT BUDGET  (cont'd)</v>
      </c>
      <c r="AZ597" s="1938"/>
      <c r="BA597" s="1858">
        <v>102</v>
      </c>
    </row>
    <row r="598" spans="1:53" s="1857" customFormat="1" ht="18" customHeight="1">
      <c r="G598" s="1857" t="s">
        <v>94</v>
      </c>
      <c r="L598" s="2003"/>
      <c r="M598" s="2003"/>
      <c r="N598" s="2003"/>
      <c r="V598" s="1866" t="s">
        <v>2536</v>
      </c>
      <c r="X598" s="1866"/>
      <c r="AZ598" s="1938"/>
      <c r="BA598" s="1858">
        <v>103</v>
      </c>
    </row>
    <row r="599" spans="1:53" s="1857" customFormat="1" ht="12" customHeight="1">
      <c r="B599" s="1857" t="s">
        <v>694</v>
      </c>
      <c r="J599" s="1890"/>
      <c r="K599" s="1890"/>
      <c r="M599" s="1890"/>
      <c r="N599" s="1890"/>
      <c r="O599" s="1890" t="str">
        <f>B599</f>
        <v>PERMANENT FINANCING FEES</v>
      </c>
      <c r="P599" s="1890"/>
      <c r="Q599" s="1890"/>
      <c r="S599" s="1890"/>
      <c r="T599" s="1890"/>
      <c r="V599" s="2009"/>
      <c r="W599" s="1857" t="str">
        <f>B599</f>
        <v>PERMANENT FINANCING FEES</v>
      </c>
      <c r="AZ599" s="1938" t="s">
        <v>6693</v>
      </c>
      <c r="BA599" s="1869">
        <v>93</v>
      </c>
    </row>
    <row r="600" spans="1:53" s="1857" customFormat="1" ht="12" customHeight="1">
      <c r="B600" s="1857" t="s">
        <v>1226</v>
      </c>
      <c r="G600" s="1872">
        <f>'Part IV-A-Uses of Funds'!G97</f>
        <v>50000</v>
      </c>
      <c r="H600" s="1872"/>
      <c r="J600" s="2003"/>
      <c r="K600" s="2003"/>
      <c r="L600" s="1890"/>
      <c r="M600" s="2003"/>
      <c r="N600" s="2003"/>
      <c r="P600" s="2003"/>
      <c r="Q600" s="2003"/>
      <c r="S600" s="1872">
        <f>'Part IV-A-Uses of Funds'!S97</f>
        <v>50000</v>
      </c>
      <c r="T600" s="1872"/>
      <c r="V600" s="2005"/>
      <c r="W600" s="2006"/>
      <c r="X600" s="2006"/>
      <c r="AZ600" s="1938" t="s">
        <v>6694</v>
      </c>
      <c r="BA600" s="1858">
        <v>94</v>
      </c>
    </row>
    <row r="601" spans="1:53" s="1857" customFormat="1" ht="12" customHeight="1">
      <c r="B601" s="1857" t="s">
        <v>1227</v>
      </c>
      <c r="G601" s="1872">
        <f>'Part IV-A-Uses of Funds'!G98</f>
        <v>30000</v>
      </c>
      <c r="H601" s="1872"/>
      <c r="J601" s="2003"/>
      <c r="K601" s="2003"/>
      <c r="L601" s="1890"/>
      <c r="M601" s="2003"/>
      <c r="N601" s="2003"/>
      <c r="P601" s="2003"/>
      <c r="Q601" s="2003"/>
      <c r="S601" s="1872">
        <f>'Part IV-A-Uses of Funds'!S98</f>
        <v>30000</v>
      </c>
      <c r="T601" s="1872"/>
      <c r="V601" s="2005"/>
      <c r="W601" s="2006"/>
      <c r="X601" s="2006"/>
      <c r="AZ601" s="1938"/>
      <c r="BA601" s="1858">
        <v>95</v>
      </c>
    </row>
    <row r="602" spans="1:53" s="1857" customFormat="1" ht="12" customHeight="1">
      <c r="B602" s="1857" t="s">
        <v>1228</v>
      </c>
      <c r="G602" s="1872">
        <f>'Part IV-A-Uses of Funds'!G99</f>
        <v>0</v>
      </c>
      <c r="H602" s="1872"/>
      <c r="J602" s="2003"/>
      <c r="K602" s="2003"/>
      <c r="L602" s="1890"/>
      <c r="M602" s="2003"/>
      <c r="N602" s="2003"/>
      <c r="P602" s="2003"/>
      <c r="Q602" s="2003"/>
      <c r="S602" s="1872">
        <f>'Part IV-A-Uses of Funds'!S99</f>
        <v>0</v>
      </c>
      <c r="T602" s="1872"/>
      <c r="V602" s="2005"/>
      <c r="W602" s="2006"/>
      <c r="X602" s="2006"/>
      <c r="AZ602" s="1938"/>
      <c r="BA602" s="1858">
        <v>96</v>
      </c>
    </row>
    <row r="603" spans="1:53" s="1857" customFormat="1" ht="12" customHeight="1">
      <c r="B603" s="1857" t="s">
        <v>1230</v>
      </c>
      <c r="G603" s="1872">
        <f>'Part IV-A-Uses of Funds'!G100</f>
        <v>0</v>
      </c>
      <c r="H603" s="1872"/>
      <c r="J603" s="2003"/>
      <c r="K603" s="2003"/>
      <c r="L603" s="1890"/>
      <c r="M603" s="2003"/>
      <c r="N603" s="2003"/>
      <c r="P603" s="2003"/>
      <c r="Q603" s="2003"/>
      <c r="S603" s="1872">
        <f>'Part IV-A-Uses of Funds'!S100</f>
        <v>0</v>
      </c>
      <c r="T603" s="1872"/>
      <c r="V603" s="2005"/>
      <c r="W603" s="2006"/>
      <c r="X603" s="2006"/>
      <c r="AZ603" s="1938"/>
      <c r="BA603" s="1858">
        <v>97</v>
      </c>
    </row>
    <row r="604" spans="1:53" s="1857" customFormat="1" ht="12" customHeight="1">
      <c r="B604" s="1857" t="s">
        <v>2194</v>
      </c>
      <c r="G604" s="1872">
        <f>'Part IV-A-Uses of Funds'!G101</f>
        <v>0</v>
      </c>
      <c r="H604" s="1872"/>
      <c r="J604" s="2003"/>
      <c r="K604" s="2003"/>
      <c r="L604" s="1890"/>
      <c r="M604" s="2003"/>
      <c r="N604" s="2003"/>
      <c r="P604" s="2003"/>
      <c r="Q604" s="2003"/>
      <c r="S604" s="1872">
        <f>'Part IV-A-Uses of Funds'!S101</f>
        <v>0</v>
      </c>
      <c r="T604" s="1872"/>
      <c r="V604" s="2005"/>
      <c r="W604" s="2006"/>
      <c r="X604" s="2006"/>
      <c r="AZ604" s="1938"/>
      <c r="BA604" s="1858">
        <v>98</v>
      </c>
    </row>
    <row r="605" spans="1:53" s="1857" customFormat="1" ht="12" customHeight="1">
      <c r="A605" s="2007" t="str">
        <f>IF(AND(G605&gt;0,OR(C605="",C605="&lt;Enter detailed description here; use Comments section if needed&gt;")),"X","")</f>
        <v/>
      </c>
      <c r="B605" s="1865" t="s">
        <v>6584</v>
      </c>
      <c r="C605" s="1870" t="str">
        <f>'Part IV-A-Uses of Funds'!C102</f>
        <v>&lt;&lt; Enter description here; provide detail &amp; justification in tab Part IV-b &gt;&gt;</v>
      </c>
      <c r="D605" s="1870"/>
      <c r="E605" s="1870"/>
      <c r="F605" s="1870"/>
      <c r="G605" s="1872">
        <f>'Part IV-A-Uses of Funds'!G102</f>
        <v>0</v>
      </c>
      <c r="H605" s="1872"/>
      <c r="J605" s="2003"/>
      <c r="K605" s="2003"/>
      <c r="L605" s="1890"/>
      <c r="M605" s="2003"/>
      <c r="N605" s="2003"/>
      <c r="P605" s="2003"/>
      <c r="Q605" s="2003"/>
      <c r="S605" s="1872">
        <f>'Part IV-A-Uses of Funds'!S102</f>
        <v>0</v>
      </c>
      <c r="T605" s="1872"/>
      <c r="U605" s="1859" t="str">
        <f>IF(AND(G605&gt;0,OR(C605="",C605="&lt;Enter detailed description here; use Comments section if needed&gt;")),"NO DESCRIPTION PROVIDED - please enter detailed description in Other box at left; use Comments section below if needed.","")</f>
        <v/>
      </c>
      <c r="V605" s="2005"/>
      <c r="W605" s="2006"/>
      <c r="X605" s="2006"/>
      <c r="AZ605" s="1938"/>
      <c r="BA605" s="1858">
        <v>99</v>
      </c>
    </row>
    <row r="606" spans="1:53" s="1857" customFormat="1" ht="12" customHeight="1">
      <c r="F606" s="2008" t="s">
        <v>183</v>
      </c>
      <c r="G606" s="2003">
        <f>SUM(G600:G605)</f>
        <v>80000</v>
      </c>
      <c r="H606" s="2003"/>
      <c r="J606" s="2003"/>
      <c r="K606" s="2003"/>
      <c r="L606" s="1890"/>
      <c r="M606" s="2003"/>
      <c r="N606" s="2003"/>
      <c r="P606" s="2003"/>
      <c r="Q606" s="2003"/>
      <c r="S606" s="2003">
        <f>SUM(S600:S605)</f>
        <v>80000</v>
      </c>
      <c r="T606" s="2003"/>
      <c r="V606" s="2005">
        <f>SUM(V600:V605)</f>
        <v>0</v>
      </c>
      <c r="W606" s="2006"/>
      <c r="X606" s="2006"/>
      <c r="AZ606" s="1938"/>
      <c r="BA606" s="1869">
        <v>100</v>
      </c>
    </row>
    <row r="607" spans="1:53" s="1857" customFormat="1" ht="13.35" customHeight="1">
      <c r="B607" s="1857" t="s">
        <v>695</v>
      </c>
      <c r="J607" s="1890"/>
      <c r="K607" s="1890"/>
      <c r="M607" s="1890"/>
      <c r="N607" s="1890"/>
      <c r="O607" s="1890" t="str">
        <f>B607</f>
        <v>DCA-RELATED COSTS</v>
      </c>
      <c r="P607" s="1890"/>
      <c r="Q607" s="1890"/>
      <c r="S607" s="1890"/>
      <c r="T607" s="1890"/>
      <c r="V607" s="2009"/>
      <c r="W607" s="1857" t="str">
        <f>B607</f>
        <v>DCA-RELATED COSTS</v>
      </c>
      <c r="AZ607" s="1938"/>
      <c r="BA607" s="1858">
        <v>104</v>
      </c>
    </row>
    <row r="608" spans="1:53" s="1857" customFormat="1" ht="12.6" customHeight="1">
      <c r="B608" s="1857" t="str">
        <f>CONCATENATE("DCA HOME Loan Consent Pre-Application Fee ($",'DCA Underwriting Assumptions'!$Q$82, " FP/JV, $",'DCA Underwriting Assumptions'!$Q$83, " NP)")</f>
        <v>DCA HOME Loan Consent Pre-Application Fee ($1000 FP/JV, $500 NP)</v>
      </c>
      <c r="G608" s="1872">
        <f>'Part IV-A-Uses of Funds'!G105</f>
        <v>1000</v>
      </c>
      <c r="H608" s="1872"/>
      <c r="J608" s="1890"/>
      <c r="K608" s="1890"/>
      <c r="L608" s="1890"/>
      <c r="M608" s="1890"/>
      <c r="N608" s="1890"/>
      <c r="P608" s="1890"/>
      <c r="Q608" s="1890"/>
      <c r="S608" s="1872">
        <f>'Part IV-A-Uses of Funds'!S105</f>
        <v>1000</v>
      </c>
      <c r="T608" s="1872"/>
      <c r="V608" s="2005"/>
      <c r="W608" s="2006"/>
      <c r="X608" s="2006"/>
      <c r="AZ608" s="1938"/>
      <c r="BA608" s="1858">
        <v>105</v>
      </c>
    </row>
    <row r="609" spans="1:53" s="1857" customFormat="1" ht="12.6" customHeight="1">
      <c r="B609" s="1857" t="str">
        <f>CONCATENATE("Tax Credit Application Fee ($",'DCA Underwriting Assumptions'!$Q$88, " ForProf/JntVent, $",'DCA Underwriting Assumptions'!$Q$89, " NonProf)")</f>
        <v>Tax Credit Application Fee ($6500 ForProf/JntVent, $5500 NonProf)</v>
      </c>
      <c r="G609" s="1872">
        <f>'Part IV-A-Uses of Funds'!G106</f>
        <v>6500</v>
      </c>
      <c r="H609" s="1872"/>
      <c r="J609" s="1890"/>
      <c r="K609" s="1890"/>
      <c r="L609" s="2039"/>
      <c r="M609" s="1890"/>
      <c r="N609" s="1890"/>
      <c r="P609" s="1890"/>
      <c r="Q609" s="1890"/>
      <c r="S609" s="1872">
        <f>'Part IV-A-Uses of Funds'!S106</f>
        <v>6500</v>
      </c>
      <c r="T609" s="1872"/>
      <c r="V609" s="2005"/>
      <c r="W609" s="2006"/>
      <c r="X609" s="2006"/>
      <c r="AZ609" s="1938" t="s">
        <v>6695</v>
      </c>
      <c r="BA609" s="1858">
        <v>106</v>
      </c>
    </row>
    <row r="610" spans="1:53" s="1857" customFormat="1" ht="12.6" customHeight="1">
      <c r="B610" s="1857" t="s">
        <v>3461</v>
      </c>
      <c r="G610" s="1872">
        <f>'Part IV-A-Uses of Funds'!G107</f>
        <v>0</v>
      </c>
      <c r="H610" s="1872"/>
      <c r="J610" s="1890"/>
      <c r="K610" s="1890"/>
      <c r="L610" s="2039"/>
      <c r="M610" s="1890"/>
      <c r="N610" s="1890"/>
      <c r="P610" s="1890"/>
      <c r="Q610" s="1890"/>
      <c r="S610" s="1872">
        <f>'Part IV-A-Uses of Funds'!S107</f>
        <v>0</v>
      </c>
      <c r="T610" s="1872"/>
      <c r="V610" s="2005"/>
      <c r="W610" s="2006"/>
      <c r="X610" s="2006"/>
      <c r="AZ610" s="1938" t="s">
        <v>6696</v>
      </c>
      <c r="BA610" s="1858">
        <v>107</v>
      </c>
    </row>
    <row r="611" spans="1:53" s="1857" customFormat="1" ht="12.6" customHeight="1">
      <c r="B611" s="1857" t="s">
        <v>494</v>
      </c>
      <c r="E611" s="2040">
        <f>ROUNDUP('DCA Underwriting Assumptions'!$Q$93*J700,0)</f>
        <v>72000</v>
      </c>
      <c r="F611" s="2040"/>
      <c r="G611" s="1872">
        <f>'Part IV-A-Uses of Funds'!G108</f>
        <v>72000</v>
      </c>
      <c r="H611" s="1872"/>
      <c r="J611" s="2041" t="str">
        <f>IF(E611&gt;G611,"WARNING!  LIHTC Allocation Fee proposed is below minimum required.","")</f>
        <v/>
      </c>
      <c r="K611" s="1890"/>
      <c r="L611" s="1890"/>
      <c r="M611" s="1890"/>
      <c r="N611" s="1890"/>
      <c r="P611" s="1890"/>
      <c r="Q611" s="1890"/>
      <c r="S611" s="1872">
        <f>'Part IV-A-Uses of Funds'!S108</f>
        <v>72000</v>
      </c>
      <c r="T611" s="1872"/>
      <c r="V611" s="2005"/>
      <c r="W611" s="2006"/>
      <c r="X611" s="2006"/>
      <c r="AZ611" s="1938" t="s">
        <v>6697</v>
      </c>
      <c r="BA611" s="1858">
        <v>108</v>
      </c>
    </row>
    <row r="612" spans="1:53" s="1857" customFormat="1" ht="12.6" customHeight="1">
      <c r="B612" s="1857" t="s">
        <v>723</v>
      </c>
      <c r="E612" s="2040">
        <f>IF(NOT('Part I-Project Information'!$K$94="Income Averaging"),(('Part VI-Revenues &amp; Expenses'!$P$127+'Part VI-Revenues &amp; Expenses'!$P$138+'Part VI-Revenues &amp; Expenses'!$P$142)*'DCA Underwriting Assumptions'!$Q$97+('Part VI-Revenues &amp; Expenses'!$P$136+'Part VI-Revenues &amp; Expenses'!$P$137+'Part VI-Revenues &amp; Expenses'!$P$140+'Part VI-Revenues &amp; Expenses'!$P$141)*'DCA Underwriting Assumptions'!$Q$100),(('Part VI-Revenues &amp; Expenses'!$P$127+'Part VI-Revenues &amp; Expenses'!$P$138+'Part VI-Revenues &amp; Expenses'!$P$142)*'DCA Underwriting Assumptions'!$Q$98+('Part VI-Revenues &amp; Expenses'!$P$136+'Part VI-Revenues &amp; Expenses'!$P$137+'Part VI-Revenues &amp; Expenses'!$P$140+'Part VI-Revenues &amp; Expenses'!$P$141)*'DCA Underwriting Assumptions'!$Q$100))</f>
        <v>57600</v>
      </c>
      <c r="F612" s="2040"/>
      <c r="G612" s="1872">
        <f>'Part IV-A-Uses of Funds'!G109</f>
        <v>57600</v>
      </c>
      <c r="H612" s="1872"/>
      <c r="I612" s="2042" t="str">
        <f>IF(E612&gt;G612,"WARNING!  LIHTC Compliance Fee proposed is below minimum required.","")</f>
        <v/>
      </c>
      <c r="J612" s="2042"/>
      <c r="K612" s="2042"/>
      <c r="L612" s="2042"/>
      <c r="M612" s="2042"/>
      <c r="N612" s="2042"/>
      <c r="O612" s="2042"/>
      <c r="P612" s="2042"/>
      <c r="Q612" s="2042"/>
      <c r="R612" s="2042"/>
      <c r="S612" s="1872">
        <f>'Part IV-A-Uses of Funds'!S109</f>
        <v>57600</v>
      </c>
      <c r="T612" s="1872"/>
      <c r="V612" s="2005"/>
      <c r="W612" s="2006"/>
      <c r="X612" s="2006"/>
      <c r="AZ612" s="1938"/>
      <c r="BA612" s="1869">
        <v>109</v>
      </c>
    </row>
    <row r="613" spans="1:53" s="1857" customFormat="1" ht="12.6" customHeight="1">
      <c r="B613" s="1857" t="s">
        <v>3601</v>
      </c>
      <c r="F613" s="2043">
        <f>ROUNDUP('DCA Underwriting Assumptions'!$Q$95,0)</f>
        <v>0</v>
      </c>
      <c r="G613" s="1872">
        <f>'Part IV-A-Uses of Funds'!G110</f>
        <v>0</v>
      </c>
      <c r="H613" s="1872"/>
      <c r="I613" s="2042"/>
      <c r="J613" s="2042"/>
      <c r="K613" s="2042"/>
      <c r="L613" s="2042"/>
      <c r="M613" s="2042"/>
      <c r="N613" s="2042"/>
      <c r="O613" s="2042"/>
      <c r="P613" s="2042"/>
      <c r="Q613" s="2042"/>
      <c r="R613" s="2042"/>
      <c r="S613" s="1872">
        <f>'Part IV-A-Uses of Funds'!S110</f>
        <v>0</v>
      </c>
      <c r="T613" s="1872"/>
      <c r="V613" s="2005"/>
      <c r="W613" s="2006"/>
      <c r="X613" s="2006"/>
      <c r="AZ613" s="1938"/>
      <c r="BA613" s="1858">
        <v>110</v>
      </c>
    </row>
    <row r="614" spans="1:53" s="1857" customFormat="1" ht="12.6" customHeight="1">
      <c r="B614" s="1857" t="s">
        <v>3602</v>
      </c>
      <c r="F614" s="2043">
        <f>ROUNDUP('DCA Underwriting Assumptions'!$Q$128,0)</f>
        <v>3000</v>
      </c>
      <c r="G614" s="1872">
        <f>'Part IV-A-Uses of Funds'!G111</f>
        <v>3000</v>
      </c>
      <c r="H614" s="1872"/>
      <c r="J614" s="1875"/>
      <c r="K614" s="1875"/>
      <c r="L614" s="1875"/>
      <c r="M614" s="1875"/>
      <c r="N614" s="1875"/>
      <c r="O614" s="1875"/>
      <c r="P614" s="1875"/>
      <c r="Q614" s="1875"/>
      <c r="S614" s="1872">
        <f>'Part IV-A-Uses of Funds'!S111</f>
        <v>3000</v>
      </c>
      <c r="T614" s="1872"/>
      <c r="V614" s="2005"/>
      <c r="W614" s="2006"/>
      <c r="X614" s="2006"/>
      <c r="AZ614" s="1938"/>
      <c r="BA614" s="1858">
        <v>111</v>
      </c>
    </row>
    <row r="615" spans="1:53" s="1857" customFormat="1" ht="12.6" customHeight="1">
      <c r="A615" s="2007" t="str">
        <f>IF(AND(G615&gt;0,OR(C615="",C615="&lt;Enter detailed description here; use Comments section if needed&gt;")),"X","")</f>
        <v/>
      </c>
      <c r="B615" s="1865" t="s">
        <v>6580</v>
      </c>
      <c r="C615" s="1870" t="str">
        <f>'Part IV-A-Uses of Funds'!C112</f>
        <v>&lt;&lt; Enter description here; provide detail &amp; justification in tab Part IV-b &gt;&gt;</v>
      </c>
      <c r="D615" s="1870"/>
      <c r="E615" s="1870"/>
      <c r="F615" s="1870"/>
      <c r="G615" s="1872">
        <f>'Part IV-A-Uses of Funds'!G112</f>
        <v>0</v>
      </c>
      <c r="H615" s="1872"/>
      <c r="J615" s="1875"/>
      <c r="K615" s="1875"/>
      <c r="L615" s="1875"/>
      <c r="M615" s="1875"/>
      <c r="N615" s="1875"/>
      <c r="O615" s="1875"/>
      <c r="P615" s="1875"/>
      <c r="Q615" s="1875"/>
      <c r="S615" s="1872">
        <f>'Part IV-A-Uses of Funds'!S112</f>
        <v>0</v>
      </c>
      <c r="T615" s="1872"/>
      <c r="U615" s="1859" t="str">
        <f>IF(AND(G615&gt;0,OR(C615="",C615="&lt;Enter detailed description here; use Comments section if needed&gt;")),"NO DESCRIPTION PROVIDED - please enter detailed description in Other box at left; use Comments section below if needed.","")</f>
        <v/>
      </c>
      <c r="V615" s="2005"/>
      <c r="W615" s="2006"/>
      <c r="X615" s="2006"/>
      <c r="AZ615" s="1938"/>
      <c r="BA615" s="1869">
        <v>112</v>
      </c>
    </row>
    <row r="616" spans="1:53" s="1857" customFormat="1" ht="12.6" customHeight="1">
      <c r="A616" s="2007" t="str">
        <f>IF(AND(G616&gt;0,OR(C616="",C616="&lt;Enter detailed description here; use Comments section if needed&gt;")),"X","")</f>
        <v/>
      </c>
      <c r="B616" s="1865" t="s">
        <v>6580</v>
      </c>
      <c r="C616" s="1870" t="str">
        <f>'Part IV-A-Uses of Funds'!C113</f>
        <v>&lt;&lt; Enter description here; provide detail &amp; justification in tab Part IV-b &gt;&gt;</v>
      </c>
      <c r="D616" s="1870"/>
      <c r="E616" s="1870"/>
      <c r="F616" s="1870"/>
      <c r="G616" s="1872">
        <f>'Part IV-A-Uses of Funds'!G113</f>
        <v>0</v>
      </c>
      <c r="H616" s="1872"/>
      <c r="J616" s="1875"/>
      <c r="K616" s="1875"/>
      <c r="L616" s="1875"/>
      <c r="M616" s="1875"/>
      <c r="N616" s="1875"/>
      <c r="O616" s="1875"/>
      <c r="P616" s="1875"/>
      <c r="Q616" s="1875"/>
      <c r="S616" s="1872">
        <f>'Part IV-A-Uses of Funds'!S113</f>
        <v>0</v>
      </c>
      <c r="T616" s="1872"/>
      <c r="U616" s="1859" t="str">
        <f>IF(AND(G616&gt;0,OR(C616="",C616="&lt;Enter detailed description here; use Comments section if needed&gt;")),"NO DESCRIPTION PROVIDED - please enter detailed description in Other box at left; use Comments section below if needed.","")</f>
        <v/>
      </c>
      <c r="V616" s="2005"/>
      <c r="W616" s="2006"/>
      <c r="X616" s="2006"/>
      <c r="AZ616" s="1938" t="s">
        <v>6698</v>
      </c>
      <c r="BA616" s="1858">
        <v>113</v>
      </c>
    </row>
    <row r="617" spans="1:53" s="1857" customFormat="1" ht="12.6" customHeight="1">
      <c r="F617" s="2008" t="s">
        <v>183</v>
      </c>
      <c r="G617" s="2003">
        <f>SUM(G608:G616)</f>
        <v>140100</v>
      </c>
      <c r="H617" s="2003"/>
      <c r="J617" s="1890"/>
      <c r="K617" s="1890"/>
      <c r="L617" s="1890"/>
      <c r="M617" s="1890"/>
      <c r="N617" s="1890"/>
      <c r="P617" s="1890"/>
      <c r="Q617" s="1890"/>
      <c r="S617" s="2003">
        <f>SUM(S608:S616)</f>
        <v>140100</v>
      </c>
      <c r="T617" s="2003"/>
      <c r="V617" s="2005">
        <f>SUM(V608:V616)</f>
        <v>0</v>
      </c>
      <c r="W617" s="2044"/>
      <c r="X617" s="2044"/>
      <c r="AZ617" s="1938" t="s">
        <v>6699</v>
      </c>
      <c r="BA617" s="1858">
        <v>114</v>
      </c>
    </row>
    <row r="618" spans="1:53" s="1857" customFormat="1" ht="13.35" customHeight="1">
      <c r="B618" s="1857" t="s">
        <v>2195</v>
      </c>
      <c r="J618" s="1890"/>
      <c r="K618" s="1890"/>
      <c r="M618" s="1890"/>
      <c r="N618" s="1890"/>
      <c r="O618" s="1890" t="str">
        <f>B618</f>
        <v>EQUITY COSTS</v>
      </c>
      <c r="P618" s="1890"/>
      <c r="Q618" s="1890"/>
      <c r="S618" s="1890"/>
      <c r="T618" s="1890"/>
      <c r="V618" s="2009"/>
      <c r="W618" s="1857" t="str">
        <f>B618</f>
        <v>EQUITY COSTS</v>
      </c>
      <c r="AZ618" s="1925"/>
      <c r="BA618" s="1858">
        <v>115</v>
      </c>
    </row>
    <row r="619" spans="1:53" s="1857" customFormat="1" ht="12.6" customHeight="1">
      <c r="B619" s="1857" t="s">
        <v>268</v>
      </c>
      <c r="G619" s="1872">
        <f>'Part IV-A-Uses of Funds'!G116</f>
        <v>35000</v>
      </c>
      <c r="H619" s="1872"/>
      <c r="J619" s="2003"/>
      <c r="K619" s="2003"/>
      <c r="L619" s="1890"/>
      <c r="M619" s="2003"/>
      <c r="N619" s="2003"/>
      <c r="P619" s="2003"/>
      <c r="Q619" s="2003"/>
      <c r="S619" s="1872">
        <f>'Part IV-A-Uses of Funds'!S116</f>
        <v>35000</v>
      </c>
      <c r="T619" s="1872"/>
      <c r="V619" s="2005"/>
      <c r="W619" s="2006"/>
      <c r="X619" s="2006"/>
      <c r="AZ619" s="1925"/>
      <c r="BA619" s="1858">
        <v>116</v>
      </c>
    </row>
    <row r="620" spans="1:53" s="1857" customFormat="1" ht="12.6" customHeight="1">
      <c r="B620" s="1857" t="s">
        <v>269</v>
      </c>
      <c r="G620" s="1872">
        <f>'Part IV-A-Uses of Funds'!G117</f>
        <v>0</v>
      </c>
      <c r="H620" s="1872"/>
      <c r="J620" s="2003"/>
      <c r="K620" s="2003"/>
      <c r="L620" s="1890"/>
      <c r="M620" s="2003"/>
      <c r="N620" s="2003"/>
      <c r="P620" s="2003"/>
      <c r="Q620" s="2003"/>
      <c r="S620" s="1872">
        <f>'Part IV-A-Uses of Funds'!S117</f>
        <v>0</v>
      </c>
      <c r="T620" s="1872"/>
      <c r="V620" s="2005"/>
      <c r="W620" s="2006"/>
      <c r="X620" s="2006"/>
      <c r="AZ620" s="1925"/>
      <c r="BA620" s="1858">
        <v>117</v>
      </c>
    </row>
    <row r="621" spans="1:53" s="1857" customFormat="1" ht="12.6" customHeight="1">
      <c r="B621" s="1857" t="s">
        <v>2278</v>
      </c>
      <c r="G621" s="1872">
        <f>'Part IV-A-Uses of Funds'!G118</f>
        <v>0</v>
      </c>
      <c r="H621" s="1872"/>
      <c r="J621" s="2003"/>
      <c r="K621" s="2003"/>
      <c r="L621" s="1890"/>
      <c r="M621" s="2003"/>
      <c r="N621" s="2003"/>
      <c r="P621" s="2003"/>
      <c r="Q621" s="2003"/>
      <c r="S621" s="1872">
        <f>'Part IV-A-Uses of Funds'!S118</f>
        <v>0</v>
      </c>
      <c r="T621" s="1872"/>
      <c r="V621" s="2005"/>
      <c r="W621" s="2006"/>
      <c r="X621" s="2006"/>
      <c r="AZ621" s="1925"/>
      <c r="BA621" s="1858">
        <v>118</v>
      </c>
    </row>
    <row r="622" spans="1:53" s="1857" customFormat="1" ht="12.6" customHeight="1">
      <c r="A622" s="2007" t="str">
        <f>IF(AND(G622&gt;0,OR(C622="",C622="&lt;Enter detailed description here; use Comments section if needed&gt;")),"X","")</f>
        <v/>
      </c>
      <c r="B622" s="1865" t="s">
        <v>6580</v>
      </c>
      <c r="C622" s="1870" t="str">
        <f>'Part IV-A-Uses of Funds'!C119</f>
        <v>Syndicator Due Diligence Fees</v>
      </c>
      <c r="D622" s="1870"/>
      <c r="E622" s="1870"/>
      <c r="F622" s="1870"/>
      <c r="G622" s="1872">
        <f>'Part IV-A-Uses of Funds'!G119</f>
        <v>40000</v>
      </c>
      <c r="H622" s="1872"/>
      <c r="J622" s="2003"/>
      <c r="K622" s="2003"/>
      <c r="L622" s="1890"/>
      <c r="M622" s="2003"/>
      <c r="N622" s="2003"/>
      <c r="P622" s="2003"/>
      <c r="Q622" s="2003"/>
      <c r="S622" s="1872">
        <f>'Part IV-A-Uses of Funds'!S119</f>
        <v>40000</v>
      </c>
      <c r="T622" s="1872"/>
      <c r="U622" s="1859" t="str">
        <f>IF(AND(G622&gt;0,OR(C622="",C622="&lt;Enter detailed description here; use Comments section if needed&gt;")),"NO DESCRIPTION PROVIDED - please enter detailed description in Other box at left; use Comments section below if needed.","")</f>
        <v/>
      </c>
      <c r="V622" s="2005"/>
      <c r="W622" s="2006"/>
      <c r="X622" s="2006"/>
      <c r="AZ622" s="1925"/>
      <c r="BA622" s="1858">
        <v>119</v>
      </c>
    </row>
    <row r="623" spans="1:53" s="1857" customFormat="1" ht="12.6" customHeight="1">
      <c r="F623" s="2008" t="s">
        <v>183</v>
      </c>
      <c r="G623" s="2003">
        <f>SUM(G619:G622)</f>
        <v>75000</v>
      </c>
      <c r="H623" s="2003"/>
      <c r="J623" s="2003"/>
      <c r="K623" s="2003"/>
      <c r="L623" s="1890"/>
      <c r="M623" s="2003"/>
      <c r="N623" s="2003"/>
      <c r="P623" s="2003"/>
      <c r="Q623" s="2003"/>
      <c r="S623" s="2003">
        <f>SUM(S619:S622)</f>
        <v>75000</v>
      </c>
      <c r="T623" s="2003"/>
      <c r="V623" s="2005">
        <f>SUM(V619:V622)</f>
        <v>0</v>
      </c>
      <c r="W623" s="2006"/>
      <c r="X623" s="2006"/>
      <c r="AC623" s="1951" t="s">
        <v>4113</v>
      </c>
      <c r="AD623" s="1951" t="s">
        <v>4114</v>
      </c>
      <c r="AE623" s="1951" t="s">
        <v>4119</v>
      </c>
      <c r="AF623" s="1865" t="s">
        <v>4115</v>
      </c>
      <c r="AZ623" s="1925"/>
      <c r="BA623" s="1858">
        <v>120</v>
      </c>
    </row>
    <row r="624" spans="1:53" s="1857" customFormat="1" ht="13.35" customHeight="1">
      <c r="B624" s="1857" t="s">
        <v>270</v>
      </c>
      <c r="D624" s="1990" t="s">
        <v>4116</v>
      </c>
      <c r="E624" s="1860" t="str">
        <f>IF(OR('Part I-Project Information'!F515="9% Credit Competitive Round only",'Part I-Project Information'!F515="9% Credit &amp; HOME",'Part I-Project Information'!F515="9% Credit &amp; NHTF",'Part I-Project Information'!F515="9% Credit &amp; NHTF &amp; HOME"),"9%",IF(OR('Part I-Project Information'!F515="4% Credit/TE Bond",'Part I-Project Information'!F515="4% Credit/TE Bond &amp; HOME",'Part I-Project Information'!F515="4% Credit/TE Bond &amp; HOME NOFA",'Part I-Project Information'!F515="4% Credit &amp; NHTF &amp; HOME"),"4%",""))</f>
        <v/>
      </c>
      <c r="F624" s="1865"/>
      <c r="J624" s="1890"/>
      <c r="K624" s="2003"/>
      <c r="M624" s="1890"/>
      <c r="N624" s="2003"/>
      <c r="O624" s="1890" t="str">
        <f>B624</f>
        <v>DEVELOPER'S FEE</v>
      </c>
      <c r="P624" s="1890"/>
      <c r="Q624" s="2003"/>
      <c r="S624" s="1890"/>
      <c r="T624" s="2003"/>
      <c r="V624" s="2009"/>
      <c r="W624" s="1857" t="str">
        <f>B624</f>
        <v>DEVELOPER'S FEE</v>
      </c>
      <c r="Y624" s="1951" t="s">
        <v>4104</v>
      </c>
      <c r="Z624" s="1968"/>
      <c r="AA624" s="2045" t="s">
        <v>4110</v>
      </c>
      <c r="AB624" s="2045" t="s">
        <v>4111</v>
      </c>
      <c r="AC624" s="1951"/>
      <c r="AD624" s="1951"/>
      <c r="AE624" s="1951"/>
      <c r="AF624" s="1865"/>
      <c r="AI624" s="1925"/>
      <c r="AK624" s="2046"/>
      <c r="AZ624" s="1925" t="s">
        <v>6700</v>
      </c>
      <c r="BA624" s="1869">
        <v>121</v>
      </c>
    </row>
    <row r="625" spans="1:53" s="1857" customFormat="1" ht="12.6" customHeight="1">
      <c r="B625" s="1857" t="s">
        <v>1773</v>
      </c>
      <c r="F625" s="1985">
        <f>IF($G$127=0,0,G625/$G$127)</f>
        <v>0</v>
      </c>
      <c r="G625" s="1872">
        <f>'Part IV-A-Uses of Funds'!G122</f>
        <v>0</v>
      </c>
      <c r="H625" s="1872"/>
      <c r="J625" s="1872">
        <f>'Part IV-A-Uses of Funds'!J122</f>
        <v>0</v>
      </c>
      <c r="K625" s="1872"/>
      <c r="L625" s="1890"/>
      <c r="M625" s="1872">
        <f>'Part IV-A-Uses of Funds'!M122</f>
        <v>0</v>
      </c>
      <c r="N625" s="1872"/>
      <c r="P625" s="1872">
        <f>'Part IV-A-Uses of Funds'!P122</f>
        <v>0</v>
      </c>
      <c r="Q625" s="1872"/>
      <c r="S625" s="1872">
        <f>'Part IV-A-Uses of Funds'!S122</f>
        <v>0</v>
      </c>
      <c r="T625" s="1872"/>
      <c r="V625" s="2005"/>
      <c r="W625" s="2006"/>
      <c r="X625" s="2006"/>
      <c r="Y625" s="1853"/>
      <c r="Z625" s="2047">
        <v>0.09</v>
      </c>
      <c r="AA625" s="2048">
        <f>'DCA Underwriting Assumptions'!$J$105</f>
        <v>1</v>
      </c>
      <c r="AB625" s="2048">
        <f>'DCA Underwriting Assumptions'!$K$105</f>
        <v>50</v>
      </c>
      <c r="AC625" s="2049">
        <f>'DCA Underwriting Assumptions'!$Q$105</f>
        <v>25000</v>
      </c>
      <c r="AD625" s="2049">
        <f>AB625*AC625</f>
        <v>1250000</v>
      </c>
      <c r="AE625" s="2049">
        <f>IF('Part VI-Revenues &amp; Expenses'!$P$67&lt;AA626,'Part VI-Revenues &amp; Expenses'!$P$67*'Part IV-A-Uses of Funds'!AC625,AB625*AC625)</f>
        <v>1250000</v>
      </c>
      <c r="AF625" s="2050">
        <f>SUM(AE625:AE627)</f>
        <v>1280000</v>
      </c>
      <c r="AI625" s="1925"/>
      <c r="AZ625" s="1925"/>
      <c r="BA625" s="1858">
        <v>122</v>
      </c>
    </row>
    <row r="626" spans="1:53" s="1857" customFormat="1" ht="12.6" customHeight="1">
      <c r="B626" s="1857" t="s">
        <v>3563</v>
      </c>
      <c r="F626" s="2051">
        <f>'Part IV-A-Uses of Funds'!F123</f>
        <v>504000</v>
      </c>
      <c r="V626" s="2005"/>
      <c r="W626" s="2006"/>
      <c r="X626" s="2006"/>
      <c r="Y626" s="1853"/>
      <c r="Z626" s="2052"/>
      <c r="AA626" s="2048">
        <f>'DCA Underwriting Assumptions'!$J$106</f>
        <v>51</v>
      </c>
      <c r="AB626" s="2048">
        <f>'DCA Underwriting Assumptions'!$K$106</f>
        <v>70</v>
      </c>
      <c r="AC626" s="2049">
        <f>'DCA Underwriting Assumptions'!$Q$106</f>
        <v>20000</v>
      </c>
      <c r="AD626" s="2049">
        <f>(AB626-AB625)*AC626</f>
        <v>400000</v>
      </c>
      <c r="AE626" s="2049">
        <f>IF(AND('Part VI-Revenues &amp; Expenses'!$P$67&gt;AB625,'Part VI-Revenues &amp; Expenses'!$P$67&lt;AA627),('Part VI-Revenues &amp; Expenses'!$P$67-AB625)*'Part IV-A-Uses of Funds'!AC626,IF(AND('Part VI-Revenues &amp; Expenses'!$P$67&gt;AB625,'Part VI-Revenues &amp; Expenses'!$P$67&gt;AB626),(AB626-AB625)*'Part IV-A-Uses of Funds'!AC626,0))</f>
        <v>0</v>
      </c>
      <c r="AF626" s="2050"/>
      <c r="AI626" s="1925"/>
      <c r="AZ626" s="1925"/>
      <c r="BA626" s="1858">
        <v>123</v>
      </c>
    </row>
    <row r="627" spans="1:53" s="1857" customFormat="1" ht="12.6" customHeight="1">
      <c r="B627" s="1857" t="s">
        <v>1774</v>
      </c>
      <c r="F627" s="1985">
        <f>IF($G$127=0,0,G627/$G$127)</f>
        <v>0</v>
      </c>
      <c r="G627" s="1872">
        <f>'Part IV-A-Uses of Funds'!G124</f>
        <v>0</v>
      </c>
      <c r="H627" s="1872"/>
      <c r="J627" s="1872">
        <f>'Part IV-A-Uses of Funds'!J124</f>
        <v>0</v>
      </c>
      <c r="K627" s="1872"/>
      <c r="L627" s="1890"/>
      <c r="M627" s="1872">
        <f>'Part IV-A-Uses of Funds'!M124</f>
        <v>0</v>
      </c>
      <c r="N627" s="1872"/>
      <c r="P627" s="1872">
        <f>'Part IV-A-Uses of Funds'!P124</f>
        <v>0</v>
      </c>
      <c r="Q627" s="1872"/>
      <c r="S627" s="1872">
        <f>'Part IV-A-Uses of Funds'!S124</f>
        <v>0</v>
      </c>
      <c r="T627" s="1872"/>
      <c r="V627" s="2005"/>
      <c r="W627" s="2006"/>
      <c r="X627" s="2006"/>
      <c r="Y627" s="1853"/>
      <c r="Z627" s="2052"/>
      <c r="AA627" s="2048">
        <f>'DCA Underwriting Assumptions'!$J$107</f>
        <v>71</v>
      </c>
      <c r="AB627" s="1930"/>
      <c r="AC627" s="2049">
        <f>'DCA Underwriting Assumptions'!$Q$107</f>
        <v>15000</v>
      </c>
      <c r="AD627" s="2049">
        <f>AF633-AD626-AD625</f>
        <v>350000</v>
      </c>
      <c r="AE627" s="2049">
        <f>MIN(AD627,IF('Part VI-Revenues &amp; Expenses'!$P$67&gt;AB626,('Part VI-Revenues &amp; Expenses'!$P$67-AB626)*AC627,0))</f>
        <v>30000</v>
      </c>
      <c r="AF627" s="2050"/>
      <c r="AI627" s="1925"/>
      <c r="AZ627" s="1925"/>
      <c r="BA627" s="1858">
        <v>124</v>
      </c>
    </row>
    <row r="628" spans="1:53" s="1857" customFormat="1" ht="12.6" customHeight="1">
      <c r="B628" s="1857" t="s">
        <v>3284</v>
      </c>
      <c r="F628" s="1985">
        <f>IF($G$127=0,0,G628/$G$127)</f>
        <v>0</v>
      </c>
      <c r="G628" s="1872">
        <f>'Part IV-A-Uses of Funds'!G125</f>
        <v>0</v>
      </c>
      <c r="H628" s="1872"/>
      <c r="J628" s="1872">
        <f>'Part IV-A-Uses of Funds'!J125</f>
        <v>0</v>
      </c>
      <c r="K628" s="1872"/>
      <c r="L628" s="1890"/>
      <c r="M628" s="1872">
        <f>'Part IV-A-Uses of Funds'!M125</f>
        <v>0</v>
      </c>
      <c r="N628" s="1872"/>
      <c r="P628" s="1872">
        <f>'Part IV-A-Uses of Funds'!P125</f>
        <v>0</v>
      </c>
      <c r="Q628" s="1872"/>
      <c r="S628" s="1872">
        <f>'Part IV-A-Uses of Funds'!S125</f>
        <v>0</v>
      </c>
      <c r="T628" s="1872"/>
      <c r="V628" s="2005"/>
      <c r="W628" s="2006"/>
      <c r="X628" s="2006"/>
      <c r="Y628" s="1853"/>
      <c r="Z628" s="2047">
        <v>0.04</v>
      </c>
      <c r="AA628" s="2048">
        <f>'DCA Underwriting Assumptions'!$J$108</f>
        <v>1</v>
      </c>
      <c r="AB628" s="2048">
        <f>'DCA Underwriting Assumptions'!$K$108</f>
        <v>100</v>
      </c>
      <c r="AC628" s="2049">
        <f>'DCA Underwriting Assumptions'!$Q$108</f>
        <v>20500</v>
      </c>
      <c r="AD628" s="2049">
        <f>AB628*AC628</f>
        <v>2050000</v>
      </c>
      <c r="AE628" s="2049">
        <f>IF('Part VI-Revenues &amp; Expenses'!$P$67&lt;AA629,'Part VI-Revenues &amp; Expenses'!$P$67*'Part IV-A-Uses of Funds'!AC628,AB628*AC628)</f>
        <v>0</v>
      </c>
      <c r="AF628" s="2050">
        <f>SUM(AE628:AE630)</f>
        <v>0</v>
      </c>
      <c r="AG628" s="2053">
        <f>51*AC628</f>
        <v>1045500</v>
      </c>
      <c r="AI628" s="1925"/>
      <c r="AZ628" s="1925"/>
      <c r="BA628" s="1858">
        <v>125</v>
      </c>
    </row>
    <row r="629" spans="1:53" s="1857" customFormat="1" ht="12.6" customHeight="1">
      <c r="B629" s="1857" t="s">
        <v>1766</v>
      </c>
      <c r="F629" s="1985">
        <f>IF($G$127=0,0,G629/$G$127)</f>
        <v>0</v>
      </c>
      <c r="G629" s="1872">
        <f>'Part IV-A-Uses of Funds'!G126</f>
        <v>1680000</v>
      </c>
      <c r="H629" s="1872"/>
      <c r="J629" s="1872">
        <f>'Part IV-A-Uses of Funds'!J126</f>
        <v>1680000</v>
      </c>
      <c r="K629" s="1872"/>
      <c r="L629" s="1890"/>
      <c r="M629" s="1872">
        <f>'Part IV-A-Uses of Funds'!M126</f>
        <v>0</v>
      </c>
      <c r="N629" s="1872"/>
      <c r="P629" s="1872">
        <f>'Part IV-A-Uses of Funds'!P126</f>
        <v>0</v>
      </c>
      <c r="Q629" s="1872"/>
      <c r="S629" s="1872">
        <f>'Part IV-A-Uses of Funds'!S126</f>
        <v>0</v>
      </c>
      <c r="T629" s="1872"/>
      <c r="V629" s="2005"/>
      <c r="W629" s="2006"/>
      <c r="X629" s="2006"/>
      <c r="Y629" s="1853"/>
      <c r="Z629" s="2052"/>
      <c r="AA629" s="2048">
        <f>'DCA Underwriting Assumptions'!$J$109</f>
        <v>101</v>
      </c>
      <c r="AB629" s="2048">
        <f>'DCA Underwriting Assumptions'!$K$109</f>
        <v>130</v>
      </c>
      <c r="AC629" s="2049">
        <f>'DCA Underwriting Assumptions'!$Q$109</f>
        <v>18500</v>
      </c>
      <c r="AD629" s="2049">
        <f>(AB629-AB628)*AC629</f>
        <v>555000</v>
      </c>
      <c r="AE629" s="2049">
        <f>IF(AND('Part VI-Revenues &amp; Expenses'!$P$67&gt;AB628,'Part VI-Revenues &amp; Expenses'!$P$67&lt;AA630),('Part VI-Revenues &amp; Expenses'!$P$67-AB628)*'Part IV-A-Uses of Funds'!AC629,IF(AND('Part VI-Revenues &amp; Expenses'!$P$67&gt;AB628,'Part VI-Revenues &amp; Expenses'!$P$67&gt;AB629),(AB629-AB628)*'Part IV-A-Uses of Funds'!AC629,0))</f>
        <v>0</v>
      </c>
      <c r="AF629" s="2050"/>
      <c r="AG629" s="2053"/>
      <c r="AI629" s="1925"/>
      <c r="AZ629" s="1938"/>
      <c r="BA629" s="1858">
        <v>126</v>
      </c>
    </row>
    <row r="630" spans="1:53" s="1857" customFormat="1" ht="12.6" customHeight="1">
      <c r="A630" s="1860" t="str">
        <f>IF(G630&gt;E630,"DF over limit!  Round down/Enter nbr.","")</f>
        <v/>
      </c>
      <c r="B630" s="2054"/>
      <c r="D630" s="1990" t="s">
        <v>4112</v>
      </c>
      <c r="E630" s="2055" t="str">
        <f>IF(E624="9%",AF625,IF(E624="4%",AF628,"Enter app type!"))</f>
        <v>Enter app type!</v>
      </c>
      <c r="F630" s="2008" t="s">
        <v>183</v>
      </c>
      <c r="G630" s="2003">
        <f>SUM(G625:G629)</f>
        <v>1680000</v>
      </c>
      <c r="H630" s="2003"/>
      <c r="J630" s="2003">
        <f>SUM(J625:J629)</f>
        <v>1680000</v>
      </c>
      <c r="K630" s="2003"/>
      <c r="L630" s="1890"/>
      <c r="M630" s="2003">
        <f>SUM(M625:M629)</f>
        <v>0</v>
      </c>
      <c r="N630" s="2003"/>
      <c r="P630" s="2003">
        <f>SUM(P625:P629)</f>
        <v>0</v>
      </c>
      <c r="Q630" s="2003"/>
      <c r="S630" s="2003">
        <f>SUM(S625:S629)</f>
        <v>0</v>
      </c>
      <c r="T630" s="2003"/>
      <c r="V630" s="2005">
        <f>SUM(V625:V629)</f>
        <v>0</v>
      </c>
      <c r="W630" s="2006"/>
      <c r="X630" s="2006"/>
      <c r="Y630" s="1853"/>
      <c r="Z630" s="2052"/>
      <c r="AA630" s="2048">
        <f>'DCA Underwriting Assumptions'!$J$110</f>
        <v>131</v>
      </c>
      <c r="AB630" s="1930"/>
      <c r="AC630" s="2049">
        <f>'DCA Underwriting Assumptions'!$Q$110</f>
        <v>14000</v>
      </c>
      <c r="AD630" s="2049">
        <f>AF634-AD629-AD628</f>
        <v>895000</v>
      </c>
      <c r="AE630" s="2049">
        <f>MIN(AD630,IF('Part VI-Revenues &amp; Expenses'!$P$67&gt;AB629,('Part VI-Revenues &amp; Expenses'!$P$67-AB629)*AC630,0))</f>
        <v>0</v>
      </c>
      <c r="AF630" s="2050"/>
      <c r="AG630" s="2053"/>
      <c r="AI630" s="1925"/>
      <c r="AZ630" s="1938"/>
      <c r="BA630" s="1858">
        <v>127</v>
      </c>
    </row>
    <row r="631" spans="1:53" s="1857" customFormat="1" ht="13.35" customHeight="1">
      <c r="B631" s="1857" t="s">
        <v>1260</v>
      </c>
      <c r="J631" s="2003"/>
      <c r="K631" s="2003"/>
      <c r="M631" s="2003"/>
      <c r="N631" s="2003"/>
      <c r="O631" s="1890" t="str">
        <f>B631</f>
        <v>START-UP AND RESERVES</v>
      </c>
      <c r="P631" s="2003"/>
      <c r="Q631" s="2003"/>
      <c r="S631" s="2003"/>
      <c r="T631" s="2003"/>
      <c r="V631" s="2009"/>
      <c r="W631" s="1857" t="str">
        <f>B631</f>
        <v>START-UP AND RESERVES</v>
      </c>
      <c r="Y631" s="2046"/>
      <c r="Z631" s="2056"/>
      <c r="AB631" s="2046"/>
      <c r="AC631" s="1925"/>
      <c r="AD631" s="1925"/>
      <c r="AF631" s="1925"/>
      <c r="AG631" s="1925"/>
      <c r="AH631" s="1925"/>
      <c r="AI631" s="1925"/>
      <c r="AJ631" s="1925"/>
      <c r="AK631" s="1925"/>
      <c r="AZ631" s="1938" t="s">
        <v>6701</v>
      </c>
      <c r="BA631" s="1858">
        <v>128</v>
      </c>
    </row>
    <row r="632" spans="1:53" s="1857" customFormat="1" ht="12.6" customHeight="1">
      <c r="B632" s="1857" t="s">
        <v>240</v>
      </c>
      <c r="G632" s="1872">
        <f>'Part IV-A-Uses of Funds'!G129</f>
        <v>50000</v>
      </c>
      <c r="H632" s="1872"/>
      <c r="J632" s="2039"/>
      <c r="K632" s="2039"/>
      <c r="L632" s="2039"/>
      <c r="M632" s="2039"/>
      <c r="N632" s="2039"/>
      <c r="P632" s="2039"/>
      <c r="Q632" s="2039"/>
      <c r="S632" s="1872">
        <f>'Part IV-A-Uses of Funds'!S129</f>
        <v>50000</v>
      </c>
      <c r="T632" s="1872"/>
      <c r="V632" s="2005"/>
      <c r="W632" s="2006"/>
      <c r="X632" s="2006"/>
      <c r="Y632" s="1951" t="s">
        <v>4106</v>
      </c>
      <c r="Z632" s="2056"/>
      <c r="AB632" s="2046"/>
      <c r="AC632" s="1925"/>
      <c r="AD632" s="1925"/>
      <c r="AF632" s="1925"/>
      <c r="AG632" s="1925"/>
      <c r="AH632" s="1925"/>
      <c r="AI632" s="1925"/>
      <c r="AJ632" s="1925"/>
      <c r="AK632" s="1925"/>
      <c r="AZ632" s="1938" t="s">
        <v>6702</v>
      </c>
      <c r="BA632" s="1858">
        <v>129</v>
      </c>
    </row>
    <row r="633" spans="1:53" s="1857" customFormat="1" ht="12.6" customHeight="1">
      <c r="B633" s="1857" t="s">
        <v>1474</v>
      </c>
      <c r="F633" s="2011">
        <f>+'Part VI-Revenues &amp; Expenses'!$Q$225*('DCA Underwriting Assumptions'!$Q$127/12)</f>
        <v>98100.5</v>
      </c>
      <c r="G633" s="1872">
        <f>'Part IV-A-Uses of Funds'!G130</f>
        <v>127273</v>
      </c>
      <c r="H633" s="1872"/>
      <c r="J633" s="2057" t="str">
        <f>IF(E633&gt;G633,"WARNING! Rent-Up Reserves proposed is below minimum - add comment.","")</f>
        <v/>
      </c>
      <c r="K633" s="2057"/>
      <c r="L633" s="1890"/>
      <c r="M633" s="2003"/>
      <c r="N633" s="2003"/>
      <c r="P633" s="2003"/>
      <c r="Q633" s="2003"/>
      <c r="S633" s="1872">
        <f>'Part IV-A-Uses of Funds'!S130</f>
        <v>127273</v>
      </c>
      <c r="T633" s="1872"/>
      <c r="V633" s="2005"/>
      <c r="W633" s="2006"/>
      <c r="X633" s="2006"/>
      <c r="Y633" s="1853"/>
      <c r="Z633" s="2047">
        <v>0.09</v>
      </c>
      <c r="AB633" s="1951"/>
      <c r="AD633" s="1925"/>
      <c r="AF633" s="2049">
        <f>'DCA Underwriting Assumptions'!$Q$112</f>
        <v>2000000</v>
      </c>
      <c r="AG633" s="1925"/>
      <c r="AH633" s="1925"/>
      <c r="AI633" s="1925"/>
      <c r="AZ633" s="1938"/>
      <c r="BA633" s="1869">
        <v>130</v>
      </c>
    </row>
    <row r="634" spans="1:53" s="1857" customFormat="1" ht="12.6" customHeight="1">
      <c r="B634" s="1857" t="s">
        <v>648</v>
      </c>
      <c r="F634" s="2011">
        <f>'Part VI-Revenues &amp; Expenses'!$Q$225*('DCA Underwriting Assumptions'!$Q$126/12)+('Part VII-Pro Forma'!$B$26+'Part VII-Pro Forma'!$B$27+'Part VII-Pro Forma'!$B$28+'Part VII-Pro Forma'!$B$29)*'DCA Underwriting Assumptions'!$Q$125/(-12)</f>
        <v>259099.21933835215</v>
      </c>
      <c r="G634" s="1872">
        <f>'Part IV-A-Uses of Funds'!G131</f>
        <v>268099</v>
      </c>
      <c r="H634" s="1872"/>
      <c r="J634" s="2057" t="str">
        <f>IF(E634&gt;G634,"WARNING! ODR proposed is below minimum - add comment.","")</f>
        <v/>
      </c>
      <c r="K634" s="2039"/>
      <c r="L634" s="2039"/>
      <c r="M634" s="2039"/>
      <c r="N634" s="2039"/>
      <c r="P634" s="2039"/>
      <c r="Q634" s="2039"/>
      <c r="S634" s="1872">
        <f>'Part IV-A-Uses of Funds'!S131</f>
        <v>268099</v>
      </c>
      <c r="T634" s="1872"/>
      <c r="V634" s="2005"/>
      <c r="W634" s="2006"/>
      <c r="X634" s="2006"/>
      <c r="Y634" s="1853"/>
      <c r="Z634" s="2047">
        <v>0.04</v>
      </c>
      <c r="AB634" s="1951"/>
      <c r="AD634" s="1925"/>
      <c r="AF634" s="2049">
        <f>'DCA Underwriting Assumptions'!$Q$113</f>
        <v>3500000</v>
      </c>
      <c r="AG634" s="1925"/>
      <c r="AH634" s="1925"/>
      <c r="AI634" s="1925"/>
      <c r="AZ634" s="1938"/>
      <c r="BA634" s="1858">
        <v>131</v>
      </c>
    </row>
    <row r="635" spans="1:53" s="1857" customFormat="1" ht="12.6" customHeight="1">
      <c r="B635" s="1857" t="s">
        <v>1198</v>
      </c>
      <c r="G635" s="1872">
        <f>'Part IV-A-Uses of Funds'!G132</f>
        <v>0</v>
      </c>
      <c r="H635" s="1872"/>
      <c r="J635" s="2039"/>
      <c r="K635" s="2039"/>
      <c r="L635" s="2039"/>
      <c r="M635" s="2039"/>
      <c r="N635" s="2039"/>
      <c r="P635" s="2039"/>
      <c r="Q635" s="2039"/>
      <c r="S635" s="1872">
        <f>'Part IV-A-Uses of Funds'!S132</f>
        <v>0</v>
      </c>
      <c r="T635" s="1872"/>
      <c r="V635" s="2005"/>
      <c r="W635" s="2006"/>
      <c r="X635" s="2006"/>
      <c r="AZ635" s="1938" t="s">
        <v>6703</v>
      </c>
      <c r="BA635" s="1858">
        <v>132</v>
      </c>
    </row>
    <row r="636" spans="1:53" s="1857" customFormat="1" ht="12.6" customHeight="1">
      <c r="B636" s="1857" t="s">
        <v>1199</v>
      </c>
      <c r="E636" s="2010" t="s">
        <v>3258</v>
      </c>
      <c r="F636" s="2011">
        <f>IF('Part VI-Revenues &amp; Expenses'!$P$67=0,0,G636/'Part VI-Revenues &amp; Expenses'!$P$67)</f>
        <v>1736.1111111111111</v>
      </c>
      <c r="G636" s="1872">
        <f>'Part IV-A-Uses of Funds'!G133</f>
        <v>125000</v>
      </c>
      <c r="H636" s="1872"/>
      <c r="J636" s="1872">
        <f>'Part IV-A-Uses of Funds'!J133</f>
        <v>125000</v>
      </c>
      <c r="K636" s="1872"/>
      <c r="L636" s="1890"/>
      <c r="M636" s="1872">
        <f>'Part IV-A-Uses of Funds'!M133</f>
        <v>0</v>
      </c>
      <c r="N636" s="1872"/>
      <c r="P636" s="1872">
        <f>'Part IV-A-Uses of Funds'!P133</f>
        <v>0</v>
      </c>
      <c r="Q636" s="1872"/>
      <c r="S636" s="1872">
        <f>'Part IV-A-Uses of Funds'!S133</f>
        <v>0</v>
      </c>
      <c r="T636" s="1872"/>
      <c r="V636" s="2005"/>
      <c r="W636" s="2006"/>
      <c r="X636" s="2006"/>
      <c r="AZ636" s="1938" t="s">
        <v>6704</v>
      </c>
      <c r="BA636" s="1858">
        <v>133</v>
      </c>
    </row>
    <row r="637" spans="1:53" s="1857" customFormat="1" ht="12.6" customHeight="1">
      <c r="A637" s="2007" t="str">
        <f>IF(AND(G637&gt;0,OR(C637="",C637="&lt;Enter detailed description here; use Comments section if needed&gt;")),"X","")</f>
        <v/>
      </c>
      <c r="B637" s="1865" t="s">
        <v>6580</v>
      </c>
      <c r="C637" s="1870" t="str">
        <f>'Part IV-A-Uses of Funds'!C134</f>
        <v>&lt;&lt; Enter description here; provide detail &amp; justification in tab Part IV-b &gt;&gt;</v>
      </c>
      <c r="D637" s="1870"/>
      <c r="E637" s="1870"/>
      <c r="F637" s="1870"/>
      <c r="G637" s="1872">
        <f>'Part IV-A-Uses of Funds'!G134</f>
        <v>0</v>
      </c>
      <c r="H637" s="1872"/>
      <c r="J637" s="1872">
        <f>'Part IV-A-Uses of Funds'!J134</f>
        <v>0</v>
      </c>
      <c r="K637" s="1872"/>
      <c r="L637" s="1890"/>
      <c r="M637" s="1872">
        <f>'Part IV-A-Uses of Funds'!M134</f>
        <v>0</v>
      </c>
      <c r="N637" s="1872"/>
      <c r="P637" s="1872">
        <f>'Part IV-A-Uses of Funds'!P134</f>
        <v>0</v>
      </c>
      <c r="Q637" s="1872"/>
      <c r="S637" s="1872">
        <f>'Part IV-A-Uses of Funds'!S134</f>
        <v>0</v>
      </c>
      <c r="T637" s="1872"/>
      <c r="U637" s="1859" t="str">
        <f>IF(AND(G637&gt;0,OR(C637="",C637="&lt;Enter detailed description here; use Comments section if needed&gt;")),"NO DESCRIPTION PROVIDED - please enter detailed description in Other box at left; use Comments section below if needed.","")</f>
        <v/>
      </c>
      <c r="V637" s="2005"/>
      <c r="W637" s="2006"/>
      <c r="X637" s="2006"/>
      <c r="AZ637" s="1938"/>
      <c r="BA637" s="1858">
        <v>134</v>
      </c>
    </row>
    <row r="638" spans="1:53" s="1857" customFormat="1" ht="12.6" customHeight="1">
      <c r="B638" s="2058"/>
      <c r="F638" s="2008" t="s">
        <v>183</v>
      </c>
      <c r="G638" s="2003">
        <f>SUM(G632:G637)</f>
        <v>570372</v>
      </c>
      <c r="H638" s="2003"/>
      <c r="J638" s="2003">
        <f>SUM(J636:J637)</f>
        <v>125000</v>
      </c>
      <c r="K638" s="2003"/>
      <c r="L638" s="1890"/>
      <c r="M638" s="2003">
        <f>SUM(M636:M637)</f>
        <v>0</v>
      </c>
      <c r="N638" s="2003"/>
      <c r="P638" s="2003">
        <f>SUM(P636:P637)</f>
        <v>0</v>
      </c>
      <c r="Q638" s="2003"/>
      <c r="S638" s="2003">
        <f>SUM(S632:S637)</f>
        <v>445372</v>
      </c>
      <c r="T638" s="2003"/>
      <c r="V638" s="2005">
        <f>SUM(V632:V637)</f>
        <v>0</v>
      </c>
      <c r="W638" s="2006"/>
      <c r="X638" s="2006"/>
      <c r="AZ638" s="1938"/>
      <c r="BA638" s="1858">
        <v>135</v>
      </c>
    </row>
    <row r="639" spans="1:53" s="1857" customFormat="1" ht="3" customHeight="1">
      <c r="I639" s="2059"/>
      <c r="L639" s="2059"/>
      <c r="V639" s="2009"/>
      <c r="AZ639" s="1938"/>
    </row>
    <row r="640" spans="1:53" s="1857" customFormat="1" ht="3.6" customHeight="1">
      <c r="D640" s="1859"/>
      <c r="E640" s="1859"/>
      <c r="I640" s="2060"/>
      <c r="J640" s="2060"/>
      <c r="K640" s="2061"/>
      <c r="L640" s="1859"/>
      <c r="V640" s="2009"/>
      <c r="AZ640" s="1938"/>
    </row>
    <row r="641" spans="1:53" s="1857" customFormat="1" ht="6" customHeight="1">
      <c r="A641" s="1858"/>
      <c r="B641" s="1858"/>
      <c r="C641" s="1858"/>
      <c r="D641" s="1858"/>
      <c r="E641" s="1858"/>
      <c r="F641" s="1858"/>
      <c r="G641" s="1858"/>
      <c r="H641" s="1858"/>
      <c r="I641" s="1858"/>
      <c r="J641" s="1858"/>
      <c r="K641" s="1858"/>
      <c r="L641" s="1858"/>
      <c r="M641" s="1858"/>
      <c r="N641" s="1858"/>
      <c r="O641" s="1858"/>
      <c r="P641" s="1858"/>
      <c r="Q641" s="1858"/>
      <c r="R641" s="1858"/>
      <c r="S641" s="1858"/>
      <c r="T641" s="1858"/>
      <c r="V641" s="2009"/>
      <c r="AZ641" s="1938"/>
      <c r="BA641" s="1858">
        <v>101</v>
      </c>
    </row>
    <row r="642" spans="1:53" s="1857" customFormat="1" ht="18" customHeight="1">
      <c r="A642" s="2001" t="s">
        <v>586</v>
      </c>
      <c r="B642" s="2001" t="s">
        <v>7132</v>
      </c>
      <c r="J642" s="1857" t="s">
        <v>260</v>
      </c>
      <c r="L642" s="2003"/>
      <c r="M642" s="2003" t="s">
        <v>468</v>
      </c>
      <c r="N642" s="2003"/>
      <c r="P642" s="1857" t="s">
        <v>261</v>
      </c>
      <c r="S642" s="1857" t="s">
        <v>262</v>
      </c>
      <c r="V642" s="2004" t="str">
        <f>B642</f>
        <v>DEVELOPMENT BUDGET  (cont'd)</v>
      </c>
      <c r="AZ642" s="1938"/>
      <c r="BA642" s="1858">
        <v>102</v>
      </c>
    </row>
    <row r="643" spans="1:53" s="1857" customFormat="1" ht="18" customHeight="1">
      <c r="G643" s="1857" t="s">
        <v>94</v>
      </c>
      <c r="L643" s="2003"/>
      <c r="M643" s="2003"/>
      <c r="N643" s="2003"/>
      <c r="V643" s="1866" t="s">
        <v>2536</v>
      </c>
      <c r="X643" s="1866"/>
      <c r="AZ643" s="1938"/>
      <c r="BA643" s="1858">
        <v>103</v>
      </c>
    </row>
    <row r="644" spans="1:53" s="1857" customFormat="1" ht="13.35" customHeight="1">
      <c r="B644" s="1857" t="s">
        <v>581</v>
      </c>
      <c r="C644" s="1859"/>
      <c r="H644" s="2060"/>
      <c r="I644" s="2060"/>
      <c r="J644" s="2003"/>
      <c r="K644" s="2003"/>
      <c r="M644" s="2003"/>
      <c r="N644" s="2003"/>
      <c r="O644" s="1890" t="str">
        <f>B644</f>
        <v>OTHER COSTS</v>
      </c>
      <c r="P644" s="2003"/>
      <c r="Q644" s="2003"/>
      <c r="S644" s="2003"/>
      <c r="T644" s="2003"/>
      <c r="V644" s="2009"/>
      <c r="W644" s="1857" t="str">
        <f>B644</f>
        <v>OTHER COSTS</v>
      </c>
      <c r="AZ644" s="1938"/>
      <c r="BA644" s="1858">
        <v>136</v>
      </c>
    </row>
    <row r="645" spans="1:53" s="1857" customFormat="1" ht="12.6" customHeight="1">
      <c r="B645" s="1857" t="s">
        <v>582</v>
      </c>
      <c r="C645" s="1859"/>
      <c r="G645" s="1872">
        <f>'Part IV-A-Uses of Funds'!G142</f>
        <v>59141</v>
      </c>
      <c r="H645" s="1872"/>
      <c r="J645" s="1872">
        <f>'Part IV-A-Uses of Funds'!J142</f>
        <v>0</v>
      </c>
      <c r="K645" s="1872"/>
      <c r="L645" s="1890"/>
      <c r="M645" s="1872">
        <f>'Part IV-A-Uses of Funds'!M142</f>
        <v>0</v>
      </c>
      <c r="N645" s="1872"/>
      <c r="P645" s="1872">
        <f>'Part IV-A-Uses of Funds'!P142</f>
        <v>0</v>
      </c>
      <c r="Q645" s="1872"/>
      <c r="S645" s="1872">
        <f>'Part IV-A-Uses of Funds'!S142</f>
        <v>59141</v>
      </c>
      <c r="T645" s="1872"/>
      <c r="V645" s="2005"/>
      <c r="W645" s="2006"/>
      <c r="X645" s="2006"/>
      <c r="AZ645" s="1938"/>
      <c r="BA645" s="1869">
        <v>137</v>
      </c>
    </row>
    <row r="646" spans="1:53" s="1857" customFormat="1" ht="12.6" customHeight="1">
      <c r="A646" s="2007" t="str">
        <f>IF(AND(G646&gt;0,OR(C646="",C646="&lt;Enter detailed description here; use Comments section if needed&gt;")),"X","")</f>
        <v/>
      </c>
      <c r="B646" s="1865" t="s">
        <v>6580</v>
      </c>
      <c r="C646" s="1870" t="str">
        <f>'Part IV-A-Uses of Funds'!C143</f>
        <v>&lt;&lt; Enter description here; provide detail &amp; justification in tab Part IV-b &gt;&gt;</v>
      </c>
      <c r="D646" s="1870"/>
      <c r="E646" s="1870"/>
      <c r="F646" s="1870"/>
      <c r="G646" s="1872">
        <f>'Part IV-A-Uses of Funds'!G143</f>
        <v>0</v>
      </c>
      <c r="H646" s="1872"/>
      <c r="J646" s="1872">
        <f>'Part IV-A-Uses of Funds'!J143</f>
        <v>0</v>
      </c>
      <c r="K646" s="1872"/>
      <c r="L646" s="1890"/>
      <c r="M646" s="1872">
        <f>'Part IV-A-Uses of Funds'!M143</f>
        <v>0</v>
      </c>
      <c r="N646" s="1872"/>
      <c r="P646" s="1872">
        <f>'Part IV-A-Uses of Funds'!P143</f>
        <v>0</v>
      </c>
      <c r="Q646" s="1872"/>
      <c r="S646" s="1872">
        <f>'Part IV-A-Uses of Funds'!S143</f>
        <v>0</v>
      </c>
      <c r="T646" s="1872"/>
      <c r="U646" s="1859" t="str">
        <f>IF(AND(G646&gt;0,OR(C646="",C646="&lt;Enter detailed description here; use Comments section if needed&gt;")),"NO DESCRIPTION PROVIDED - please enter detailed description in Other box at left; use Comments section below if needed.","")</f>
        <v/>
      </c>
      <c r="V646" s="2005"/>
      <c r="W646" s="2006"/>
      <c r="X646" s="2006"/>
      <c r="AZ646" s="1938"/>
      <c r="BA646" s="1858">
        <v>138</v>
      </c>
    </row>
    <row r="647" spans="1:53" s="1857" customFormat="1" ht="12.6" customHeight="1">
      <c r="C647" s="1859"/>
      <c r="F647" s="2008" t="s">
        <v>183</v>
      </c>
      <c r="G647" s="2003">
        <f>SUM(G645:G646)</f>
        <v>59141</v>
      </c>
      <c r="H647" s="2003"/>
      <c r="J647" s="2003">
        <f>SUM(J645:J646)</f>
        <v>0</v>
      </c>
      <c r="K647" s="2003"/>
      <c r="L647" s="1890"/>
      <c r="M647" s="2003">
        <f>SUM(M645:M646)</f>
        <v>0</v>
      </c>
      <c r="N647" s="2003"/>
      <c r="P647" s="2003">
        <f>SUM(P645:P646)</f>
        <v>0</v>
      </c>
      <c r="Q647" s="2003"/>
      <c r="S647" s="2003">
        <f>SUM(S645:S646)</f>
        <v>59141</v>
      </c>
      <c r="T647" s="2003"/>
      <c r="V647" s="2005">
        <f>SUM(V645:V646)</f>
        <v>0</v>
      </c>
      <c r="W647" s="2006"/>
      <c r="X647" s="2006"/>
      <c r="AZ647" s="1938"/>
      <c r="BA647" s="1858">
        <v>139</v>
      </c>
    </row>
    <row r="648" spans="1:53" s="1857" customFormat="1" ht="15" customHeight="1">
      <c r="C648" s="1859"/>
      <c r="H648" s="2060"/>
      <c r="I648" s="2060"/>
      <c r="V648" s="2009"/>
      <c r="W648" s="2044"/>
      <c r="X648" s="2044"/>
      <c r="AZ648" s="1938"/>
      <c r="BA648" s="1858">
        <v>140</v>
      </c>
    </row>
    <row r="649" spans="1:53" s="1857" customFormat="1" ht="18.75" customHeight="1">
      <c r="B649" s="2062" t="s">
        <v>7133</v>
      </c>
      <c r="E649" s="2010"/>
      <c r="F649" s="2063"/>
      <c r="G649" s="2003">
        <f>G521+G527+G531+G539+G544+G549+G558+G576+G589+G595+G606+G617+G623+G630+G638+G647</f>
        <v>15238231.279999999</v>
      </c>
      <c r="H649" s="2003"/>
      <c r="J649" s="2003">
        <f>J521+J527+J531+J539+J544+J549+J558+J576+J589+J595+J606+J617+J623+J630+J638+J647</f>
        <v>14225466.43</v>
      </c>
      <c r="K649" s="2003"/>
      <c r="M649" s="2003">
        <f>M521+M527+M531+M539+M544+M549+M558+M576+M589+M595+M606+M617+M623+M630+M638+M647</f>
        <v>0</v>
      </c>
      <c r="N649" s="2003"/>
      <c r="P649" s="2003">
        <f>P521+P527+P531+P539+P544+P549+P558+P576+P589+P595+P606+P617+P623+P630+P638+P647</f>
        <v>0</v>
      </c>
      <c r="Q649" s="2003"/>
      <c r="S649" s="2003">
        <f>S521+S527+S531+S539+S544+S549+S558+S576+S589+S595+S606+S617+S623+S630+S638+S647</f>
        <v>1012764.85</v>
      </c>
      <c r="T649" s="2003"/>
      <c r="V649" s="2005">
        <f>V521+V527+V531+V539+V544+V549+V558+V576+V589+V595+V606+V617+V623+V630+V638+V647</f>
        <v>0</v>
      </c>
      <c r="W649" s="2006"/>
      <c r="X649" s="2006"/>
      <c r="AZ649" s="1938"/>
      <c r="BA649" s="1858">
        <v>141</v>
      </c>
    </row>
    <row r="650" spans="1:53" s="1857" customFormat="1" ht="12" customHeight="1">
      <c r="C650" s="1859"/>
      <c r="H650" s="2060"/>
      <c r="I650" s="2060"/>
      <c r="V650" s="2009"/>
      <c r="AZ650" s="1938"/>
      <c r="BA650" s="1858">
        <v>142</v>
      </c>
    </row>
    <row r="651" spans="1:53" s="1857" customFormat="1" ht="14.1" customHeight="1">
      <c r="B651" s="2019" t="s">
        <v>7062</v>
      </c>
      <c r="C651" s="2022"/>
      <c r="D651" s="2064">
        <f>IF('Part VI-Revenues &amp; Expenses'!$P$67=0,0,G649/'Part VI-Revenues &amp; Expenses'!$P$67)</f>
        <v>211642.10111111111</v>
      </c>
      <c r="E651" s="2064"/>
      <c r="F651" s="2058" t="s">
        <v>2592</v>
      </c>
      <c r="G651" s="2064">
        <f>IF('Part I-Project Information'!$P$70=0,0,G649/'Part I-Project Information'!$P$70)</f>
        <v>221.74376135040745</v>
      </c>
      <c r="H651" s="2064"/>
      <c r="I651" s="2059"/>
      <c r="V651" s="2009"/>
      <c r="AZ651" s="1938"/>
      <c r="BA651" s="1858">
        <v>143</v>
      </c>
    </row>
    <row r="652" spans="1:53" s="1857" customFormat="1" ht="21" customHeight="1">
      <c r="B652" s="2019"/>
      <c r="C652" s="2022"/>
      <c r="D652" s="2065"/>
      <c r="E652" s="2065"/>
      <c r="F652" s="2058"/>
      <c r="G652" s="2064"/>
      <c r="H652" s="2064"/>
      <c r="I652" s="2059"/>
      <c r="V652" s="2009"/>
      <c r="AZ652" s="1938"/>
      <c r="BA652" s="1858"/>
    </row>
    <row r="653" spans="1:53" s="1857" customFormat="1" ht="26.1" customHeight="1">
      <c r="A653" s="2001" t="s">
        <v>710</v>
      </c>
      <c r="B653" s="2066" t="s">
        <v>1375</v>
      </c>
      <c r="C653" s="1858"/>
      <c r="D653" s="1890"/>
      <c r="E653" s="1890"/>
      <c r="F653" s="1890"/>
      <c r="I653" s="2067"/>
      <c r="J653" s="1857" t="s">
        <v>260</v>
      </c>
      <c r="M653" s="1857" t="s">
        <v>93</v>
      </c>
      <c r="P653" s="1857" t="s">
        <v>261</v>
      </c>
      <c r="V653" s="2009"/>
      <c r="W653" s="2004" t="str">
        <f>B653</f>
        <v>TAX CREDIT CALCULATION - BASIS METHOD</v>
      </c>
      <c r="AZ653" s="1938"/>
    </row>
    <row r="654" spans="1:53" s="1857" customFormat="1" ht="15" customHeight="1">
      <c r="B654" s="1859" t="s">
        <v>1951</v>
      </c>
      <c r="D654" s="1890" t="s">
        <v>3342</v>
      </c>
      <c r="E654" s="1890"/>
      <c r="I654" s="2067"/>
      <c r="L654" s="1858"/>
      <c r="V654" s="2009"/>
      <c r="W654" s="1857" t="str">
        <f>B654</f>
        <v>Subtractions From Eligible Basis</v>
      </c>
      <c r="X654" s="1866"/>
      <c r="AZ654" s="1938"/>
    </row>
    <row r="655" spans="1:53" s="1857" customFormat="1" ht="6" customHeight="1">
      <c r="D655" s="1859"/>
      <c r="E655" s="1859"/>
      <c r="I655" s="2060"/>
      <c r="J655" s="2060"/>
      <c r="K655" s="2061"/>
      <c r="L655" s="1859"/>
      <c r="V655" s="2009"/>
      <c r="AZ655" s="1938"/>
    </row>
    <row r="656" spans="1:53" s="1857" customFormat="1" ht="14.1" customHeight="1">
      <c r="B656" s="1859" t="s">
        <v>137</v>
      </c>
      <c r="I656" s="2067"/>
      <c r="J656" s="1895">
        <f>'Part IV-A-Uses of Funds'!J153</f>
        <v>0</v>
      </c>
      <c r="K656" s="1895"/>
      <c r="P656" s="1895">
        <f>'Part IV-A-Uses of Funds'!P153</f>
        <v>0</v>
      </c>
      <c r="Q656" s="1895"/>
      <c r="V656" s="2005"/>
      <c r="W656" s="2006"/>
      <c r="X656" s="2006"/>
      <c r="AZ656" s="1938"/>
    </row>
    <row r="657" spans="2:52" s="1857" customFormat="1" ht="14.1" customHeight="1">
      <c r="B657" s="1857" t="s">
        <v>2057</v>
      </c>
      <c r="I657" s="2067"/>
      <c r="J657" s="1895">
        <f>'Part IV-A-Uses of Funds'!J154</f>
        <v>0</v>
      </c>
      <c r="K657" s="1895"/>
      <c r="P657" s="1895">
        <f>'Part IV-A-Uses of Funds'!P154</f>
        <v>0</v>
      </c>
      <c r="Q657" s="1895"/>
      <c r="V657" s="2005"/>
      <c r="W657" s="2006"/>
      <c r="X657" s="2006"/>
      <c r="AZ657" s="1938"/>
    </row>
    <row r="658" spans="2:52" s="1857" customFormat="1" ht="14.1" customHeight="1">
      <c r="B658" s="1857" t="s">
        <v>1776</v>
      </c>
      <c r="I658" s="2067"/>
      <c r="J658" s="1895">
        <f>'Part IV-A-Uses of Funds'!J155</f>
        <v>0</v>
      </c>
      <c r="K658" s="1895"/>
      <c r="P658" s="1895">
        <f>'Part IV-A-Uses of Funds'!P155</f>
        <v>0</v>
      </c>
      <c r="Q658" s="1895"/>
      <c r="V658" s="2005"/>
      <c r="W658" s="2006"/>
      <c r="X658" s="2006"/>
      <c r="AZ658" s="1938"/>
    </row>
    <row r="659" spans="2:52" s="1857" customFormat="1" ht="14.1" customHeight="1">
      <c r="B659" s="1857" t="s">
        <v>1777</v>
      </c>
      <c r="I659" s="2067"/>
      <c r="J659" s="1895">
        <f>'Part IV-A-Uses of Funds'!J156</f>
        <v>0</v>
      </c>
      <c r="K659" s="1895"/>
      <c r="P659" s="1895">
        <f>'Part IV-A-Uses of Funds'!P156</f>
        <v>0</v>
      </c>
      <c r="Q659" s="1895"/>
      <c r="V659" s="2005"/>
      <c r="W659" s="2006"/>
      <c r="X659" s="2006"/>
      <c r="AZ659" s="1938"/>
    </row>
    <row r="660" spans="2:52" s="1857" customFormat="1" ht="14.1" customHeight="1">
      <c r="B660" s="1857" t="s">
        <v>243</v>
      </c>
      <c r="I660" s="2067"/>
      <c r="J660" s="1895">
        <f>'Part IV-A-Uses of Funds'!J157</f>
        <v>0</v>
      </c>
      <c r="K660" s="1895"/>
      <c r="P660" s="1895">
        <f>'Part IV-A-Uses of Funds'!P157</f>
        <v>0</v>
      </c>
      <c r="Q660" s="1895"/>
      <c r="V660" s="2005"/>
      <c r="W660" s="2006"/>
      <c r="X660" s="2006"/>
      <c r="AZ660" s="1938"/>
    </row>
    <row r="661" spans="2:52" s="1857" customFormat="1" ht="14.1" customHeight="1">
      <c r="B661" s="1857" t="s">
        <v>1535</v>
      </c>
      <c r="C661" s="1864" t="str">
        <f>'Part IV-A-Uses of Funds'!C158</f>
        <v>&lt;Enter detailed description here; use Comments section if needed&gt;</v>
      </c>
      <c r="D661" s="1864"/>
      <c r="E661" s="1864"/>
      <c r="F661" s="1864"/>
      <c r="G661" s="1864"/>
      <c r="H661" s="1864"/>
      <c r="I661" s="1864"/>
      <c r="J661" s="1895">
        <f>'Part IV-A-Uses of Funds'!J158</f>
        <v>0</v>
      </c>
      <c r="K661" s="1895"/>
      <c r="P661" s="1895">
        <f>'Part IV-A-Uses of Funds'!P158</f>
        <v>0</v>
      </c>
      <c r="Q661" s="1895"/>
      <c r="V661" s="2005"/>
      <c r="W661" s="2006"/>
      <c r="X661" s="2006"/>
      <c r="AZ661" s="1938"/>
    </row>
    <row r="662" spans="2:52" s="1857" customFormat="1" ht="14.1" customHeight="1">
      <c r="B662" s="1857" t="s">
        <v>1778</v>
      </c>
      <c r="C662" s="1888"/>
      <c r="J662" s="1983">
        <f>SUM(J656:K661)</f>
        <v>0</v>
      </c>
      <c r="K662" s="1983"/>
      <c r="P662" s="1983">
        <f>SUM(P656:Q661)</f>
        <v>0</v>
      </c>
      <c r="Q662" s="1983"/>
      <c r="V662" s="2005">
        <f>SUM(V656:V661)</f>
        <v>0</v>
      </c>
      <c r="W662" s="2006"/>
      <c r="X662" s="2006"/>
      <c r="AZ662" s="1938"/>
    </row>
    <row r="663" spans="2:52" s="1857" customFormat="1" ht="3" customHeight="1">
      <c r="V663" s="2009"/>
      <c r="AZ663" s="1938"/>
    </row>
    <row r="664" spans="2:52" s="1857" customFormat="1" ht="15" customHeight="1">
      <c r="B664" s="1857" t="s">
        <v>2235</v>
      </c>
      <c r="V664" s="2009"/>
      <c r="W664" s="1857" t="str">
        <f>B664</f>
        <v>Eligible Basis Calculation</v>
      </c>
      <c r="AZ664" s="1938"/>
    </row>
    <row r="665" spans="2:52" s="1857" customFormat="1" ht="14.1" customHeight="1">
      <c r="B665" s="1857" t="s">
        <v>1710</v>
      </c>
      <c r="J665" s="1983">
        <f>J649</f>
        <v>14225466.43</v>
      </c>
      <c r="K665" s="1983"/>
      <c r="M665" s="1983">
        <f>M649</f>
        <v>0</v>
      </c>
      <c r="N665" s="1983"/>
      <c r="P665" s="1983">
        <f>P649</f>
        <v>0</v>
      </c>
      <c r="Q665" s="1983"/>
      <c r="R665" s="2068" t="s">
        <v>3930</v>
      </c>
      <c r="S665" s="2068"/>
      <c r="T665" s="2068"/>
      <c r="V665" s="2005"/>
      <c r="W665" s="2006"/>
      <c r="X665" s="2006"/>
      <c r="AZ665" s="1938"/>
    </row>
    <row r="666" spans="2:52" s="1857" customFormat="1" ht="14.1" customHeight="1">
      <c r="B666" s="1857" t="s">
        <v>2118</v>
      </c>
      <c r="J666" s="1983">
        <f>J662</f>
        <v>0</v>
      </c>
      <c r="K666" s="1983"/>
      <c r="M666" s="1983"/>
      <c r="N666" s="1983"/>
      <c r="P666" s="1983">
        <f>P662</f>
        <v>0</v>
      </c>
      <c r="Q666" s="1983"/>
      <c r="R666" s="2068"/>
      <c r="S666" s="2068"/>
      <c r="T666" s="2068"/>
      <c r="U666" s="1865"/>
      <c r="V666" s="2005"/>
      <c r="W666" s="2006"/>
      <c r="X666" s="2006"/>
      <c r="AZ666" s="1938"/>
    </row>
    <row r="667" spans="2:52" s="1857" customFormat="1" ht="14.1" customHeight="1">
      <c r="B667" s="1857" t="s">
        <v>2119</v>
      </c>
      <c r="J667" s="1983">
        <f>J665-J666</f>
        <v>14225466.43</v>
      </c>
      <c r="K667" s="1983"/>
      <c r="M667" s="1983">
        <f>M665</f>
        <v>0</v>
      </c>
      <c r="N667" s="1983"/>
      <c r="P667" s="1983">
        <f>P665-P666</f>
        <v>0</v>
      </c>
      <c r="Q667" s="1983"/>
      <c r="R667" s="2068"/>
      <c r="S667" s="2068"/>
      <c r="T667" s="2068"/>
      <c r="U667" s="1865"/>
      <c r="V667" s="2005"/>
      <c r="W667" s="2006"/>
      <c r="X667" s="2006"/>
      <c r="AZ667" s="1938"/>
    </row>
    <row r="668" spans="2:52" s="1857" customFormat="1" ht="14.1" customHeight="1">
      <c r="B668" s="1857" t="s">
        <v>1426</v>
      </c>
      <c r="G668" s="1858" t="s">
        <v>1637</v>
      </c>
      <c r="H668" s="1864" t="str">
        <f>'Part IV-A-Uses of Funds'!H165</f>
        <v>DDA/QCT</v>
      </c>
      <c r="I668" s="1864"/>
      <c r="J668" s="2069">
        <f>'Part IV-A-Uses of Funds'!J165</f>
        <v>1.3</v>
      </c>
      <c r="K668" s="2069"/>
      <c r="M668" s="2070"/>
      <c r="N668" s="2070"/>
      <c r="P668" s="2069">
        <f>'Part IV-A-Uses of Funds'!P165</f>
        <v>1.3</v>
      </c>
      <c r="Q668" s="2069"/>
      <c r="R668" s="2071" t="str">
        <f>'Part IV-A-Uses of Funds'!R165</f>
        <v>&lt;&lt; Select &gt;&gt;</v>
      </c>
      <c r="S668" s="2071"/>
      <c r="T668" s="2071"/>
      <c r="V668" s="2005"/>
      <c r="W668" s="2006"/>
      <c r="X668" s="2006"/>
      <c r="AZ668" s="1938"/>
    </row>
    <row r="669" spans="2:52" s="1857" customFormat="1" ht="14.1" customHeight="1">
      <c r="B669" s="1857" t="s">
        <v>1961</v>
      </c>
      <c r="J669" s="1983">
        <f>J667*J668</f>
        <v>18493106.359000001</v>
      </c>
      <c r="K669" s="1983"/>
      <c r="M669" s="1983">
        <f>+M667</f>
        <v>0</v>
      </c>
      <c r="N669" s="1983"/>
      <c r="P669" s="1983">
        <f>P667*P668</f>
        <v>0</v>
      </c>
      <c r="Q669" s="1983"/>
      <c r="R669" s="2071"/>
      <c r="S669" s="2071"/>
      <c r="T669" s="2071"/>
      <c r="V669" s="2005"/>
      <c r="W669" s="2006"/>
      <c r="X669" s="2006"/>
      <c r="AZ669" s="1938"/>
    </row>
    <row r="670" spans="2:52" s="1857" customFormat="1" ht="14.1" customHeight="1">
      <c r="B670" s="1857" t="s">
        <v>2422</v>
      </c>
      <c r="J670" s="2070">
        <f>MIN('Part VI-Revenues &amp; Expenses'!$P$63/'Part VI-Revenues &amp; Expenses'!$P$65,'Part VI-Revenues &amp; Expenses'!$P$164/'Part VI-Revenues &amp; Expenses'!$P$166)</f>
        <v>0.88888888888888884</v>
      </c>
      <c r="K670" s="2070"/>
      <c r="M670" s="2070">
        <f>MIN('Part VI-Revenues &amp; Expenses'!$P$63/'Part VI-Revenues &amp; Expenses'!$P$65,'Part VI-Revenues &amp; Expenses'!$P$164/'Part VI-Revenues &amp; Expenses'!$P$166)</f>
        <v>0.88888888888888884</v>
      </c>
      <c r="N670" s="2070"/>
      <c r="P670" s="2070">
        <f>MIN('Part VI-Revenues &amp; Expenses'!$P$63/'Part VI-Revenues &amp; Expenses'!$P$65,'Part VI-Revenues &amp; Expenses'!$P$164/'Part VI-Revenues &amp; Expenses'!$P$166)</f>
        <v>0.88888888888888884</v>
      </c>
      <c r="Q670" s="2070"/>
      <c r="R670" s="2071"/>
      <c r="S670" s="2071"/>
      <c r="T670" s="2071"/>
      <c r="V670" s="2005"/>
      <c r="W670" s="2006"/>
      <c r="X670" s="2006"/>
      <c r="AZ670" s="1938"/>
    </row>
    <row r="671" spans="2:52" s="1857" customFormat="1" ht="14.1" customHeight="1">
      <c r="B671" s="1857" t="s">
        <v>1952</v>
      </c>
      <c r="J671" s="1983">
        <f>J669*J670</f>
        <v>16438316.763555557</v>
      </c>
      <c r="K671" s="1983"/>
      <c r="M671" s="1983">
        <f>M669*M670</f>
        <v>0</v>
      </c>
      <c r="N671" s="1983"/>
      <c r="P671" s="1983">
        <f>P669*P670</f>
        <v>0</v>
      </c>
      <c r="Q671" s="1983"/>
      <c r="V671" s="2005"/>
      <c r="W671" s="2006"/>
      <c r="X671" s="2006"/>
      <c r="AZ671" s="1938"/>
    </row>
    <row r="672" spans="2:52" s="1857" customFormat="1" ht="14.1" customHeight="1">
      <c r="B672" s="1857" t="s">
        <v>1953</v>
      </c>
      <c r="J672" s="2069">
        <f>'Part IV-A-Uses of Funds'!J169</f>
        <v>0.09</v>
      </c>
      <c r="K672" s="2069"/>
      <c r="M672" s="2069">
        <f>'Part IV-A-Uses of Funds'!M169</f>
        <v>0.04</v>
      </c>
      <c r="N672" s="2069"/>
      <c r="P672" s="2069">
        <f>'Part IV-A-Uses of Funds'!P169</f>
        <v>0.09</v>
      </c>
      <c r="Q672" s="2069"/>
      <c r="V672" s="2005"/>
      <c r="W672" s="2006"/>
      <c r="X672" s="2006"/>
      <c r="AZ672" s="1938"/>
    </row>
    <row r="673" spans="1:52" s="1857" customFormat="1" ht="14.1" customHeight="1">
      <c r="B673" s="1857" t="s">
        <v>2423</v>
      </c>
      <c r="J673" s="1983">
        <f>J671*J672</f>
        <v>1479448.50872</v>
      </c>
      <c r="K673" s="1983"/>
      <c r="M673" s="1983">
        <f>M671*M672</f>
        <v>0</v>
      </c>
      <c r="N673" s="1983"/>
      <c r="P673" s="1983">
        <f>P671*P672</f>
        <v>0</v>
      </c>
      <c r="Q673" s="1983"/>
      <c r="V673" s="2005"/>
      <c r="W673" s="2006"/>
      <c r="X673" s="2006"/>
      <c r="AZ673" s="1938"/>
    </row>
    <row r="674" spans="1:52" s="1857" customFormat="1" ht="14.1" customHeight="1">
      <c r="B674" s="1857" t="s">
        <v>1373</v>
      </c>
      <c r="J674" s="1983">
        <f>ROUNDDOWN(J673+M673+P673,0)</f>
        <v>1479448</v>
      </c>
      <c r="K674" s="1983"/>
      <c r="L674" s="1983"/>
      <c r="M674" s="1983"/>
      <c r="N674" s="1983"/>
      <c r="O674" s="1983"/>
      <c r="P674" s="1983"/>
      <c r="Q674" s="1983"/>
      <c r="V674" s="2005"/>
      <c r="W674" s="2044"/>
      <c r="X674" s="2044"/>
      <c r="AZ674" s="1938"/>
    </row>
    <row r="675" spans="1:52" s="1857" customFormat="1" ht="6" customHeight="1">
      <c r="B675" s="2072"/>
      <c r="L675" s="1999"/>
      <c r="M675" s="1999"/>
      <c r="N675" s="1999"/>
      <c r="O675" s="1999"/>
      <c r="V675" s="2009"/>
      <c r="AZ675" s="1938"/>
    </row>
    <row r="676" spans="1:52" s="1857" customFormat="1" ht="14.1" customHeight="1">
      <c r="A676" s="2004" t="s">
        <v>712</v>
      </c>
      <c r="B676" s="2004" t="s">
        <v>1376</v>
      </c>
      <c r="H676" s="2060"/>
      <c r="I676" s="2060"/>
      <c r="M676" s="2073"/>
      <c r="V676" s="2009"/>
      <c r="AZ676" s="1938"/>
    </row>
    <row r="677" spans="1:52" s="1938" customFormat="1" ht="3" customHeight="1">
      <c r="H677" s="2074"/>
      <c r="I677" s="2074"/>
      <c r="M677" s="2075"/>
    </row>
    <row r="678" spans="1:52" s="1938" customFormat="1" ht="14.1" customHeight="1">
      <c r="B678" s="1938" t="s">
        <v>4127</v>
      </c>
      <c r="H678" s="2074"/>
      <c r="I678" s="2074"/>
      <c r="M678" s="2075"/>
      <c r="O678" s="1869"/>
      <c r="P678" s="1869"/>
      <c r="Q678" s="1869"/>
      <c r="R678" s="1869"/>
      <c r="S678" s="1869"/>
      <c r="T678" s="1869"/>
      <c r="U678" s="1869"/>
      <c r="V678" s="1869"/>
    </row>
    <row r="679" spans="1:52" s="1938" customFormat="1" ht="15" customHeight="1">
      <c r="B679" s="1938" t="s">
        <v>7134</v>
      </c>
      <c r="J679" s="2076">
        <f>G649</f>
        <v>15238231.279999999</v>
      </c>
      <c r="K679" s="2076"/>
      <c r="L679" s="2076"/>
      <c r="V679" s="2077"/>
      <c r="W679" s="2078"/>
    </row>
    <row r="680" spans="1:52" s="1938" customFormat="1" ht="13.5" customHeight="1">
      <c r="B680" s="1938" t="s">
        <v>4131</v>
      </c>
      <c r="J680" s="2076">
        <f>'Part IV-A-Uses of Funds'!$G$92+'Part IV-A-Uses of Funds'!$G$114+SUM('Part IV-A-Uses of Funds'!$G$130:$H$132)</f>
        <v>656874</v>
      </c>
      <c r="K680" s="2076"/>
      <c r="L680" s="2076"/>
      <c r="V680" s="2077"/>
      <c r="W680" s="2078"/>
    </row>
    <row r="681" spans="1:52" s="1938" customFormat="1" ht="13.5" customHeight="1">
      <c r="B681" s="1936" t="s">
        <v>4130</v>
      </c>
      <c r="J681" s="2076">
        <f>J679-J680</f>
        <v>14581357.279999999</v>
      </c>
      <c r="K681" s="2076"/>
      <c r="L681" s="2076"/>
      <c r="M681" s="1857" t="str">
        <f>IF(J681&lt;=J682, "","Exceeds Project Cost Limit!   Needs Cost Limit waiver.")</f>
        <v/>
      </c>
      <c r="N681" s="1857"/>
      <c r="O681" s="1857"/>
      <c r="P681" s="1857"/>
      <c r="Q681" s="1857"/>
      <c r="R681" s="1857"/>
      <c r="S681" s="1857"/>
      <c r="T681" s="1857"/>
      <c r="V681" s="2077"/>
      <c r="W681" s="2078"/>
    </row>
    <row r="682" spans="1:52" s="1938" customFormat="1" ht="13.5" customHeight="1">
      <c r="B682" s="2079" t="s">
        <v>2596</v>
      </c>
      <c r="C682" s="1936"/>
      <c r="D682" s="1936"/>
      <c r="J682" s="2076">
        <f>'Part VIII-Threshold Criteria'!$P$63</f>
        <v>17510765</v>
      </c>
      <c r="K682" s="2076"/>
      <c r="L682" s="2076"/>
      <c r="V682" s="2077"/>
      <c r="W682" s="2078"/>
    </row>
    <row r="683" spans="1:52" s="1938" customFormat="1" ht="3" customHeight="1">
      <c r="B683" s="2079"/>
      <c r="C683" s="1936"/>
      <c r="D683" s="1936"/>
      <c r="J683" s="2080"/>
      <c r="K683" s="2080"/>
      <c r="L683" s="2080"/>
      <c r="V683" s="2077"/>
      <c r="W683" s="2078"/>
    </row>
    <row r="684" spans="1:52" s="1857" customFormat="1" ht="15" customHeight="1">
      <c r="B684" s="1857" t="s">
        <v>166</v>
      </c>
      <c r="V684" s="2009"/>
      <c r="W684" s="2004" t="str">
        <f>B676</f>
        <v>TAX CREDIT CALCULATION - GAP METHOD</v>
      </c>
      <c r="AZ684" s="1938"/>
    </row>
    <row r="685" spans="1:52" s="1857" customFormat="1" ht="15" customHeight="1">
      <c r="B685" s="1938" t="s">
        <v>4132</v>
      </c>
      <c r="J685" s="1895">
        <f>'Part IV-A-Uses of Funds'!J182</f>
        <v>15238231.279999999</v>
      </c>
      <c r="K685" s="1895"/>
      <c r="L685" s="1895"/>
      <c r="M685" s="2068" t="s">
        <v>4143</v>
      </c>
      <c r="N685" s="2068"/>
      <c r="O685" s="2068"/>
      <c r="P685" s="2068"/>
      <c r="Q685" s="2068"/>
      <c r="R685" s="2068"/>
      <c r="S685" s="2068" t="s">
        <v>3313</v>
      </c>
      <c r="T685" s="2068"/>
      <c r="V685" s="2005"/>
      <c r="W685" s="2006"/>
      <c r="X685" s="2006"/>
      <c r="AZ685" s="1938"/>
    </row>
    <row r="686" spans="1:52" s="1857" customFormat="1" ht="14.1" customHeight="1">
      <c r="B686" s="1857" t="s">
        <v>252</v>
      </c>
      <c r="J686" s="1983">
        <f>'Part III-Sources of Funds'!$I$60-'Part III-Sources of Funds'!$I$44-'Part III-Sources of Funds'!$I$45-'Part III-Sources of Funds'!$I$51-'Part III-Sources of Funds'!$I$52</f>
        <v>2014379.0000000009</v>
      </c>
      <c r="K686" s="1983"/>
      <c r="L686" s="1983"/>
      <c r="M686" s="2068"/>
      <c r="N686" s="2068"/>
      <c r="O686" s="2068"/>
      <c r="P686" s="2068"/>
      <c r="Q686" s="2068"/>
      <c r="R686" s="2068"/>
      <c r="S686" s="2068"/>
      <c r="T686" s="2068"/>
      <c r="V686" s="2005"/>
      <c r="W686" s="2006"/>
      <c r="X686" s="2006"/>
      <c r="AZ686" s="1938"/>
    </row>
    <row r="687" spans="1:52" s="1857" customFormat="1" ht="14.1" customHeight="1">
      <c r="B687" s="1857" t="s">
        <v>2130</v>
      </c>
      <c r="J687" s="1983">
        <f>+J685-J686</f>
        <v>13223852.279999997</v>
      </c>
      <c r="K687" s="1983"/>
      <c r="L687" s="1983"/>
      <c r="M687" s="2068"/>
      <c r="N687" s="2068"/>
      <c r="O687" s="2068"/>
      <c r="P687" s="2068"/>
      <c r="Q687" s="2068"/>
      <c r="R687" s="2068"/>
      <c r="S687" s="2068"/>
      <c r="T687" s="2068"/>
      <c r="V687" s="2005"/>
      <c r="W687" s="2006"/>
      <c r="X687" s="2006"/>
      <c r="AZ687" s="1938"/>
    </row>
    <row r="688" spans="1:52" s="1857" customFormat="1" ht="14.1" customHeight="1">
      <c r="B688" s="1857" t="s">
        <v>1238</v>
      </c>
      <c r="J688" s="1857" t="str">
        <f>"/ 10"</f>
        <v>/ 10</v>
      </c>
      <c r="M688" s="1876" t="s">
        <v>2580</v>
      </c>
      <c r="N688" s="1876"/>
      <c r="O688" s="2081">
        <f>'Part III-Sources of Funds'!$I$44</f>
        <v>0</v>
      </c>
      <c r="P688" s="2081"/>
      <c r="Q688" s="2081"/>
      <c r="R688" s="2081"/>
      <c r="S688" s="1891" t="s">
        <v>1589</v>
      </c>
      <c r="T688" s="2082">
        <f>'Part IV-A-Uses of Funds'!T185</f>
        <v>0</v>
      </c>
      <c r="V688" s="2005"/>
      <c r="W688" s="2006"/>
      <c r="X688" s="2006"/>
      <c r="AZ688" s="1938"/>
    </row>
    <row r="689" spans="1:52" s="1857" customFormat="1" ht="14.1" customHeight="1">
      <c r="B689" s="1857" t="s">
        <v>1239</v>
      </c>
      <c r="J689" s="1983">
        <f>J687/10</f>
        <v>1322385.2279999997</v>
      </c>
      <c r="K689" s="1983"/>
      <c r="L689" s="1983"/>
      <c r="N689" s="2081"/>
      <c r="O689" s="2081"/>
      <c r="P689" s="2081"/>
      <c r="Q689" s="2081"/>
      <c r="R689" s="2081"/>
      <c r="V689" s="2009"/>
      <c r="W689" s="2006"/>
      <c r="X689" s="2006"/>
      <c r="AZ689" s="1938"/>
    </row>
    <row r="690" spans="1:52" s="1857" customFormat="1" ht="14.1" customHeight="1">
      <c r="M690" s="1866"/>
      <c r="N690" s="1857" t="s">
        <v>1240</v>
      </c>
      <c r="Q690" s="1857" t="s">
        <v>1717</v>
      </c>
      <c r="V690" s="2005"/>
      <c r="W690" s="2006"/>
      <c r="X690" s="2006"/>
      <c r="AZ690" s="1938"/>
    </row>
    <row r="691" spans="1:52" s="1857" customFormat="1" ht="14.1" customHeight="1">
      <c r="B691" s="1857" t="s">
        <v>7063</v>
      </c>
      <c r="J691" s="2083">
        <f>N691+Q691</f>
        <v>1.43</v>
      </c>
      <c r="K691" s="2083"/>
      <c r="L691" s="2083"/>
      <c r="M691" s="1858" t="s">
        <v>1241</v>
      </c>
      <c r="N691" s="2084">
        <f>'Part IV-A-Uses of Funds'!N188</f>
        <v>0.85</v>
      </c>
      <c r="O691" s="2084"/>
      <c r="P691" s="1858" t="s">
        <v>583</v>
      </c>
      <c r="Q691" s="2084">
        <f>'Part IV-A-Uses of Funds'!Q188</f>
        <v>0.57999999999999996</v>
      </c>
      <c r="R691" s="2084"/>
      <c r="V691" s="2005"/>
      <c r="W691" s="2006"/>
      <c r="X691" s="2006"/>
      <c r="AZ691" s="1938"/>
    </row>
    <row r="692" spans="1:52" s="1857" customFormat="1" ht="14.1" customHeight="1">
      <c r="B692" s="1857" t="s">
        <v>1374</v>
      </c>
      <c r="J692" s="1983">
        <f>ROUNDDOWN(IF(J691=0,"",J689/J691),0)</f>
        <v>924744</v>
      </c>
      <c r="K692" s="1983"/>
      <c r="L692" s="1983"/>
      <c r="M692" s="1866"/>
      <c r="V692" s="2005"/>
      <c r="W692" s="2006"/>
      <c r="X692" s="2006"/>
      <c r="AZ692" s="1938"/>
    </row>
    <row r="693" spans="1:52" s="1857" customFormat="1" ht="6" customHeight="1">
      <c r="J693" s="1999"/>
      <c r="K693" s="1999"/>
      <c r="L693" s="1999"/>
      <c r="M693" s="1866"/>
      <c r="N693" s="1858"/>
      <c r="O693" s="1858"/>
      <c r="V693" s="2009"/>
      <c r="W693" s="2006"/>
      <c r="X693" s="2006"/>
      <c r="AZ693" s="1938"/>
    </row>
    <row r="694" spans="1:52" s="1857" customFormat="1" ht="14.1" customHeight="1">
      <c r="A694" s="2004" t="s">
        <v>1711</v>
      </c>
      <c r="B694" s="2004" t="s">
        <v>4128</v>
      </c>
      <c r="H694" s="2060"/>
      <c r="I694" s="2060"/>
      <c r="M694" s="2073"/>
      <c r="Q694" s="1865" t="s">
        <v>6539</v>
      </c>
      <c r="R694" s="1865"/>
      <c r="S694" s="1865" t="str">
        <f>'Part I-Project Information'!$H$105</f>
        <v>Rural</v>
      </c>
      <c r="T694" s="1865"/>
      <c r="V694" s="2009"/>
      <c r="AZ694" s="1938"/>
    </row>
    <row r="695" spans="1:52" s="1938" customFormat="1" ht="3" customHeight="1">
      <c r="H695" s="2074"/>
      <c r="I695" s="2074"/>
      <c r="M695" s="2075"/>
      <c r="Q695" s="2085"/>
      <c r="R695" s="2085"/>
      <c r="S695" s="1945"/>
      <c r="T695" s="1945"/>
      <c r="AZ695" s="1875"/>
    </row>
    <row r="696" spans="1:52" s="1857" customFormat="1" ht="16.350000000000001" customHeight="1">
      <c r="B696" s="1857" t="s">
        <v>7135</v>
      </c>
      <c r="J696" s="1895">
        <f>'Part IV-A-Uses of Funds'!J193</f>
        <v>900000</v>
      </c>
      <c r="K696" s="1895"/>
      <c r="L696" s="1895"/>
      <c r="M696" s="1866"/>
      <c r="Q696" s="1968" t="s">
        <v>367</v>
      </c>
      <c r="R696" s="1865"/>
      <c r="S696" s="1865" t="str">
        <f>'Part IX Scoring Criteria'!$M$43</f>
        <v>New Supply</v>
      </c>
      <c r="T696" s="1865"/>
      <c r="U696" s="1858" t="str">
        <f>IF(OR(S694="Atlanta Metro", "Other Metro"), "Metro", IF(S694="Rural","Rural",""))</f>
        <v>Rural</v>
      </c>
      <c r="V696" s="2005"/>
      <c r="W696" s="2006"/>
      <c r="X696" s="2006"/>
      <c r="AZ696" s="1875"/>
    </row>
    <row r="697" spans="1:52" s="1857" customFormat="1" ht="3" customHeight="1">
      <c r="J697" s="1999"/>
      <c r="K697" s="1999"/>
      <c r="L697" s="1999"/>
      <c r="M697" s="1866"/>
      <c r="N697" s="1858"/>
      <c r="O697" s="1858"/>
      <c r="Q697" s="1865"/>
      <c r="R697" s="1865"/>
      <c r="S697" s="1913"/>
      <c r="T697" s="1913"/>
      <c r="V697" s="2009"/>
      <c r="W697" s="2044"/>
      <c r="X697" s="2044"/>
      <c r="AZ697" s="1875"/>
    </row>
    <row r="698" spans="1:52" s="1857" customFormat="1" ht="16.350000000000001" customHeight="1">
      <c r="B698" s="1857" t="s">
        <v>7064</v>
      </c>
      <c r="J698" s="1895">
        <f>'Part IV-A-Uses of Funds'!J195</f>
        <v>900000</v>
      </c>
      <c r="K698" s="1895"/>
      <c r="L698" s="1895"/>
      <c r="M698" s="1908" t="str">
        <f>IF(J696=0,"",IF(J698&gt;J696,"Request can't exceed Maximum - REVISE (Try Round Down)!",""))</f>
        <v/>
      </c>
      <c r="N698" s="1908"/>
      <c r="O698" s="1908"/>
      <c r="P698" s="1908"/>
      <c r="Q698" s="1968" t="s">
        <v>4116</v>
      </c>
      <c r="R698" s="1968"/>
      <c r="S698" s="2086" t="str">
        <f>IF(OR('Part I-Project Information'!$F$12="9% Credit Competitive Round only", 'Part I-Project Information'!$F$12="9% Credit &amp; HOME"),"9%",IF(OR('Part I-Project Information'!$F$12="4% Credit/TE Bond", 'Part I-Project Information'!$F$12="4% Credit/TE Bond &amp; HOME", 'Part I-Project Information'!$F$12="4% Credit/TE Bond &amp; HOME NOFA", 'Part I-Project Information'!$F$12="4% Credit &amp; NHTF", 'Part I-Project Information'!$F$12="4% Credit &amp; NHTF &amp; HOME"),"4%",""))</f>
        <v>9%</v>
      </c>
      <c r="T698" s="2086"/>
      <c r="V698" s="2005"/>
      <c r="W698" s="2006"/>
      <c r="X698" s="2006"/>
      <c r="AZ698" s="1875"/>
    </row>
    <row r="699" spans="1:52" s="1857" customFormat="1" ht="3" customHeight="1">
      <c r="J699" s="1999"/>
      <c r="K699" s="1999"/>
      <c r="L699" s="1999"/>
      <c r="M699" s="1908"/>
      <c r="N699" s="1908"/>
      <c r="O699" s="1908"/>
      <c r="P699" s="1908"/>
      <c r="Q699" s="1865"/>
      <c r="R699" s="1865"/>
      <c r="S699" s="1913"/>
      <c r="T699" s="1913"/>
      <c r="V699" s="2009"/>
      <c r="W699" s="2044"/>
      <c r="X699" s="2044"/>
      <c r="AZ699" s="1875"/>
    </row>
    <row r="700" spans="1:52" s="1857" customFormat="1" ht="16.350000000000001" customHeight="1">
      <c r="A700" s="2004"/>
      <c r="B700" s="2004" t="s">
        <v>7136</v>
      </c>
      <c r="D700" s="1866"/>
      <c r="E700" s="1866"/>
      <c r="F700" s="1859"/>
      <c r="J700" s="1983">
        <f>IF(J698="",0,+MIN(J696,J698))</f>
        <v>900000</v>
      </c>
      <c r="K700" s="1983"/>
      <c r="L700" s="1983"/>
      <c r="M700" s="1908"/>
      <c r="N700" s="1908"/>
      <c r="O700" s="1908"/>
      <c r="P700" s="1908"/>
      <c r="Q700" s="1865" t="s">
        <v>6540</v>
      </c>
      <c r="R700" s="1865"/>
      <c r="S700" s="1865" t="str">
        <f>IF('Part I-Project Information'!$P$101="","",IF('Part I-Project Information'!$P$101="Yes","Yes","No"))</f>
        <v>No</v>
      </c>
      <c r="T700" s="1865"/>
      <c r="V700" s="2005"/>
      <c r="W700" s="2006"/>
      <c r="X700" s="2006"/>
      <c r="AZ700" s="1875"/>
    </row>
    <row r="701" spans="1:52" s="1866" customFormat="1" ht="3" customHeight="1">
      <c r="AZ701" s="1875"/>
    </row>
    <row r="702" spans="1:52" s="1866" customFormat="1" ht="6" customHeight="1">
      <c r="AZ702" s="1875"/>
    </row>
    <row r="703" spans="1:52" s="1866" customFormat="1" ht="12" customHeight="1">
      <c r="A703" s="1857" t="s">
        <v>1713</v>
      </c>
      <c r="B703" s="1866" t="s">
        <v>543</v>
      </c>
      <c r="N703" s="1857" t="s">
        <v>505</v>
      </c>
      <c r="O703" s="1857" t="s">
        <v>74</v>
      </c>
      <c r="AZ703" s="1938"/>
    </row>
    <row r="704" spans="1:52" s="1866" customFormat="1" ht="213" customHeight="1">
      <c r="A704" s="1957" t="str">
        <f>'Part IV-A-Uses of Funds'!A201</f>
        <v>* To all applicants: in addition to your other comments, please provide methodology for determining applicable construction hard costs.</v>
      </c>
      <c r="B704" s="1957"/>
      <c r="C704" s="1957"/>
      <c r="D704" s="1957"/>
      <c r="E704" s="1957"/>
      <c r="F704" s="1957"/>
      <c r="G704" s="1957"/>
      <c r="H704" s="1957"/>
      <c r="I704" s="1957"/>
      <c r="J704" s="1957"/>
      <c r="K704" s="1957"/>
      <c r="L704" s="1957"/>
      <c r="M704" s="1957"/>
      <c r="N704" s="1957"/>
      <c r="O704" s="1957"/>
      <c r="P704" s="1957"/>
      <c r="Q704" s="1957"/>
      <c r="R704" s="1957"/>
      <c r="S704" s="1957"/>
      <c r="T704" s="1957"/>
      <c r="V704" s="1908"/>
      <c r="W704" s="1856" t="s">
        <v>2541</v>
      </c>
      <c r="X704" s="1856"/>
      <c r="AZ704" s="1938"/>
    </row>
    <row r="708" spans="1:14" s="2089" customFormat="1" ht="15">
      <c r="A708" s="2087" t="str">
        <f>CONCATENATE("PART FOUR (B) -  OTHER COSTS","  -  ",'Part I-Project Information'!$O$7," - ",'Part I-Project Information'!$F$35,"  -  ",'Part I-Project Information'!$F$39,"  -  ",'Part I-Project Information'!$J$40,",  ","County")</f>
        <v>PART FOUR (B) -  OTHER COSTS  -  2021-067 - West Point Village Phase II  -  West Point  -  Troup,  County</v>
      </c>
      <c r="B708" s="2087"/>
      <c r="C708" s="2087"/>
      <c r="D708" s="2087"/>
      <c r="E708" s="2087"/>
      <c r="F708" s="2087"/>
      <c r="G708" s="2087"/>
      <c r="H708" s="2087"/>
      <c r="I708" s="2088"/>
      <c r="J708" s="2088"/>
      <c r="K708" s="2088"/>
      <c r="L708" s="2088"/>
      <c r="M708" s="2088"/>
      <c r="N708" s="2088"/>
    </row>
    <row r="709" spans="1:14" s="2089" customFormat="1" ht="9" customHeight="1"/>
    <row r="710" spans="1:14" s="2089" customFormat="1" ht="57" customHeight="1">
      <c r="A710" s="2090" t="s">
        <v>3344</v>
      </c>
      <c r="B710" s="2090"/>
      <c r="C710" s="2090"/>
      <c r="D710" s="2090"/>
      <c r="E710" s="2090"/>
      <c r="F710" s="2090"/>
      <c r="G710" s="2090"/>
      <c r="H710" s="2090"/>
    </row>
    <row r="711" spans="1:14" s="2089" customFormat="1" ht="6" customHeight="1"/>
    <row r="712" spans="1:14" s="2089" customFormat="1" ht="38.25" customHeight="1">
      <c r="A712" s="2091" t="s">
        <v>7065</v>
      </c>
      <c r="B712" s="2091"/>
      <c r="C712" s="2091"/>
      <c r="D712" s="2091"/>
      <c r="F712" s="2092" t="s">
        <v>3335</v>
      </c>
      <c r="G712" s="2088"/>
      <c r="H712" s="2092" t="s">
        <v>3336</v>
      </c>
    </row>
    <row r="713" spans="1:14" s="2089" customFormat="1" ht="6.75" customHeight="1">
      <c r="A713" s="2088"/>
      <c r="B713" s="2088"/>
      <c r="C713" s="2088"/>
      <c r="D713" s="2088"/>
    </row>
    <row r="714" spans="1:14" s="2094" customFormat="1" ht="4.5" customHeight="1">
      <c r="A714" s="2093"/>
      <c r="B714" s="2093"/>
      <c r="C714" s="2093"/>
      <c r="D714" s="2093"/>
      <c r="E714" s="2093"/>
      <c r="F714" s="2093"/>
      <c r="G714" s="2093"/>
    </row>
    <row r="715" spans="1:14" s="2094" customFormat="1">
      <c r="A715" s="2088" t="s">
        <v>95</v>
      </c>
      <c r="B715" s="2095"/>
      <c r="C715" s="2095"/>
      <c r="D715" s="2095"/>
      <c r="E715" s="2095"/>
      <c r="F715" s="2095"/>
      <c r="G715" s="2095"/>
      <c r="H715" s="2095"/>
    </row>
    <row r="716" spans="1:14" s="2094" customFormat="1" ht="41.25" customHeight="1">
      <c r="A716" s="2096" t="str">
        <f>'Part IV-A-Uses of Funds'!$C$15</f>
        <v>&lt;&lt; Enter description here; provide detail &amp; justification in tab Part IV-b &gt;&gt;</v>
      </c>
      <c r="B716" s="2096"/>
      <c r="C716" s="2096"/>
      <c r="D716" s="2096"/>
      <c r="F716" s="2097">
        <f>'Part IV-B-Other Items'!F9</f>
        <v>0</v>
      </c>
      <c r="G716" s="2095"/>
      <c r="H716" s="2097">
        <f>'Part IV-B-Other Items'!H9</f>
        <v>0</v>
      </c>
    </row>
    <row r="717" spans="1:14" s="2094" customFormat="1" ht="41.25" customHeight="1">
      <c r="A717" s="2096"/>
      <c r="B717" s="2096"/>
      <c r="C717" s="2096"/>
      <c r="D717" s="2096"/>
      <c r="F717" s="2097"/>
      <c r="G717" s="2095"/>
      <c r="H717" s="2097"/>
    </row>
    <row r="718" spans="1:14" s="2094" customFormat="1" ht="4.5" customHeight="1">
      <c r="F718" s="2097"/>
      <c r="G718" s="2095"/>
      <c r="H718" s="2097"/>
    </row>
    <row r="719" spans="1:14" s="2094" customFormat="1" ht="15" customHeight="1">
      <c r="A719" s="2098" t="s">
        <v>3338</v>
      </c>
      <c r="B719" s="2099">
        <f>'Part IV-A-Uses of Funds'!$G$15</f>
        <v>0</v>
      </c>
      <c r="C719" s="2098" t="s">
        <v>1710</v>
      </c>
      <c r="D719" s="2099">
        <f>'Part IV-A-Uses of Funds'!$J$15+'Part IV-A-Uses of Funds'!$M$15+'Part IV-A-Uses of Funds'!$P$15</f>
        <v>0</v>
      </c>
      <c r="F719" s="2097"/>
      <c r="G719" s="2095"/>
      <c r="H719" s="2097"/>
    </row>
    <row r="720" spans="1:14" s="2094" customFormat="1" ht="6" customHeight="1">
      <c r="A720" s="2095"/>
      <c r="B720" s="2100"/>
      <c r="C720" s="2095"/>
      <c r="D720" s="2095"/>
      <c r="F720" s="2097"/>
      <c r="G720" s="2101"/>
      <c r="H720" s="2097"/>
    </row>
    <row r="721" spans="1:8" s="2094" customFormat="1" ht="41.25" customHeight="1">
      <c r="A721" s="2096" t="str">
        <f>'Part IV-A-Uses of Funds'!$C$16</f>
        <v>&lt;&lt; Enter description here; provide detail &amp; justification in tab Part IV-b &gt;&gt;</v>
      </c>
      <c r="B721" s="2096"/>
      <c r="C721" s="2096"/>
      <c r="D721" s="2096"/>
      <c r="F721" s="2097">
        <f>'Part IV-B-Other Items'!F14</f>
        <v>0</v>
      </c>
      <c r="G721" s="2095"/>
      <c r="H721" s="2097">
        <f>'Part IV-B-Other Items'!H14</f>
        <v>0</v>
      </c>
    </row>
    <row r="722" spans="1:8" s="2094" customFormat="1" ht="41.25" customHeight="1">
      <c r="A722" s="2096"/>
      <c r="B722" s="2096"/>
      <c r="C722" s="2096"/>
      <c r="D722" s="2096"/>
      <c r="F722" s="2097"/>
      <c r="G722" s="2095"/>
      <c r="H722" s="2097"/>
    </row>
    <row r="723" spans="1:8" s="2094" customFormat="1" ht="4.5" customHeight="1">
      <c r="F723" s="2097"/>
      <c r="G723" s="2095"/>
      <c r="H723" s="2097"/>
    </row>
    <row r="724" spans="1:8" s="2094" customFormat="1" ht="15" customHeight="1">
      <c r="A724" s="2098" t="s">
        <v>3338</v>
      </c>
      <c r="B724" s="2099">
        <f>'Part IV-A-Uses of Funds'!$G$16</f>
        <v>0</v>
      </c>
      <c r="C724" s="2098" t="s">
        <v>1710</v>
      </c>
      <c r="D724" s="2099">
        <f>'Part IV-A-Uses of Funds'!$J$16+'Part IV-A-Uses of Funds'!$M$16+'Part IV-A-Uses of Funds'!$P$16</f>
        <v>0</v>
      </c>
      <c r="F724" s="2097"/>
      <c r="G724" s="2095"/>
      <c r="H724" s="2097"/>
    </row>
    <row r="725" spans="1:8" s="2094" customFormat="1" ht="6" customHeight="1">
      <c r="A725" s="2095"/>
      <c r="B725" s="2100"/>
      <c r="C725" s="2095"/>
      <c r="D725" s="2095"/>
      <c r="F725" s="2097"/>
      <c r="G725" s="2101"/>
      <c r="H725" s="2097"/>
    </row>
    <row r="726" spans="1:8" s="2094" customFormat="1" ht="41.25" customHeight="1">
      <c r="A726" s="2096" t="str">
        <f>'Part IV-A-Uses of Funds'!$C$17</f>
        <v>&lt;&lt; Enter description here; provide detail &amp; justification in tab Part IV-b &gt;&gt;</v>
      </c>
      <c r="B726" s="2096"/>
      <c r="C726" s="2096"/>
      <c r="D726" s="2096"/>
      <c r="F726" s="2097">
        <f>'Part IV-B-Other Items'!F19</f>
        <v>0</v>
      </c>
      <c r="G726" s="2095"/>
      <c r="H726" s="2097">
        <f>'Part IV-B-Other Items'!H19</f>
        <v>0</v>
      </c>
    </row>
    <row r="727" spans="1:8" s="2094" customFormat="1" ht="41.25" customHeight="1">
      <c r="A727" s="2096"/>
      <c r="B727" s="2096"/>
      <c r="C727" s="2096"/>
      <c r="D727" s="2096"/>
      <c r="F727" s="2097"/>
      <c r="G727" s="2095"/>
      <c r="H727" s="2097"/>
    </row>
    <row r="728" spans="1:8" s="2094" customFormat="1" ht="4.5" customHeight="1">
      <c r="F728" s="2097"/>
      <c r="G728" s="2095"/>
      <c r="H728" s="2097"/>
    </row>
    <row r="729" spans="1:8" s="2094" customFormat="1" ht="15" customHeight="1">
      <c r="A729" s="2098" t="s">
        <v>3338</v>
      </c>
      <c r="B729" s="2099">
        <f>'Part IV-A-Uses of Funds'!$G$17</f>
        <v>0</v>
      </c>
      <c r="C729" s="2098" t="s">
        <v>1710</v>
      </c>
      <c r="D729" s="2099">
        <f>'Part IV-A-Uses of Funds'!$J$17+'Part IV-A-Uses of Funds'!$M$17+'Part IV-A-Uses of Funds'!$P$17</f>
        <v>0</v>
      </c>
      <c r="F729" s="2097"/>
      <c r="G729" s="2095"/>
      <c r="H729" s="2097"/>
    </row>
    <row r="730" spans="1:8" s="2094" customFormat="1" ht="6" customHeight="1">
      <c r="A730" s="2095"/>
      <c r="B730" s="2100"/>
      <c r="C730" s="2095"/>
      <c r="D730" s="2095"/>
      <c r="F730" s="2097"/>
      <c r="G730" s="2101"/>
      <c r="H730" s="2097"/>
    </row>
    <row r="731" spans="1:8" s="2094" customFormat="1">
      <c r="A731" s="2088" t="s">
        <v>3337</v>
      </c>
      <c r="B731" s="2095"/>
      <c r="C731" s="2095"/>
      <c r="D731" s="2095"/>
      <c r="E731" s="2095"/>
      <c r="F731" s="2095"/>
      <c r="G731" s="2095"/>
    </row>
    <row r="732" spans="1:8" s="2094" customFormat="1" ht="41.25" customHeight="1">
      <c r="A732" s="2096" t="str">
        <f>'Part IV-A-Uses of Funds'!$C$46</f>
        <v>&lt;&lt; Enter description here; provide detail &amp; justification in tab Part IV-b &gt;&gt;</v>
      </c>
      <c r="B732" s="2096"/>
      <c r="C732" s="2096"/>
      <c r="D732" s="2096"/>
      <c r="E732" s="2095"/>
      <c r="F732" s="2097">
        <f>'Part IV-B-Other Items'!F25</f>
        <v>0</v>
      </c>
      <c r="G732" s="2095"/>
      <c r="H732" s="2097">
        <f>'Part IV-B-Other Items'!H25</f>
        <v>0</v>
      </c>
    </row>
    <row r="733" spans="1:8" s="2094" customFormat="1" ht="41.25" customHeight="1">
      <c r="A733" s="2096"/>
      <c r="B733" s="2096"/>
      <c r="C733" s="2096"/>
      <c r="D733" s="2096"/>
      <c r="E733" s="2095"/>
      <c r="F733" s="2097"/>
      <c r="G733" s="2095"/>
      <c r="H733" s="2097"/>
    </row>
    <row r="734" spans="1:8" s="2094" customFormat="1" ht="4.5" customHeight="1">
      <c r="A734" s="2095"/>
      <c r="B734" s="2095"/>
      <c r="C734" s="2095"/>
      <c r="D734" s="2095"/>
      <c r="E734" s="2095"/>
      <c r="F734" s="2097"/>
      <c r="G734" s="2095"/>
      <c r="H734" s="2097"/>
    </row>
    <row r="735" spans="1:8" s="2094" customFormat="1">
      <c r="A735" s="2098" t="s">
        <v>3338</v>
      </c>
      <c r="B735" s="2099">
        <f>'Part IV-A-Uses of Funds'!$G$46</f>
        <v>0</v>
      </c>
      <c r="C735" s="2098" t="s">
        <v>1710</v>
      </c>
      <c r="D735" s="2099">
        <f>'Part IV-A-Uses of Funds'!$J$46+'Part IV-A-Uses of Funds'!$M$46+'Part IV-A-Uses of Funds'!$P$46</f>
        <v>0</v>
      </c>
      <c r="E735" s="2095"/>
      <c r="F735" s="2097"/>
      <c r="G735" s="2095"/>
      <c r="H735" s="2097"/>
    </row>
    <row r="736" spans="1:8" s="2094" customFormat="1" ht="6" customHeight="1">
      <c r="A736" s="2095"/>
      <c r="B736" s="2100"/>
      <c r="C736" s="2095"/>
      <c r="D736" s="2095"/>
      <c r="E736" s="2095"/>
      <c r="F736" s="2097"/>
      <c r="G736" s="2101"/>
      <c r="H736" s="2097"/>
    </row>
    <row r="737" spans="1:8" s="2094" customFormat="1">
      <c r="A737" s="2088" t="s">
        <v>692</v>
      </c>
      <c r="B737" s="2095"/>
      <c r="C737" s="2095"/>
      <c r="D737" s="2095"/>
      <c r="E737" s="2095"/>
      <c r="F737" s="2095"/>
      <c r="G737" s="2095"/>
    </row>
    <row r="738" spans="1:8" s="2094" customFormat="1" ht="41.25" customHeight="1">
      <c r="A738" s="2096" t="str">
        <f>'Part IV-A-Uses of Funds'!$C$71</f>
        <v>RAD CNA Tool</v>
      </c>
      <c r="B738" s="2096"/>
      <c r="C738" s="2096"/>
      <c r="D738" s="2096"/>
      <c r="E738" s="2095"/>
      <c r="F738" s="2097" t="str">
        <f>'Part IV-B-Other Items'!F31</f>
        <v>The RAD CNA tool is required as part of the West Point Housing Authority's RAD conversion.</v>
      </c>
      <c r="G738" s="2095"/>
      <c r="H738" s="2097" t="str">
        <f>'Part IV-B-Other Items'!H31</f>
        <v>This cost is considered to be eligible basis, consistent with other due duligence and construciton financing costs.</v>
      </c>
    </row>
    <row r="739" spans="1:8" s="2094" customFormat="1" ht="41.25" customHeight="1">
      <c r="A739" s="2096"/>
      <c r="B739" s="2096"/>
      <c r="C739" s="2096"/>
      <c r="D739" s="2096"/>
      <c r="E739" s="2095"/>
      <c r="F739" s="2097"/>
      <c r="G739" s="2095"/>
      <c r="H739" s="2097"/>
    </row>
    <row r="740" spans="1:8" s="2094" customFormat="1" ht="4.5" customHeight="1">
      <c r="A740" s="2095"/>
      <c r="B740" s="2095"/>
      <c r="C740" s="2095"/>
      <c r="D740" s="2095"/>
      <c r="E740" s="2095"/>
      <c r="F740" s="2097"/>
      <c r="G740" s="2095"/>
      <c r="H740" s="2097"/>
    </row>
    <row r="741" spans="1:8" s="2094" customFormat="1" ht="14.25" customHeight="1">
      <c r="A741" s="2098" t="s">
        <v>3338</v>
      </c>
      <c r="B741" s="2099">
        <f>'Part IV-A-Uses of Funds'!$G$71</f>
        <v>10000</v>
      </c>
      <c r="C741" s="2098" t="s">
        <v>1710</v>
      </c>
      <c r="D741" s="2099">
        <f>'Part IV-A-Uses of Funds'!$J$71+'Part IV-A-Uses of Funds'!$M$71+'Part IV-A-Uses of Funds'!$P$71</f>
        <v>10000</v>
      </c>
      <c r="E741" s="2095"/>
      <c r="F741" s="2097"/>
      <c r="G741" s="2095"/>
      <c r="H741" s="2097"/>
    </row>
    <row r="742" spans="1:8" s="2094" customFormat="1" ht="6" customHeight="1">
      <c r="D742" s="2095"/>
      <c r="E742" s="2095"/>
      <c r="F742" s="2097"/>
      <c r="G742" s="2101"/>
      <c r="H742" s="2097"/>
    </row>
    <row r="743" spans="1:8" s="2094" customFormat="1" ht="41.25" customHeight="1">
      <c r="A743" s="2096" t="str">
        <f>'Part IV-A-Uses of Funds'!$C$72</f>
        <v>Construction lender due diligence</v>
      </c>
      <c r="B743" s="2096"/>
      <c r="C743" s="2096"/>
      <c r="D743" s="2096"/>
      <c r="E743" s="2095"/>
      <c r="F743" s="2097" t="str">
        <f>'Part IV-B-Other Items'!F36</f>
        <v>Construction lender-required due diligence costs, in addition to developer's due diligence.</v>
      </c>
      <c r="G743" s="2095"/>
      <c r="H743" s="2097" t="str">
        <f>'Part IV-B-Other Items'!H36</f>
        <v>This cost is considered to be eligible basis, consistent with other due duligence and construciton financing costs.</v>
      </c>
    </row>
    <row r="744" spans="1:8" s="2094" customFormat="1" ht="41.25" customHeight="1">
      <c r="A744" s="2096"/>
      <c r="B744" s="2096"/>
      <c r="C744" s="2096"/>
      <c r="D744" s="2096"/>
      <c r="E744" s="2095"/>
      <c r="F744" s="2097"/>
      <c r="G744" s="2095"/>
      <c r="H744" s="2097"/>
    </row>
    <row r="745" spans="1:8" s="2094" customFormat="1" ht="4.5" customHeight="1">
      <c r="A745" s="2095"/>
      <c r="B745" s="2095"/>
      <c r="C745" s="2095"/>
      <c r="D745" s="2095"/>
      <c r="E745" s="2095"/>
      <c r="F745" s="2097"/>
      <c r="G745" s="2095"/>
      <c r="H745" s="2097"/>
    </row>
    <row r="746" spans="1:8" s="2094" customFormat="1" ht="14.25" customHeight="1">
      <c r="A746" s="2098" t="s">
        <v>3338</v>
      </c>
      <c r="B746" s="2099">
        <f>'Part IV-A-Uses of Funds'!$G$72</f>
        <v>15000</v>
      </c>
      <c r="C746" s="2098" t="s">
        <v>1710</v>
      </c>
      <c r="D746" s="2099">
        <f>'Part IV-A-Uses of Funds'!$J$72+'Part IV-A-Uses of Funds'!$M$72+'Part IV-A-Uses of Funds'!$P$72</f>
        <v>15000</v>
      </c>
      <c r="E746" s="2095"/>
      <c r="F746" s="2097"/>
      <c r="G746" s="2095"/>
      <c r="H746" s="2097"/>
    </row>
    <row r="747" spans="1:8" s="2094" customFormat="1" ht="6" customHeight="1">
      <c r="D747" s="2095"/>
      <c r="E747" s="2095"/>
      <c r="F747" s="2097"/>
      <c r="G747" s="2101"/>
      <c r="H747" s="2097"/>
    </row>
    <row r="748" spans="1:8" s="2094" customFormat="1">
      <c r="A748" s="2088" t="s">
        <v>456</v>
      </c>
      <c r="B748" s="2095"/>
      <c r="C748" s="2095"/>
      <c r="D748" s="2095"/>
      <c r="E748" s="2057"/>
      <c r="F748" s="2057"/>
      <c r="G748" s="2095"/>
    </row>
    <row r="749" spans="1:8" s="2094" customFormat="1" ht="41.25" customHeight="1">
      <c r="A749" s="2096" t="str">
        <f>'Part IV-A-Uses of Funds'!$C$85</f>
        <v>Landscape Architect</v>
      </c>
      <c r="B749" s="2096"/>
      <c r="C749" s="2096"/>
      <c r="D749" s="2096"/>
      <c r="F749" s="2097" t="str">
        <f>'Part IV-B-Other Items'!F42</f>
        <v>Design fees for landscape architect</v>
      </c>
      <c r="G749" s="2095"/>
      <c r="H749" s="2097" t="str">
        <f>'Part IV-B-Other Items'!H42</f>
        <v>Considered eligible basis consistent with civil and architectural design fees.</v>
      </c>
    </row>
    <row r="750" spans="1:8" s="2094" customFormat="1" ht="41.25" customHeight="1">
      <c r="A750" s="2096"/>
      <c r="B750" s="2096"/>
      <c r="C750" s="2096"/>
      <c r="D750" s="2096"/>
      <c r="E750" s="2095"/>
      <c r="F750" s="2097"/>
      <c r="G750" s="2095"/>
      <c r="H750" s="2097"/>
    </row>
    <row r="751" spans="1:8" s="2094" customFormat="1" ht="4.5" customHeight="1">
      <c r="A751" s="2095"/>
      <c r="B751" s="2095"/>
      <c r="C751" s="2095"/>
      <c r="D751" s="2095"/>
      <c r="E751" s="2095"/>
      <c r="F751" s="2097"/>
      <c r="G751" s="2095"/>
      <c r="H751" s="2097"/>
    </row>
    <row r="752" spans="1:8" s="2094" customFormat="1" ht="13.5" customHeight="1">
      <c r="A752" s="2098" t="s">
        <v>3338</v>
      </c>
      <c r="B752" s="2099">
        <f>'Part IV-A-Uses of Funds'!$G$85</f>
        <v>20000</v>
      </c>
      <c r="C752" s="2098" t="s">
        <v>1710</v>
      </c>
      <c r="D752" s="2099">
        <f>'Part IV-A-Uses of Funds'!$J$85+'Part IV-A-Uses of Funds'!$M$85+'Part IV-A-Uses of Funds'!$P$85</f>
        <v>20000</v>
      </c>
      <c r="E752" s="2095"/>
      <c r="F752" s="2097"/>
      <c r="G752" s="2095"/>
      <c r="H752" s="2097"/>
    </row>
    <row r="753" spans="1:8" s="2094" customFormat="1" ht="6" customHeight="1">
      <c r="A753" s="2095"/>
      <c r="B753" s="2100"/>
      <c r="C753" s="2095"/>
      <c r="D753" s="2095"/>
      <c r="E753" s="2095"/>
      <c r="F753" s="2097"/>
      <c r="G753" s="2101"/>
      <c r="H753" s="2097"/>
    </row>
    <row r="754" spans="1:8" s="2094" customFormat="1">
      <c r="A754" s="2088" t="s">
        <v>694</v>
      </c>
      <c r="B754" s="2095"/>
      <c r="C754" s="2095"/>
      <c r="D754" s="2095"/>
      <c r="E754" s="2095"/>
      <c r="F754" s="2095"/>
      <c r="G754" s="2095"/>
    </row>
    <row r="755" spans="1:8" s="2094" customFormat="1" ht="41.25" customHeight="1">
      <c r="A755" s="2096" t="str">
        <f>'Part IV-A-Uses of Funds'!$C$102</f>
        <v>&lt;&lt; Enter description here; provide detail &amp; justification in tab Part IV-b &gt;&gt;</v>
      </c>
      <c r="B755" s="2096"/>
      <c r="C755" s="2096"/>
      <c r="D755" s="2096"/>
      <c r="F755" s="2097">
        <f>'Part IV-B-Other Items'!F48</f>
        <v>0</v>
      </c>
      <c r="G755" s="2095"/>
    </row>
    <row r="756" spans="1:8" s="2094" customFormat="1" ht="41.25" customHeight="1">
      <c r="A756" s="2096"/>
      <c r="B756" s="2096"/>
      <c r="C756" s="2096"/>
      <c r="D756" s="2096"/>
      <c r="E756" s="2095"/>
      <c r="F756" s="2097"/>
      <c r="G756" s="2095"/>
    </row>
    <row r="757" spans="1:8" s="2094" customFormat="1" ht="3" customHeight="1">
      <c r="A757" s="2095"/>
      <c r="B757" s="2095"/>
      <c r="C757" s="2095"/>
      <c r="D757" s="2095"/>
      <c r="E757" s="2095"/>
      <c r="F757" s="2097"/>
      <c r="G757" s="2095"/>
    </row>
    <row r="758" spans="1:8" s="2094" customFormat="1" ht="13.5" customHeight="1">
      <c r="A758" s="2098" t="s">
        <v>3338</v>
      </c>
      <c r="B758" s="2099">
        <f>'Part IV-A-Uses of Funds'!$G$102</f>
        <v>0</v>
      </c>
      <c r="C758" s="2102"/>
      <c r="D758" s="2102"/>
      <c r="E758" s="2095"/>
      <c r="F758" s="2097"/>
      <c r="G758" s="2095"/>
    </row>
    <row r="759" spans="1:8" s="2094" customFormat="1" ht="3.75" customHeight="1">
      <c r="A759" s="2095"/>
      <c r="B759" s="2095"/>
      <c r="C759" s="2095"/>
      <c r="D759" s="2095"/>
      <c r="E759" s="2095"/>
      <c r="F759" s="2097"/>
      <c r="G759" s="2101"/>
    </row>
    <row r="760" spans="1:8" s="2094" customFormat="1">
      <c r="A760" s="2088" t="s">
        <v>7066</v>
      </c>
      <c r="B760" s="2095"/>
      <c r="C760" s="2095"/>
      <c r="D760" s="2095"/>
      <c r="E760" s="2095"/>
      <c r="F760" s="2095"/>
      <c r="G760" s="2095"/>
    </row>
    <row r="761" spans="1:8" s="2094" customFormat="1" ht="41.25" customHeight="1">
      <c r="A761" s="2096" t="str">
        <f>'Part IV-A-Uses of Funds'!$C$112</f>
        <v>&lt;&lt; Enter description here; provide detail &amp; justification in tab Part IV-b &gt;&gt;</v>
      </c>
      <c r="B761" s="2096"/>
      <c r="C761" s="2096"/>
      <c r="D761" s="2096"/>
      <c r="F761" s="2097">
        <f>'Part IV-B-Other Items'!F54</f>
        <v>0</v>
      </c>
      <c r="G761" s="2095"/>
    </row>
    <row r="762" spans="1:8" s="2094" customFormat="1" ht="41.25" customHeight="1">
      <c r="A762" s="2096"/>
      <c r="B762" s="2096"/>
      <c r="C762" s="2096"/>
      <c r="D762" s="2096"/>
      <c r="E762" s="2095"/>
      <c r="F762" s="2097"/>
      <c r="G762" s="2095"/>
    </row>
    <row r="763" spans="1:8" s="2094" customFormat="1" ht="3" customHeight="1">
      <c r="A763" s="2095"/>
      <c r="B763" s="2095"/>
      <c r="C763" s="2095"/>
      <c r="D763" s="2095"/>
      <c r="E763" s="2095"/>
      <c r="F763" s="2097"/>
      <c r="G763" s="2095"/>
    </row>
    <row r="764" spans="1:8" s="2094" customFormat="1">
      <c r="A764" s="2098" t="s">
        <v>3338</v>
      </c>
      <c r="B764" s="2099">
        <f>'Part IV-A-Uses of Funds'!$G$112</f>
        <v>0</v>
      </c>
      <c r="C764" s="2102"/>
      <c r="D764" s="2102"/>
      <c r="E764" s="2095"/>
      <c r="F764" s="2097"/>
      <c r="G764" s="2095"/>
    </row>
    <row r="765" spans="1:8" s="2094" customFormat="1" ht="3.75" customHeight="1">
      <c r="A765" s="2093"/>
      <c r="B765" s="2093"/>
      <c r="C765" s="2093"/>
      <c r="D765" s="2093"/>
      <c r="E765" s="2093"/>
      <c r="F765" s="2097"/>
      <c r="G765" s="2101"/>
    </row>
    <row r="766" spans="1:8" s="2094" customFormat="1" ht="41.25" customHeight="1">
      <c r="A766" s="2096" t="str">
        <f>'Part IV-A-Uses of Funds'!$C$113</f>
        <v>&lt;&lt; Enter description here; provide detail &amp; justification in tab Part IV-b &gt;&gt;</v>
      </c>
      <c r="B766" s="2096"/>
      <c r="C766" s="2096"/>
      <c r="D766" s="2096"/>
      <c r="F766" s="2097">
        <f>'Part IV-B-Other Items'!F59</f>
        <v>0</v>
      </c>
      <c r="G766" s="2095"/>
    </row>
    <row r="767" spans="1:8" s="2094" customFormat="1" ht="41.25" customHeight="1">
      <c r="A767" s="2096"/>
      <c r="B767" s="2096"/>
      <c r="C767" s="2096"/>
      <c r="D767" s="2096"/>
      <c r="E767" s="2095"/>
      <c r="F767" s="2097"/>
      <c r="G767" s="2095"/>
    </row>
    <row r="768" spans="1:8" s="2094" customFormat="1" ht="3" customHeight="1">
      <c r="A768" s="2095"/>
      <c r="B768" s="2095"/>
      <c r="C768" s="2095"/>
      <c r="D768" s="2095"/>
      <c r="E768" s="2095"/>
      <c r="F768" s="2097"/>
      <c r="G768" s="2095"/>
    </row>
    <row r="769" spans="1:8" s="2094" customFormat="1">
      <c r="A769" s="2098" t="s">
        <v>3338</v>
      </c>
      <c r="B769" s="2099">
        <f>'Part IV-A-Uses of Funds'!$G$113</f>
        <v>0</v>
      </c>
      <c r="C769" s="2102"/>
      <c r="D769" s="2102"/>
      <c r="E769" s="2095"/>
      <c r="F769" s="2097"/>
      <c r="G769" s="2095"/>
    </row>
    <row r="770" spans="1:8" s="2094" customFormat="1" ht="3.75" customHeight="1">
      <c r="A770" s="2093"/>
      <c r="B770" s="2093"/>
      <c r="C770" s="2093"/>
      <c r="D770" s="2093"/>
      <c r="E770" s="2093"/>
      <c r="F770" s="2097"/>
      <c r="G770" s="2101"/>
    </row>
    <row r="771" spans="1:8" s="2094" customFormat="1">
      <c r="A771" s="2088" t="s">
        <v>7067</v>
      </c>
      <c r="B771" s="2095"/>
      <c r="C771" s="2095"/>
      <c r="D771" s="2095"/>
      <c r="E771" s="2095"/>
      <c r="F771" s="2095"/>
      <c r="G771" s="2095"/>
    </row>
    <row r="772" spans="1:8" s="2094" customFormat="1" ht="41.25" customHeight="1">
      <c r="A772" s="2096" t="str">
        <f>'Part IV-A-Uses of Funds'!$C$119</f>
        <v>Syndicator Due Diligence Fees</v>
      </c>
      <c r="B772" s="2096"/>
      <c r="C772" s="2096"/>
      <c r="D772" s="2096"/>
      <c r="F772" s="2097" t="str">
        <f>'Part IV-B-Other Items'!F65</f>
        <v>The equity letter indentifies due diligence fees related to syndicator underwriting review of this transaction and costs associated with syndicator's counsel's tax opinion.</v>
      </c>
      <c r="G772" s="2095"/>
    </row>
    <row r="773" spans="1:8" s="2094" customFormat="1" ht="41.25" customHeight="1">
      <c r="A773" s="2096"/>
      <c r="B773" s="2096"/>
      <c r="C773" s="2096"/>
      <c r="D773" s="2096"/>
      <c r="E773" s="2095"/>
      <c r="F773" s="2097"/>
      <c r="G773" s="2095"/>
    </row>
    <row r="774" spans="1:8" s="2094" customFormat="1" ht="3" customHeight="1">
      <c r="A774" s="2095"/>
      <c r="B774" s="2095"/>
      <c r="C774" s="2095"/>
      <c r="D774" s="2095"/>
      <c r="E774" s="2095"/>
      <c r="F774" s="2097"/>
      <c r="G774" s="2095"/>
    </row>
    <row r="775" spans="1:8" s="2094" customFormat="1">
      <c r="A775" s="2098" t="s">
        <v>3338</v>
      </c>
      <c r="B775" s="2099">
        <f>'Part IV-A-Uses of Funds'!$G$119</f>
        <v>40000</v>
      </c>
      <c r="C775" s="2102"/>
      <c r="D775" s="2102"/>
      <c r="E775" s="2095"/>
      <c r="F775" s="2097"/>
      <c r="G775" s="2095"/>
    </row>
    <row r="776" spans="1:8" s="2094" customFormat="1" ht="3.75" customHeight="1">
      <c r="A776" s="2095"/>
      <c r="B776" s="2100"/>
      <c r="C776" s="2095"/>
      <c r="D776" s="2095"/>
      <c r="E776" s="2095"/>
      <c r="F776" s="2097"/>
      <c r="G776" s="2101"/>
    </row>
    <row r="777" spans="1:8" s="2094" customFormat="1">
      <c r="A777" s="2088" t="s">
        <v>1260</v>
      </c>
      <c r="B777" s="2095"/>
      <c r="C777" s="2095"/>
      <c r="D777" s="2095"/>
      <c r="E777" s="2095"/>
      <c r="F777" s="2095"/>
      <c r="G777" s="2095"/>
    </row>
    <row r="778" spans="1:8" s="2094" customFormat="1" ht="41.25" customHeight="1">
      <c r="A778" s="2096" t="str">
        <f>'Part IV-A-Uses of Funds'!$C$134</f>
        <v>&lt;&lt; Enter description here; provide detail &amp; justification in tab Part IV-b &gt;&gt;</v>
      </c>
      <c r="B778" s="2096"/>
      <c r="C778" s="2096"/>
      <c r="D778" s="2096"/>
      <c r="F778" s="2097">
        <f>'Part IV-B-Other Items'!F71</f>
        <v>0</v>
      </c>
      <c r="G778" s="2095"/>
      <c r="H778" s="2097">
        <f>'Part IV-B-Other Items'!H71</f>
        <v>0</v>
      </c>
    </row>
    <row r="779" spans="1:8" s="2094" customFormat="1" ht="41.25" customHeight="1">
      <c r="A779" s="2096"/>
      <c r="B779" s="2096"/>
      <c r="C779" s="2096"/>
      <c r="D779" s="2096"/>
      <c r="E779" s="2095"/>
      <c r="F779" s="2097"/>
      <c r="G779" s="2095"/>
      <c r="H779" s="2097"/>
    </row>
    <row r="780" spans="1:8" s="2094" customFormat="1" ht="4.5" customHeight="1">
      <c r="A780" s="2095"/>
      <c r="B780" s="2095"/>
      <c r="C780" s="2095"/>
      <c r="D780" s="2095"/>
      <c r="E780" s="2095"/>
      <c r="F780" s="2097"/>
      <c r="G780" s="2095"/>
      <c r="H780" s="2097"/>
    </row>
    <row r="781" spans="1:8" s="2094" customFormat="1" ht="12.75" customHeight="1">
      <c r="A781" s="2098" t="s">
        <v>3338</v>
      </c>
      <c r="B781" s="2099">
        <f>'Part IV-A-Uses of Funds'!$G$134</f>
        <v>0</v>
      </c>
      <c r="C781" s="2098" t="s">
        <v>1710</v>
      </c>
      <c r="D781" s="2099">
        <f>'Part IV-A-Uses of Funds'!$J$134+'Part IV-A-Uses of Funds'!$M$134+'Part IV-A-Uses of Funds'!$P$134</f>
        <v>0</v>
      </c>
      <c r="E781" s="2095"/>
      <c r="F781" s="2097"/>
      <c r="G781" s="2095"/>
      <c r="H781" s="2097"/>
    </row>
    <row r="782" spans="1:8" s="2094" customFormat="1" ht="6" customHeight="1">
      <c r="A782" s="2095"/>
      <c r="B782" s="2100"/>
      <c r="C782" s="2095"/>
      <c r="D782" s="2095"/>
      <c r="E782" s="2095"/>
      <c r="F782" s="2097"/>
      <c r="G782" s="2101"/>
      <c r="H782" s="2097"/>
    </row>
    <row r="783" spans="1:8" s="2094" customFormat="1">
      <c r="A783" s="2088" t="s">
        <v>7068</v>
      </c>
      <c r="B783" s="2100"/>
      <c r="C783" s="2095"/>
      <c r="D783" s="2095"/>
      <c r="E783" s="2095"/>
      <c r="F783" s="2095"/>
      <c r="G783" s="2101"/>
    </row>
    <row r="784" spans="1:8" s="2094" customFormat="1" ht="41.25" customHeight="1">
      <c r="A784" s="2096" t="str">
        <f>'Part IV-A-Uses of Funds'!$C$143</f>
        <v>&lt;&lt; Enter description here; provide detail &amp; justification in tab Part IV-b &gt;&gt;</v>
      </c>
      <c r="B784" s="2096"/>
      <c r="C784" s="2096"/>
      <c r="D784" s="2096"/>
      <c r="F784" s="2097">
        <f>'Part IV-B-Other Items'!F77</f>
        <v>0</v>
      </c>
      <c r="G784" s="2095"/>
      <c r="H784" s="2097">
        <f>'Part IV-B-Other Items'!H77</f>
        <v>0</v>
      </c>
    </row>
    <row r="785" spans="1:25" s="2094" customFormat="1" ht="41.25" customHeight="1">
      <c r="A785" s="2096"/>
      <c r="B785" s="2096"/>
      <c r="C785" s="2096"/>
      <c r="D785" s="2096"/>
      <c r="E785" s="2095"/>
      <c r="F785" s="2097"/>
      <c r="G785" s="2095"/>
      <c r="H785" s="2097"/>
    </row>
    <row r="786" spans="1:25" s="2094" customFormat="1" ht="4.5" customHeight="1">
      <c r="A786" s="2095"/>
      <c r="B786" s="2095"/>
      <c r="C786" s="2095"/>
      <c r="D786" s="2095"/>
      <c r="E786" s="2095"/>
      <c r="F786" s="2097"/>
      <c r="G786" s="2095"/>
      <c r="H786" s="2097"/>
    </row>
    <row r="787" spans="1:25" s="2094" customFormat="1" ht="12.75" customHeight="1">
      <c r="A787" s="2098" t="s">
        <v>3338</v>
      </c>
      <c r="B787" s="2099">
        <f>'Part IV-A-Uses of Funds'!$G$143</f>
        <v>0</v>
      </c>
      <c r="C787" s="2098" t="s">
        <v>1710</v>
      </c>
      <c r="D787" s="2099">
        <f>'Part IV-A-Uses of Funds'!$J$143+'Part IV-A-Uses of Funds'!$M$143+'Part IV-A-Uses of Funds'!$P$143</f>
        <v>0</v>
      </c>
      <c r="E787" s="2095"/>
      <c r="F787" s="2097"/>
      <c r="G787" s="2095"/>
      <c r="H787" s="2097"/>
    </row>
    <row r="788" spans="1:25" s="2094" customFormat="1" ht="6" customHeight="1">
      <c r="D788" s="2103"/>
      <c r="E788" s="2104"/>
      <c r="F788" s="2097"/>
      <c r="G788" s="2101"/>
      <c r="H788" s="2097"/>
    </row>
    <row r="792" spans="1:25" s="1853" customFormat="1" ht="14.1" customHeight="1">
      <c r="A792" s="1818" t="str">
        <f>CONCATENATE("PART FIVE - UTILITY ALLOWANCES","  -  ",'Part I-Project Information'!$O$7," ",'Part I-Project Information'!$F$35,", ",'Part I-Project Information'!F830,", ",'Part I-Project Information'!J831," County")</f>
        <v>PART FIVE - UTILITY ALLOWANCES  -  2021-067 West Point Village Phase II, ,  County</v>
      </c>
      <c r="B792" s="1818"/>
      <c r="C792" s="1818"/>
      <c r="D792" s="1818"/>
      <c r="E792" s="1818"/>
      <c r="F792" s="1818"/>
      <c r="G792" s="1818"/>
      <c r="H792" s="1818"/>
      <c r="I792" s="1818"/>
      <c r="J792" s="1818"/>
      <c r="K792" s="1818"/>
      <c r="L792" s="1818"/>
      <c r="M792" s="1818"/>
      <c r="N792" s="1818"/>
      <c r="O792" s="1818"/>
      <c r="P792" s="1818"/>
      <c r="Q792" s="1818"/>
    </row>
    <row r="793" spans="1:25" s="1853" customFormat="1" ht="7.5" customHeight="1"/>
    <row r="794" spans="1:25" s="1853" customFormat="1" ht="12.75" customHeight="1">
      <c r="B794" s="2105" t="str">
        <f>'Part I-Project Information'!$B$7</f>
        <v>2021 Core App
May 10 Rev</v>
      </c>
      <c r="C794" s="2105"/>
      <c r="D794" s="2105"/>
      <c r="E794" s="2105"/>
      <c r="F794" s="1818" t="s">
        <v>3825</v>
      </c>
      <c r="I794" s="2106" t="str">
        <f>VLOOKUP('Part I-Project Information'!$J$40,'DCA Underwriting Assumptions'!$G$174:$H$333,2)</f>
        <v>South</v>
      </c>
    </row>
    <row r="795" spans="1:25" s="1853" customFormat="1" ht="6" customHeight="1"/>
    <row r="796" spans="1:25" s="1853" customFormat="1" ht="12.75" customHeight="1">
      <c r="A796" s="2107" t="s">
        <v>7137</v>
      </c>
      <c r="O796" s="1857" t="s">
        <v>7138</v>
      </c>
      <c r="P796" s="1857"/>
      <c r="Q796" s="1857"/>
      <c r="R796" s="1857"/>
      <c r="S796" s="1857"/>
      <c r="T796" s="1857"/>
      <c r="U796" s="1857"/>
      <c r="V796" s="1857"/>
      <c r="W796" s="1857"/>
      <c r="X796" s="1857"/>
      <c r="Y796" s="1857"/>
    </row>
    <row r="797" spans="1:25" s="1853" customFormat="1" ht="6" customHeight="1">
      <c r="O797" s="1857"/>
      <c r="P797" s="1857"/>
      <c r="Q797" s="1857"/>
      <c r="R797" s="1857"/>
      <c r="S797" s="1857"/>
      <c r="T797" s="1857"/>
      <c r="U797" s="1857"/>
      <c r="V797" s="1857"/>
      <c r="W797" s="1857"/>
      <c r="X797" s="1857"/>
      <c r="Y797" s="1857"/>
    </row>
    <row r="798" spans="1:25" s="1853" customFormat="1" ht="13.5" customHeight="1">
      <c r="A798" s="1853" t="s">
        <v>586</v>
      </c>
      <c r="B798" s="1853" t="s">
        <v>2125</v>
      </c>
      <c r="F798" s="1818" t="s">
        <v>2400</v>
      </c>
      <c r="G798" s="1818"/>
      <c r="H798" s="1818"/>
      <c r="I798" s="1977" t="str">
        <f>'Part V-Utility Allowances'!I7</f>
        <v>HUD-Approved Section 8 CHAP</v>
      </c>
      <c r="J798" s="1977"/>
      <c r="K798" s="1977"/>
      <c r="L798" s="1977"/>
      <c r="M798" s="1977"/>
      <c r="O798" s="1857"/>
      <c r="P798" s="1857"/>
      <c r="Q798" s="1857"/>
      <c r="R798" s="1857"/>
      <c r="S798" s="1857"/>
      <c r="T798" s="1857"/>
      <c r="U798" s="1857"/>
      <c r="V798" s="1857"/>
      <c r="W798" s="1857"/>
      <c r="X798" s="1857"/>
      <c r="Y798" s="1857"/>
    </row>
    <row r="799" spans="1:25" s="1853" customFormat="1" ht="13.35" customHeight="1">
      <c r="F799" s="1818" t="s">
        <v>606</v>
      </c>
      <c r="G799" s="1818"/>
      <c r="H799" s="1818"/>
      <c r="I799" s="2108">
        <f>'Part V-Utility Allowances'!I8</f>
        <v>44329</v>
      </c>
      <c r="J799" s="2108"/>
      <c r="K799" s="2109" t="s">
        <v>514</v>
      </c>
      <c r="L799" s="1977" t="str">
        <f>'Part V-Utility Allowances'!L8</f>
        <v>Low-Rise Apt</v>
      </c>
      <c r="M799" s="1977"/>
      <c r="O799" s="1857"/>
      <c r="P799" s="1857"/>
      <c r="Q799" s="1857"/>
      <c r="R799" s="1857"/>
      <c r="S799" s="1857"/>
      <c r="T799" s="1857"/>
      <c r="U799" s="1857"/>
      <c r="V799" s="1857"/>
      <c r="W799" s="1857"/>
      <c r="X799" s="1857"/>
      <c r="Y799" s="1857"/>
    </row>
    <row r="800" spans="1:25" s="1853" customFormat="1" ht="4.5" customHeight="1">
      <c r="O800" s="1857"/>
      <c r="P800" s="1857"/>
      <c r="Q800" s="1857"/>
      <c r="R800" s="1857"/>
      <c r="S800" s="1857"/>
      <c r="T800" s="1857"/>
      <c r="U800" s="1857"/>
      <c r="V800" s="1857"/>
      <c r="W800" s="1857"/>
      <c r="X800" s="1857"/>
      <c r="Y800" s="1857"/>
    </row>
    <row r="801" spans="1:25" s="1853" customFormat="1" ht="13.5" customHeight="1">
      <c r="F801" s="1853" t="s">
        <v>580</v>
      </c>
      <c r="I801" s="1853" t="s">
        <v>192</v>
      </c>
      <c r="O801" s="1857"/>
      <c r="P801" s="1857"/>
      <c r="Q801" s="1857"/>
      <c r="R801" s="1857"/>
      <c r="S801" s="1857"/>
      <c r="T801" s="1857"/>
      <c r="U801" s="1857"/>
    </row>
    <row r="802" spans="1:25" s="1853" customFormat="1" ht="13.5" customHeight="1">
      <c r="B802" s="1853" t="s">
        <v>765</v>
      </c>
      <c r="D802" s="1853" t="s">
        <v>1533</v>
      </c>
      <c r="F802" s="2052" t="s">
        <v>612</v>
      </c>
      <c r="G802" s="2052" t="s">
        <v>1763</v>
      </c>
      <c r="I802" s="2052" t="s">
        <v>539</v>
      </c>
      <c r="J802" s="2052">
        <v>1</v>
      </c>
      <c r="K802" s="2052">
        <v>2</v>
      </c>
      <c r="L802" s="2052">
        <v>3</v>
      </c>
      <c r="M802" s="2052">
        <v>4</v>
      </c>
      <c r="O802" s="1857"/>
      <c r="P802" s="1857"/>
      <c r="Q802" s="1857"/>
      <c r="R802" s="1857"/>
      <c r="S802" s="1857"/>
      <c r="T802" s="1857"/>
      <c r="U802" s="1857"/>
    </row>
    <row r="803" spans="1:25" s="1853" customFormat="1" ht="12" customHeight="1">
      <c r="B803" s="1818" t="s">
        <v>1765</v>
      </c>
      <c r="C803" s="1818"/>
      <c r="D803" s="1977" t="str">
        <f>'Part V-Utility Allowances'!D12</f>
        <v>Electric Heat Pump</v>
      </c>
      <c r="E803" s="1977"/>
      <c r="F803" s="2110" t="str">
        <f>'Part V-Utility Allowances'!F12</f>
        <v>X</v>
      </c>
      <c r="G803" s="2110">
        <f>'Part V-Utility Allowances'!G12</f>
        <v>0</v>
      </c>
      <c r="I803" s="2111">
        <f>'Part V-Utility Allowances'!I12</f>
        <v>0</v>
      </c>
      <c r="J803" s="2111">
        <f>'Part V-Utility Allowances'!J12</f>
        <v>0</v>
      </c>
      <c r="K803" s="2111">
        <f>'Part V-Utility Allowances'!K12</f>
        <v>5</v>
      </c>
      <c r="L803" s="2111">
        <f>'Part V-Utility Allowances'!L12</f>
        <v>6</v>
      </c>
      <c r="M803" s="2111">
        <f>'Part V-Utility Allowances'!M12</f>
        <v>0</v>
      </c>
      <c r="O803" s="1857"/>
      <c r="P803" s="1857"/>
      <c r="Q803" s="1857"/>
      <c r="R803" s="1857"/>
      <c r="S803" s="1857"/>
      <c r="T803" s="1857"/>
      <c r="U803" s="1857"/>
    </row>
    <row r="804" spans="1:25" s="1853" customFormat="1" ht="12" customHeight="1">
      <c r="B804" s="1818" t="s">
        <v>1531</v>
      </c>
      <c r="C804" s="1818"/>
      <c r="D804" s="1977" t="str">
        <f>'Part V-Utility Allowances'!D13</f>
        <v>Electric</v>
      </c>
      <c r="E804" s="1977"/>
      <c r="F804" s="2110" t="str">
        <f>'Part V-Utility Allowances'!F13</f>
        <v>X</v>
      </c>
      <c r="G804" s="2110">
        <f>'Part V-Utility Allowances'!G13</f>
        <v>0</v>
      </c>
      <c r="I804" s="2111">
        <f>'Part V-Utility Allowances'!I13</f>
        <v>0</v>
      </c>
      <c r="J804" s="2111">
        <f>'Part V-Utility Allowances'!J13</f>
        <v>0</v>
      </c>
      <c r="K804" s="2111">
        <f>'Part V-Utility Allowances'!K13</f>
        <v>9</v>
      </c>
      <c r="L804" s="2111">
        <f>'Part V-Utility Allowances'!L13</f>
        <v>11</v>
      </c>
      <c r="M804" s="2111">
        <f>'Part V-Utility Allowances'!M13</f>
        <v>0</v>
      </c>
      <c r="O804" s="1818" t="s">
        <v>7069</v>
      </c>
      <c r="P804" s="1818"/>
      <c r="Q804" s="1818"/>
    </row>
    <row r="805" spans="1:25" s="1853" customFormat="1" ht="12" customHeight="1">
      <c r="B805" s="1818" t="s">
        <v>1532</v>
      </c>
      <c r="C805" s="1818"/>
      <c r="D805" s="1977" t="str">
        <f>'Part V-Utility Allowances'!D14</f>
        <v>Electric</v>
      </c>
      <c r="E805" s="1977"/>
      <c r="F805" s="2110" t="str">
        <f>'Part V-Utility Allowances'!F14</f>
        <v>X</v>
      </c>
      <c r="G805" s="2110">
        <f>'Part V-Utility Allowances'!G14</f>
        <v>0</v>
      </c>
      <c r="I805" s="2111">
        <f>'Part V-Utility Allowances'!I14</f>
        <v>0</v>
      </c>
      <c r="J805" s="2111">
        <f>'Part V-Utility Allowances'!J14</f>
        <v>0</v>
      </c>
      <c r="K805" s="2111">
        <f>'Part V-Utility Allowances'!K14</f>
        <v>18</v>
      </c>
      <c r="L805" s="2111">
        <f>'Part V-Utility Allowances'!L14</f>
        <v>23</v>
      </c>
      <c r="M805" s="2111">
        <f>'Part V-Utility Allowances'!M14</f>
        <v>0</v>
      </c>
      <c r="O805" s="1818"/>
      <c r="P805" s="1818"/>
      <c r="Q805" s="1818"/>
    </row>
    <row r="806" spans="1:25" s="1853" customFormat="1" ht="12" customHeight="1">
      <c r="B806" s="1818" t="s">
        <v>447</v>
      </c>
      <c r="C806" s="1818"/>
      <c r="D806" s="1818" t="s">
        <v>1530</v>
      </c>
      <c r="F806" s="2110" t="str">
        <f>'Part V-Utility Allowances'!F15</f>
        <v>X</v>
      </c>
      <c r="G806" s="2110">
        <f>'Part V-Utility Allowances'!G15</f>
        <v>0</v>
      </c>
      <c r="I806" s="2111">
        <f>'Part V-Utility Allowances'!I15</f>
        <v>0</v>
      </c>
      <c r="J806" s="2111">
        <f>'Part V-Utility Allowances'!J15</f>
        <v>0</v>
      </c>
      <c r="K806" s="2111">
        <f>'Part V-Utility Allowances'!K15</f>
        <v>12</v>
      </c>
      <c r="L806" s="2111">
        <f>'Part V-Utility Allowances'!L15</f>
        <v>16</v>
      </c>
      <c r="M806" s="2111">
        <f>'Part V-Utility Allowances'!M15</f>
        <v>0</v>
      </c>
      <c r="O806" s="1818"/>
      <c r="P806" s="1818"/>
      <c r="Q806" s="1818"/>
    </row>
    <row r="807" spans="1:25" s="1853" customFormat="1" ht="12" customHeight="1">
      <c r="B807" s="1818" t="s">
        <v>3405</v>
      </c>
      <c r="C807" s="1818"/>
      <c r="D807" s="1818" t="s">
        <v>1530</v>
      </c>
      <c r="F807" s="2110">
        <f>'Part V-Utility Allowances'!F16</f>
        <v>0</v>
      </c>
      <c r="G807" s="2110">
        <f>'Part V-Utility Allowances'!G16</f>
        <v>0</v>
      </c>
      <c r="I807" s="2111">
        <f>'Part V-Utility Allowances'!I16</f>
        <v>0</v>
      </c>
      <c r="J807" s="2111">
        <f>'Part V-Utility Allowances'!J16</f>
        <v>0</v>
      </c>
      <c r="K807" s="2111">
        <f>'Part V-Utility Allowances'!K16</f>
        <v>0</v>
      </c>
      <c r="L807" s="2111">
        <f>'Part V-Utility Allowances'!L16</f>
        <v>0</v>
      </c>
      <c r="M807" s="2111">
        <f>'Part V-Utility Allowances'!M16</f>
        <v>0</v>
      </c>
      <c r="O807" s="1818"/>
      <c r="P807" s="1818"/>
      <c r="Q807" s="1818"/>
    </row>
    <row r="808" spans="1:25" s="1853" customFormat="1" ht="12" customHeight="1">
      <c r="B808" s="1818" t="s">
        <v>3406</v>
      </c>
      <c r="C808" s="1818"/>
      <c r="D808" s="1818" t="s">
        <v>1530</v>
      </c>
      <c r="F808" s="2110">
        <f>'Part V-Utility Allowances'!F17</f>
        <v>0</v>
      </c>
      <c r="G808" s="2110">
        <f>'Part V-Utility Allowances'!G17</f>
        <v>0</v>
      </c>
      <c r="I808" s="2111">
        <f>'Part V-Utility Allowances'!I17</f>
        <v>0</v>
      </c>
      <c r="J808" s="2111">
        <f>'Part V-Utility Allowances'!J17</f>
        <v>0</v>
      </c>
      <c r="K808" s="2111">
        <f>'Part V-Utility Allowances'!K17</f>
        <v>0</v>
      </c>
      <c r="L808" s="2111">
        <f>'Part V-Utility Allowances'!L17</f>
        <v>0</v>
      </c>
      <c r="M808" s="2111">
        <f>'Part V-Utility Allowances'!M17</f>
        <v>0</v>
      </c>
      <c r="O808" s="1818"/>
      <c r="P808" s="1818"/>
      <c r="Q808" s="1818"/>
    </row>
    <row r="809" spans="1:25" s="1853" customFormat="1" ht="12" customHeight="1">
      <c r="B809" s="1818" t="s">
        <v>3407</v>
      </c>
      <c r="C809" s="1818"/>
      <c r="D809" s="1818" t="s">
        <v>1530</v>
      </c>
      <c r="F809" s="2110" t="str">
        <f>'Part V-Utility Allowances'!F18</f>
        <v>X</v>
      </c>
      <c r="G809" s="2110">
        <f>'Part V-Utility Allowances'!G18</f>
        <v>0</v>
      </c>
      <c r="I809" s="2111">
        <f>'Part V-Utility Allowances'!I18</f>
        <v>0</v>
      </c>
      <c r="J809" s="2111">
        <f>'Part V-Utility Allowances'!J18</f>
        <v>0</v>
      </c>
      <c r="K809" s="2111">
        <f>'Part V-Utility Allowances'!K18</f>
        <v>27</v>
      </c>
      <c r="L809" s="2111">
        <f>'Part V-Utility Allowances'!L18</f>
        <v>33</v>
      </c>
      <c r="M809" s="2111">
        <f>'Part V-Utility Allowances'!M18</f>
        <v>0</v>
      </c>
      <c r="O809" s="1818"/>
      <c r="P809" s="1818"/>
      <c r="Q809" s="1818"/>
    </row>
    <row r="810" spans="1:25" s="1853" customFormat="1" ht="12" customHeight="1">
      <c r="B810" s="1818" t="s">
        <v>1321</v>
      </c>
      <c r="C810" s="1818"/>
      <c r="D810" s="1818" t="s">
        <v>6844</v>
      </c>
      <c r="E810" s="2111" t="str">
        <f>'Part V-Utility Allowances'!E19</f>
        <v>Yes</v>
      </c>
      <c r="F810" s="2110" t="str">
        <f>'Part V-Utility Allowances'!F19</f>
        <v>X</v>
      </c>
      <c r="G810" s="2110">
        <f>'Part V-Utility Allowances'!G19</f>
        <v>0</v>
      </c>
      <c r="I810" s="2111">
        <f>'Part V-Utility Allowances'!I19</f>
        <v>0</v>
      </c>
      <c r="J810" s="2111">
        <f>'Part V-Utility Allowances'!J19</f>
        <v>0</v>
      </c>
      <c r="K810" s="2111">
        <f>'Part V-Utility Allowances'!K19</f>
        <v>50</v>
      </c>
      <c r="L810" s="2111">
        <f>'Part V-Utility Allowances'!L19</f>
        <v>60</v>
      </c>
      <c r="M810" s="2111">
        <f>'Part V-Utility Allowances'!M19</f>
        <v>0</v>
      </c>
      <c r="O810" s="1818"/>
      <c r="P810" s="1818"/>
      <c r="Q810" s="1818"/>
    </row>
    <row r="811" spans="1:25" s="1853" customFormat="1" ht="12" customHeight="1">
      <c r="B811" s="1818" t="s">
        <v>1764</v>
      </c>
      <c r="C811" s="1818"/>
      <c r="F811" s="2110">
        <f>'Part V-Utility Allowances'!F20</f>
        <v>0</v>
      </c>
      <c r="G811" s="2110" t="str">
        <f>'Part V-Utility Allowances'!G20</f>
        <v>X</v>
      </c>
      <c r="I811" s="2111">
        <f>'Part V-Utility Allowances'!I20</f>
        <v>0</v>
      </c>
      <c r="J811" s="2111">
        <f>'Part V-Utility Allowances'!J20</f>
        <v>0</v>
      </c>
      <c r="K811" s="2111">
        <f>'Part V-Utility Allowances'!K20</f>
        <v>0</v>
      </c>
      <c r="L811" s="2111">
        <f>'Part V-Utility Allowances'!L20</f>
        <v>0</v>
      </c>
      <c r="M811" s="2111">
        <f>'Part V-Utility Allowances'!M20</f>
        <v>0</v>
      </c>
      <c r="O811" s="1818"/>
      <c r="P811" s="1818"/>
      <c r="Q811" s="1818"/>
    </row>
    <row r="812" spans="1:25" s="1853" customFormat="1" ht="12" customHeight="1">
      <c r="B812" s="1818" t="s">
        <v>711</v>
      </c>
      <c r="C812" s="2112">
        <f>'Part V-Utility Allowances'!C21</f>
        <v>0</v>
      </c>
      <c r="D812" s="2112"/>
      <c r="E812" s="2112"/>
      <c r="F812" s="2110">
        <f>'Part V-Utility Allowances'!F21</f>
        <v>0</v>
      </c>
      <c r="G812" s="2110">
        <f>'Part V-Utility Allowances'!G21</f>
        <v>0</v>
      </c>
      <c r="I812" s="2111">
        <f>'Part V-Utility Allowances'!I21</f>
        <v>0</v>
      </c>
      <c r="J812" s="2111">
        <f>'Part V-Utility Allowances'!J21</f>
        <v>0</v>
      </c>
      <c r="K812" s="2111">
        <f>'Part V-Utility Allowances'!K21</f>
        <v>0</v>
      </c>
      <c r="L812" s="2111">
        <f>'Part V-Utility Allowances'!L21</f>
        <v>0</v>
      </c>
      <c r="M812" s="2111">
        <f>'Part V-Utility Allowances'!M21</f>
        <v>0</v>
      </c>
      <c r="O812" s="1818"/>
      <c r="P812" s="1818"/>
      <c r="Q812" s="1818"/>
    </row>
    <row r="813" spans="1:25" s="1853" customFormat="1">
      <c r="B813" s="1853" t="s">
        <v>981</v>
      </c>
      <c r="F813" s="2052"/>
      <c r="G813" s="2052"/>
      <c r="I813" s="2109">
        <f>IF(SUM(I803:I812)=0,0,IF(OR($D803="&lt;&lt;Select Fuel &gt;&gt;",$D804="&lt;&lt;Select Fuel &gt;&gt;",$D805="&lt;&lt;Select Fuel &gt;&gt;"),"Select Fuel",IF($E810="&lt;Select&gt;","Submeter?",SUM(I803:I812))))</f>
        <v>0</v>
      </c>
      <c r="J813" s="2109">
        <f>IF(SUM(J803:J812)=0,0,IF(OR($D803="&lt;&lt;Select Fuel &gt;&gt;",$D804="&lt;&lt;Select Fuel &gt;&gt;",$D805="&lt;&lt;Select Fuel &gt;&gt;"),"Select Fuel",IF($E810="&lt;Select&gt;","Submeter?",SUM(J803:J812))))</f>
        <v>0</v>
      </c>
      <c r="K813" s="2109">
        <f>IF(SUM(K803:K812)=0,0,IF(OR($D803="&lt;&lt;Select Fuel &gt;&gt;",$D804="&lt;&lt;Select Fuel &gt;&gt;",$D805="&lt;&lt;Select Fuel &gt;&gt;"),"Select Fuel",IF($E810="&lt;Select&gt;","Submeter?",SUM(K803:K812))))</f>
        <v>121</v>
      </c>
      <c r="L813" s="2109">
        <f>IF(SUM(L803:L812)=0,0,IF(OR($D803="&lt;&lt;Select Fuel &gt;&gt;",$D804="&lt;&lt;Select Fuel &gt;&gt;",$D805="&lt;&lt;Select Fuel &gt;&gt;"),"Select Fuel",IF($E810="&lt;Select&gt;","Submeter?",SUM(L803:L812))))</f>
        <v>149</v>
      </c>
      <c r="M813" s="2109">
        <f>IF(SUM(M803:M812)=0,0,IF(OR($D803="&lt;&lt;Select Fuel &gt;&gt;",$D804="&lt;&lt;Select Fuel &gt;&gt;",$D805="&lt;&lt;Select Fuel &gt;&gt;"),"Select Fuel",IF($E810="&lt;Select&gt;","Submeter?",SUM(M803:M812))))</f>
        <v>0</v>
      </c>
    </row>
    <row r="814" spans="1:25" s="1853" customFormat="1" ht="7.5" customHeight="1">
      <c r="O814" s="1857" t="s">
        <v>7138</v>
      </c>
      <c r="P814" s="1857"/>
      <c r="Q814" s="1857"/>
      <c r="R814" s="1857"/>
      <c r="S814" s="1857"/>
      <c r="T814" s="1857"/>
      <c r="U814" s="1857"/>
      <c r="V814" s="1857"/>
      <c r="W814" s="1857"/>
      <c r="X814" s="1857"/>
      <c r="Y814" s="1857"/>
    </row>
    <row r="815" spans="1:25" s="1853" customFormat="1" ht="12.75" customHeight="1">
      <c r="A815" s="1853" t="s">
        <v>710</v>
      </c>
      <c r="B815" s="1853" t="s">
        <v>2126</v>
      </c>
      <c r="F815" s="1818" t="s">
        <v>2400</v>
      </c>
      <c r="G815" s="1818"/>
      <c r="H815" s="1818"/>
      <c r="I815" s="1977" t="str">
        <f>'Part V-Utility Allowances'!I24</f>
        <v>DCA South Region Utility Allowance Schedule</v>
      </c>
      <c r="J815" s="1977"/>
      <c r="K815" s="1977"/>
      <c r="L815" s="1977"/>
      <c r="M815" s="1977"/>
      <c r="O815" s="1857"/>
      <c r="P815" s="1857"/>
      <c r="Q815" s="1857"/>
      <c r="R815" s="1857"/>
      <c r="S815" s="1857"/>
      <c r="T815" s="1857"/>
      <c r="U815" s="1857"/>
      <c r="V815" s="1857"/>
      <c r="W815" s="1857"/>
      <c r="X815" s="1857"/>
      <c r="Y815" s="1857"/>
    </row>
    <row r="816" spans="1:25" s="1853" customFormat="1" ht="13.35" customHeight="1">
      <c r="F816" s="1818" t="s">
        <v>606</v>
      </c>
      <c r="G816" s="1818"/>
      <c r="H816" s="1818"/>
      <c r="I816" s="2108">
        <f>'Part V-Utility Allowances'!I25</f>
        <v>44197</v>
      </c>
      <c r="J816" s="2108"/>
      <c r="K816" s="2109" t="s">
        <v>514</v>
      </c>
      <c r="L816" s="1977" t="str">
        <f>'Part V-Utility Allowances'!L25</f>
        <v>Low-Rise Apt</v>
      </c>
      <c r="M816" s="1977"/>
      <c r="O816" s="1857"/>
      <c r="P816" s="1857"/>
      <c r="Q816" s="1857"/>
      <c r="R816" s="1857"/>
      <c r="S816" s="1857"/>
      <c r="T816" s="1857"/>
      <c r="U816" s="1857"/>
      <c r="V816" s="1857"/>
      <c r="W816" s="1857"/>
      <c r="X816" s="1857"/>
      <c r="Y816" s="1857"/>
    </row>
    <row r="817" spans="2:25" s="1853" customFormat="1" ht="4.5" customHeight="1">
      <c r="O817" s="1857"/>
      <c r="P817" s="1857"/>
      <c r="Q817" s="1857"/>
      <c r="R817" s="1857"/>
      <c r="S817" s="1857"/>
      <c r="T817" s="1857"/>
      <c r="U817" s="1857"/>
      <c r="V817" s="1857"/>
      <c r="W817" s="1857"/>
      <c r="X817" s="1857"/>
      <c r="Y817" s="1857"/>
    </row>
    <row r="818" spans="2:25" s="1853" customFormat="1">
      <c r="F818" s="1853" t="s">
        <v>580</v>
      </c>
      <c r="I818" s="1853" t="s">
        <v>192</v>
      </c>
      <c r="O818" s="1857"/>
      <c r="P818" s="1857"/>
      <c r="Q818" s="1857"/>
      <c r="R818" s="1857"/>
      <c r="S818" s="1857"/>
      <c r="T818" s="1857"/>
      <c r="U818" s="1857"/>
      <c r="V818" s="1857"/>
      <c r="W818" s="1857"/>
      <c r="X818" s="1857"/>
      <c r="Y818" s="1857"/>
    </row>
    <row r="819" spans="2:25" s="1853" customFormat="1">
      <c r="B819" s="1853" t="s">
        <v>765</v>
      </c>
      <c r="D819" s="1853" t="s">
        <v>1533</v>
      </c>
      <c r="F819" s="2052" t="s">
        <v>612</v>
      </c>
      <c r="G819" s="2052" t="s">
        <v>1763</v>
      </c>
      <c r="I819" s="2052" t="s">
        <v>539</v>
      </c>
      <c r="J819" s="2052">
        <v>1</v>
      </c>
      <c r="K819" s="2052">
        <v>2</v>
      </c>
      <c r="L819" s="2052">
        <v>3</v>
      </c>
      <c r="M819" s="2052">
        <v>4</v>
      </c>
      <c r="O819" s="1857"/>
      <c r="P819" s="1857"/>
      <c r="Q819" s="1857"/>
      <c r="R819" s="1857"/>
      <c r="S819" s="1857"/>
      <c r="T819" s="1857"/>
      <c r="U819" s="1857"/>
    </row>
    <row r="820" spans="2:25" s="1853" customFormat="1" ht="12" customHeight="1">
      <c r="B820" s="1818" t="s">
        <v>1765</v>
      </c>
      <c r="C820" s="1818"/>
      <c r="D820" s="1977" t="str">
        <f>'Part V-Utility Allowances'!D29</f>
        <v>Electric Heat Pump</v>
      </c>
      <c r="E820" s="1977"/>
      <c r="F820" s="2110" t="str">
        <f>'Part V-Utility Allowances'!F29</f>
        <v>X</v>
      </c>
      <c r="G820" s="2110">
        <f>'Part V-Utility Allowances'!G29</f>
        <v>0</v>
      </c>
      <c r="I820" s="2111">
        <f>'Part V-Utility Allowances'!I29</f>
        <v>0</v>
      </c>
      <c r="J820" s="2111">
        <f>'Part V-Utility Allowances'!J29</f>
        <v>4</v>
      </c>
      <c r="K820" s="2111">
        <f>'Part V-Utility Allowances'!K29</f>
        <v>5</v>
      </c>
      <c r="L820" s="2111">
        <f>'Part V-Utility Allowances'!L29</f>
        <v>6</v>
      </c>
      <c r="M820" s="2111">
        <f>'Part V-Utility Allowances'!M29</f>
        <v>0</v>
      </c>
      <c r="O820" s="1857"/>
      <c r="P820" s="1857"/>
      <c r="Q820" s="1857"/>
      <c r="R820" s="1857"/>
      <c r="S820" s="1857"/>
      <c r="T820" s="1857"/>
      <c r="U820" s="1857"/>
    </row>
    <row r="821" spans="2:25" s="1853" customFormat="1" ht="12" customHeight="1">
      <c r="B821" s="1818" t="s">
        <v>1531</v>
      </c>
      <c r="C821" s="1818"/>
      <c r="D821" s="1977" t="str">
        <f>'Part V-Utility Allowances'!D30</f>
        <v>Electric</v>
      </c>
      <c r="E821" s="1977"/>
      <c r="F821" s="2110" t="str">
        <f>'Part V-Utility Allowances'!F30</f>
        <v>X</v>
      </c>
      <c r="G821" s="2110">
        <f>'Part V-Utility Allowances'!G30</f>
        <v>0</v>
      </c>
      <c r="I821" s="2111">
        <f>'Part V-Utility Allowances'!I30</f>
        <v>0</v>
      </c>
      <c r="J821" s="2111">
        <f>'Part V-Utility Allowances'!J30</f>
        <v>7</v>
      </c>
      <c r="K821" s="2111">
        <f>'Part V-Utility Allowances'!K30</f>
        <v>9</v>
      </c>
      <c r="L821" s="2111">
        <f>'Part V-Utility Allowances'!L30</f>
        <v>11</v>
      </c>
      <c r="M821" s="2111">
        <f>'Part V-Utility Allowances'!M30</f>
        <v>0</v>
      </c>
      <c r="O821" s="1857"/>
      <c r="P821" s="1857"/>
      <c r="Q821" s="1857"/>
      <c r="R821" s="1857"/>
      <c r="S821" s="1857"/>
      <c r="T821" s="1857"/>
      <c r="U821" s="1857"/>
    </row>
    <row r="822" spans="2:25" s="1853" customFormat="1" ht="12" customHeight="1">
      <c r="B822" s="1818" t="s">
        <v>1532</v>
      </c>
      <c r="C822" s="1818"/>
      <c r="D822" s="1977" t="str">
        <f>'Part V-Utility Allowances'!D31</f>
        <v>Electric</v>
      </c>
      <c r="E822" s="1977"/>
      <c r="F822" s="2110" t="str">
        <f>'Part V-Utility Allowances'!F31</f>
        <v>X</v>
      </c>
      <c r="G822" s="2110">
        <f>'Part V-Utility Allowances'!G31</f>
        <v>0</v>
      </c>
      <c r="I822" s="2111">
        <f>'Part V-Utility Allowances'!I31</f>
        <v>0</v>
      </c>
      <c r="J822" s="2111">
        <f>'Part V-Utility Allowances'!J31</f>
        <v>13</v>
      </c>
      <c r="K822" s="2111">
        <f>'Part V-Utility Allowances'!K31</f>
        <v>18</v>
      </c>
      <c r="L822" s="2111">
        <f>'Part V-Utility Allowances'!L31</f>
        <v>23</v>
      </c>
      <c r="M822" s="2111">
        <f>'Part V-Utility Allowances'!M31</f>
        <v>0</v>
      </c>
      <c r="O822" s="1818" t="s">
        <v>7069</v>
      </c>
      <c r="P822" s="1818"/>
      <c r="Q822" s="1818"/>
    </row>
    <row r="823" spans="2:25" s="1853" customFormat="1" ht="12" customHeight="1">
      <c r="B823" s="1818" t="s">
        <v>447</v>
      </c>
      <c r="C823" s="1818"/>
      <c r="D823" s="1818" t="s">
        <v>1530</v>
      </c>
      <c r="F823" s="2110" t="str">
        <f>'Part V-Utility Allowances'!F32</f>
        <v>X</v>
      </c>
      <c r="G823" s="2110">
        <f>'Part V-Utility Allowances'!G32</f>
        <v>0</v>
      </c>
      <c r="I823" s="2111">
        <f>'Part V-Utility Allowances'!I32</f>
        <v>0</v>
      </c>
      <c r="J823" s="2111">
        <f>'Part V-Utility Allowances'!J32</f>
        <v>10</v>
      </c>
      <c r="K823" s="2111">
        <f>'Part V-Utility Allowances'!K32</f>
        <v>12</v>
      </c>
      <c r="L823" s="2111">
        <f>'Part V-Utility Allowances'!L32</f>
        <v>16</v>
      </c>
      <c r="M823" s="2111">
        <f>'Part V-Utility Allowances'!M32</f>
        <v>0</v>
      </c>
      <c r="O823" s="1818"/>
      <c r="P823" s="1818"/>
      <c r="Q823" s="1818"/>
    </row>
    <row r="824" spans="2:25" s="1853" customFormat="1" ht="12" customHeight="1">
      <c r="B824" s="1818" t="s">
        <v>3405</v>
      </c>
      <c r="C824" s="1818"/>
      <c r="D824" s="1818" t="s">
        <v>1530</v>
      </c>
      <c r="F824" s="2110">
        <f>'Part V-Utility Allowances'!F33</f>
        <v>0</v>
      </c>
      <c r="G824" s="2110">
        <f>'Part V-Utility Allowances'!G33</f>
        <v>0</v>
      </c>
      <c r="I824" s="2111">
        <f>'Part V-Utility Allowances'!I33</f>
        <v>0</v>
      </c>
      <c r="J824" s="2111">
        <f>'Part V-Utility Allowances'!J33</f>
        <v>0</v>
      </c>
      <c r="K824" s="2111">
        <f>'Part V-Utility Allowances'!K33</f>
        <v>0</v>
      </c>
      <c r="L824" s="2111">
        <f>'Part V-Utility Allowances'!L33</f>
        <v>0</v>
      </c>
      <c r="M824" s="2111">
        <f>'Part V-Utility Allowances'!M33</f>
        <v>0</v>
      </c>
      <c r="O824" s="1818"/>
      <c r="P824" s="1818"/>
      <c r="Q824" s="1818"/>
    </row>
    <row r="825" spans="2:25" s="1853" customFormat="1" ht="12" customHeight="1">
      <c r="B825" s="1818" t="s">
        <v>3406</v>
      </c>
      <c r="C825" s="1818"/>
      <c r="D825" s="1818" t="s">
        <v>1530</v>
      </c>
      <c r="F825" s="2110">
        <f>'Part V-Utility Allowances'!F34</f>
        <v>0</v>
      </c>
      <c r="G825" s="2110">
        <f>'Part V-Utility Allowances'!G34</f>
        <v>0</v>
      </c>
      <c r="I825" s="2111">
        <f>'Part V-Utility Allowances'!I34</f>
        <v>0</v>
      </c>
      <c r="J825" s="2111">
        <f>'Part V-Utility Allowances'!J34</f>
        <v>0</v>
      </c>
      <c r="K825" s="2111">
        <f>'Part V-Utility Allowances'!K34</f>
        <v>0</v>
      </c>
      <c r="L825" s="2111">
        <f>'Part V-Utility Allowances'!L34</f>
        <v>0</v>
      </c>
      <c r="M825" s="2111">
        <f>'Part V-Utility Allowances'!M34</f>
        <v>0</v>
      </c>
      <c r="O825" s="1818"/>
      <c r="P825" s="1818"/>
      <c r="Q825" s="1818"/>
    </row>
    <row r="826" spans="2:25" s="1853" customFormat="1" ht="12" customHeight="1">
      <c r="B826" s="1818" t="s">
        <v>3407</v>
      </c>
      <c r="C826" s="1818"/>
      <c r="D826" s="1818" t="s">
        <v>1530</v>
      </c>
      <c r="F826" s="2110" t="str">
        <f>'Part V-Utility Allowances'!F35</f>
        <v>X</v>
      </c>
      <c r="G826" s="2110">
        <f>'Part V-Utility Allowances'!G35</f>
        <v>0</v>
      </c>
      <c r="I826" s="2111">
        <f>'Part V-Utility Allowances'!I35</f>
        <v>0</v>
      </c>
      <c r="J826" s="2111">
        <f>'Part V-Utility Allowances'!J35</f>
        <v>21</v>
      </c>
      <c r="K826" s="2111">
        <f>'Part V-Utility Allowances'!K35</f>
        <v>27</v>
      </c>
      <c r="L826" s="2111">
        <f>'Part V-Utility Allowances'!L35</f>
        <v>33</v>
      </c>
      <c r="M826" s="2111">
        <f>'Part V-Utility Allowances'!M35</f>
        <v>0</v>
      </c>
      <c r="O826" s="1818"/>
      <c r="P826" s="1818"/>
      <c r="Q826" s="1818"/>
    </row>
    <row r="827" spans="2:25" s="1853" customFormat="1" ht="12" customHeight="1">
      <c r="B827" s="1818" t="s">
        <v>1321</v>
      </c>
      <c r="C827" s="1818"/>
      <c r="D827" s="1818" t="s">
        <v>6844</v>
      </c>
      <c r="E827" s="2111" t="str">
        <f>'Part V-Utility Allowances'!E36</f>
        <v>Yes</v>
      </c>
      <c r="F827" s="2110" t="str">
        <f>'Part V-Utility Allowances'!F36</f>
        <v>X</v>
      </c>
      <c r="G827" s="2110">
        <f>'Part V-Utility Allowances'!G36</f>
        <v>0</v>
      </c>
      <c r="I827" s="2111">
        <f>'Part V-Utility Allowances'!I36</f>
        <v>0</v>
      </c>
      <c r="J827" s="2111">
        <f>'Part V-Utility Allowances'!J36</f>
        <v>39</v>
      </c>
      <c r="K827" s="2111">
        <f>'Part V-Utility Allowances'!K36</f>
        <v>50</v>
      </c>
      <c r="L827" s="2111">
        <f>'Part V-Utility Allowances'!L36</f>
        <v>60</v>
      </c>
      <c r="M827" s="2111">
        <f>'Part V-Utility Allowances'!M36</f>
        <v>0</v>
      </c>
      <c r="O827" s="1818"/>
      <c r="P827" s="1818"/>
      <c r="Q827" s="1818"/>
    </row>
    <row r="828" spans="2:25" s="1853" customFormat="1" ht="12" customHeight="1">
      <c r="B828" s="1818" t="s">
        <v>1764</v>
      </c>
      <c r="C828" s="1818"/>
      <c r="F828" s="2110">
        <f>'Part V-Utility Allowances'!F37</f>
        <v>0</v>
      </c>
      <c r="G828" s="2110" t="str">
        <f>'Part V-Utility Allowances'!G37</f>
        <v>X</v>
      </c>
      <c r="I828" s="2111">
        <f>'Part V-Utility Allowances'!I37</f>
        <v>0</v>
      </c>
      <c r="J828" s="2111">
        <f>'Part V-Utility Allowances'!J37</f>
        <v>0</v>
      </c>
      <c r="K828" s="2111">
        <f>'Part V-Utility Allowances'!K37</f>
        <v>0</v>
      </c>
      <c r="L828" s="2111">
        <f>'Part V-Utility Allowances'!L37</f>
        <v>0</v>
      </c>
      <c r="M828" s="2111">
        <f>'Part V-Utility Allowances'!M37</f>
        <v>0</v>
      </c>
      <c r="O828" s="1818"/>
      <c r="P828" s="1818"/>
      <c r="Q828" s="1818"/>
    </row>
    <row r="829" spans="2:25" s="1853" customFormat="1" ht="12" customHeight="1">
      <c r="B829" s="1818" t="s">
        <v>711</v>
      </c>
      <c r="C829" s="2112">
        <f>'Part V-Utility Allowances'!C38</f>
        <v>0</v>
      </c>
      <c r="D829" s="2112"/>
      <c r="E829" s="2112"/>
      <c r="F829" s="2110">
        <f>'Part V-Utility Allowances'!F38</f>
        <v>0</v>
      </c>
      <c r="G829" s="2110">
        <f>'Part V-Utility Allowances'!G38</f>
        <v>0</v>
      </c>
      <c r="I829" s="2111">
        <f>'Part V-Utility Allowances'!I38</f>
        <v>0</v>
      </c>
      <c r="J829" s="2111">
        <f>'Part V-Utility Allowances'!J38</f>
        <v>0</v>
      </c>
      <c r="K829" s="2111">
        <f>'Part V-Utility Allowances'!K38</f>
        <v>0</v>
      </c>
      <c r="L829" s="2111">
        <f>'Part V-Utility Allowances'!L38</f>
        <v>0</v>
      </c>
      <c r="M829" s="2111">
        <f>'Part V-Utility Allowances'!M38</f>
        <v>0</v>
      </c>
      <c r="O829" s="1818"/>
      <c r="P829" s="1818"/>
      <c r="Q829" s="1818"/>
    </row>
    <row r="830" spans="2:25" s="1853" customFormat="1">
      <c r="B830" s="1853" t="s">
        <v>981</v>
      </c>
      <c r="F830" s="2052"/>
      <c r="G830" s="2052"/>
      <c r="I830" s="2109">
        <f>IF(SUM(I820:I829)=0,0,IF(OR($D820="&lt;&lt;Select Fuel &gt;&gt;",$D822="&lt;&lt;Select Fuel &gt;&gt;",$D823="&lt;&lt;Select Fuel &gt;&gt;"),"Select Fuel",IF($E827="&lt;Select&gt;","Submeter?",SUM(I820:I829))))</f>
        <v>0</v>
      </c>
      <c r="J830" s="2109">
        <f>IF(SUM(J820:J829)=0,0,IF(OR($D820="&lt;&lt;Select Fuel &gt;&gt;",$D822="&lt;&lt;Select Fuel &gt;&gt;",$D823="&lt;&lt;Select Fuel &gt;&gt;"),"Select Fuel",IF($E827="&lt;Select&gt;","Submeter?",SUM(J820:J829))))</f>
        <v>94</v>
      </c>
      <c r="K830" s="2109">
        <f>IF(SUM(K820:K829)=0,0,IF(OR($D820="&lt;&lt;Select Fuel &gt;&gt;",$D822="&lt;&lt;Select Fuel &gt;&gt;",$D823="&lt;&lt;Select Fuel &gt;&gt;"),"Select Fuel",IF($E827="&lt;Select&gt;","Submeter?",SUM(K820:K829))))</f>
        <v>121</v>
      </c>
      <c r="L830" s="2109">
        <f>IF(SUM(L820:L829)=0,0,IF(OR($D820="&lt;&lt;Select Fuel &gt;&gt;",$D822="&lt;&lt;Select Fuel &gt;&gt;",$D823="&lt;&lt;Select Fuel &gt;&gt;"),"Select Fuel",IF($E827="&lt;Select&gt;","Submeter?",SUM(L820:L829))))</f>
        <v>149</v>
      </c>
      <c r="M830" s="2109">
        <f>IF(SUM(M820:M829)=0,0,IF(OR($D820="&lt;&lt;Select Fuel &gt;&gt;",$D822="&lt;&lt;Select Fuel &gt;&gt;",$D823="&lt;&lt;Select Fuel &gt;&gt;"),"Select Fuel",IF($E827="&lt;Select&gt;","Submeter?",SUM(M820:M829))))</f>
        <v>0</v>
      </c>
      <c r="O830" s="1818"/>
      <c r="P830" s="1818"/>
      <c r="Q830" s="1818"/>
    </row>
    <row r="831" spans="2:25" s="1853" customFormat="1" ht="6" customHeight="1"/>
    <row r="832" spans="2:25" s="1853" customFormat="1">
      <c r="B832" s="2113" t="s">
        <v>6845</v>
      </c>
      <c r="F832" s="2052"/>
      <c r="G832" s="2052"/>
      <c r="I832" s="2052"/>
      <c r="J832" s="2052"/>
      <c r="K832" s="2052"/>
      <c r="L832" s="2052"/>
      <c r="M832" s="2052"/>
    </row>
    <row r="833" spans="1:380" s="1853" customFormat="1" ht="12" customHeight="1">
      <c r="B833" s="1853" t="s">
        <v>543</v>
      </c>
    </row>
    <row r="834" spans="1:380" s="1853" customFormat="1" ht="49.5" customHeight="1">
      <c r="B834" s="2006" t="str">
        <f>'Part V-Utility Allowances'!B43</f>
        <v>RAD units in this project will consist of 2 and 3-bedroom units scattered amongst all three buildings. Therefore, all buildings will qualify as HUD-Regulated Buildings under the 2021 QAP. For 1-bedroom units, the applicant is utilizing GA DCA Utility Allowances for the Southern Region, effective January 1, 2021. Both the RAD CHAP outling the Utility Allowances and GA DCA Utility Allowances are included in Tab 1.</v>
      </c>
      <c r="C834" s="2006"/>
      <c r="D834" s="2006"/>
      <c r="E834" s="2006"/>
      <c r="F834" s="2006"/>
      <c r="G834" s="2006"/>
      <c r="H834" s="2006"/>
      <c r="I834" s="2006"/>
      <c r="J834" s="2006"/>
      <c r="K834" s="2006"/>
      <c r="L834" s="2006"/>
      <c r="M834" s="2006"/>
      <c r="O834" s="1856" t="s">
        <v>2541</v>
      </c>
      <c r="P834" s="1856"/>
      <c r="Q834" s="1856"/>
      <c r="R834" s="1856"/>
      <c r="S834" s="1856"/>
    </row>
    <row r="835" spans="1:380" s="1853" customFormat="1" ht="3" customHeight="1">
      <c r="O835" s="1856"/>
      <c r="P835" s="1856"/>
      <c r="Q835" s="1856"/>
      <c r="R835" s="1856"/>
      <c r="S835" s="1856"/>
    </row>
    <row r="836" spans="1:380" s="1853" customFormat="1" ht="12" customHeight="1">
      <c r="B836" s="1853" t="s">
        <v>1759</v>
      </c>
      <c r="O836" s="1856"/>
      <c r="P836" s="1856"/>
      <c r="Q836" s="1856"/>
      <c r="R836" s="1856"/>
      <c r="S836" s="1856"/>
    </row>
    <row r="837" spans="1:380" s="1853" customFormat="1" ht="24.75" customHeight="1">
      <c r="B837" s="2006"/>
      <c r="C837" s="2006"/>
      <c r="D837" s="2006"/>
      <c r="E837" s="2006"/>
      <c r="F837" s="2006"/>
      <c r="G837" s="2006"/>
      <c r="H837" s="2006"/>
      <c r="I837" s="2006"/>
      <c r="J837" s="2006"/>
      <c r="K837" s="2006"/>
      <c r="L837" s="2006"/>
      <c r="M837" s="2006"/>
      <c r="O837" s="1856"/>
      <c r="P837" s="1856"/>
      <c r="Q837" s="1856"/>
      <c r="R837" s="1856"/>
      <c r="S837" s="1856"/>
    </row>
    <row r="838" spans="1:380" s="1853" customFormat="1"/>
    <row r="839" spans="1:380" s="1853" customFormat="1"/>
    <row r="840" spans="1:380" s="1853" customFormat="1"/>
    <row r="841" spans="1:380" s="1853" customFormat="1"/>
    <row r="842" spans="1:380" s="1818" customFormat="1" ht="14.1" customHeight="1">
      <c r="A842" s="1818" t="str">
        <f>CONCATENATE("PART SIX - PROJECTED REVENUES &amp; EXPENSES","  -  ",'Part I-Project Information'!$O$7," ",'Part I-Project Information'!$F$35,", ",'Part I-Project Information'!F829,", ",'Part I-Project Information'!J830," County")</f>
        <v>PART SIX - PROJECTED REVENUES &amp; EXPENSES  -  2021-067 West Point Village Phase II, ,  County</v>
      </c>
      <c r="T842" s="1818" t="str">
        <f>A842</f>
        <v>PART SIX - PROJECTED REVENUES &amp; EXPENSES  -  2021-067 West Point Village Phase II, ,  County</v>
      </c>
      <c r="HX842" s="2109"/>
      <c r="HY842" s="2109"/>
      <c r="HZ842" s="2109"/>
      <c r="IA842" s="2109"/>
      <c r="IB842" s="2109"/>
      <c r="IC842" s="2109"/>
      <c r="ID842" s="2109"/>
      <c r="IE842" s="2109"/>
      <c r="IF842" s="2109"/>
      <c r="IG842" s="2109"/>
      <c r="IH842" s="2109"/>
      <c r="II842" s="2109"/>
      <c r="IJ842" s="2109"/>
      <c r="IK842" s="2109"/>
      <c r="IL842" s="2109"/>
      <c r="IM842" s="2109"/>
      <c r="IN842" s="2109"/>
      <c r="IO842" s="2109"/>
      <c r="IP842" s="2109"/>
      <c r="IQ842" s="2109"/>
      <c r="IR842" s="2109"/>
      <c r="IS842" s="2109"/>
      <c r="IT842" s="2109"/>
      <c r="IU842" s="2109"/>
      <c r="IV842" s="2109"/>
      <c r="IW842" s="2109"/>
      <c r="IX842" s="2109"/>
      <c r="IY842" s="2109"/>
      <c r="IZ842" s="2109"/>
      <c r="JA842" s="2109"/>
      <c r="JB842" s="2109"/>
      <c r="JC842" s="2109"/>
      <c r="JD842" s="2109"/>
      <c r="JE842" s="2109"/>
      <c r="JF842" s="2109"/>
      <c r="JG842" s="2109"/>
      <c r="JH842" s="2109"/>
      <c r="JI842" s="2109"/>
      <c r="JJ842" s="2109"/>
      <c r="JK842" s="2109"/>
      <c r="JL842" s="2109"/>
      <c r="JM842" s="2109"/>
      <c r="JN842" s="2109"/>
      <c r="JO842" s="2109"/>
      <c r="JP842" s="2109"/>
      <c r="JQ842" s="2109"/>
      <c r="JR842" s="2109"/>
      <c r="JS842" s="2109"/>
      <c r="JT842" s="2109"/>
      <c r="JU842" s="2109"/>
      <c r="JV842" s="2109"/>
      <c r="JW842" s="2109"/>
      <c r="JX842" s="2109"/>
      <c r="JY842" s="2109"/>
      <c r="JZ842" s="2109"/>
      <c r="KA842" s="2109"/>
      <c r="KB842" s="2109"/>
      <c r="KC842" s="2109"/>
      <c r="KD842" s="2109"/>
      <c r="KE842" s="2109"/>
      <c r="KF842" s="2109"/>
      <c r="KG842" s="2109"/>
      <c r="KH842" s="2109"/>
      <c r="KI842" s="2109"/>
      <c r="KJ842" s="2109"/>
      <c r="KK842" s="2109"/>
      <c r="KL842" s="2109"/>
      <c r="NP842" s="2114"/>
    </row>
    <row r="843" spans="1:380" s="1853" customFormat="1" ht="6" customHeight="1">
      <c r="X843" s="2115"/>
      <c r="Y843" s="2115"/>
      <c r="Z843" s="2115"/>
      <c r="AA843" s="2115"/>
      <c r="AB843" s="2115"/>
      <c r="AC843" s="2115"/>
      <c r="AD843" s="2115"/>
      <c r="AE843" s="2115"/>
      <c r="AF843" s="2115"/>
      <c r="AG843" s="2115"/>
      <c r="AH843" s="2115"/>
      <c r="AI843" s="2115"/>
      <c r="AJ843" s="2115"/>
      <c r="AK843" s="2115"/>
      <c r="AL843" s="2115"/>
      <c r="AM843" s="2115"/>
      <c r="AN843" s="2115"/>
      <c r="AO843" s="2115"/>
      <c r="AP843" s="2115"/>
      <c r="AQ843" s="2115"/>
      <c r="AR843" s="2115"/>
      <c r="AS843" s="2115"/>
      <c r="AT843" s="2115"/>
      <c r="AU843" s="2115"/>
      <c r="AV843" s="2115"/>
      <c r="AW843" s="2115"/>
      <c r="AX843" s="2115"/>
      <c r="AY843" s="2115"/>
      <c r="AZ843" s="2115"/>
      <c r="BA843" s="2115"/>
      <c r="BB843" s="2115"/>
      <c r="BC843" s="2115"/>
      <c r="BD843" s="2115"/>
      <c r="BE843" s="2115"/>
      <c r="BF843" s="2115"/>
      <c r="BG843" s="2115"/>
      <c r="BH843" s="2115"/>
      <c r="BI843" s="2115"/>
      <c r="BJ843" s="2115"/>
      <c r="BK843" s="2115"/>
      <c r="BL843" s="2115"/>
      <c r="BM843" s="2115"/>
      <c r="BN843" s="2115"/>
      <c r="BO843" s="2115"/>
      <c r="BP843" s="2115"/>
      <c r="BQ843" s="2115"/>
      <c r="BR843" s="2115"/>
      <c r="BS843" s="2115"/>
      <c r="BT843" s="2115"/>
      <c r="BU843" s="2115"/>
      <c r="BV843" s="2115"/>
      <c r="BW843" s="2115"/>
      <c r="BX843" s="2115"/>
      <c r="BY843" s="2115"/>
      <c r="BZ843" s="2115"/>
      <c r="CA843" s="2115"/>
      <c r="CB843" s="2115"/>
      <c r="CC843" s="2115"/>
      <c r="CD843" s="2115"/>
      <c r="CE843" s="2115"/>
      <c r="CF843" s="2115"/>
      <c r="CG843" s="2115"/>
      <c r="CH843" s="2115"/>
      <c r="CI843" s="2115"/>
      <c r="CJ843" s="2115"/>
      <c r="CK843" s="2115"/>
      <c r="CL843" s="2115"/>
      <c r="CM843" s="2115"/>
      <c r="CN843" s="2115"/>
      <c r="CO843" s="2115"/>
      <c r="CP843" s="2115"/>
      <c r="CQ843" s="2115"/>
      <c r="CR843" s="2115"/>
      <c r="CS843" s="2115"/>
      <c r="CT843" s="2115"/>
      <c r="CU843" s="2115"/>
      <c r="CV843" s="2115"/>
      <c r="CW843" s="2115"/>
      <c r="CX843" s="2115"/>
      <c r="CY843" s="2115"/>
      <c r="CZ843" s="2115"/>
      <c r="DA843" s="2115"/>
      <c r="DB843" s="2115"/>
      <c r="DC843" s="2115"/>
      <c r="DD843" s="2115"/>
      <c r="DE843" s="2115"/>
      <c r="DF843" s="2115"/>
      <c r="DG843" s="2115"/>
      <c r="DH843" s="2115"/>
      <c r="DI843" s="2115"/>
      <c r="DJ843" s="2115"/>
      <c r="DK843" s="2115"/>
      <c r="DL843" s="2115"/>
      <c r="DM843" s="2115"/>
      <c r="DN843" s="2115"/>
      <c r="DO843" s="2115"/>
      <c r="DP843" s="2115"/>
      <c r="DQ843" s="2115"/>
      <c r="DR843" s="2115"/>
      <c r="DS843" s="2115"/>
      <c r="DT843" s="2115"/>
      <c r="DU843" s="2115"/>
      <c r="DV843" s="2115"/>
      <c r="DW843" s="2115"/>
      <c r="DX843" s="2115"/>
      <c r="DY843" s="2115"/>
      <c r="DZ843" s="2115"/>
      <c r="EA843" s="2115"/>
      <c r="EB843" s="2115"/>
      <c r="EC843" s="2115"/>
      <c r="ED843" s="2115"/>
      <c r="EE843" s="2115"/>
      <c r="EF843" s="2115"/>
      <c r="EG843" s="2115"/>
      <c r="EH843" s="2115"/>
      <c r="EI843" s="2115"/>
      <c r="EJ843" s="2115"/>
      <c r="EK843" s="2115"/>
      <c r="EL843" s="2115"/>
      <c r="EM843" s="2115"/>
      <c r="EN843" s="2115"/>
      <c r="EO843" s="2115"/>
      <c r="EP843" s="2115"/>
      <c r="EQ843" s="2115"/>
      <c r="ER843" s="2115"/>
      <c r="ES843" s="2115"/>
      <c r="ET843" s="2115"/>
      <c r="EU843" s="2115"/>
      <c r="EV843" s="2115"/>
      <c r="EW843" s="2115"/>
      <c r="EX843" s="2115"/>
      <c r="EY843" s="2115"/>
      <c r="EZ843" s="2115"/>
      <c r="FA843" s="2115"/>
      <c r="FB843" s="2115"/>
      <c r="FC843" s="2115"/>
      <c r="FD843" s="2115"/>
      <c r="FE843" s="2115"/>
      <c r="FF843" s="2115"/>
      <c r="FG843" s="2115"/>
      <c r="FH843" s="2115"/>
      <c r="FI843" s="2115"/>
      <c r="FJ843" s="2115"/>
      <c r="FK843" s="2115"/>
      <c r="FL843" s="2115"/>
      <c r="FM843" s="2115"/>
      <c r="FN843" s="2115"/>
      <c r="FO843" s="2115"/>
      <c r="FP843" s="2115"/>
      <c r="FQ843" s="2115"/>
      <c r="FR843" s="2115"/>
      <c r="FS843" s="2115"/>
      <c r="FT843" s="2115"/>
      <c r="FU843" s="2115"/>
      <c r="FV843" s="2115"/>
      <c r="FW843" s="2115"/>
      <c r="FX843" s="2115"/>
      <c r="FY843" s="2115"/>
      <c r="FZ843" s="2115"/>
      <c r="GA843" s="2115"/>
      <c r="GB843" s="2115"/>
      <c r="GC843" s="2115"/>
      <c r="GD843" s="2115"/>
      <c r="GE843" s="2115"/>
      <c r="GF843" s="2115"/>
      <c r="GG843" s="2115"/>
      <c r="GH843" s="2115"/>
      <c r="GI843" s="2115"/>
      <c r="GJ843" s="2115"/>
      <c r="GK843" s="2115"/>
      <c r="GL843" s="2115"/>
      <c r="GM843" s="2115"/>
      <c r="GN843" s="2115"/>
      <c r="GO843" s="2115"/>
      <c r="GP843" s="2115"/>
      <c r="GQ843" s="2115"/>
      <c r="GR843" s="2115"/>
      <c r="GS843" s="2115"/>
      <c r="GT843" s="2115"/>
      <c r="GU843" s="2115"/>
      <c r="GV843" s="2115"/>
      <c r="GW843" s="2115"/>
      <c r="GX843" s="2115"/>
      <c r="GY843" s="2115"/>
      <c r="GZ843" s="2115"/>
      <c r="HA843" s="2115"/>
      <c r="HB843" s="2115"/>
      <c r="HC843" s="2115"/>
      <c r="HD843" s="2115"/>
      <c r="HE843" s="2115"/>
      <c r="HF843" s="2115"/>
      <c r="HG843" s="2115"/>
      <c r="HH843" s="2115"/>
      <c r="HI843" s="2115"/>
      <c r="HJ843" s="2115"/>
      <c r="HK843" s="2115"/>
      <c r="HL843" s="2115"/>
      <c r="HM843" s="2115"/>
      <c r="HN843" s="2115"/>
      <c r="HO843" s="2115"/>
      <c r="HP843" s="2115"/>
      <c r="HQ843" s="2115"/>
      <c r="HR843" s="2115"/>
      <c r="HS843" s="2115"/>
      <c r="HT843" s="2115"/>
      <c r="HU843" s="2115"/>
      <c r="HV843" s="2115"/>
      <c r="HW843" s="2115"/>
      <c r="HX843" s="2115"/>
      <c r="HY843" s="2115"/>
      <c r="HZ843" s="1851"/>
      <c r="IA843" s="1851"/>
      <c r="IB843" s="1851"/>
      <c r="IC843" s="1851"/>
      <c r="ID843" s="1851"/>
      <c r="IE843" s="1851"/>
      <c r="IF843" s="1851"/>
      <c r="IG843" s="1851"/>
      <c r="IH843" s="1851"/>
      <c r="II843" s="1851"/>
      <c r="IJ843" s="1851"/>
      <c r="IK843" s="1851"/>
      <c r="IL843" s="1851"/>
      <c r="IM843" s="1851"/>
      <c r="IN843" s="1851"/>
      <c r="IO843" s="1851"/>
      <c r="IP843" s="1851"/>
      <c r="IQ843" s="1851"/>
      <c r="IR843" s="1851"/>
      <c r="IS843" s="1851"/>
      <c r="IT843" s="1851"/>
      <c r="IU843" s="1851"/>
      <c r="IV843" s="1851"/>
      <c r="IW843" s="1851"/>
      <c r="IX843" s="1851"/>
      <c r="IY843" s="1851"/>
      <c r="IZ843" s="1851"/>
      <c r="JA843" s="1851"/>
      <c r="JB843" s="1851"/>
      <c r="JC843" s="1851"/>
      <c r="JD843" s="1851"/>
      <c r="JE843" s="1851"/>
      <c r="JF843" s="1851"/>
      <c r="JG843" s="1851"/>
      <c r="JH843" s="1851"/>
      <c r="JI843" s="1851"/>
      <c r="JJ843" s="1851"/>
      <c r="JK843" s="1851"/>
      <c r="JL843" s="1851"/>
      <c r="JM843" s="1851"/>
      <c r="JN843" s="1851"/>
      <c r="JO843" s="1851"/>
      <c r="JP843" s="1851"/>
      <c r="JQ843" s="1851"/>
      <c r="JR843" s="1851"/>
      <c r="JS843" s="1851"/>
      <c r="JT843" s="1851"/>
      <c r="JU843" s="1851"/>
      <c r="JV843" s="1851"/>
      <c r="JW843" s="1851"/>
      <c r="JX843" s="1851"/>
      <c r="JY843" s="1851"/>
      <c r="JZ843" s="1851"/>
      <c r="KA843" s="1851"/>
      <c r="KB843" s="1851"/>
      <c r="KC843" s="1851"/>
      <c r="KD843" s="1851"/>
      <c r="KE843" s="1851"/>
      <c r="KF843" s="1851"/>
      <c r="KG843" s="1851"/>
      <c r="KH843" s="1851"/>
      <c r="KI843" s="1851"/>
      <c r="KJ843" s="1851"/>
      <c r="KK843" s="1851"/>
      <c r="KL843" s="1851"/>
      <c r="KM843" s="2115"/>
      <c r="KN843" s="2115"/>
      <c r="KO843" s="2115"/>
      <c r="KP843" s="2115"/>
      <c r="KQ843" s="2115"/>
      <c r="KR843" s="2115"/>
      <c r="KS843" s="2115"/>
      <c r="KT843" s="2115"/>
      <c r="KU843" s="2115"/>
      <c r="KV843" s="2115"/>
      <c r="KW843" s="2115"/>
      <c r="KX843" s="2115"/>
      <c r="KY843" s="2115"/>
      <c r="KZ843" s="2115"/>
      <c r="LA843" s="2115"/>
      <c r="LB843" s="2115"/>
      <c r="LC843" s="2115"/>
      <c r="LD843" s="2115"/>
      <c r="LE843" s="2115"/>
      <c r="LF843" s="2115"/>
      <c r="LL843" s="2115"/>
      <c r="LM843" s="2115"/>
      <c r="LN843" s="2115"/>
      <c r="LO843" s="2115"/>
      <c r="LP843" s="2115"/>
      <c r="LQ843" s="2115"/>
      <c r="LR843" s="2115"/>
      <c r="LS843" s="2115"/>
      <c r="LT843" s="2115"/>
      <c r="LU843" s="2115"/>
      <c r="LV843" s="2115"/>
      <c r="LW843" s="2115"/>
      <c r="LX843" s="2115"/>
      <c r="LY843" s="2115"/>
      <c r="LZ843" s="2115"/>
      <c r="MA843" s="2115"/>
      <c r="MB843" s="2115"/>
      <c r="MC843" s="2115"/>
      <c r="MD843" s="2115"/>
      <c r="ME843" s="2115"/>
      <c r="NP843" s="1925"/>
    </row>
    <row r="844" spans="1:380" s="1818" customFormat="1" ht="12.6" customHeight="1">
      <c r="A844" s="1818" t="s">
        <v>586</v>
      </c>
      <c r="B844" s="1818" t="s">
        <v>2260</v>
      </c>
      <c r="D844" s="1906" t="s">
        <v>6307</v>
      </c>
      <c r="E844" s="1906"/>
      <c r="F844" s="1906"/>
      <c r="G844" s="1906"/>
      <c r="H844" s="1906"/>
      <c r="I844" s="1906"/>
      <c r="J844" s="1906"/>
      <c r="O844" s="2116" t="s">
        <v>547</v>
      </c>
      <c r="P844" s="2117" t="str">
        <f>'Part I-Project Information'!$O$41</f>
        <v>Troup Co.</v>
      </c>
      <c r="Q844" s="2117"/>
      <c r="T844" s="1818" t="str">
        <f>B844</f>
        <v>RENT SCHEDULE</v>
      </c>
      <c r="X844" s="1719"/>
      <c r="Y844" s="1719"/>
      <c r="Z844" s="1719"/>
      <c r="AA844" s="1719"/>
      <c r="AB844" s="1719"/>
      <c r="AC844" s="1719"/>
      <c r="AD844" s="1719"/>
      <c r="AE844" s="1719"/>
      <c r="AF844" s="1719"/>
      <c r="AG844" s="1719"/>
      <c r="AH844" s="1719"/>
      <c r="AI844" s="1719"/>
      <c r="AJ844" s="1719"/>
      <c r="AK844" s="1719"/>
      <c r="AL844" s="1719"/>
      <c r="AM844" s="1719"/>
      <c r="AN844" s="1719"/>
      <c r="AO844" s="1719"/>
      <c r="AP844" s="1719"/>
      <c r="AQ844" s="1719"/>
      <c r="AR844" s="1719"/>
      <c r="AS844" s="1719"/>
      <c r="AT844" s="1719"/>
      <c r="AU844" s="1719"/>
      <c r="AV844" s="1719"/>
      <c r="AW844" s="1719"/>
      <c r="AX844" s="1719"/>
      <c r="AY844" s="1719"/>
      <c r="AZ844" s="1719"/>
      <c r="BA844" s="1719"/>
      <c r="BB844" s="1719"/>
      <c r="BC844" s="1719"/>
      <c r="BD844" s="1719"/>
      <c r="BE844" s="1719"/>
      <c r="BF844" s="1719"/>
      <c r="BG844" s="1719"/>
      <c r="BH844" s="1719"/>
      <c r="BI844" s="1719"/>
      <c r="BJ844" s="1719"/>
      <c r="BK844" s="1719"/>
      <c r="BL844" s="1719"/>
      <c r="BM844" s="1719"/>
      <c r="BN844" s="1719"/>
      <c r="BO844" s="1719"/>
      <c r="BP844" s="1719"/>
      <c r="BQ844" s="1719"/>
      <c r="BR844" s="1719"/>
      <c r="BS844" s="1719"/>
      <c r="BT844" s="1719"/>
      <c r="BU844" s="1719"/>
      <c r="BV844" s="1719"/>
      <c r="BW844" s="1719"/>
      <c r="BX844" s="1719"/>
      <c r="BY844" s="1719"/>
      <c r="BZ844" s="1719"/>
      <c r="CA844" s="1719"/>
      <c r="CB844" s="1719"/>
      <c r="CC844" s="1719"/>
      <c r="CD844" s="1719"/>
      <c r="CE844" s="1719"/>
      <c r="CF844" s="1719"/>
      <c r="CG844" s="1719"/>
      <c r="CH844" s="1719"/>
      <c r="CI844" s="1719"/>
      <c r="CJ844" s="1719"/>
      <c r="CK844" s="1719"/>
      <c r="CL844" s="1719"/>
      <c r="CM844" s="1719"/>
      <c r="CN844" s="1719"/>
      <c r="CO844" s="1719"/>
      <c r="CP844" s="1719"/>
      <c r="CQ844" s="1719"/>
      <c r="CR844" s="1719"/>
      <c r="CS844" s="1719"/>
      <c r="CT844" s="1719"/>
      <c r="CU844" s="1719"/>
      <c r="CV844" s="1719"/>
      <c r="CW844" s="1719"/>
      <c r="CX844" s="1719"/>
      <c r="CY844" s="1719"/>
      <c r="CZ844" s="1719"/>
      <c r="DA844" s="1719"/>
      <c r="DB844" s="1719"/>
      <c r="DC844" s="1719"/>
      <c r="DD844" s="1719"/>
      <c r="DE844" s="1719"/>
      <c r="DF844" s="1719"/>
      <c r="DG844" s="1719"/>
      <c r="DH844" s="1719"/>
      <c r="DI844" s="1719"/>
      <c r="DJ844" s="1719"/>
      <c r="DK844" s="1719"/>
      <c r="DL844" s="1719"/>
      <c r="DM844" s="1719"/>
      <c r="DN844" s="1719"/>
      <c r="DO844" s="1719"/>
      <c r="DP844" s="1719"/>
      <c r="DQ844" s="1719"/>
      <c r="DR844" s="1719"/>
      <c r="DS844" s="1719"/>
      <c r="DT844" s="1719"/>
      <c r="DU844" s="1719"/>
      <c r="DV844" s="1719"/>
      <c r="DW844" s="1719"/>
      <c r="DX844" s="1719"/>
      <c r="DY844" s="1719"/>
      <c r="DZ844" s="1719"/>
      <c r="EA844" s="1719"/>
      <c r="EB844" s="1719"/>
      <c r="EC844" s="1719"/>
      <c r="ED844" s="1719"/>
      <c r="EE844" s="1719"/>
      <c r="EF844" s="1719"/>
      <c r="EG844" s="1719"/>
      <c r="EH844" s="1719"/>
      <c r="EI844" s="1719"/>
      <c r="EJ844" s="1719"/>
      <c r="EK844" s="1719"/>
      <c r="EL844" s="1719"/>
      <c r="EM844" s="1719"/>
      <c r="EN844" s="1719"/>
      <c r="EO844" s="1719"/>
      <c r="EP844" s="1719"/>
      <c r="EQ844" s="1719"/>
      <c r="ER844" s="1719"/>
      <c r="ES844" s="1719"/>
      <c r="ET844" s="1719"/>
      <c r="EU844" s="1719"/>
      <c r="EV844" s="1719"/>
      <c r="EW844" s="1719"/>
      <c r="EX844" s="1719"/>
      <c r="EY844" s="1719"/>
      <c r="EZ844" s="1719"/>
      <c r="FA844" s="1719"/>
      <c r="FB844" s="1719"/>
      <c r="FC844" s="1719"/>
      <c r="FD844" s="1719"/>
      <c r="FE844" s="1719"/>
      <c r="FF844" s="1719"/>
      <c r="FG844" s="1719"/>
      <c r="FH844" s="1719"/>
      <c r="FI844" s="1719"/>
      <c r="FJ844" s="1719"/>
      <c r="FK844" s="1719"/>
      <c r="FL844" s="1719"/>
      <c r="FM844" s="1719"/>
      <c r="FN844" s="1719"/>
      <c r="FO844" s="1719"/>
      <c r="FP844" s="1719"/>
      <c r="FQ844" s="1719"/>
      <c r="FR844" s="1719"/>
      <c r="FS844" s="1719"/>
      <c r="FT844" s="1719"/>
      <c r="FU844" s="1719"/>
      <c r="FV844" s="1719"/>
      <c r="FW844" s="1719"/>
      <c r="FX844" s="1719"/>
      <c r="FY844" s="1719"/>
      <c r="FZ844" s="1719"/>
      <c r="GA844" s="1719"/>
      <c r="GB844" s="1719"/>
      <c r="GC844" s="1719"/>
      <c r="GD844" s="1719"/>
      <c r="GE844" s="1719"/>
      <c r="GF844" s="1719"/>
      <c r="GG844" s="1719"/>
      <c r="GH844" s="1719"/>
      <c r="GI844" s="1719"/>
      <c r="GJ844" s="1719"/>
      <c r="GK844" s="1719"/>
      <c r="GL844" s="1719"/>
      <c r="GM844" s="1719"/>
      <c r="GN844" s="1719"/>
      <c r="GO844" s="1719"/>
      <c r="GP844" s="1719"/>
      <c r="GQ844" s="1719"/>
      <c r="GR844" s="1719"/>
      <c r="GS844" s="1719"/>
      <c r="GT844" s="1719"/>
      <c r="GU844" s="1719"/>
      <c r="GV844" s="1719"/>
      <c r="GW844" s="1719"/>
      <c r="GX844" s="1719"/>
      <c r="GY844" s="1719"/>
      <c r="GZ844" s="1719"/>
      <c r="HA844" s="1719"/>
      <c r="HB844" s="1719"/>
      <c r="HC844" s="1719"/>
      <c r="HD844" s="1719"/>
      <c r="HE844" s="1719"/>
      <c r="HF844" s="1719"/>
      <c r="HG844" s="1719"/>
      <c r="HH844" s="1719"/>
      <c r="HI844" s="1719"/>
      <c r="HJ844" s="1719"/>
      <c r="HK844" s="1719"/>
      <c r="HL844" s="1719"/>
      <c r="HM844" s="1719"/>
      <c r="HN844" s="1719"/>
      <c r="HO844" s="1719"/>
      <c r="HP844" s="1719"/>
      <c r="HQ844" s="1719"/>
      <c r="HR844" s="1719"/>
      <c r="HS844" s="1719"/>
      <c r="HT844" s="1719"/>
      <c r="HU844" s="1719"/>
      <c r="HV844" s="1719"/>
      <c r="HW844" s="1719"/>
      <c r="HX844" s="1719"/>
      <c r="HY844" s="1719"/>
      <c r="HZ844" s="2118"/>
      <c r="IA844" s="2118"/>
      <c r="IB844" s="2118"/>
      <c r="IC844" s="2118"/>
      <c r="ID844" s="2118"/>
      <c r="IE844" s="1851" t="s">
        <v>465</v>
      </c>
      <c r="IF844" s="1851" t="s">
        <v>2328</v>
      </c>
      <c r="IG844" s="1851" t="s">
        <v>2329</v>
      </c>
      <c r="IH844" s="1851" t="s">
        <v>2330</v>
      </c>
      <c r="II844" s="1851" t="s">
        <v>2331</v>
      </c>
      <c r="IJ844" s="1851" t="s">
        <v>465</v>
      </c>
      <c r="IK844" s="1851" t="s">
        <v>2328</v>
      </c>
      <c r="IL844" s="1851" t="s">
        <v>2329</v>
      </c>
      <c r="IM844" s="1851" t="s">
        <v>2330</v>
      </c>
      <c r="IN844" s="1851" t="s">
        <v>2331</v>
      </c>
      <c r="IO844" s="2118"/>
      <c r="IP844" s="2118"/>
      <c r="IQ844" s="2118"/>
      <c r="IR844" s="2118"/>
      <c r="IS844" s="2118"/>
      <c r="IT844" s="2118"/>
      <c r="IU844" s="2118"/>
      <c r="IV844" s="2118"/>
      <c r="IW844" s="2118"/>
      <c r="IX844" s="2118"/>
      <c r="IY844" s="1851" t="s">
        <v>465</v>
      </c>
      <c r="IZ844" s="1851" t="s">
        <v>2328</v>
      </c>
      <c r="JA844" s="1851" t="s">
        <v>2329</v>
      </c>
      <c r="JB844" s="1851" t="s">
        <v>2330</v>
      </c>
      <c r="JC844" s="1851" t="s">
        <v>2331</v>
      </c>
      <c r="JD844" s="1851" t="s">
        <v>465</v>
      </c>
      <c r="JE844" s="1851" t="s">
        <v>2328</v>
      </c>
      <c r="JF844" s="1851" t="s">
        <v>2329</v>
      </c>
      <c r="JG844" s="1851" t="s">
        <v>2330</v>
      </c>
      <c r="JH844" s="1851" t="s">
        <v>2331</v>
      </c>
      <c r="JI844" s="1851" t="s">
        <v>465</v>
      </c>
      <c r="JJ844" s="1851" t="s">
        <v>2328</v>
      </c>
      <c r="JK844" s="1851" t="s">
        <v>2329</v>
      </c>
      <c r="JL844" s="1851" t="s">
        <v>2330</v>
      </c>
      <c r="JM844" s="1851" t="s">
        <v>2331</v>
      </c>
      <c r="JN844" s="1851" t="s">
        <v>465</v>
      </c>
      <c r="JO844" s="1851" t="s">
        <v>2328</v>
      </c>
      <c r="JP844" s="1851" t="s">
        <v>2329</v>
      </c>
      <c r="JQ844" s="1851" t="s">
        <v>2330</v>
      </c>
      <c r="JR844" s="1851" t="s">
        <v>2331</v>
      </c>
      <c r="JS844" s="1851" t="s">
        <v>465</v>
      </c>
      <c r="JT844" s="1851" t="s">
        <v>2328</v>
      </c>
      <c r="JU844" s="1851" t="s">
        <v>2329</v>
      </c>
      <c r="JV844" s="1851" t="s">
        <v>2330</v>
      </c>
      <c r="JW844" s="1851" t="s">
        <v>2331</v>
      </c>
      <c r="JX844" s="1851" t="s">
        <v>465</v>
      </c>
      <c r="JY844" s="1851" t="s">
        <v>2328</v>
      </c>
      <c r="JZ844" s="1851" t="s">
        <v>2329</v>
      </c>
      <c r="KA844" s="1851" t="s">
        <v>2330</v>
      </c>
      <c r="KB844" s="1851" t="s">
        <v>2331</v>
      </c>
      <c r="KC844" s="1851" t="s">
        <v>465</v>
      </c>
      <c r="KD844" s="1851" t="s">
        <v>2328</v>
      </c>
      <c r="KE844" s="1851" t="s">
        <v>2329</v>
      </c>
      <c r="KF844" s="1851" t="s">
        <v>2330</v>
      </c>
      <c r="KG844" s="1851" t="s">
        <v>2331</v>
      </c>
      <c r="KH844" s="1851" t="s">
        <v>465</v>
      </c>
      <c r="KI844" s="1851" t="s">
        <v>2328</v>
      </c>
      <c r="KJ844" s="1851" t="s">
        <v>2329</v>
      </c>
      <c r="KK844" s="1851" t="s">
        <v>2330</v>
      </c>
      <c r="KL844" s="1851" t="s">
        <v>2331</v>
      </c>
      <c r="KM844" s="1851" t="s">
        <v>465</v>
      </c>
      <c r="KN844" s="1851" t="s">
        <v>2328</v>
      </c>
      <c r="KO844" s="1851" t="s">
        <v>2329</v>
      </c>
      <c r="KP844" s="1851" t="s">
        <v>2330</v>
      </c>
      <c r="KQ844" s="1851" t="s">
        <v>2331</v>
      </c>
      <c r="KR844" s="1851" t="s">
        <v>465</v>
      </c>
      <c r="KS844" s="1851" t="s">
        <v>2328</v>
      </c>
      <c r="KT844" s="1851" t="s">
        <v>2329</v>
      </c>
      <c r="KU844" s="1851" t="s">
        <v>2330</v>
      </c>
      <c r="KV844" s="1851" t="s">
        <v>2331</v>
      </c>
      <c r="KW844" s="1851" t="s">
        <v>465</v>
      </c>
      <c r="KX844" s="1851" t="s">
        <v>2328</v>
      </c>
      <c r="KY844" s="1851" t="s">
        <v>2329</v>
      </c>
      <c r="KZ844" s="1851" t="s">
        <v>2330</v>
      </c>
      <c r="LA844" s="1851" t="s">
        <v>2331</v>
      </c>
      <c r="LB844" s="1851" t="s">
        <v>465</v>
      </c>
      <c r="LC844" s="1851" t="s">
        <v>2328</v>
      </c>
      <c r="LD844" s="1851" t="s">
        <v>2329</v>
      </c>
      <c r="LE844" s="1851" t="s">
        <v>2330</v>
      </c>
      <c r="LF844" s="1851" t="s">
        <v>2331</v>
      </c>
      <c r="LG844" s="1719"/>
      <c r="LH844" s="1719"/>
      <c r="LI844" s="1719"/>
      <c r="LJ844" s="1719"/>
      <c r="LK844" s="1719"/>
      <c r="LL844" s="1719"/>
      <c r="LM844" s="1719"/>
      <c r="LN844" s="1719"/>
      <c r="LO844" s="1719"/>
      <c r="LP844" s="1719"/>
      <c r="LQ844" s="1719"/>
      <c r="LR844" s="1719"/>
      <c r="LS844" s="1719"/>
      <c r="LT844" s="1719"/>
      <c r="LU844" s="1719"/>
      <c r="LV844" s="1719"/>
      <c r="LW844" s="1719"/>
      <c r="LX844" s="1719"/>
      <c r="LY844" s="1719"/>
      <c r="LZ844" s="1719"/>
      <c r="MA844" s="1719"/>
      <c r="MB844" s="1719"/>
      <c r="MC844" s="1719"/>
      <c r="MD844" s="1719"/>
      <c r="ME844" s="1719"/>
      <c r="MF844" s="2115" t="s">
        <v>3164</v>
      </c>
      <c r="MG844" s="2115" t="s">
        <v>3165</v>
      </c>
      <c r="MH844" s="2115" t="s">
        <v>3166</v>
      </c>
      <c r="MI844" s="2115" t="s">
        <v>3167</v>
      </c>
      <c r="MJ844" s="2115" t="s">
        <v>3168</v>
      </c>
      <c r="MK844" s="1719"/>
      <c r="ML844" s="1719"/>
      <c r="MM844" s="1719"/>
      <c r="MN844" s="1719"/>
      <c r="MO844" s="1719"/>
      <c r="MP844" s="1719"/>
      <c r="MQ844" s="1719"/>
      <c r="MR844" s="1719"/>
      <c r="MS844" s="1719"/>
      <c r="MT844" s="1719"/>
      <c r="NP844" s="2114"/>
    </row>
    <row r="845" spans="1:380" s="1818" customFormat="1" ht="3" customHeight="1">
      <c r="D845" s="1906"/>
      <c r="E845" s="1906"/>
      <c r="F845" s="1906"/>
      <c r="G845" s="1906"/>
      <c r="H845" s="1906"/>
      <c r="I845" s="1906"/>
      <c r="J845" s="1906"/>
      <c r="P845" s="2117"/>
      <c r="Q845" s="2115" t="s">
        <v>7139</v>
      </c>
      <c r="R845" s="1851"/>
      <c r="X845" s="2115" t="s">
        <v>3834</v>
      </c>
      <c r="Y845" s="2115" t="s">
        <v>3835</v>
      </c>
      <c r="Z845" s="2115" t="s">
        <v>3836</v>
      </c>
      <c r="AA845" s="2115" t="s">
        <v>3837</v>
      </c>
      <c r="AB845" s="2115" t="s">
        <v>3838</v>
      </c>
      <c r="AC845" s="2115" t="s">
        <v>3839</v>
      </c>
      <c r="AD845" s="2115" t="s">
        <v>3840</v>
      </c>
      <c r="AE845" s="2115" t="s">
        <v>3841</v>
      </c>
      <c r="AF845" s="2115" t="s">
        <v>3842</v>
      </c>
      <c r="AG845" s="2115" t="s">
        <v>3843</v>
      </c>
      <c r="AH845" s="2115" t="s">
        <v>885</v>
      </c>
      <c r="AI845" s="2115" t="s">
        <v>726</v>
      </c>
      <c r="AJ845" s="2115" t="s">
        <v>727</v>
      </c>
      <c r="AK845" s="2115" t="s">
        <v>728</v>
      </c>
      <c r="AL845" s="2115" t="s">
        <v>729</v>
      </c>
      <c r="AM845" s="2115" t="s">
        <v>886</v>
      </c>
      <c r="AN845" s="2115" t="s">
        <v>2205</v>
      </c>
      <c r="AO845" s="2115" t="s">
        <v>2206</v>
      </c>
      <c r="AP845" s="2115" t="s">
        <v>2207</v>
      </c>
      <c r="AQ845" s="2115" t="s">
        <v>2208</v>
      </c>
      <c r="AR845" s="2115" t="s">
        <v>3845</v>
      </c>
      <c r="AS845" s="2115" t="s">
        <v>3846</v>
      </c>
      <c r="AT845" s="2115" t="s">
        <v>3847</v>
      </c>
      <c r="AU845" s="2115" t="s">
        <v>3848</v>
      </c>
      <c r="AV845" s="2115" t="s">
        <v>3844</v>
      </c>
      <c r="AW845" s="2115" t="s">
        <v>887</v>
      </c>
      <c r="AX845" s="2115" t="s">
        <v>2209</v>
      </c>
      <c r="AY845" s="2115" t="s">
        <v>2210</v>
      </c>
      <c r="AZ845" s="2115" t="s">
        <v>2211</v>
      </c>
      <c r="BA845" s="2115" t="s">
        <v>2212</v>
      </c>
      <c r="BB845" s="2115" t="s">
        <v>3849</v>
      </c>
      <c r="BC845" s="2115" t="s">
        <v>3850</v>
      </c>
      <c r="BD845" s="2115" t="s">
        <v>3851</v>
      </c>
      <c r="BE845" s="2115" t="s">
        <v>3852</v>
      </c>
      <c r="BF845" s="2115" t="s">
        <v>3853</v>
      </c>
      <c r="BG845" s="2115" t="s">
        <v>122</v>
      </c>
      <c r="BH845" s="2115" t="s">
        <v>2213</v>
      </c>
      <c r="BI845" s="2115" t="s">
        <v>2214</v>
      </c>
      <c r="BJ845" s="2115" t="s">
        <v>2215</v>
      </c>
      <c r="BK845" s="2115" t="s">
        <v>1106</v>
      </c>
      <c r="BL845" s="2115" t="s">
        <v>3854</v>
      </c>
      <c r="BM845" s="2115" t="s">
        <v>3855</v>
      </c>
      <c r="BN845" s="2115" t="s">
        <v>3856</v>
      </c>
      <c r="BO845" s="2115" t="s">
        <v>3857</v>
      </c>
      <c r="BP845" s="2115" t="s">
        <v>3858</v>
      </c>
      <c r="BQ845" s="2115" t="s">
        <v>529</v>
      </c>
      <c r="BR845" s="2115" t="s">
        <v>530</v>
      </c>
      <c r="BS845" s="2115" t="s">
        <v>548</v>
      </c>
      <c r="BT845" s="2115" t="s">
        <v>549</v>
      </c>
      <c r="BU845" s="2115" t="s">
        <v>550</v>
      </c>
      <c r="BV845" s="2115" t="s">
        <v>3859</v>
      </c>
      <c r="BW845" s="2115" t="s">
        <v>3860</v>
      </c>
      <c r="BX845" s="2115" t="s">
        <v>3861</v>
      </c>
      <c r="BY845" s="2115" t="s">
        <v>3862</v>
      </c>
      <c r="BZ845" s="2115" t="s">
        <v>3863</v>
      </c>
      <c r="CA845" s="2115" t="s">
        <v>551</v>
      </c>
      <c r="CB845" s="2115" t="s">
        <v>552</v>
      </c>
      <c r="CC845" s="2115" t="s">
        <v>553</v>
      </c>
      <c r="CD845" s="2115" t="s">
        <v>554</v>
      </c>
      <c r="CE845" s="2115" t="s">
        <v>555</v>
      </c>
      <c r="CF845" s="2115" t="s">
        <v>556</v>
      </c>
      <c r="CG845" s="2115" t="s">
        <v>557</v>
      </c>
      <c r="CH845" s="2115" t="s">
        <v>896</v>
      </c>
      <c r="CI845" s="2115" t="s">
        <v>897</v>
      </c>
      <c r="CJ845" s="2115" t="s">
        <v>898</v>
      </c>
      <c r="CK845" s="2115" t="s">
        <v>3869</v>
      </c>
      <c r="CL845" s="2115" t="s">
        <v>3870</v>
      </c>
      <c r="CM845" s="2115" t="s">
        <v>3871</v>
      </c>
      <c r="CN845" s="2115" t="s">
        <v>3872</v>
      </c>
      <c r="CO845" s="2115" t="s">
        <v>3873</v>
      </c>
      <c r="CP845" s="2115" t="s">
        <v>3864</v>
      </c>
      <c r="CQ845" s="2115" t="s">
        <v>3865</v>
      </c>
      <c r="CR845" s="2115" t="s">
        <v>3866</v>
      </c>
      <c r="CS845" s="2115" t="s">
        <v>3867</v>
      </c>
      <c r="CT845" s="2115" t="s">
        <v>3868</v>
      </c>
      <c r="CU845" s="2115" t="s">
        <v>3874</v>
      </c>
      <c r="CV845" s="2115" t="s">
        <v>3875</v>
      </c>
      <c r="CW845" s="2115" t="s">
        <v>3876</v>
      </c>
      <c r="CX845" s="2115" t="s">
        <v>3877</v>
      </c>
      <c r="CY845" s="2115" t="s">
        <v>3878</v>
      </c>
      <c r="CZ845" s="2115" t="s">
        <v>474</v>
      </c>
      <c r="DA845" s="2115" t="s">
        <v>475</v>
      </c>
      <c r="DB845" s="2115" t="s">
        <v>476</v>
      </c>
      <c r="DC845" s="2115" t="s">
        <v>477</v>
      </c>
      <c r="DD845" s="2115" t="s">
        <v>478</v>
      </c>
      <c r="DE845" s="2115" t="s">
        <v>3879</v>
      </c>
      <c r="DF845" s="2115" t="s">
        <v>3880</v>
      </c>
      <c r="DG845" s="2115" t="s">
        <v>3881</v>
      </c>
      <c r="DH845" s="2115" t="s">
        <v>3882</v>
      </c>
      <c r="DI845" s="2115" t="s">
        <v>3883</v>
      </c>
      <c r="DJ845" s="2115" t="s">
        <v>846</v>
      </c>
      <c r="DK845" s="2115" t="s">
        <v>847</v>
      </c>
      <c r="DL845" s="2115" t="s">
        <v>848</v>
      </c>
      <c r="DM845" s="2115" t="s">
        <v>849</v>
      </c>
      <c r="DN845" s="2115" t="s">
        <v>850</v>
      </c>
      <c r="DO845" s="2115" t="s">
        <v>851</v>
      </c>
      <c r="DP845" s="2115" t="s">
        <v>852</v>
      </c>
      <c r="DQ845" s="2115" t="s">
        <v>853</v>
      </c>
      <c r="DR845" s="2115" t="s">
        <v>854</v>
      </c>
      <c r="DS845" s="2115" t="s">
        <v>855</v>
      </c>
      <c r="DT845" s="2115" t="s">
        <v>3884</v>
      </c>
      <c r="DU845" s="2115" t="s">
        <v>3885</v>
      </c>
      <c r="DV845" s="2115" t="s">
        <v>3886</v>
      </c>
      <c r="DW845" s="2115" t="s">
        <v>3887</v>
      </c>
      <c r="DX845" s="2115" t="s">
        <v>3888</v>
      </c>
      <c r="DY845" s="2115" t="s">
        <v>3889</v>
      </c>
      <c r="DZ845" s="2115" t="s">
        <v>3890</v>
      </c>
      <c r="EA845" s="2115" t="s">
        <v>3891</v>
      </c>
      <c r="EB845" s="2115" t="s">
        <v>3892</v>
      </c>
      <c r="EC845" s="2115" t="s">
        <v>3893</v>
      </c>
      <c r="ED845" s="2115" t="s">
        <v>2318</v>
      </c>
      <c r="EE845" s="2115" t="s">
        <v>2319</v>
      </c>
      <c r="EF845" s="2115" t="s">
        <v>2320</v>
      </c>
      <c r="EG845" s="2115" t="s">
        <v>2321</v>
      </c>
      <c r="EH845" s="2115" t="s">
        <v>2322</v>
      </c>
      <c r="EI845" s="2115" t="s">
        <v>3894</v>
      </c>
      <c r="EJ845" s="2115" t="s">
        <v>3895</v>
      </c>
      <c r="EK845" s="2115" t="s">
        <v>3896</v>
      </c>
      <c r="EL845" s="2115" t="s">
        <v>3897</v>
      </c>
      <c r="EM845" s="2115" t="s">
        <v>3898</v>
      </c>
      <c r="EN845" s="2115" t="s">
        <v>3899</v>
      </c>
      <c r="EO845" s="2115" t="s">
        <v>3900</v>
      </c>
      <c r="EP845" s="2115" t="s">
        <v>3901</v>
      </c>
      <c r="EQ845" s="2115" t="s">
        <v>3902</v>
      </c>
      <c r="ER845" s="2115" t="s">
        <v>3903</v>
      </c>
      <c r="ES845" s="2115" t="s">
        <v>110</v>
      </c>
      <c r="ET845" s="2115" t="s">
        <v>1109</v>
      </c>
      <c r="EU845" s="2115" t="s">
        <v>1110</v>
      </c>
      <c r="EV845" s="2115" t="s">
        <v>1167</v>
      </c>
      <c r="EW845" s="2115" t="s">
        <v>1168</v>
      </c>
      <c r="EX845" s="2115" t="s">
        <v>125</v>
      </c>
      <c r="EY845" s="2115" t="s">
        <v>1169</v>
      </c>
      <c r="EZ845" s="2115" t="s">
        <v>1170</v>
      </c>
      <c r="FA845" s="2115" t="s">
        <v>1171</v>
      </c>
      <c r="FB845" s="2115" t="s">
        <v>1172</v>
      </c>
      <c r="FC845" s="2115" t="s">
        <v>3904</v>
      </c>
      <c r="FD845" s="2115" t="s">
        <v>3905</v>
      </c>
      <c r="FE845" s="2115" t="s">
        <v>3906</v>
      </c>
      <c r="FF845" s="2115" t="s">
        <v>3907</v>
      </c>
      <c r="FG845" s="2115" t="s">
        <v>3908</v>
      </c>
      <c r="FH845" s="2115" t="s">
        <v>124</v>
      </c>
      <c r="FI845" s="2115" t="s">
        <v>877</v>
      </c>
      <c r="FJ845" s="2115" t="s">
        <v>878</v>
      </c>
      <c r="FK845" s="2115" t="s">
        <v>879</v>
      </c>
      <c r="FL845" s="2115" t="s">
        <v>880</v>
      </c>
      <c r="FM845" s="2115" t="s">
        <v>3909</v>
      </c>
      <c r="FN845" s="2115" t="s">
        <v>3910</v>
      </c>
      <c r="FO845" s="2115" t="s">
        <v>3911</v>
      </c>
      <c r="FP845" s="2115" t="s">
        <v>3912</v>
      </c>
      <c r="FQ845" s="2115" t="s">
        <v>3913</v>
      </c>
      <c r="FR845" s="2115" t="s">
        <v>123</v>
      </c>
      <c r="FS845" s="2115" t="s">
        <v>881</v>
      </c>
      <c r="FT845" s="2115" t="s">
        <v>882</v>
      </c>
      <c r="FU845" s="2115" t="s">
        <v>883</v>
      </c>
      <c r="FV845" s="2115" t="s">
        <v>884</v>
      </c>
      <c r="FW845" s="2115" t="s">
        <v>776</v>
      </c>
      <c r="FX845" s="2115" t="s">
        <v>777</v>
      </c>
      <c r="FY845" s="2115" t="s">
        <v>778</v>
      </c>
      <c r="FZ845" s="2115" t="s">
        <v>779</v>
      </c>
      <c r="GA845" s="2115" t="s">
        <v>780</v>
      </c>
      <c r="GB845" s="2115" t="s">
        <v>921</v>
      </c>
      <c r="GC845" s="2115" t="s">
        <v>922</v>
      </c>
      <c r="GD845" s="2115" t="s">
        <v>923</v>
      </c>
      <c r="GE845" s="2115" t="s">
        <v>924</v>
      </c>
      <c r="GF845" s="2115" t="s">
        <v>2317</v>
      </c>
      <c r="GG845" s="2115" t="s">
        <v>1378</v>
      </c>
      <c r="GH845" s="2115" t="s">
        <v>1379</v>
      </c>
      <c r="GI845" s="2115" t="s">
        <v>1380</v>
      </c>
      <c r="GJ845" s="2115" t="s">
        <v>1381</v>
      </c>
      <c r="GK845" s="2115" t="s">
        <v>1382</v>
      </c>
      <c r="GL845" s="2115" t="s">
        <v>417</v>
      </c>
      <c r="GM845" s="2115" t="s">
        <v>418</v>
      </c>
      <c r="GN845" s="2115" t="s">
        <v>419</v>
      </c>
      <c r="GO845" s="2115" t="s">
        <v>420</v>
      </c>
      <c r="GP845" s="2115" t="s">
        <v>421</v>
      </c>
      <c r="GQ845" s="2115" t="s">
        <v>14</v>
      </c>
      <c r="GR845" s="2115" t="s">
        <v>15</v>
      </c>
      <c r="GS845" s="2115" t="s">
        <v>16</v>
      </c>
      <c r="GT845" s="2115" t="s">
        <v>17</v>
      </c>
      <c r="GU845" s="2115" t="s">
        <v>18</v>
      </c>
      <c r="GV845" s="2115" t="s">
        <v>213</v>
      </c>
      <c r="GW845" s="2115" t="s">
        <v>214</v>
      </c>
      <c r="GX845" s="2115" t="s">
        <v>215</v>
      </c>
      <c r="GY845" s="2115" t="s">
        <v>1727</v>
      </c>
      <c r="GZ845" s="2115" t="s">
        <v>1728</v>
      </c>
      <c r="HA845" s="2115" t="s">
        <v>1729</v>
      </c>
      <c r="HB845" s="2115" t="s">
        <v>563</v>
      </c>
      <c r="HC845" s="2115" t="s">
        <v>564</v>
      </c>
      <c r="HD845" s="2115" t="s">
        <v>565</v>
      </c>
      <c r="HE845" s="2115" t="s">
        <v>566</v>
      </c>
      <c r="HF845" s="2115" t="s">
        <v>19</v>
      </c>
      <c r="HG845" s="2115" t="s">
        <v>20</v>
      </c>
      <c r="HH845" s="2115" t="s">
        <v>21</v>
      </c>
      <c r="HI845" s="2115" t="s">
        <v>22</v>
      </c>
      <c r="HJ845" s="2115" t="s">
        <v>23</v>
      </c>
      <c r="HK845" s="2115" t="s">
        <v>473</v>
      </c>
      <c r="HL845" s="2115" t="s">
        <v>413</v>
      </c>
      <c r="HM845" s="2115" t="s">
        <v>414</v>
      </c>
      <c r="HN845" s="2115" t="s">
        <v>415</v>
      </c>
      <c r="HO845" s="2115" t="s">
        <v>416</v>
      </c>
      <c r="HP845" s="2115" t="s">
        <v>2106</v>
      </c>
      <c r="HQ845" s="2115" t="s">
        <v>2107</v>
      </c>
      <c r="HR845" s="2115" t="s">
        <v>2108</v>
      </c>
      <c r="HS845" s="2115" t="s">
        <v>1420</v>
      </c>
      <c r="HT845" s="2115" t="s">
        <v>1421</v>
      </c>
      <c r="HU845" s="2115" t="s">
        <v>24</v>
      </c>
      <c r="HV845" s="2115" t="s">
        <v>25</v>
      </c>
      <c r="HW845" s="2115" t="s">
        <v>26</v>
      </c>
      <c r="HX845" s="2115" t="s">
        <v>27</v>
      </c>
      <c r="HY845" s="2115" t="s">
        <v>28</v>
      </c>
      <c r="HZ845" s="2118"/>
      <c r="IA845" s="2118"/>
      <c r="IB845" s="2118"/>
      <c r="IC845" s="2118"/>
      <c r="ID845" s="2118"/>
      <c r="IE845" s="2118"/>
      <c r="IF845" s="2118"/>
      <c r="IG845" s="2118"/>
      <c r="IH845" s="2118"/>
      <c r="II845" s="2118"/>
      <c r="IJ845" s="2118"/>
      <c r="IK845" s="2118"/>
      <c r="IL845" s="2118"/>
      <c r="IM845" s="2118"/>
      <c r="IN845" s="2118"/>
      <c r="IO845" s="2118"/>
      <c r="IP845" s="2118"/>
      <c r="IQ845" s="2118"/>
      <c r="IR845" s="2118"/>
      <c r="IS845" s="2118"/>
      <c r="IT845" s="2118"/>
      <c r="IU845" s="2118"/>
      <c r="IV845" s="2118"/>
      <c r="IW845" s="2118"/>
      <c r="IX845" s="2118"/>
      <c r="IY845" s="2118"/>
      <c r="IZ845" s="2118"/>
      <c r="JA845" s="2118"/>
      <c r="JB845" s="2118"/>
      <c r="JC845" s="2118"/>
      <c r="JD845" s="2118"/>
      <c r="JE845" s="2118"/>
      <c r="JF845" s="2118"/>
      <c r="JG845" s="2118"/>
      <c r="JH845" s="2118"/>
      <c r="JI845" s="2118"/>
      <c r="JJ845" s="2118"/>
      <c r="JK845" s="2118"/>
      <c r="JL845" s="2118"/>
      <c r="JM845" s="2118"/>
      <c r="JN845" s="2118"/>
      <c r="JO845" s="2118"/>
      <c r="JP845" s="2118"/>
      <c r="JQ845" s="2118"/>
      <c r="JR845" s="2118"/>
      <c r="JS845" s="2118"/>
      <c r="JT845" s="2118"/>
      <c r="JU845" s="2118"/>
      <c r="JV845" s="2118"/>
      <c r="JW845" s="2118"/>
      <c r="JX845" s="2118"/>
      <c r="JY845" s="2118"/>
      <c r="JZ845" s="2118"/>
      <c r="KA845" s="2118"/>
      <c r="KB845" s="2118"/>
      <c r="KC845" s="2118"/>
      <c r="KD845" s="2118"/>
      <c r="KE845" s="2118"/>
      <c r="KF845" s="2118"/>
      <c r="KG845" s="2118"/>
      <c r="KH845" s="2118"/>
      <c r="KI845" s="2118"/>
      <c r="KJ845" s="2118"/>
      <c r="KK845" s="2118"/>
      <c r="KL845" s="2118"/>
      <c r="KM845" s="1719"/>
      <c r="KN845" s="1719"/>
      <c r="KO845" s="1719"/>
      <c r="KP845" s="1719"/>
      <c r="KQ845" s="1719"/>
      <c r="KR845" s="1719"/>
      <c r="KS845" s="1719"/>
      <c r="KT845" s="1719"/>
      <c r="KU845" s="1719"/>
      <c r="KV845" s="1719"/>
      <c r="KW845" s="1719"/>
      <c r="KX845" s="1719"/>
      <c r="KY845" s="1719"/>
      <c r="KZ845" s="1719"/>
      <c r="LA845" s="1719"/>
      <c r="LB845" s="1719"/>
      <c r="LC845" s="1719"/>
      <c r="LD845" s="1719"/>
      <c r="LE845" s="1719"/>
      <c r="LF845" s="1719"/>
      <c r="LG845" s="2115" t="s">
        <v>1559</v>
      </c>
      <c r="LH845" s="2115" t="s">
        <v>2404</v>
      </c>
      <c r="LI845" s="2115" t="s">
        <v>2405</v>
      </c>
      <c r="LJ845" s="2115" t="s">
        <v>368</v>
      </c>
      <c r="LK845" s="2115" t="s">
        <v>369</v>
      </c>
      <c r="LL845" s="2115" t="s">
        <v>370</v>
      </c>
      <c r="LM845" s="2115" t="s">
        <v>371</v>
      </c>
      <c r="LN845" s="2115" t="s">
        <v>372</v>
      </c>
      <c r="LO845" s="2115" t="s">
        <v>373</v>
      </c>
      <c r="LP845" s="2115" t="s">
        <v>374</v>
      </c>
      <c r="LQ845" s="2115" t="s">
        <v>194</v>
      </c>
      <c r="LR845" s="2115" t="s">
        <v>195</v>
      </c>
      <c r="LS845" s="2115" t="s">
        <v>196</v>
      </c>
      <c r="LT845" s="2115" t="s">
        <v>197</v>
      </c>
      <c r="LU845" s="2115" t="s">
        <v>198</v>
      </c>
      <c r="LV845" s="2115" t="s">
        <v>199</v>
      </c>
      <c r="LW845" s="2115" t="s">
        <v>200</v>
      </c>
      <c r="LX845" s="2115" t="s">
        <v>201</v>
      </c>
      <c r="LY845" s="2115" t="s">
        <v>202</v>
      </c>
      <c r="LZ845" s="2115" t="s">
        <v>203</v>
      </c>
      <c r="MA845" s="2115" t="s">
        <v>204</v>
      </c>
      <c r="MB845" s="2115" t="s">
        <v>205</v>
      </c>
      <c r="MC845" s="2115" t="s">
        <v>206</v>
      </c>
      <c r="MD845" s="2115" t="s">
        <v>207</v>
      </c>
      <c r="ME845" s="2115" t="s">
        <v>208</v>
      </c>
      <c r="MF845" s="2115"/>
      <c r="MG845" s="2115"/>
      <c r="MH845" s="2115"/>
      <c r="MI845" s="2115"/>
      <c r="MJ845" s="2115"/>
      <c r="MK845" s="1719"/>
      <c r="ML845" s="1719"/>
      <c r="MM845" s="1719"/>
      <c r="MN845" s="1719"/>
      <c r="MO845" s="1719"/>
      <c r="MP845" s="1719"/>
      <c r="MQ845" s="1719"/>
      <c r="MR845" s="1719"/>
      <c r="MS845" s="1719"/>
      <c r="MT845" s="1719"/>
      <c r="NP845" s="2114"/>
    </row>
    <row r="846" spans="1:380" s="1818" customFormat="1" ht="12.6" customHeight="1">
      <c r="A846" s="2119" t="str">
        <f>IF(A889&gt;0,"Finish Row!","")</f>
        <v/>
      </c>
      <c r="B846" s="1719" t="s">
        <v>7140</v>
      </c>
      <c r="D846" s="1906"/>
      <c r="E846" s="1906"/>
      <c r="F846" s="1906"/>
      <c r="G846" s="2111" t="str">
        <f>'Part VI-Revenues &amp; Expenses'!G6</f>
        <v>&lt;Select&gt;</v>
      </c>
      <c r="H846" s="2120" t="s">
        <v>6310</v>
      </c>
      <c r="I846" s="2120"/>
      <c r="J846" s="2120"/>
      <c r="K846" s="2118" t="s">
        <v>3256</v>
      </c>
      <c r="L846" s="2121" t="str">
        <f>'Part I-Project Information'!$B$7</f>
        <v>2021 Core App
May 10 Rev</v>
      </c>
      <c r="M846" s="2121"/>
      <c r="N846" s="2121"/>
      <c r="O846" s="2122" t="s">
        <v>7070</v>
      </c>
      <c r="P846" s="2123">
        <f>'Part VI-Revenues &amp; Expenses'!P6</f>
        <v>58900</v>
      </c>
      <c r="Q846" s="2115"/>
      <c r="R846" s="1851"/>
      <c r="X846" s="2115"/>
      <c r="Y846" s="2115"/>
      <c r="Z846" s="2115"/>
      <c r="AA846" s="2115"/>
      <c r="AB846" s="2115"/>
      <c r="AC846" s="2115"/>
      <c r="AD846" s="2115"/>
      <c r="AE846" s="2115"/>
      <c r="AF846" s="2115"/>
      <c r="AG846" s="2115"/>
      <c r="AH846" s="2115"/>
      <c r="AI846" s="2115"/>
      <c r="AJ846" s="2115"/>
      <c r="AK846" s="2115"/>
      <c r="AL846" s="2115"/>
      <c r="AM846" s="2115"/>
      <c r="AN846" s="2115"/>
      <c r="AO846" s="2115"/>
      <c r="AP846" s="2115"/>
      <c r="AQ846" s="2115"/>
      <c r="AR846" s="2115"/>
      <c r="AS846" s="2115"/>
      <c r="AT846" s="2115"/>
      <c r="AU846" s="2115"/>
      <c r="AV846" s="2115"/>
      <c r="AW846" s="2115"/>
      <c r="AX846" s="2115"/>
      <c r="AY846" s="2115"/>
      <c r="AZ846" s="2115"/>
      <c r="BA846" s="2115"/>
      <c r="BB846" s="2115"/>
      <c r="BC846" s="2115"/>
      <c r="BD846" s="2115"/>
      <c r="BE846" s="2115"/>
      <c r="BF846" s="2115"/>
      <c r="BG846" s="2115"/>
      <c r="BH846" s="2115"/>
      <c r="BI846" s="2115"/>
      <c r="BJ846" s="2115"/>
      <c r="BK846" s="2115"/>
      <c r="BL846" s="2115"/>
      <c r="BM846" s="2115"/>
      <c r="BN846" s="2115"/>
      <c r="BO846" s="2115"/>
      <c r="BP846" s="2115"/>
      <c r="BQ846" s="2115"/>
      <c r="BR846" s="2115"/>
      <c r="BS846" s="2115"/>
      <c r="BT846" s="2115"/>
      <c r="BU846" s="2115"/>
      <c r="BV846" s="2115"/>
      <c r="BW846" s="2115"/>
      <c r="BX846" s="2115"/>
      <c r="BY846" s="2115"/>
      <c r="BZ846" s="2115"/>
      <c r="CA846" s="2115"/>
      <c r="CB846" s="2115"/>
      <c r="CC846" s="2115"/>
      <c r="CD846" s="2115"/>
      <c r="CE846" s="2115"/>
      <c r="CF846" s="2115"/>
      <c r="CG846" s="2115"/>
      <c r="CH846" s="2115"/>
      <c r="CI846" s="2115"/>
      <c r="CJ846" s="2115"/>
      <c r="CK846" s="2115"/>
      <c r="CL846" s="2115"/>
      <c r="CM846" s="2115"/>
      <c r="CN846" s="2115"/>
      <c r="CO846" s="2115"/>
      <c r="CP846" s="2115"/>
      <c r="CQ846" s="2115"/>
      <c r="CR846" s="2115"/>
      <c r="CS846" s="2115"/>
      <c r="CT846" s="2115"/>
      <c r="CU846" s="2115"/>
      <c r="CV846" s="2115"/>
      <c r="CW846" s="2115"/>
      <c r="CX846" s="2115"/>
      <c r="CY846" s="2115"/>
      <c r="CZ846" s="2115"/>
      <c r="DA846" s="2115"/>
      <c r="DB846" s="2115"/>
      <c r="DC846" s="2115"/>
      <c r="DD846" s="2115"/>
      <c r="DE846" s="2115"/>
      <c r="DF846" s="2115"/>
      <c r="DG846" s="2115"/>
      <c r="DH846" s="2115"/>
      <c r="DI846" s="2115"/>
      <c r="DJ846" s="2115"/>
      <c r="DK846" s="2115"/>
      <c r="DL846" s="2115"/>
      <c r="DM846" s="2115"/>
      <c r="DN846" s="2115"/>
      <c r="DO846" s="2115"/>
      <c r="DP846" s="2115"/>
      <c r="DQ846" s="2115"/>
      <c r="DR846" s="2115"/>
      <c r="DS846" s="2115"/>
      <c r="DT846" s="2115"/>
      <c r="DU846" s="2115"/>
      <c r="DV846" s="2115"/>
      <c r="DW846" s="2115"/>
      <c r="DX846" s="2115"/>
      <c r="DY846" s="2115"/>
      <c r="DZ846" s="2115"/>
      <c r="EA846" s="2115"/>
      <c r="EB846" s="2115"/>
      <c r="EC846" s="2115"/>
      <c r="ED846" s="2115"/>
      <c r="EE846" s="2115"/>
      <c r="EF846" s="2115"/>
      <c r="EG846" s="2115"/>
      <c r="EH846" s="2115"/>
      <c r="EI846" s="2115"/>
      <c r="EJ846" s="2115"/>
      <c r="EK846" s="2115"/>
      <c r="EL846" s="2115"/>
      <c r="EM846" s="2115"/>
      <c r="EN846" s="2115"/>
      <c r="EO846" s="2115"/>
      <c r="EP846" s="2115"/>
      <c r="EQ846" s="2115"/>
      <c r="ER846" s="2115"/>
      <c r="ES846" s="2115"/>
      <c r="ET846" s="2115"/>
      <c r="EU846" s="2115"/>
      <c r="EV846" s="2115"/>
      <c r="EW846" s="2115"/>
      <c r="EX846" s="2115"/>
      <c r="EY846" s="2115"/>
      <c r="EZ846" s="2115"/>
      <c r="FA846" s="2115"/>
      <c r="FB846" s="2115"/>
      <c r="FC846" s="2115"/>
      <c r="FD846" s="2115"/>
      <c r="FE846" s="2115"/>
      <c r="FF846" s="2115"/>
      <c r="FG846" s="2115"/>
      <c r="FH846" s="2115"/>
      <c r="FI846" s="2115"/>
      <c r="FJ846" s="2115"/>
      <c r="FK846" s="2115"/>
      <c r="FL846" s="2115"/>
      <c r="FM846" s="2115"/>
      <c r="FN846" s="2115"/>
      <c r="FO846" s="2115"/>
      <c r="FP846" s="2115"/>
      <c r="FQ846" s="2115"/>
      <c r="FR846" s="2115"/>
      <c r="FS846" s="2115"/>
      <c r="FT846" s="2115"/>
      <c r="FU846" s="2115"/>
      <c r="FV846" s="2115"/>
      <c r="FW846" s="2115"/>
      <c r="FX846" s="2115"/>
      <c r="FY846" s="2115"/>
      <c r="FZ846" s="2115"/>
      <c r="GA846" s="2115"/>
      <c r="GB846" s="2115"/>
      <c r="GC846" s="2115"/>
      <c r="GD846" s="2115"/>
      <c r="GE846" s="2115"/>
      <c r="GF846" s="2115"/>
      <c r="GG846" s="2115"/>
      <c r="GH846" s="2115"/>
      <c r="GI846" s="2115"/>
      <c r="GJ846" s="2115"/>
      <c r="GK846" s="2115"/>
      <c r="GL846" s="2115"/>
      <c r="GM846" s="2115"/>
      <c r="GN846" s="2115"/>
      <c r="GO846" s="2115"/>
      <c r="GP846" s="2115"/>
      <c r="GQ846" s="2115"/>
      <c r="GR846" s="2115"/>
      <c r="GS846" s="2115"/>
      <c r="GT846" s="2115"/>
      <c r="GU846" s="2115"/>
      <c r="GV846" s="2115"/>
      <c r="GW846" s="2115"/>
      <c r="GX846" s="2115"/>
      <c r="GY846" s="2115"/>
      <c r="GZ846" s="2115"/>
      <c r="HA846" s="2115"/>
      <c r="HB846" s="2115"/>
      <c r="HC846" s="2115"/>
      <c r="HD846" s="2115"/>
      <c r="HE846" s="2115"/>
      <c r="HF846" s="2115"/>
      <c r="HG846" s="2115"/>
      <c r="HH846" s="2115"/>
      <c r="HI846" s="2115"/>
      <c r="HJ846" s="2115"/>
      <c r="HK846" s="2115"/>
      <c r="HL846" s="2115"/>
      <c r="HM846" s="2115"/>
      <c r="HN846" s="2115"/>
      <c r="HO846" s="2115"/>
      <c r="HP846" s="2115"/>
      <c r="HQ846" s="2115"/>
      <c r="HR846" s="2115"/>
      <c r="HS846" s="2115"/>
      <c r="HT846" s="2115"/>
      <c r="HU846" s="2115"/>
      <c r="HV846" s="2115"/>
      <c r="HW846" s="2115"/>
      <c r="HX846" s="2115"/>
      <c r="HY846" s="2115"/>
      <c r="HZ846" s="2118"/>
      <c r="IA846" s="2118"/>
      <c r="IB846" s="2118"/>
      <c r="IC846" s="2118"/>
      <c r="ID846" s="2118"/>
      <c r="IE846" s="2118"/>
      <c r="IF846" s="2118"/>
      <c r="IG846" s="2118"/>
      <c r="IH846" s="2118"/>
      <c r="II846" s="2118"/>
      <c r="IJ846" s="2118"/>
      <c r="IK846" s="2118"/>
      <c r="IL846" s="2118"/>
      <c r="IM846" s="2118"/>
      <c r="IN846" s="2118"/>
      <c r="IO846" s="2118"/>
      <c r="IP846" s="2118"/>
      <c r="IQ846" s="2118"/>
      <c r="IR846" s="2118"/>
      <c r="IS846" s="2118"/>
      <c r="IT846" s="2118"/>
      <c r="IU846" s="2118"/>
      <c r="IV846" s="2118"/>
      <c r="IW846" s="2118"/>
      <c r="IX846" s="2118"/>
      <c r="IY846" s="2118"/>
      <c r="IZ846" s="2118"/>
      <c r="JA846" s="2118"/>
      <c r="JB846" s="2118"/>
      <c r="JC846" s="2118"/>
      <c r="JD846" s="2118"/>
      <c r="JE846" s="2118"/>
      <c r="JF846" s="2118"/>
      <c r="JG846" s="2118"/>
      <c r="JH846" s="2118"/>
      <c r="JI846" s="2118"/>
      <c r="JJ846" s="2118"/>
      <c r="JK846" s="2118"/>
      <c r="JL846" s="2118"/>
      <c r="JM846" s="2118"/>
      <c r="JN846" s="2118"/>
      <c r="JO846" s="2118"/>
      <c r="JP846" s="2118"/>
      <c r="JQ846" s="2118"/>
      <c r="JR846" s="2118"/>
      <c r="JS846" s="2118"/>
      <c r="JT846" s="2118"/>
      <c r="JU846" s="2118"/>
      <c r="JV846" s="2118"/>
      <c r="JW846" s="2118"/>
      <c r="JX846" s="2118"/>
      <c r="JY846" s="2118"/>
      <c r="JZ846" s="2118"/>
      <c r="KA846" s="2118"/>
      <c r="KB846" s="2118"/>
      <c r="KC846" s="2118"/>
      <c r="KD846" s="2118"/>
      <c r="KE846" s="2118"/>
      <c r="KF846" s="2118"/>
      <c r="KG846" s="2118"/>
      <c r="KH846" s="2118"/>
      <c r="KI846" s="2118"/>
      <c r="KJ846" s="2118"/>
      <c r="KK846" s="2118"/>
      <c r="KL846" s="2118"/>
      <c r="KM846" s="1719"/>
      <c r="KN846" s="1719"/>
      <c r="KO846" s="1719"/>
      <c r="KP846" s="1719"/>
      <c r="KQ846" s="1719"/>
      <c r="KR846" s="1719"/>
      <c r="KS846" s="1719"/>
      <c r="KT846" s="1719"/>
      <c r="KU846" s="1719"/>
      <c r="KV846" s="1719"/>
      <c r="KW846" s="1719"/>
      <c r="KX846" s="1719"/>
      <c r="KY846" s="1719"/>
      <c r="KZ846" s="1719"/>
      <c r="LA846" s="1719"/>
      <c r="LB846" s="1719"/>
      <c r="LC846" s="1719"/>
      <c r="LD846" s="1719"/>
      <c r="LE846" s="1719"/>
      <c r="LF846" s="1719"/>
      <c r="LG846" s="2115"/>
      <c r="LH846" s="2115"/>
      <c r="LI846" s="2115"/>
      <c r="LJ846" s="2115"/>
      <c r="LK846" s="2115"/>
      <c r="LL846" s="2115"/>
      <c r="LM846" s="2115"/>
      <c r="LN846" s="2115"/>
      <c r="LO846" s="2115"/>
      <c r="LP846" s="2115"/>
      <c r="LQ846" s="2115"/>
      <c r="LR846" s="2115"/>
      <c r="LS846" s="2115"/>
      <c r="LT846" s="2115"/>
      <c r="LU846" s="2115"/>
      <c r="LV846" s="2115"/>
      <c r="LW846" s="2115"/>
      <c r="LX846" s="2115"/>
      <c r="LY846" s="2115"/>
      <c r="LZ846" s="2115"/>
      <c r="MA846" s="2115"/>
      <c r="MB846" s="2115"/>
      <c r="MC846" s="2115"/>
      <c r="MD846" s="2115"/>
      <c r="ME846" s="2115"/>
      <c r="MF846" s="2115"/>
      <c r="MG846" s="2115"/>
      <c r="MH846" s="2115"/>
      <c r="MI846" s="2115"/>
      <c r="MJ846" s="2115"/>
      <c r="MK846" s="1719" t="s">
        <v>3159</v>
      </c>
      <c r="ML846" s="1719" t="s">
        <v>3160</v>
      </c>
      <c r="MM846" s="1719" t="s">
        <v>3161</v>
      </c>
      <c r="MN846" s="1719" t="s">
        <v>3162</v>
      </c>
      <c r="MO846" s="1719" t="s">
        <v>3163</v>
      </c>
      <c r="MP846" s="2115" t="s">
        <v>6585</v>
      </c>
      <c r="MQ846" s="2115" t="s">
        <v>6586</v>
      </c>
      <c r="MR846" s="2115" t="s">
        <v>6587</v>
      </c>
      <c r="MS846" s="2115" t="s">
        <v>6588</v>
      </c>
      <c r="MT846" s="2115" t="s">
        <v>6589</v>
      </c>
      <c r="NP846" s="2114"/>
    </row>
    <row r="847" spans="1:380" s="1818" customFormat="1" ht="12.6" customHeight="1">
      <c r="A847" s="2119"/>
      <c r="B847" s="2124" t="s">
        <v>6309</v>
      </c>
      <c r="G847" s="2111" t="str">
        <f>'Part VI-Revenues &amp; Expenses'!G7</f>
        <v>No</v>
      </c>
      <c r="I847" s="1719" t="s">
        <v>4277</v>
      </c>
      <c r="J847" s="2118" t="s">
        <v>765</v>
      </c>
      <c r="K847" s="2118" t="s">
        <v>3306</v>
      </c>
      <c r="L847" s="2121"/>
      <c r="M847" s="2121"/>
      <c r="N847" s="2121"/>
      <c r="O847" s="2125" t="s">
        <v>6285</v>
      </c>
      <c r="P847" s="2126" t="str">
        <f>'Part VI-Revenues &amp; Expenses'!P7</f>
        <v>2021</v>
      </c>
      <c r="Q847" s="2115"/>
      <c r="R847" s="1818" t="s">
        <v>2546</v>
      </c>
      <c r="X847" s="2115"/>
      <c r="Y847" s="2115"/>
      <c r="Z847" s="2115"/>
      <c r="AA847" s="2115"/>
      <c r="AB847" s="2115"/>
      <c r="AC847" s="2115"/>
      <c r="AD847" s="2115"/>
      <c r="AE847" s="2115"/>
      <c r="AF847" s="2115"/>
      <c r="AG847" s="2115"/>
      <c r="AH847" s="2115"/>
      <c r="AI847" s="2115"/>
      <c r="AJ847" s="2115"/>
      <c r="AK847" s="2115"/>
      <c r="AL847" s="2115"/>
      <c r="AM847" s="2115"/>
      <c r="AN847" s="2115"/>
      <c r="AO847" s="2115"/>
      <c r="AP847" s="2115"/>
      <c r="AQ847" s="2115"/>
      <c r="AR847" s="2115"/>
      <c r="AS847" s="2115"/>
      <c r="AT847" s="2115"/>
      <c r="AU847" s="2115"/>
      <c r="AV847" s="2115"/>
      <c r="AW847" s="2115"/>
      <c r="AX847" s="2115"/>
      <c r="AY847" s="2115"/>
      <c r="AZ847" s="2115"/>
      <c r="BA847" s="2115"/>
      <c r="BB847" s="2115"/>
      <c r="BC847" s="2115"/>
      <c r="BD847" s="2115"/>
      <c r="BE847" s="2115"/>
      <c r="BF847" s="2115"/>
      <c r="BG847" s="2115"/>
      <c r="BH847" s="2115"/>
      <c r="BI847" s="2115"/>
      <c r="BJ847" s="2115"/>
      <c r="BK847" s="2115"/>
      <c r="BL847" s="2115"/>
      <c r="BM847" s="2115"/>
      <c r="BN847" s="2115"/>
      <c r="BO847" s="2115"/>
      <c r="BP847" s="2115"/>
      <c r="BQ847" s="2115"/>
      <c r="BR847" s="2115"/>
      <c r="BS847" s="2115"/>
      <c r="BT847" s="2115"/>
      <c r="BU847" s="2115"/>
      <c r="BV847" s="2115"/>
      <c r="BW847" s="2115"/>
      <c r="BX847" s="2115"/>
      <c r="BY847" s="2115"/>
      <c r="BZ847" s="2115"/>
      <c r="CA847" s="2115"/>
      <c r="CB847" s="2115"/>
      <c r="CC847" s="2115"/>
      <c r="CD847" s="2115"/>
      <c r="CE847" s="2115"/>
      <c r="CF847" s="2115"/>
      <c r="CG847" s="2115"/>
      <c r="CH847" s="2115"/>
      <c r="CI847" s="2115"/>
      <c r="CJ847" s="2115"/>
      <c r="CK847" s="2115"/>
      <c r="CL847" s="2115"/>
      <c r="CM847" s="2115"/>
      <c r="CN847" s="2115"/>
      <c r="CO847" s="2115"/>
      <c r="CP847" s="2115"/>
      <c r="CQ847" s="2115"/>
      <c r="CR847" s="2115"/>
      <c r="CS847" s="2115"/>
      <c r="CT847" s="2115"/>
      <c r="CU847" s="2115"/>
      <c r="CV847" s="2115"/>
      <c r="CW847" s="2115"/>
      <c r="CX847" s="2115"/>
      <c r="CY847" s="2115"/>
      <c r="CZ847" s="2115"/>
      <c r="DA847" s="2115"/>
      <c r="DB847" s="2115"/>
      <c r="DC847" s="2115"/>
      <c r="DD847" s="2115"/>
      <c r="DE847" s="2115"/>
      <c r="DF847" s="2115"/>
      <c r="DG847" s="2115"/>
      <c r="DH847" s="2115"/>
      <c r="DI847" s="2115"/>
      <c r="DJ847" s="2115"/>
      <c r="DK847" s="2115"/>
      <c r="DL847" s="2115"/>
      <c r="DM847" s="2115"/>
      <c r="DN847" s="2115"/>
      <c r="DO847" s="2115"/>
      <c r="DP847" s="2115"/>
      <c r="DQ847" s="2115"/>
      <c r="DR847" s="2115"/>
      <c r="DS847" s="2115"/>
      <c r="DT847" s="2115"/>
      <c r="DU847" s="2115"/>
      <c r="DV847" s="2115"/>
      <c r="DW847" s="2115"/>
      <c r="DX847" s="2115"/>
      <c r="DY847" s="2115"/>
      <c r="DZ847" s="2115"/>
      <c r="EA847" s="2115"/>
      <c r="EB847" s="2115"/>
      <c r="EC847" s="2115"/>
      <c r="ED847" s="2115"/>
      <c r="EE847" s="2115"/>
      <c r="EF847" s="2115"/>
      <c r="EG847" s="2115"/>
      <c r="EH847" s="2115"/>
      <c r="EI847" s="2115"/>
      <c r="EJ847" s="2115"/>
      <c r="EK847" s="2115"/>
      <c r="EL847" s="2115"/>
      <c r="EM847" s="2115"/>
      <c r="EN847" s="2115"/>
      <c r="EO847" s="2115"/>
      <c r="EP847" s="2115"/>
      <c r="EQ847" s="2115"/>
      <c r="ER847" s="2115"/>
      <c r="ES847" s="2115"/>
      <c r="ET847" s="2115"/>
      <c r="EU847" s="2115"/>
      <c r="EV847" s="2115"/>
      <c r="EW847" s="2115"/>
      <c r="EX847" s="2115"/>
      <c r="EY847" s="2115"/>
      <c r="EZ847" s="2115"/>
      <c r="FA847" s="2115"/>
      <c r="FB847" s="2115"/>
      <c r="FC847" s="2115"/>
      <c r="FD847" s="2115"/>
      <c r="FE847" s="2115"/>
      <c r="FF847" s="2115"/>
      <c r="FG847" s="2115"/>
      <c r="FH847" s="2115"/>
      <c r="FI847" s="2115"/>
      <c r="FJ847" s="2115"/>
      <c r="FK847" s="2115"/>
      <c r="FL847" s="2115"/>
      <c r="FM847" s="2115"/>
      <c r="FN847" s="2115"/>
      <c r="FO847" s="2115"/>
      <c r="FP847" s="2115"/>
      <c r="FQ847" s="2115"/>
      <c r="FR847" s="2115"/>
      <c r="FS847" s="2115"/>
      <c r="FT847" s="2115"/>
      <c r="FU847" s="2115"/>
      <c r="FV847" s="2115"/>
      <c r="FW847" s="2115"/>
      <c r="FX847" s="2115"/>
      <c r="FY847" s="2115"/>
      <c r="FZ847" s="2115"/>
      <c r="GA847" s="2115"/>
      <c r="GB847" s="2115"/>
      <c r="GC847" s="2115"/>
      <c r="GD847" s="2115"/>
      <c r="GE847" s="2115"/>
      <c r="GF847" s="2115"/>
      <c r="GG847" s="2115"/>
      <c r="GH847" s="2115"/>
      <c r="GI847" s="2115"/>
      <c r="GJ847" s="2115"/>
      <c r="GK847" s="2115"/>
      <c r="GL847" s="2115"/>
      <c r="GM847" s="2115"/>
      <c r="GN847" s="2115"/>
      <c r="GO847" s="2115"/>
      <c r="GP847" s="2115"/>
      <c r="GQ847" s="2115"/>
      <c r="GR847" s="2115"/>
      <c r="GS847" s="2115"/>
      <c r="GT847" s="2115"/>
      <c r="GU847" s="2115"/>
      <c r="GV847" s="2115"/>
      <c r="GW847" s="2115"/>
      <c r="GX847" s="2115"/>
      <c r="GY847" s="2115"/>
      <c r="GZ847" s="2115"/>
      <c r="HA847" s="2115"/>
      <c r="HB847" s="2115"/>
      <c r="HC847" s="2115"/>
      <c r="HD847" s="2115"/>
      <c r="HE847" s="2115"/>
      <c r="HF847" s="2115"/>
      <c r="HG847" s="2115"/>
      <c r="HH847" s="2115"/>
      <c r="HI847" s="2115"/>
      <c r="HJ847" s="2115"/>
      <c r="HK847" s="2115"/>
      <c r="HL847" s="2115"/>
      <c r="HM847" s="2115"/>
      <c r="HN847" s="2115"/>
      <c r="HO847" s="2115"/>
      <c r="HP847" s="2115"/>
      <c r="HQ847" s="2115"/>
      <c r="HR847" s="2115"/>
      <c r="HS847" s="2115"/>
      <c r="HT847" s="2115"/>
      <c r="HU847" s="2115"/>
      <c r="HV847" s="2115"/>
      <c r="HW847" s="2115"/>
      <c r="HX847" s="2115"/>
      <c r="HY847" s="2115"/>
      <c r="HZ847" s="2118"/>
      <c r="IA847" s="2118"/>
      <c r="IB847" s="2118"/>
      <c r="IC847" s="2118"/>
      <c r="ID847" s="2118"/>
      <c r="IE847" s="2118"/>
      <c r="IF847" s="2118"/>
      <c r="IG847" s="2118"/>
      <c r="IH847" s="2118"/>
      <c r="II847" s="2118"/>
      <c r="IJ847" s="2118"/>
      <c r="IK847" s="2118"/>
      <c r="IL847" s="2118"/>
      <c r="IM847" s="2118"/>
      <c r="IN847" s="2118"/>
      <c r="IO847" s="2118"/>
      <c r="IP847" s="2118"/>
      <c r="IQ847" s="2118"/>
      <c r="IR847" s="2118"/>
      <c r="IS847" s="2118"/>
      <c r="IT847" s="2118"/>
      <c r="IU847" s="2118"/>
      <c r="IV847" s="2118"/>
      <c r="IW847" s="2118"/>
      <c r="IX847" s="2118"/>
      <c r="IY847" s="2118"/>
      <c r="IZ847" s="2118"/>
      <c r="JA847" s="2118"/>
      <c r="JB847" s="2118"/>
      <c r="JC847" s="2118"/>
      <c r="JD847" s="2118"/>
      <c r="JE847" s="2118"/>
      <c r="JF847" s="2118"/>
      <c r="JG847" s="2118"/>
      <c r="JH847" s="2118"/>
      <c r="JI847" s="2118"/>
      <c r="JJ847" s="2118"/>
      <c r="JK847" s="2118"/>
      <c r="JL847" s="2118"/>
      <c r="JM847" s="2118"/>
      <c r="JN847" s="2118"/>
      <c r="JO847" s="2118"/>
      <c r="JP847" s="2118"/>
      <c r="JQ847" s="2118"/>
      <c r="JR847" s="2118"/>
      <c r="JS847" s="2118"/>
      <c r="JT847" s="2118"/>
      <c r="JU847" s="2118"/>
      <c r="JV847" s="2118"/>
      <c r="JW847" s="2118"/>
      <c r="JX847" s="2118"/>
      <c r="JY847" s="2118"/>
      <c r="JZ847" s="2118"/>
      <c r="KA847" s="2118"/>
      <c r="KB847" s="2118"/>
      <c r="KC847" s="2118"/>
      <c r="KD847" s="2118"/>
      <c r="KE847" s="2118"/>
      <c r="KF847" s="2118"/>
      <c r="KG847" s="2118"/>
      <c r="KH847" s="2118"/>
      <c r="KI847" s="2118"/>
      <c r="KJ847" s="2118"/>
      <c r="KK847" s="2118"/>
      <c r="KL847" s="2118"/>
      <c r="KM847" s="1719"/>
      <c r="KN847" s="1719"/>
      <c r="KO847" s="1719"/>
      <c r="KP847" s="1719"/>
      <c r="KQ847" s="1719"/>
      <c r="KR847" s="1719"/>
      <c r="KS847" s="1719"/>
      <c r="KT847" s="1719"/>
      <c r="KU847" s="1719"/>
      <c r="KV847" s="1719"/>
      <c r="KW847" s="1719"/>
      <c r="KX847" s="1719"/>
      <c r="KY847" s="1719"/>
      <c r="KZ847" s="1719"/>
      <c r="LA847" s="1719"/>
      <c r="LB847" s="1719"/>
      <c r="LC847" s="1719"/>
      <c r="LD847" s="1719"/>
      <c r="LE847" s="1719"/>
      <c r="LF847" s="1719"/>
      <c r="LG847" s="2115"/>
      <c r="LH847" s="2115"/>
      <c r="LI847" s="2115"/>
      <c r="LJ847" s="2115"/>
      <c r="LK847" s="2115"/>
      <c r="LL847" s="2115"/>
      <c r="LM847" s="2115"/>
      <c r="LN847" s="2115"/>
      <c r="LO847" s="2115"/>
      <c r="LP847" s="2115"/>
      <c r="LQ847" s="2115"/>
      <c r="LR847" s="2115"/>
      <c r="LS847" s="2115"/>
      <c r="LT847" s="2115"/>
      <c r="LU847" s="2115"/>
      <c r="LV847" s="2115"/>
      <c r="LW847" s="2115"/>
      <c r="LX847" s="2115"/>
      <c r="LY847" s="2115"/>
      <c r="LZ847" s="2115"/>
      <c r="MA847" s="2115"/>
      <c r="MB847" s="2115"/>
      <c r="MC847" s="2115"/>
      <c r="MD847" s="2115"/>
      <c r="ME847" s="2115"/>
      <c r="MF847" s="2115"/>
      <c r="MG847" s="2115"/>
      <c r="MH847" s="2115"/>
      <c r="MI847" s="2115"/>
      <c r="MJ847" s="2115"/>
      <c r="MK847" s="1719"/>
      <c r="ML847" s="1719"/>
      <c r="MM847" s="1719"/>
      <c r="MN847" s="1719"/>
      <c r="MO847" s="1719"/>
      <c r="MP847" s="2115"/>
      <c r="MQ847" s="2115"/>
      <c r="MR847" s="2115"/>
      <c r="MS847" s="2115"/>
      <c r="MT847" s="2115"/>
      <c r="NP847" s="2114"/>
    </row>
    <row r="848" spans="1:380" s="1818" customFormat="1" ht="12.6" customHeight="1">
      <c r="A848" s="2119"/>
      <c r="B848" s="2118" t="s">
        <v>3916</v>
      </c>
      <c r="I848" s="1719"/>
      <c r="J848" s="2118" t="s">
        <v>766</v>
      </c>
      <c r="K848" s="2118" t="s">
        <v>3307</v>
      </c>
      <c r="N848" s="2127" t="s">
        <v>6807</v>
      </c>
      <c r="O848" s="1943" t="str">
        <f>'Part VI-Revenues &amp; Expenses'!O8</f>
        <v>HUDUser</v>
      </c>
      <c r="P848" s="1943"/>
      <c r="Q848" s="2115"/>
      <c r="S848" s="2109" t="s">
        <v>2543</v>
      </c>
      <c r="X848" s="2115"/>
      <c r="Y848" s="2115"/>
      <c r="Z848" s="2115"/>
      <c r="AA848" s="2115"/>
      <c r="AB848" s="2115"/>
      <c r="AC848" s="2115"/>
      <c r="AD848" s="2115"/>
      <c r="AE848" s="2115"/>
      <c r="AF848" s="2115"/>
      <c r="AG848" s="2115"/>
      <c r="AH848" s="2115"/>
      <c r="AI848" s="2115"/>
      <c r="AJ848" s="2115"/>
      <c r="AK848" s="2115"/>
      <c r="AL848" s="2115"/>
      <c r="AM848" s="2115"/>
      <c r="AN848" s="2115"/>
      <c r="AO848" s="2115"/>
      <c r="AP848" s="2115"/>
      <c r="AQ848" s="2115"/>
      <c r="AR848" s="2115"/>
      <c r="AS848" s="2115"/>
      <c r="AT848" s="2115"/>
      <c r="AU848" s="2115"/>
      <c r="AV848" s="2115"/>
      <c r="AW848" s="2115"/>
      <c r="AX848" s="2115"/>
      <c r="AY848" s="2115"/>
      <c r="AZ848" s="2115"/>
      <c r="BA848" s="2115"/>
      <c r="BB848" s="2115"/>
      <c r="BC848" s="2115"/>
      <c r="BD848" s="2115"/>
      <c r="BE848" s="2115"/>
      <c r="BF848" s="2115"/>
      <c r="BG848" s="2115"/>
      <c r="BH848" s="2115"/>
      <c r="BI848" s="2115"/>
      <c r="BJ848" s="2115"/>
      <c r="BK848" s="2115"/>
      <c r="BL848" s="2115"/>
      <c r="BM848" s="2115"/>
      <c r="BN848" s="2115"/>
      <c r="BO848" s="2115"/>
      <c r="BP848" s="2115"/>
      <c r="BQ848" s="2115"/>
      <c r="BR848" s="2115"/>
      <c r="BS848" s="2115"/>
      <c r="BT848" s="2115"/>
      <c r="BU848" s="2115"/>
      <c r="BV848" s="2115"/>
      <c r="BW848" s="2115"/>
      <c r="BX848" s="2115"/>
      <c r="BY848" s="2115"/>
      <c r="BZ848" s="2115"/>
      <c r="CA848" s="2115"/>
      <c r="CB848" s="2115"/>
      <c r="CC848" s="2115"/>
      <c r="CD848" s="2115"/>
      <c r="CE848" s="2115"/>
      <c r="CF848" s="2115"/>
      <c r="CG848" s="2115"/>
      <c r="CH848" s="2115"/>
      <c r="CI848" s="2115"/>
      <c r="CJ848" s="2115"/>
      <c r="CK848" s="2115"/>
      <c r="CL848" s="2115"/>
      <c r="CM848" s="2115"/>
      <c r="CN848" s="2115"/>
      <c r="CO848" s="2115"/>
      <c r="CP848" s="2115"/>
      <c r="CQ848" s="2115"/>
      <c r="CR848" s="2115"/>
      <c r="CS848" s="2115"/>
      <c r="CT848" s="2115"/>
      <c r="CU848" s="2115"/>
      <c r="CV848" s="2115"/>
      <c r="CW848" s="2115"/>
      <c r="CX848" s="2115"/>
      <c r="CY848" s="2115"/>
      <c r="CZ848" s="2115"/>
      <c r="DA848" s="2115"/>
      <c r="DB848" s="2115"/>
      <c r="DC848" s="2115"/>
      <c r="DD848" s="2115"/>
      <c r="DE848" s="2115"/>
      <c r="DF848" s="2115"/>
      <c r="DG848" s="2115"/>
      <c r="DH848" s="2115"/>
      <c r="DI848" s="2115"/>
      <c r="DJ848" s="2115"/>
      <c r="DK848" s="2115"/>
      <c r="DL848" s="2115"/>
      <c r="DM848" s="2115"/>
      <c r="DN848" s="2115"/>
      <c r="DO848" s="2115"/>
      <c r="DP848" s="2115"/>
      <c r="DQ848" s="2115"/>
      <c r="DR848" s="2115"/>
      <c r="DS848" s="2115"/>
      <c r="DT848" s="2115"/>
      <c r="DU848" s="2115"/>
      <c r="DV848" s="2115"/>
      <c r="DW848" s="2115"/>
      <c r="DX848" s="2115"/>
      <c r="DY848" s="2115"/>
      <c r="DZ848" s="2115"/>
      <c r="EA848" s="2115"/>
      <c r="EB848" s="2115"/>
      <c r="EC848" s="2115"/>
      <c r="ED848" s="2115"/>
      <c r="EE848" s="2115"/>
      <c r="EF848" s="2115"/>
      <c r="EG848" s="2115"/>
      <c r="EH848" s="2115"/>
      <c r="EI848" s="2115"/>
      <c r="EJ848" s="2115"/>
      <c r="EK848" s="2115"/>
      <c r="EL848" s="2115"/>
      <c r="EM848" s="2115"/>
      <c r="EN848" s="2115"/>
      <c r="EO848" s="2115"/>
      <c r="EP848" s="2115"/>
      <c r="EQ848" s="2115"/>
      <c r="ER848" s="2115"/>
      <c r="ES848" s="2115"/>
      <c r="ET848" s="2115"/>
      <c r="EU848" s="2115"/>
      <c r="EV848" s="2115"/>
      <c r="EW848" s="2115"/>
      <c r="EX848" s="2115"/>
      <c r="EY848" s="2115"/>
      <c r="EZ848" s="2115"/>
      <c r="FA848" s="2115"/>
      <c r="FB848" s="2115"/>
      <c r="FC848" s="2115"/>
      <c r="FD848" s="2115"/>
      <c r="FE848" s="2115"/>
      <c r="FF848" s="2115"/>
      <c r="FG848" s="2115"/>
      <c r="FH848" s="2115"/>
      <c r="FI848" s="2115"/>
      <c r="FJ848" s="2115"/>
      <c r="FK848" s="2115"/>
      <c r="FL848" s="2115"/>
      <c r="FM848" s="2115"/>
      <c r="FN848" s="2115"/>
      <c r="FO848" s="2115"/>
      <c r="FP848" s="2115"/>
      <c r="FQ848" s="2115"/>
      <c r="FR848" s="2115"/>
      <c r="FS848" s="2115"/>
      <c r="FT848" s="2115"/>
      <c r="FU848" s="2115"/>
      <c r="FV848" s="2115"/>
      <c r="FW848" s="2115"/>
      <c r="FX848" s="2115"/>
      <c r="FY848" s="2115"/>
      <c r="FZ848" s="2115"/>
      <c r="GA848" s="2115"/>
      <c r="GB848" s="2115"/>
      <c r="GC848" s="2115"/>
      <c r="GD848" s="2115"/>
      <c r="GE848" s="2115"/>
      <c r="GF848" s="2115"/>
      <c r="GG848" s="2115"/>
      <c r="GH848" s="2115"/>
      <c r="GI848" s="2115"/>
      <c r="GJ848" s="2115"/>
      <c r="GK848" s="2115"/>
      <c r="GL848" s="2115"/>
      <c r="GM848" s="2115"/>
      <c r="GN848" s="2115"/>
      <c r="GO848" s="2115"/>
      <c r="GP848" s="2115"/>
      <c r="GQ848" s="2115"/>
      <c r="GR848" s="2115"/>
      <c r="GS848" s="2115"/>
      <c r="GT848" s="2115"/>
      <c r="GU848" s="2115"/>
      <c r="GV848" s="2115"/>
      <c r="GW848" s="2115"/>
      <c r="GX848" s="2115"/>
      <c r="GY848" s="2115"/>
      <c r="GZ848" s="2115"/>
      <c r="HA848" s="2115"/>
      <c r="HB848" s="2115"/>
      <c r="HC848" s="2115"/>
      <c r="HD848" s="2115"/>
      <c r="HE848" s="2115"/>
      <c r="HF848" s="2115"/>
      <c r="HG848" s="2115"/>
      <c r="HH848" s="2115"/>
      <c r="HI848" s="2115"/>
      <c r="HJ848" s="2115"/>
      <c r="HK848" s="2115"/>
      <c r="HL848" s="2115"/>
      <c r="HM848" s="2115"/>
      <c r="HN848" s="2115"/>
      <c r="HO848" s="2115"/>
      <c r="HP848" s="2115"/>
      <c r="HQ848" s="2115"/>
      <c r="HR848" s="2115"/>
      <c r="HS848" s="2115"/>
      <c r="HT848" s="2115"/>
      <c r="HU848" s="2115"/>
      <c r="HV848" s="2115"/>
      <c r="HW848" s="2115"/>
      <c r="HX848" s="2115"/>
      <c r="HY848" s="2115"/>
      <c r="HZ848" s="2118"/>
      <c r="IA848" s="2118"/>
      <c r="IB848" s="2118"/>
      <c r="IC848" s="2118"/>
      <c r="ID848" s="2118"/>
      <c r="IE848" s="2118"/>
      <c r="IF848" s="2118"/>
      <c r="IG848" s="2118"/>
      <c r="IH848" s="2118"/>
      <c r="II848" s="2118"/>
      <c r="IJ848" s="2118"/>
      <c r="IK848" s="2118"/>
      <c r="IL848" s="2118"/>
      <c r="IM848" s="2118"/>
      <c r="IN848" s="2118"/>
      <c r="IO848" s="2118"/>
      <c r="IP848" s="2118"/>
      <c r="IQ848" s="2118"/>
      <c r="IR848" s="2118"/>
      <c r="IS848" s="2118"/>
      <c r="IT848" s="2118"/>
      <c r="IU848" s="2118"/>
      <c r="IV848" s="2118"/>
      <c r="IW848" s="2118"/>
      <c r="IX848" s="2118"/>
      <c r="IY848" s="1851" t="s">
        <v>539</v>
      </c>
      <c r="IZ848" s="1851" t="s">
        <v>2328</v>
      </c>
      <c r="JA848" s="1851" t="s">
        <v>2329</v>
      </c>
      <c r="JB848" s="1851" t="s">
        <v>2330</v>
      </c>
      <c r="JC848" s="1851" t="s">
        <v>2331</v>
      </c>
      <c r="JD848" s="1851" t="s">
        <v>539</v>
      </c>
      <c r="JE848" s="1851" t="s">
        <v>2328</v>
      </c>
      <c r="JF848" s="1851" t="s">
        <v>2329</v>
      </c>
      <c r="JG848" s="1851" t="s">
        <v>2330</v>
      </c>
      <c r="JH848" s="1851" t="s">
        <v>2331</v>
      </c>
      <c r="JI848" s="1851" t="s">
        <v>539</v>
      </c>
      <c r="JJ848" s="1851" t="s">
        <v>2328</v>
      </c>
      <c r="JK848" s="1851" t="s">
        <v>2329</v>
      </c>
      <c r="JL848" s="1851" t="s">
        <v>2330</v>
      </c>
      <c r="JM848" s="1851" t="s">
        <v>2331</v>
      </c>
      <c r="JN848" s="1851" t="s">
        <v>539</v>
      </c>
      <c r="JO848" s="1851" t="s">
        <v>2328</v>
      </c>
      <c r="JP848" s="1851" t="s">
        <v>2329</v>
      </c>
      <c r="JQ848" s="1851" t="s">
        <v>2330</v>
      </c>
      <c r="JR848" s="1851" t="s">
        <v>2331</v>
      </c>
      <c r="JS848" s="1851" t="s">
        <v>539</v>
      </c>
      <c r="JT848" s="1851" t="s">
        <v>2328</v>
      </c>
      <c r="JU848" s="1851" t="s">
        <v>2329</v>
      </c>
      <c r="JV848" s="1851" t="s">
        <v>2330</v>
      </c>
      <c r="JW848" s="1851" t="s">
        <v>2331</v>
      </c>
      <c r="JX848" s="1851" t="s">
        <v>539</v>
      </c>
      <c r="JY848" s="1851" t="s">
        <v>2328</v>
      </c>
      <c r="JZ848" s="1851" t="s">
        <v>2329</v>
      </c>
      <c r="KA848" s="1851" t="s">
        <v>2330</v>
      </c>
      <c r="KB848" s="1851" t="s">
        <v>2331</v>
      </c>
      <c r="KC848" s="1851" t="s">
        <v>539</v>
      </c>
      <c r="KD848" s="1851" t="s">
        <v>2328</v>
      </c>
      <c r="KE848" s="1851" t="s">
        <v>2329</v>
      </c>
      <c r="KF848" s="1851" t="s">
        <v>2330</v>
      </c>
      <c r="KG848" s="1851" t="s">
        <v>2331</v>
      </c>
      <c r="KH848" s="1851" t="s">
        <v>539</v>
      </c>
      <c r="KI848" s="1851" t="s">
        <v>2328</v>
      </c>
      <c r="KJ848" s="1851" t="s">
        <v>2329</v>
      </c>
      <c r="KK848" s="1851" t="s">
        <v>2330</v>
      </c>
      <c r="KL848" s="1851" t="s">
        <v>2331</v>
      </c>
      <c r="KM848" s="1851" t="s">
        <v>539</v>
      </c>
      <c r="KN848" s="1851" t="s">
        <v>2328</v>
      </c>
      <c r="KO848" s="1851" t="s">
        <v>2329</v>
      </c>
      <c r="KP848" s="1851" t="s">
        <v>2330</v>
      </c>
      <c r="KQ848" s="1851" t="s">
        <v>2331</v>
      </c>
      <c r="KR848" s="1851" t="s">
        <v>539</v>
      </c>
      <c r="KS848" s="1851" t="s">
        <v>2328</v>
      </c>
      <c r="KT848" s="1851" t="s">
        <v>2329</v>
      </c>
      <c r="KU848" s="1851" t="s">
        <v>2330</v>
      </c>
      <c r="KV848" s="1851" t="s">
        <v>2331</v>
      </c>
      <c r="KW848" s="1851" t="s">
        <v>539</v>
      </c>
      <c r="KX848" s="1851" t="s">
        <v>2328</v>
      </c>
      <c r="KY848" s="1851" t="s">
        <v>2329</v>
      </c>
      <c r="KZ848" s="1851" t="s">
        <v>2330</v>
      </c>
      <c r="LA848" s="1851" t="s">
        <v>2331</v>
      </c>
      <c r="LB848" s="1851" t="s">
        <v>539</v>
      </c>
      <c r="LC848" s="1851" t="s">
        <v>2328</v>
      </c>
      <c r="LD848" s="1851" t="s">
        <v>2329</v>
      </c>
      <c r="LE848" s="1851" t="s">
        <v>2330</v>
      </c>
      <c r="LF848" s="1851" t="s">
        <v>2331</v>
      </c>
      <c r="LG848" s="2115"/>
      <c r="LH848" s="2115"/>
      <c r="LI848" s="2115"/>
      <c r="LJ848" s="2115"/>
      <c r="LK848" s="2115"/>
      <c r="LL848" s="2115"/>
      <c r="LM848" s="2115"/>
      <c r="LN848" s="2115"/>
      <c r="LO848" s="2115"/>
      <c r="LP848" s="2115"/>
      <c r="LQ848" s="2115"/>
      <c r="LR848" s="2115"/>
      <c r="LS848" s="2115"/>
      <c r="LT848" s="2115"/>
      <c r="LU848" s="2115"/>
      <c r="LV848" s="2115"/>
      <c r="LW848" s="2115"/>
      <c r="LX848" s="2115"/>
      <c r="LY848" s="2115"/>
      <c r="LZ848" s="2115"/>
      <c r="MA848" s="2115"/>
      <c r="MB848" s="2115"/>
      <c r="MC848" s="2115"/>
      <c r="MD848" s="2115"/>
      <c r="ME848" s="2115"/>
      <c r="MF848" s="2115"/>
      <c r="MG848" s="2115"/>
      <c r="MH848" s="2115"/>
      <c r="MI848" s="2115"/>
      <c r="MJ848" s="2115"/>
      <c r="MK848" s="1719"/>
      <c r="ML848" s="1719"/>
      <c r="MM848" s="1719"/>
      <c r="MN848" s="1719"/>
      <c r="MO848" s="1719"/>
      <c r="MP848" s="2115"/>
      <c r="MQ848" s="2115"/>
      <c r="MR848" s="2115"/>
      <c r="MS848" s="2115"/>
      <c r="MT848" s="2115"/>
      <c r="NP848" s="2114"/>
    </row>
    <row r="849" spans="1:380" s="2115" customFormat="1" ht="11.25" customHeight="1">
      <c r="A849" s="2119"/>
      <c r="B849" s="2118" t="s">
        <v>3917</v>
      </c>
      <c r="C849" s="2118" t="s">
        <v>164</v>
      </c>
      <c r="D849" s="2118" t="s">
        <v>519</v>
      </c>
      <c r="E849" s="2118" t="s">
        <v>1417</v>
      </c>
      <c r="F849" s="2118" t="s">
        <v>1417</v>
      </c>
      <c r="G849" s="1719" t="s">
        <v>6305</v>
      </c>
      <c r="H849" s="1851" t="s">
        <v>3440</v>
      </c>
      <c r="I849" s="1719"/>
      <c r="J849" s="2128" t="s">
        <v>6296</v>
      </c>
      <c r="K849" s="2118" t="s">
        <v>7141</v>
      </c>
      <c r="L849" s="1719" t="s">
        <v>138</v>
      </c>
      <c r="M849" s="1719"/>
      <c r="N849" s="2118" t="s">
        <v>2261</v>
      </c>
      <c r="O849" s="2118" t="s">
        <v>6810</v>
      </c>
      <c r="P849" s="2115" t="s">
        <v>7142</v>
      </c>
      <c r="R849" s="2118" t="s">
        <v>2542</v>
      </c>
      <c r="S849" s="2118" t="s">
        <v>2544</v>
      </c>
      <c r="T849" s="2118"/>
      <c r="HZ849" s="2115" t="s">
        <v>1405</v>
      </c>
      <c r="IA849" s="1851" t="s">
        <v>2328</v>
      </c>
      <c r="IB849" s="1851" t="s">
        <v>2329</v>
      </c>
      <c r="IC849" s="1851" t="s">
        <v>2330</v>
      </c>
      <c r="ID849" s="1851" t="s">
        <v>2331</v>
      </c>
      <c r="IE849" s="2115" t="s">
        <v>2382</v>
      </c>
      <c r="IF849" s="2115" t="s">
        <v>2382</v>
      </c>
      <c r="IG849" s="2115" t="s">
        <v>2382</v>
      </c>
      <c r="IH849" s="2115" t="s">
        <v>2382</v>
      </c>
      <c r="II849" s="2115" t="s">
        <v>2382</v>
      </c>
      <c r="IJ849" s="2115" t="s">
        <v>3119</v>
      </c>
      <c r="IK849" s="2115" t="s">
        <v>3119</v>
      </c>
      <c r="IL849" s="2115" t="s">
        <v>3119</v>
      </c>
      <c r="IM849" s="2115" t="s">
        <v>3119</v>
      </c>
      <c r="IN849" s="2115" t="s">
        <v>3119</v>
      </c>
      <c r="IO849" s="1851" t="s">
        <v>539</v>
      </c>
      <c r="IP849" s="1851" t="s">
        <v>2328</v>
      </c>
      <c r="IQ849" s="1851" t="s">
        <v>2329</v>
      </c>
      <c r="IR849" s="1851" t="s">
        <v>2330</v>
      </c>
      <c r="IS849" s="1851" t="s">
        <v>2331</v>
      </c>
      <c r="IT849" s="1851" t="s">
        <v>539</v>
      </c>
      <c r="IU849" s="1851" t="s">
        <v>2328</v>
      </c>
      <c r="IV849" s="1851" t="s">
        <v>2329</v>
      </c>
      <c r="IW849" s="1851" t="s">
        <v>2330</v>
      </c>
      <c r="IX849" s="1851" t="s">
        <v>2331</v>
      </c>
      <c r="IY849" s="2115" t="s">
        <v>6590</v>
      </c>
      <c r="IZ849" s="2115" t="s">
        <v>6590</v>
      </c>
      <c r="JA849" s="2115" t="s">
        <v>6590</v>
      </c>
      <c r="JB849" s="2115" t="s">
        <v>6590</v>
      </c>
      <c r="JC849" s="2115" t="s">
        <v>6590</v>
      </c>
      <c r="JD849" s="2115" t="s">
        <v>6591</v>
      </c>
      <c r="JE849" s="2115" t="s">
        <v>6591</v>
      </c>
      <c r="JF849" s="2115" t="s">
        <v>6591</v>
      </c>
      <c r="JG849" s="2115" t="s">
        <v>6591</v>
      </c>
      <c r="JH849" s="2115" t="s">
        <v>6591</v>
      </c>
      <c r="JI849" s="2115" t="s">
        <v>6593</v>
      </c>
      <c r="JJ849" s="2115" t="s">
        <v>6593</v>
      </c>
      <c r="JK849" s="2115" t="s">
        <v>6593</v>
      </c>
      <c r="JL849" s="2115" t="s">
        <v>6593</v>
      </c>
      <c r="JM849" s="2115" t="s">
        <v>6593</v>
      </c>
      <c r="JN849" s="2115" t="s">
        <v>6594</v>
      </c>
      <c r="JO849" s="2115" t="s">
        <v>6594</v>
      </c>
      <c r="JP849" s="2115" t="s">
        <v>6594</v>
      </c>
      <c r="JQ849" s="2115" t="s">
        <v>6594</v>
      </c>
      <c r="JR849" s="2115" t="s">
        <v>6594</v>
      </c>
      <c r="JS849" s="2115" t="s">
        <v>6595</v>
      </c>
      <c r="JT849" s="2115" t="s">
        <v>6595</v>
      </c>
      <c r="JU849" s="2115" t="s">
        <v>6595</v>
      </c>
      <c r="JV849" s="2115" t="s">
        <v>6595</v>
      </c>
      <c r="JW849" s="2115" t="s">
        <v>6595</v>
      </c>
      <c r="JX849" s="2115" t="s">
        <v>6811</v>
      </c>
      <c r="JY849" s="2115" t="s">
        <v>6811</v>
      </c>
      <c r="JZ849" s="2115" t="s">
        <v>6811</v>
      </c>
      <c r="KA849" s="2115" t="s">
        <v>6811</v>
      </c>
      <c r="KB849" s="2115" t="s">
        <v>6811</v>
      </c>
      <c r="KC849" s="2115" t="s">
        <v>7071</v>
      </c>
      <c r="KD849" s="2115" t="s">
        <v>7071</v>
      </c>
      <c r="KE849" s="2115" t="s">
        <v>7071</v>
      </c>
      <c r="KF849" s="2115" t="s">
        <v>7071</v>
      </c>
      <c r="KG849" s="2115" t="s">
        <v>7071</v>
      </c>
      <c r="KH849" s="2115" t="s">
        <v>7072</v>
      </c>
      <c r="KI849" s="2115" t="s">
        <v>7072</v>
      </c>
      <c r="KJ849" s="2115" t="s">
        <v>7072</v>
      </c>
      <c r="KK849" s="2115" t="s">
        <v>7072</v>
      </c>
      <c r="KL849" s="2115" t="s">
        <v>7072</v>
      </c>
      <c r="KM849" s="2115" t="s">
        <v>6597</v>
      </c>
      <c r="KN849" s="2115" t="s">
        <v>6597</v>
      </c>
      <c r="KO849" s="2115" t="s">
        <v>6597</v>
      </c>
      <c r="KP849" s="2115" t="s">
        <v>6597</v>
      </c>
      <c r="KQ849" s="2115" t="s">
        <v>6597</v>
      </c>
      <c r="KR849" s="2115" t="s">
        <v>6812</v>
      </c>
      <c r="KS849" s="2115" t="s">
        <v>6812</v>
      </c>
      <c r="KT849" s="2115" t="s">
        <v>6812</v>
      </c>
      <c r="KU849" s="2115" t="s">
        <v>6812</v>
      </c>
      <c r="KV849" s="2115" t="s">
        <v>6812</v>
      </c>
      <c r="KW849" s="2115" t="s">
        <v>7073</v>
      </c>
      <c r="KX849" s="2115" t="s">
        <v>7073</v>
      </c>
      <c r="KY849" s="2115" t="s">
        <v>7073</v>
      </c>
      <c r="KZ849" s="2115" t="s">
        <v>7073</v>
      </c>
      <c r="LA849" s="2115" t="s">
        <v>7073</v>
      </c>
      <c r="LB849" s="2115" t="s">
        <v>7074</v>
      </c>
      <c r="LC849" s="2115" t="s">
        <v>7074</v>
      </c>
      <c r="LD849" s="2115" t="s">
        <v>7074</v>
      </c>
      <c r="LE849" s="2115" t="s">
        <v>7074</v>
      </c>
      <c r="LF849" s="2115" t="s">
        <v>7074</v>
      </c>
      <c r="MK849" s="1719"/>
      <c r="ML849" s="1719"/>
      <c r="MM849" s="1719"/>
      <c r="MN849" s="1719"/>
      <c r="MO849" s="1719"/>
      <c r="NP849" s="1927"/>
    </row>
    <row r="850" spans="1:380" s="2115" customFormat="1" ht="11.25" customHeight="1">
      <c r="A850" s="2119"/>
      <c r="B850" s="2129" t="s">
        <v>4125</v>
      </c>
      <c r="C850" s="2118" t="s">
        <v>163</v>
      </c>
      <c r="D850" s="2118" t="s">
        <v>165</v>
      </c>
      <c r="E850" s="2118" t="s">
        <v>1418</v>
      </c>
      <c r="F850" s="2118" t="s">
        <v>1231</v>
      </c>
      <c r="G850" s="1719"/>
      <c r="H850" s="2118" t="s">
        <v>6306</v>
      </c>
      <c r="I850" s="1719"/>
      <c r="J850" s="2128"/>
      <c r="K850" s="2130" t="s">
        <v>338</v>
      </c>
      <c r="L850" s="2118" t="s">
        <v>1469</v>
      </c>
      <c r="M850" s="2118" t="s">
        <v>513</v>
      </c>
      <c r="N850" s="2118" t="s">
        <v>1417</v>
      </c>
      <c r="O850" s="2118" t="s">
        <v>6827</v>
      </c>
      <c r="R850" s="2118" t="s">
        <v>1419</v>
      </c>
      <c r="S850" s="2118" t="s">
        <v>2545</v>
      </c>
      <c r="T850" s="1853" t="s">
        <v>1759</v>
      </c>
      <c r="W850" s="1853"/>
      <c r="IA850" s="1851" t="s">
        <v>2381</v>
      </c>
      <c r="IB850" s="1851" t="s">
        <v>2381</v>
      </c>
      <c r="IC850" s="1851" t="s">
        <v>2381</v>
      </c>
      <c r="ID850" s="1851" t="s">
        <v>2381</v>
      </c>
      <c r="IO850" s="1851" t="s">
        <v>2383</v>
      </c>
      <c r="IP850" s="1851" t="s">
        <v>2383</v>
      </c>
      <c r="IQ850" s="1851" t="s">
        <v>2383</v>
      </c>
      <c r="IR850" s="1851" t="s">
        <v>2383</v>
      </c>
      <c r="IS850" s="1851" t="s">
        <v>2383</v>
      </c>
      <c r="IT850" s="1851" t="s">
        <v>3120</v>
      </c>
      <c r="IU850" s="1851" t="s">
        <v>3120</v>
      </c>
      <c r="IV850" s="1851" t="s">
        <v>3120</v>
      </c>
      <c r="IW850" s="1851" t="s">
        <v>3120</v>
      </c>
      <c r="IX850" s="1851" t="s">
        <v>3120</v>
      </c>
      <c r="MK850" s="1719"/>
      <c r="ML850" s="1719"/>
      <c r="MM850" s="1719"/>
      <c r="MN850" s="1719"/>
      <c r="MO850" s="1719"/>
      <c r="NP850" s="1927"/>
    </row>
    <row r="851" spans="1:380" s="1853" customFormat="1" ht="13.9" customHeight="1">
      <c r="A851" s="2109" t="str">
        <f>IF(AND(E851&gt;0,OR(B851="",C851="",D851="",F851="",G851="", H851="",I851="",N851="",O851="",P851="",Q851="")),1,"")</f>
        <v/>
      </c>
      <c r="B851" s="2131" t="str">
        <f>'Part VI-Revenues &amp; Expenses'!B11</f>
        <v>N/A-CS</v>
      </c>
      <c r="C851" s="2132">
        <f>'Part VI-Revenues &amp; Expenses'!C11</f>
        <v>0</v>
      </c>
      <c r="D851" s="2133">
        <f>'Part VI-Revenues &amp; Expenses'!D11</f>
        <v>0</v>
      </c>
      <c r="E851" s="2134">
        <f>'Part VI-Revenues &amp; Expenses'!E11</f>
        <v>0</v>
      </c>
      <c r="F851" s="2134">
        <f>'Part VI-Revenues &amp; Expenses'!F11</f>
        <v>0</v>
      </c>
      <c r="G851" s="2134">
        <f>'Part VI-Revenues &amp; Expenses'!G11</f>
        <v>0</v>
      </c>
      <c r="H851" s="2134">
        <f>'Part VI-Revenues &amp; Expenses'!H11</f>
        <v>0</v>
      </c>
      <c r="I851" s="2134">
        <f>'Part VI-Revenues &amp; Expenses'!I11</f>
        <v>0</v>
      </c>
      <c r="J851" s="2134">
        <f>'Part VI-Revenues &amp; Expenses'!J11</f>
        <v>0</v>
      </c>
      <c r="K851" s="2135">
        <f>'Part VI-Revenues &amp; Expenses'!K11</f>
        <v>0</v>
      </c>
      <c r="L851" s="2136">
        <f t="shared" ref="L851:L888" si="0">MAX(0,H851-I851-J851)</f>
        <v>0</v>
      </c>
      <c r="M851" s="2136">
        <f t="shared" ref="M851:M888" si="1">MAX(0,E851*L851)</f>
        <v>0</v>
      </c>
      <c r="N851" s="1917">
        <f>'Part VI-Revenues &amp; Expenses'!N11</f>
        <v>0</v>
      </c>
      <c r="O851" s="2137">
        <f>'Part VI-Revenues &amp; Expenses'!O11</f>
        <v>0</v>
      </c>
      <c r="P851" s="1917">
        <f>'Part VI-Revenues &amp; Expenses'!P11</f>
        <v>0</v>
      </c>
      <c r="Q851" s="2138">
        <f>'Part VI-Revenues &amp; Expenses'!Q11</f>
        <v>0</v>
      </c>
      <c r="R851" s="2139"/>
      <c r="S851" s="2140"/>
      <c r="T851" s="2044"/>
      <c r="U851" s="2044"/>
      <c r="V851" s="2044"/>
      <c r="W851" s="2044"/>
      <c r="X851" s="1853" t="str">
        <f t="shared" ref="X851:X888" si="2">IF(AND(C851="Efficiency",B851=80,NOT(N851="Common Space")),E851,"")</f>
        <v/>
      </c>
      <c r="Y851" s="1853" t="str">
        <f t="shared" ref="Y851:Y888" si="3">IF(AND(C851=1,B851=80,NOT(N851="Common Space")),E851,"")</f>
        <v/>
      </c>
      <c r="Z851" s="1853" t="str">
        <f t="shared" ref="Z851:Z888" si="4">IF(AND(C851=2,B851=80,NOT(N851="Common Space")),E851,"")</f>
        <v/>
      </c>
      <c r="AA851" s="1853" t="str">
        <f t="shared" ref="AA851:AA888" si="5">IF(AND(C851=3,B851=80,NOT(N851="Common Space")),E851,"")</f>
        <v/>
      </c>
      <c r="AB851" s="1853" t="str">
        <f t="shared" ref="AB851:AB888" si="6">IF(AND(C851=4,B851=80,NOT(N851="Common Space")),E851,"")</f>
        <v/>
      </c>
      <c r="AC851" s="1853" t="str">
        <f t="shared" ref="AC851:AC888" si="7">IF(AND(C851="Efficiency",B851=70,NOT(N851="Common Space")),E851,"")</f>
        <v/>
      </c>
      <c r="AD851" s="1853" t="str">
        <f t="shared" ref="AD851:AD888" si="8">IF(AND(C851=1,B851=70,NOT(N851="Common Space")),E851,"")</f>
        <v/>
      </c>
      <c r="AE851" s="1853" t="str">
        <f t="shared" ref="AE851:AE888" si="9">IF(AND(C851=2,B851=70,NOT(N851="Common Space")),E851,"")</f>
        <v/>
      </c>
      <c r="AF851" s="1853" t="str">
        <f t="shared" ref="AF851:AF888" si="10">IF(AND(C851=3,B851=70,NOT(N851="Common Space")),E851,"")</f>
        <v/>
      </c>
      <c r="AG851" s="1853" t="str">
        <f t="shared" ref="AG851:AG888" si="11">IF(AND(C851=4,B851=70,NOT(N851="Common Space")),E851,"")</f>
        <v/>
      </c>
      <c r="AH851" s="1853" t="str">
        <f t="shared" ref="AH851:AH888" si="12">IF(AND(C851="Efficiency",B851=60,NOT(N851="Common Space")),E851,"")</f>
        <v/>
      </c>
      <c r="AI851" s="1853" t="str">
        <f t="shared" ref="AI851:AI888" si="13">IF(AND(C851=1,B851=60,NOT(N851="Common Space")),E851,"")</f>
        <v/>
      </c>
      <c r="AJ851" s="1853" t="str">
        <f t="shared" ref="AJ851:AJ888" si="14">IF(AND(C851=2,B851=60,NOT(N851="Common Space")),E851,"")</f>
        <v/>
      </c>
      <c r="AK851" s="1853" t="str">
        <f t="shared" ref="AK851:AK888" si="15">IF(AND(C851=3,B851=60,NOT(N851="Common Space")),E851,"")</f>
        <v/>
      </c>
      <c r="AL851" s="1853" t="str">
        <f t="shared" ref="AL851:AL888" si="16">IF(AND(C851=4,B851=60,NOT(N851="Common Space")),E851,"")</f>
        <v/>
      </c>
      <c r="AM851" s="1853" t="str">
        <f t="shared" ref="AM851:AM888" si="17">IF(AND(C851="Efficiency",B851=50,NOT(N851="Common Space")),E851,"")</f>
        <v/>
      </c>
      <c r="AN851" s="1853" t="str">
        <f t="shared" ref="AN851:AN888" si="18">IF(AND(C851=1,B851=50,NOT(N851="Common Space")),E851,"")</f>
        <v/>
      </c>
      <c r="AO851" s="1853" t="str">
        <f t="shared" ref="AO851:AO888" si="19">IF(AND(C851=2,B851=50,NOT(N851="Common Space")),E851,"")</f>
        <v/>
      </c>
      <c r="AP851" s="1853" t="str">
        <f t="shared" ref="AP851:AP888" si="20">IF(AND(C851=3,B851=50,NOT(N851="Common Space")),E851,"")</f>
        <v/>
      </c>
      <c r="AQ851" s="1853" t="str">
        <f t="shared" ref="AQ851:AQ888" si="21">IF(AND(C851=4,B851=50,NOT(N851="Common Space")),E851,"")</f>
        <v/>
      </c>
      <c r="AR851" s="1853" t="str">
        <f t="shared" ref="AR851:AR888" si="22">IF(AND(C851="Efficiency",B851=40,NOT(N851="Common Space")),E851,"")</f>
        <v/>
      </c>
      <c r="AS851" s="1853" t="str">
        <f t="shared" ref="AS851:AS888" si="23">IF(AND(C851=1,B851=40,NOT(N851="Common Space")),E851,"")</f>
        <v/>
      </c>
      <c r="AT851" s="1853" t="str">
        <f t="shared" ref="AT851:AT888" si="24">IF(AND(C851=2,B851=40,NOT(N851="Common Space")),E851,"")</f>
        <v/>
      </c>
      <c r="AU851" s="1853" t="str">
        <f t="shared" ref="AU851:AU888" si="25">IF(AND(C851=3,B851=40,NOT(N851="Common Space")),E851,"")</f>
        <v/>
      </c>
      <c r="AV851" s="1853" t="str">
        <f t="shared" ref="AV851:AV888" si="26">IF(AND(C851=4,B851=40,NOT(N851="Common Space")),E851,"")</f>
        <v/>
      </c>
      <c r="AW851" s="1853" t="str">
        <f t="shared" ref="AW851:AW888" si="27">IF(AND(C851="Efficiency",B851=30,NOT(N851="Common Space")),E851,"")</f>
        <v/>
      </c>
      <c r="AX851" s="1853" t="str">
        <f t="shared" ref="AX851:AX888" si="28">IF(AND(C851=1,B851=30,NOT(N851="Common Space")),E851,"")</f>
        <v/>
      </c>
      <c r="AY851" s="1853" t="str">
        <f t="shared" ref="AY851:AY888" si="29">IF(AND(C851=2,B851=30,NOT(N851="Common Space")),E851,"")</f>
        <v/>
      </c>
      <c r="AZ851" s="1853" t="str">
        <f t="shared" ref="AZ851:AZ888" si="30">IF(AND(C851=3,B851=30,NOT(N851="Common Space")),E851,"")</f>
        <v/>
      </c>
      <c r="BA851" s="1853" t="str">
        <f t="shared" ref="BA851:BA888" si="31">IF(AND(C851=4,B851=30,NOT(N851="Common Space")),E851,"")</f>
        <v/>
      </c>
      <c r="BB851" s="1853" t="str">
        <f t="shared" ref="BB851:BB888" si="32">IF(AND(C851="Efficiency",B851=20,NOT(N851="Common Space")),E851,"")</f>
        <v/>
      </c>
      <c r="BC851" s="1853" t="str">
        <f t="shared" ref="BC851:BC888" si="33">IF(AND(C851=1,B851=20,NOT(N851="Common Space")),E851,"")</f>
        <v/>
      </c>
      <c r="BD851" s="1853" t="str">
        <f t="shared" ref="BD851:BD888" si="34">IF(AND(C851=2,B851=20,NOT(N851="Common Space")),E851,"")</f>
        <v/>
      </c>
      <c r="BE851" s="1853" t="str">
        <f t="shared" ref="BE851:BE888" si="35">IF(AND(C851=3,B851=20,NOT(N851="Common Space")),E851,"")</f>
        <v/>
      </c>
      <c r="BF851" s="1853" t="str">
        <f t="shared" ref="BF851:BF888" si="36">IF(AND(C851=4,B851=20,NOT(N851="Common Space")),E851,"")</f>
        <v/>
      </c>
      <c r="BG851" s="1853" t="str">
        <f t="shared" ref="BG851:BG888" si="37">IF(AND(C851="Efficiency",B851="Unrestricted",NOT(N851="Common Space")),E851,"")</f>
        <v/>
      </c>
      <c r="BH851" s="1853" t="str">
        <f t="shared" ref="BH851:BH888" si="38">IF(AND(C851=1,B851="Unrestricted",NOT(N851="Common Space")),E851,"")</f>
        <v/>
      </c>
      <c r="BI851" s="1853" t="str">
        <f t="shared" ref="BI851:BI888" si="39">IF(AND(C851=2,B851="Unrestricted",NOT(N851="Common Space")),E851,"")</f>
        <v/>
      </c>
      <c r="BJ851" s="1853" t="str">
        <f t="shared" ref="BJ851:BJ888" si="40">IF(AND(C851=3,B851="Unrestricted",NOT(N851="Common Space")),E851,"")</f>
        <v/>
      </c>
      <c r="BK851" s="1853" t="str">
        <f t="shared" ref="BK851:BK888" si="41">IF(AND(C851=4,B851="Unrestricted",NOT(N851="Common Space")),E851,"")</f>
        <v/>
      </c>
      <c r="BL851" s="1853" t="str">
        <f t="shared" ref="BL851:BL888" si="42">IF(OR(AND($C851="Efficiency",NOT($K851=""),NOT($K851="PHA Oper Sub"),$B851=20,NOT($N851="Common Space")),AND($C851="Efficiency",NOT($K851=""),NOT($K851="PHA Oper Sub"),$B851="HOME 20",NOT($N851="Common Space"))),$E851,"")</f>
        <v/>
      </c>
      <c r="BM851" s="1853" t="str">
        <f t="shared" ref="BM851:BM888" si="43">IF(OR(AND($C851=1,NOT($K851=""),NOT($K851="PHA Oper Sub"),$B851=20,NOT($N851="Common Space")),AND($C851=1,NOT($K851=""),NOT($K851="PHA Oper Sub"),$B851="HOME 20",NOT($N851="Common Space"))),$E851,"")</f>
        <v/>
      </c>
      <c r="BN851" s="1853" t="str">
        <f t="shared" ref="BN851:BN888" si="44">IF(OR(AND($C851=2,NOT($K851=""),NOT($K851="PHA Oper Sub"),$B851=20,NOT($N851="Common Space")),AND($C851=2,NOT($K851=""),NOT($K851="PHA Oper Sub"),$B851="HOME 20",NOT($N851="Common Space"))),$E851,"")</f>
        <v/>
      </c>
      <c r="BO851" s="1853" t="str">
        <f t="shared" ref="BO851:BO888" si="45">IF(OR(AND($C851=3,NOT($K851=""),NOT($K851="PHA Oper Sub"),$B851=20,NOT($N851="Common Space")),AND($C851=3,NOT($K851=""),NOT($K851="PHA Oper Sub"),$B851="HOME 20",NOT($N851="Common Space"))),$E851,"")</f>
        <v/>
      </c>
      <c r="BP851" s="1853" t="str">
        <f t="shared" ref="BP851:BP888" si="46">IF(OR(AND($C851=4,NOT($K851=""),NOT($K851="PHA Oper Sub"),$B851=20,NOT($N851="Common Space")),AND($C851=4,NOT($K851=""),NOT($K851="PHA Oper Sub"),$B851="HOME 20",NOT($N851="Common Space"))),$E851,"")</f>
        <v/>
      </c>
      <c r="BQ851" s="1853" t="str">
        <f t="shared" ref="BQ851:BQ888" si="47">IF(OR(AND($C851="Efficiency",NOT($K851=""),NOT($K851="PHA Oper Sub"),$B851=30,NOT($N851="Common Space")),AND($C851="Efficiency",NOT($K851=""),NOT($K851="PHA Oper Sub"),$B851="HOME 30",NOT($N851="Common Space"))),$E851,"")</f>
        <v/>
      </c>
      <c r="BR851" s="1853" t="str">
        <f t="shared" ref="BR851:BR888" si="48">IF(OR(AND($C851=1,NOT($K851=""),NOT($K851="PHA Oper Sub"),$B851=30,NOT($N851="Common Space")),AND($C851=1,NOT($K851=""),NOT($K851="PHA Oper Sub"),$B851="HOME 30",NOT($N851="Common Space"))),$E851,"")</f>
        <v/>
      </c>
      <c r="BS851" s="1853" t="str">
        <f t="shared" ref="BS851:BS888" si="49">IF(OR(AND($C851=2,NOT($K851=""),NOT($K851="PHA Oper Sub"),$B851=30,NOT($N851="Common Space")),AND($C851=2,NOT($K851=""),NOT($K851="PHA Oper Sub"),$B851="HOME 30",NOT($N851="Common Space"))),$E851,"")</f>
        <v/>
      </c>
      <c r="BT851" s="1853" t="str">
        <f t="shared" ref="BT851:BT888" si="50">IF(OR(AND($C851=3,NOT($K851=""),NOT($K851="PHA Oper Sub"),$B851=30,NOT($N851="Common Space")),AND($C851=3,NOT($K851=""),NOT($K851="PHA Oper Sub"),$B851="HOME 30",NOT($N851="Common Space"))),$E851,"")</f>
        <v/>
      </c>
      <c r="BU851" s="1853" t="str">
        <f t="shared" ref="BU851:BU888" si="51">IF(OR(AND($C851=4,NOT($K851=""),NOT($K851="PHA Oper Sub"),$B851=30,NOT($N851="Common Space")),AND($C851=4,NOT($K851=""),NOT($K851="PHA Oper Sub"),$B851="HOME 30",NOT($N851="Common Space"))),$E851,"")</f>
        <v/>
      </c>
      <c r="BV851" s="1853" t="str">
        <f t="shared" ref="BV851:BV888" si="52">IF(OR(AND($C851="Efficiency",NOT($K851=""),NOT($K851="PHA Oper Sub"),$B851=40,NOT($N851="Common Space")),AND($C851="Efficiency",NOT($K851=""),NOT($K851="PHA Oper Sub"),$B851="HOME 40",NOT($N851="Common Space"))),$E851,"")</f>
        <v/>
      </c>
      <c r="BW851" s="1853" t="str">
        <f t="shared" ref="BW851:BW888" si="53">IF(OR(AND($C851=1,NOT($K851=""),NOT($K851="PHA Oper Sub"),$B851=40,NOT($N851="Common Space")),AND($C851=1,NOT($K851=""),NOT($K851="PHA Oper Sub"),$B851="HOME 40",NOT($N851="Common Space"))),$E851,"")</f>
        <v/>
      </c>
      <c r="BX851" s="1853" t="str">
        <f t="shared" ref="BX851:BX888" si="54">IF(OR(AND($C851=2,NOT($K851=""),NOT($K851="PHA Oper Sub"),$B851=40,NOT($N851="Common Space")),AND($C851=2,NOT($K851=""),NOT($K851="PHA Oper Sub"),$B851="HOME 40",NOT($N851="Common Space"))),$E851,"")</f>
        <v/>
      </c>
      <c r="BY851" s="1853" t="str">
        <f t="shared" ref="BY851:BY888" si="55">IF(OR(AND($C851=3,NOT($K851=""),NOT($K851="PHA Oper Sub"),$B851=40,NOT($N851="Common Space")),AND($C851=3,NOT($K851=""),NOT($K851="PHA Oper Sub"),$B851="HOME 40",NOT($N851="Common Space"))),$E851,"")</f>
        <v/>
      </c>
      <c r="BZ851" s="1853" t="str">
        <f t="shared" ref="BZ851:BZ888" si="56">IF(OR(AND($C851=4,NOT($K851=""),NOT($K851="PHA Oper Sub"),$B851=40,NOT($N851="Common Space")),AND($C851=4,NOT($K851=""),NOT($K851="PHA Oper Sub"),$B851="HOME 40",NOT($N851="Common Space"))),$E851,"")</f>
        <v/>
      </c>
      <c r="CA851" s="1853" t="str">
        <f t="shared" ref="CA851:CA888" si="57">IF(OR(AND($C851="Efficiency",NOT($K851=""),NOT($K851="PHA Oper Sub"),NOT($K851=0),$B851=50,NOT($N851="Common Space")),AND($C851="Efficiency",NOT($K851=""),NOT($K851=0),NOT($K851="PHA Oper Sub"),$B851="HOME 50",NOT($N851="Common Space"))),$E851,"")</f>
        <v/>
      </c>
      <c r="CB851" s="1853" t="str">
        <f t="shared" ref="CB851:CB888" si="58">IF(OR(AND($C851=1,NOT($K851=""),NOT($K851=0),NOT($K851="PHA Oper Sub"),$B851=50,NOT($N851="Common Space")),AND($C851=1,NOT($K851=""),NOT($K851=0),NOT($K851="PHA Oper Sub"),$B851="HOME 50",NOT($N851="Common Space"))),$E851,"")</f>
        <v/>
      </c>
      <c r="CC851" s="1853" t="str">
        <f t="shared" ref="CC851:CC888" si="59">IF(OR(AND($C851=2,NOT($K851=""),NOT($K851=0),NOT($K851="PHA Oper Sub"),$B851=50,NOT($N851="Common Space")),AND($C851=2,NOT($K851=""),NOT($K851=0),NOT($K851="PHA Oper Sub"),$B851="HOME 50",NOT($N851="Common Space"))),$E851,"")</f>
        <v/>
      </c>
      <c r="CD851" s="1853" t="str">
        <f t="shared" ref="CD851:CD888" si="60">IF(OR(AND($C851=3,NOT($K851=""),NOT($K851=0),NOT($K851="PHA Oper Sub"),$B851=50,NOT($N851="Common Space")),AND($C851=3,NOT($K851=""),NOT($K851=0),NOT($K851="PHA Oper Sub"),$B851="HOME 50",NOT($N851="Common Space"))),$E851,"")</f>
        <v/>
      </c>
      <c r="CE851" s="1853" t="str">
        <f t="shared" ref="CE851:CE888" si="61">IF(OR(AND($C851=4,NOT($K851=""),NOT($K851=0),NOT($K851="PHA Oper Sub"),$B851=50,NOT($N851="Common Space")),AND($C851=4,NOT($K851=""),NOT($K851=0),NOT($K851="PHA Oper Sub"),$B851="HOME 50",NOT($N851="Common Space"))),$E851,"")</f>
        <v/>
      </c>
      <c r="CF851" s="1853" t="str">
        <f t="shared" ref="CF851:CF888" si="62">IF(OR(AND($C851="Efficiency",NOT($K851=""),NOT($K851=0),NOT($K851="PHA Oper Sub"),$B851=60,NOT($N851="Common Space")),AND($C851="Efficiency",NOT($K851=""),NOT($K851=0),NOT($K851="PHA Oper Sub"),$B851="HOME 60",NOT($N851="Common Space"))),$E851,"")</f>
        <v/>
      </c>
      <c r="CG851" s="1853" t="str">
        <f t="shared" ref="CG851:CG888" si="63">IF(OR(AND($C851=1,NOT($K851=""),NOT($K851=0),NOT($K851="PHA Oper Sub"),$B851=60,NOT($N851="Common Space")),AND($C851=1,NOT($K851=""),NOT($K851=0),NOT($K851="PHA Oper Sub"),$B851="HOME 60",NOT($N851="Common Space"))),$E851,"")</f>
        <v/>
      </c>
      <c r="CH851" s="1853" t="str">
        <f t="shared" ref="CH851:CH888" si="64">IF(OR(AND($C851=2,NOT($K851=""),NOT($K851=0),NOT($K851="PHA Oper Sub"),$B851=60,NOT($N851="Common Space")),AND($C851=2,NOT($K851=""),NOT($K851=0),NOT($K851="PHA Oper Sub"),$B851="HOME 60",NOT($N851="Common Space"))),$E851,"")</f>
        <v/>
      </c>
      <c r="CI851" s="1853" t="str">
        <f t="shared" ref="CI851:CI888" si="65">IF(OR(AND($C851=3,NOT($K851=""),NOT($K851=0),NOT($K851="PHA Oper Sub"),$B851=60,NOT($N851="Common Space")),AND($C851=3,NOT($K851=""),NOT($K851=0),NOT($K851="PHA Oper Sub"),$B851="HOME 60",NOT($N851="Common Space"))),$E851,"")</f>
        <v/>
      </c>
      <c r="CJ851" s="1853" t="str">
        <f t="shared" ref="CJ851:CJ888" si="66">IF(OR(AND($C851=4,NOT($K851=""),NOT($K851=0),NOT($K851="PHA Oper Sub"),$B851=60,NOT($N851="Common Space")),AND($C851=4,NOT($K851=""),NOT($K851=0),NOT($K851="PHA Oper Sub"),$B851="HOME 60",NOT($N851="Common Space"))),$E851,"")</f>
        <v/>
      </c>
      <c r="CK851" s="1853" t="str">
        <f t="shared" ref="CK851:CK888" si="67">IF(OR(AND($C851="Efficiency",NOT($K851=""),NOT($K851="PHA Oper Sub"),$B851=70,NOT($N851="Common Space")),AND($C851="Efficiency",NOT($K851=""),NOT($K851="PHA Oper Sub"),$B851="HOME 70",NOT($N851="Common Space"))),$E851,"")</f>
        <v/>
      </c>
      <c r="CL851" s="1853" t="str">
        <f t="shared" ref="CL851:CL888" si="68">IF(OR(AND($C851=1,NOT($K851=""),NOT($K851="PHA Oper Sub"),$B851=70,NOT($N851="Common Space")),AND($C851=1,NOT($K851=""),NOT($K851="PHA Oper Sub"),$B851="HOME 70",NOT($N851="Common Space"))),$E851,"")</f>
        <v/>
      </c>
      <c r="CM851" s="1853" t="str">
        <f t="shared" ref="CM851:CM888" si="69">IF(OR(AND($C851=2,NOT($K851=""),NOT($K851="PHA Oper Sub"),$B851=70,NOT($N851="Common Space")),AND($C851=2,NOT($K851=""),NOT($K851="PHA Oper Sub"),$B851="HOME 70",NOT($N851="Common Space"))),$E851,"")</f>
        <v/>
      </c>
      <c r="CN851" s="1853" t="str">
        <f t="shared" ref="CN851:CN888" si="70">IF(OR(AND($C851=3,NOT($K851=""),NOT($K851="PHA Oper Sub"),$B851=70,NOT($N851="Common Space")),AND($C851=3,NOT($K851=""),NOT($K851="PHA Oper Sub"),$B851="HOME 70",NOT($N851="Common Space"))),$E851,"")</f>
        <v/>
      </c>
      <c r="CO851" s="1853" t="str">
        <f t="shared" ref="CO851:CO888" si="71">IF(OR(AND($C851=4,NOT($K851=""),NOT($K851="PHA Oper Sub"),$B851=70,NOT($N851="Common Space")),AND($C851=4,NOT($K851=""),NOT($K851="PHA Oper Sub"),$B851="HOME 70",NOT($N851="Common Space"))),$E851,"")</f>
        <v/>
      </c>
      <c r="CP851" s="1853" t="str">
        <f t="shared" ref="CP851:CP888" si="72">IF(OR(AND($C851="Efficiency",NOT($K851=""),NOT($K851="PHA Oper Sub"),$B851=80,NOT($N851="Common Space")),AND($C851="Efficiency",NOT($K851=""),NOT($K851="PHA Oper Sub"),$B851="HOME 80",NOT($N851="Common Space"))),$E851,"")</f>
        <v/>
      </c>
      <c r="CQ851" s="1853" t="str">
        <f t="shared" ref="CQ851:CQ888" si="73">IF(OR(AND($C851=1,NOT($K851=""),NOT($K851="PHA Oper Sub"),$B851=80,NOT($N851="Common Space")),AND($C851=1,NOT($K851=""),NOT($K851="PHA Oper Sub"),$B851="HOME 80",NOT($N851="Common Space"))),$E851,"")</f>
        <v/>
      </c>
      <c r="CR851" s="1853" t="str">
        <f t="shared" ref="CR851:CR888" si="74">IF(OR(AND($C851=2,NOT($K851=""),NOT($K851="PHA Oper Sub"),$B851=80,NOT($N851="Common Space")),AND($C851=2,NOT($K851=""),NOT($K851="PHA Oper Sub"),$B851="HOME 80",NOT($N851="Common Space"))),$E851,"")</f>
        <v/>
      </c>
      <c r="CS851" s="1853" t="str">
        <f t="shared" ref="CS851:CS888" si="75">IF(OR(AND($C851=3,NOT($K851=""),NOT($K851="PHA Oper Sub"),$B851=80,NOT($N851="Common Space")),AND($C851=3,NOT($K851=""),NOT($K851="PHA Oper Sub"),$B851="HOME 80",NOT($N851="Common Space"))),$E851,"")</f>
        <v/>
      </c>
      <c r="CT851" s="1853" t="str">
        <f t="shared" ref="CT851:CT888" si="76">IF(OR(AND($C851=4,NOT($K851=""),NOT($K851="PHA Oper Sub"),$B851=80,NOT($N851="Common Space")),AND($C851=4,NOT($K851=""),NOT($K851="PHA Oper Sub"),$B851="HOME 80",NOT($N851="Common Space"))),$E851,"")</f>
        <v/>
      </c>
      <c r="CU851" s="1853" t="str">
        <f t="shared" ref="CU851:CU888" si="77">IF(OR(AND($C851="Efficiency",$K851="PHA Oper Sub",$B851=20,NOT($N851="Common Space")),AND($C851="Efficiency",$K851="PHA Oper Sub",$B851="HOME 20",NOT($N851="Common Space"))),$E851,"")</f>
        <v/>
      </c>
      <c r="CV851" s="1853" t="str">
        <f t="shared" ref="CV851:CV888" si="78">IF(OR(AND($C851=1,$K851="PHA Oper Sub",$B851=20,NOT($N851="Common Space")),AND($C851=1,$K851="PHA Oper Sub",$B851="HOME 20",NOT($N851="Common Space"))),$E851,"")</f>
        <v/>
      </c>
      <c r="CW851" s="1853" t="str">
        <f t="shared" ref="CW851:CW888" si="79">IF(OR(AND($C851=2,$K851="PHA Oper Sub",$B851=20,NOT($N851="Common Space")),AND($C851=2,$K851="PHA Oper Sub",$B851="HOME 20",NOT($N851="Common Space"))),$E851,"")</f>
        <v/>
      </c>
      <c r="CX851" s="1853" t="str">
        <f t="shared" ref="CX851:CX888" si="80">IF(OR(AND($C851=3,$K851="PHA Oper Sub",$B851=20,NOT($N851="Common Space")),AND($C851=3,$K851="PHA Oper Sub",$B851="HOME 20",NOT($N851="Common Space"))),$E851,"")</f>
        <v/>
      </c>
      <c r="CY851" s="1853" t="str">
        <f t="shared" ref="CY851:CY888" si="81">IF(OR(AND($C851=4,$K851="PHA Oper Sub",$B851=20,NOT($N851="Common Space")),AND($C851=4,$K851="PHA Oper Sub",$B851="HOME 20",NOT($N851="Common Space"))),$E851,"")</f>
        <v/>
      </c>
      <c r="CZ851" s="1853" t="str">
        <f t="shared" ref="CZ851:CZ888" si="82">IF(OR(AND($C851="Efficiency",$K851="PHA Oper Sub",$B851=30,NOT($N851="Common Space")),AND($C851="Efficiency",$K851="PHA Oper Sub",$B851="HOME 30",NOT($N851="Common Space"))),$E851,"")</f>
        <v/>
      </c>
      <c r="DA851" s="1853" t="str">
        <f t="shared" ref="DA851:DA888" si="83">IF(OR(AND($C851=1,$K851="PHA Oper Sub",$B851=30,NOT($N851="Common Space")),AND($C851=1,$K851="PHA Oper Sub",$B851="HOME 30",NOT($N851="Common Space"))),$E851,"")</f>
        <v/>
      </c>
      <c r="DB851" s="1853" t="str">
        <f t="shared" ref="DB851:DB888" si="84">IF(OR(AND($C851=2,$K851="PHA Oper Sub",$B851=30,NOT($N851="Common Space")),AND($C851=2,$K851="PHA Oper Sub",$B851="HOME 30",NOT($N851="Common Space"))),$E851,"")</f>
        <v/>
      </c>
      <c r="DC851" s="1853" t="str">
        <f t="shared" ref="DC851:DC888" si="85">IF(OR(AND($C851=3,$K851="PHA Oper Sub",$B851=30,NOT($N851="Common Space")),AND($C851=3,$K851="PHA Oper Sub",$B851="HOME 30",NOT($N851="Common Space"))),$E851,"")</f>
        <v/>
      </c>
      <c r="DD851" s="1853" t="str">
        <f t="shared" ref="DD851:DD888" si="86">IF(OR(AND($C851=4,$K851="PHA Oper Sub",$B851=30,NOT($N851="Common Space")),AND($C851=4,$K851="PHA Oper Sub",$B851="HOME 30",NOT($N851="Common Space"))),$E851,"")</f>
        <v/>
      </c>
      <c r="DE851" s="1853" t="str">
        <f t="shared" ref="DE851:DE888" si="87">IF(OR(AND($C851="Efficiency",$K851="PHA Oper Sub",$B851=40,NOT($N851="Common Space")),AND($C851="Efficiency",$K851="PHA Oper Sub",$B851="HOME 40",NOT($N851="Common Space"))),$E851,"")</f>
        <v/>
      </c>
      <c r="DF851" s="1853" t="str">
        <f t="shared" ref="DF851:DF888" si="88">IF(OR(AND($C851=1,$K851="PHA Oper Sub",$B851=40,NOT($N851="Common Space")),AND($C851=1,$K851="PHA Oper Sub",$B851="HOME 40",NOT($N851="Common Space"))),$E851,"")</f>
        <v/>
      </c>
      <c r="DG851" s="1853" t="str">
        <f t="shared" ref="DG851:DG888" si="89">IF(OR(AND($C851=2,$K851="PHA Oper Sub",$B851=40,NOT($N851="Common Space")),AND($C851=2,$K851="PHA Oper Sub",$B851="HOME 40",NOT($N851="Common Space"))),$E851,"")</f>
        <v/>
      </c>
      <c r="DH851" s="1853" t="str">
        <f t="shared" ref="DH851:DH888" si="90">IF(OR(AND($C851=3,$K851="PHA Oper Sub",$B851=40,NOT($N851="Common Space")),AND($C851=3,$K851="PHA Oper Sub",$B851="HOME 40",NOT($N851="Common Space"))),$E851,"")</f>
        <v/>
      </c>
      <c r="DI851" s="1853" t="str">
        <f t="shared" ref="DI851:DI888" si="91">IF(OR(AND($C851=4,$K851="PHA Oper Sub",$B851=40,NOT($N851="Common Space")),AND($C851=4,$K851="PHA Oper Sub",$B851="HOME 40",NOT($N851="Common Space"))),$E851,"")</f>
        <v/>
      </c>
      <c r="DJ851" s="1853" t="str">
        <f t="shared" ref="DJ851:DJ888" si="92">IF(OR(AND($C851="Efficiency",$K851="PHA Oper Sub",$B851=50,NOT($N851="Common Space")),AND($C851="Efficiency",$K851="PHA Oper Sub",$B851="HOME 50",NOT($N851="Common Space"))),$E851,"")</f>
        <v/>
      </c>
      <c r="DK851" s="1853" t="str">
        <f t="shared" ref="DK851:DK888" si="93">IF(OR(AND($C851=1,$K851="PHA Oper Sub",$B851=50,NOT($N851="Common Space")),AND($C851=1,$K851="PHA Oper Sub",$B851="HOME 50",NOT($N851="Common Space"))),$E851,"")</f>
        <v/>
      </c>
      <c r="DL851" s="1853" t="str">
        <f t="shared" ref="DL851:DL888" si="94">IF(OR(AND($C851=2,$K851="PHA Oper Sub",$B851=50,NOT($N851="Common Space")),AND($C851=2,$K851="PHA Oper Sub",$B851="HOME 50",NOT($N851="Common Space"))),$E851,"")</f>
        <v/>
      </c>
      <c r="DM851" s="1853" t="str">
        <f t="shared" ref="DM851:DM888" si="95">IF(OR(AND($C851=3,$K851="PHA Oper Sub",$B851=50,NOT($N851="Common Space")),AND($C851=3,$K851="PHA Oper Sub",$B851="HOME 50",NOT($N851="Common Space"))),$E851,"")</f>
        <v/>
      </c>
      <c r="DN851" s="1853" t="str">
        <f t="shared" ref="DN851:DN888" si="96">IF(OR(AND($C851=4,$K851="PHA Oper Sub",$B851=50,NOT($N851="Common Space")),AND($C851=4,$K851="PHA Oper Sub",$B851="HOME 50",NOT($N851="Common Space"))),$E851,"")</f>
        <v/>
      </c>
      <c r="DO851" s="1853" t="str">
        <f t="shared" ref="DO851:DO888" si="97">IF(OR(AND($C851="Efficiency",$K851="PHA Oper Sub",$B851=60,NOT($N851="Common Space")),AND($C851="Efficiency",$K851="PHA Oper Sub",$B851="HOME 60",NOT($N851="Common Space"))),$E851,"")</f>
        <v/>
      </c>
      <c r="DP851" s="1853" t="str">
        <f t="shared" ref="DP851:DP888" si="98">IF(OR(AND($C851=1,$K851="PHA Oper Sub",$B851=60,NOT($N851="Common Space")),AND($C851=1,$K851="PHA Oper Sub",$B851="HOME 60",NOT($N851="Common Space"))),$E851,"")</f>
        <v/>
      </c>
      <c r="DQ851" s="1853" t="str">
        <f t="shared" ref="DQ851:DQ888" si="99">IF(OR(AND($C851=2,$K851="PHA Oper Sub",$B851=60,NOT($N851="Common Space")),AND($C851=2,$K851="PHA Oper Sub",$B851="HOME 60",NOT($N851="Common Space"))),$E851,"")</f>
        <v/>
      </c>
      <c r="DR851" s="1853" t="str">
        <f t="shared" ref="DR851:DR888" si="100">IF(OR(AND($C851=3,$K851="PHA Oper Sub",$B851=60,NOT($N851="Common Space")),AND($C851=3,$K851="PHA Oper Sub",$B851="HOME 60",NOT($N851="Common Space"))),$E851,"")</f>
        <v/>
      </c>
      <c r="DS851" s="1853" t="str">
        <f t="shared" ref="DS851:DS888" si="101">IF(OR(AND($C851=4,$K851="PHA Oper Sub",$B851=60,NOT($N851="Common Space")),AND($C851=4,$K851="PHA Oper Sub",$B851="HOME 60",NOT($N851="Common Space"))),$E851,"")</f>
        <v/>
      </c>
      <c r="DT851" s="1853" t="str">
        <f t="shared" ref="DT851:DT888" si="102">IF(OR(AND($C851="Efficiency",$K851="PHA Oper Sub",$B851=70,NOT($N851="Common Space")),AND($C851="Efficiency",$K851="PHA Oper Sub",$B851="HOME 70",NOT($N851="Common Space"))),$E851,"")</f>
        <v/>
      </c>
      <c r="DU851" s="1853" t="str">
        <f t="shared" ref="DU851:DU888" si="103">IF(OR(AND($C851=1,$K851="PHA Oper Sub",$B851=70,NOT($N851="Common Space")),AND($C851=1,$K851="PHA Oper Sub",$B851="HOME 70",NOT($N851="Common Space"))),$E851,"")</f>
        <v/>
      </c>
      <c r="DV851" s="1853" t="str">
        <f t="shared" ref="DV851:DV888" si="104">IF(OR(AND($C851=2,$K851="PHA Oper Sub",$B851=70,NOT($N851="Common Space")),AND($C851=2,$K851="PHA Oper Sub",$B851="HOME 70",NOT($N851="Common Space"))),$E851,"")</f>
        <v/>
      </c>
      <c r="DW851" s="1853" t="str">
        <f t="shared" ref="DW851:DW888" si="105">IF(OR(AND($C851=3,$K851="PHA Oper Sub",$B851=70,NOT($N851="Common Space")),AND($C851=3,$K851="PHA Oper Sub",$B851="HOME 70",NOT($N851="Common Space"))),$E851,"")</f>
        <v/>
      </c>
      <c r="DX851" s="1853" t="str">
        <f t="shared" ref="DX851:DX888" si="106">IF(OR(AND($C851=4,$K851="PHA Oper Sub",$B851=70,NOT($N851="Common Space")),AND($C851=4,$K851="PHA Oper Sub",$B851="HOME 70",NOT($N851="Common Space"))),$E851,"")</f>
        <v/>
      </c>
      <c r="DY851" s="1853" t="str">
        <f t="shared" ref="DY851:DY888" si="107">IF(OR(AND($C851="Efficiency",$K851="PHA Oper Sub",$B851=80,NOT($N851="Common Space")),AND($C851="Efficiency",$K851="PHA Oper Sub",$B851="HOME 80",NOT($N851="Common Space"))),$E851,"")</f>
        <v/>
      </c>
      <c r="DZ851" s="1853" t="str">
        <f t="shared" ref="DZ851:DZ888" si="108">IF(OR(AND($C851=1,$K851="PHA Oper Sub",$B851=80,NOT($N851="Common Space")),AND($C851=1,$K851="PHA Oper Sub",$B851="HOME 80",NOT($N851="Common Space"))),$E851,"")</f>
        <v/>
      </c>
      <c r="EA851" s="1853" t="str">
        <f t="shared" ref="EA851:EA888" si="109">IF(OR(AND($C851=2,$K851="PHA Oper Sub",$B851=80,NOT($N851="Common Space")),AND($C851=2,$K851="PHA Oper Sub",$B851="HOME 80",NOT($N851="Common Space"))),$E851,"")</f>
        <v/>
      </c>
      <c r="EB851" s="1853" t="str">
        <f t="shared" ref="EB851:EB888" si="110">IF(OR(AND($C851=3,$K851="PHA Oper Sub",$B851=80,NOT($N851="Common Space")),AND($C851=3,$K851="PHA Oper Sub",$B851="HOME 80",NOT($N851="Common Space"))),$E851,"")</f>
        <v/>
      </c>
      <c r="EC851" s="1853" t="str">
        <f t="shared" ref="EC851:EC888" si="111">IF(OR(AND($C851=4,$K851="PHA Oper Sub",$B851=80,NOT($N851="Common Space")),AND($C851=4,$K851="PHA Oper Sub",$B851="HOME 80",NOT($N851="Common Space"))),$E851,"")</f>
        <v/>
      </c>
      <c r="ED851" s="1853" t="str">
        <f t="shared" ref="ED851:ED888" si="112">IF(AND(C851="Efficiency",N851="Common Space"),E851,"")</f>
        <v/>
      </c>
      <c r="EE851" s="1853" t="str">
        <f t="shared" ref="EE851:EE888" si="113">IF(AND(C851=1,N851="Common Space"),E851,"")</f>
        <v/>
      </c>
      <c r="EF851" s="1853" t="str">
        <f t="shared" ref="EF851:EF888" si="114">IF(AND(C851=2,N851="Common Space"),E851,"")</f>
        <v/>
      </c>
      <c r="EG851" s="1853" t="str">
        <f t="shared" ref="EG851:EG888" si="115">IF(AND(C851=3,N851="Common Space"),E851,"")</f>
        <v/>
      </c>
      <c r="EH851" s="1853" t="str">
        <f t="shared" ref="EH851:EH888" si="116">IF(AND(C851=4,N851="Common Space"),E851,"")</f>
        <v/>
      </c>
      <c r="EI851" s="1853" t="str">
        <f t="shared" ref="EI851:EI888" si="117">IF(OR(AND($C851="Efficiency",$B851=80,NOT($N851="Common Space")),AND($C851="Efficiency",$B851="HOME 80",NOT($N851="Common Space"))),$E851*$F851,"")</f>
        <v/>
      </c>
      <c r="EJ851" s="1853" t="str">
        <f t="shared" ref="EJ851:EJ888" si="118">IF(OR(AND($C851=1,$B851=80,NOT($N851="Common Space")),AND($C851=1,$B851="HOME 80",NOT($N851="Common Space"))),$E851*$F851,"")</f>
        <v/>
      </c>
      <c r="EK851" s="1853" t="str">
        <f t="shared" ref="EK851:EK888" si="119">IF(OR(AND($C851=2,$B851=80,NOT($N851="Common Space")),AND($C851=2,$B851="HOME 80",NOT($N851="Common Space"))),$E851*$F851,"")</f>
        <v/>
      </c>
      <c r="EL851" s="1853" t="str">
        <f t="shared" ref="EL851:EL888" si="120">IF(OR(AND($C851=3,$B851=80,NOT($N851="Common Space")),AND($C851=3,$B851="HOME 80",NOT($N851="Common Space"))),$E851*$F851,"")</f>
        <v/>
      </c>
      <c r="EM851" s="1853" t="str">
        <f t="shared" ref="EM851:EM888" si="121">IF(OR(AND($C851=4,$B851=80,NOT($N851="Common Space")),AND($C851=4,$B851="HOME 80",NOT($N851="Common Space"))),$E851*$F851,"")</f>
        <v/>
      </c>
      <c r="EN851" s="1853" t="str">
        <f t="shared" ref="EN851:EN888" si="122">IF(OR(AND($C851="Efficiency",$B851=70,NOT($N851="Common Space")),AND($C851="Efficiency",$B851="HOME 70",NOT($N851="Common Space"))),$E851*$F851,"")</f>
        <v/>
      </c>
      <c r="EO851" s="1853" t="str">
        <f t="shared" ref="EO851:EO888" si="123">IF(OR(AND($C851=1,$B851=70,NOT($N851="Common Space")),AND($C851=1,$B851="HOME 70",NOT($N851="Common Space"))),$E851*$F851,"")</f>
        <v/>
      </c>
      <c r="EP851" s="1853" t="str">
        <f t="shared" ref="EP851:EP888" si="124">IF(OR(AND($C851=2,$B851=70,NOT($N851="Common Space")),AND($C851=2,$B851="HOME 70",NOT($N851="Common Space"))),$E851*$F851,"")</f>
        <v/>
      </c>
      <c r="EQ851" s="1853" t="str">
        <f t="shared" ref="EQ851:EQ888" si="125">IF(OR(AND($C851=3,$B851=70,NOT($N851="Common Space")),AND($C851=3,$B851="HOME 70",NOT($N851="Common Space"))),$E851*$F851,"")</f>
        <v/>
      </c>
      <c r="ER851" s="1853" t="str">
        <f t="shared" ref="ER851:ER888" si="126">IF(OR(AND($C851=4,$B851=70,NOT($N851="Common Space")),AND($C851=4,$B851="HOME 70",NOT($N851="Common Space"))),$E851*$F851,"")</f>
        <v/>
      </c>
      <c r="ES851" s="1853" t="str">
        <f t="shared" ref="ES851:ES888" si="127">IF(OR(AND($C851="Efficiency",$B851=60,NOT($N851="Common Space")),AND($C851="Efficiency",$B851="HOME 60",NOT($N851="Common Space"))),$E851*$F851,"")</f>
        <v/>
      </c>
      <c r="ET851" s="1853" t="str">
        <f t="shared" ref="ET851:ET888" si="128">IF(OR(AND($C851=1,$B851=60,NOT($N851="Common Space")),AND($C851=1,$B851="HOME 60",NOT($N851="Common Space"))),$E851*$F851,"")</f>
        <v/>
      </c>
      <c r="EU851" s="1853" t="str">
        <f t="shared" ref="EU851:EU888" si="129">IF(OR(AND($C851=2,$B851=60,NOT($N851="Common Space")),AND($C851=2,$B851="HOME 60",NOT($N851="Common Space"))),$E851*$F851,"")</f>
        <v/>
      </c>
      <c r="EV851" s="1853" t="str">
        <f t="shared" ref="EV851:EV888" si="130">IF(OR(AND($C851=3,$B851=60,NOT($N851="Common Space")),AND($C851=3,$B851="HOME 60",NOT($N851="Common Space"))),$E851*$F851,"")</f>
        <v/>
      </c>
      <c r="EW851" s="1853" t="str">
        <f t="shared" ref="EW851:EW888" si="131">IF(OR(AND($C851=4,$B851=60,NOT($N851="Common Space")),AND($C851=4,$B851="HOME 60",NOT($N851="Common Space"))),$E851*$F851,"")</f>
        <v/>
      </c>
      <c r="EX851" s="1853" t="str">
        <f t="shared" ref="EX851:EX888" si="132">IF(OR(AND($C851="Efficiency",$B851=50,NOT($N851="Common Space")),AND($C851="Efficiency",$B851="HOME 50",NOT($N851="Common Space"))),$E851*$F851,"")</f>
        <v/>
      </c>
      <c r="EY851" s="1853" t="str">
        <f t="shared" ref="EY851:EY888" si="133">IF(OR(AND($C851=1,$B851=50,NOT($N851="Common Space")),AND($C851=1,$B851="HOME 50",NOT($N851="Common Space"))),$E851*$F851,"")</f>
        <v/>
      </c>
      <c r="EZ851" s="1853" t="str">
        <f t="shared" ref="EZ851:EZ888" si="134">IF(OR(AND($C851=2,$B851=50,NOT($N851="Common Space")),AND($C851=2,$B851="HOME 50",NOT($N851="Common Space"))),$E851*$F851,"")</f>
        <v/>
      </c>
      <c r="FA851" s="1853" t="str">
        <f t="shared" ref="FA851:FA888" si="135">IF(OR(AND($C851=3,$B851=50,NOT($N851="Common Space")),AND($C851=3,$B851="HOME 50",NOT($N851="Common Space"))),$E851*$F851,"")</f>
        <v/>
      </c>
      <c r="FB851" s="1853" t="str">
        <f t="shared" ref="FB851:FB888" si="136">IF(OR(AND($C851=4,$B851=50,NOT($N851="Common Space")),AND($C851=4,$B851="HOME 50",NOT($N851="Common Space"))),$E851*$F851,"")</f>
        <v/>
      </c>
      <c r="FC851" s="1853" t="str">
        <f t="shared" ref="FC851:FC888" si="137">IF(OR(AND($C851="Efficiency",$B851=40,NOT($N851="Common Space")),AND($C851="Efficiency",$B851="HOME 40",NOT($N851="Common Space"))),$E851*$F851,"")</f>
        <v/>
      </c>
      <c r="FD851" s="1853" t="str">
        <f t="shared" ref="FD851:FD888" si="138">IF(OR(AND($C851=1,$B851=40,NOT($N851="Common Space")),AND($C851=1,$B851="HOME 40",NOT($N851="Common Space"))),$E851*$F851,"")</f>
        <v/>
      </c>
      <c r="FE851" s="1853" t="str">
        <f t="shared" ref="FE851:FE888" si="139">IF(OR(AND($C851=2,$B851=40,NOT($N851="Common Space")),AND($C851=2,$B851="HOME 40",NOT($N851="Common Space"))),$E851*$F851,"")</f>
        <v/>
      </c>
      <c r="FF851" s="1853" t="str">
        <f t="shared" ref="FF851:FF888" si="140">IF(OR(AND($C851=3,$B851=40,NOT($N851="Common Space")),AND($C851=3,$B851="HOME 40",NOT($N851="Common Space"))),$E851*$F851,"")</f>
        <v/>
      </c>
      <c r="FG851" s="1853" t="str">
        <f t="shared" ref="FG851:FG888" si="141">IF(OR(AND($C851=4,$B851=40,NOT($N851="Common Space")),AND($C851=4,$B851="HOME 40",NOT($N851="Common Space"))),$E851*$F851,"")</f>
        <v/>
      </c>
      <c r="FH851" s="1853" t="str">
        <f t="shared" ref="FH851:FH888" si="142">IF(OR(AND($C851="Efficiency",$B851=30,NOT($N851="Common Space")),AND($C851="Efficiency",$B851="HOME 30",NOT($N851="Common Space"))),$E851*$F851,"")</f>
        <v/>
      </c>
      <c r="FI851" s="1853" t="str">
        <f t="shared" ref="FI851:FI888" si="143">IF(OR(AND($C851=1,$B851=30,NOT($N851="Common Space")),AND($C851=1,$B851="HOME 30",NOT($N851="Common Space"))),$E851*$F851,"")</f>
        <v/>
      </c>
      <c r="FJ851" s="1853" t="str">
        <f t="shared" ref="FJ851:FJ888" si="144">IF(OR(AND($C851=2,$B851=30,NOT($N851="Common Space")),AND($C851=2,$B851="HOME 30",NOT($N851="Common Space"))),$E851*$F851,"")</f>
        <v/>
      </c>
      <c r="FK851" s="1853" t="str">
        <f t="shared" ref="FK851:FK888" si="145">IF(OR(AND($C851=3,$B851=30,NOT($N851="Common Space")),AND($C851=3,$B851="HOME 30",NOT($N851="Common Space"))),$E851*$F851,"")</f>
        <v/>
      </c>
      <c r="FL851" s="1853" t="str">
        <f t="shared" ref="FL851:FL888" si="146">IF(OR(AND($C851=4,$B851=30,NOT($N851="Common Space")),AND($C851=4,$B851="HOME 30",NOT($N851="Common Space"))),$E851*$F851,"")</f>
        <v/>
      </c>
      <c r="FM851" s="1853" t="str">
        <f t="shared" ref="FM851:FM888" si="147">IF(OR(AND($C851="Efficiency",$B851=20,NOT($N851="Common Space")),AND($C851="Efficiency",$B851="HOME 20",NOT($N851="Common Space"))),$E851*$F851,"")</f>
        <v/>
      </c>
      <c r="FN851" s="1853" t="str">
        <f t="shared" ref="FN851:FN888" si="148">IF(OR(AND($C851=1,$B851=20,NOT($N851="Common Space")),AND($C851=1,$B851="HOME 20",NOT($N851="Common Space"))),$E851*$F851,"")</f>
        <v/>
      </c>
      <c r="FO851" s="1853" t="str">
        <f t="shared" ref="FO851:FO888" si="149">IF(OR(AND($C851=2,$B851=20,NOT($N851="Common Space")),AND($C851=2,$B851="HOME 20",NOT($N851="Common Space"))),$E851*$F851,"")</f>
        <v/>
      </c>
      <c r="FP851" s="1853" t="str">
        <f t="shared" ref="FP851:FP888" si="150">IF(OR(AND($C851=3,$B851=20,NOT($N851="Common Space")),AND($C851=3,$B851="HOME 20",NOT($N851="Common Space"))),$E851*$F851,"")</f>
        <v/>
      </c>
      <c r="FQ851" s="1853" t="str">
        <f t="shared" ref="FQ851:FQ888" si="151">IF(OR(AND($C851=4,$B851=20,NOT($N851="Common Space")),AND($C851=4,$B851="HOME 20",NOT($N851="Common Space"))),$E851*$F851,"")</f>
        <v/>
      </c>
      <c r="FR851" s="1853" t="str">
        <f t="shared" ref="FR851:FR888" si="152">IF(AND(C851="Efficiency",B851="Unrestricted",NOT(N851="Common Space")),E851*F851,"")</f>
        <v/>
      </c>
      <c r="FS851" s="1853" t="str">
        <f t="shared" ref="FS851:FS888" si="153">IF(AND(C851=1,B851="Unrestricted",NOT(N851="Common Space")),E851*F851,"")</f>
        <v/>
      </c>
      <c r="FT851" s="1853" t="str">
        <f t="shared" ref="FT851:FT888" si="154">IF(AND(C851=2,B851="Unrestricted",NOT(N851="Common Space")),E851*F851,"")</f>
        <v/>
      </c>
      <c r="FU851" s="1853" t="str">
        <f t="shared" ref="FU851:FU888" si="155">IF(AND(C851=3,B851="Unrestricted",NOT(N851="Common Space")),E851*F851,"")</f>
        <v/>
      </c>
      <c r="FV851" s="1853" t="str">
        <f t="shared" ref="FV851:FV888" si="156">IF(AND(C851=4,B851="Unrestricted",NOT(N851="Common Space")),E851*F851,"")</f>
        <v/>
      </c>
      <c r="FW851" s="1853" t="str">
        <f t="shared" ref="FW851:FW888" si="157">IF(AND(C851="Efficiency",NOT(K851=""),NOT($K851=0),NOT(N851="Common Space")),E851*F851,"")</f>
        <v/>
      </c>
      <c r="FX851" s="1853" t="str">
        <f t="shared" ref="FX851:FX888" si="158">IF(AND(C851=1,NOT(K851=""),NOT($K851=0),NOT(N851="Common Space")),E851*F851,"")</f>
        <v/>
      </c>
      <c r="FY851" s="1853" t="str">
        <f t="shared" ref="FY851:FY888" si="159">IF(AND(C851=2,NOT(K851=""),NOT($K851=0),NOT(N851="Common Space")),E851*F851,"")</f>
        <v/>
      </c>
      <c r="FZ851" s="1853" t="str">
        <f t="shared" ref="FZ851:FZ888" si="160">IF(AND(C851=3,NOT(K851=""),NOT($K851=0),NOT(N851="Common Space")),E851*F851,"")</f>
        <v/>
      </c>
      <c r="GA851" s="1853" t="str">
        <f t="shared" ref="GA851:GA888" si="161">IF(AND(C851=4,NOT(K851=""),NOT($K851=0),NOT(N851="Common Space")),E851*F851,"")</f>
        <v/>
      </c>
      <c r="GB851" s="1853" t="str">
        <f t="shared" ref="GB851:GB888" si="162">IF(AND(C851="Efficiency",N851="Common Space"),E851*F851,"")</f>
        <v/>
      </c>
      <c r="GC851" s="1853" t="str">
        <f t="shared" ref="GC851:GC888" si="163">IF(AND(C851=1,N851="Common Space"),E851*F851,"")</f>
        <v/>
      </c>
      <c r="GD851" s="1853" t="str">
        <f t="shared" ref="GD851:GD888" si="164">IF(AND(C851=2,N851="Common Space"),E851*F851,"")</f>
        <v/>
      </c>
      <c r="GE851" s="1853" t="str">
        <f t="shared" ref="GE851:GE888" si="165">IF(AND(C851=3,N851="Common Space"),E851*F851,"")</f>
        <v/>
      </c>
      <c r="GF851" s="1853" t="str">
        <f t="shared" ref="GF851:GF888" si="166">IF(AND(C851=4,N851="Common Space"),E851*F851,"")</f>
        <v/>
      </c>
      <c r="GG851" s="1853" t="str">
        <f t="shared" ref="GG851:GG888" si="167">IF(AND($C851="Efficiency", $P851="New Construction",NOT($B851="Unrestricted"),NOT($B851="NSP 120"),NOT($B851="N/A-CS"),NOT($N851="Common Space")),$E851,"")</f>
        <v/>
      </c>
      <c r="GH851" s="1853" t="str">
        <f t="shared" ref="GH851:GH888" si="168">IF(AND($C851=1, $P851="New Construction",NOT($B851="Unrestricted"),NOT($B851="NSP 120"),NOT($B851="N/A-CS"),NOT($N851="Common Space")),$E851,"")</f>
        <v/>
      </c>
      <c r="GI851" s="1853" t="str">
        <f t="shared" ref="GI851:GI888" si="169">IF(AND($C851=2, $P851="New Construction",NOT($B851="Unrestricted"),NOT($B851="NSP 120"),NOT($B851="N/A-CS"),NOT($N851="Common Space")),$E851,"")</f>
        <v/>
      </c>
      <c r="GJ851" s="1853" t="str">
        <f t="shared" ref="GJ851:GJ888" si="170">IF(AND($C851=3, $P851="New Construction",NOT($B851="Unrestricted"),NOT($B851="NSP 120"),NOT($B851="N/A-CS"),NOT($N851="Common Space")),$E851,"")</f>
        <v/>
      </c>
      <c r="GK851" s="1853" t="str">
        <f t="shared" ref="GK851:GK888" si="171">IF(AND($C851=4, $P851="New Construction",NOT($B851="Unrestricted"),NOT($B851="NSP 120"),NOT($B851="N/A-CS"),NOT($N851="Common Space")),$E851,"")</f>
        <v/>
      </c>
      <c r="GL851" s="1853" t="str">
        <f t="shared" ref="GL851:GL888" si="172">IF(AND($C851="Efficiency", $P851="New Construction",$B851="Unrestricted",NOT($B851="N/A-CS"),NOT($N851="Common Space")),$E851,"")</f>
        <v/>
      </c>
      <c r="GM851" s="1853" t="str">
        <f t="shared" ref="GM851:GM888" si="173">IF(AND($C851=1, $P851="New Construction",$B851="Unrestricted",NOT($B851="N/A-CS"),NOT($N851="Common Space")),$E851,"")</f>
        <v/>
      </c>
      <c r="GN851" s="1853" t="str">
        <f t="shared" ref="GN851:GN888" si="174">IF(AND($C851=2, $P851="New Construction",$B851="Unrestricted",NOT($B851="N/A-CS"),NOT($N851="Common Space")),$E851,"")</f>
        <v/>
      </c>
      <c r="GO851" s="1853" t="str">
        <f t="shared" ref="GO851:GO888" si="175">IF(AND($C851=3, $P851="New Construction",$B851="Unrestricted",NOT($B851="N/A-CS"),NOT($N851="Common Space")),$E851,"")</f>
        <v/>
      </c>
      <c r="GP851" s="1853" t="str">
        <f t="shared" ref="GP851:GP888" si="176">IF(AND($C851=4, $P851="New Construction",$B851="Unrestricted",NOT($B851="N/A-CS"),NOT($N851="Common Space")),$E851,"")</f>
        <v/>
      </c>
      <c r="GQ851" s="1853" t="str">
        <f t="shared" ref="GQ851:GQ888" si="177">IF(AND($C851="Efficiency", $P851="New Construction",$B851="N/A-CS",$N851="Common Space"),$E851,"")</f>
        <v/>
      </c>
      <c r="GR851" s="1853" t="str">
        <f t="shared" ref="GR851:GR888" si="178">IF(AND($C851=1, $P851="New Construction",$B851="N/A-CS",$N851="Common Space"),$E851,"")</f>
        <v/>
      </c>
      <c r="GS851" s="1853" t="str">
        <f t="shared" ref="GS851:GS888" si="179">IF(AND($C851=2, $P851="New Construction",$B851="N/A-CS",$N851="Common Space"),$E851,"")</f>
        <v/>
      </c>
      <c r="GT851" s="1853" t="str">
        <f t="shared" ref="GT851:GT888" si="180">IF(AND($C851=3, $P851="New Construction",$B851="N/A-CS",$N851="Common Space"),$E851,"")</f>
        <v/>
      </c>
      <c r="GU851" s="1853" t="str">
        <f t="shared" ref="GU851:GU888" si="181">IF(AND($C851=4, $P851="New Construction",$B851="N/A-CS",$N851="Common Space"),$E851,"")</f>
        <v/>
      </c>
      <c r="GV851" s="1853" t="str">
        <f t="shared" ref="GV851:GV888" si="182">IF(AND($C851="Efficiency", $P851="Acquisition/Rehab",NOT($B851="Unrestricted"),NOT($B851="NSP 120"),NOT($B851="N/A-CS"),NOT($N851="Common Space")),$E851,"")</f>
        <v/>
      </c>
      <c r="GW851" s="1853" t="str">
        <f t="shared" ref="GW851:GW888" si="183">IF(AND($C851=1, $P851="Acquisition/Rehab",NOT($B851="Unrestricted"),NOT($B851="NSP 120"),NOT($B851="N/A-CS"),NOT($N851="Common Space")),$E851,"")</f>
        <v/>
      </c>
      <c r="GX851" s="1853" t="str">
        <f t="shared" ref="GX851:GX888" si="184">IF(AND($C851=2, $P851="Acquisition/Rehab",NOT($B851="Unrestricted"),NOT($B851="NSP 120"),NOT($B851="N/A-CS"),NOT($N851="Common Space")),$E851,"")</f>
        <v/>
      </c>
      <c r="GY851" s="1853" t="str">
        <f t="shared" ref="GY851:GY888" si="185">IF(AND($C851=3, $P851="Acquisition/Rehab",NOT($B851="Unrestricted"),NOT($B851="NSP 120"),NOT($B851="N/A-CS"),NOT($N851="Common Space")),$E851,"")</f>
        <v/>
      </c>
      <c r="GZ851" s="1853" t="str">
        <f t="shared" ref="GZ851:GZ888" si="186">IF(AND($C851=4, $P851="Acquisition/Rehab",NOT($B851="Unrestricted"),NOT($B851="NSP 120"),NOT($B851="N/A-CS"),NOT($N851="Common Space")),$E851,"")</f>
        <v/>
      </c>
      <c r="HA851" s="1853" t="str">
        <f t="shared" ref="HA851:HA888" si="187">IF(AND($C851="Efficiency", $P851="Acquisition/Rehab",$B851="Unrestricted",NOT($B851="N/A-CS"),NOT($N851="Common Space")),$E851,"")</f>
        <v/>
      </c>
      <c r="HB851" s="1853" t="str">
        <f t="shared" ref="HB851:HB888" si="188">IF(AND($C851=1, $P851="Acquisition/Rehab",$B851="Unrestricted",NOT($B851="N/A-CS"),NOT($N851="Common Space")),$E851,"")</f>
        <v/>
      </c>
      <c r="HC851" s="1853" t="str">
        <f t="shared" ref="HC851:HC888" si="189">IF(AND($C851=2, $P851="Acquisition/Rehab",$B851="Unrestricted",NOT($B851="N/A-CS"),NOT($N851="Common Space")),$E851,"")</f>
        <v/>
      </c>
      <c r="HD851" s="1853" t="str">
        <f t="shared" ref="HD851:HD888" si="190">IF(AND($C851=3, $P851="Acquisition/Rehab",$B851="Unrestricted",NOT($B851="N/A-CS"),NOT($N851="Common Space")),$E851,"")</f>
        <v/>
      </c>
      <c r="HE851" s="1853" t="str">
        <f t="shared" ref="HE851:HE888" si="191">IF(AND($C851=4, $P851="Acquisition/Rehab",$B851="Unrestricted",NOT($B851="N/A-CS"),NOT($N851="Common Space")),$E851,"")</f>
        <v/>
      </c>
      <c r="HF851" s="1853" t="str">
        <f t="shared" ref="HF851:HF888" si="192">IF(AND($C851="Efficiency", $P851="Acquisition/Rehab",$B851="N/A-CS",$N851="Common Space"),$E851,"")</f>
        <v/>
      </c>
      <c r="HG851" s="1853" t="str">
        <f t="shared" ref="HG851:HG888" si="193">IF(AND($C851=1, $P851="Acquisition/Rehab",$B851="N/A-CS",$N851="Common Space"),$E851,"")</f>
        <v/>
      </c>
      <c r="HH851" s="1853" t="str">
        <f t="shared" ref="HH851:HH888" si="194">IF(AND($C851=2, $P851="Acquisition/Rehab",$B851="N/A-CS",$N851="Common Space"),$E851,"")</f>
        <v/>
      </c>
      <c r="HI851" s="1853" t="str">
        <f t="shared" ref="HI851:HI888" si="195">IF(AND($C851=3, $P851="Acquisition/Rehab",$B851="N/A-CS",$N851="Common Space"),$E851,"")</f>
        <v/>
      </c>
      <c r="HJ851" s="1853" t="str">
        <f t="shared" ref="HJ851:HJ888" si="196">IF(AND($C851=4, $P851="Acquisition/Rehab",$B851="N/A-CS",$N851="Common Space"),$E851,"")</f>
        <v/>
      </c>
      <c r="HK851" s="1853" t="str">
        <f t="shared" ref="HK851:HK888" si="197">IF(AND($C851="Efficiency", $P851="Rehabilitation",NOT($B851="Unrestricted"),NOT($B851="NSP 120"),NOT($B851="N/A-CS"),NOT($N851="Common Space")),$E851,"")</f>
        <v/>
      </c>
      <c r="HL851" s="1853" t="str">
        <f t="shared" ref="HL851:HL888" si="198">IF(AND($C851=1, $P851="Rehabilitation",NOT($B851="Unrestricted"),NOT($B851="NSP 120"),NOT($B851="N/A-CS"),NOT($N851="Common Space")),$E851,"")</f>
        <v/>
      </c>
      <c r="HM851" s="1853" t="str">
        <f t="shared" ref="HM851:HM888" si="199">IF(AND($C851=2, $P851="Rehabilitation",NOT($B851="Unrestricted"),NOT($B851="NSP 120"),NOT($B851="N/A-CS"),NOT($N851="Common Space")),$E851,"")</f>
        <v/>
      </c>
      <c r="HN851" s="1853" t="str">
        <f t="shared" ref="HN851:HN888" si="200">IF(AND($C851=3, $P851="Rehabilitation",NOT($B851="Unrestricted"),NOT($B851="NSP 120"),NOT($B851="N/A-CS"),NOT($N851="Common Space")),$E851,"")</f>
        <v/>
      </c>
      <c r="HO851" s="1853" t="str">
        <f t="shared" ref="HO851:HO888" si="201">IF(AND($C851=4, $P851="Rehabilitation",NOT($B851="Unrestricted"),NOT($B851="NSP 120"),NOT($B851="N/A-CS"),NOT($N851="Common Space")),$E851,"")</f>
        <v/>
      </c>
      <c r="HP851" s="1853" t="str">
        <f t="shared" ref="HP851:HP888" si="202">IF(AND($C851="Efficiency", $P851="Rehabilitation",$B851="Unrestricted",NOT($B851="N/A-CS"),NOT($N851="Common Space")),$E851,"")</f>
        <v/>
      </c>
      <c r="HQ851" s="1853" t="str">
        <f t="shared" ref="HQ851:HQ888" si="203">IF(AND($C851=1, $P851="Rehabilitation",$B851="Unrestricted",NOT($B851="N/A-CS"),NOT($N851="Common Space")),$E851,"")</f>
        <v/>
      </c>
      <c r="HR851" s="1853" t="str">
        <f t="shared" ref="HR851:HR888" si="204">IF(AND($C851=2, $P851="Rehabilitation",$B851="Unrestricted",NOT($B851="N/A-CS"),NOT($N851="Common Space")),$E851,"")</f>
        <v/>
      </c>
      <c r="HS851" s="1853" t="str">
        <f t="shared" ref="HS851:HS888" si="205">IF(AND($C851=3, $P851="Rehabilitation",$B851="Unrestricted",NOT($B851="N/A-CS"),NOT($N851="Common Space")),$E851,"")</f>
        <v/>
      </c>
      <c r="HT851" s="1853" t="str">
        <f t="shared" ref="HT851:HT888" si="206">IF(AND($C851=4, $P851="Rehabilitation",$B851="Unrestricted",NOT($B851="N/A-CS"),NOT($N851="Common Space")),$E851,"")</f>
        <v/>
      </c>
      <c r="HU851" s="1853" t="str">
        <f t="shared" ref="HU851:HU888" si="207">IF(AND($C851="Efficiency", $P851="Rehabilitation",$B851="N/A-CS",$N851="Common Space"),$E851,"")</f>
        <v/>
      </c>
      <c r="HV851" s="1853" t="str">
        <f t="shared" ref="HV851:HV888" si="208">IF(AND($C851=1, $P851="Rehabilitation",$B851="N/A-CS",$N851="Common Space"),$E851,"")</f>
        <v/>
      </c>
      <c r="HW851" s="1853" t="str">
        <f t="shared" ref="HW851:HW888" si="209">IF(AND($C851=2, $P851="Rehabilitation",$B851="N/A-CS",$N851="Common Space"),$E851,"")</f>
        <v/>
      </c>
      <c r="HX851" s="1853" t="str">
        <f t="shared" ref="HX851:HX888" si="210">IF(AND($C851=3, $P851="Rehabilitation",$B851="N/A-CS",$N851="Common Space"),$E851,"")</f>
        <v/>
      </c>
      <c r="HY851" s="1853" t="str">
        <f t="shared" ref="HY851:HY888" si="211">IF(AND($C851=4, $P851="Rehabilitation",$B851="N/A-CS",$N851="Common Space"),$E851,"")</f>
        <v/>
      </c>
      <c r="HZ851" s="2141" t="str">
        <f t="shared" ref="HZ851:HZ888" si="212">IF(AND($C851="Efficiency", NOT(OR($O851="SF Detached",$O851="Mfd Home",$O851="Semi-Detached",$O851="Row House/TH"))),$E851,"")</f>
        <v/>
      </c>
      <c r="IA851" s="2141" t="str">
        <f t="shared" ref="IA851:IA888" si="213">IF(AND($C851=1, NOT(OR($O851="SF Detached",$O851="Mfd Home",$O851="Semi-Detached",$O851="Row House/TH"))),$E851,"")</f>
        <v/>
      </c>
      <c r="IB851" s="2141" t="str">
        <f t="shared" ref="IB851:IB888" si="214">IF(AND($C851=2, NOT(OR($O851="SF Detached",$O851="Mfd Home",$O851="Semi-Detached",$O851="Row House/TH"))),$E851,"")</f>
        <v/>
      </c>
      <c r="IC851" s="2141" t="str">
        <f t="shared" ref="IC851:IC888" si="215">IF(AND($C851=3, NOT(OR($O851="SF Detached",$O851="Mfd Home",$O851="Semi-Detached",$O851="Row House/TH"))),$E851,"")</f>
        <v/>
      </c>
      <c r="ID851" s="2141" t="str">
        <f t="shared" ref="ID851:ID888" si="216">IF(AND($C851=4, NOT(OR($O851="SF Detached",$O851="Mfd Home",$O851="Semi-Detached",$O851="Row House/TH"))),$E851,"")</f>
        <v/>
      </c>
      <c r="IE851" s="2141" t="str">
        <f t="shared" ref="IE851:IE888" si="217">IF(AND($C851="Efficiency", $O851="SF Detached",NOT($Q851="Yes")),$E851,"")</f>
        <v/>
      </c>
      <c r="IF851" s="2141" t="str">
        <f t="shared" ref="IF851:IF888" si="218">IF(AND($C851=1, $O851="SF Detached",NOT($Q851="Yes")),$E851,"")</f>
        <v/>
      </c>
      <c r="IG851" s="2141" t="str">
        <f t="shared" ref="IG851:IG888" si="219">IF(AND($C851=2, $O851="SF Detached",NOT($Q851="Yes")),$E851,"")</f>
        <v/>
      </c>
      <c r="IH851" s="2141" t="str">
        <f t="shared" ref="IH851:IH888" si="220">IF(AND($C851=3, $O851="SF Detached",NOT($Q851="Yes")),$E851,"")</f>
        <v/>
      </c>
      <c r="II851" s="2141" t="str">
        <f t="shared" ref="II851:II888" si="221">IF(AND($C851=4, $O851="SF Detached",NOT($Q851="Yes")),$E851,"")</f>
        <v/>
      </c>
      <c r="IJ851" s="2141" t="str">
        <f t="shared" ref="IJ851:IJ888" si="222">IF(AND($C851="Efficiency", $O851="SF Detached",$Q851="Yes"),$E851,"")</f>
        <v/>
      </c>
      <c r="IK851" s="2141" t="str">
        <f t="shared" ref="IK851:IK888" si="223">IF(AND($C851=1, $O851="SF Detached",$Q851="Yes"),$E851,"")</f>
        <v/>
      </c>
      <c r="IL851" s="2141" t="str">
        <f t="shared" ref="IL851:IL888" si="224">IF(AND($C851=2, $O851="SF Detached",$Q851="Yes"),$E851,"")</f>
        <v/>
      </c>
      <c r="IM851" s="2141" t="str">
        <f t="shared" ref="IM851:IM888" si="225">IF(AND($C851=3, $O851="SF Detached",$Q851="Yes"),$E851,"")</f>
        <v/>
      </c>
      <c r="IN851" s="2141" t="str">
        <f t="shared" ref="IN851:IN888" si="226">IF(AND($C851=4, $O851="SF Detached",$Q851="Yes"),$E851,"")</f>
        <v/>
      </c>
      <c r="IO851" s="2141" t="str">
        <f t="shared" ref="IO851:IO888" si="227">IF(AND($C851="Efficiency", $O851="Mfd Home",NOT($Q851="Yes")),$E851,"")</f>
        <v/>
      </c>
      <c r="IP851" s="2141" t="str">
        <f t="shared" ref="IP851:IP888" si="228">IF(AND($C851=1, $O851="Mfd Home",NOT($Q851="Yes")),$E851,"")</f>
        <v/>
      </c>
      <c r="IQ851" s="2141" t="str">
        <f t="shared" ref="IQ851:IQ888" si="229">IF(AND($C851=2, $O851="Mfd Home",NOT($Q851="Yes")),$E851,"")</f>
        <v/>
      </c>
      <c r="IR851" s="2141" t="str">
        <f t="shared" ref="IR851:IR888" si="230">IF(AND($C851=3, $O851="Mfd Home",NOT($Q851="Yes")),$E851,"")</f>
        <v/>
      </c>
      <c r="IS851" s="2141" t="str">
        <f t="shared" ref="IS851:IS888" si="231">IF(AND($C851=4, $O851="Mfd Home",NOT($Q851="Yes")),$E851,"")</f>
        <v/>
      </c>
      <c r="IT851" s="2141" t="str">
        <f t="shared" ref="IT851:IT888" si="232">IF(AND($C851="Efficiency", $O851="Mfd Home",$Q851="Yes"),$E851,"")</f>
        <v/>
      </c>
      <c r="IU851" s="2141" t="str">
        <f t="shared" ref="IU851:IU888" si="233">IF(AND($C851=1, $O851="Mfd Home",$Q851="Yes"),$E851,"")</f>
        <v/>
      </c>
      <c r="IV851" s="2141" t="str">
        <f t="shared" ref="IV851:IV888" si="234">IF(AND($C851=2, $O851="Mfd Home",$Q851="Yes"),$E851,"")</f>
        <v/>
      </c>
      <c r="IW851" s="2141" t="str">
        <f t="shared" ref="IW851:IW888" si="235">IF(AND($C851=3, $O851="Mfd Home",$Q851="Yes"),$E851,"")</f>
        <v/>
      </c>
      <c r="IX851" s="2141" t="str">
        <f t="shared" ref="IX851:IX888" si="236">IF(AND($C851=4, $O851="Mfd Home",$Q851="Yes"),$E851,"")</f>
        <v/>
      </c>
      <c r="IY851" s="2141" t="str">
        <f t="shared" ref="IY851:IY888" si="237">IF(AND($C851="Efficiency", $O851="Semi-Detached",NOT($Q851="Yes")),$E851,"")</f>
        <v/>
      </c>
      <c r="IZ851" s="2141" t="str">
        <f t="shared" ref="IZ851:IZ888" si="238">IF(AND($C851=1, $O851="Semi-Detached",NOT($Q851="Yes")),$E851,"")</f>
        <v/>
      </c>
      <c r="JA851" s="2141" t="str">
        <f t="shared" ref="JA851:JA888" si="239">IF(AND($C851=2, $O851="Semi-Detached",NOT($Q851="Yes")),$E851,"")</f>
        <v/>
      </c>
      <c r="JB851" s="2141" t="str">
        <f t="shared" ref="JB851:JB888" si="240">IF(AND($C851=3, $O851="Semi-Detached",NOT($Q851="Yes")),$E851,"")</f>
        <v/>
      </c>
      <c r="JC851" s="2141" t="str">
        <f t="shared" ref="JC851:JC888" si="241">IF(AND($C851=4, $O851="Semi-Detached",NOT($Q851="Yes")),$E851,"")</f>
        <v/>
      </c>
      <c r="JD851" s="2141" t="str">
        <f t="shared" ref="JD851:JD888" si="242">IF(AND($C851="Efficiency", $O851="Semi-Detached",$Q851="Yes"),$E851,"")</f>
        <v/>
      </c>
      <c r="JE851" s="2141" t="str">
        <f t="shared" ref="JE851:JE888" si="243">IF(AND($C851=1, $O851="Semi-Detached",$Q851="Yes"),$E851,"")</f>
        <v/>
      </c>
      <c r="JF851" s="2141" t="str">
        <f t="shared" ref="JF851:JF888" si="244">IF(AND($C851=2, $O851="Semi-Detached",$Q851="Yes"),$E851,"")</f>
        <v/>
      </c>
      <c r="JG851" s="2141" t="str">
        <f t="shared" ref="JG851:JG888" si="245">IF(AND($C851=3, $O851="Semi-Detached",$Q851="Yes"),$E851,"")</f>
        <v/>
      </c>
      <c r="JH851" s="2141" t="str">
        <f t="shared" ref="JH851:JH888" si="246">IF(AND($C851=4, $O851="Semi-Detached",$Q851="Yes"),$E851,"")</f>
        <v/>
      </c>
      <c r="JI851" s="2141" t="str">
        <f t="shared" ref="JI851:JI888" si="247">IF(AND($C851="Efficiency", $O851="Row House/TH",NOT($Q851="Yes")),$E851,"")</f>
        <v/>
      </c>
      <c r="JJ851" s="2141" t="str">
        <f t="shared" ref="JJ851:JJ888" si="248">IF(AND($C851=1, $O851="Row House/TH",NOT($Q851="Yes")),$E851,"")</f>
        <v/>
      </c>
      <c r="JK851" s="2141" t="str">
        <f t="shared" ref="JK851:JK888" si="249">IF(AND($C851=2, $O851="Row House/TH",NOT($Q851="Yes")),$E851,"")</f>
        <v/>
      </c>
      <c r="JL851" s="2141" t="str">
        <f t="shared" ref="JL851:JL888" si="250">IF(AND($C851=3, $O851="Row House/TH",NOT($Q851="Yes")),$E851,"")</f>
        <v/>
      </c>
      <c r="JM851" s="2141" t="str">
        <f t="shared" ref="JM851:JM888" si="251">IF(AND($C851=4, $O851="Row House/TH",NOT($Q851="Yes")),$E851,"")</f>
        <v/>
      </c>
      <c r="JN851" s="2141" t="str">
        <f t="shared" ref="JN851:JN888" si="252">IF(AND($C851="Efficiency", $O851="Row House/TH",$Q851="Yes"),$E851,"")</f>
        <v/>
      </c>
      <c r="JO851" s="2141" t="str">
        <f t="shared" ref="JO851:JO888" si="253">IF(AND($C851=1, $O851="Row House/TH",$Q851="Yes"),$E851,"")</f>
        <v/>
      </c>
      <c r="JP851" s="2141" t="str">
        <f t="shared" ref="JP851:JP888" si="254">IF(AND($C851=2, $O851="Row House/TH",$Q851="Yes"),$E851,"")</f>
        <v/>
      </c>
      <c r="JQ851" s="2141" t="str">
        <f t="shared" ref="JQ851:JQ888" si="255">IF(AND($C851=3, $O851="Row House/TH",$Q851="Yes"),$E851,"")</f>
        <v/>
      </c>
      <c r="JR851" s="2141" t="str">
        <f t="shared" ref="JR851:JR888" si="256">IF(AND($C851=4, $O851="Row House/TH",$Q851="Yes"),$E851,"")</f>
        <v/>
      </c>
      <c r="JS851" s="2141" t="str">
        <f t="shared" ref="JS851:JS888" si="257">IF(AND($C851="Efficiency", $O851="Low-Rise Apt",NOT($Q851="Yes")),$E851,"")</f>
        <v/>
      </c>
      <c r="JT851" s="2141" t="str">
        <f t="shared" ref="JT851:JT888" si="258">IF(AND($C851=1, $O851="Low-Rise Apt",NOT($Q851="Yes")),$E851,"")</f>
        <v/>
      </c>
      <c r="JU851" s="2141" t="str">
        <f t="shared" ref="JU851:JU888" si="259">IF(AND($C851=2, $O851="Low-Rise Apt",NOT($Q851="Yes")),$E851,"")</f>
        <v/>
      </c>
      <c r="JV851" s="2141" t="str">
        <f t="shared" ref="JV851:JV888" si="260">IF(AND($C851=3, $O851="Low-Rise Apt",NOT($Q851="Yes")),$E851,"")</f>
        <v/>
      </c>
      <c r="JW851" s="2141" t="str">
        <f t="shared" ref="JW851:JW888" si="261">IF(AND($C851=4, $O851="Low-Rise Apt",NOT($Q851="Yes")),$E851,"")</f>
        <v/>
      </c>
      <c r="JX851" s="2141" t="str">
        <f t="shared" ref="JX851:JX888" si="262">IF(AND($C851="Efficiency", $O851="Low-Rise Elevator",NOT($Q851="Yes")),$E851,"")</f>
        <v/>
      </c>
      <c r="JY851" s="2141" t="str">
        <f t="shared" ref="JY851:JY888" si="263">IF(AND($C851=1, $O851="Low-Rise Elevator",NOT($Q851="Yes")),$E851,"")</f>
        <v/>
      </c>
      <c r="JZ851" s="2141" t="str">
        <f t="shared" ref="JZ851:JZ888" si="264">IF(AND($C851=2, $O851="Low-Rise Elevator",NOT($Q851="Yes")),$E851,"")</f>
        <v/>
      </c>
      <c r="KA851" s="2141" t="str">
        <f t="shared" ref="KA851:KA888" si="265">IF(AND($C851=3, $O851="Low-Rise Elevator",NOT($Q851="Yes")),$E851,"")</f>
        <v/>
      </c>
      <c r="KB851" s="2141" t="str">
        <f t="shared" ref="KB851:KB888" si="266">IF(AND($C851=4, $O851="Low-Rise Elevator",NOT($Q851="Yes")),$E851,"")</f>
        <v/>
      </c>
      <c r="KC851" s="2141" t="str">
        <f t="shared" ref="KC851:KC888" si="267">IF(AND($C851="Efficiency", $O851="Low-Rise Apt",$Q851="Yes"),$E851,"")</f>
        <v/>
      </c>
      <c r="KD851" s="2141" t="str">
        <f t="shared" ref="KD851:KD888" si="268">IF(AND($C851=1, $O851="Low-Rise Apt",$Q851="Yes"),$E851,"")</f>
        <v/>
      </c>
      <c r="KE851" s="2141" t="str">
        <f t="shared" ref="KE851:KE888" si="269">IF(AND($C851=2, $O851="Low-Rise Apt",$Q851="Yes"),$E851,"")</f>
        <v/>
      </c>
      <c r="KF851" s="2141" t="str">
        <f t="shared" ref="KF851:KF888" si="270">IF(AND($C851=3, $O851="Low-Rise Apt",$Q851="Yes"),$E851,"")</f>
        <v/>
      </c>
      <c r="KG851" s="2141" t="str">
        <f t="shared" ref="KG851:KG888" si="271">IF(AND($C851=4, $O851="Low-Rise Apt",$Q851="Yes"),$E851,"")</f>
        <v/>
      </c>
      <c r="KH851" s="2141" t="str">
        <f t="shared" ref="KH851:KH888" si="272">IF(AND($C851="Efficiency", $O851="Low-Rise Elevator",$Q851="Yes"),$E851,"")</f>
        <v/>
      </c>
      <c r="KI851" s="2141" t="str">
        <f t="shared" ref="KI851:KI888" si="273">IF(AND($C851=1, $O851="Low-Rise Elevator",$Q851="Yes"),$E851,"")</f>
        <v/>
      </c>
      <c r="KJ851" s="2141" t="str">
        <f t="shared" ref="KJ851:KJ888" si="274">IF(AND($C851=2, $O851="Low-Rise Elevator",$Q851="Yes"),$E851,"")</f>
        <v/>
      </c>
      <c r="KK851" s="2141" t="str">
        <f t="shared" ref="KK851:KK888" si="275">IF(AND($C851=3, $O851="Low-Rise Elevator",$Q851="Yes"),$E851,"")</f>
        <v/>
      </c>
      <c r="KL851" s="2141" t="str">
        <f t="shared" ref="KL851:KL888" si="276">IF(AND($C851=4, $O851="Low-Rise Elevator",$Q851="Yes"),$E851,"")</f>
        <v/>
      </c>
      <c r="KM851" s="2141" t="str">
        <f t="shared" ref="KM851:KM888" si="277">IF(AND($C851="Efficiency", $O851="High-Rise Apt",NOT($Q851="Yes")),$E851,"")</f>
        <v/>
      </c>
      <c r="KN851" s="2141" t="str">
        <f t="shared" ref="KN851:KN888" si="278">IF(AND($C851=1, $O851="High-Rise Apt",NOT($Q851="Yes")),$E851,"")</f>
        <v/>
      </c>
      <c r="KO851" s="2141" t="str">
        <f t="shared" ref="KO851:KO888" si="279">IF(AND($C851=2, $O851="High-Rise Apt",NOT($Q851="Yes")),$E851,"")</f>
        <v/>
      </c>
      <c r="KP851" s="2141" t="str">
        <f t="shared" ref="KP851:KP888" si="280">IF(AND($C851=3, $O851="High-Rise Apt",NOT($Q851="Yes")),$E851,"")</f>
        <v/>
      </c>
      <c r="KQ851" s="2141" t="str">
        <f t="shared" ref="KQ851:KQ888" si="281">IF(AND($C851=4, $O851="High-Rise Apt",NOT($Q851="Yes")),$E851,"")</f>
        <v/>
      </c>
      <c r="KR851" s="2141" t="str">
        <f t="shared" ref="KR851:KR888" si="282">IF(AND($C851="Efficiency", $O851="High-Rise Elevator",NOT($Q851="Yes")),$E851,"")</f>
        <v/>
      </c>
      <c r="KS851" s="2141" t="str">
        <f t="shared" ref="KS851:KS888" si="283">IF(AND($C851=1, $O851="High-Rise Elevator",NOT($Q851="Yes")),$E851,"")</f>
        <v/>
      </c>
      <c r="KT851" s="2141" t="str">
        <f t="shared" ref="KT851:KT888" si="284">IF(AND($C851=2, $O851="High-Rise Elevator",NOT($Q851="Yes")),$E851,"")</f>
        <v/>
      </c>
      <c r="KU851" s="2141" t="str">
        <f t="shared" ref="KU851:KU888" si="285">IF(AND($C851=3, $O851="High-Rise Elevator",NOT($Q851="Yes")),$E851,"")</f>
        <v/>
      </c>
      <c r="KV851" s="2141" t="str">
        <f t="shared" ref="KV851:KV888" si="286">IF(AND($C851=4, $O851="High-Rise Elevator",NOT($Q851="Yes")),$E851,"")</f>
        <v/>
      </c>
      <c r="KW851" s="2141" t="str">
        <f t="shared" ref="KW851:KW888" si="287">IF(AND($C851="Efficiency", $O851="High-Rise Apt",$Q851="Yes"),$E851,"")</f>
        <v/>
      </c>
      <c r="KX851" s="2141" t="str">
        <f t="shared" ref="KX851:KX888" si="288">IF(AND($C851=1, $O851="High-Rise Apt",$Q851="Yes"),$E851,"")</f>
        <v/>
      </c>
      <c r="KY851" s="2141" t="str">
        <f t="shared" ref="KY851:KY888" si="289">IF(AND($C851=2, $O851="High-Rise Apt",$Q851="Yes"),$E851,"")</f>
        <v/>
      </c>
      <c r="KZ851" s="2141" t="str">
        <f t="shared" ref="KZ851:KZ888" si="290">IF(AND($C851=3, $O851="High-Rise Apt",$Q851="Yes"),$E851,"")</f>
        <v/>
      </c>
      <c r="LA851" s="2141" t="str">
        <f t="shared" ref="LA851:LA888" si="291">IF(AND($C851=4, $O851="High-Rise Apt",$Q851="Yes"),$E851,"")</f>
        <v/>
      </c>
      <c r="LB851" s="2141" t="str">
        <f t="shared" ref="LB851:LB888" si="292">IF(AND($C851="Efficiency", $O851="High-Rise Elevator",$Q851="Yes"),$E851,"")</f>
        <v/>
      </c>
      <c r="LC851" s="2141" t="str">
        <f t="shared" ref="LC851:LC888" si="293">IF(AND($C851=1, $O851="High-Rise Elevator",$Q851="Yes"),$E851,"")</f>
        <v/>
      </c>
      <c r="LD851" s="2141" t="str">
        <f t="shared" ref="LD851:LD888" si="294">IF(AND($C851=2, $O851="High-Rise Elevator",$Q851="Yes"),$E851,"")</f>
        <v/>
      </c>
      <c r="LE851" s="2141" t="str">
        <f t="shared" ref="LE851:LE888" si="295">IF(AND($C851=3, $O851="High-Rise Elevator",$Q851="Yes"),$E851,"")</f>
        <v/>
      </c>
      <c r="LF851" s="2141" t="str">
        <f t="shared" ref="LF851:LF888" si="296">IF(AND($C851=4, $O851="High-Rise Elevator",$Q851="Yes"),$E851,"")</f>
        <v/>
      </c>
      <c r="LG851" s="2052" t="str">
        <f t="shared" ref="LG851:LG888" si="297">IF(AND($B851="NSP 120% AMI",$C851="Efficiency", NOT($N851="Common Space")),$E851,"")</f>
        <v/>
      </c>
      <c r="LH851" s="2052" t="str">
        <f t="shared" ref="LH851:LH888" si="298">IF(AND($B851="NSP 120% AMI",$C851=1,NOT($N851="Common Space")),$E851,"")</f>
        <v/>
      </c>
      <c r="LI851" s="2052" t="str">
        <f t="shared" ref="LI851:LI888" si="299">IF(AND($B851="NSP 120% AMI",$C851=2,NOT($N851="Common Space")),$E851,"")</f>
        <v/>
      </c>
      <c r="LJ851" s="2052" t="str">
        <f t="shared" ref="LJ851:LJ888" si="300">IF(AND($B851="NSP 120% AMI",$C851=3,NOT($N851="Common Space")),$E851,"")</f>
        <v/>
      </c>
      <c r="LK851" s="2052" t="str">
        <f t="shared" ref="LK851:LK888" si="301">IF(AND($B851="NSP 120% AMI",$C851=4,NOT($N851="Common Space")),$E851,"")</f>
        <v/>
      </c>
      <c r="LL851" s="1853" t="str">
        <f t="shared" ref="LL851:LL888" si="302">IF(AND(C851="Efficiency",B851="NSP 120% AMI",NOT(N851="Common Space")),E851*F851,"")</f>
        <v/>
      </c>
      <c r="LM851" s="1853" t="str">
        <f t="shared" ref="LM851:LM888" si="303">IF(AND(C851=1,B851="NSP 120% AMI",NOT(N851="Common Space")),E851*F851,"")</f>
        <v/>
      </c>
      <c r="LN851" s="1853" t="str">
        <f t="shared" ref="LN851:LN888" si="304">IF(AND(C851=2,B851="NSP 120% AMI",NOT(N851="Common Space")),E851*F851,"")</f>
        <v/>
      </c>
      <c r="LO851" s="1853" t="str">
        <f t="shared" ref="LO851:LO888" si="305">IF(AND(C851=3,B851="NSP 120% AMI",NOT(N851="Common Space")),E851*F851,"")</f>
        <v/>
      </c>
      <c r="LP851" s="1853" t="str">
        <f t="shared" ref="LP851:LP888" si="306">IF(AND(C851=4,B851="NSP 120% AMI",NOT(N851="Common Space")),E851*F851,"")</f>
        <v/>
      </c>
      <c r="LQ851" s="1853" t="str">
        <f t="shared" ref="LQ851:LQ888" si="307">IF(AND($C851="Efficiency", $P851="New Construction",$B851="NSP 120% AMI",NOT($N851="Common Space")),$E851,"")</f>
        <v/>
      </c>
      <c r="LR851" s="1853" t="str">
        <f t="shared" ref="LR851:LR888" si="308">IF(AND($C851=1, $P851="New Construction",$B851="NSP 120% AMI",NOT($N851="Common Space")),$E851,"")</f>
        <v/>
      </c>
      <c r="LS851" s="1853" t="str">
        <f t="shared" ref="LS851:LS888" si="309">IF(AND($C851=2, $P851="New Construction",$B851="NSP 120% AMI",NOT($N851="Common Space")),$E851,"")</f>
        <v/>
      </c>
      <c r="LT851" s="1853" t="str">
        <f t="shared" ref="LT851:LT888" si="310">IF(AND($C851=3, $P851="New Construction",$B851="NSP 120% AMI",NOT($N851="Common Space")),$E851,"")</f>
        <v/>
      </c>
      <c r="LU851" s="1853" t="str">
        <f t="shared" ref="LU851:LU888" si="311">IF(AND($C851=4, $P851="New Construction",$B851="NSP 120% AMI",NOT($N851="Common Space")),$E851,"")</f>
        <v/>
      </c>
      <c r="LV851" s="1853" t="str">
        <f t="shared" ref="LV851:LV888" si="312">IF(AND($C851="Efficiency", $P851="Acquisition/Rehab",$B851="NSP 120% AMI",NOT($N851="Common Space")),$E851,"")</f>
        <v/>
      </c>
      <c r="LW851" s="1853" t="str">
        <f t="shared" ref="LW851:LW888" si="313">IF(AND($C851=1, $P851="Acquisition/Rehab",$B851="NSP 120% AMI",NOT($N851="Common Space")),$E851,"")</f>
        <v/>
      </c>
      <c r="LX851" s="1853" t="str">
        <f t="shared" ref="LX851:LX888" si="314">IF(AND($C851=2, $P851="Acquisition/Rehab",$B851="NSP 120% AMI",NOT($N851="Common Space")),$E851,"")</f>
        <v/>
      </c>
      <c r="LY851" s="1853" t="str">
        <f t="shared" ref="LY851:LY888" si="315">IF(AND($C851=3, $P851="Acquisition/Rehab",$B851="NSP 120% AMI",NOT($N851="Common Space")),$E851,"")</f>
        <v/>
      </c>
      <c r="LZ851" s="1853" t="str">
        <f t="shared" ref="LZ851:LZ888" si="316">IF(AND($C851=4, $P851="Acquisition/Rehab",$B851="NSP 120% AMI",NOT($N851="Common Space")),$E851,"")</f>
        <v/>
      </c>
      <c r="MA851" s="1853" t="str">
        <f t="shared" ref="MA851:MA888" si="317">IF(AND($C851="Efficiency", $P851="Rehabilitation",$B851="NSP 120% AMI",NOT($N851="Common Space")),$E851,"")</f>
        <v/>
      </c>
      <c r="MB851" s="1853" t="str">
        <f t="shared" ref="MB851:MB888" si="318">IF(AND($C851=1, $P851="Rehabilitation",$B851="NSP 120% AMI",NOT($N851="Common Space")),$E851,"")</f>
        <v/>
      </c>
      <c r="MC851" s="1853" t="str">
        <f t="shared" ref="MC851:MC888" si="319">IF(AND($C851=2, $P851="Rehabilitation",$B851="NSP 120% AMI",NOT($N851="Common Space")),$E851,"")</f>
        <v/>
      </c>
      <c r="MD851" s="1853" t="str">
        <f t="shared" ref="MD851:MD888" si="320">IF(AND($C851=3, $P851="Rehabilitation",$B851="NSP 120% AMI",NOT($N851="Common Space")),$E851,"")</f>
        <v/>
      </c>
      <c r="ME851" s="1853" t="str">
        <f t="shared" ref="ME851:ME888" si="321">IF(AND($C851=4, $P851="Rehabilitation",$B851="NSP 120% AMI",NOT($N851="Common Space")),$E851,"")</f>
        <v/>
      </c>
      <c r="MF851" s="2052">
        <f>IF(AND($C851="Efficiency",$E851&gt;0,OR($O851="Low-Rise Apt",$O851="Low-Rise Elevator",$O851="High-Rise Apt",$O851="High-Rise Elevator",$O851="Row House/TH"),OR($P851="Acquisition/Rehab",$P851="Rehabilitation"),NOT($Q851="Yes")),$E851,0)</f>
        <v>0</v>
      </c>
      <c r="MG851" s="2052">
        <f>IF(AND($C851=1,$E851&gt;0,OR($O851="Low-Rise Apt",$O851="Low-Rise Elevator",$O851="High-Rise Apt",$O851="High-Rise Elevator",$O851="Row House/TH"),OR($P851="Acquisition/Rehab",$P851="Rehabilitation"),NOT($Q851="Yes")),$E851,0)</f>
        <v>0</v>
      </c>
      <c r="MH851" s="2052">
        <f>IF(AND($C851=2,$E851&gt;0,OR($O851="Low-Rise Apt",$O851="Low-Rise Elevator",$O851="High-Rise Apt",$O851="High-Rise Elevator",$O851="Row House/TH"),OR($P851="Acquisition/Rehab",$P851="Rehabilitation"),NOT($Q851="Yes")),$E851,0)</f>
        <v>0</v>
      </c>
      <c r="MI851" s="2052">
        <f>IF(AND($C851=3,$E851&gt;0,OR($O851="Low-Rise Apt",$O851="Low-Rise Elevator",$O851="High-Rise Apt",$O851="High-Rise Elevator",$O851="Row House/TH"),OR($P851="Acquisition/Rehab",$P851="Rehabilitation"),NOT($Q851="Yes")),$E851,0)</f>
        <v>0</v>
      </c>
      <c r="MJ851" s="2052">
        <f>IF(AND($C851=4,$E851&gt;0,OR($O851="Low-Rise Apt",$O851="Low-Rise Elevator",$O851="High-Rise Apt",$O851="High-Rise Elevator",$O851="Row House/TH"),OR($P851="Acquisition/Rehab",$P851="Rehabilitation"),NOT($Q851="Yes")),$E851,0)</f>
        <v>0</v>
      </c>
      <c r="MK851" s="2052">
        <f>IF(AND($C851="Efficiency",$E851&gt;0,OR($O851="Low-Rise Apt",$O851="Low-Rise Elevator",$O851="High-Rise Apt",$O851="High-Rise Elevator",$O851="Row House/TH"),$P851="New Construction"),$E851,0)</f>
        <v>0</v>
      </c>
      <c r="ML851" s="2052">
        <f>IF(AND($C851=1,$E851&gt;0,OR($O851="Low-Rise Apt",$O851="Low-Rise Elevator",$O851="High-Rise Apt",$O851="High-Rise Elevator",$O851="Row House/TH"),$P851="New Construction"),$E851,0)</f>
        <v>0</v>
      </c>
      <c r="MM851" s="2052">
        <f>IF(AND($C851=2,$E851&gt;0,OR($O851="Low-Rise Apt",$O851="Low-Rise Elevator",$O851="High-Rise Apt",$O851="High-Rise Elevator",$O851="Row House/TH"),$P851="New Construction"),$E851,0)</f>
        <v>0</v>
      </c>
      <c r="MN851" s="2052">
        <f>IF(AND($C851=3,$E851&gt;0,OR($O851="Low-Rise Apt",$O851="Low-Rise Elevator",$O851="High-Rise Apt",$O851="High-Rise Elevator",$O851="Row House/TH"),$P851="New Construction"),$E851,0)</f>
        <v>0</v>
      </c>
      <c r="MO851" s="2052">
        <f>IF(AND($C851=4,$E851&gt;0,OR($O851="Low-Rise Apt",$O851="Low-Rise Elevator",$O851="High-Rise Apt",$O851="High-Rise Elevator",$O851="Row House/TH"),$P851="New Construction"),$E851,0)</f>
        <v>0</v>
      </c>
      <c r="MP851" s="2052">
        <f t="shared" ref="MP851:MP888" si="322">IF(AND($C851="Efficiency",$E851&gt;0,OR($O851="SF Detached",$O851="Semi-Detached",$O851="Mfd Home"),NOT($Q851="Yes")),$E851,0)</f>
        <v>0</v>
      </c>
      <c r="MQ851" s="2052">
        <f t="shared" ref="MQ851:MQ888" si="323">IF(AND($C851=1,$E851&gt;0,OR($O851="SF Detached",$O851="Semi-Detached",$O851="Mfd Home"),NOT($Q851="Yes")),$E851,0)</f>
        <v>0</v>
      </c>
      <c r="MR851" s="2052">
        <f t="shared" ref="MR851:MR888" si="324">IF(AND($C851=2,$E851&gt;0,OR($O851="SF Detached",$O851="Semi-Detached",$O851="Mfd Home"),NOT($Q851="Yes")),$E851,0)</f>
        <v>0</v>
      </c>
      <c r="MS851" s="2052">
        <f t="shared" ref="MS851:MS888" si="325">IF(AND($C851=3,$E851&gt;0,OR($O851="SF Detached",$O851="Semi-Detached",$O851="Mfd Home"),NOT($Q851="Yes")),$E851,0)</f>
        <v>0</v>
      </c>
      <c r="MT851" s="2052">
        <f t="shared" ref="MT851:MT888" si="326">IF(AND($C851=4,$E851&gt;0,OR($O851="SF Detached",$O851="Semi-Detached",$O851="Mfd Home"),NOT($Q851="Yes")),$E851,0)</f>
        <v>0</v>
      </c>
      <c r="NP851" s="1925" t="s">
        <v>6717</v>
      </c>
    </row>
    <row r="852" spans="1:380" s="1853" customFormat="1" ht="13.9" customHeight="1">
      <c r="A852" s="2109" t="str">
        <f t="shared" ref="A852:A888" si="327">IF(AND(E852&gt;0,OR(B852="",C852="",D852="",F852="",G852="", H852="",I852="",N852="",O852="",P852="",Q852="")),1,"")</f>
        <v/>
      </c>
      <c r="B852" s="2131" t="str">
        <f>'Part VI-Revenues &amp; Expenses'!B12</f>
        <v>N/A-CS</v>
      </c>
      <c r="C852" s="2132">
        <f>'Part VI-Revenues &amp; Expenses'!C12</f>
        <v>0</v>
      </c>
      <c r="D852" s="2133">
        <f>'Part VI-Revenues &amp; Expenses'!D12</f>
        <v>0</v>
      </c>
      <c r="E852" s="2134">
        <f>'Part VI-Revenues &amp; Expenses'!E12</f>
        <v>0</v>
      </c>
      <c r="F852" s="2134">
        <f>'Part VI-Revenues &amp; Expenses'!F12</f>
        <v>0</v>
      </c>
      <c r="G852" s="2134">
        <f>'Part VI-Revenues &amp; Expenses'!G12</f>
        <v>0</v>
      </c>
      <c r="H852" s="2134">
        <f>'Part VI-Revenues &amp; Expenses'!H12</f>
        <v>0</v>
      </c>
      <c r="I852" s="2134">
        <f>'Part VI-Revenues &amp; Expenses'!I12</f>
        <v>0</v>
      </c>
      <c r="J852" s="2134">
        <f>'Part VI-Revenues &amp; Expenses'!J12</f>
        <v>0</v>
      </c>
      <c r="K852" s="2135">
        <f>'Part VI-Revenues &amp; Expenses'!K12</f>
        <v>0</v>
      </c>
      <c r="L852" s="2136">
        <f t="shared" si="0"/>
        <v>0</v>
      </c>
      <c r="M852" s="2136">
        <f t="shared" si="1"/>
        <v>0</v>
      </c>
      <c r="N852" s="1917">
        <f>'Part VI-Revenues &amp; Expenses'!N12</f>
        <v>0</v>
      </c>
      <c r="O852" s="2137">
        <f>'Part VI-Revenues &amp; Expenses'!O12</f>
        <v>0</v>
      </c>
      <c r="P852" s="1917">
        <f>'Part VI-Revenues &amp; Expenses'!P12</f>
        <v>0</v>
      </c>
      <c r="Q852" s="2138">
        <f>'Part VI-Revenues &amp; Expenses'!Q12</f>
        <v>0</v>
      </c>
      <c r="R852" s="2139"/>
      <c r="S852" s="2140"/>
      <c r="T852" s="2044"/>
      <c r="U852" s="2044"/>
      <c r="V852" s="2044"/>
      <c r="W852" s="2044"/>
      <c r="X852" s="1853" t="str">
        <f t="shared" si="2"/>
        <v/>
      </c>
      <c r="Y852" s="1853" t="str">
        <f t="shared" si="3"/>
        <v/>
      </c>
      <c r="Z852" s="1853" t="str">
        <f t="shared" si="4"/>
        <v/>
      </c>
      <c r="AA852" s="1853" t="str">
        <f t="shared" si="5"/>
        <v/>
      </c>
      <c r="AB852" s="1853" t="str">
        <f t="shared" si="6"/>
        <v/>
      </c>
      <c r="AC852" s="1853" t="str">
        <f t="shared" si="7"/>
        <v/>
      </c>
      <c r="AD852" s="1853" t="str">
        <f t="shared" si="8"/>
        <v/>
      </c>
      <c r="AE852" s="1853" t="str">
        <f t="shared" si="9"/>
        <v/>
      </c>
      <c r="AF852" s="1853" t="str">
        <f t="shared" si="10"/>
        <v/>
      </c>
      <c r="AG852" s="1853" t="str">
        <f t="shared" si="11"/>
        <v/>
      </c>
      <c r="AH852" s="1853" t="str">
        <f t="shared" si="12"/>
        <v/>
      </c>
      <c r="AI852" s="1853" t="str">
        <f t="shared" si="13"/>
        <v/>
      </c>
      <c r="AJ852" s="1853" t="str">
        <f t="shared" si="14"/>
        <v/>
      </c>
      <c r="AK852" s="1853" t="str">
        <f t="shared" si="15"/>
        <v/>
      </c>
      <c r="AL852" s="1853" t="str">
        <f t="shared" si="16"/>
        <v/>
      </c>
      <c r="AM852" s="1853" t="str">
        <f t="shared" si="17"/>
        <v/>
      </c>
      <c r="AN852" s="1853" t="str">
        <f t="shared" si="18"/>
        <v/>
      </c>
      <c r="AO852" s="1853" t="str">
        <f t="shared" si="19"/>
        <v/>
      </c>
      <c r="AP852" s="1853" t="str">
        <f t="shared" si="20"/>
        <v/>
      </c>
      <c r="AQ852" s="1853" t="str">
        <f t="shared" si="21"/>
        <v/>
      </c>
      <c r="AR852" s="1853" t="str">
        <f t="shared" si="22"/>
        <v/>
      </c>
      <c r="AS852" s="1853" t="str">
        <f t="shared" si="23"/>
        <v/>
      </c>
      <c r="AT852" s="1853" t="str">
        <f t="shared" si="24"/>
        <v/>
      </c>
      <c r="AU852" s="1853" t="str">
        <f t="shared" si="25"/>
        <v/>
      </c>
      <c r="AV852" s="1853" t="str">
        <f t="shared" si="26"/>
        <v/>
      </c>
      <c r="AW852" s="1853" t="str">
        <f t="shared" si="27"/>
        <v/>
      </c>
      <c r="AX852" s="1853" t="str">
        <f t="shared" si="28"/>
        <v/>
      </c>
      <c r="AY852" s="1853" t="str">
        <f t="shared" si="29"/>
        <v/>
      </c>
      <c r="AZ852" s="1853" t="str">
        <f t="shared" si="30"/>
        <v/>
      </c>
      <c r="BA852" s="1853" t="str">
        <f t="shared" si="31"/>
        <v/>
      </c>
      <c r="BB852" s="1853" t="str">
        <f t="shared" si="32"/>
        <v/>
      </c>
      <c r="BC852" s="1853" t="str">
        <f t="shared" si="33"/>
        <v/>
      </c>
      <c r="BD852" s="1853" t="str">
        <f t="shared" si="34"/>
        <v/>
      </c>
      <c r="BE852" s="1853" t="str">
        <f t="shared" si="35"/>
        <v/>
      </c>
      <c r="BF852" s="1853" t="str">
        <f t="shared" si="36"/>
        <v/>
      </c>
      <c r="BG852" s="1853" t="str">
        <f t="shared" si="37"/>
        <v/>
      </c>
      <c r="BH852" s="1853" t="str">
        <f t="shared" si="38"/>
        <v/>
      </c>
      <c r="BI852" s="1853" t="str">
        <f t="shared" si="39"/>
        <v/>
      </c>
      <c r="BJ852" s="1853" t="str">
        <f t="shared" si="40"/>
        <v/>
      </c>
      <c r="BK852" s="1853" t="str">
        <f t="shared" si="41"/>
        <v/>
      </c>
      <c r="BL852" s="1853" t="str">
        <f t="shared" si="42"/>
        <v/>
      </c>
      <c r="BM852" s="1853" t="str">
        <f t="shared" si="43"/>
        <v/>
      </c>
      <c r="BN852" s="1853" t="str">
        <f t="shared" si="44"/>
        <v/>
      </c>
      <c r="BO852" s="1853" t="str">
        <f t="shared" si="45"/>
        <v/>
      </c>
      <c r="BP852" s="1853" t="str">
        <f t="shared" si="46"/>
        <v/>
      </c>
      <c r="BQ852" s="1853" t="str">
        <f t="shared" si="47"/>
        <v/>
      </c>
      <c r="BR852" s="1853" t="str">
        <f t="shared" si="48"/>
        <v/>
      </c>
      <c r="BS852" s="1853" t="str">
        <f t="shared" si="49"/>
        <v/>
      </c>
      <c r="BT852" s="1853" t="str">
        <f t="shared" si="50"/>
        <v/>
      </c>
      <c r="BU852" s="1853" t="str">
        <f t="shared" si="51"/>
        <v/>
      </c>
      <c r="BV852" s="1853" t="str">
        <f t="shared" si="52"/>
        <v/>
      </c>
      <c r="BW852" s="1853" t="str">
        <f t="shared" si="53"/>
        <v/>
      </c>
      <c r="BX852" s="1853" t="str">
        <f t="shared" si="54"/>
        <v/>
      </c>
      <c r="BY852" s="1853" t="str">
        <f t="shared" si="55"/>
        <v/>
      </c>
      <c r="BZ852" s="1853" t="str">
        <f t="shared" si="56"/>
        <v/>
      </c>
      <c r="CA852" s="1853" t="str">
        <f t="shared" si="57"/>
        <v/>
      </c>
      <c r="CB852" s="1853" t="str">
        <f t="shared" si="58"/>
        <v/>
      </c>
      <c r="CC852" s="1853" t="str">
        <f t="shared" si="59"/>
        <v/>
      </c>
      <c r="CD852" s="1853" t="str">
        <f t="shared" si="60"/>
        <v/>
      </c>
      <c r="CE852" s="1853" t="str">
        <f t="shared" si="61"/>
        <v/>
      </c>
      <c r="CF852" s="1853" t="str">
        <f t="shared" si="62"/>
        <v/>
      </c>
      <c r="CG852" s="1853" t="str">
        <f t="shared" si="63"/>
        <v/>
      </c>
      <c r="CH852" s="1853" t="str">
        <f t="shared" si="64"/>
        <v/>
      </c>
      <c r="CI852" s="1853" t="str">
        <f t="shared" si="65"/>
        <v/>
      </c>
      <c r="CJ852" s="1853" t="str">
        <f t="shared" si="66"/>
        <v/>
      </c>
      <c r="CK852" s="1853" t="str">
        <f t="shared" si="67"/>
        <v/>
      </c>
      <c r="CL852" s="1853" t="str">
        <f t="shared" si="68"/>
        <v/>
      </c>
      <c r="CM852" s="1853" t="str">
        <f t="shared" si="69"/>
        <v/>
      </c>
      <c r="CN852" s="1853" t="str">
        <f t="shared" si="70"/>
        <v/>
      </c>
      <c r="CO852" s="1853" t="str">
        <f t="shared" si="71"/>
        <v/>
      </c>
      <c r="CP852" s="1853" t="str">
        <f t="shared" si="72"/>
        <v/>
      </c>
      <c r="CQ852" s="1853" t="str">
        <f t="shared" si="73"/>
        <v/>
      </c>
      <c r="CR852" s="1853" t="str">
        <f t="shared" si="74"/>
        <v/>
      </c>
      <c r="CS852" s="1853" t="str">
        <f t="shared" si="75"/>
        <v/>
      </c>
      <c r="CT852" s="1853" t="str">
        <f t="shared" si="76"/>
        <v/>
      </c>
      <c r="CU852" s="1853" t="str">
        <f t="shared" si="77"/>
        <v/>
      </c>
      <c r="CV852" s="1853" t="str">
        <f t="shared" si="78"/>
        <v/>
      </c>
      <c r="CW852" s="1853" t="str">
        <f t="shared" si="79"/>
        <v/>
      </c>
      <c r="CX852" s="1853" t="str">
        <f t="shared" si="80"/>
        <v/>
      </c>
      <c r="CY852" s="1853" t="str">
        <f t="shared" si="81"/>
        <v/>
      </c>
      <c r="CZ852" s="1853" t="str">
        <f t="shared" si="82"/>
        <v/>
      </c>
      <c r="DA852" s="1853" t="str">
        <f t="shared" si="83"/>
        <v/>
      </c>
      <c r="DB852" s="1853" t="str">
        <f t="shared" si="84"/>
        <v/>
      </c>
      <c r="DC852" s="1853" t="str">
        <f t="shared" si="85"/>
        <v/>
      </c>
      <c r="DD852" s="1853" t="str">
        <f t="shared" si="86"/>
        <v/>
      </c>
      <c r="DE852" s="1853" t="str">
        <f t="shared" si="87"/>
        <v/>
      </c>
      <c r="DF852" s="1853" t="str">
        <f t="shared" si="88"/>
        <v/>
      </c>
      <c r="DG852" s="1853" t="str">
        <f t="shared" si="89"/>
        <v/>
      </c>
      <c r="DH852" s="1853" t="str">
        <f t="shared" si="90"/>
        <v/>
      </c>
      <c r="DI852" s="1853" t="str">
        <f t="shared" si="91"/>
        <v/>
      </c>
      <c r="DJ852" s="1853" t="str">
        <f t="shared" si="92"/>
        <v/>
      </c>
      <c r="DK852" s="1853" t="str">
        <f t="shared" si="93"/>
        <v/>
      </c>
      <c r="DL852" s="1853" t="str">
        <f t="shared" si="94"/>
        <v/>
      </c>
      <c r="DM852" s="1853" t="str">
        <f t="shared" si="95"/>
        <v/>
      </c>
      <c r="DN852" s="1853" t="str">
        <f t="shared" si="96"/>
        <v/>
      </c>
      <c r="DO852" s="1853" t="str">
        <f t="shared" si="97"/>
        <v/>
      </c>
      <c r="DP852" s="1853" t="str">
        <f t="shared" si="98"/>
        <v/>
      </c>
      <c r="DQ852" s="1853" t="str">
        <f t="shared" si="99"/>
        <v/>
      </c>
      <c r="DR852" s="1853" t="str">
        <f t="shared" si="100"/>
        <v/>
      </c>
      <c r="DS852" s="1853" t="str">
        <f t="shared" si="101"/>
        <v/>
      </c>
      <c r="DT852" s="1853" t="str">
        <f t="shared" si="102"/>
        <v/>
      </c>
      <c r="DU852" s="1853" t="str">
        <f t="shared" si="103"/>
        <v/>
      </c>
      <c r="DV852" s="1853" t="str">
        <f t="shared" si="104"/>
        <v/>
      </c>
      <c r="DW852" s="1853" t="str">
        <f t="shared" si="105"/>
        <v/>
      </c>
      <c r="DX852" s="1853" t="str">
        <f t="shared" si="106"/>
        <v/>
      </c>
      <c r="DY852" s="1853" t="str">
        <f t="shared" si="107"/>
        <v/>
      </c>
      <c r="DZ852" s="1853" t="str">
        <f t="shared" si="108"/>
        <v/>
      </c>
      <c r="EA852" s="1853" t="str">
        <f t="shared" si="109"/>
        <v/>
      </c>
      <c r="EB852" s="1853" t="str">
        <f t="shared" si="110"/>
        <v/>
      </c>
      <c r="EC852" s="1853" t="str">
        <f t="shared" si="111"/>
        <v/>
      </c>
      <c r="ED852" s="1853" t="str">
        <f t="shared" si="112"/>
        <v/>
      </c>
      <c r="EE852" s="1853" t="str">
        <f t="shared" si="113"/>
        <v/>
      </c>
      <c r="EF852" s="1853" t="str">
        <f t="shared" si="114"/>
        <v/>
      </c>
      <c r="EG852" s="1853" t="str">
        <f t="shared" si="115"/>
        <v/>
      </c>
      <c r="EH852" s="1853" t="str">
        <f t="shared" si="116"/>
        <v/>
      </c>
      <c r="EI852" s="1853" t="str">
        <f t="shared" si="117"/>
        <v/>
      </c>
      <c r="EJ852" s="1853" t="str">
        <f t="shared" si="118"/>
        <v/>
      </c>
      <c r="EK852" s="1853" t="str">
        <f t="shared" si="119"/>
        <v/>
      </c>
      <c r="EL852" s="1853" t="str">
        <f t="shared" si="120"/>
        <v/>
      </c>
      <c r="EM852" s="1853" t="str">
        <f t="shared" si="121"/>
        <v/>
      </c>
      <c r="EN852" s="1853" t="str">
        <f t="shared" si="122"/>
        <v/>
      </c>
      <c r="EO852" s="1853" t="str">
        <f t="shared" si="123"/>
        <v/>
      </c>
      <c r="EP852" s="1853" t="str">
        <f t="shared" si="124"/>
        <v/>
      </c>
      <c r="EQ852" s="1853" t="str">
        <f t="shared" si="125"/>
        <v/>
      </c>
      <c r="ER852" s="1853" t="str">
        <f t="shared" si="126"/>
        <v/>
      </c>
      <c r="ES852" s="1853" t="str">
        <f t="shared" si="127"/>
        <v/>
      </c>
      <c r="ET852" s="1853" t="str">
        <f t="shared" si="128"/>
        <v/>
      </c>
      <c r="EU852" s="1853" t="str">
        <f t="shared" si="129"/>
        <v/>
      </c>
      <c r="EV852" s="1853" t="str">
        <f t="shared" si="130"/>
        <v/>
      </c>
      <c r="EW852" s="1853" t="str">
        <f t="shared" si="131"/>
        <v/>
      </c>
      <c r="EX852" s="1853" t="str">
        <f t="shared" si="132"/>
        <v/>
      </c>
      <c r="EY852" s="1853" t="str">
        <f t="shared" si="133"/>
        <v/>
      </c>
      <c r="EZ852" s="1853" t="str">
        <f t="shared" si="134"/>
        <v/>
      </c>
      <c r="FA852" s="1853" t="str">
        <f t="shared" si="135"/>
        <v/>
      </c>
      <c r="FB852" s="1853" t="str">
        <f t="shared" si="136"/>
        <v/>
      </c>
      <c r="FC852" s="1853" t="str">
        <f t="shared" si="137"/>
        <v/>
      </c>
      <c r="FD852" s="1853" t="str">
        <f t="shared" si="138"/>
        <v/>
      </c>
      <c r="FE852" s="1853" t="str">
        <f t="shared" si="139"/>
        <v/>
      </c>
      <c r="FF852" s="1853" t="str">
        <f t="shared" si="140"/>
        <v/>
      </c>
      <c r="FG852" s="1853" t="str">
        <f t="shared" si="141"/>
        <v/>
      </c>
      <c r="FH852" s="1853" t="str">
        <f t="shared" si="142"/>
        <v/>
      </c>
      <c r="FI852" s="1853" t="str">
        <f t="shared" si="143"/>
        <v/>
      </c>
      <c r="FJ852" s="1853" t="str">
        <f t="shared" si="144"/>
        <v/>
      </c>
      <c r="FK852" s="1853" t="str">
        <f t="shared" si="145"/>
        <v/>
      </c>
      <c r="FL852" s="1853" t="str">
        <f t="shared" si="146"/>
        <v/>
      </c>
      <c r="FM852" s="1853" t="str">
        <f t="shared" si="147"/>
        <v/>
      </c>
      <c r="FN852" s="1853" t="str">
        <f t="shared" si="148"/>
        <v/>
      </c>
      <c r="FO852" s="1853" t="str">
        <f t="shared" si="149"/>
        <v/>
      </c>
      <c r="FP852" s="1853" t="str">
        <f t="shared" si="150"/>
        <v/>
      </c>
      <c r="FQ852" s="1853" t="str">
        <f t="shared" si="151"/>
        <v/>
      </c>
      <c r="FR852" s="1853" t="str">
        <f t="shared" si="152"/>
        <v/>
      </c>
      <c r="FS852" s="1853" t="str">
        <f t="shared" si="153"/>
        <v/>
      </c>
      <c r="FT852" s="1853" t="str">
        <f t="shared" si="154"/>
        <v/>
      </c>
      <c r="FU852" s="1853" t="str">
        <f t="shared" si="155"/>
        <v/>
      </c>
      <c r="FV852" s="1853" t="str">
        <f t="shared" si="156"/>
        <v/>
      </c>
      <c r="FW852" s="1853" t="str">
        <f t="shared" si="157"/>
        <v/>
      </c>
      <c r="FX852" s="1853" t="str">
        <f t="shared" si="158"/>
        <v/>
      </c>
      <c r="FY852" s="1853" t="str">
        <f t="shared" si="159"/>
        <v/>
      </c>
      <c r="FZ852" s="1853" t="str">
        <f t="shared" si="160"/>
        <v/>
      </c>
      <c r="GA852" s="1853" t="str">
        <f t="shared" si="161"/>
        <v/>
      </c>
      <c r="GB852" s="1853" t="str">
        <f t="shared" si="162"/>
        <v/>
      </c>
      <c r="GC852" s="1853" t="str">
        <f t="shared" si="163"/>
        <v/>
      </c>
      <c r="GD852" s="1853" t="str">
        <f t="shared" si="164"/>
        <v/>
      </c>
      <c r="GE852" s="1853" t="str">
        <f t="shared" si="165"/>
        <v/>
      </c>
      <c r="GF852" s="1853" t="str">
        <f t="shared" si="166"/>
        <v/>
      </c>
      <c r="GG852" s="1853" t="str">
        <f t="shared" si="167"/>
        <v/>
      </c>
      <c r="GH852" s="1853" t="str">
        <f t="shared" si="168"/>
        <v/>
      </c>
      <c r="GI852" s="1853" t="str">
        <f t="shared" si="169"/>
        <v/>
      </c>
      <c r="GJ852" s="1853" t="str">
        <f t="shared" si="170"/>
        <v/>
      </c>
      <c r="GK852" s="1853" t="str">
        <f t="shared" si="171"/>
        <v/>
      </c>
      <c r="GL852" s="1853" t="str">
        <f t="shared" si="172"/>
        <v/>
      </c>
      <c r="GM852" s="1853" t="str">
        <f t="shared" si="173"/>
        <v/>
      </c>
      <c r="GN852" s="1853" t="str">
        <f t="shared" si="174"/>
        <v/>
      </c>
      <c r="GO852" s="1853" t="str">
        <f t="shared" si="175"/>
        <v/>
      </c>
      <c r="GP852" s="1853" t="str">
        <f t="shared" si="176"/>
        <v/>
      </c>
      <c r="GQ852" s="1853" t="str">
        <f t="shared" si="177"/>
        <v/>
      </c>
      <c r="GR852" s="1853" t="str">
        <f t="shared" si="178"/>
        <v/>
      </c>
      <c r="GS852" s="1853" t="str">
        <f t="shared" si="179"/>
        <v/>
      </c>
      <c r="GT852" s="1853" t="str">
        <f t="shared" si="180"/>
        <v/>
      </c>
      <c r="GU852" s="1853" t="str">
        <f t="shared" si="181"/>
        <v/>
      </c>
      <c r="GV852" s="1853" t="str">
        <f t="shared" si="182"/>
        <v/>
      </c>
      <c r="GW852" s="1853" t="str">
        <f t="shared" si="183"/>
        <v/>
      </c>
      <c r="GX852" s="1853" t="str">
        <f t="shared" si="184"/>
        <v/>
      </c>
      <c r="GY852" s="1853" t="str">
        <f t="shared" si="185"/>
        <v/>
      </c>
      <c r="GZ852" s="1853" t="str">
        <f t="shared" si="186"/>
        <v/>
      </c>
      <c r="HA852" s="1853" t="str">
        <f t="shared" si="187"/>
        <v/>
      </c>
      <c r="HB852" s="1853" t="str">
        <f t="shared" si="188"/>
        <v/>
      </c>
      <c r="HC852" s="1853" t="str">
        <f t="shared" si="189"/>
        <v/>
      </c>
      <c r="HD852" s="1853" t="str">
        <f t="shared" si="190"/>
        <v/>
      </c>
      <c r="HE852" s="1853" t="str">
        <f t="shared" si="191"/>
        <v/>
      </c>
      <c r="HF852" s="1853" t="str">
        <f t="shared" si="192"/>
        <v/>
      </c>
      <c r="HG852" s="1853" t="str">
        <f t="shared" si="193"/>
        <v/>
      </c>
      <c r="HH852" s="1853" t="str">
        <f t="shared" si="194"/>
        <v/>
      </c>
      <c r="HI852" s="1853" t="str">
        <f t="shared" si="195"/>
        <v/>
      </c>
      <c r="HJ852" s="1853" t="str">
        <f t="shared" si="196"/>
        <v/>
      </c>
      <c r="HK852" s="1853" t="str">
        <f t="shared" si="197"/>
        <v/>
      </c>
      <c r="HL852" s="1853" t="str">
        <f t="shared" si="198"/>
        <v/>
      </c>
      <c r="HM852" s="1853" t="str">
        <f t="shared" si="199"/>
        <v/>
      </c>
      <c r="HN852" s="1853" t="str">
        <f t="shared" si="200"/>
        <v/>
      </c>
      <c r="HO852" s="1853" t="str">
        <f t="shared" si="201"/>
        <v/>
      </c>
      <c r="HP852" s="1853" t="str">
        <f t="shared" si="202"/>
        <v/>
      </c>
      <c r="HQ852" s="1853" t="str">
        <f t="shared" si="203"/>
        <v/>
      </c>
      <c r="HR852" s="1853" t="str">
        <f t="shared" si="204"/>
        <v/>
      </c>
      <c r="HS852" s="1853" t="str">
        <f t="shared" si="205"/>
        <v/>
      </c>
      <c r="HT852" s="1853" t="str">
        <f t="shared" si="206"/>
        <v/>
      </c>
      <c r="HU852" s="1853" t="str">
        <f t="shared" si="207"/>
        <v/>
      </c>
      <c r="HV852" s="1853" t="str">
        <f t="shared" si="208"/>
        <v/>
      </c>
      <c r="HW852" s="1853" t="str">
        <f t="shared" si="209"/>
        <v/>
      </c>
      <c r="HX852" s="1853" t="str">
        <f t="shared" si="210"/>
        <v/>
      </c>
      <c r="HY852" s="1853" t="str">
        <f t="shared" si="211"/>
        <v/>
      </c>
      <c r="HZ852" s="2141" t="str">
        <f t="shared" si="212"/>
        <v/>
      </c>
      <c r="IA852" s="2141" t="str">
        <f t="shared" si="213"/>
        <v/>
      </c>
      <c r="IB852" s="2141" t="str">
        <f t="shared" si="214"/>
        <v/>
      </c>
      <c r="IC852" s="2141" t="str">
        <f t="shared" si="215"/>
        <v/>
      </c>
      <c r="ID852" s="2141" t="str">
        <f t="shared" si="216"/>
        <v/>
      </c>
      <c r="IE852" s="2141" t="str">
        <f t="shared" si="217"/>
        <v/>
      </c>
      <c r="IF852" s="2141" t="str">
        <f t="shared" si="218"/>
        <v/>
      </c>
      <c r="IG852" s="2141" t="str">
        <f t="shared" si="219"/>
        <v/>
      </c>
      <c r="IH852" s="2141" t="str">
        <f t="shared" si="220"/>
        <v/>
      </c>
      <c r="II852" s="2141" t="str">
        <f t="shared" si="221"/>
        <v/>
      </c>
      <c r="IJ852" s="2141" t="str">
        <f t="shared" si="222"/>
        <v/>
      </c>
      <c r="IK852" s="2141" t="str">
        <f t="shared" si="223"/>
        <v/>
      </c>
      <c r="IL852" s="2141" t="str">
        <f t="shared" si="224"/>
        <v/>
      </c>
      <c r="IM852" s="2141" t="str">
        <f t="shared" si="225"/>
        <v/>
      </c>
      <c r="IN852" s="2141" t="str">
        <f t="shared" si="226"/>
        <v/>
      </c>
      <c r="IO852" s="2141" t="str">
        <f t="shared" si="227"/>
        <v/>
      </c>
      <c r="IP852" s="2141" t="str">
        <f t="shared" si="228"/>
        <v/>
      </c>
      <c r="IQ852" s="2141" t="str">
        <f t="shared" si="229"/>
        <v/>
      </c>
      <c r="IR852" s="2141" t="str">
        <f t="shared" si="230"/>
        <v/>
      </c>
      <c r="IS852" s="2141" t="str">
        <f t="shared" si="231"/>
        <v/>
      </c>
      <c r="IT852" s="2141" t="str">
        <f t="shared" si="232"/>
        <v/>
      </c>
      <c r="IU852" s="2141" t="str">
        <f t="shared" si="233"/>
        <v/>
      </c>
      <c r="IV852" s="2141" t="str">
        <f t="shared" si="234"/>
        <v/>
      </c>
      <c r="IW852" s="2141" t="str">
        <f t="shared" si="235"/>
        <v/>
      </c>
      <c r="IX852" s="2141" t="str">
        <f t="shared" si="236"/>
        <v/>
      </c>
      <c r="IY852" s="2141" t="str">
        <f t="shared" si="237"/>
        <v/>
      </c>
      <c r="IZ852" s="2141" t="str">
        <f t="shared" si="238"/>
        <v/>
      </c>
      <c r="JA852" s="2141" t="str">
        <f t="shared" si="239"/>
        <v/>
      </c>
      <c r="JB852" s="2141" t="str">
        <f t="shared" si="240"/>
        <v/>
      </c>
      <c r="JC852" s="2141" t="str">
        <f t="shared" si="241"/>
        <v/>
      </c>
      <c r="JD852" s="2141" t="str">
        <f t="shared" si="242"/>
        <v/>
      </c>
      <c r="JE852" s="2141" t="str">
        <f t="shared" si="243"/>
        <v/>
      </c>
      <c r="JF852" s="2141" t="str">
        <f t="shared" si="244"/>
        <v/>
      </c>
      <c r="JG852" s="2141" t="str">
        <f t="shared" si="245"/>
        <v/>
      </c>
      <c r="JH852" s="2141" t="str">
        <f t="shared" si="246"/>
        <v/>
      </c>
      <c r="JI852" s="2141" t="str">
        <f t="shared" si="247"/>
        <v/>
      </c>
      <c r="JJ852" s="2141" t="str">
        <f t="shared" si="248"/>
        <v/>
      </c>
      <c r="JK852" s="2141" t="str">
        <f t="shared" si="249"/>
        <v/>
      </c>
      <c r="JL852" s="2141" t="str">
        <f t="shared" si="250"/>
        <v/>
      </c>
      <c r="JM852" s="2141" t="str">
        <f t="shared" si="251"/>
        <v/>
      </c>
      <c r="JN852" s="2141" t="str">
        <f t="shared" si="252"/>
        <v/>
      </c>
      <c r="JO852" s="2141" t="str">
        <f t="shared" si="253"/>
        <v/>
      </c>
      <c r="JP852" s="2141" t="str">
        <f t="shared" si="254"/>
        <v/>
      </c>
      <c r="JQ852" s="2141" t="str">
        <f t="shared" si="255"/>
        <v/>
      </c>
      <c r="JR852" s="2141" t="str">
        <f t="shared" si="256"/>
        <v/>
      </c>
      <c r="JS852" s="2141" t="str">
        <f t="shared" si="257"/>
        <v/>
      </c>
      <c r="JT852" s="2141" t="str">
        <f t="shared" si="258"/>
        <v/>
      </c>
      <c r="JU852" s="2141" t="str">
        <f t="shared" si="259"/>
        <v/>
      </c>
      <c r="JV852" s="2141" t="str">
        <f t="shared" si="260"/>
        <v/>
      </c>
      <c r="JW852" s="2141" t="str">
        <f t="shared" si="261"/>
        <v/>
      </c>
      <c r="JX852" s="2141" t="str">
        <f t="shared" si="262"/>
        <v/>
      </c>
      <c r="JY852" s="2141" t="str">
        <f t="shared" si="263"/>
        <v/>
      </c>
      <c r="JZ852" s="2141" t="str">
        <f t="shared" si="264"/>
        <v/>
      </c>
      <c r="KA852" s="2141" t="str">
        <f t="shared" si="265"/>
        <v/>
      </c>
      <c r="KB852" s="2141" t="str">
        <f t="shared" si="266"/>
        <v/>
      </c>
      <c r="KC852" s="2141" t="str">
        <f t="shared" si="267"/>
        <v/>
      </c>
      <c r="KD852" s="2141" t="str">
        <f t="shared" si="268"/>
        <v/>
      </c>
      <c r="KE852" s="2141" t="str">
        <f t="shared" si="269"/>
        <v/>
      </c>
      <c r="KF852" s="2141" t="str">
        <f t="shared" si="270"/>
        <v/>
      </c>
      <c r="KG852" s="2141" t="str">
        <f t="shared" si="271"/>
        <v/>
      </c>
      <c r="KH852" s="2141" t="str">
        <f t="shared" si="272"/>
        <v/>
      </c>
      <c r="KI852" s="2141" t="str">
        <f t="shared" si="273"/>
        <v/>
      </c>
      <c r="KJ852" s="2141" t="str">
        <f t="shared" si="274"/>
        <v/>
      </c>
      <c r="KK852" s="2141" t="str">
        <f t="shared" si="275"/>
        <v/>
      </c>
      <c r="KL852" s="2141" t="str">
        <f t="shared" si="276"/>
        <v/>
      </c>
      <c r="KM852" s="2141" t="str">
        <f t="shared" si="277"/>
        <v/>
      </c>
      <c r="KN852" s="2141" t="str">
        <f t="shared" si="278"/>
        <v/>
      </c>
      <c r="KO852" s="2141" t="str">
        <f t="shared" si="279"/>
        <v/>
      </c>
      <c r="KP852" s="2141" t="str">
        <f t="shared" si="280"/>
        <v/>
      </c>
      <c r="KQ852" s="2141" t="str">
        <f t="shared" si="281"/>
        <v/>
      </c>
      <c r="KR852" s="2141" t="str">
        <f t="shared" si="282"/>
        <v/>
      </c>
      <c r="KS852" s="2141" t="str">
        <f t="shared" si="283"/>
        <v/>
      </c>
      <c r="KT852" s="2141" t="str">
        <f t="shared" si="284"/>
        <v/>
      </c>
      <c r="KU852" s="2141" t="str">
        <f t="shared" si="285"/>
        <v/>
      </c>
      <c r="KV852" s="2141" t="str">
        <f t="shared" si="286"/>
        <v/>
      </c>
      <c r="KW852" s="2141" t="str">
        <f t="shared" si="287"/>
        <v/>
      </c>
      <c r="KX852" s="2141" t="str">
        <f t="shared" si="288"/>
        <v/>
      </c>
      <c r="KY852" s="2141" t="str">
        <f t="shared" si="289"/>
        <v/>
      </c>
      <c r="KZ852" s="2141" t="str">
        <f t="shared" si="290"/>
        <v/>
      </c>
      <c r="LA852" s="2141" t="str">
        <f t="shared" si="291"/>
        <v/>
      </c>
      <c r="LB852" s="2141" t="str">
        <f t="shared" si="292"/>
        <v/>
      </c>
      <c r="LC852" s="2141" t="str">
        <f t="shared" si="293"/>
        <v/>
      </c>
      <c r="LD852" s="2141" t="str">
        <f t="shared" si="294"/>
        <v/>
      </c>
      <c r="LE852" s="2141" t="str">
        <f t="shared" si="295"/>
        <v/>
      </c>
      <c r="LF852" s="2141" t="str">
        <f t="shared" si="296"/>
        <v/>
      </c>
      <c r="LG852" s="2052" t="str">
        <f t="shared" si="297"/>
        <v/>
      </c>
      <c r="LH852" s="2052" t="str">
        <f t="shared" si="298"/>
        <v/>
      </c>
      <c r="LI852" s="2052" t="str">
        <f t="shared" si="299"/>
        <v/>
      </c>
      <c r="LJ852" s="2052" t="str">
        <f t="shared" si="300"/>
        <v/>
      </c>
      <c r="LK852" s="2052" t="str">
        <f t="shared" si="301"/>
        <v/>
      </c>
      <c r="LL852" s="1853" t="str">
        <f t="shared" si="302"/>
        <v/>
      </c>
      <c r="LM852" s="1853" t="str">
        <f t="shared" si="303"/>
        <v/>
      </c>
      <c r="LN852" s="1853" t="str">
        <f t="shared" si="304"/>
        <v/>
      </c>
      <c r="LO852" s="1853" t="str">
        <f t="shared" si="305"/>
        <v/>
      </c>
      <c r="LP852" s="1853" t="str">
        <f t="shared" si="306"/>
        <v/>
      </c>
      <c r="LQ852" s="1853" t="str">
        <f t="shared" si="307"/>
        <v/>
      </c>
      <c r="LR852" s="1853" t="str">
        <f t="shared" si="308"/>
        <v/>
      </c>
      <c r="LS852" s="1853" t="str">
        <f t="shared" si="309"/>
        <v/>
      </c>
      <c r="LT852" s="1853" t="str">
        <f t="shared" si="310"/>
        <v/>
      </c>
      <c r="LU852" s="1853" t="str">
        <f t="shared" si="311"/>
        <v/>
      </c>
      <c r="LV852" s="1853" t="str">
        <f t="shared" si="312"/>
        <v/>
      </c>
      <c r="LW852" s="1853" t="str">
        <f t="shared" si="313"/>
        <v/>
      </c>
      <c r="LX852" s="1853" t="str">
        <f t="shared" si="314"/>
        <v/>
      </c>
      <c r="LY852" s="1853" t="str">
        <f t="shared" si="315"/>
        <v/>
      </c>
      <c r="LZ852" s="1853" t="str">
        <f t="shared" si="316"/>
        <v/>
      </c>
      <c r="MA852" s="1853" t="str">
        <f t="shared" si="317"/>
        <v/>
      </c>
      <c r="MB852" s="1853" t="str">
        <f t="shared" si="318"/>
        <v/>
      </c>
      <c r="MC852" s="1853" t="str">
        <f t="shared" si="319"/>
        <v/>
      </c>
      <c r="MD852" s="1853" t="str">
        <f t="shared" si="320"/>
        <v/>
      </c>
      <c r="ME852" s="1853" t="str">
        <f t="shared" si="321"/>
        <v/>
      </c>
      <c r="MF852" s="2052">
        <f t="shared" ref="MF852:MF888" si="328">IF(AND($C852="Efficiency",$E852&gt;0,OR($O852="Low-Rise Apt",$O852="Low-Rise Elevator",$O852="High-Rise Apt",$O852="High-Rise Elevator",$O852="Row House/TH"),OR($P852="Acquisition/Rehab",$P852="Rehabilitation"),NOT($Q852="Yes")),$E852,0)</f>
        <v>0</v>
      </c>
      <c r="MG852" s="2052">
        <f t="shared" ref="MG852:MG888" si="329">IF(AND($C852=1,$E852&gt;0,OR($O852="Low-Rise Apt",$O852="Low-Rise Elevator",$O852="High-Rise Apt",$O852="High-Rise Elevator",$O852="Row House/TH"),OR($P852="Acquisition/Rehab",$P852="Rehabilitation"),NOT($Q852="Yes")),$E852,0)</f>
        <v>0</v>
      </c>
      <c r="MH852" s="2052">
        <f t="shared" ref="MH852:MH888" si="330">IF(AND($C852=2,$E852&gt;0,OR($O852="Low-Rise Apt",$O852="Low-Rise Elevator",$O852="High-Rise Apt",$O852="High-Rise Elevator",$O852="Row House/TH"),OR($P852="Acquisition/Rehab",$P852="Rehabilitation"),NOT($Q852="Yes")),$E852,0)</f>
        <v>0</v>
      </c>
      <c r="MI852" s="2052">
        <f t="shared" ref="MI852:MI888" si="331">IF(AND($C852=3,$E852&gt;0,OR($O852="Low-Rise Apt",$O852="Low-Rise Elevator",$O852="High-Rise Apt",$O852="High-Rise Elevator",$O852="Row House/TH"),OR($P852="Acquisition/Rehab",$P852="Rehabilitation"),NOT($Q852="Yes")),$E852,0)</f>
        <v>0</v>
      </c>
      <c r="MJ852" s="2052">
        <f t="shared" ref="MJ852:MJ888" si="332">IF(AND($C852=4,$E852&gt;0,OR($O852="Low-Rise Apt",$O852="Low-Rise Elevator",$O852="High-Rise Apt",$O852="High-Rise Elevator",$O852="Row House/TH"),OR($P852="Acquisition/Rehab",$P852="Rehabilitation"),NOT($Q852="Yes")),$E852,0)</f>
        <v>0</v>
      </c>
      <c r="MK852" s="2052">
        <f t="shared" ref="MK852:MK888" si="333">IF(AND($C852="Efficiency",$E852&gt;0,OR($O852="Low-Rise Apt",$O852="Low-Rise Elevator",$O852="High-Rise Apt",$O852="High-Rise Elevator",$O852="Row House/TH"),$P852="New Construction"),$E852,0)</f>
        <v>0</v>
      </c>
      <c r="ML852" s="2052">
        <f t="shared" ref="ML852:ML888" si="334">IF(AND($C852=1,$E852&gt;0,OR($O852="Low-Rise Apt",$O852="Low-Rise Elevator",$O852="High-Rise Apt",$O852="High-Rise Elevator",$O852="Row House/TH"),$P852="New Construction"),$E852,0)</f>
        <v>0</v>
      </c>
      <c r="MM852" s="2052">
        <f t="shared" ref="MM852:MM888" si="335">IF(AND($C852=2,$E852&gt;0,OR($O852="Low-Rise Apt",$O852="Low-Rise Elevator",$O852="High-Rise Apt",$O852="High-Rise Elevator",$O852="Row House/TH"),$P852="New Construction"),$E852,0)</f>
        <v>0</v>
      </c>
      <c r="MN852" s="2052">
        <f t="shared" ref="MN852:MN888" si="336">IF(AND($C852=3,$E852&gt;0,OR($O852="Low-Rise Apt",$O852="Low-Rise Elevator",$O852="High-Rise Apt",$O852="High-Rise Elevator",$O852="Row House/TH"),$P852="New Construction"),$E852,0)</f>
        <v>0</v>
      </c>
      <c r="MO852" s="2052">
        <f t="shared" ref="MO852:MO888" si="337">IF(AND($C852=4,$E852&gt;0,OR($O852="Low-Rise Apt",$O852="Low-Rise Elevator",$O852="High-Rise Apt",$O852="High-Rise Elevator",$O852="Row House/TH"),$P852="New Construction"),$E852,0)</f>
        <v>0</v>
      </c>
      <c r="MP852" s="2052">
        <f t="shared" si="322"/>
        <v>0</v>
      </c>
      <c r="MQ852" s="2052">
        <f t="shared" si="323"/>
        <v>0</v>
      </c>
      <c r="MR852" s="2052">
        <f t="shared" si="324"/>
        <v>0</v>
      </c>
      <c r="MS852" s="2052">
        <f t="shared" si="325"/>
        <v>0</v>
      </c>
      <c r="MT852" s="2052">
        <f t="shared" si="326"/>
        <v>0</v>
      </c>
      <c r="NP852" s="1925" t="s">
        <v>6718</v>
      </c>
    </row>
    <row r="853" spans="1:380" s="1853" customFormat="1" ht="13.9" customHeight="1">
      <c r="A853" s="2109" t="str">
        <f t="shared" si="327"/>
        <v/>
      </c>
      <c r="B853" s="2131" t="str">
        <f>'Part VI-Revenues &amp; Expenses'!B13</f>
        <v>Unrestricted</v>
      </c>
      <c r="C853" s="2132">
        <f>'Part VI-Revenues &amp; Expenses'!C13</f>
        <v>1</v>
      </c>
      <c r="D853" s="2133">
        <f>'Part VI-Revenues &amp; Expenses'!D13</f>
        <v>1</v>
      </c>
      <c r="E853" s="2134">
        <f>'Part VI-Revenues &amp; Expenses'!E13</f>
        <v>3</v>
      </c>
      <c r="F853" s="2134">
        <f>'Part VI-Revenues &amp; Expenses'!F13</f>
        <v>680</v>
      </c>
      <c r="G853" s="2134" t="str">
        <f>'Part VI-Revenues &amp; Expenses'!G13</f>
        <v>N/A</v>
      </c>
      <c r="H853" s="2134">
        <f>'Part VI-Revenues &amp; Expenses'!H13</f>
        <v>515</v>
      </c>
      <c r="I853" s="2134">
        <f>'Part VI-Revenues &amp; Expenses'!I13</f>
        <v>0</v>
      </c>
      <c r="J853" s="2134">
        <f>'Part VI-Revenues &amp; Expenses'!J13</f>
        <v>0</v>
      </c>
      <c r="K853" s="2135">
        <f>'Part VI-Revenues &amp; Expenses'!K13</f>
        <v>0</v>
      </c>
      <c r="L853" s="2136">
        <f t="shared" si="0"/>
        <v>515</v>
      </c>
      <c r="M853" s="2136">
        <f t="shared" si="1"/>
        <v>1545</v>
      </c>
      <c r="N853" s="1917" t="str">
        <f>'Part VI-Revenues &amp; Expenses'!N13</f>
        <v>No</v>
      </c>
      <c r="O853" s="2137" t="str">
        <f>'Part VI-Revenues &amp; Expenses'!O13</f>
        <v>Low-Rise Apt</v>
      </c>
      <c r="P853" s="1917" t="str">
        <f>'Part VI-Revenues &amp; Expenses'!P13</f>
        <v>New Construction</v>
      </c>
      <c r="Q853" s="2138" t="str">
        <f>'Part VI-Revenues &amp; Expenses'!Q13</f>
        <v>No</v>
      </c>
      <c r="R853" s="2139"/>
      <c r="S853" s="2140"/>
      <c r="T853" s="2044"/>
      <c r="U853" s="2044"/>
      <c r="V853" s="2044"/>
      <c r="W853" s="2044"/>
      <c r="X853" s="1853" t="str">
        <f t="shared" si="2"/>
        <v/>
      </c>
      <c r="Y853" s="1853" t="str">
        <f t="shared" si="3"/>
        <v/>
      </c>
      <c r="Z853" s="1853" t="str">
        <f t="shared" si="4"/>
        <v/>
      </c>
      <c r="AA853" s="1853" t="str">
        <f t="shared" si="5"/>
        <v/>
      </c>
      <c r="AB853" s="1853" t="str">
        <f t="shared" si="6"/>
        <v/>
      </c>
      <c r="AC853" s="1853" t="str">
        <f t="shared" si="7"/>
        <v/>
      </c>
      <c r="AD853" s="1853" t="str">
        <f t="shared" si="8"/>
        <v/>
      </c>
      <c r="AE853" s="1853" t="str">
        <f t="shared" si="9"/>
        <v/>
      </c>
      <c r="AF853" s="1853" t="str">
        <f t="shared" si="10"/>
        <v/>
      </c>
      <c r="AG853" s="1853" t="str">
        <f t="shared" si="11"/>
        <v/>
      </c>
      <c r="AH853" s="1853" t="str">
        <f t="shared" si="12"/>
        <v/>
      </c>
      <c r="AI853" s="1853" t="str">
        <f t="shared" si="13"/>
        <v/>
      </c>
      <c r="AJ853" s="1853" t="str">
        <f t="shared" si="14"/>
        <v/>
      </c>
      <c r="AK853" s="1853" t="str">
        <f t="shared" si="15"/>
        <v/>
      </c>
      <c r="AL853" s="1853" t="str">
        <f t="shared" si="16"/>
        <v/>
      </c>
      <c r="AM853" s="1853" t="str">
        <f t="shared" si="17"/>
        <v/>
      </c>
      <c r="AN853" s="1853" t="str">
        <f t="shared" si="18"/>
        <v/>
      </c>
      <c r="AO853" s="1853" t="str">
        <f t="shared" si="19"/>
        <v/>
      </c>
      <c r="AP853" s="1853" t="str">
        <f t="shared" si="20"/>
        <v/>
      </c>
      <c r="AQ853" s="1853" t="str">
        <f t="shared" si="21"/>
        <v/>
      </c>
      <c r="AR853" s="1853" t="str">
        <f t="shared" si="22"/>
        <v/>
      </c>
      <c r="AS853" s="1853" t="str">
        <f t="shared" si="23"/>
        <v/>
      </c>
      <c r="AT853" s="1853" t="str">
        <f t="shared" si="24"/>
        <v/>
      </c>
      <c r="AU853" s="1853" t="str">
        <f t="shared" si="25"/>
        <v/>
      </c>
      <c r="AV853" s="1853" t="str">
        <f t="shared" si="26"/>
        <v/>
      </c>
      <c r="AW853" s="1853" t="str">
        <f t="shared" si="27"/>
        <v/>
      </c>
      <c r="AX853" s="1853" t="str">
        <f t="shared" si="28"/>
        <v/>
      </c>
      <c r="AY853" s="1853" t="str">
        <f t="shared" si="29"/>
        <v/>
      </c>
      <c r="AZ853" s="1853" t="str">
        <f t="shared" si="30"/>
        <v/>
      </c>
      <c r="BA853" s="1853" t="str">
        <f t="shared" si="31"/>
        <v/>
      </c>
      <c r="BB853" s="1853" t="str">
        <f t="shared" si="32"/>
        <v/>
      </c>
      <c r="BC853" s="1853" t="str">
        <f t="shared" si="33"/>
        <v/>
      </c>
      <c r="BD853" s="1853" t="str">
        <f t="shared" si="34"/>
        <v/>
      </c>
      <c r="BE853" s="1853" t="str">
        <f t="shared" si="35"/>
        <v/>
      </c>
      <c r="BF853" s="1853" t="str">
        <f t="shared" si="36"/>
        <v/>
      </c>
      <c r="BG853" s="1853" t="str">
        <f t="shared" si="37"/>
        <v/>
      </c>
      <c r="BH853" s="1853">
        <f t="shared" si="38"/>
        <v>3</v>
      </c>
      <c r="BI853" s="1853" t="str">
        <f t="shared" si="39"/>
        <v/>
      </c>
      <c r="BJ853" s="1853" t="str">
        <f t="shared" si="40"/>
        <v/>
      </c>
      <c r="BK853" s="1853" t="str">
        <f t="shared" si="41"/>
        <v/>
      </c>
      <c r="BL853" s="1853" t="str">
        <f t="shared" si="42"/>
        <v/>
      </c>
      <c r="BM853" s="1853" t="str">
        <f t="shared" si="43"/>
        <v/>
      </c>
      <c r="BN853" s="1853" t="str">
        <f t="shared" si="44"/>
        <v/>
      </c>
      <c r="BO853" s="1853" t="str">
        <f t="shared" si="45"/>
        <v/>
      </c>
      <c r="BP853" s="1853" t="str">
        <f t="shared" si="46"/>
        <v/>
      </c>
      <c r="BQ853" s="1853" t="str">
        <f t="shared" si="47"/>
        <v/>
      </c>
      <c r="BR853" s="1853" t="str">
        <f t="shared" si="48"/>
        <v/>
      </c>
      <c r="BS853" s="1853" t="str">
        <f t="shared" si="49"/>
        <v/>
      </c>
      <c r="BT853" s="1853" t="str">
        <f t="shared" si="50"/>
        <v/>
      </c>
      <c r="BU853" s="1853" t="str">
        <f t="shared" si="51"/>
        <v/>
      </c>
      <c r="BV853" s="1853" t="str">
        <f t="shared" si="52"/>
        <v/>
      </c>
      <c r="BW853" s="1853" t="str">
        <f t="shared" si="53"/>
        <v/>
      </c>
      <c r="BX853" s="1853" t="str">
        <f t="shared" si="54"/>
        <v/>
      </c>
      <c r="BY853" s="1853" t="str">
        <f t="shared" si="55"/>
        <v/>
      </c>
      <c r="BZ853" s="1853" t="str">
        <f t="shared" si="56"/>
        <v/>
      </c>
      <c r="CA853" s="1853" t="str">
        <f t="shared" si="57"/>
        <v/>
      </c>
      <c r="CB853" s="1853" t="str">
        <f t="shared" si="58"/>
        <v/>
      </c>
      <c r="CC853" s="1853" t="str">
        <f t="shared" si="59"/>
        <v/>
      </c>
      <c r="CD853" s="1853" t="str">
        <f t="shared" si="60"/>
        <v/>
      </c>
      <c r="CE853" s="1853" t="str">
        <f t="shared" si="61"/>
        <v/>
      </c>
      <c r="CF853" s="1853" t="str">
        <f t="shared" si="62"/>
        <v/>
      </c>
      <c r="CG853" s="1853" t="str">
        <f t="shared" si="63"/>
        <v/>
      </c>
      <c r="CH853" s="1853" t="str">
        <f t="shared" si="64"/>
        <v/>
      </c>
      <c r="CI853" s="1853" t="str">
        <f t="shared" si="65"/>
        <v/>
      </c>
      <c r="CJ853" s="1853" t="str">
        <f t="shared" si="66"/>
        <v/>
      </c>
      <c r="CK853" s="1853" t="str">
        <f t="shared" si="67"/>
        <v/>
      </c>
      <c r="CL853" s="1853" t="str">
        <f t="shared" si="68"/>
        <v/>
      </c>
      <c r="CM853" s="1853" t="str">
        <f t="shared" si="69"/>
        <v/>
      </c>
      <c r="CN853" s="1853" t="str">
        <f t="shared" si="70"/>
        <v/>
      </c>
      <c r="CO853" s="1853" t="str">
        <f t="shared" si="71"/>
        <v/>
      </c>
      <c r="CP853" s="1853" t="str">
        <f t="shared" si="72"/>
        <v/>
      </c>
      <c r="CQ853" s="1853" t="str">
        <f t="shared" si="73"/>
        <v/>
      </c>
      <c r="CR853" s="1853" t="str">
        <f t="shared" si="74"/>
        <v/>
      </c>
      <c r="CS853" s="1853" t="str">
        <f t="shared" si="75"/>
        <v/>
      </c>
      <c r="CT853" s="1853" t="str">
        <f t="shared" si="76"/>
        <v/>
      </c>
      <c r="CU853" s="1853" t="str">
        <f t="shared" si="77"/>
        <v/>
      </c>
      <c r="CV853" s="1853" t="str">
        <f t="shared" si="78"/>
        <v/>
      </c>
      <c r="CW853" s="1853" t="str">
        <f t="shared" si="79"/>
        <v/>
      </c>
      <c r="CX853" s="1853" t="str">
        <f t="shared" si="80"/>
        <v/>
      </c>
      <c r="CY853" s="1853" t="str">
        <f t="shared" si="81"/>
        <v/>
      </c>
      <c r="CZ853" s="1853" t="str">
        <f t="shared" si="82"/>
        <v/>
      </c>
      <c r="DA853" s="1853" t="str">
        <f t="shared" si="83"/>
        <v/>
      </c>
      <c r="DB853" s="1853" t="str">
        <f t="shared" si="84"/>
        <v/>
      </c>
      <c r="DC853" s="1853" t="str">
        <f t="shared" si="85"/>
        <v/>
      </c>
      <c r="DD853" s="1853" t="str">
        <f t="shared" si="86"/>
        <v/>
      </c>
      <c r="DE853" s="1853" t="str">
        <f t="shared" si="87"/>
        <v/>
      </c>
      <c r="DF853" s="1853" t="str">
        <f t="shared" si="88"/>
        <v/>
      </c>
      <c r="DG853" s="1853" t="str">
        <f t="shared" si="89"/>
        <v/>
      </c>
      <c r="DH853" s="1853" t="str">
        <f t="shared" si="90"/>
        <v/>
      </c>
      <c r="DI853" s="1853" t="str">
        <f t="shared" si="91"/>
        <v/>
      </c>
      <c r="DJ853" s="1853" t="str">
        <f t="shared" si="92"/>
        <v/>
      </c>
      <c r="DK853" s="1853" t="str">
        <f t="shared" si="93"/>
        <v/>
      </c>
      <c r="DL853" s="1853" t="str">
        <f t="shared" si="94"/>
        <v/>
      </c>
      <c r="DM853" s="1853" t="str">
        <f t="shared" si="95"/>
        <v/>
      </c>
      <c r="DN853" s="1853" t="str">
        <f t="shared" si="96"/>
        <v/>
      </c>
      <c r="DO853" s="1853" t="str">
        <f t="shared" si="97"/>
        <v/>
      </c>
      <c r="DP853" s="1853" t="str">
        <f t="shared" si="98"/>
        <v/>
      </c>
      <c r="DQ853" s="1853" t="str">
        <f t="shared" si="99"/>
        <v/>
      </c>
      <c r="DR853" s="1853" t="str">
        <f t="shared" si="100"/>
        <v/>
      </c>
      <c r="DS853" s="1853" t="str">
        <f t="shared" si="101"/>
        <v/>
      </c>
      <c r="DT853" s="1853" t="str">
        <f t="shared" si="102"/>
        <v/>
      </c>
      <c r="DU853" s="1853" t="str">
        <f t="shared" si="103"/>
        <v/>
      </c>
      <c r="DV853" s="1853" t="str">
        <f t="shared" si="104"/>
        <v/>
      </c>
      <c r="DW853" s="1853" t="str">
        <f t="shared" si="105"/>
        <v/>
      </c>
      <c r="DX853" s="1853" t="str">
        <f t="shared" si="106"/>
        <v/>
      </c>
      <c r="DY853" s="1853" t="str">
        <f t="shared" si="107"/>
        <v/>
      </c>
      <c r="DZ853" s="1853" t="str">
        <f t="shared" si="108"/>
        <v/>
      </c>
      <c r="EA853" s="1853" t="str">
        <f t="shared" si="109"/>
        <v/>
      </c>
      <c r="EB853" s="1853" t="str">
        <f t="shared" si="110"/>
        <v/>
      </c>
      <c r="EC853" s="1853" t="str">
        <f t="shared" si="111"/>
        <v/>
      </c>
      <c r="ED853" s="1853" t="str">
        <f t="shared" si="112"/>
        <v/>
      </c>
      <c r="EE853" s="1853" t="str">
        <f t="shared" si="113"/>
        <v/>
      </c>
      <c r="EF853" s="1853" t="str">
        <f t="shared" si="114"/>
        <v/>
      </c>
      <c r="EG853" s="1853" t="str">
        <f t="shared" si="115"/>
        <v/>
      </c>
      <c r="EH853" s="1853" t="str">
        <f t="shared" si="116"/>
        <v/>
      </c>
      <c r="EI853" s="1853" t="str">
        <f t="shared" si="117"/>
        <v/>
      </c>
      <c r="EJ853" s="1853" t="str">
        <f t="shared" si="118"/>
        <v/>
      </c>
      <c r="EK853" s="1853" t="str">
        <f t="shared" si="119"/>
        <v/>
      </c>
      <c r="EL853" s="1853" t="str">
        <f t="shared" si="120"/>
        <v/>
      </c>
      <c r="EM853" s="1853" t="str">
        <f t="shared" si="121"/>
        <v/>
      </c>
      <c r="EN853" s="1853" t="str">
        <f t="shared" si="122"/>
        <v/>
      </c>
      <c r="EO853" s="1853" t="str">
        <f t="shared" si="123"/>
        <v/>
      </c>
      <c r="EP853" s="1853" t="str">
        <f t="shared" si="124"/>
        <v/>
      </c>
      <c r="EQ853" s="1853" t="str">
        <f t="shared" si="125"/>
        <v/>
      </c>
      <c r="ER853" s="1853" t="str">
        <f t="shared" si="126"/>
        <v/>
      </c>
      <c r="ES853" s="1853" t="str">
        <f t="shared" si="127"/>
        <v/>
      </c>
      <c r="ET853" s="1853" t="str">
        <f t="shared" si="128"/>
        <v/>
      </c>
      <c r="EU853" s="1853" t="str">
        <f t="shared" si="129"/>
        <v/>
      </c>
      <c r="EV853" s="1853" t="str">
        <f t="shared" si="130"/>
        <v/>
      </c>
      <c r="EW853" s="1853" t="str">
        <f t="shared" si="131"/>
        <v/>
      </c>
      <c r="EX853" s="1853" t="str">
        <f t="shared" si="132"/>
        <v/>
      </c>
      <c r="EY853" s="1853" t="str">
        <f t="shared" si="133"/>
        <v/>
      </c>
      <c r="EZ853" s="1853" t="str">
        <f t="shared" si="134"/>
        <v/>
      </c>
      <c r="FA853" s="1853" t="str">
        <f t="shared" si="135"/>
        <v/>
      </c>
      <c r="FB853" s="1853" t="str">
        <f t="shared" si="136"/>
        <v/>
      </c>
      <c r="FC853" s="1853" t="str">
        <f t="shared" si="137"/>
        <v/>
      </c>
      <c r="FD853" s="1853" t="str">
        <f t="shared" si="138"/>
        <v/>
      </c>
      <c r="FE853" s="1853" t="str">
        <f t="shared" si="139"/>
        <v/>
      </c>
      <c r="FF853" s="1853" t="str">
        <f t="shared" si="140"/>
        <v/>
      </c>
      <c r="FG853" s="1853" t="str">
        <f t="shared" si="141"/>
        <v/>
      </c>
      <c r="FH853" s="1853" t="str">
        <f t="shared" si="142"/>
        <v/>
      </c>
      <c r="FI853" s="1853" t="str">
        <f t="shared" si="143"/>
        <v/>
      </c>
      <c r="FJ853" s="1853" t="str">
        <f t="shared" si="144"/>
        <v/>
      </c>
      <c r="FK853" s="1853" t="str">
        <f t="shared" si="145"/>
        <v/>
      </c>
      <c r="FL853" s="1853" t="str">
        <f t="shared" si="146"/>
        <v/>
      </c>
      <c r="FM853" s="1853" t="str">
        <f t="shared" si="147"/>
        <v/>
      </c>
      <c r="FN853" s="1853" t="str">
        <f t="shared" si="148"/>
        <v/>
      </c>
      <c r="FO853" s="1853" t="str">
        <f t="shared" si="149"/>
        <v/>
      </c>
      <c r="FP853" s="1853" t="str">
        <f t="shared" si="150"/>
        <v/>
      </c>
      <c r="FQ853" s="1853" t="str">
        <f t="shared" si="151"/>
        <v/>
      </c>
      <c r="FR853" s="1853" t="str">
        <f t="shared" si="152"/>
        <v/>
      </c>
      <c r="FS853" s="1853">
        <f t="shared" si="153"/>
        <v>2040</v>
      </c>
      <c r="FT853" s="1853" t="str">
        <f t="shared" si="154"/>
        <v/>
      </c>
      <c r="FU853" s="1853" t="str">
        <f t="shared" si="155"/>
        <v/>
      </c>
      <c r="FV853" s="1853" t="str">
        <f t="shared" si="156"/>
        <v/>
      </c>
      <c r="FW853" s="1853" t="str">
        <f t="shared" si="157"/>
        <v/>
      </c>
      <c r="FX853" s="1853" t="str">
        <f t="shared" si="158"/>
        <v/>
      </c>
      <c r="FY853" s="1853" t="str">
        <f t="shared" si="159"/>
        <v/>
      </c>
      <c r="FZ853" s="1853" t="str">
        <f t="shared" si="160"/>
        <v/>
      </c>
      <c r="GA853" s="1853" t="str">
        <f t="shared" si="161"/>
        <v/>
      </c>
      <c r="GB853" s="1853" t="str">
        <f t="shared" si="162"/>
        <v/>
      </c>
      <c r="GC853" s="1853" t="str">
        <f t="shared" si="163"/>
        <v/>
      </c>
      <c r="GD853" s="1853" t="str">
        <f t="shared" si="164"/>
        <v/>
      </c>
      <c r="GE853" s="1853" t="str">
        <f t="shared" si="165"/>
        <v/>
      </c>
      <c r="GF853" s="1853" t="str">
        <f t="shared" si="166"/>
        <v/>
      </c>
      <c r="GG853" s="1853" t="str">
        <f t="shared" si="167"/>
        <v/>
      </c>
      <c r="GH853" s="1853" t="str">
        <f t="shared" si="168"/>
        <v/>
      </c>
      <c r="GI853" s="1853" t="str">
        <f t="shared" si="169"/>
        <v/>
      </c>
      <c r="GJ853" s="1853" t="str">
        <f t="shared" si="170"/>
        <v/>
      </c>
      <c r="GK853" s="1853" t="str">
        <f t="shared" si="171"/>
        <v/>
      </c>
      <c r="GL853" s="1853" t="str">
        <f t="shared" si="172"/>
        <v/>
      </c>
      <c r="GM853" s="1853">
        <f t="shared" si="173"/>
        <v>3</v>
      </c>
      <c r="GN853" s="1853" t="str">
        <f t="shared" si="174"/>
        <v/>
      </c>
      <c r="GO853" s="1853" t="str">
        <f t="shared" si="175"/>
        <v/>
      </c>
      <c r="GP853" s="1853" t="str">
        <f t="shared" si="176"/>
        <v/>
      </c>
      <c r="GQ853" s="1853" t="str">
        <f t="shared" si="177"/>
        <v/>
      </c>
      <c r="GR853" s="1853" t="str">
        <f t="shared" si="178"/>
        <v/>
      </c>
      <c r="GS853" s="1853" t="str">
        <f t="shared" si="179"/>
        <v/>
      </c>
      <c r="GT853" s="1853" t="str">
        <f t="shared" si="180"/>
        <v/>
      </c>
      <c r="GU853" s="1853" t="str">
        <f t="shared" si="181"/>
        <v/>
      </c>
      <c r="GV853" s="1853" t="str">
        <f t="shared" si="182"/>
        <v/>
      </c>
      <c r="GW853" s="1853" t="str">
        <f t="shared" si="183"/>
        <v/>
      </c>
      <c r="GX853" s="1853" t="str">
        <f t="shared" si="184"/>
        <v/>
      </c>
      <c r="GY853" s="1853" t="str">
        <f t="shared" si="185"/>
        <v/>
      </c>
      <c r="GZ853" s="1853" t="str">
        <f t="shared" si="186"/>
        <v/>
      </c>
      <c r="HA853" s="1853" t="str">
        <f t="shared" si="187"/>
        <v/>
      </c>
      <c r="HB853" s="1853" t="str">
        <f t="shared" si="188"/>
        <v/>
      </c>
      <c r="HC853" s="1853" t="str">
        <f t="shared" si="189"/>
        <v/>
      </c>
      <c r="HD853" s="1853" t="str">
        <f t="shared" si="190"/>
        <v/>
      </c>
      <c r="HE853" s="1853" t="str">
        <f t="shared" si="191"/>
        <v/>
      </c>
      <c r="HF853" s="1853" t="str">
        <f t="shared" si="192"/>
        <v/>
      </c>
      <c r="HG853" s="1853" t="str">
        <f t="shared" si="193"/>
        <v/>
      </c>
      <c r="HH853" s="1853" t="str">
        <f t="shared" si="194"/>
        <v/>
      </c>
      <c r="HI853" s="1853" t="str">
        <f t="shared" si="195"/>
        <v/>
      </c>
      <c r="HJ853" s="1853" t="str">
        <f t="shared" si="196"/>
        <v/>
      </c>
      <c r="HK853" s="1853" t="str">
        <f t="shared" si="197"/>
        <v/>
      </c>
      <c r="HL853" s="1853" t="str">
        <f t="shared" si="198"/>
        <v/>
      </c>
      <c r="HM853" s="1853" t="str">
        <f t="shared" si="199"/>
        <v/>
      </c>
      <c r="HN853" s="1853" t="str">
        <f t="shared" si="200"/>
        <v/>
      </c>
      <c r="HO853" s="1853" t="str">
        <f t="shared" si="201"/>
        <v/>
      </c>
      <c r="HP853" s="1853" t="str">
        <f t="shared" si="202"/>
        <v/>
      </c>
      <c r="HQ853" s="1853" t="str">
        <f t="shared" si="203"/>
        <v/>
      </c>
      <c r="HR853" s="1853" t="str">
        <f t="shared" si="204"/>
        <v/>
      </c>
      <c r="HS853" s="1853" t="str">
        <f t="shared" si="205"/>
        <v/>
      </c>
      <c r="HT853" s="1853" t="str">
        <f t="shared" si="206"/>
        <v/>
      </c>
      <c r="HU853" s="1853" t="str">
        <f t="shared" si="207"/>
        <v/>
      </c>
      <c r="HV853" s="1853" t="str">
        <f t="shared" si="208"/>
        <v/>
      </c>
      <c r="HW853" s="1853" t="str">
        <f t="shared" si="209"/>
        <v/>
      </c>
      <c r="HX853" s="1853" t="str">
        <f t="shared" si="210"/>
        <v/>
      </c>
      <c r="HY853" s="1853" t="str">
        <f t="shared" si="211"/>
        <v/>
      </c>
      <c r="HZ853" s="2141" t="str">
        <f t="shared" si="212"/>
        <v/>
      </c>
      <c r="IA853" s="2141">
        <f t="shared" si="213"/>
        <v>3</v>
      </c>
      <c r="IB853" s="2141" t="str">
        <f t="shared" si="214"/>
        <v/>
      </c>
      <c r="IC853" s="2141" t="str">
        <f t="shared" si="215"/>
        <v/>
      </c>
      <c r="ID853" s="2141" t="str">
        <f t="shared" si="216"/>
        <v/>
      </c>
      <c r="IE853" s="2141" t="str">
        <f t="shared" si="217"/>
        <v/>
      </c>
      <c r="IF853" s="2141" t="str">
        <f t="shared" si="218"/>
        <v/>
      </c>
      <c r="IG853" s="2141" t="str">
        <f t="shared" si="219"/>
        <v/>
      </c>
      <c r="IH853" s="2141" t="str">
        <f t="shared" si="220"/>
        <v/>
      </c>
      <c r="II853" s="2141" t="str">
        <f t="shared" si="221"/>
        <v/>
      </c>
      <c r="IJ853" s="2141" t="str">
        <f t="shared" si="222"/>
        <v/>
      </c>
      <c r="IK853" s="2141" t="str">
        <f t="shared" si="223"/>
        <v/>
      </c>
      <c r="IL853" s="2141" t="str">
        <f t="shared" si="224"/>
        <v/>
      </c>
      <c r="IM853" s="2141" t="str">
        <f t="shared" si="225"/>
        <v/>
      </c>
      <c r="IN853" s="2141" t="str">
        <f t="shared" si="226"/>
        <v/>
      </c>
      <c r="IO853" s="2141" t="str">
        <f t="shared" si="227"/>
        <v/>
      </c>
      <c r="IP853" s="2141" t="str">
        <f t="shared" si="228"/>
        <v/>
      </c>
      <c r="IQ853" s="2141" t="str">
        <f t="shared" si="229"/>
        <v/>
      </c>
      <c r="IR853" s="2141" t="str">
        <f t="shared" si="230"/>
        <v/>
      </c>
      <c r="IS853" s="2141" t="str">
        <f t="shared" si="231"/>
        <v/>
      </c>
      <c r="IT853" s="2141" t="str">
        <f t="shared" si="232"/>
        <v/>
      </c>
      <c r="IU853" s="2141" t="str">
        <f t="shared" si="233"/>
        <v/>
      </c>
      <c r="IV853" s="2141" t="str">
        <f t="shared" si="234"/>
        <v/>
      </c>
      <c r="IW853" s="2141" t="str">
        <f t="shared" si="235"/>
        <v/>
      </c>
      <c r="IX853" s="2141" t="str">
        <f t="shared" si="236"/>
        <v/>
      </c>
      <c r="IY853" s="2141" t="str">
        <f t="shared" si="237"/>
        <v/>
      </c>
      <c r="IZ853" s="2141" t="str">
        <f t="shared" si="238"/>
        <v/>
      </c>
      <c r="JA853" s="2141" t="str">
        <f t="shared" si="239"/>
        <v/>
      </c>
      <c r="JB853" s="2141" t="str">
        <f t="shared" si="240"/>
        <v/>
      </c>
      <c r="JC853" s="2141" t="str">
        <f t="shared" si="241"/>
        <v/>
      </c>
      <c r="JD853" s="2141" t="str">
        <f t="shared" si="242"/>
        <v/>
      </c>
      <c r="JE853" s="2141" t="str">
        <f t="shared" si="243"/>
        <v/>
      </c>
      <c r="JF853" s="2141" t="str">
        <f t="shared" si="244"/>
        <v/>
      </c>
      <c r="JG853" s="2141" t="str">
        <f t="shared" si="245"/>
        <v/>
      </c>
      <c r="JH853" s="2141" t="str">
        <f t="shared" si="246"/>
        <v/>
      </c>
      <c r="JI853" s="2141" t="str">
        <f t="shared" si="247"/>
        <v/>
      </c>
      <c r="JJ853" s="2141" t="str">
        <f t="shared" si="248"/>
        <v/>
      </c>
      <c r="JK853" s="2141" t="str">
        <f t="shared" si="249"/>
        <v/>
      </c>
      <c r="JL853" s="2141" t="str">
        <f t="shared" si="250"/>
        <v/>
      </c>
      <c r="JM853" s="2141" t="str">
        <f t="shared" si="251"/>
        <v/>
      </c>
      <c r="JN853" s="2141" t="str">
        <f t="shared" si="252"/>
        <v/>
      </c>
      <c r="JO853" s="2141" t="str">
        <f t="shared" si="253"/>
        <v/>
      </c>
      <c r="JP853" s="2141" t="str">
        <f t="shared" si="254"/>
        <v/>
      </c>
      <c r="JQ853" s="2141" t="str">
        <f t="shared" si="255"/>
        <v/>
      </c>
      <c r="JR853" s="2141" t="str">
        <f t="shared" si="256"/>
        <v/>
      </c>
      <c r="JS853" s="2141" t="str">
        <f t="shared" si="257"/>
        <v/>
      </c>
      <c r="JT853" s="2141">
        <f t="shared" si="258"/>
        <v>3</v>
      </c>
      <c r="JU853" s="2141" t="str">
        <f t="shared" si="259"/>
        <v/>
      </c>
      <c r="JV853" s="2141" t="str">
        <f t="shared" si="260"/>
        <v/>
      </c>
      <c r="JW853" s="2141" t="str">
        <f t="shared" si="261"/>
        <v/>
      </c>
      <c r="JX853" s="2141" t="str">
        <f t="shared" si="262"/>
        <v/>
      </c>
      <c r="JY853" s="2141" t="str">
        <f t="shared" si="263"/>
        <v/>
      </c>
      <c r="JZ853" s="2141" t="str">
        <f t="shared" si="264"/>
        <v/>
      </c>
      <c r="KA853" s="2141" t="str">
        <f t="shared" si="265"/>
        <v/>
      </c>
      <c r="KB853" s="2141" t="str">
        <f t="shared" si="266"/>
        <v/>
      </c>
      <c r="KC853" s="2141" t="str">
        <f t="shared" si="267"/>
        <v/>
      </c>
      <c r="KD853" s="2141" t="str">
        <f t="shared" si="268"/>
        <v/>
      </c>
      <c r="KE853" s="2141" t="str">
        <f t="shared" si="269"/>
        <v/>
      </c>
      <c r="KF853" s="2141" t="str">
        <f t="shared" si="270"/>
        <v/>
      </c>
      <c r="KG853" s="2141" t="str">
        <f t="shared" si="271"/>
        <v/>
      </c>
      <c r="KH853" s="2141" t="str">
        <f t="shared" si="272"/>
        <v/>
      </c>
      <c r="KI853" s="2141" t="str">
        <f t="shared" si="273"/>
        <v/>
      </c>
      <c r="KJ853" s="2141" t="str">
        <f t="shared" si="274"/>
        <v/>
      </c>
      <c r="KK853" s="2141" t="str">
        <f t="shared" si="275"/>
        <v/>
      </c>
      <c r="KL853" s="2141" t="str">
        <f t="shared" si="276"/>
        <v/>
      </c>
      <c r="KM853" s="2141" t="str">
        <f t="shared" si="277"/>
        <v/>
      </c>
      <c r="KN853" s="2141" t="str">
        <f t="shared" si="278"/>
        <v/>
      </c>
      <c r="KO853" s="2141" t="str">
        <f t="shared" si="279"/>
        <v/>
      </c>
      <c r="KP853" s="2141" t="str">
        <f t="shared" si="280"/>
        <v/>
      </c>
      <c r="KQ853" s="2141" t="str">
        <f t="shared" si="281"/>
        <v/>
      </c>
      <c r="KR853" s="2141" t="str">
        <f t="shared" si="282"/>
        <v/>
      </c>
      <c r="KS853" s="2141" t="str">
        <f t="shared" si="283"/>
        <v/>
      </c>
      <c r="KT853" s="2141" t="str">
        <f t="shared" si="284"/>
        <v/>
      </c>
      <c r="KU853" s="2141" t="str">
        <f t="shared" si="285"/>
        <v/>
      </c>
      <c r="KV853" s="2141" t="str">
        <f t="shared" si="286"/>
        <v/>
      </c>
      <c r="KW853" s="2141" t="str">
        <f t="shared" si="287"/>
        <v/>
      </c>
      <c r="KX853" s="2141" t="str">
        <f t="shared" si="288"/>
        <v/>
      </c>
      <c r="KY853" s="2141" t="str">
        <f t="shared" si="289"/>
        <v/>
      </c>
      <c r="KZ853" s="2141" t="str">
        <f t="shared" si="290"/>
        <v/>
      </c>
      <c r="LA853" s="2141" t="str">
        <f t="shared" si="291"/>
        <v/>
      </c>
      <c r="LB853" s="2141" t="str">
        <f t="shared" si="292"/>
        <v/>
      </c>
      <c r="LC853" s="2141" t="str">
        <f t="shared" si="293"/>
        <v/>
      </c>
      <c r="LD853" s="2141" t="str">
        <f t="shared" si="294"/>
        <v/>
      </c>
      <c r="LE853" s="2141" t="str">
        <f t="shared" si="295"/>
        <v/>
      </c>
      <c r="LF853" s="2141" t="str">
        <f t="shared" si="296"/>
        <v/>
      </c>
      <c r="LG853" s="2052" t="str">
        <f t="shared" si="297"/>
        <v/>
      </c>
      <c r="LH853" s="2052" t="str">
        <f t="shared" si="298"/>
        <v/>
      </c>
      <c r="LI853" s="2052" t="str">
        <f t="shared" si="299"/>
        <v/>
      </c>
      <c r="LJ853" s="2052" t="str">
        <f t="shared" si="300"/>
        <v/>
      </c>
      <c r="LK853" s="2052" t="str">
        <f t="shared" si="301"/>
        <v/>
      </c>
      <c r="LL853" s="1853" t="str">
        <f t="shared" si="302"/>
        <v/>
      </c>
      <c r="LM853" s="1853" t="str">
        <f t="shared" si="303"/>
        <v/>
      </c>
      <c r="LN853" s="1853" t="str">
        <f t="shared" si="304"/>
        <v/>
      </c>
      <c r="LO853" s="1853" t="str">
        <f t="shared" si="305"/>
        <v/>
      </c>
      <c r="LP853" s="1853" t="str">
        <f t="shared" si="306"/>
        <v/>
      </c>
      <c r="LQ853" s="1853" t="str">
        <f t="shared" si="307"/>
        <v/>
      </c>
      <c r="LR853" s="1853" t="str">
        <f t="shared" si="308"/>
        <v/>
      </c>
      <c r="LS853" s="1853" t="str">
        <f t="shared" si="309"/>
        <v/>
      </c>
      <c r="LT853" s="1853" t="str">
        <f t="shared" si="310"/>
        <v/>
      </c>
      <c r="LU853" s="1853" t="str">
        <f t="shared" si="311"/>
        <v/>
      </c>
      <c r="LV853" s="1853" t="str">
        <f t="shared" si="312"/>
        <v/>
      </c>
      <c r="LW853" s="1853" t="str">
        <f t="shared" si="313"/>
        <v/>
      </c>
      <c r="LX853" s="1853" t="str">
        <f t="shared" si="314"/>
        <v/>
      </c>
      <c r="LY853" s="1853" t="str">
        <f t="shared" si="315"/>
        <v/>
      </c>
      <c r="LZ853" s="1853" t="str">
        <f t="shared" si="316"/>
        <v/>
      </c>
      <c r="MA853" s="1853" t="str">
        <f t="shared" si="317"/>
        <v/>
      </c>
      <c r="MB853" s="1853" t="str">
        <f t="shared" si="318"/>
        <v/>
      </c>
      <c r="MC853" s="1853" t="str">
        <f t="shared" si="319"/>
        <v/>
      </c>
      <c r="MD853" s="1853" t="str">
        <f t="shared" si="320"/>
        <v/>
      </c>
      <c r="ME853" s="1853" t="str">
        <f t="shared" si="321"/>
        <v/>
      </c>
      <c r="MF853" s="2052">
        <f t="shared" si="328"/>
        <v>0</v>
      </c>
      <c r="MG853" s="2052">
        <f t="shared" si="329"/>
        <v>0</v>
      </c>
      <c r="MH853" s="2052">
        <f t="shared" si="330"/>
        <v>0</v>
      </c>
      <c r="MI853" s="2052">
        <f t="shared" si="331"/>
        <v>0</v>
      </c>
      <c r="MJ853" s="2052">
        <f t="shared" si="332"/>
        <v>0</v>
      </c>
      <c r="MK853" s="2052">
        <f t="shared" si="333"/>
        <v>0</v>
      </c>
      <c r="ML853" s="2052">
        <f t="shared" si="334"/>
        <v>3</v>
      </c>
      <c r="MM853" s="2052">
        <f t="shared" si="335"/>
        <v>0</v>
      </c>
      <c r="MN853" s="2052">
        <f t="shared" si="336"/>
        <v>0</v>
      </c>
      <c r="MO853" s="2052">
        <f t="shared" si="337"/>
        <v>0</v>
      </c>
      <c r="MP853" s="2052">
        <f t="shared" si="322"/>
        <v>0</v>
      </c>
      <c r="MQ853" s="2052">
        <f t="shared" si="323"/>
        <v>0</v>
      </c>
      <c r="MR853" s="2052">
        <f t="shared" si="324"/>
        <v>0</v>
      </c>
      <c r="MS853" s="2052">
        <f t="shared" si="325"/>
        <v>0</v>
      </c>
      <c r="MT853" s="2052">
        <f t="shared" si="326"/>
        <v>0</v>
      </c>
      <c r="NP853" s="1925" t="s">
        <v>6719</v>
      </c>
    </row>
    <row r="854" spans="1:380" s="1853" customFormat="1" ht="13.9" customHeight="1">
      <c r="A854" s="2109" t="str">
        <f t="shared" si="327"/>
        <v/>
      </c>
      <c r="B854" s="2131" t="str">
        <f>'Part VI-Revenues &amp; Expenses'!B14</f>
        <v>Unrestricted</v>
      </c>
      <c r="C854" s="2132">
        <f>'Part VI-Revenues &amp; Expenses'!C14</f>
        <v>2</v>
      </c>
      <c r="D854" s="2133">
        <f>'Part VI-Revenues &amp; Expenses'!D14</f>
        <v>1</v>
      </c>
      <c r="E854" s="2134">
        <f>'Part VI-Revenues &amp; Expenses'!E14</f>
        <v>2</v>
      </c>
      <c r="F854" s="2134">
        <f>'Part VI-Revenues &amp; Expenses'!F14</f>
        <v>880</v>
      </c>
      <c r="G854" s="2134" t="str">
        <f>'Part VI-Revenues &amp; Expenses'!G14</f>
        <v>N/A</v>
      </c>
      <c r="H854" s="2134">
        <f>'Part VI-Revenues &amp; Expenses'!H14</f>
        <v>615</v>
      </c>
      <c r="I854" s="2134">
        <f>'Part VI-Revenues &amp; Expenses'!I14</f>
        <v>0</v>
      </c>
      <c r="J854" s="2134">
        <f>'Part VI-Revenues &amp; Expenses'!J14</f>
        <v>0</v>
      </c>
      <c r="K854" s="2135">
        <f>'Part VI-Revenues &amp; Expenses'!K14</f>
        <v>0</v>
      </c>
      <c r="L854" s="2136">
        <f t="shared" si="0"/>
        <v>615</v>
      </c>
      <c r="M854" s="2136">
        <f t="shared" si="1"/>
        <v>1230</v>
      </c>
      <c r="N854" s="1917" t="str">
        <f>'Part VI-Revenues &amp; Expenses'!N14</f>
        <v>No</v>
      </c>
      <c r="O854" s="2137" t="str">
        <f>'Part VI-Revenues &amp; Expenses'!O14</f>
        <v>Low-Rise Apt</v>
      </c>
      <c r="P854" s="1917" t="str">
        <f>'Part VI-Revenues &amp; Expenses'!P14</f>
        <v>New Construction</v>
      </c>
      <c r="Q854" s="2138" t="str">
        <f>'Part VI-Revenues &amp; Expenses'!Q14</f>
        <v>No</v>
      </c>
      <c r="R854" s="2139"/>
      <c r="S854" s="2140"/>
      <c r="T854" s="2044"/>
      <c r="U854" s="2044"/>
      <c r="V854" s="2044"/>
      <c r="W854" s="2044"/>
      <c r="X854" s="1853" t="str">
        <f t="shared" si="2"/>
        <v/>
      </c>
      <c r="Y854" s="1853" t="str">
        <f t="shared" si="3"/>
        <v/>
      </c>
      <c r="Z854" s="1853" t="str">
        <f t="shared" si="4"/>
        <v/>
      </c>
      <c r="AA854" s="1853" t="str">
        <f t="shared" si="5"/>
        <v/>
      </c>
      <c r="AB854" s="1853" t="str">
        <f t="shared" si="6"/>
        <v/>
      </c>
      <c r="AC854" s="1853" t="str">
        <f t="shared" si="7"/>
        <v/>
      </c>
      <c r="AD854" s="1853" t="str">
        <f t="shared" si="8"/>
        <v/>
      </c>
      <c r="AE854" s="1853" t="str">
        <f t="shared" si="9"/>
        <v/>
      </c>
      <c r="AF854" s="1853" t="str">
        <f t="shared" si="10"/>
        <v/>
      </c>
      <c r="AG854" s="1853" t="str">
        <f t="shared" si="11"/>
        <v/>
      </c>
      <c r="AH854" s="1853" t="str">
        <f t="shared" si="12"/>
        <v/>
      </c>
      <c r="AI854" s="1853" t="str">
        <f t="shared" si="13"/>
        <v/>
      </c>
      <c r="AJ854" s="1853" t="str">
        <f t="shared" si="14"/>
        <v/>
      </c>
      <c r="AK854" s="1853" t="str">
        <f t="shared" si="15"/>
        <v/>
      </c>
      <c r="AL854" s="1853" t="str">
        <f t="shared" si="16"/>
        <v/>
      </c>
      <c r="AM854" s="1853" t="str">
        <f t="shared" si="17"/>
        <v/>
      </c>
      <c r="AN854" s="1853" t="str">
        <f t="shared" si="18"/>
        <v/>
      </c>
      <c r="AO854" s="1853" t="str">
        <f t="shared" si="19"/>
        <v/>
      </c>
      <c r="AP854" s="1853" t="str">
        <f t="shared" si="20"/>
        <v/>
      </c>
      <c r="AQ854" s="1853" t="str">
        <f t="shared" si="21"/>
        <v/>
      </c>
      <c r="AR854" s="1853" t="str">
        <f t="shared" si="22"/>
        <v/>
      </c>
      <c r="AS854" s="1853" t="str">
        <f t="shared" si="23"/>
        <v/>
      </c>
      <c r="AT854" s="1853" t="str">
        <f t="shared" si="24"/>
        <v/>
      </c>
      <c r="AU854" s="1853" t="str">
        <f t="shared" si="25"/>
        <v/>
      </c>
      <c r="AV854" s="1853" t="str">
        <f t="shared" si="26"/>
        <v/>
      </c>
      <c r="AW854" s="1853" t="str">
        <f t="shared" si="27"/>
        <v/>
      </c>
      <c r="AX854" s="1853" t="str">
        <f t="shared" si="28"/>
        <v/>
      </c>
      <c r="AY854" s="1853" t="str">
        <f t="shared" si="29"/>
        <v/>
      </c>
      <c r="AZ854" s="1853" t="str">
        <f t="shared" si="30"/>
        <v/>
      </c>
      <c r="BA854" s="1853" t="str">
        <f t="shared" si="31"/>
        <v/>
      </c>
      <c r="BB854" s="1853" t="str">
        <f t="shared" si="32"/>
        <v/>
      </c>
      <c r="BC854" s="1853" t="str">
        <f t="shared" si="33"/>
        <v/>
      </c>
      <c r="BD854" s="1853" t="str">
        <f t="shared" si="34"/>
        <v/>
      </c>
      <c r="BE854" s="1853" t="str">
        <f t="shared" si="35"/>
        <v/>
      </c>
      <c r="BF854" s="1853" t="str">
        <f t="shared" si="36"/>
        <v/>
      </c>
      <c r="BG854" s="1853" t="str">
        <f t="shared" si="37"/>
        <v/>
      </c>
      <c r="BH854" s="1853" t="str">
        <f t="shared" si="38"/>
        <v/>
      </c>
      <c r="BI854" s="1853">
        <f t="shared" si="39"/>
        <v>2</v>
      </c>
      <c r="BJ854" s="1853" t="str">
        <f t="shared" si="40"/>
        <v/>
      </c>
      <c r="BK854" s="1853" t="str">
        <f t="shared" si="41"/>
        <v/>
      </c>
      <c r="BL854" s="1853" t="str">
        <f t="shared" si="42"/>
        <v/>
      </c>
      <c r="BM854" s="1853" t="str">
        <f t="shared" si="43"/>
        <v/>
      </c>
      <c r="BN854" s="1853" t="str">
        <f t="shared" si="44"/>
        <v/>
      </c>
      <c r="BO854" s="1853" t="str">
        <f t="shared" si="45"/>
        <v/>
      </c>
      <c r="BP854" s="1853" t="str">
        <f t="shared" si="46"/>
        <v/>
      </c>
      <c r="BQ854" s="1853" t="str">
        <f t="shared" si="47"/>
        <v/>
      </c>
      <c r="BR854" s="1853" t="str">
        <f t="shared" si="48"/>
        <v/>
      </c>
      <c r="BS854" s="1853" t="str">
        <f t="shared" si="49"/>
        <v/>
      </c>
      <c r="BT854" s="1853" t="str">
        <f t="shared" si="50"/>
        <v/>
      </c>
      <c r="BU854" s="1853" t="str">
        <f t="shared" si="51"/>
        <v/>
      </c>
      <c r="BV854" s="1853" t="str">
        <f t="shared" si="52"/>
        <v/>
      </c>
      <c r="BW854" s="1853" t="str">
        <f t="shared" si="53"/>
        <v/>
      </c>
      <c r="BX854" s="1853" t="str">
        <f t="shared" si="54"/>
        <v/>
      </c>
      <c r="BY854" s="1853" t="str">
        <f t="shared" si="55"/>
        <v/>
      </c>
      <c r="BZ854" s="1853" t="str">
        <f t="shared" si="56"/>
        <v/>
      </c>
      <c r="CA854" s="1853" t="str">
        <f t="shared" si="57"/>
        <v/>
      </c>
      <c r="CB854" s="1853" t="str">
        <f t="shared" si="58"/>
        <v/>
      </c>
      <c r="CC854" s="1853" t="str">
        <f t="shared" si="59"/>
        <v/>
      </c>
      <c r="CD854" s="1853" t="str">
        <f t="shared" si="60"/>
        <v/>
      </c>
      <c r="CE854" s="1853" t="str">
        <f t="shared" si="61"/>
        <v/>
      </c>
      <c r="CF854" s="1853" t="str">
        <f t="shared" si="62"/>
        <v/>
      </c>
      <c r="CG854" s="1853" t="str">
        <f t="shared" si="63"/>
        <v/>
      </c>
      <c r="CH854" s="1853" t="str">
        <f t="shared" si="64"/>
        <v/>
      </c>
      <c r="CI854" s="1853" t="str">
        <f t="shared" si="65"/>
        <v/>
      </c>
      <c r="CJ854" s="1853" t="str">
        <f t="shared" si="66"/>
        <v/>
      </c>
      <c r="CK854" s="1853" t="str">
        <f t="shared" si="67"/>
        <v/>
      </c>
      <c r="CL854" s="1853" t="str">
        <f t="shared" si="68"/>
        <v/>
      </c>
      <c r="CM854" s="1853" t="str">
        <f t="shared" si="69"/>
        <v/>
      </c>
      <c r="CN854" s="1853" t="str">
        <f t="shared" si="70"/>
        <v/>
      </c>
      <c r="CO854" s="1853" t="str">
        <f t="shared" si="71"/>
        <v/>
      </c>
      <c r="CP854" s="1853" t="str">
        <f t="shared" si="72"/>
        <v/>
      </c>
      <c r="CQ854" s="1853" t="str">
        <f t="shared" si="73"/>
        <v/>
      </c>
      <c r="CR854" s="1853" t="str">
        <f t="shared" si="74"/>
        <v/>
      </c>
      <c r="CS854" s="1853" t="str">
        <f t="shared" si="75"/>
        <v/>
      </c>
      <c r="CT854" s="1853" t="str">
        <f t="shared" si="76"/>
        <v/>
      </c>
      <c r="CU854" s="1853" t="str">
        <f t="shared" si="77"/>
        <v/>
      </c>
      <c r="CV854" s="1853" t="str">
        <f t="shared" si="78"/>
        <v/>
      </c>
      <c r="CW854" s="1853" t="str">
        <f t="shared" si="79"/>
        <v/>
      </c>
      <c r="CX854" s="1853" t="str">
        <f t="shared" si="80"/>
        <v/>
      </c>
      <c r="CY854" s="1853" t="str">
        <f t="shared" si="81"/>
        <v/>
      </c>
      <c r="CZ854" s="1853" t="str">
        <f t="shared" si="82"/>
        <v/>
      </c>
      <c r="DA854" s="1853" t="str">
        <f t="shared" si="83"/>
        <v/>
      </c>
      <c r="DB854" s="1853" t="str">
        <f t="shared" si="84"/>
        <v/>
      </c>
      <c r="DC854" s="1853" t="str">
        <f t="shared" si="85"/>
        <v/>
      </c>
      <c r="DD854" s="1853" t="str">
        <f t="shared" si="86"/>
        <v/>
      </c>
      <c r="DE854" s="1853" t="str">
        <f t="shared" si="87"/>
        <v/>
      </c>
      <c r="DF854" s="1853" t="str">
        <f t="shared" si="88"/>
        <v/>
      </c>
      <c r="DG854" s="1853" t="str">
        <f t="shared" si="89"/>
        <v/>
      </c>
      <c r="DH854" s="1853" t="str">
        <f t="shared" si="90"/>
        <v/>
      </c>
      <c r="DI854" s="1853" t="str">
        <f t="shared" si="91"/>
        <v/>
      </c>
      <c r="DJ854" s="1853" t="str">
        <f t="shared" si="92"/>
        <v/>
      </c>
      <c r="DK854" s="1853" t="str">
        <f t="shared" si="93"/>
        <v/>
      </c>
      <c r="DL854" s="1853" t="str">
        <f t="shared" si="94"/>
        <v/>
      </c>
      <c r="DM854" s="1853" t="str">
        <f t="shared" si="95"/>
        <v/>
      </c>
      <c r="DN854" s="1853" t="str">
        <f t="shared" si="96"/>
        <v/>
      </c>
      <c r="DO854" s="1853" t="str">
        <f t="shared" si="97"/>
        <v/>
      </c>
      <c r="DP854" s="1853" t="str">
        <f t="shared" si="98"/>
        <v/>
      </c>
      <c r="DQ854" s="1853" t="str">
        <f t="shared" si="99"/>
        <v/>
      </c>
      <c r="DR854" s="1853" t="str">
        <f t="shared" si="100"/>
        <v/>
      </c>
      <c r="DS854" s="1853" t="str">
        <f t="shared" si="101"/>
        <v/>
      </c>
      <c r="DT854" s="1853" t="str">
        <f t="shared" si="102"/>
        <v/>
      </c>
      <c r="DU854" s="1853" t="str">
        <f t="shared" si="103"/>
        <v/>
      </c>
      <c r="DV854" s="1853" t="str">
        <f t="shared" si="104"/>
        <v/>
      </c>
      <c r="DW854" s="1853" t="str">
        <f t="shared" si="105"/>
        <v/>
      </c>
      <c r="DX854" s="1853" t="str">
        <f t="shared" si="106"/>
        <v/>
      </c>
      <c r="DY854" s="1853" t="str">
        <f t="shared" si="107"/>
        <v/>
      </c>
      <c r="DZ854" s="1853" t="str">
        <f t="shared" si="108"/>
        <v/>
      </c>
      <c r="EA854" s="1853" t="str">
        <f t="shared" si="109"/>
        <v/>
      </c>
      <c r="EB854" s="1853" t="str">
        <f t="shared" si="110"/>
        <v/>
      </c>
      <c r="EC854" s="1853" t="str">
        <f t="shared" si="111"/>
        <v/>
      </c>
      <c r="ED854" s="1853" t="str">
        <f t="shared" si="112"/>
        <v/>
      </c>
      <c r="EE854" s="1853" t="str">
        <f t="shared" si="113"/>
        <v/>
      </c>
      <c r="EF854" s="1853" t="str">
        <f t="shared" si="114"/>
        <v/>
      </c>
      <c r="EG854" s="1853" t="str">
        <f t="shared" si="115"/>
        <v/>
      </c>
      <c r="EH854" s="1853" t="str">
        <f t="shared" si="116"/>
        <v/>
      </c>
      <c r="EI854" s="1853" t="str">
        <f t="shared" si="117"/>
        <v/>
      </c>
      <c r="EJ854" s="1853" t="str">
        <f t="shared" si="118"/>
        <v/>
      </c>
      <c r="EK854" s="1853" t="str">
        <f t="shared" si="119"/>
        <v/>
      </c>
      <c r="EL854" s="1853" t="str">
        <f t="shared" si="120"/>
        <v/>
      </c>
      <c r="EM854" s="1853" t="str">
        <f t="shared" si="121"/>
        <v/>
      </c>
      <c r="EN854" s="1853" t="str">
        <f t="shared" si="122"/>
        <v/>
      </c>
      <c r="EO854" s="1853" t="str">
        <f t="shared" si="123"/>
        <v/>
      </c>
      <c r="EP854" s="1853" t="str">
        <f t="shared" si="124"/>
        <v/>
      </c>
      <c r="EQ854" s="1853" t="str">
        <f t="shared" si="125"/>
        <v/>
      </c>
      <c r="ER854" s="1853" t="str">
        <f t="shared" si="126"/>
        <v/>
      </c>
      <c r="ES854" s="1853" t="str">
        <f t="shared" si="127"/>
        <v/>
      </c>
      <c r="ET854" s="1853" t="str">
        <f t="shared" si="128"/>
        <v/>
      </c>
      <c r="EU854" s="1853" t="str">
        <f t="shared" si="129"/>
        <v/>
      </c>
      <c r="EV854" s="1853" t="str">
        <f t="shared" si="130"/>
        <v/>
      </c>
      <c r="EW854" s="1853" t="str">
        <f t="shared" si="131"/>
        <v/>
      </c>
      <c r="EX854" s="1853" t="str">
        <f t="shared" si="132"/>
        <v/>
      </c>
      <c r="EY854" s="1853" t="str">
        <f t="shared" si="133"/>
        <v/>
      </c>
      <c r="EZ854" s="1853" t="str">
        <f t="shared" si="134"/>
        <v/>
      </c>
      <c r="FA854" s="1853" t="str">
        <f t="shared" si="135"/>
        <v/>
      </c>
      <c r="FB854" s="1853" t="str">
        <f t="shared" si="136"/>
        <v/>
      </c>
      <c r="FC854" s="1853" t="str">
        <f t="shared" si="137"/>
        <v/>
      </c>
      <c r="FD854" s="1853" t="str">
        <f t="shared" si="138"/>
        <v/>
      </c>
      <c r="FE854" s="1853" t="str">
        <f t="shared" si="139"/>
        <v/>
      </c>
      <c r="FF854" s="1853" t="str">
        <f t="shared" si="140"/>
        <v/>
      </c>
      <c r="FG854" s="1853" t="str">
        <f t="shared" si="141"/>
        <v/>
      </c>
      <c r="FH854" s="1853" t="str">
        <f t="shared" si="142"/>
        <v/>
      </c>
      <c r="FI854" s="1853" t="str">
        <f t="shared" si="143"/>
        <v/>
      </c>
      <c r="FJ854" s="1853" t="str">
        <f t="shared" si="144"/>
        <v/>
      </c>
      <c r="FK854" s="1853" t="str">
        <f t="shared" si="145"/>
        <v/>
      </c>
      <c r="FL854" s="1853" t="str">
        <f t="shared" si="146"/>
        <v/>
      </c>
      <c r="FM854" s="1853" t="str">
        <f t="shared" si="147"/>
        <v/>
      </c>
      <c r="FN854" s="1853" t="str">
        <f t="shared" si="148"/>
        <v/>
      </c>
      <c r="FO854" s="1853" t="str">
        <f t="shared" si="149"/>
        <v/>
      </c>
      <c r="FP854" s="1853" t="str">
        <f t="shared" si="150"/>
        <v/>
      </c>
      <c r="FQ854" s="1853" t="str">
        <f t="shared" si="151"/>
        <v/>
      </c>
      <c r="FR854" s="1853" t="str">
        <f t="shared" si="152"/>
        <v/>
      </c>
      <c r="FS854" s="1853" t="str">
        <f t="shared" si="153"/>
        <v/>
      </c>
      <c r="FT854" s="1853">
        <f t="shared" si="154"/>
        <v>1760</v>
      </c>
      <c r="FU854" s="1853" t="str">
        <f t="shared" si="155"/>
        <v/>
      </c>
      <c r="FV854" s="1853" t="str">
        <f t="shared" si="156"/>
        <v/>
      </c>
      <c r="FW854" s="1853" t="str">
        <f t="shared" si="157"/>
        <v/>
      </c>
      <c r="FX854" s="1853" t="str">
        <f t="shared" si="158"/>
        <v/>
      </c>
      <c r="FY854" s="1853" t="str">
        <f t="shared" si="159"/>
        <v/>
      </c>
      <c r="FZ854" s="1853" t="str">
        <f t="shared" si="160"/>
        <v/>
      </c>
      <c r="GA854" s="1853" t="str">
        <f t="shared" si="161"/>
        <v/>
      </c>
      <c r="GB854" s="1853" t="str">
        <f t="shared" si="162"/>
        <v/>
      </c>
      <c r="GC854" s="1853" t="str">
        <f t="shared" si="163"/>
        <v/>
      </c>
      <c r="GD854" s="1853" t="str">
        <f t="shared" si="164"/>
        <v/>
      </c>
      <c r="GE854" s="1853" t="str">
        <f t="shared" si="165"/>
        <v/>
      </c>
      <c r="GF854" s="1853" t="str">
        <f t="shared" si="166"/>
        <v/>
      </c>
      <c r="GG854" s="1853" t="str">
        <f t="shared" si="167"/>
        <v/>
      </c>
      <c r="GH854" s="1853" t="str">
        <f t="shared" si="168"/>
        <v/>
      </c>
      <c r="GI854" s="1853" t="str">
        <f t="shared" si="169"/>
        <v/>
      </c>
      <c r="GJ854" s="1853" t="str">
        <f t="shared" si="170"/>
        <v/>
      </c>
      <c r="GK854" s="1853" t="str">
        <f t="shared" si="171"/>
        <v/>
      </c>
      <c r="GL854" s="1853" t="str">
        <f t="shared" si="172"/>
        <v/>
      </c>
      <c r="GM854" s="1853" t="str">
        <f t="shared" si="173"/>
        <v/>
      </c>
      <c r="GN854" s="1853">
        <f t="shared" si="174"/>
        <v>2</v>
      </c>
      <c r="GO854" s="1853" t="str">
        <f t="shared" si="175"/>
        <v/>
      </c>
      <c r="GP854" s="1853" t="str">
        <f t="shared" si="176"/>
        <v/>
      </c>
      <c r="GQ854" s="1853" t="str">
        <f t="shared" si="177"/>
        <v/>
      </c>
      <c r="GR854" s="1853" t="str">
        <f t="shared" si="178"/>
        <v/>
      </c>
      <c r="GS854" s="1853" t="str">
        <f t="shared" si="179"/>
        <v/>
      </c>
      <c r="GT854" s="1853" t="str">
        <f t="shared" si="180"/>
        <v/>
      </c>
      <c r="GU854" s="1853" t="str">
        <f t="shared" si="181"/>
        <v/>
      </c>
      <c r="GV854" s="1853" t="str">
        <f t="shared" si="182"/>
        <v/>
      </c>
      <c r="GW854" s="1853" t="str">
        <f t="shared" si="183"/>
        <v/>
      </c>
      <c r="GX854" s="1853" t="str">
        <f t="shared" si="184"/>
        <v/>
      </c>
      <c r="GY854" s="1853" t="str">
        <f t="shared" si="185"/>
        <v/>
      </c>
      <c r="GZ854" s="1853" t="str">
        <f t="shared" si="186"/>
        <v/>
      </c>
      <c r="HA854" s="1853" t="str">
        <f t="shared" si="187"/>
        <v/>
      </c>
      <c r="HB854" s="1853" t="str">
        <f t="shared" si="188"/>
        <v/>
      </c>
      <c r="HC854" s="1853" t="str">
        <f t="shared" si="189"/>
        <v/>
      </c>
      <c r="HD854" s="1853" t="str">
        <f t="shared" si="190"/>
        <v/>
      </c>
      <c r="HE854" s="1853" t="str">
        <f t="shared" si="191"/>
        <v/>
      </c>
      <c r="HF854" s="1853" t="str">
        <f t="shared" si="192"/>
        <v/>
      </c>
      <c r="HG854" s="1853" t="str">
        <f t="shared" si="193"/>
        <v/>
      </c>
      <c r="HH854" s="1853" t="str">
        <f t="shared" si="194"/>
        <v/>
      </c>
      <c r="HI854" s="1853" t="str">
        <f t="shared" si="195"/>
        <v/>
      </c>
      <c r="HJ854" s="1853" t="str">
        <f t="shared" si="196"/>
        <v/>
      </c>
      <c r="HK854" s="1853" t="str">
        <f t="shared" si="197"/>
        <v/>
      </c>
      <c r="HL854" s="1853" t="str">
        <f t="shared" si="198"/>
        <v/>
      </c>
      <c r="HM854" s="1853" t="str">
        <f t="shared" si="199"/>
        <v/>
      </c>
      <c r="HN854" s="1853" t="str">
        <f t="shared" si="200"/>
        <v/>
      </c>
      <c r="HO854" s="1853" t="str">
        <f t="shared" si="201"/>
        <v/>
      </c>
      <c r="HP854" s="1853" t="str">
        <f t="shared" si="202"/>
        <v/>
      </c>
      <c r="HQ854" s="1853" t="str">
        <f t="shared" si="203"/>
        <v/>
      </c>
      <c r="HR854" s="1853" t="str">
        <f t="shared" si="204"/>
        <v/>
      </c>
      <c r="HS854" s="1853" t="str">
        <f t="shared" si="205"/>
        <v/>
      </c>
      <c r="HT854" s="1853" t="str">
        <f t="shared" si="206"/>
        <v/>
      </c>
      <c r="HU854" s="1853" t="str">
        <f t="shared" si="207"/>
        <v/>
      </c>
      <c r="HV854" s="1853" t="str">
        <f t="shared" si="208"/>
        <v/>
      </c>
      <c r="HW854" s="1853" t="str">
        <f t="shared" si="209"/>
        <v/>
      </c>
      <c r="HX854" s="1853" t="str">
        <f t="shared" si="210"/>
        <v/>
      </c>
      <c r="HY854" s="1853" t="str">
        <f t="shared" si="211"/>
        <v/>
      </c>
      <c r="HZ854" s="2141" t="str">
        <f t="shared" si="212"/>
        <v/>
      </c>
      <c r="IA854" s="2141" t="str">
        <f t="shared" si="213"/>
        <v/>
      </c>
      <c r="IB854" s="2141">
        <f t="shared" si="214"/>
        <v>2</v>
      </c>
      <c r="IC854" s="2141" t="str">
        <f t="shared" si="215"/>
        <v/>
      </c>
      <c r="ID854" s="2141" t="str">
        <f t="shared" si="216"/>
        <v/>
      </c>
      <c r="IE854" s="2141" t="str">
        <f t="shared" si="217"/>
        <v/>
      </c>
      <c r="IF854" s="2141" t="str">
        <f t="shared" si="218"/>
        <v/>
      </c>
      <c r="IG854" s="2141" t="str">
        <f t="shared" si="219"/>
        <v/>
      </c>
      <c r="IH854" s="2141" t="str">
        <f t="shared" si="220"/>
        <v/>
      </c>
      <c r="II854" s="2141" t="str">
        <f t="shared" si="221"/>
        <v/>
      </c>
      <c r="IJ854" s="2141" t="str">
        <f t="shared" si="222"/>
        <v/>
      </c>
      <c r="IK854" s="2141" t="str">
        <f t="shared" si="223"/>
        <v/>
      </c>
      <c r="IL854" s="2141" t="str">
        <f t="shared" si="224"/>
        <v/>
      </c>
      <c r="IM854" s="2141" t="str">
        <f t="shared" si="225"/>
        <v/>
      </c>
      <c r="IN854" s="2141" t="str">
        <f t="shared" si="226"/>
        <v/>
      </c>
      <c r="IO854" s="2141" t="str">
        <f t="shared" si="227"/>
        <v/>
      </c>
      <c r="IP854" s="2141" t="str">
        <f t="shared" si="228"/>
        <v/>
      </c>
      <c r="IQ854" s="2141" t="str">
        <f t="shared" si="229"/>
        <v/>
      </c>
      <c r="IR854" s="2141" t="str">
        <f t="shared" si="230"/>
        <v/>
      </c>
      <c r="IS854" s="2141" t="str">
        <f t="shared" si="231"/>
        <v/>
      </c>
      <c r="IT854" s="2141" t="str">
        <f t="shared" si="232"/>
        <v/>
      </c>
      <c r="IU854" s="2141" t="str">
        <f t="shared" si="233"/>
        <v/>
      </c>
      <c r="IV854" s="2141" t="str">
        <f t="shared" si="234"/>
        <v/>
      </c>
      <c r="IW854" s="2141" t="str">
        <f t="shared" si="235"/>
        <v/>
      </c>
      <c r="IX854" s="2141" t="str">
        <f t="shared" si="236"/>
        <v/>
      </c>
      <c r="IY854" s="2141" t="str">
        <f t="shared" si="237"/>
        <v/>
      </c>
      <c r="IZ854" s="2141" t="str">
        <f t="shared" si="238"/>
        <v/>
      </c>
      <c r="JA854" s="2141" t="str">
        <f t="shared" si="239"/>
        <v/>
      </c>
      <c r="JB854" s="2141" t="str">
        <f t="shared" si="240"/>
        <v/>
      </c>
      <c r="JC854" s="2141" t="str">
        <f t="shared" si="241"/>
        <v/>
      </c>
      <c r="JD854" s="2141" t="str">
        <f t="shared" si="242"/>
        <v/>
      </c>
      <c r="JE854" s="2141" t="str">
        <f t="shared" si="243"/>
        <v/>
      </c>
      <c r="JF854" s="2141" t="str">
        <f t="shared" si="244"/>
        <v/>
      </c>
      <c r="JG854" s="2141" t="str">
        <f t="shared" si="245"/>
        <v/>
      </c>
      <c r="JH854" s="2141" t="str">
        <f t="shared" si="246"/>
        <v/>
      </c>
      <c r="JI854" s="2141" t="str">
        <f t="shared" si="247"/>
        <v/>
      </c>
      <c r="JJ854" s="2141" t="str">
        <f t="shared" si="248"/>
        <v/>
      </c>
      <c r="JK854" s="2141" t="str">
        <f t="shared" si="249"/>
        <v/>
      </c>
      <c r="JL854" s="2141" t="str">
        <f t="shared" si="250"/>
        <v/>
      </c>
      <c r="JM854" s="2141" t="str">
        <f t="shared" si="251"/>
        <v/>
      </c>
      <c r="JN854" s="2141" t="str">
        <f t="shared" si="252"/>
        <v/>
      </c>
      <c r="JO854" s="2141" t="str">
        <f t="shared" si="253"/>
        <v/>
      </c>
      <c r="JP854" s="2141" t="str">
        <f t="shared" si="254"/>
        <v/>
      </c>
      <c r="JQ854" s="2141" t="str">
        <f t="shared" si="255"/>
        <v/>
      </c>
      <c r="JR854" s="2141" t="str">
        <f t="shared" si="256"/>
        <v/>
      </c>
      <c r="JS854" s="2141" t="str">
        <f t="shared" si="257"/>
        <v/>
      </c>
      <c r="JT854" s="2141" t="str">
        <f t="shared" si="258"/>
        <v/>
      </c>
      <c r="JU854" s="2141">
        <f t="shared" si="259"/>
        <v>2</v>
      </c>
      <c r="JV854" s="2141" t="str">
        <f t="shared" si="260"/>
        <v/>
      </c>
      <c r="JW854" s="2141" t="str">
        <f t="shared" si="261"/>
        <v/>
      </c>
      <c r="JX854" s="2141" t="str">
        <f t="shared" si="262"/>
        <v/>
      </c>
      <c r="JY854" s="2141" t="str">
        <f t="shared" si="263"/>
        <v/>
      </c>
      <c r="JZ854" s="2141" t="str">
        <f t="shared" si="264"/>
        <v/>
      </c>
      <c r="KA854" s="2141" t="str">
        <f t="shared" si="265"/>
        <v/>
      </c>
      <c r="KB854" s="2141" t="str">
        <f t="shared" si="266"/>
        <v/>
      </c>
      <c r="KC854" s="2141" t="str">
        <f t="shared" si="267"/>
        <v/>
      </c>
      <c r="KD854" s="2141" t="str">
        <f t="shared" si="268"/>
        <v/>
      </c>
      <c r="KE854" s="2141" t="str">
        <f t="shared" si="269"/>
        <v/>
      </c>
      <c r="KF854" s="2141" t="str">
        <f t="shared" si="270"/>
        <v/>
      </c>
      <c r="KG854" s="2141" t="str">
        <f t="shared" si="271"/>
        <v/>
      </c>
      <c r="KH854" s="2141" t="str">
        <f t="shared" si="272"/>
        <v/>
      </c>
      <c r="KI854" s="2141" t="str">
        <f t="shared" si="273"/>
        <v/>
      </c>
      <c r="KJ854" s="2141" t="str">
        <f t="shared" si="274"/>
        <v/>
      </c>
      <c r="KK854" s="2141" t="str">
        <f t="shared" si="275"/>
        <v/>
      </c>
      <c r="KL854" s="2141" t="str">
        <f t="shared" si="276"/>
        <v/>
      </c>
      <c r="KM854" s="2141" t="str">
        <f t="shared" si="277"/>
        <v/>
      </c>
      <c r="KN854" s="2141" t="str">
        <f t="shared" si="278"/>
        <v/>
      </c>
      <c r="KO854" s="2141" t="str">
        <f t="shared" si="279"/>
        <v/>
      </c>
      <c r="KP854" s="2141" t="str">
        <f t="shared" si="280"/>
        <v/>
      </c>
      <c r="KQ854" s="2141" t="str">
        <f t="shared" si="281"/>
        <v/>
      </c>
      <c r="KR854" s="2141" t="str">
        <f t="shared" si="282"/>
        <v/>
      </c>
      <c r="KS854" s="2141" t="str">
        <f t="shared" si="283"/>
        <v/>
      </c>
      <c r="KT854" s="2141" t="str">
        <f t="shared" si="284"/>
        <v/>
      </c>
      <c r="KU854" s="2141" t="str">
        <f t="shared" si="285"/>
        <v/>
      </c>
      <c r="KV854" s="2141" t="str">
        <f t="shared" si="286"/>
        <v/>
      </c>
      <c r="KW854" s="2141" t="str">
        <f t="shared" si="287"/>
        <v/>
      </c>
      <c r="KX854" s="2141" t="str">
        <f t="shared" si="288"/>
        <v/>
      </c>
      <c r="KY854" s="2141" t="str">
        <f t="shared" si="289"/>
        <v/>
      </c>
      <c r="KZ854" s="2141" t="str">
        <f t="shared" si="290"/>
        <v/>
      </c>
      <c r="LA854" s="2141" t="str">
        <f t="shared" si="291"/>
        <v/>
      </c>
      <c r="LB854" s="2141" t="str">
        <f t="shared" si="292"/>
        <v/>
      </c>
      <c r="LC854" s="2141" t="str">
        <f t="shared" si="293"/>
        <v/>
      </c>
      <c r="LD854" s="2141" t="str">
        <f t="shared" si="294"/>
        <v/>
      </c>
      <c r="LE854" s="2141" t="str">
        <f t="shared" si="295"/>
        <v/>
      </c>
      <c r="LF854" s="2141" t="str">
        <f t="shared" si="296"/>
        <v/>
      </c>
      <c r="LG854" s="2052" t="str">
        <f t="shared" si="297"/>
        <v/>
      </c>
      <c r="LH854" s="2052" t="str">
        <f t="shared" si="298"/>
        <v/>
      </c>
      <c r="LI854" s="2052" t="str">
        <f t="shared" si="299"/>
        <v/>
      </c>
      <c r="LJ854" s="2052" t="str">
        <f t="shared" si="300"/>
        <v/>
      </c>
      <c r="LK854" s="2052" t="str">
        <f t="shared" si="301"/>
        <v/>
      </c>
      <c r="LL854" s="1853" t="str">
        <f t="shared" si="302"/>
        <v/>
      </c>
      <c r="LM854" s="1853" t="str">
        <f t="shared" si="303"/>
        <v/>
      </c>
      <c r="LN854" s="1853" t="str">
        <f t="shared" si="304"/>
        <v/>
      </c>
      <c r="LO854" s="1853" t="str">
        <f t="shared" si="305"/>
        <v/>
      </c>
      <c r="LP854" s="1853" t="str">
        <f t="shared" si="306"/>
        <v/>
      </c>
      <c r="LQ854" s="1853" t="str">
        <f t="shared" si="307"/>
        <v/>
      </c>
      <c r="LR854" s="1853" t="str">
        <f t="shared" si="308"/>
        <v/>
      </c>
      <c r="LS854" s="1853" t="str">
        <f t="shared" si="309"/>
        <v/>
      </c>
      <c r="LT854" s="1853" t="str">
        <f t="shared" si="310"/>
        <v/>
      </c>
      <c r="LU854" s="1853" t="str">
        <f t="shared" si="311"/>
        <v/>
      </c>
      <c r="LV854" s="1853" t="str">
        <f t="shared" si="312"/>
        <v/>
      </c>
      <c r="LW854" s="1853" t="str">
        <f t="shared" si="313"/>
        <v/>
      </c>
      <c r="LX854" s="1853" t="str">
        <f t="shared" si="314"/>
        <v/>
      </c>
      <c r="LY854" s="1853" t="str">
        <f t="shared" si="315"/>
        <v/>
      </c>
      <c r="LZ854" s="1853" t="str">
        <f t="shared" si="316"/>
        <v/>
      </c>
      <c r="MA854" s="1853" t="str">
        <f t="shared" si="317"/>
        <v/>
      </c>
      <c r="MB854" s="1853" t="str">
        <f t="shared" si="318"/>
        <v/>
      </c>
      <c r="MC854" s="1853" t="str">
        <f t="shared" si="319"/>
        <v/>
      </c>
      <c r="MD854" s="1853" t="str">
        <f t="shared" si="320"/>
        <v/>
      </c>
      <c r="ME854" s="1853" t="str">
        <f t="shared" si="321"/>
        <v/>
      </c>
      <c r="MF854" s="2052">
        <f t="shared" si="328"/>
        <v>0</v>
      </c>
      <c r="MG854" s="2052">
        <f t="shared" si="329"/>
        <v>0</v>
      </c>
      <c r="MH854" s="2052">
        <f t="shared" si="330"/>
        <v>0</v>
      </c>
      <c r="MI854" s="2052">
        <f t="shared" si="331"/>
        <v>0</v>
      </c>
      <c r="MJ854" s="2052">
        <f t="shared" si="332"/>
        <v>0</v>
      </c>
      <c r="MK854" s="2052">
        <f t="shared" si="333"/>
        <v>0</v>
      </c>
      <c r="ML854" s="2052">
        <f t="shared" si="334"/>
        <v>0</v>
      </c>
      <c r="MM854" s="2052">
        <f t="shared" si="335"/>
        <v>2</v>
      </c>
      <c r="MN854" s="2052">
        <f t="shared" si="336"/>
        <v>0</v>
      </c>
      <c r="MO854" s="2052">
        <f t="shared" si="337"/>
        <v>0</v>
      </c>
      <c r="MP854" s="2052">
        <f t="shared" si="322"/>
        <v>0</v>
      </c>
      <c r="MQ854" s="2052">
        <f t="shared" si="323"/>
        <v>0</v>
      </c>
      <c r="MR854" s="2052">
        <f t="shared" si="324"/>
        <v>0</v>
      </c>
      <c r="MS854" s="2052">
        <f t="shared" si="325"/>
        <v>0</v>
      </c>
      <c r="MT854" s="2052">
        <f t="shared" si="326"/>
        <v>0</v>
      </c>
      <c r="NP854" s="1925" t="s">
        <v>6720</v>
      </c>
    </row>
    <row r="855" spans="1:380" s="1853" customFormat="1" ht="13.9" customHeight="1">
      <c r="A855" s="2109" t="str">
        <f t="shared" si="327"/>
        <v/>
      </c>
      <c r="B855" s="2131" t="str">
        <f>'Part VI-Revenues &amp; Expenses'!B15</f>
        <v>Unrestricted</v>
      </c>
      <c r="C855" s="2132">
        <f>'Part VI-Revenues &amp; Expenses'!C15</f>
        <v>3</v>
      </c>
      <c r="D855" s="2133">
        <f>'Part VI-Revenues &amp; Expenses'!D15</f>
        <v>2</v>
      </c>
      <c r="E855" s="2134">
        <f>'Part VI-Revenues &amp; Expenses'!E15</f>
        <v>3</v>
      </c>
      <c r="F855" s="2134">
        <f>'Part VI-Revenues &amp; Expenses'!F15</f>
        <v>1180</v>
      </c>
      <c r="G855" s="2134" t="str">
        <f>'Part VI-Revenues &amp; Expenses'!G15</f>
        <v>N/A</v>
      </c>
      <c r="H855" s="2134">
        <f>'Part VI-Revenues &amp; Expenses'!H15</f>
        <v>715</v>
      </c>
      <c r="I855" s="2134">
        <f>'Part VI-Revenues &amp; Expenses'!I15</f>
        <v>0</v>
      </c>
      <c r="J855" s="2134">
        <f>'Part VI-Revenues &amp; Expenses'!J15</f>
        <v>0</v>
      </c>
      <c r="K855" s="2135">
        <f>'Part VI-Revenues &amp; Expenses'!K15</f>
        <v>0</v>
      </c>
      <c r="L855" s="2136">
        <f t="shared" si="0"/>
        <v>715</v>
      </c>
      <c r="M855" s="2136">
        <f t="shared" si="1"/>
        <v>2145</v>
      </c>
      <c r="N855" s="1917" t="str">
        <f>'Part VI-Revenues &amp; Expenses'!N15</f>
        <v>No</v>
      </c>
      <c r="O855" s="2137" t="str">
        <f>'Part VI-Revenues &amp; Expenses'!O15</f>
        <v>Low-Rise Apt</v>
      </c>
      <c r="P855" s="1917" t="str">
        <f>'Part VI-Revenues &amp; Expenses'!P15</f>
        <v>New Construction</v>
      </c>
      <c r="Q855" s="2138" t="str">
        <f>'Part VI-Revenues &amp; Expenses'!Q15</f>
        <v>No</v>
      </c>
      <c r="R855" s="2139"/>
      <c r="S855" s="2140"/>
      <c r="T855" s="2044"/>
      <c r="U855" s="2044"/>
      <c r="V855" s="2044"/>
      <c r="W855" s="2044"/>
      <c r="X855" s="1853" t="str">
        <f t="shared" si="2"/>
        <v/>
      </c>
      <c r="Y855" s="1853" t="str">
        <f t="shared" si="3"/>
        <v/>
      </c>
      <c r="Z855" s="1853" t="str">
        <f t="shared" si="4"/>
        <v/>
      </c>
      <c r="AA855" s="1853" t="str">
        <f t="shared" si="5"/>
        <v/>
      </c>
      <c r="AB855" s="1853" t="str">
        <f t="shared" si="6"/>
        <v/>
      </c>
      <c r="AC855" s="1853" t="str">
        <f t="shared" si="7"/>
        <v/>
      </c>
      <c r="AD855" s="1853" t="str">
        <f t="shared" si="8"/>
        <v/>
      </c>
      <c r="AE855" s="1853" t="str">
        <f t="shared" si="9"/>
        <v/>
      </c>
      <c r="AF855" s="1853" t="str">
        <f t="shared" si="10"/>
        <v/>
      </c>
      <c r="AG855" s="1853" t="str">
        <f t="shared" si="11"/>
        <v/>
      </c>
      <c r="AH855" s="1853" t="str">
        <f t="shared" si="12"/>
        <v/>
      </c>
      <c r="AI855" s="1853" t="str">
        <f t="shared" si="13"/>
        <v/>
      </c>
      <c r="AJ855" s="1853" t="str">
        <f t="shared" si="14"/>
        <v/>
      </c>
      <c r="AK855" s="1853" t="str">
        <f t="shared" si="15"/>
        <v/>
      </c>
      <c r="AL855" s="1853" t="str">
        <f t="shared" si="16"/>
        <v/>
      </c>
      <c r="AM855" s="1853" t="str">
        <f t="shared" si="17"/>
        <v/>
      </c>
      <c r="AN855" s="1853" t="str">
        <f t="shared" si="18"/>
        <v/>
      </c>
      <c r="AO855" s="1853" t="str">
        <f t="shared" si="19"/>
        <v/>
      </c>
      <c r="AP855" s="1853" t="str">
        <f t="shared" si="20"/>
        <v/>
      </c>
      <c r="AQ855" s="1853" t="str">
        <f t="shared" si="21"/>
        <v/>
      </c>
      <c r="AR855" s="1853" t="str">
        <f t="shared" si="22"/>
        <v/>
      </c>
      <c r="AS855" s="1853" t="str">
        <f t="shared" si="23"/>
        <v/>
      </c>
      <c r="AT855" s="1853" t="str">
        <f t="shared" si="24"/>
        <v/>
      </c>
      <c r="AU855" s="1853" t="str">
        <f t="shared" si="25"/>
        <v/>
      </c>
      <c r="AV855" s="1853" t="str">
        <f t="shared" si="26"/>
        <v/>
      </c>
      <c r="AW855" s="1853" t="str">
        <f t="shared" si="27"/>
        <v/>
      </c>
      <c r="AX855" s="1853" t="str">
        <f t="shared" si="28"/>
        <v/>
      </c>
      <c r="AY855" s="1853" t="str">
        <f t="shared" si="29"/>
        <v/>
      </c>
      <c r="AZ855" s="1853" t="str">
        <f t="shared" si="30"/>
        <v/>
      </c>
      <c r="BA855" s="1853" t="str">
        <f t="shared" si="31"/>
        <v/>
      </c>
      <c r="BB855" s="1853" t="str">
        <f t="shared" si="32"/>
        <v/>
      </c>
      <c r="BC855" s="1853" t="str">
        <f t="shared" si="33"/>
        <v/>
      </c>
      <c r="BD855" s="1853" t="str">
        <f t="shared" si="34"/>
        <v/>
      </c>
      <c r="BE855" s="1853" t="str">
        <f t="shared" si="35"/>
        <v/>
      </c>
      <c r="BF855" s="1853" t="str">
        <f t="shared" si="36"/>
        <v/>
      </c>
      <c r="BG855" s="1853" t="str">
        <f t="shared" si="37"/>
        <v/>
      </c>
      <c r="BH855" s="1853" t="str">
        <f t="shared" si="38"/>
        <v/>
      </c>
      <c r="BI855" s="1853" t="str">
        <f t="shared" si="39"/>
        <v/>
      </c>
      <c r="BJ855" s="1853">
        <f t="shared" si="40"/>
        <v>3</v>
      </c>
      <c r="BK855" s="1853" t="str">
        <f t="shared" si="41"/>
        <v/>
      </c>
      <c r="BL855" s="1853" t="str">
        <f t="shared" si="42"/>
        <v/>
      </c>
      <c r="BM855" s="1853" t="str">
        <f t="shared" si="43"/>
        <v/>
      </c>
      <c r="BN855" s="1853" t="str">
        <f t="shared" si="44"/>
        <v/>
      </c>
      <c r="BO855" s="1853" t="str">
        <f t="shared" si="45"/>
        <v/>
      </c>
      <c r="BP855" s="1853" t="str">
        <f t="shared" si="46"/>
        <v/>
      </c>
      <c r="BQ855" s="1853" t="str">
        <f t="shared" si="47"/>
        <v/>
      </c>
      <c r="BR855" s="1853" t="str">
        <f t="shared" si="48"/>
        <v/>
      </c>
      <c r="BS855" s="1853" t="str">
        <f t="shared" si="49"/>
        <v/>
      </c>
      <c r="BT855" s="1853" t="str">
        <f t="shared" si="50"/>
        <v/>
      </c>
      <c r="BU855" s="1853" t="str">
        <f t="shared" si="51"/>
        <v/>
      </c>
      <c r="BV855" s="1853" t="str">
        <f t="shared" si="52"/>
        <v/>
      </c>
      <c r="BW855" s="1853" t="str">
        <f t="shared" si="53"/>
        <v/>
      </c>
      <c r="BX855" s="1853" t="str">
        <f t="shared" si="54"/>
        <v/>
      </c>
      <c r="BY855" s="1853" t="str">
        <f t="shared" si="55"/>
        <v/>
      </c>
      <c r="BZ855" s="1853" t="str">
        <f t="shared" si="56"/>
        <v/>
      </c>
      <c r="CA855" s="1853" t="str">
        <f t="shared" si="57"/>
        <v/>
      </c>
      <c r="CB855" s="1853" t="str">
        <f t="shared" si="58"/>
        <v/>
      </c>
      <c r="CC855" s="1853" t="str">
        <f t="shared" si="59"/>
        <v/>
      </c>
      <c r="CD855" s="1853" t="str">
        <f t="shared" si="60"/>
        <v/>
      </c>
      <c r="CE855" s="1853" t="str">
        <f t="shared" si="61"/>
        <v/>
      </c>
      <c r="CF855" s="1853" t="str">
        <f t="shared" si="62"/>
        <v/>
      </c>
      <c r="CG855" s="1853" t="str">
        <f t="shared" si="63"/>
        <v/>
      </c>
      <c r="CH855" s="1853" t="str">
        <f t="shared" si="64"/>
        <v/>
      </c>
      <c r="CI855" s="1853" t="str">
        <f t="shared" si="65"/>
        <v/>
      </c>
      <c r="CJ855" s="1853" t="str">
        <f t="shared" si="66"/>
        <v/>
      </c>
      <c r="CK855" s="1853" t="str">
        <f t="shared" si="67"/>
        <v/>
      </c>
      <c r="CL855" s="1853" t="str">
        <f t="shared" si="68"/>
        <v/>
      </c>
      <c r="CM855" s="1853" t="str">
        <f t="shared" si="69"/>
        <v/>
      </c>
      <c r="CN855" s="1853" t="str">
        <f t="shared" si="70"/>
        <v/>
      </c>
      <c r="CO855" s="1853" t="str">
        <f t="shared" si="71"/>
        <v/>
      </c>
      <c r="CP855" s="1853" t="str">
        <f t="shared" si="72"/>
        <v/>
      </c>
      <c r="CQ855" s="1853" t="str">
        <f t="shared" si="73"/>
        <v/>
      </c>
      <c r="CR855" s="1853" t="str">
        <f t="shared" si="74"/>
        <v/>
      </c>
      <c r="CS855" s="1853" t="str">
        <f t="shared" si="75"/>
        <v/>
      </c>
      <c r="CT855" s="1853" t="str">
        <f t="shared" si="76"/>
        <v/>
      </c>
      <c r="CU855" s="1853" t="str">
        <f t="shared" si="77"/>
        <v/>
      </c>
      <c r="CV855" s="1853" t="str">
        <f t="shared" si="78"/>
        <v/>
      </c>
      <c r="CW855" s="1853" t="str">
        <f t="shared" si="79"/>
        <v/>
      </c>
      <c r="CX855" s="1853" t="str">
        <f t="shared" si="80"/>
        <v/>
      </c>
      <c r="CY855" s="1853" t="str">
        <f t="shared" si="81"/>
        <v/>
      </c>
      <c r="CZ855" s="1853" t="str">
        <f t="shared" si="82"/>
        <v/>
      </c>
      <c r="DA855" s="1853" t="str">
        <f t="shared" si="83"/>
        <v/>
      </c>
      <c r="DB855" s="1853" t="str">
        <f t="shared" si="84"/>
        <v/>
      </c>
      <c r="DC855" s="1853" t="str">
        <f t="shared" si="85"/>
        <v/>
      </c>
      <c r="DD855" s="1853" t="str">
        <f t="shared" si="86"/>
        <v/>
      </c>
      <c r="DE855" s="1853" t="str">
        <f t="shared" si="87"/>
        <v/>
      </c>
      <c r="DF855" s="1853" t="str">
        <f t="shared" si="88"/>
        <v/>
      </c>
      <c r="DG855" s="1853" t="str">
        <f t="shared" si="89"/>
        <v/>
      </c>
      <c r="DH855" s="1853" t="str">
        <f t="shared" si="90"/>
        <v/>
      </c>
      <c r="DI855" s="1853" t="str">
        <f t="shared" si="91"/>
        <v/>
      </c>
      <c r="DJ855" s="1853" t="str">
        <f t="shared" si="92"/>
        <v/>
      </c>
      <c r="DK855" s="1853" t="str">
        <f t="shared" si="93"/>
        <v/>
      </c>
      <c r="DL855" s="1853" t="str">
        <f t="shared" si="94"/>
        <v/>
      </c>
      <c r="DM855" s="1853" t="str">
        <f t="shared" si="95"/>
        <v/>
      </c>
      <c r="DN855" s="1853" t="str">
        <f t="shared" si="96"/>
        <v/>
      </c>
      <c r="DO855" s="1853" t="str">
        <f t="shared" si="97"/>
        <v/>
      </c>
      <c r="DP855" s="1853" t="str">
        <f t="shared" si="98"/>
        <v/>
      </c>
      <c r="DQ855" s="1853" t="str">
        <f t="shared" si="99"/>
        <v/>
      </c>
      <c r="DR855" s="1853" t="str">
        <f t="shared" si="100"/>
        <v/>
      </c>
      <c r="DS855" s="1853" t="str">
        <f t="shared" si="101"/>
        <v/>
      </c>
      <c r="DT855" s="1853" t="str">
        <f t="shared" si="102"/>
        <v/>
      </c>
      <c r="DU855" s="1853" t="str">
        <f t="shared" si="103"/>
        <v/>
      </c>
      <c r="DV855" s="1853" t="str">
        <f t="shared" si="104"/>
        <v/>
      </c>
      <c r="DW855" s="1853" t="str">
        <f t="shared" si="105"/>
        <v/>
      </c>
      <c r="DX855" s="1853" t="str">
        <f t="shared" si="106"/>
        <v/>
      </c>
      <c r="DY855" s="1853" t="str">
        <f t="shared" si="107"/>
        <v/>
      </c>
      <c r="DZ855" s="1853" t="str">
        <f t="shared" si="108"/>
        <v/>
      </c>
      <c r="EA855" s="1853" t="str">
        <f t="shared" si="109"/>
        <v/>
      </c>
      <c r="EB855" s="1853" t="str">
        <f t="shared" si="110"/>
        <v/>
      </c>
      <c r="EC855" s="1853" t="str">
        <f t="shared" si="111"/>
        <v/>
      </c>
      <c r="ED855" s="1853" t="str">
        <f t="shared" si="112"/>
        <v/>
      </c>
      <c r="EE855" s="1853" t="str">
        <f t="shared" si="113"/>
        <v/>
      </c>
      <c r="EF855" s="1853" t="str">
        <f t="shared" si="114"/>
        <v/>
      </c>
      <c r="EG855" s="1853" t="str">
        <f t="shared" si="115"/>
        <v/>
      </c>
      <c r="EH855" s="1853" t="str">
        <f t="shared" si="116"/>
        <v/>
      </c>
      <c r="EI855" s="1853" t="str">
        <f t="shared" si="117"/>
        <v/>
      </c>
      <c r="EJ855" s="1853" t="str">
        <f t="shared" si="118"/>
        <v/>
      </c>
      <c r="EK855" s="1853" t="str">
        <f t="shared" si="119"/>
        <v/>
      </c>
      <c r="EL855" s="1853" t="str">
        <f t="shared" si="120"/>
        <v/>
      </c>
      <c r="EM855" s="1853" t="str">
        <f t="shared" si="121"/>
        <v/>
      </c>
      <c r="EN855" s="1853" t="str">
        <f t="shared" si="122"/>
        <v/>
      </c>
      <c r="EO855" s="1853" t="str">
        <f t="shared" si="123"/>
        <v/>
      </c>
      <c r="EP855" s="1853" t="str">
        <f t="shared" si="124"/>
        <v/>
      </c>
      <c r="EQ855" s="1853" t="str">
        <f t="shared" si="125"/>
        <v/>
      </c>
      <c r="ER855" s="1853" t="str">
        <f t="shared" si="126"/>
        <v/>
      </c>
      <c r="ES855" s="1853" t="str">
        <f t="shared" si="127"/>
        <v/>
      </c>
      <c r="ET855" s="1853" t="str">
        <f t="shared" si="128"/>
        <v/>
      </c>
      <c r="EU855" s="1853" t="str">
        <f t="shared" si="129"/>
        <v/>
      </c>
      <c r="EV855" s="1853" t="str">
        <f t="shared" si="130"/>
        <v/>
      </c>
      <c r="EW855" s="1853" t="str">
        <f t="shared" si="131"/>
        <v/>
      </c>
      <c r="EX855" s="1853" t="str">
        <f t="shared" si="132"/>
        <v/>
      </c>
      <c r="EY855" s="1853" t="str">
        <f t="shared" si="133"/>
        <v/>
      </c>
      <c r="EZ855" s="1853" t="str">
        <f t="shared" si="134"/>
        <v/>
      </c>
      <c r="FA855" s="1853" t="str">
        <f t="shared" si="135"/>
        <v/>
      </c>
      <c r="FB855" s="1853" t="str">
        <f t="shared" si="136"/>
        <v/>
      </c>
      <c r="FC855" s="1853" t="str">
        <f t="shared" si="137"/>
        <v/>
      </c>
      <c r="FD855" s="1853" t="str">
        <f t="shared" si="138"/>
        <v/>
      </c>
      <c r="FE855" s="1853" t="str">
        <f t="shared" si="139"/>
        <v/>
      </c>
      <c r="FF855" s="1853" t="str">
        <f t="shared" si="140"/>
        <v/>
      </c>
      <c r="FG855" s="1853" t="str">
        <f t="shared" si="141"/>
        <v/>
      </c>
      <c r="FH855" s="1853" t="str">
        <f t="shared" si="142"/>
        <v/>
      </c>
      <c r="FI855" s="1853" t="str">
        <f t="shared" si="143"/>
        <v/>
      </c>
      <c r="FJ855" s="1853" t="str">
        <f t="shared" si="144"/>
        <v/>
      </c>
      <c r="FK855" s="1853" t="str">
        <f t="shared" si="145"/>
        <v/>
      </c>
      <c r="FL855" s="1853" t="str">
        <f t="shared" si="146"/>
        <v/>
      </c>
      <c r="FM855" s="1853" t="str">
        <f t="shared" si="147"/>
        <v/>
      </c>
      <c r="FN855" s="1853" t="str">
        <f t="shared" si="148"/>
        <v/>
      </c>
      <c r="FO855" s="1853" t="str">
        <f t="shared" si="149"/>
        <v/>
      </c>
      <c r="FP855" s="1853" t="str">
        <f t="shared" si="150"/>
        <v/>
      </c>
      <c r="FQ855" s="1853" t="str">
        <f t="shared" si="151"/>
        <v/>
      </c>
      <c r="FR855" s="1853" t="str">
        <f t="shared" si="152"/>
        <v/>
      </c>
      <c r="FS855" s="1853" t="str">
        <f t="shared" si="153"/>
        <v/>
      </c>
      <c r="FT855" s="1853" t="str">
        <f t="shared" si="154"/>
        <v/>
      </c>
      <c r="FU855" s="1853">
        <f t="shared" si="155"/>
        <v>3540</v>
      </c>
      <c r="FV855" s="1853" t="str">
        <f t="shared" si="156"/>
        <v/>
      </c>
      <c r="FW855" s="1853" t="str">
        <f t="shared" si="157"/>
        <v/>
      </c>
      <c r="FX855" s="1853" t="str">
        <f t="shared" si="158"/>
        <v/>
      </c>
      <c r="FY855" s="1853" t="str">
        <f t="shared" si="159"/>
        <v/>
      </c>
      <c r="FZ855" s="1853" t="str">
        <f t="shared" si="160"/>
        <v/>
      </c>
      <c r="GA855" s="1853" t="str">
        <f t="shared" si="161"/>
        <v/>
      </c>
      <c r="GB855" s="1853" t="str">
        <f t="shared" si="162"/>
        <v/>
      </c>
      <c r="GC855" s="1853" t="str">
        <f t="shared" si="163"/>
        <v/>
      </c>
      <c r="GD855" s="1853" t="str">
        <f t="shared" si="164"/>
        <v/>
      </c>
      <c r="GE855" s="1853" t="str">
        <f t="shared" si="165"/>
        <v/>
      </c>
      <c r="GF855" s="1853" t="str">
        <f t="shared" si="166"/>
        <v/>
      </c>
      <c r="GG855" s="1853" t="str">
        <f t="shared" si="167"/>
        <v/>
      </c>
      <c r="GH855" s="1853" t="str">
        <f t="shared" si="168"/>
        <v/>
      </c>
      <c r="GI855" s="1853" t="str">
        <f t="shared" si="169"/>
        <v/>
      </c>
      <c r="GJ855" s="1853" t="str">
        <f t="shared" si="170"/>
        <v/>
      </c>
      <c r="GK855" s="1853" t="str">
        <f t="shared" si="171"/>
        <v/>
      </c>
      <c r="GL855" s="1853" t="str">
        <f t="shared" si="172"/>
        <v/>
      </c>
      <c r="GM855" s="1853" t="str">
        <f t="shared" si="173"/>
        <v/>
      </c>
      <c r="GN855" s="1853" t="str">
        <f t="shared" si="174"/>
        <v/>
      </c>
      <c r="GO855" s="1853">
        <f t="shared" si="175"/>
        <v>3</v>
      </c>
      <c r="GP855" s="1853" t="str">
        <f t="shared" si="176"/>
        <v/>
      </c>
      <c r="GQ855" s="1853" t="str">
        <f t="shared" si="177"/>
        <v/>
      </c>
      <c r="GR855" s="1853" t="str">
        <f t="shared" si="178"/>
        <v/>
      </c>
      <c r="GS855" s="1853" t="str">
        <f t="shared" si="179"/>
        <v/>
      </c>
      <c r="GT855" s="1853" t="str">
        <f t="shared" si="180"/>
        <v/>
      </c>
      <c r="GU855" s="1853" t="str">
        <f t="shared" si="181"/>
        <v/>
      </c>
      <c r="GV855" s="1853" t="str">
        <f t="shared" si="182"/>
        <v/>
      </c>
      <c r="GW855" s="1853" t="str">
        <f t="shared" si="183"/>
        <v/>
      </c>
      <c r="GX855" s="1853" t="str">
        <f t="shared" si="184"/>
        <v/>
      </c>
      <c r="GY855" s="1853" t="str">
        <f t="shared" si="185"/>
        <v/>
      </c>
      <c r="GZ855" s="1853" t="str">
        <f t="shared" si="186"/>
        <v/>
      </c>
      <c r="HA855" s="1853" t="str">
        <f t="shared" si="187"/>
        <v/>
      </c>
      <c r="HB855" s="1853" t="str">
        <f t="shared" si="188"/>
        <v/>
      </c>
      <c r="HC855" s="1853" t="str">
        <f t="shared" si="189"/>
        <v/>
      </c>
      <c r="HD855" s="1853" t="str">
        <f t="shared" si="190"/>
        <v/>
      </c>
      <c r="HE855" s="1853" t="str">
        <f t="shared" si="191"/>
        <v/>
      </c>
      <c r="HF855" s="1853" t="str">
        <f t="shared" si="192"/>
        <v/>
      </c>
      <c r="HG855" s="1853" t="str">
        <f t="shared" si="193"/>
        <v/>
      </c>
      <c r="HH855" s="1853" t="str">
        <f t="shared" si="194"/>
        <v/>
      </c>
      <c r="HI855" s="1853" t="str">
        <f t="shared" si="195"/>
        <v/>
      </c>
      <c r="HJ855" s="1853" t="str">
        <f t="shared" si="196"/>
        <v/>
      </c>
      <c r="HK855" s="1853" t="str">
        <f t="shared" si="197"/>
        <v/>
      </c>
      <c r="HL855" s="1853" t="str">
        <f t="shared" si="198"/>
        <v/>
      </c>
      <c r="HM855" s="1853" t="str">
        <f t="shared" si="199"/>
        <v/>
      </c>
      <c r="HN855" s="1853" t="str">
        <f t="shared" si="200"/>
        <v/>
      </c>
      <c r="HO855" s="1853" t="str">
        <f t="shared" si="201"/>
        <v/>
      </c>
      <c r="HP855" s="1853" t="str">
        <f t="shared" si="202"/>
        <v/>
      </c>
      <c r="HQ855" s="1853" t="str">
        <f t="shared" si="203"/>
        <v/>
      </c>
      <c r="HR855" s="1853" t="str">
        <f t="shared" si="204"/>
        <v/>
      </c>
      <c r="HS855" s="1853" t="str">
        <f t="shared" si="205"/>
        <v/>
      </c>
      <c r="HT855" s="1853" t="str">
        <f t="shared" si="206"/>
        <v/>
      </c>
      <c r="HU855" s="1853" t="str">
        <f t="shared" si="207"/>
        <v/>
      </c>
      <c r="HV855" s="1853" t="str">
        <f t="shared" si="208"/>
        <v/>
      </c>
      <c r="HW855" s="1853" t="str">
        <f t="shared" si="209"/>
        <v/>
      </c>
      <c r="HX855" s="1853" t="str">
        <f t="shared" si="210"/>
        <v/>
      </c>
      <c r="HY855" s="1853" t="str">
        <f t="shared" si="211"/>
        <v/>
      </c>
      <c r="HZ855" s="2141" t="str">
        <f t="shared" si="212"/>
        <v/>
      </c>
      <c r="IA855" s="2141" t="str">
        <f t="shared" si="213"/>
        <v/>
      </c>
      <c r="IB855" s="2141" t="str">
        <f t="shared" si="214"/>
        <v/>
      </c>
      <c r="IC855" s="2141">
        <f t="shared" si="215"/>
        <v>3</v>
      </c>
      <c r="ID855" s="2141" t="str">
        <f t="shared" si="216"/>
        <v/>
      </c>
      <c r="IE855" s="2141" t="str">
        <f t="shared" si="217"/>
        <v/>
      </c>
      <c r="IF855" s="2141" t="str">
        <f t="shared" si="218"/>
        <v/>
      </c>
      <c r="IG855" s="2141" t="str">
        <f t="shared" si="219"/>
        <v/>
      </c>
      <c r="IH855" s="2141" t="str">
        <f t="shared" si="220"/>
        <v/>
      </c>
      <c r="II855" s="2141" t="str">
        <f t="shared" si="221"/>
        <v/>
      </c>
      <c r="IJ855" s="2141" t="str">
        <f t="shared" si="222"/>
        <v/>
      </c>
      <c r="IK855" s="2141" t="str">
        <f t="shared" si="223"/>
        <v/>
      </c>
      <c r="IL855" s="2141" t="str">
        <f t="shared" si="224"/>
        <v/>
      </c>
      <c r="IM855" s="2141" t="str">
        <f t="shared" si="225"/>
        <v/>
      </c>
      <c r="IN855" s="2141" t="str">
        <f t="shared" si="226"/>
        <v/>
      </c>
      <c r="IO855" s="2141" t="str">
        <f t="shared" si="227"/>
        <v/>
      </c>
      <c r="IP855" s="2141" t="str">
        <f t="shared" si="228"/>
        <v/>
      </c>
      <c r="IQ855" s="2141" t="str">
        <f t="shared" si="229"/>
        <v/>
      </c>
      <c r="IR855" s="2141" t="str">
        <f t="shared" si="230"/>
        <v/>
      </c>
      <c r="IS855" s="2141" t="str">
        <f t="shared" si="231"/>
        <v/>
      </c>
      <c r="IT855" s="2141" t="str">
        <f t="shared" si="232"/>
        <v/>
      </c>
      <c r="IU855" s="2141" t="str">
        <f t="shared" si="233"/>
        <v/>
      </c>
      <c r="IV855" s="2141" t="str">
        <f t="shared" si="234"/>
        <v/>
      </c>
      <c r="IW855" s="2141" t="str">
        <f t="shared" si="235"/>
        <v/>
      </c>
      <c r="IX855" s="2141" t="str">
        <f t="shared" si="236"/>
        <v/>
      </c>
      <c r="IY855" s="2141" t="str">
        <f t="shared" si="237"/>
        <v/>
      </c>
      <c r="IZ855" s="2141" t="str">
        <f t="shared" si="238"/>
        <v/>
      </c>
      <c r="JA855" s="2141" t="str">
        <f t="shared" si="239"/>
        <v/>
      </c>
      <c r="JB855" s="2141" t="str">
        <f t="shared" si="240"/>
        <v/>
      </c>
      <c r="JC855" s="2141" t="str">
        <f t="shared" si="241"/>
        <v/>
      </c>
      <c r="JD855" s="2141" t="str">
        <f t="shared" si="242"/>
        <v/>
      </c>
      <c r="JE855" s="2141" t="str">
        <f t="shared" si="243"/>
        <v/>
      </c>
      <c r="JF855" s="2141" t="str">
        <f t="shared" si="244"/>
        <v/>
      </c>
      <c r="JG855" s="2141" t="str">
        <f t="shared" si="245"/>
        <v/>
      </c>
      <c r="JH855" s="2141" t="str">
        <f t="shared" si="246"/>
        <v/>
      </c>
      <c r="JI855" s="2141" t="str">
        <f t="shared" si="247"/>
        <v/>
      </c>
      <c r="JJ855" s="2141" t="str">
        <f t="shared" si="248"/>
        <v/>
      </c>
      <c r="JK855" s="2141" t="str">
        <f t="shared" si="249"/>
        <v/>
      </c>
      <c r="JL855" s="2141" t="str">
        <f t="shared" si="250"/>
        <v/>
      </c>
      <c r="JM855" s="2141" t="str">
        <f t="shared" si="251"/>
        <v/>
      </c>
      <c r="JN855" s="2141" t="str">
        <f t="shared" si="252"/>
        <v/>
      </c>
      <c r="JO855" s="2141" t="str">
        <f t="shared" si="253"/>
        <v/>
      </c>
      <c r="JP855" s="2141" t="str">
        <f t="shared" si="254"/>
        <v/>
      </c>
      <c r="JQ855" s="2141" t="str">
        <f t="shared" si="255"/>
        <v/>
      </c>
      <c r="JR855" s="2141" t="str">
        <f t="shared" si="256"/>
        <v/>
      </c>
      <c r="JS855" s="2141" t="str">
        <f t="shared" si="257"/>
        <v/>
      </c>
      <c r="JT855" s="2141" t="str">
        <f t="shared" si="258"/>
        <v/>
      </c>
      <c r="JU855" s="2141" t="str">
        <f t="shared" si="259"/>
        <v/>
      </c>
      <c r="JV855" s="2141">
        <f t="shared" si="260"/>
        <v>3</v>
      </c>
      <c r="JW855" s="2141" t="str">
        <f t="shared" si="261"/>
        <v/>
      </c>
      <c r="JX855" s="2141" t="str">
        <f t="shared" si="262"/>
        <v/>
      </c>
      <c r="JY855" s="2141" t="str">
        <f t="shared" si="263"/>
        <v/>
      </c>
      <c r="JZ855" s="2141" t="str">
        <f t="shared" si="264"/>
        <v/>
      </c>
      <c r="KA855" s="2141" t="str">
        <f t="shared" si="265"/>
        <v/>
      </c>
      <c r="KB855" s="2141" t="str">
        <f t="shared" si="266"/>
        <v/>
      </c>
      <c r="KC855" s="2141" t="str">
        <f t="shared" si="267"/>
        <v/>
      </c>
      <c r="KD855" s="2141" t="str">
        <f t="shared" si="268"/>
        <v/>
      </c>
      <c r="KE855" s="2141" t="str">
        <f t="shared" si="269"/>
        <v/>
      </c>
      <c r="KF855" s="2141" t="str">
        <f t="shared" si="270"/>
        <v/>
      </c>
      <c r="KG855" s="2141" t="str">
        <f t="shared" si="271"/>
        <v/>
      </c>
      <c r="KH855" s="2141" t="str">
        <f t="shared" si="272"/>
        <v/>
      </c>
      <c r="KI855" s="2141" t="str">
        <f t="shared" si="273"/>
        <v/>
      </c>
      <c r="KJ855" s="2141" t="str">
        <f t="shared" si="274"/>
        <v/>
      </c>
      <c r="KK855" s="2141" t="str">
        <f t="shared" si="275"/>
        <v/>
      </c>
      <c r="KL855" s="2141" t="str">
        <f t="shared" si="276"/>
        <v/>
      </c>
      <c r="KM855" s="2141" t="str">
        <f t="shared" si="277"/>
        <v/>
      </c>
      <c r="KN855" s="2141" t="str">
        <f t="shared" si="278"/>
        <v/>
      </c>
      <c r="KO855" s="2141" t="str">
        <f t="shared" si="279"/>
        <v/>
      </c>
      <c r="KP855" s="2141" t="str">
        <f t="shared" si="280"/>
        <v/>
      </c>
      <c r="KQ855" s="2141" t="str">
        <f t="shared" si="281"/>
        <v/>
      </c>
      <c r="KR855" s="2141" t="str">
        <f t="shared" si="282"/>
        <v/>
      </c>
      <c r="KS855" s="2141" t="str">
        <f t="shared" si="283"/>
        <v/>
      </c>
      <c r="KT855" s="2141" t="str">
        <f t="shared" si="284"/>
        <v/>
      </c>
      <c r="KU855" s="2141" t="str">
        <f t="shared" si="285"/>
        <v/>
      </c>
      <c r="KV855" s="2141" t="str">
        <f t="shared" si="286"/>
        <v/>
      </c>
      <c r="KW855" s="2141" t="str">
        <f t="shared" si="287"/>
        <v/>
      </c>
      <c r="KX855" s="2141" t="str">
        <f t="shared" si="288"/>
        <v/>
      </c>
      <c r="KY855" s="2141" t="str">
        <f t="shared" si="289"/>
        <v/>
      </c>
      <c r="KZ855" s="2141" t="str">
        <f t="shared" si="290"/>
        <v/>
      </c>
      <c r="LA855" s="2141" t="str">
        <f t="shared" si="291"/>
        <v/>
      </c>
      <c r="LB855" s="2141" t="str">
        <f t="shared" si="292"/>
        <v/>
      </c>
      <c r="LC855" s="2141" t="str">
        <f t="shared" si="293"/>
        <v/>
      </c>
      <c r="LD855" s="2141" t="str">
        <f t="shared" si="294"/>
        <v/>
      </c>
      <c r="LE855" s="2141" t="str">
        <f t="shared" si="295"/>
        <v/>
      </c>
      <c r="LF855" s="2141" t="str">
        <f t="shared" si="296"/>
        <v/>
      </c>
      <c r="LG855" s="2052" t="str">
        <f t="shared" si="297"/>
        <v/>
      </c>
      <c r="LH855" s="2052" t="str">
        <f t="shared" si="298"/>
        <v/>
      </c>
      <c r="LI855" s="2052" t="str">
        <f t="shared" si="299"/>
        <v/>
      </c>
      <c r="LJ855" s="2052" t="str">
        <f t="shared" si="300"/>
        <v/>
      </c>
      <c r="LK855" s="2052" t="str">
        <f t="shared" si="301"/>
        <v/>
      </c>
      <c r="LL855" s="1853" t="str">
        <f t="shared" si="302"/>
        <v/>
      </c>
      <c r="LM855" s="1853" t="str">
        <f t="shared" si="303"/>
        <v/>
      </c>
      <c r="LN855" s="1853" t="str">
        <f t="shared" si="304"/>
        <v/>
      </c>
      <c r="LO855" s="1853" t="str">
        <f t="shared" si="305"/>
        <v/>
      </c>
      <c r="LP855" s="1853" t="str">
        <f t="shared" si="306"/>
        <v/>
      </c>
      <c r="LQ855" s="1853" t="str">
        <f t="shared" si="307"/>
        <v/>
      </c>
      <c r="LR855" s="1853" t="str">
        <f t="shared" si="308"/>
        <v/>
      </c>
      <c r="LS855" s="1853" t="str">
        <f t="shared" si="309"/>
        <v/>
      </c>
      <c r="LT855" s="1853" t="str">
        <f t="shared" si="310"/>
        <v/>
      </c>
      <c r="LU855" s="1853" t="str">
        <f t="shared" si="311"/>
        <v/>
      </c>
      <c r="LV855" s="1853" t="str">
        <f t="shared" si="312"/>
        <v/>
      </c>
      <c r="LW855" s="1853" t="str">
        <f t="shared" si="313"/>
        <v/>
      </c>
      <c r="LX855" s="1853" t="str">
        <f t="shared" si="314"/>
        <v/>
      </c>
      <c r="LY855" s="1853" t="str">
        <f t="shared" si="315"/>
        <v/>
      </c>
      <c r="LZ855" s="1853" t="str">
        <f t="shared" si="316"/>
        <v/>
      </c>
      <c r="MA855" s="1853" t="str">
        <f t="shared" si="317"/>
        <v/>
      </c>
      <c r="MB855" s="1853" t="str">
        <f t="shared" si="318"/>
        <v/>
      </c>
      <c r="MC855" s="1853" t="str">
        <f t="shared" si="319"/>
        <v/>
      </c>
      <c r="MD855" s="1853" t="str">
        <f t="shared" si="320"/>
        <v/>
      </c>
      <c r="ME855" s="1853" t="str">
        <f t="shared" si="321"/>
        <v/>
      </c>
      <c r="MF855" s="2052">
        <f t="shared" si="328"/>
        <v>0</v>
      </c>
      <c r="MG855" s="2052">
        <f t="shared" si="329"/>
        <v>0</v>
      </c>
      <c r="MH855" s="2052">
        <f t="shared" si="330"/>
        <v>0</v>
      </c>
      <c r="MI855" s="2052">
        <f t="shared" si="331"/>
        <v>0</v>
      </c>
      <c r="MJ855" s="2052">
        <f t="shared" si="332"/>
        <v>0</v>
      </c>
      <c r="MK855" s="2052">
        <f t="shared" si="333"/>
        <v>0</v>
      </c>
      <c r="ML855" s="2052">
        <f t="shared" si="334"/>
        <v>0</v>
      </c>
      <c r="MM855" s="2052">
        <f t="shared" si="335"/>
        <v>0</v>
      </c>
      <c r="MN855" s="2052">
        <f t="shared" si="336"/>
        <v>3</v>
      </c>
      <c r="MO855" s="2052">
        <f t="shared" si="337"/>
        <v>0</v>
      </c>
      <c r="MP855" s="2052">
        <f t="shared" si="322"/>
        <v>0</v>
      </c>
      <c r="MQ855" s="2052">
        <f t="shared" si="323"/>
        <v>0</v>
      </c>
      <c r="MR855" s="2052">
        <f t="shared" si="324"/>
        <v>0</v>
      </c>
      <c r="MS855" s="2052">
        <f t="shared" si="325"/>
        <v>0</v>
      </c>
      <c r="MT855" s="2052">
        <f t="shared" si="326"/>
        <v>0</v>
      </c>
      <c r="NP855" s="1925" t="s">
        <v>6721</v>
      </c>
    </row>
    <row r="856" spans="1:380" s="1853" customFormat="1" ht="13.9" customHeight="1">
      <c r="A856" s="2109" t="str">
        <f t="shared" si="327"/>
        <v/>
      </c>
      <c r="B856" s="2131" t="str">
        <f>'Part VI-Revenues &amp; Expenses'!B16</f>
        <v>Unrestricted</v>
      </c>
      <c r="C856" s="2132">
        <f>'Part VI-Revenues &amp; Expenses'!C16</f>
        <v>0</v>
      </c>
      <c r="D856" s="2133">
        <f>'Part VI-Revenues &amp; Expenses'!D16</f>
        <v>0</v>
      </c>
      <c r="E856" s="2134">
        <f>'Part VI-Revenues &amp; Expenses'!E16</f>
        <v>0</v>
      </c>
      <c r="F856" s="2134">
        <f>'Part VI-Revenues &amp; Expenses'!F16</f>
        <v>0</v>
      </c>
      <c r="G856" s="2134">
        <f>'Part VI-Revenues &amp; Expenses'!G16</f>
        <v>0</v>
      </c>
      <c r="H856" s="2134">
        <f>'Part VI-Revenues &amp; Expenses'!H16</f>
        <v>0</v>
      </c>
      <c r="I856" s="2134">
        <f>'Part VI-Revenues &amp; Expenses'!I16</f>
        <v>0</v>
      </c>
      <c r="J856" s="2134">
        <f>'Part VI-Revenues &amp; Expenses'!J16</f>
        <v>0</v>
      </c>
      <c r="K856" s="2135">
        <f>'Part VI-Revenues &amp; Expenses'!K16</f>
        <v>0</v>
      </c>
      <c r="L856" s="2136">
        <f t="shared" si="0"/>
        <v>0</v>
      </c>
      <c r="M856" s="2136">
        <f t="shared" si="1"/>
        <v>0</v>
      </c>
      <c r="N856" s="1917">
        <f>'Part VI-Revenues &amp; Expenses'!N16</f>
        <v>0</v>
      </c>
      <c r="O856" s="2137">
        <f>'Part VI-Revenues &amp; Expenses'!O16</f>
        <v>0</v>
      </c>
      <c r="P856" s="1917">
        <f>'Part VI-Revenues &amp; Expenses'!P16</f>
        <v>0</v>
      </c>
      <c r="Q856" s="2138">
        <f>'Part VI-Revenues &amp; Expenses'!Q16</f>
        <v>0</v>
      </c>
      <c r="R856" s="2139"/>
      <c r="S856" s="2140"/>
      <c r="T856" s="2044"/>
      <c r="U856" s="2044"/>
      <c r="V856" s="2044"/>
      <c r="W856" s="2044"/>
      <c r="X856" s="1853" t="str">
        <f t="shared" si="2"/>
        <v/>
      </c>
      <c r="Y856" s="1853" t="str">
        <f t="shared" si="3"/>
        <v/>
      </c>
      <c r="Z856" s="1853" t="str">
        <f t="shared" si="4"/>
        <v/>
      </c>
      <c r="AA856" s="1853" t="str">
        <f t="shared" si="5"/>
        <v/>
      </c>
      <c r="AB856" s="1853" t="str">
        <f t="shared" si="6"/>
        <v/>
      </c>
      <c r="AC856" s="1853" t="str">
        <f t="shared" si="7"/>
        <v/>
      </c>
      <c r="AD856" s="1853" t="str">
        <f t="shared" si="8"/>
        <v/>
      </c>
      <c r="AE856" s="1853" t="str">
        <f t="shared" si="9"/>
        <v/>
      </c>
      <c r="AF856" s="1853" t="str">
        <f t="shared" si="10"/>
        <v/>
      </c>
      <c r="AG856" s="1853" t="str">
        <f t="shared" si="11"/>
        <v/>
      </c>
      <c r="AH856" s="1853" t="str">
        <f t="shared" si="12"/>
        <v/>
      </c>
      <c r="AI856" s="1853" t="str">
        <f t="shared" si="13"/>
        <v/>
      </c>
      <c r="AJ856" s="1853" t="str">
        <f t="shared" si="14"/>
        <v/>
      </c>
      <c r="AK856" s="1853" t="str">
        <f t="shared" si="15"/>
        <v/>
      </c>
      <c r="AL856" s="1853" t="str">
        <f t="shared" si="16"/>
        <v/>
      </c>
      <c r="AM856" s="1853" t="str">
        <f t="shared" si="17"/>
        <v/>
      </c>
      <c r="AN856" s="1853" t="str">
        <f t="shared" si="18"/>
        <v/>
      </c>
      <c r="AO856" s="1853" t="str">
        <f t="shared" si="19"/>
        <v/>
      </c>
      <c r="AP856" s="1853" t="str">
        <f t="shared" si="20"/>
        <v/>
      </c>
      <c r="AQ856" s="1853" t="str">
        <f t="shared" si="21"/>
        <v/>
      </c>
      <c r="AR856" s="1853" t="str">
        <f t="shared" si="22"/>
        <v/>
      </c>
      <c r="AS856" s="1853" t="str">
        <f t="shared" si="23"/>
        <v/>
      </c>
      <c r="AT856" s="1853" t="str">
        <f t="shared" si="24"/>
        <v/>
      </c>
      <c r="AU856" s="1853" t="str">
        <f t="shared" si="25"/>
        <v/>
      </c>
      <c r="AV856" s="1853" t="str">
        <f t="shared" si="26"/>
        <v/>
      </c>
      <c r="AW856" s="1853" t="str">
        <f t="shared" si="27"/>
        <v/>
      </c>
      <c r="AX856" s="1853" t="str">
        <f t="shared" si="28"/>
        <v/>
      </c>
      <c r="AY856" s="1853" t="str">
        <f t="shared" si="29"/>
        <v/>
      </c>
      <c r="AZ856" s="1853" t="str">
        <f t="shared" si="30"/>
        <v/>
      </c>
      <c r="BA856" s="1853" t="str">
        <f t="shared" si="31"/>
        <v/>
      </c>
      <c r="BB856" s="1853" t="str">
        <f t="shared" si="32"/>
        <v/>
      </c>
      <c r="BC856" s="1853" t="str">
        <f t="shared" si="33"/>
        <v/>
      </c>
      <c r="BD856" s="1853" t="str">
        <f t="shared" si="34"/>
        <v/>
      </c>
      <c r="BE856" s="1853" t="str">
        <f t="shared" si="35"/>
        <v/>
      </c>
      <c r="BF856" s="1853" t="str">
        <f t="shared" si="36"/>
        <v/>
      </c>
      <c r="BG856" s="1853" t="str">
        <f t="shared" si="37"/>
        <v/>
      </c>
      <c r="BH856" s="1853" t="str">
        <f t="shared" si="38"/>
        <v/>
      </c>
      <c r="BI856" s="1853" t="str">
        <f t="shared" si="39"/>
        <v/>
      </c>
      <c r="BJ856" s="1853" t="str">
        <f t="shared" si="40"/>
        <v/>
      </c>
      <c r="BK856" s="1853" t="str">
        <f t="shared" si="41"/>
        <v/>
      </c>
      <c r="BL856" s="1853" t="str">
        <f t="shared" si="42"/>
        <v/>
      </c>
      <c r="BM856" s="1853" t="str">
        <f t="shared" si="43"/>
        <v/>
      </c>
      <c r="BN856" s="1853" t="str">
        <f t="shared" si="44"/>
        <v/>
      </c>
      <c r="BO856" s="1853" t="str">
        <f t="shared" si="45"/>
        <v/>
      </c>
      <c r="BP856" s="1853" t="str">
        <f t="shared" si="46"/>
        <v/>
      </c>
      <c r="BQ856" s="1853" t="str">
        <f t="shared" si="47"/>
        <v/>
      </c>
      <c r="BR856" s="1853" t="str">
        <f t="shared" si="48"/>
        <v/>
      </c>
      <c r="BS856" s="1853" t="str">
        <f t="shared" si="49"/>
        <v/>
      </c>
      <c r="BT856" s="1853" t="str">
        <f t="shared" si="50"/>
        <v/>
      </c>
      <c r="BU856" s="1853" t="str">
        <f t="shared" si="51"/>
        <v/>
      </c>
      <c r="BV856" s="1853" t="str">
        <f t="shared" si="52"/>
        <v/>
      </c>
      <c r="BW856" s="1853" t="str">
        <f t="shared" si="53"/>
        <v/>
      </c>
      <c r="BX856" s="1853" t="str">
        <f t="shared" si="54"/>
        <v/>
      </c>
      <c r="BY856" s="1853" t="str">
        <f t="shared" si="55"/>
        <v/>
      </c>
      <c r="BZ856" s="1853" t="str">
        <f t="shared" si="56"/>
        <v/>
      </c>
      <c r="CA856" s="1853" t="str">
        <f t="shared" si="57"/>
        <v/>
      </c>
      <c r="CB856" s="1853" t="str">
        <f t="shared" si="58"/>
        <v/>
      </c>
      <c r="CC856" s="1853" t="str">
        <f t="shared" si="59"/>
        <v/>
      </c>
      <c r="CD856" s="1853" t="str">
        <f t="shared" si="60"/>
        <v/>
      </c>
      <c r="CE856" s="1853" t="str">
        <f t="shared" si="61"/>
        <v/>
      </c>
      <c r="CF856" s="1853" t="str">
        <f t="shared" si="62"/>
        <v/>
      </c>
      <c r="CG856" s="1853" t="str">
        <f t="shared" si="63"/>
        <v/>
      </c>
      <c r="CH856" s="1853" t="str">
        <f t="shared" si="64"/>
        <v/>
      </c>
      <c r="CI856" s="1853" t="str">
        <f t="shared" si="65"/>
        <v/>
      </c>
      <c r="CJ856" s="1853" t="str">
        <f t="shared" si="66"/>
        <v/>
      </c>
      <c r="CK856" s="1853" t="str">
        <f t="shared" si="67"/>
        <v/>
      </c>
      <c r="CL856" s="1853" t="str">
        <f t="shared" si="68"/>
        <v/>
      </c>
      <c r="CM856" s="1853" t="str">
        <f t="shared" si="69"/>
        <v/>
      </c>
      <c r="CN856" s="1853" t="str">
        <f t="shared" si="70"/>
        <v/>
      </c>
      <c r="CO856" s="1853" t="str">
        <f t="shared" si="71"/>
        <v/>
      </c>
      <c r="CP856" s="1853" t="str">
        <f t="shared" si="72"/>
        <v/>
      </c>
      <c r="CQ856" s="1853" t="str">
        <f t="shared" si="73"/>
        <v/>
      </c>
      <c r="CR856" s="1853" t="str">
        <f t="shared" si="74"/>
        <v/>
      </c>
      <c r="CS856" s="1853" t="str">
        <f t="shared" si="75"/>
        <v/>
      </c>
      <c r="CT856" s="1853" t="str">
        <f t="shared" si="76"/>
        <v/>
      </c>
      <c r="CU856" s="1853" t="str">
        <f t="shared" si="77"/>
        <v/>
      </c>
      <c r="CV856" s="1853" t="str">
        <f t="shared" si="78"/>
        <v/>
      </c>
      <c r="CW856" s="1853" t="str">
        <f t="shared" si="79"/>
        <v/>
      </c>
      <c r="CX856" s="1853" t="str">
        <f t="shared" si="80"/>
        <v/>
      </c>
      <c r="CY856" s="1853" t="str">
        <f t="shared" si="81"/>
        <v/>
      </c>
      <c r="CZ856" s="1853" t="str">
        <f t="shared" si="82"/>
        <v/>
      </c>
      <c r="DA856" s="1853" t="str">
        <f t="shared" si="83"/>
        <v/>
      </c>
      <c r="DB856" s="1853" t="str">
        <f t="shared" si="84"/>
        <v/>
      </c>
      <c r="DC856" s="1853" t="str">
        <f t="shared" si="85"/>
        <v/>
      </c>
      <c r="DD856" s="1853" t="str">
        <f t="shared" si="86"/>
        <v/>
      </c>
      <c r="DE856" s="1853" t="str">
        <f t="shared" si="87"/>
        <v/>
      </c>
      <c r="DF856" s="1853" t="str">
        <f t="shared" si="88"/>
        <v/>
      </c>
      <c r="DG856" s="1853" t="str">
        <f t="shared" si="89"/>
        <v/>
      </c>
      <c r="DH856" s="1853" t="str">
        <f t="shared" si="90"/>
        <v/>
      </c>
      <c r="DI856" s="1853" t="str">
        <f t="shared" si="91"/>
        <v/>
      </c>
      <c r="DJ856" s="1853" t="str">
        <f t="shared" si="92"/>
        <v/>
      </c>
      <c r="DK856" s="1853" t="str">
        <f t="shared" si="93"/>
        <v/>
      </c>
      <c r="DL856" s="1853" t="str">
        <f t="shared" si="94"/>
        <v/>
      </c>
      <c r="DM856" s="1853" t="str">
        <f t="shared" si="95"/>
        <v/>
      </c>
      <c r="DN856" s="1853" t="str">
        <f t="shared" si="96"/>
        <v/>
      </c>
      <c r="DO856" s="1853" t="str">
        <f t="shared" si="97"/>
        <v/>
      </c>
      <c r="DP856" s="1853" t="str">
        <f t="shared" si="98"/>
        <v/>
      </c>
      <c r="DQ856" s="1853" t="str">
        <f t="shared" si="99"/>
        <v/>
      </c>
      <c r="DR856" s="1853" t="str">
        <f t="shared" si="100"/>
        <v/>
      </c>
      <c r="DS856" s="1853" t="str">
        <f t="shared" si="101"/>
        <v/>
      </c>
      <c r="DT856" s="1853" t="str">
        <f t="shared" si="102"/>
        <v/>
      </c>
      <c r="DU856" s="1853" t="str">
        <f t="shared" si="103"/>
        <v/>
      </c>
      <c r="DV856" s="1853" t="str">
        <f t="shared" si="104"/>
        <v/>
      </c>
      <c r="DW856" s="1853" t="str">
        <f t="shared" si="105"/>
        <v/>
      </c>
      <c r="DX856" s="1853" t="str">
        <f t="shared" si="106"/>
        <v/>
      </c>
      <c r="DY856" s="1853" t="str">
        <f t="shared" si="107"/>
        <v/>
      </c>
      <c r="DZ856" s="1853" t="str">
        <f t="shared" si="108"/>
        <v/>
      </c>
      <c r="EA856" s="1853" t="str">
        <f t="shared" si="109"/>
        <v/>
      </c>
      <c r="EB856" s="1853" t="str">
        <f t="shared" si="110"/>
        <v/>
      </c>
      <c r="EC856" s="1853" t="str">
        <f t="shared" si="111"/>
        <v/>
      </c>
      <c r="ED856" s="1853" t="str">
        <f t="shared" si="112"/>
        <v/>
      </c>
      <c r="EE856" s="1853" t="str">
        <f t="shared" si="113"/>
        <v/>
      </c>
      <c r="EF856" s="1853" t="str">
        <f t="shared" si="114"/>
        <v/>
      </c>
      <c r="EG856" s="1853" t="str">
        <f t="shared" si="115"/>
        <v/>
      </c>
      <c r="EH856" s="1853" t="str">
        <f t="shared" si="116"/>
        <v/>
      </c>
      <c r="EI856" s="1853" t="str">
        <f t="shared" si="117"/>
        <v/>
      </c>
      <c r="EJ856" s="1853" t="str">
        <f t="shared" si="118"/>
        <v/>
      </c>
      <c r="EK856" s="1853" t="str">
        <f t="shared" si="119"/>
        <v/>
      </c>
      <c r="EL856" s="1853" t="str">
        <f t="shared" si="120"/>
        <v/>
      </c>
      <c r="EM856" s="1853" t="str">
        <f t="shared" si="121"/>
        <v/>
      </c>
      <c r="EN856" s="1853" t="str">
        <f t="shared" si="122"/>
        <v/>
      </c>
      <c r="EO856" s="1853" t="str">
        <f t="shared" si="123"/>
        <v/>
      </c>
      <c r="EP856" s="1853" t="str">
        <f t="shared" si="124"/>
        <v/>
      </c>
      <c r="EQ856" s="1853" t="str">
        <f t="shared" si="125"/>
        <v/>
      </c>
      <c r="ER856" s="1853" t="str">
        <f t="shared" si="126"/>
        <v/>
      </c>
      <c r="ES856" s="1853" t="str">
        <f t="shared" si="127"/>
        <v/>
      </c>
      <c r="ET856" s="1853" t="str">
        <f t="shared" si="128"/>
        <v/>
      </c>
      <c r="EU856" s="1853" t="str">
        <f t="shared" si="129"/>
        <v/>
      </c>
      <c r="EV856" s="1853" t="str">
        <f t="shared" si="130"/>
        <v/>
      </c>
      <c r="EW856" s="1853" t="str">
        <f t="shared" si="131"/>
        <v/>
      </c>
      <c r="EX856" s="1853" t="str">
        <f t="shared" si="132"/>
        <v/>
      </c>
      <c r="EY856" s="1853" t="str">
        <f t="shared" si="133"/>
        <v/>
      </c>
      <c r="EZ856" s="1853" t="str">
        <f t="shared" si="134"/>
        <v/>
      </c>
      <c r="FA856" s="1853" t="str">
        <f t="shared" si="135"/>
        <v/>
      </c>
      <c r="FB856" s="1853" t="str">
        <f t="shared" si="136"/>
        <v/>
      </c>
      <c r="FC856" s="1853" t="str">
        <f t="shared" si="137"/>
        <v/>
      </c>
      <c r="FD856" s="1853" t="str">
        <f t="shared" si="138"/>
        <v/>
      </c>
      <c r="FE856" s="1853" t="str">
        <f t="shared" si="139"/>
        <v/>
      </c>
      <c r="FF856" s="1853" t="str">
        <f t="shared" si="140"/>
        <v/>
      </c>
      <c r="FG856" s="1853" t="str">
        <f t="shared" si="141"/>
        <v/>
      </c>
      <c r="FH856" s="1853" t="str">
        <f t="shared" si="142"/>
        <v/>
      </c>
      <c r="FI856" s="1853" t="str">
        <f t="shared" si="143"/>
        <v/>
      </c>
      <c r="FJ856" s="1853" t="str">
        <f t="shared" si="144"/>
        <v/>
      </c>
      <c r="FK856" s="1853" t="str">
        <f t="shared" si="145"/>
        <v/>
      </c>
      <c r="FL856" s="1853" t="str">
        <f t="shared" si="146"/>
        <v/>
      </c>
      <c r="FM856" s="1853" t="str">
        <f t="shared" si="147"/>
        <v/>
      </c>
      <c r="FN856" s="1853" t="str">
        <f t="shared" si="148"/>
        <v/>
      </c>
      <c r="FO856" s="1853" t="str">
        <f t="shared" si="149"/>
        <v/>
      </c>
      <c r="FP856" s="1853" t="str">
        <f t="shared" si="150"/>
        <v/>
      </c>
      <c r="FQ856" s="1853" t="str">
        <f t="shared" si="151"/>
        <v/>
      </c>
      <c r="FR856" s="1853" t="str">
        <f t="shared" si="152"/>
        <v/>
      </c>
      <c r="FS856" s="1853" t="str">
        <f t="shared" si="153"/>
        <v/>
      </c>
      <c r="FT856" s="1853" t="str">
        <f t="shared" si="154"/>
        <v/>
      </c>
      <c r="FU856" s="1853" t="str">
        <f t="shared" si="155"/>
        <v/>
      </c>
      <c r="FV856" s="1853" t="str">
        <f t="shared" si="156"/>
        <v/>
      </c>
      <c r="FW856" s="1853" t="str">
        <f t="shared" si="157"/>
        <v/>
      </c>
      <c r="FX856" s="1853" t="str">
        <f t="shared" si="158"/>
        <v/>
      </c>
      <c r="FY856" s="1853" t="str">
        <f t="shared" si="159"/>
        <v/>
      </c>
      <c r="FZ856" s="1853" t="str">
        <f t="shared" si="160"/>
        <v/>
      </c>
      <c r="GA856" s="1853" t="str">
        <f t="shared" si="161"/>
        <v/>
      </c>
      <c r="GB856" s="1853" t="str">
        <f t="shared" si="162"/>
        <v/>
      </c>
      <c r="GC856" s="1853" t="str">
        <f t="shared" si="163"/>
        <v/>
      </c>
      <c r="GD856" s="1853" t="str">
        <f t="shared" si="164"/>
        <v/>
      </c>
      <c r="GE856" s="1853" t="str">
        <f t="shared" si="165"/>
        <v/>
      </c>
      <c r="GF856" s="1853" t="str">
        <f t="shared" si="166"/>
        <v/>
      </c>
      <c r="GG856" s="1853" t="str">
        <f t="shared" si="167"/>
        <v/>
      </c>
      <c r="GH856" s="1853" t="str">
        <f t="shared" si="168"/>
        <v/>
      </c>
      <c r="GI856" s="1853" t="str">
        <f t="shared" si="169"/>
        <v/>
      </c>
      <c r="GJ856" s="1853" t="str">
        <f t="shared" si="170"/>
        <v/>
      </c>
      <c r="GK856" s="1853" t="str">
        <f t="shared" si="171"/>
        <v/>
      </c>
      <c r="GL856" s="1853" t="str">
        <f t="shared" si="172"/>
        <v/>
      </c>
      <c r="GM856" s="1853" t="str">
        <f t="shared" si="173"/>
        <v/>
      </c>
      <c r="GN856" s="1853" t="str">
        <f t="shared" si="174"/>
        <v/>
      </c>
      <c r="GO856" s="1853" t="str">
        <f t="shared" si="175"/>
        <v/>
      </c>
      <c r="GP856" s="1853" t="str">
        <f t="shared" si="176"/>
        <v/>
      </c>
      <c r="GQ856" s="1853" t="str">
        <f t="shared" si="177"/>
        <v/>
      </c>
      <c r="GR856" s="1853" t="str">
        <f t="shared" si="178"/>
        <v/>
      </c>
      <c r="GS856" s="1853" t="str">
        <f t="shared" si="179"/>
        <v/>
      </c>
      <c r="GT856" s="1853" t="str">
        <f t="shared" si="180"/>
        <v/>
      </c>
      <c r="GU856" s="1853" t="str">
        <f t="shared" si="181"/>
        <v/>
      </c>
      <c r="GV856" s="1853" t="str">
        <f t="shared" si="182"/>
        <v/>
      </c>
      <c r="GW856" s="1853" t="str">
        <f t="shared" si="183"/>
        <v/>
      </c>
      <c r="GX856" s="1853" t="str">
        <f t="shared" si="184"/>
        <v/>
      </c>
      <c r="GY856" s="1853" t="str">
        <f t="shared" si="185"/>
        <v/>
      </c>
      <c r="GZ856" s="1853" t="str">
        <f t="shared" si="186"/>
        <v/>
      </c>
      <c r="HA856" s="1853" t="str">
        <f t="shared" si="187"/>
        <v/>
      </c>
      <c r="HB856" s="1853" t="str">
        <f t="shared" si="188"/>
        <v/>
      </c>
      <c r="HC856" s="1853" t="str">
        <f t="shared" si="189"/>
        <v/>
      </c>
      <c r="HD856" s="1853" t="str">
        <f t="shared" si="190"/>
        <v/>
      </c>
      <c r="HE856" s="1853" t="str">
        <f t="shared" si="191"/>
        <v/>
      </c>
      <c r="HF856" s="1853" t="str">
        <f t="shared" si="192"/>
        <v/>
      </c>
      <c r="HG856" s="1853" t="str">
        <f t="shared" si="193"/>
        <v/>
      </c>
      <c r="HH856" s="1853" t="str">
        <f t="shared" si="194"/>
        <v/>
      </c>
      <c r="HI856" s="1853" t="str">
        <f t="shared" si="195"/>
        <v/>
      </c>
      <c r="HJ856" s="1853" t="str">
        <f t="shared" si="196"/>
        <v/>
      </c>
      <c r="HK856" s="1853" t="str">
        <f t="shared" si="197"/>
        <v/>
      </c>
      <c r="HL856" s="1853" t="str">
        <f t="shared" si="198"/>
        <v/>
      </c>
      <c r="HM856" s="1853" t="str">
        <f t="shared" si="199"/>
        <v/>
      </c>
      <c r="HN856" s="1853" t="str">
        <f t="shared" si="200"/>
        <v/>
      </c>
      <c r="HO856" s="1853" t="str">
        <f t="shared" si="201"/>
        <v/>
      </c>
      <c r="HP856" s="1853" t="str">
        <f t="shared" si="202"/>
        <v/>
      </c>
      <c r="HQ856" s="1853" t="str">
        <f t="shared" si="203"/>
        <v/>
      </c>
      <c r="HR856" s="1853" t="str">
        <f t="shared" si="204"/>
        <v/>
      </c>
      <c r="HS856" s="1853" t="str">
        <f t="shared" si="205"/>
        <v/>
      </c>
      <c r="HT856" s="1853" t="str">
        <f t="shared" si="206"/>
        <v/>
      </c>
      <c r="HU856" s="1853" t="str">
        <f t="shared" si="207"/>
        <v/>
      </c>
      <c r="HV856" s="1853" t="str">
        <f t="shared" si="208"/>
        <v/>
      </c>
      <c r="HW856" s="1853" t="str">
        <f t="shared" si="209"/>
        <v/>
      </c>
      <c r="HX856" s="1853" t="str">
        <f t="shared" si="210"/>
        <v/>
      </c>
      <c r="HY856" s="1853" t="str">
        <f t="shared" si="211"/>
        <v/>
      </c>
      <c r="HZ856" s="2141" t="str">
        <f t="shared" si="212"/>
        <v/>
      </c>
      <c r="IA856" s="2141" t="str">
        <f t="shared" si="213"/>
        <v/>
      </c>
      <c r="IB856" s="2141" t="str">
        <f t="shared" si="214"/>
        <v/>
      </c>
      <c r="IC856" s="2141" t="str">
        <f t="shared" si="215"/>
        <v/>
      </c>
      <c r="ID856" s="2141" t="str">
        <f t="shared" si="216"/>
        <v/>
      </c>
      <c r="IE856" s="2141" t="str">
        <f t="shared" si="217"/>
        <v/>
      </c>
      <c r="IF856" s="2141" t="str">
        <f t="shared" si="218"/>
        <v/>
      </c>
      <c r="IG856" s="2141" t="str">
        <f t="shared" si="219"/>
        <v/>
      </c>
      <c r="IH856" s="2141" t="str">
        <f t="shared" si="220"/>
        <v/>
      </c>
      <c r="II856" s="2141" t="str">
        <f t="shared" si="221"/>
        <v/>
      </c>
      <c r="IJ856" s="2141" t="str">
        <f t="shared" si="222"/>
        <v/>
      </c>
      <c r="IK856" s="2141" t="str">
        <f t="shared" si="223"/>
        <v/>
      </c>
      <c r="IL856" s="2141" t="str">
        <f t="shared" si="224"/>
        <v/>
      </c>
      <c r="IM856" s="2141" t="str">
        <f t="shared" si="225"/>
        <v/>
      </c>
      <c r="IN856" s="2141" t="str">
        <f t="shared" si="226"/>
        <v/>
      </c>
      <c r="IO856" s="2141" t="str">
        <f t="shared" si="227"/>
        <v/>
      </c>
      <c r="IP856" s="2141" t="str">
        <f t="shared" si="228"/>
        <v/>
      </c>
      <c r="IQ856" s="2141" t="str">
        <f t="shared" si="229"/>
        <v/>
      </c>
      <c r="IR856" s="2141" t="str">
        <f t="shared" si="230"/>
        <v/>
      </c>
      <c r="IS856" s="2141" t="str">
        <f t="shared" si="231"/>
        <v/>
      </c>
      <c r="IT856" s="2141" t="str">
        <f t="shared" si="232"/>
        <v/>
      </c>
      <c r="IU856" s="2141" t="str">
        <f t="shared" si="233"/>
        <v/>
      </c>
      <c r="IV856" s="2141" t="str">
        <f t="shared" si="234"/>
        <v/>
      </c>
      <c r="IW856" s="2141" t="str">
        <f t="shared" si="235"/>
        <v/>
      </c>
      <c r="IX856" s="2141" t="str">
        <f t="shared" si="236"/>
        <v/>
      </c>
      <c r="IY856" s="2141" t="str">
        <f t="shared" si="237"/>
        <v/>
      </c>
      <c r="IZ856" s="2141" t="str">
        <f t="shared" si="238"/>
        <v/>
      </c>
      <c r="JA856" s="2141" t="str">
        <f t="shared" si="239"/>
        <v/>
      </c>
      <c r="JB856" s="2141" t="str">
        <f t="shared" si="240"/>
        <v/>
      </c>
      <c r="JC856" s="2141" t="str">
        <f t="shared" si="241"/>
        <v/>
      </c>
      <c r="JD856" s="2141" t="str">
        <f t="shared" si="242"/>
        <v/>
      </c>
      <c r="JE856" s="2141" t="str">
        <f t="shared" si="243"/>
        <v/>
      </c>
      <c r="JF856" s="2141" t="str">
        <f t="shared" si="244"/>
        <v/>
      </c>
      <c r="JG856" s="2141" t="str">
        <f t="shared" si="245"/>
        <v/>
      </c>
      <c r="JH856" s="2141" t="str">
        <f t="shared" si="246"/>
        <v/>
      </c>
      <c r="JI856" s="2141" t="str">
        <f t="shared" si="247"/>
        <v/>
      </c>
      <c r="JJ856" s="2141" t="str">
        <f t="shared" si="248"/>
        <v/>
      </c>
      <c r="JK856" s="2141" t="str">
        <f t="shared" si="249"/>
        <v/>
      </c>
      <c r="JL856" s="2141" t="str">
        <f t="shared" si="250"/>
        <v/>
      </c>
      <c r="JM856" s="2141" t="str">
        <f t="shared" si="251"/>
        <v/>
      </c>
      <c r="JN856" s="2141" t="str">
        <f t="shared" si="252"/>
        <v/>
      </c>
      <c r="JO856" s="2141" t="str">
        <f t="shared" si="253"/>
        <v/>
      </c>
      <c r="JP856" s="2141" t="str">
        <f t="shared" si="254"/>
        <v/>
      </c>
      <c r="JQ856" s="2141" t="str">
        <f t="shared" si="255"/>
        <v/>
      </c>
      <c r="JR856" s="2141" t="str">
        <f t="shared" si="256"/>
        <v/>
      </c>
      <c r="JS856" s="2141" t="str">
        <f t="shared" si="257"/>
        <v/>
      </c>
      <c r="JT856" s="2141" t="str">
        <f t="shared" si="258"/>
        <v/>
      </c>
      <c r="JU856" s="2141" t="str">
        <f t="shared" si="259"/>
        <v/>
      </c>
      <c r="JV856" s="2141" t="str">
        <f t="shared" si="260"/>
        <v/>
      </c>
      <c r="JW856" s="2141" t="str">
        <f t="shared" si="261"/>
        <v/>
      </c>
      <c r="JX856" s="2141" t="str">
        <f t="shared" si="262"/>
        <v/>
      </c>
      <c r="JY856" s="2141" t="str">
        <f t="shared" si="263"/>
        <v/>
      </c>
      <c r="JZ856" s="2141" t="str">
        <f t="shared" si="264"/>
        <v/>
      </c>
      <c r="KA856" s="2141" t="str">
        <f t="shared" si="265"/>
        <v/>
      </c>
      <c r="KB856" s="2141" t="str">
        <f t="shared" si="266"/>
        <v/>
      </c>
      <c r="KC856" s="2141" t="str">
        <f t="shared" si="267"/>
        <v/>
      </c>
      <c r="KD856" s="2141" t="str">
        <f t="shared" si="268"/>
        <v/>
      </c>
      <c r="KE856" s="2141" t="str">
        <f t="shared" si="269"/>
        <v/>
      </c>
      <c r="KF856" s="2141" t="str">
        <f t="shared" si="270"/>
        <v/>
      </c>
      <c r="KG856" s="2141" t="str">
        <f t="shared" si="271"/>
        <v/>
      </c>
      <c r="KH856" s="2141" t="str">
        <f t="shared" si="272"/>
        <v/>
      </c>
      <c r="KI856" s="2141" t="str">
        <f t="shared" si="273"/>
        <v/>
      </c>
      <c r="KJ856" s="2141" t="str">
        <f t="shared" si="274"/>
        <v/>
      </c>
      <c r="KK856" s="2141" t="str">
        <f t="shared" si="275"/>
        <v/>
      </c>
      <c r="KL856" s="2141" t="str">
        <f t="shared" si="276"/>
        <v/>
      </c>
      <c r="KM856" s="2141" t="str">
        <f t="shared" si="277"/>
        <v/>
      </c>
      <c r="KN856" s="2141" t="str">
        <f t="shared" si="278"/>
        <v/>
      </c>
      <c r="KO856" s="2141" t="str">
        <f t="shared" si="279"/>
        <v/>
      </c>
      <c r="KP856" s="2141" t="str">
        <f t="shared" si="280"/>
        <v/>
      </c>
      <c r="KQ856" s="2141" t="str">
        <f t="shared" si="281"/>
        <v/>
      </c>
      <c r="KR856" s="2141" t="str">
        <f t="shared" si="282"/>
        <v/>
      </c>
      <c r="KS856" s="2141" t="str">
        <f t="shared" si="283"/>
        <v/>
      </c>
      <c r="KT856" s="2141" t="str">
        <f t="shared" si="284"/>
        <v/>
      </c>
      <c r="KU856" s="2141" t="str">
        <f t="shared" si="285"/>
        <v/>
      </c>
      <c r="KV856" s="2141" t="str">
        <f t="shared" si="286"/>
        <v/>
      </c>
      <c r="KW856" s="2141" t="str">
        <f t="shared" si="287"/>
        <v/>
      </c>
      <c r="KX856" s="2141" t="str">
        <f t="shared" si="288"/>
        <v/>
      </c>
      <c r="KY856" s="2141" t="str">
        <f t="shared" si="289"/>
        <v/>
      </c>
      <c r="KZ856" s="2141" t="str">
        <f t="shared" si="290"/>
        <v/>
      </c>
      <c r="LA856" s="2141" t="str">
        <f t="shared" si="291"/>
        <v/>
      </c>
      <c r="LB856" s="2141" t="str">
        <f t="shared" si="292"/>
        <v/>
      </c>
      <c r="LC856" s="2141" t="str">
        <f t="shared" si="293"/>
        <v/>
      </c>
      <c r="LD856" s="2141" t="str">
        <f t="shared" si="294"/>
        <v/>
      </c>
      <c r="LE856" s="2141" t="str">
        <f t="shared" si="295"/>
        <v/>
      </c>
      <c r="LF856" s="2141" t="str">
        <f t="shared" si="296"/>
        <v/>
      </c>
      <c r="LG856" s="2052" t="str">
        <f t="shared" si="297"/>
        <v/>
      </c>
      <c r="LH856" s="2052" t="str">
        <f t="shared" si="298"/>
        <v/>
      </c>
      <c r="LI856" s="2052" t="str">
        <f t="shared" si="299"/>
        <v/>
      </c>
      <c r="LJ856" s="2052" t="str">
        <f t="shared" si="300"/>
        <v/>
      </c>
      <c r="LK856" s="2052" t="str">
        <f t="shared" si="301"/>
        <v/>
      </c>
      <c r="LL856" s="1853" t="str">
        <f t="shared" si="302"/>
        <v/>
      </c>
      <c r="LM856" s="1853" t="str">
        <f t="shared" si="303"/>
        <v/>
      </c>
      <c r="LN856" s="1853" t="str">
        <f t="shared" si="304"/>
        <v/>
      </c>
      <c r="LO856" s="1853" t="str">
        <f t="shared" si="305"/>
        <v/>
      </c>
      <c r="LP856" s="1853" t="str">
        <f t="shared" si="306"/>
        <v/>
      </c>
      <c r="LQ856" s="1853" t="str">
        <f t="shared" si="307"/>
        <v/>
      </c>
      <c r="LR856" s="1853" t="str">
        <f t="shared" si="308"/>
        <v/>
      </c>
      <c r="LS856" s="1853" t="str">
        <f t="shared" si="309"/>
        <v/>
      </c>
      <c r="LT856" s="1853" t="str">
        <f t="shared" si="310"/>
        <v/>
      </c>
      <c r="LU856" s="1853" t="str">
        <f t="shared" si="311"/>
        <v/>
      </c>
      <c r="LV856" s="1853" t="str">
        <f t="shared" si="312"/>
        <v/>
      </c>
      <c r="LW856" s="1853" t="str">
        <f t="shared" si="313"/>
        <v/>
      </c>
      <c r="LX856" s="1853" t="str">
        <f t="shared" si="314"/>
        <v/>
      </c>
      <c r="LY856" s="1853" t="str">
        <f t="shared" si="315"/>
        <v/>
      </c>
      <c r="LZ856" s="1853" t="str">
        <f t="shared" si="316"/>
        <v/>
      </c>
      <c r="MA856" s="1853" t="str">
        <f t="shared" si="317"/>
        <v/>
      </c>
      <c r="MB856" s="1853" t="str">
        <f t="shared" si="318"/>
        <v/>
      </c>
      <c r="MC856" s="1853" t="str">
        <f t="shared" si="319"/>
        <v/>
      </c>
      <c r="MD856" s="1853" t="str">
        <f t="shared" si="320"/>
        <v/>
      </c>
      <c r="ME856" s="1853" t="str">
        <f t="shared" si="321"/>
        <v/>
      </c>
      <c r="MF856" s="2052">
        <f t="shared" si="328"/>
        <v>0</v>
      </c>
      <c r="MG856" s="2052">
        <f t="shared" si="329"/>
        <v>0</v>
      </c>
      <c r="MH856" s="2052">
        <f t="shared" si="330"/>
        <v>0</v>
      </c>
      <c r="MI856" s="2052">
        <f t="shared" si="331"/>
        <v>0</v>
      </c>
      <c r="MJ856" s="2052">
        <f t="shared" si="332"/>
        <v>0</v>
      </c>
      <c r="MK856" s="2052">
        <f t="shared" si="333"/>
        <v>0</v>
      </c>
      <c r="ML856" s="2052">
        <f t="shared" si="334"/>
        <v>0</v>
      </c>
      <c r="MM856" s="2052">
        <f t="shared" si="335"/>
        <v>0</v>
      </c>
      <c r="MN856" s="2052">
        <f t="shared" si="336"/>
        <v>0</v>
      </c>
      <c r="MO856" s="2052">
        <f t="shared" si="337"/>
        <v>0</v>
      </c>
      <c r="MP856" s="2052">
        <f t="shared" si="322"/>
        <v>0</v>
      </c>
      <c r="MQ856" s="2052">
        <f t="shared" si="323"/>
        <v>0</v>
      </c>
      <c r="MR856" s="2052">
        <f t="shared" si="324"/>
        <v>0</v>
      </c>
      <c r="MS856" s="2052">
        <f t="shared" si="325"/>
        <v>0</v>
      </c>
      <c r="MT856" s="2052">
        <f t="shared" si="326"/>
        <v>0</v>
      </c>
      <c r="NP856" s="1925" t="s">
        <v>6722</v>
      </c>
    </row>
    <row r="857" spans="1:380" s="1853" customFormat="1" ht="13.9" customHeight="1">
      <c r="A857" s="2109" t="str">
        <f t="shared" si="327"/>
        <v/>
      </c>
      <c r="B857" s="2131" t="str">
        <f>'Part VI-Revenues &amp; Expenses'!B17</f>
        <v>Unrestricted</v>
      </c>
      <c r="C857" s="2132">
        <f>'Part VI-Revenues &amp; Expenses'!C17</f>
        <v>0</v>
      </c>
      <c r="D857" s="2133">
        <f>'Part VI-Revenues &amp; Expenses'!D17</f>
        <v>0</v>
      </c>
      <c r="E857" s="2134">
        <f>'Part VI-Revenues &amp; Expenses'!E17</f>
        <v>0</v>
      </c>
      <c r="F857" s="2134">
        <f>'Part VI-Revenues &amp; Expenses'!F17</f>
        <v>0</v>
      </c>
      <c r="G857" s="2134">
        <f>'Part VI-Revenues &amp; Expenses'!G17</f>
        <v>0</v>
      </c>
      <c r="H857" s="2134">
        <f>'Part VI-Revenues &amp; Expenses'!H17</f>
        <v>0</v>
      </c>
      <c r="I857" s="2134">
        <f>'Part VI-Revenues &amp; Expenses'!I17</f>
        <v>0</v>
      </c>
      <c r="J857" s="2134">
        <f>'Part VI-Revenues &amp; Expenses'!J17</f>
        <v>0</v>
      </c>
      <c r="K857" s="2135">
        <f>'Part VI-Revenues &amp; Expenses'!K17</f>
        <v>0</v>
      </c>
      <c r="L857" s="2136">
        <f t="shared" si="0"/>
        <v>0</v>
      </c>
      <c r="M857" s="2136">
        <f t="shared" si="1"/>
        <v>0</v>
      </c>
      <c r="N857" s="1917">
        <f>'Part VI-Revenues &amp; Expenses'!N17</f>
        <v>0</v>
      </c>
      <c r="O857" s="2137">
        <f>'Part VI-Revenues &amp; Expenses'!O17</f>
        <v>0</v>
      </c>
      <c r="P857" s="1917">
        <f>'Part VI-Revenues &amp; Expenses'!P17</f>
        <v>0</v>
      </c>
      <c r="Q857" s="2138">
        <f>'Part VI-Revenues &amp; Expenses'!Q17</f>
        <v>0</v>
      </c>
      <c r="R857" s="2139"/>
      <c r="S857" s="2140"/>
      <c r="T857" s="2044"/>
      <c r="U857" s="2044"/>
      <c r="V857" s="2044"/>
      <c r="W857" s="2044"/>
      <c r="X857" s="1853" t="str">
        <f t="shared" si="2"/>
        <v/>
      </c>
      <c r="Y857" s="1853" t="str">
        <f t="shared" si="3"/>
        <v/>
      </c>
      <c r="Z857" s="1853" t="str">
        <f t="shared" si="4"/>
        <v/>
      </c>
      <c r="AA857" s="1853" t="str">
        <f t="shared" si="5"/>
        <v/>
      </c>
      <c r="AB857" s="1853" t="str">
        <f t="shared" si="6"/>
        <v/>
      </c>
      <c r="AC857" s="1853" t="str">
        <f t="shared" si="7"/>
        <v/>
      </c>
      <c r="AD857" s="1853" t="str">
        <f t="shared" si="8"/>
        <v/>
      </c>
      <c r="AE857" s="1853" t="str">
        <f t="shared" si="9"/>
        <v/>
      </c>
      <c r="AF857" s="1853" t="str">
        <f t="shared" si="10"/>
        <v/>
      </c>
      <c r="AG857" s="1853" t="str">
        <f t="shared" si="11"/>
        <v/>
      </c>
      <c r="AH857" s="1853" t="str">
        <f t="shared" si="12"/>
        <v/>
      </c>
      <c r="AI857" s="1853" t="str">
        <f t="shared" si="13"/>
        <v/>
      </c>
      <c r="AJ857" s="1853" t="str">
        <f t="shared" si="14"/>
        <v/>
      </c>
      <c r="AK857" s="1853" t="str">
        <f t="shared" si="15"/>
        <v/>
      </c>
      <c r="AL857" s="1853" t="str">
        <f t="shared" si="16"/>
        <v/>
      </c>
      <c r="AM857" s="1853" t="str">
        <f t="shared" si="17"/>
        <v/>
      </c>
      <c r="AN857" s="1853" t="str">
        <f t="shared" si="18"/>
        <v/>
      </c>
      <c r="AO857" s="1853" t="str">
        <f t="shared" si="19"/>
        <v/>
      </c>
      <c r="AP857" s="1853" t="str">
        <f t="shared" si="20"/>
        <v/>
      </c>
      <c r="AQ857" s="1853" t="str">
        <f t="shared" si="21"/>
        <v/>
      </c>
      <c r="AR857" s="1853" t="str">
        <f t="shared" si="22"/>
        <v/>
      </c>
      <c r="AS857" s="1853" t="str">
        <f t="shared" si="23"/>
        <v/>
      </c>
      <c r="AT857" s="1853" t="str">
        <f t="shared" si="24"/>
        <v/>
      </c>
      <c r="AU857" s="1853" t="str">
        <f t="shared" si="25"/>
        <v/>
      </c>
      <c r="AV857" s="1853" t="str">
        <f t="shared" si="26"/>
        <v/>
      </c>
      <c r="AW857" s="1853" t="str">
        <f t="shared" si="27"/>
        <v/>
      </c>
      <c r="AX857" s="1853" t="str">
        <f t="shared" si="28"/>
        <v/>
      </c>
      <c r="AY857" s="1853" t="str">
        <f t="shared" si="29"/>
        <v/>
      </c>
      <c r="AZ857" s="1853" t="str">
        <f t="shared" si="30"/>
        <v/>
      </c>
      <c r="BA857" s="1853" t="str">
        <f t="shared" si="31"/>
        <v/>
      </c>
      <c r="BB857" s="1853" t="str">
        <f t="shared" si="32"/>
        <v/>
      </c>
      <c r="BC857" s="1853" t="str">
        <f t="shared" si="33"/>
        <v/>
      </c>
      <c r="BD857" s="1853" t="str">
        <f t="shared" si="34"/>
        <v/>
      </c>
      <c r="BE857" s="1853" t="str">
        <f t="shared" si="35"/>
        <v/>
      </c>
      <c r="BF857" s="1853" t="str">
        <f t="shared" si="36"/>
        <v/>
      </c>
      <c r="BG857" s="1853" t="str">
        <f t="shared" si="37"/>
        <v/>
      </c>
      <c r="BH857" s="1853" t="str">
        <f t="shared" si="38"/>
        <v/>
      </c>
      <c r="BI857" s="1853" t="str">
        <f t="shared" si="39"/>
        <v/>
      </c>
      <c r="BJ857" s="1853" t="str">
        <f t="shared" si="40"/>
        <v/>
      </c>
      <c r="BK857" s="1853" t="str">
        <f t="shared" si="41"/>
        <v/>
      </c>
      <c r="BL857" s="1853" t="str">
        <f t="shared" si="42"/>
        <v/>
      </c>
      <c r="BM857" s="1853" t="str">
        <f t="shared" si="43"/>
        <v/>
      </c>
      <c r="BN857" s="1853" t="str">
        <f t="shared" si="44"/>
        <v/>
      </c>
      <c r="BO857" s="1853" t="str">
        <f t="shared" si="45"/>
        <v/>
      </c>
      <c r="BP857" s="1853" t="str">
        <f t="shared" si="46"/>
        <v/>
      </c>
      <c r="BQ857" s="1853" t="str">
        <f t="shared" si="47"/>
        <v/>
      </c>
      <c r="BR857" s="1853" t="str">
        <f t="shared" si="48"/>
        <v/>
      </c>
      <c r="BS857" s="1853" t="str">
        <f t="shared" si="49"/>
        <v/>
      </c>
      <c r="BT857" s="1853" t="str">
        <f t="shared" si="50"/>
        <v/>
      </c>
      <c r="BU857" s="1853" t="str">
        <f t="shared" si="51"/>
        <v/>
      </c>
      <c r="BV857" s="1853" t="str">
        <f t="shared" si="52"/>
        <v/>
      </c>
      <c r="BW857" s="1853" t="str">
        <f t="shared" si="53"/>
        <v/>
      </c>
      <c r="BX857" s="1853" t="str">
        <f t="shared" si="54"/>
        <v/>
      </c>
      <c r="BY857" s="1853" t="str">
        <f t="shared" si="55"/>
        <v/>
      </c>
      <c r="BZ857" s="1853" t="str">
        <f t="shared" si="56"/>
        <v/>
      </c>
      <c r="CA857" s="1853" t="str">
        <f t="shared" si="57"/>
        <v/>
      </c>
      <c r="CB857" s="1853" t="str">
        <f t="shared" si="58"/>
        <v/>
      </c>
      <c r="CC857" s="1853" t="str">
        <f t="shared" si="59"/>
        <v/>
      </c>
      <c r="CD857" s="1853" t="str">
        <f t="shared" si="60"/>
        <v/>
      </c>
      <c r="CE857" s="1853" t="str">
        <f t="shared" si="61"/>
        <v/>
      </c>
      <c r="CF857" s="1853" t="str">
        <f t="shared" si="62"/>
        <v/>
      </c>
      <c r="CG857" s="1853" t="str">
        <f t="shared" si="63"/>
        <v/>
      </c>
      <c r="CH857" s="1853" t="str">
        <f t="shared" si="64"/>
        <v/>
      </c>
      <c r="CI857" s="1853" t="str">
        <f t="shared" si="65"/>
        <v/>
      </c>
      <c r="CJ857" s="1853" t="str">
        <f t="shared" si="66"/>
        <v/>
      </c>
      <c r="CK857" s="1853" t="str">
        <f t="shared" si="67"/>
        <v/>
      </c>
      <c r="CL857" s="1853" t="str">
        <f t="shared" si="68"/>
        <v/>
      </c>
      <c r="CM857" s="1853" t="str">
        <f t="shared" si="69"/>
        <v/>
      </c>
      <c r="CN857" s="1853" t="str">
        <f t="shared" si="70"/>
        <v/>
      </c>
      <c r="CO857" s="1853" t="str">
        <f t="shared" si="71"/>
        <v/>
      </c>
      <c r="CP857" s="1853" t="str">
        <f t="shared" si="72"/>
        <v/>
      </c>
      <c r="CQ857" s="1853" t="str">
        <f t="shared" si="73"/>
        <v/>
      </c>
      <c r="CR857" s="1853" t="str">
        <f t="shared" si="74"/>
        <v/>
      </c>
      <c r="CS857" s="1853" t="str">
        <f t="shared" si="75"/>
        <v/>
      </c>
      <c r="CT857" s="1853" t="str">
        <f t="shared" si="76"/>
        <v/>
      </c>
      <c r="CU857" s="1853" t="str">
        <f t="shared" si="77"/>
        <v/>
      </c>
      <c r="CV857" s="1853" t="str">
        <f t="shared" si="78"/>
        <v/>
      </c>
      <c r="CW857" s="1853" t="str">
        <f t="shared" si="79"/>
        <v/>
      </c>
      <c r="CX857" s="1853" t="str">
        <f t="shared" si="80"/>
        <v/>
      </c>
      <c r="CY857" s="1853" t="str">
        <f t="shared" si="81"/>
        <v/>
      </c>
      <c r="CZ857" s="1853" t="str">
        <f t="shared" si="82"/>
        <v/>
      </c>
      <c r="DA857" s="1853" t="str">
        <f t="shared" si="83"/>
        <v/>
      </c>
      <c r="DB857" s="1853" t="str">
        <f t="shared" si="84"/>
        <v/>
      </c>
      <c r="DC857" s="1853" t="str">
        <f t="shared" si="85"/>
        <v/>
      </c>
      <c r="DD857" s="1853" t="str">
        <f t="shared" si="86"/>
        <v/>
      </c>
      <c r="DE857" s="1853" t="str">
        <f t="shared" si="87"/>
        <v/>
      </c>
      <c r="DF857" s="1853" t="str">
        <f t="shared" si="88"/>
        <v/>
      </c>
      <c r="DG857" s="1853" t="str">
        <f t="shared" si="89"/>
        <v/>
      </c>
      <c r="DH857" s="1853" t="str">
        <f t="shared" si="90"/>
        <v/>
      </c>
      <c r="DI857" s="1853" t="str">
        <f t="shared" si="91"/>
        <v/>
      </c>
      <c r="DJ857" s="1853" t="str">
        <f t="shared" si="92"/>
        <v/>
      </c>
      <c r="DK857" s="1853" t="str">
        <f t="shared" si="93"/>
        <v/>
      </c>
      <c r="DL857" s="1853" t="str">
        <f t="shared" si="94"/>
        <v/>
      </c>
      <c r="DM857" s="1853" t="str">
        <f t="shared" si="95"/>
        <v/>
      </c>
      <c r="DN857" s="1853" t="str">
        <f t="shared" si="96"/>
        <v/>
      </c>
      <c r="DO857" s="1853" t="str">
        <f t="shared" si="97"/>
        <v/>
      </c>
      <c r="DP857" s="1853" t="str">
        <f t="shared" si="98"/>
        <v/>
      </c>
      <c r="DQ857" s="1853" t="str">
        <f t="shared" si="99"/>
        <v/>
      </c>
      <c r="DR857" s="1853" t="str">
        <f t="shared" si="100"/>
        <v/>
      </c>
      <c r="DS857" s="1853" t="str">
        <f t="shared" si="101"/>
        <v/>
      </c>
      <c r="DT857" s="1853" t="str">
        <f t="shared" si="102"/>
        <v/>
      </c>
      <c r="DU857" s="1853" t="str">
        <f t="shared" si="103"/>
        <v/>
      </c>
      <c r="DV857" s="1853" t="str">
        <f t="shared" si="104"/>
        <v/>
      </c>
      <c r="DW857" s="1853" t="str">
        <f t="shared" si="105"/>
        <v/>
      </c>
      <c r="DX857" s="1853" t="str">
        <f t="shared" si="106"/>
        <v/>
      </c>
      <c r="DY857" s="1853" t="str">
        <f t="shared" si="107"/>
        <v/>
      </c>
      <c r="DZ857" s="1853" t="str">
        <f t="shared" si="108"/>
        <v/>
      </c>
      <c r="EA857" s="1853" t="str">
        <f t="shared" si="109"/>
        <v/>
      </c>
      <c r="EB857" s="1853" t="str">
        <f t="shared" si="110"/>
        <v/>
      </c>
      <c r="EC857" s="1853" t="str">
        <f t="shared" si="111"/>
        <v/>
      </c>
      <c r="ED857" s="1853" t="str">
        <f t="shared" si="112"/>
        <v/>
      </c>
      <c r="EE857" s="1853" t="str">
        <f t="shared" si="113"/>
        <v/>
      </c>
      <c r="EF857" s="1853" t="str">
        <f t="shared" si="114"/>
        <v/>
      </c>
      <c r="EG857" s="1853" t="str">
        <f t="shared" si="115"/>
        <v/>
      </c>
      <c r="EH857" s="1853" t="str">
        <f t="shared" si="116"/>
        <v/>
      </c>
      <c r="EI857" s="1853" t="str">
        <f t="shared" si="117"/>
        <v/>
      </c>
      <c r="EJ857" s="1853" t="str">
        <f t="shared" si="118"/>
        <v/>
      </c>
      <c r="EK857" s="1853" t="str">
        <f t="shared" si="119"/>
        <v/>
      </c>
      <c r="EL857" s="1853" t="str">
        <f t="shared" si="120"/>
        <v/>
      </c>
      <c r="EM857" s="1853" t="str">
        <f t="shared" si="121"/>
        <v/>
      </c>
      <c r="EN857" s="1853" t="str">
        <f t="shared" si="122"/>
        <v/>
      </c>
      <c r="EO857" s="1853" t="str">
        <f t="shared" si="123"/>
        <v/>
      </c>
      <c r="EP857" s="1853" t="str">
        <f t="shared" si="124"/>
        <v/>
      </c>
      <c r="EQ857" s="1853" t="str">
        <f t="shared" si="125"/>
        <v/>
      </c>
      <c r="ER857" s="1853" t="str">
        <f t="shared" si="126"/>
        <v/>
      </c>
      <c r="ES857" s="1853" t="str">
        <f t="shared" si="127"/>
        <v/>
      </c>
      <c r="ET857" s="1853" t="str">
        <f t="shared" si="128"/>
        <v/>
      </c>
      <c r="EU857" s="1853" t="str">
        <f t="shared" si="129"/>
        <v/>
      </c>
      <c r="EV857" s="1853" t="str">
        <f t="shared" si="130"/>
        <v/>
      </c>
      <c r="EW857" s="1853" t="str">
        <f t="shared" si="131"/>
        <v/>
      </c>
      <c r="EX857" s="1853" t="str">
        <f t="shared" si="132"/>
        <v/>
      </c>
      <c r="EY857" s="1853" t="str">
        <f t="shared" si="133"/>
        <v/>
      </c>
      <c r="EZ857" s="1853" t="str">
        <f t="shared" si="134"/>
        <v/>
      </c>
      <c r="FA857" s="1853" t="str">
        <f t="shared" si="135"/>
        <v/>
      </c>
      <c r="FB857" s="1853" t="str">
        <f t="shared" si="136"/>
        <v/>
      </c>
      <c r="FC857" s="1853" t="str">
        <f t="shared" si="137"/>
        <v/>
      </c>
      <c r="FD857" s="1853" t="str">
        <f t="shared" si="138"/>
        <v/>
      </c>
      <c r="FE857" s="1853" t="str">
        <f t="shared" si="139"/>
        <v/>
      </c>
      <c r="FF857" s="1853" t="str">
        <f t="shared" si="140"/>
        <v/>
      </c>
      <c r="FG857" s="1853" t="str">
        <f t="shared" si="141"/>
        <v/>
      </c>
      <c r="FH857" s="1853" t="str">
        <f t="shared" si="142"/>
        <v/>
      </c>
      <c r="FI857" s="1853" t="str">
        <f t="shared" si="143"/>
        <v/>
      </c>
      <c r="FJ857" s="1853" t="str">
        <f t="shared" si="144"/>
        <v/>
      </c>
      <c r="FK857" s="1853" t="str">
        <f t="shared" si="145"/>
        <v/>
      </c>
      <c r="FL857" s="1853" t="str">
        <f t="shared" si="146"/>
        <v/>
      </c>
      <c r="FM857" s="1853" t="str">
        <f t="shared" si="147"/>
        <v/>
      </c>
      <c r="FN857" s="1853" t="str">
        <f t="shared" si="148"/>
        <v/>
      </c>
      <c r="FO857" s="1853" t="str">
        <f t="shared" si="149"/>
        <v/>
      </c>
      <c r="FP857" s="1853" t="str">
        <f t="shared" si="150"/>
        <v/>
      </c>
      <c r="FQ857" s="1853" t="str">
        <f t="shared" si="151"/>
        <v/>
      </c>
      <c r="FR857" s="1853" t="str">
        <f t="shared" si="152"/>
        <v/>
      </c>
      <c r="FS857" s="1853" t="str">
        <f t="shared" si="153"/>
        <v/>
      </c>
      <c r="FT857" s="1853" t="str">
        <f t="shared" si="154"/>
        <v/>
      </c>
      <c r="FU857" s="1853" t="str">
        <f t="shared" si="155"/>
        <v/>
      </c>
      <c r="FV857" s="1853" t="str">
        <f t="shared" si="156"/>
        <v/>
      </c>
      <c r="FW857" s="1853" t="str">
        <f t="shared" si="157"/>
        <v/>
      </c>
      <c r="FX857" s="1853" t="str">
        <f t="shared" si="158"/>
        <v/>
      </c>
      <c r="FY857" s="1853" t="str">
        <f t="shared" si="159"/>
        <v/>
      </c>
      <c r="FZ857" s="1853" t="str">
        <f t="shared" si="160"/>
        <v/>
      </c>
      <c r="GA857" s="1853" t="str">
        <f t="shared" si="161"/>
        <v/>
      </c>
      <c r="GB857" s="1853" t="str">
        <f t="shared" si="162"/>
        <v/>
      </c>
      <c r="GC857" s="1853" t="str">
        <f t="shared" si="163"/>
        <v/>
      </c>
      <c r="GD857" s="1853" t="str">
        <f t="shared" si="164"/>
        <v/>
      </c>
      <c r="GE857" s="1853" t="str">
        <f t="shared" si="165"/>
        <v/>
      </c>
      <c r="GF857" s="1853" t="str">
        <f t="shared" si="166"/>
        <v/>
      </c>
      <c r="GG857" s="1853" t="str">
        <f t="shared" si="167"/>
        <v/>
      </c>
      <c r="GH857" s="1853" t="str">
        <f t="shared" si="168"/>
        <v/>
      </c>
      <c r="GI857" s="1853" t="str">
        <f t="shared" si="169"/>
        <v/>
      </c>
      <c r="GJ857" s="1853" t="str">
        <f t="shared" si="170"/>
        <v/>
      </c>
      <c r="GK857" s="1853" t="str">
        <f t="shared" si="171"/>
        <v/>
      </c>
      <c r="GL857" s="1853" t="str">
        <f t="shared" si="172"/>
        <v/>
      </c>
      <c r="GM857" s="1853" t="str">
        <f t="shared" si="173"/>
        <v/>
      </c>
      <c r="GN857" s="1853" t="str">
        <f t="shared" si="174"/>
        <v/>
      </c>
      <c r="GO857" s="1853" t="str">
        <f t="shared" si="175"/>
        <v/>
      </c>
      <c r="GP857" s="1853" t="str">
        <f t="shared" si="176"/>
        <v/>
      </c>
      <c r="GQ857" s="1853" t="str">
        <f t="shared" si="177"/>
        <v/>
      </c>
      <c r="GR857" s="1853" t="str">
        <f t="shared" si="178"/>
        <v/>
      </c>
      <c r="GS857" s="1853" t="str">
        <f t="shared" si="179"/>
        <v/>
      </c>
      <c r="GT857" s="1853" t="str">
        <f t="shared" si="180"/>
        <v/>
      </c>
      <c r="GU857" s="1853" t="str">
        <f t="shared" si="181"/>
        <v/>
      </c>
      <c r="GV857" s="1853" t="str">
        <f t="shared" si="182"/>
        <v/>
      </c>
      <c r="GW857" s="1853" t="str">
        <f t="shared" si="183"/>
        <v/>
      </c>
      <c r="GX857" s="1853" t="str">
        <f t="shared" si="184"/>
        <v/>
      </c>
      <c r="GY857" s="1853" t="str">
        <f t="shared" si="185"/>
        <v/>
      </c>
      <c r="GZ857" s="1853" t="str">
        <f t="shared" si="186"/>
        <v/>
      </c>
      <c r="HA857" s="1853" t="str">
        <f t="shared" si="187"/>
        <v/>
      </c>
      <c r="HB857" s="1853" t="str">
        <f t="shared" si="188"/>
        <v/>
      </c>
      <c r="HC857" s="1853" t="str">
        <f t="shared" si="189"/>
        <v/>
      </c>
      <c r="HD857" s="1853" t="str">
        <f t="shared" si="190"/>
        <v/>
      </c>
      <c r="HE857" s="1853" t="str">
        <f t="shared" si="191"/>
        <v/>
      </c>
      <c r="HF857" s="1853" t="str">
        <f t="shared" si="192"/>
        <v/>
      </c>
      <c r="HG857" s="1853" t="str">
        <f t="shared" si="193"/>
        <v/>
      </c>
      <c r="HH857" s="1853" t="str">
        <f t="shared" si="194"/>
        <v/>
      </c>
      <c r="HI857" s="1853" t="str">
        <f t="shared" si="195"/>
        <v/>
      </c>
      <c r="HJ857" s="1853" t="str">
        <f t="shared" si="196"/>
        <v/>
      </c>
      <c r="HK857" s="1853" t="str">
        <f t="shared" si="197"/>
        <v/>
      </c>
      <c r="HL857" s="1853" t="str">
        <f t="shared" si="198"/>
        <v/>
      </c>
      <c r="HM857" s="1853" t="str">
        <f t="shared" si="199"/>
        <v/>
      </c>
      <c r="HN857" s="1853" t="str">
        <f t="shared" si="200"/>
        <v/>
      </c>
      <c r="HO857" s="1853" t="str">
        <f t="shared" si="201"/>
        <v/>
      </c>
      <c r="HP857" s="1853" t="str">
        <f t="shared" si="202"/>
        <v/>
      </c>
      <c r="HQ857" s="1853" t="str">
        <f t="shared" si="203"/>
        <v/>
      </c>
      <c r="HR857" s="1853" t="str">
        <f t="shared" si="204"/>
        <v/>
      </c>
      <c r="HS857" s="1853" t="str">
        <f t="shared" si="205"/>
        <v/>
      </c>
      <c r="HT857" s="1853" t="str">
        <f t="shared" si="206"/>
        <v/>
      </c>
      <c r="HU857" s="1853" t="str">
        <f t="shared" si="207"/>
        <v/>
      </c>
      <c r="HV857" s="1853" t="str">
        <f t="shared" si="208"/>
        <v/>
      </c>
      <c r="HW857" s="1853" t="str">
        <f t="shared" si="209"/>
        <v/>
      </c>
      <c r="HX857" s="1853" t="str">
        <f t="shared" si="210"/>
        <v/>
      </c>
      <c r="HY857" s="1853" t="str">
        <f t="shared" si="211"/>
        <v/>
      </c>
      <c r="HZ857" s="2141" t="str">
        <f t="shared" si="212"/>
        <v/>
      </c>
      <c r="IA857" s="2141" t="str">
        <f t="shared" si="213"/>
        <v/>
      </c>
      <c r="IB857" s="2141" t="str">
        <f t="shared" si="214"/>
        <v/>
      </c>
      <c r="IC857" s="2141" t="str">
        <f t="shared" si="215"/>
        <v/>
      </c>
      <c r="ID857" s="2141" t="str">
        <f t="shared" si="216"/>
        <v/>
      </c>
      <c r="IE857" s="2141" t="str">
        <f t="shared" si="217"/>
        <v/>
      </c>
      <c r="IF857" s="2141" t="str">
        <f t="shared" si="218"/>
        <v/>
      </c>
      <c r="IG857" s="2141" t="str">
        <f t="shared" si="219"/>
        <v/>
      </c>
      <c r="IH857" s="2141" t="str">
        <f t="shared" si="220"/>
        <v/>
      </c>
      <c r="II857" s="2141" t="str">
        <f t="shared" si="221"/>
        <v/>
      </c>
      <c r="IJ857" s="2141" t="str">
        <f t="shared" si="222"/>
        <v/>
      </c>
      <c r="IK857" s="2141" t="str">
        <f t="shared" si="223"/>
        <v/>
      </c>
      <c r="IL857" s="2141" t="str">
        <f t="shared" si="224"/>
        <v/>
      </c>
      <c r="IM857" s="2141" t="str">
        <f t="shared" si="225"/>
        <v/>
      </c>
      <c r="IN857" s="2141" t="str">
        <f t="shared" si="226"/>
        <v/>
      </c>
      <c r="IO857" s="2141" t="str">
        <f t="shared" si="227"/>
        <v/>
      </c>
      <c r="IP857" s="2141" t="str">
        <f t="shared" si="228"/>
        <v/>
      </c>
      <c r="IQ857" s="2141" t="str">
        <f t="shared" si="229"/>
        <v/>
      </c>
      <c r="IR857" s="2141" t="str">
        <f t="shared" si="230"/>
        <v/>
      </c>
      <c r="IS857" s="2141" t="str">
        <f t="shared" si="231"/>
        <v/>
      </c>
      <c r="IT857" s="2141" t="str">
        <f t="shared" si="232"/>
        <v/>
      </c>
      <c r="IU857" s="2141" t="str">
        <f t="shared" si="233"/>
        <v/>
      </c>
      <c r="IV857" s="2141" t="str">
        <f t="shared" si="234"/>
        <v/>
      </c>
      <c r="IW857" s="2141" t="str">
        <f t="shared" si="235"/>
        <v/>
      </c>
      <c r="IX857" s="2141" t="str">
        <f t="shared" si="236"/>
        <v/>
      </c>
      <c r="IY857" s="2141" t="str">
        <f t="shared" si="237"/>
        <v/>
      </c>
      <c r="IZ857" s="2141" t="str">
        <f t="shared" si="238"/>
        <v/>
      </c>
      <c r="JA857" s="2141" t="str">
        <f t="shared" si="239"/>
        <v/>
      </c>
      <c r="JB857" s="2141" t="str">
        <f t="shared" si="240"/>
        <v/>
      </c>
      <c r="JC857" s="2141" t="str">
        <f t="shared" si="241"/>
        <v/>
      </c>
      <c r="JD857" s="2141" t="str">
        <f t="shared" si="242"/>
        <v/>
      </c>
      <c r="JE857" s="2141" t="str">
        <f t="shared" si="243"/>
        <v/>
      </c>
      <c r="JF857" s="2141" t="str">
        <f t="shared" si="244"/>
        <v/>
      </c>
      <c r="JG857" s="2141" t="str">
        <f t="shared" si="245"/>
        <v/>
      </c>
      <c r="JH857" s="2141" t="str">
        <f t="shared" si="246"/>
        <v/>
      </c>
      <c r="JI857" s="2141" t="str">
        <f t="shared" si="247"/>
        <v/>
      </c>
      <c r="JJ857" s="2141" t="str">
        <f t="shared" si="248"/>
        <v/>
      </c>
      <c r="JK857" s="2141" t="str">
        <f t="shared" si="249"/>
        <v/>
      </c>
      <c r="JL857" s="2141" t="str">
        <f t="shared" si="250"/>
        <v/>
      </c>
      <c r="JM857" s="2141" t="str">
        <f t="shared" si="251"/>
        <v/>
      </c>
      <c r="JN857" s="2141" t="str">
        <f t="shared" si="252"/>
        <v/>
      </c>
      <c r="JO857" s="2141" t="str">
        <f t="shared" si="253"/>
        <v/>
      </c>
      <c r="JP857" s="2141" t="str">
        <f t="shared" si="254"/>
        <v/>
      </c>
      <c r="JQ857" s="2141" t="str">
        <f t="shared" si="255"/>
        <v/>
      </c>
      <c r="JR857" s="2141" t="str">
        <f t="shared" si="256"/>
        <v/>
      </c>
      <c r="JS857" s="2141" t="str">
        <f t="shared" si="257"/>
        <v/>
      </c>
      <c r="JT857" s="2141" t="str">
        <f t="shared" si="258"/>
        <v/>
      </c>
      <c r="JU857" s="2141" t="str">
        <f t="shared" si="259"/>
        <v/>
      </c>
      <c r="JV857" s="2141" t="str">
        <f t="shared" si="260"/>
        <v/>
      </c>
      <c r="JW857" s="2141" t="str">
        <f t="shared" si="261"/>
        <v/>
      </c>
      <c r="JX857" s="2141" t="str">
        <f t="shared" si="262"/>
        <v/>
      </c>
      <c r="JY857" s="2141" t="str">
        <f t="shared" si="263"/>
        <v/>
      </c>
      <c r="JZ857" s="2141" t="str">
        <f t="shared" si="264"/>
        <v/>
      </c>
      <c r="KA857" s="2141" t="str">
        <f t="shared" si="265"/>
        <v/>
      </c>
      <c r="KB857" s="2141" t="str">
        <f t="shared" si="266"/>
        <v/>
      </c>
      <c r="KC857" s="2141" t="str">
        <f t="shared" si="267"/>
        <v/>
      </c>
      <c r="KD857" s="2141" t="str">
        <f t="shared" si="268"/>
        <v/>
      </c>
      <c r="KE857" s="2141" t="str">
        <f t="shared" si="269"/>
        <v/>
      </c>
      <c r="KF857" s="2141" t="str">
        <f t="shared" si="270"/>
        <v/>
      </c>
      <c r="KG857" s="2141" t="str">
        <f t="shared" si="271"/>
        <v/>
      </c>
      <c r="KH857" s="2141" t="str">
        <f t="shared" si="272"/>
        <v/>
      </c>
      <c r="KI857" s="2141" t="str">
        <f t="shared" si="273"/>
        <v/>
      </c>
      <c r="KJ857" s="2141" t="str">
        <f t="shared" si="274"/>
        <v/>
      </c>
      <c r="KK857" s="2141" t="str">
        <f t="shared" si="275"/>
        <v/>
      </c>
      <c r="KL857" s="2141" t="str">
        <f t="shared" si="276"/>
        <v/>
      </c>
      <c r="KM857" s="2141" t="str">
        <f t="shared" si="277"/>
        <v/>
      </c>
      <c r="KN857" s="2141" t="str">
        <f t="shared" si="278"/>
        <v/>
      </c>
      <c r="KO857" s="2141" t="str">
        <f t="shared" si="279"/>
        <v/>
      </c>
      <c r="KP857" s="2141" t="str">
        <f t="shared" si="280"/>
        <v/>
      </c>
      <c r="KQ857" s="2141" t="str">
        <f t="shared" si="281"/>
        <v/>
      </c>
      <c r="KR857" s="2141" t="str">
        <f t="shared" si="282"/>
        <v/>
      </c>
      <c r="KS857" s="2141" t="str">
        <f t="shared" si="283"/>
        <v/>
      </c>
      <c r="KT857" s="2141" t="str">
        <f t="shared" si="284"/>
        <v/>
      </c>
      <c r="KU857" s="2141" t="str">
        <f t="shared" si="285"/>
        <v/>
      </c>
      <c r="KV857" s="2141" t="str">
        <f t="shared" si="286"/>
        <v/>
      </c>
      <c r="KW857" s="2141" t="str">
        <f t="shared" si="287"/>
        <v/>
      </c>
      <c r="KX857" s="2141" t="str">
        <f t="shared" si="288"/>
        <v/>
      </c>
      <c r="KY857" s="2141" t="str">
        <f t="shared" si="289"/>
        <v/>
      </c>
      <c r="KZ857" s="2141" t="str">
        <f t="shared" si="290"/>
        <v/>
      </c>
      <c r="LA857" s="2141" t="str">
        <f t="shared" si="291"/>
        <v/>
      </c>
      <c r="LB857" s="2141" t="str">
        <f t="shared" si="292"/>
        <v/>
      </c>
      <c r="LC857" s="2141" t="str">
        <f t="shared" si="293"/>
        <v/>
      </c>
      <c r="LD857" s="2141" t="str">
        <f t="shared" si="294"/>
        <v/>
      </c>
      <c r="LE857" s="2141" t="str">
        <f t="shared" si="295"/>
        <v/>
      </c>
      <c r="LF857" s="2141" t="str">
        <f t="shared" si="296"/>
        <v/>
      </c>
      <c r="LG857" s="2052" t="str">
        <f t="shared" si="297"/>
        <v/>
      </c>
      <c r="LH857" s="2052" t="str">
        <f t="shared" si="298"/>
        <v/>
      </c>
      <c r="LI857" s="2052" t="str">
        <f t="shared" si="299"/>
        <v/>
      </c>
      <c r="LJ857" s="2052" t="str">
        <f t="shared" si="300"/>
        <v/>
      </c>
      <c r="LK857" s="2052" t="str">
        <f t="shared" si="301"/>
        <v/>
      </c>
      <c r="LL857" s="1853" t="str">
        <f t="shared" si="302"/>
        <v/>
      </c>
      <c r="LM857" s="1853" t="str">
        <f t="shared" si="303"/>
        <v/>
      </c>
      <c r="LN857" s="1853" t="str">
        <f t="shared" si="304"/>
        <v/>
      </c>
      <c r="LO857" s="1853" t="str">
        <f t="shared" si="305"/>
        <v/>
      </c>
      <c r="LP857" s="1853" t="str">
        <f t="shared" si="306"/>
        <v/>
      </c>
      <c r="LQ857" s="1853" t="str">
        <f t="shared" si="307"/>
        <v/>
      </c>
      <c r="LR857" s="1853" t="str">
        <f t="shared" si="308"/>
        <v/>
      </c>
      <c r="LS857" s="1853" t="str">
        <f t="shared" si="309"/>
        <v/>
      </c>
      <c r="LT857" s="1853" t="str">
        <f t="shared" si="310"/>
        <v/>
      </c>
      <c r="LU857" s="1853" t="str">
        <f t="shared" si="311"/>
        <v/>
      </c>
      <c r="LV857" s="1853" t="str">
        <f t="shared" si="312"/>
        <v/>
      </c>
      <c r="LW857" s="1853" t="str">
        <f t="shared" si="313"/>
        <v/>
      </c>
      <c r="LX857" s="1853" t="str">
        <f t="shared" si="314"/>
        <v/>
      </c>
      <c r="LY857" s="1853" t="str">
        <f t="shared" si="315"/>
        <v/>
      </c>
      <c r="LZ857" s="1853" t="str">
        <f t="shared" si="316"/>
        <v/>
      </c>
      <c r="MA857" s="1853" t="str">
        <f t="shared" si="317"/>
        <v/>
      </c>
      <c r="MB857" s="1853" t="str">
        <f t="shared" si="318"/>
        <v/>
      </c>
      <c r="MC857" s="1853" t="str">
        <f t="shared" si="319"/>
        <v/>
      </c>
      <c r="MD857" s="1853" t="str">
        <f t="shared" si="320"/>
        <v/>
      </c>
      <c r="ME857" s="1853" t="str">
        <f t="shared" si="321"/>
        <v/>
      </c>
      <c r="MF857" s="2052">
        <f t="shared" si="328"/>
        <v>0</v>
      </c>
      <c r="MG857" s="2052">
        <f t="shared" si="329"/>
        <v>0</v>
      </c>
      <c r="MH857" s="2052">
        <f t="shared" si="330"/>
        <v>0</v>
      </c>
      <c r="MI857" s="2052">
        <f t="shared" si="331"/>
        <v>0</v>
      </c>
      <c r="MJ857" s="2052">
        <f t="shared" si="332"/>
        <v>0</v>
      </c>
      <c r="MK857" s="2052">
        <f t="shared" si="333"/>
        <v>0</v>
      </c>
      <c r="ML857" s="2052">
        <f t="shared" si="334"/>
        <v>0</v>
      </c>
      <c r="MM857" s="2052">
        <f t="shared" si="335"/>
        <v>0</v>
      </c>
      <c r="MN857" s="2052">
        <f t="shared" si="336"/>
        <v>0</v>
      </c>
      <c r="MO857" s="2052">
        <f t="shared" si="337"/>
        <v>0</v>
      </c>
      <c r="MP857" s="2052">
        <f t="shared" si="322"/>
        <v>0</v>
      </c>
      <c r="MQ857" s="2052">
        <f t="shared" si="323"/>
        <v>0</v>
      </c>
      <c r="MR857" s="2052">
        <f t="shared" si="324"/>
        <v>0</v>
      </c>
      <c r="MS857" s="2052">
        <f t="shared" si="325"/>
        <v>0</v>
      </c>
      <c r="MT857" s="2052">
        <f t="shared" si="326"/>
        <v>0</v>
      </c>
      <c r="NP857" s="1925" t="s">
        <v>6723</v>
      </c>
    </row>
    <row r="858" spans="1:380" s="1853" customFormat="1" ht="13.9" customHeight="1">
      <c r="A858" s="2109" t="str">
        <f t="shared" si="327"/>
        <v/>
      </c>
      <c r="B858" s="2131">
        <f>'Part VI-Revenues &amp; Expenses'!B18</f>
        <v>0</v>
      </c>
      <c r="C858" s="2132">
        <f>'Part VI-Revenues &amp; Expenses'!C18</f>
        <v>0</v>
      </c>
      <c r="D858" s="2133">
        <f>'Part VI-Revenues &amp; Expenses'!D18</f>
        <v>0</v>
      </c>
      <c r="E858" s="2134">
        <f>'Part VI-Revenues &amp; Expenses'!E18</f>
        <v>0</v>
      </c>
      <c r="F858" s="2134">
        <f>'Part VI-Revenues &amp; Expenses'!F18</f>
        <v>0</v>
      </c>
      <c r="G858" s="2134">
        <f>'Part VI-Revenues &amp; Expenses'!G18</f>
        <v>0</v>
      </c>
      <c r="H858" s="2134">
        <f>'Part VI-Revenues &amp; Expenses'!H18</f>
        <v>0</v>
      </c>
      <c r="I858" s="2134">
        <f>'Part VI-Revenues &amp; Expenses'!I18</f>
        <v>0</v>
      </c>
      <c r="J858" s="2134">
        <f>'Part VI-Revenues &amp; Expenses'!J18</f>
        <v>0</v>
      </c>
      <c r="K858" s="2135">
        <f>'Part VI-Revenues &amp; Expenses'!K18</f>
        <v>0</v>
      </c>
      <c r="L858" s="2136">
        <f t="shared" si="0"/>
        <v>0</v>
      </c>
      <c r="M858" s="2136">
        <f t="shared" si="1"/>
        <v>0</v>
      </c>
      <c r="N858" s="1917">
        <f>'Part VI-Revenues &amp; Expenses'!N18</f>
        <v>0</v>
      </c>
      <c r="O858" s="2137">
        <f>'Part VI-Revenues &amp; Expenses'!O18</f>
        <v>0</v>
      </c>
      <c r="P858" s="1917">
        <f>'Part VI-Revenues &amp; Expenses'!P18</f>
        <v>0</v>
      </c>
      <c r="Q858" s="2138">
        <f>'Part VI-Revenues &amp; Expenses'!Q18</f>
        <v>0</v>
      </c>
      <c r="R858" s="2139"/>
      <c r="S858" s="2140"/>
      <c r="T858" s="2044"/>
      <c r="U858" s="2044"/>
      <c r="V858" s="2044"/>
      <c r="W858" s="2044"/>
      <c r="X858" s="1853" t="str">
        <f t="shared" si="2"/>
        <v/>
      </c>
      <c r="Y858" s="1853" t="str">
        <f t="shared" si="3"/>
        <v/>
      </c>
      <c r="Z858" s="1853" t="str">
        <f t="shared" si="4"/>
        <v/>
      </c>
      <c r="AA858" s="1853" t="str">
        <f t="shared" si="5"/>
        <v/>
      </c>
      <c r="AB858" s="1853" t="str">
        <f t="shared" si="6"/>
        <v/>
      </c>
      <c r="AC858" s="1853" t="str">
        <f t="shared" si="7"/>
        <v/>
      </c>
      <c r="AD858" s="1853" t="str">
        <f t="shared" si="8"/>
        <v/>
      </c>
      <c r="AE858" s="1853" t="str">
        <f t="shared" si="9"/>
        <v/>
      </c>
      <c r="AF858" s="1853" t="str">
        <f t="shared" si="10"/>
        <v/>
      </c>
      <c r="AG858" s="1853" t="str">
        <f t="shared" si="11"/>
        <v/>
      </c>
      <c r="AH858" s="1853" t="str">
        <f t="shared" si="12"/>
        <v/>
      </c>
      <c r="AI858" s="1853" t="str">
        <f t="shared" si="13"/>
        <v/>
      </c>
      <c r="AJ858" s="1853" t="str">
        <f t="shared" si="14"/>
        <v/>
      </c>
      <c r="AK858" s="1853" t="str">
        <f t="shared" si="15"/>
        <v/>
      </c>
      <c r="AL858" s="1853" t="str">
        <f t="shared" si="16"/>
        <v/>
      </c>
      <c r="AM858" s="1853" t="str">
        <f t="shared" si="17"/>
        <v/>
      </c>
      <c r="AN858" s="1853" t="str">
        <f t="shared" si="18"/>
        <v/>
      </c>
      <c r="AO858" s="1853" t="str">
        <f t="shared" si="19"/>
        <v/>
      </c>
      <c r="AP858" s="1853" t="str">
        <f t="shared" si="20"/>
        <v/>
      </c>
      <c r="AQ858" s="1853" t="str">
        <f t="shared" si="21"/>
        <v/>
      </c>
      <c r="AR858" s="1853" t="str">
        <f t="shared" si="22"/>
        <v/>
      </c>
      <c r="AS858" s="1853" t="str">
        <f t="shared" si="23"/>
        <v/>
      </c>
      <c r="AT858" s="1853" t="str">
        <f t="shared" si="24"/>
        <v/>
      </c>
      <c r="AU858" s="1853" t="str">
        <f t="shared" si="25"/>
        <v/>
      </c>
      <c r="AV858" s="1853" t="str">
        <f t="shared" si="26"/>
        <v/>
      </c>
      <c r="AW858" s="1853" t="str">
        <f t="shared" si="27"/>
        <v/>
      </c>
      <c r="AX858" s="1853" t="str">
        <f t="shared" si="28"/>
        <v/>
      </c>
      <c r="AY858" s="1853" t="str">
        <f t="shared" si="29"/>
        <v/>
      </c>
      <c r="AZ858" s="1853" t="str">
        <f t="shared" si="30"/>
        <v/>
      </c>
      <c r="BA858" s="1853" t="str">
        <f t="shared" si="31"/>
        <v/>
      </c>
      <c r="BB858" s="1853" t="str">
        <f t="shared" si="32"/>
        <v/>
      </c>
      <c r="BC858" s="1853" t="str">
        <f t="shared" si="33"/>
        <v/>
      </c>
      <c r="BD858" s="1853" t="str">
        <f t="shared" si="34"/>
        <v/>
      </c>
      <c r="BE858" s="1853" t="str">
        <f t="shared" si="35"/>
        <v/>
      </c>
      <c r="BF858" s="1853" t="str">
        <f t="shared" si="36"/>
        <v/>
      </c>
      <c r="BG858" s="1853" t="str">
        <f t="shared" si="37"/>
        <v/>
      </c>
      <c r="BH858" s="1853" t="str">
        <f t="shared" si="38"/>
        <v/>
      </c>
      <c r="BI858" s="1853" t="str">
        <f t="shared" si="39"/>
        <v/>
      </c>
      <c r="BJ858" s="1853" t="str">
        <f t="shared" si="40"/>
        <v/>
      </c>
      <c r="BK858" s="1853" t="str">
        <f t="shared" si="41"/>
        <v/>
      </c>
      <c r="BL858" s="1853" t="str">
        <f t="shared" si="42"/>
        <v/>
      </c>
      <c r="BM858" s="1853" t="str">
        <f t="shared" si="43"/>
        <v/>
      </c>
      <c r="BN858" s="1853" t="str">
        <f t="shared" si="44"/>
        <v/>
      </c>
      <c r="BO858" s="1853" t="str">
        <f t="shared" si="45"/>
        <v/>
      </c>
      <c r="BP858" s="1853" t="str">
        <f t="shared" si="46"/>
        <v/>
      </c>
      <c r="BQ858" s="1853" t="str">
        <f t="shared" si="47"/>
        <v/>
      </c>
      <c r="BR858" s="1853" t="str">
        <f t="shared" si="48"/>
        <v/>
      </c>
      <c r="BS858" s="1853" t="str">
        <f t="shared" si="49"/>
        <v/>
      </c>
      <c r="BT858" s="1853" t="str">
        <f t="shared" si="50"/>
        <v/>
      </c>
      <c r="BU858" s="1853" t="str">
        <f t="shared" si="51"/>
        <v/>
      </c>
      <c r="BV858" s="1853" t="str">
        <f t="shared" si="52"/>
        <v/>
      </c>
      <c r="BW858" s="1853" t="str">
        <f t="shared" si="53"/>
        <v/>
      </c>
      <c r="BX858" s="1853" t="str">
        <f t="shared" si="54"/>
        <v/>
      </c>
      <c r="BY858" s="1853" t="str">
        <f t="shared" si="55"/>
        <v/>
      </c>
      <c r="BZ858" s="1853" t="str">
        <f t="shared" si="56"/>
        <v/>
      </c>
      <c r="CA858" s="1853" t="str">
        <f t="shared" si="57"/>
        <v/>
      </c>
      <c r="CB858" s="1853" t="str">
        <f t="shared" si="58"/>
        <v/>
      </c>
      <c r="CC858" s="1853" t="str">
        <f t="shared" si="59"/>
        <v/>
      </c>
      <c r="CD858" s="1853" t="str">
        <f t="shared" si="60"/>
        <v/>
      </c>
      <c r="CE858" s="1853" t="str">
        <f t="shared" si="61"/>
        <v/>
      </c>
      <c r="CF858" s="1853" t="str">
        <f t="shared" si="62"/>
        <v/>
      </c>
      <c r="CG858" s="1853" t="str">
        <f t="shared" si="63"/>
        <v/>
      </c>
      <c r="CH858" s="1853" t="str">
        <f t="shared" si="64"/>
        <v/>
      </c>
      <c r="CI858" s="1853" t="str">
        <f t="shared" si="65"/>
        <v/>
      </c>
      <c r="CJ858" s="1853" t="str">
        <f t="shared" si="66"/>
        <v/>
      </c>
      <c r="CK858" s="1853" t="str">
        <f t="shared" si="67"/>
        <v/>
      </c>
      <c r="CL858" s="1853" t="str">
        <f t="shared" si="68"/>
        <v/>
      </c>
      <c r="CM858" s="1853" t="str">
        <f t="shared" si="69"/>
        <v/>
      </c>
      <c r="CN858" s="1853" t="str">
        <f t="shared" si="70"/>
        <v/>
      </c>
      <c r="CO858" s="1853" t="str">
        <f t="shared" si="71"/>
        <v/>
      </c>
      <c r="CP858" s="1853" t="str">
        <f t="shared" si="72"/>
        <v/>
      </c>
      <c r="CQ858" s="1853" t="str">
        <f t="shared" si="73"/>
        <v/>
      </c>
      <c r="CR858" s="1853" t="str">
        <f t="shared" si="74"/>
        <v/>
      </c>
      <c r="CS858" s="1853" t="str">
        <f t="shared" si="75"/>
        <v/>
      </c>
      <c r="CT858" s="1853" t="str">
        <f t="shared" si="76"/>
        <v/>
      </c>
      <c r="CU858" s="1853" t="str">
        <f t="shared" si="77"/>
        <v/>
      </c>
      <c r="CV858" s="1853" t="str">
        <f t="shared" si="78"/>
        <v/>
      </c>
      <c r="CW858" s="1853" t="str">
        <f t="shared" si="79"/>
        <v/>
      </c>
      <c r="CX858" s="1853" t="str">
        <f t="shared" si="80"/>
        <v/>
      </c>
      <c r="CY858" s="1853" t="str">
        <f t="shared" si="81"/>
        <v/>
      </c>
      <c r="CZ858" s="1853" t="str">
        <f t="shared" si="82"/>
        <v/>
      </c>
      <c r="DA858" s="1853" t="str">
        <f t="shared" si="83"/>
        <v/>
      </c>
      <c r="DB858" s="1853" t="str">
        <f t="shared" si="84"/>
        <v/>
      </c>
      <c r="DC858" s="1853" t="str">
        <f t="shared" si="85"/>
        <v/>
      </c>
      <c r="DD858" s="1853" t="str">
        <f t="shared" si="86"/>
        <v/>
      </c>
      <c r="DE858" s="1853" t="str">
        <f t="shared" si="87"/>
        <v/>
      </c>
      <c r="DF858" s="1853" t="str">
        <f t="shared" si="88"/>
        <v/>
      </c>
      <c r="DG858" s="1853" t="str">
        <f t="shared" si="89"/>
        <v/>
      </c>
      <c r="DH858" s="1853" t="str">
        <f t="shared" si="90"/>
        <v/>
      </c>
      <c r="DI858" s="1853" t="str">
        <f t="shared" si="91"/>
        <v/>
      </c>
      <c r="DJ858" s="1853" t="str">
        <f t="shared" si="92"/>
        <v/>
      </c>
      <c r="DK858" s="1853" t="str">
        <f t="shared" si="93"/>
        <v/>
      </c>
      <c r="DL858" s="1853" t="str">
        <f t="shared" si="94"/>
        <v/>
      </c>
      <c r="DM858" s="1853" t="str">
        <f t="shared" si="95"/>
        <v/>
      </c>
      <c r="DN858" s="1853" t="str">
        <f t="shared" si="96"/>
        <v/>
      </c>
      <c r="DO858" s="1853" t="str">
        <f t="shared" si="97"/>
        <v/>
      </c>
      <c r="DP858" s="1853" t="str">
        <f t="shared" si="98"/>
        <v/>
      </c>
      <c r="DQ858" s="1853" t="str">
        <f t="shared" si="99"/>
        <v/>
      </c>
      <c r="DR858" s="1853" t="str">
        <f t="shared" si="100"/>
        <v/>
      </c>
      <c r="DS858" s="1853" t="str">
        <f t="shared" si="101"/>
        <v/>
      </c>
      <c r="DT858" s="1853" t="str">
        <f t="shared" si="102"/>
        <v/>
      </c>
      <c r="DU858" s="1853" t="str">
        <f t="shared" si="103"/>
        <v/>
      </c>
      <c r="DV858" s="1853" t="str">
        <f t="shared" si="104"/>
        <v/>
      </c>
      <c r="DW858" s="1853" t="str">
        <f t="shared" si="105"/>
        <v/>
      </c>
      <c r="DX858" s="1853" t="str">
        <f t="shared" si="106"/>
        <v/>
      </c>
      <c r="DY858" s="1853" t="str">
        <f t="shared" si="107"/>
        <v/>
      </c>
      <c r="DZ858" s="1853" t="str">
        <f t="shared" si="108"/>
        <v/>
      </c>
      <c r="EA858" s="1853" t="str">
        <f t="shared" si="109"/>
        <v/>
      </c>
      <c r="EB858" s="1853" t="str">
        <f t="shared" si="110"/>
        <v/>
      </c>
      <c r="EC858" s="1853" t="str">
        <f t="shared" si="111"/>
        <v/>
      </c>
      <c r="ED858" s="1853" t="str">
        <f t="shared" si="112"/>
        <v/>
      </c>
      <c r="EE858" s="1853" t="str">
        <f t="shared" si="113"/>
        <v/>
      </c>
      <c r="EF858" s="1853" t="str">
        <f t="shared" si="114"/>
        <v/>
      </c>
      <c r="EG858" s="1853" t="str">
        <f t="shared" si="115"/>
        <v/>
      </c>
      <c r="EH858" s="1853" t="str">
        <f t="shared" si="116"/>
        <v/>
      </c>
      <c r="EI858" s="1853" t="str">
        <f t="shared" si="117"/>
        <v/>
      </c>
      <c r="EJ858" s="1853" t="str">
        <f t="shared" si="118"/>
        <v/>
      </c>
      <c r="EK858" s="1853" t="str">
        <f t="shared" si="119"/>
        <v/>
      </c>
      <c r="EL858" s="1853" t="str">
        <f t="shared" si="120"/>
        <v/>
      </c>
      <c r="EM858" s="1853" t="str">
        <f t="shared" si="121"/>
        <v/>
      </c>
      <c r="EN858" s="1853" t="str">
        <f t="shared" si="122"/>
        <v/>
      </c>
      <c r="EO858" s="1853" t="str">
        <f t="shared" si="123"/>
        <v/>
      </c>
      <c r="EP858" s="1853" t="str">
        <f t="shared" si="124"/>
        <v/>
      </c>
      <c r="EQ858" s="1853" t="str">
        <f t="shared" si="125"/>
        <v/>
      </c>
      <c r="ER858" s="1853" t="str">
        <f t="shared" si="126"/>
        <v/>
      </c>
      <c r="ES858" s="1853" t="str">
        <f t="shared" si="127"/>
        <v/>
      </c>
      <c r="ET858" s="1853" t="str">
        <f t="shared" si="128"/>
        <v/>
      </c>
      <c r="EU858" s="1853" t="str">
        <f t="shared" si="129"/>
        <v/>
      </c>
      <c r="EV858" s="1853" t="str">
        <f t="shared" si="130"/>
        <v/>
      </c>
      <c r="EW858" s="1853" t="str">
        <f t="shared" si="131"/>
        <v/>
      </c>
      <c r="EX858" s="1853" t="str">
        <f t="shared" si="132"/>
        <v/>
      </c>
      <c r="EY858" s="1853" t="str">
        <f t="shared" si="133"/>
        <v/>
      </c>
      <c r="EZ858" s="1853" t="str">
        <f t="shared" si="134"/>
        <v/>
      </c>
      <c r="FA858" s="1853" t="str">
        <f t="shared" si="135"/>
        <v/>
      </c>
      <c r="FB858" s="1853" t="str">
        <f t="shared" si="136"/>
        <v/>
      </c>
      <c r="FC858" s="1853" t="str">
        <f t="shared" si="137"/>
        <v/>
      </c>
      <c r="FD858" s="1853" t="str">
        <f t="shared" si="138"/>
        <v/>
      </c>
      <c r="FE858" s="1853" t="str">
        <f t="shared" si="139"/>
        <v/>
      </c>
      <c r="FF858" s="1853" t="str">
        <f t="shared" si="140"/>
        <v/>
      </c>
      <c r="FG858" s="1853" t="str">
        <f t="shared" si="141"/>
        <v/>
      </c>
      <c r="FH858" s="1853" t="str">
        <f t="shared" si="142"/>
        <v/>
      </c>
      <c r="FI858" s="1853" t="str">
        <f t="shared" si="143"/>
        <v/>
      </c>
      <c r="FJ858" s="1853" t="str">
        <f t="shared" si="144"/>
        <v/>
      </c>
      <c r="FK858" s="1853" t="str">
        <f t="shared" si="145"/>
        <v/>
      </c>
      <c r="FL858" s="1853" t="str">
        <f t="shared" si="146"/>
        <v/>
      </c>
      <c r="FM858" s="1853" t="str">
        <f t="shared" si="147"/>
        <v/>
      </c>
      <c r="FN858" s="1853" t="str">
        <f t="shared" si="148"/>
        <v/>
      </c>
      <c r="FO858" s="1853" t="str">
        <f t="shared" si="149"/>
        <v/>
      </c>
      <c r="FP858" s="1853" t="str">
        <f t="shared" si="150"/>
        <v/>
      </c>
      <c r="FQ858" s="1853" t="str">
        <f t="shared" si="151"/>
        <v/>
      </c>
      <c r="FR858" s="1853" t="str">
        <f t="shared" si="152"/>
        <v/>
      </c>
      <c r="FS858" s="1853" t="str">
        <f t="shared" si="153"/>
        <v/>
      </c>
      <c r="FT858" s="1853" t="str">
        <f t="shared" si="154"/>
        <v/>
      </c>
      <c r="FU858" s="1853" t="str">
        <f t="shared" si="155"/>
        <v/>
      </c>
      <c r="FV858" s="1853" t="str">
        <f t="shared" si="156"/>
        <v/>
      </c>
      <c r="FW858" s="1853" t="str">
        <f t="shared" si="157"/>
        <v/>
      </c>
      <c r="FX858" s="1853" t="str">
        <f t="shared" si="158"/>
        <v/>
      </c>
      <c r="FY858" s="1853" t="str">
        <f t="shared" si="159"/>
        <v/>
      </c>
      <c r="FZ858" s="1853" t="str">
        <f t="shared" si="160"/>
        <v/>
      </c>
      <c r="GA858" s="1853" t="str">
        <f t="shared" si="161"/>
        <v/>
      </c>
      <c r="GB858" s="1853" t="str">
        <f t="shared" si="162"/>
        <v/>
      </c>
      <c r="GC858" s="1853" t="str">
        <f t="shared" si="163"/>
        <v/>
      </c>
      <c r="GD858" s="1853" t="str">
        <f t="shared" si="164"/>
        <v/>
      </c>
      <c r="GE858" s="1853" t="str">
        <f t="shared" si="165"/>
        <v/>
      </c>
      <c r="GF858" s="1853" t="str">
        <f t="shared" si="166"/>
        <v/>
      </c>
      <c r="GG858" s="1853" t="str">
        <f t="shared" si="167"/>
        <v/>
      </c>
      <c r="GH858" s="1853" t="str">
        <f t="shared" si="168"/>
        <v/>
      </c>
      <c r="GI858" s="1853" t="str">
        <f t="shared" si="169"/>
        <v/>
      </c>
      <c r="GJ858" s="1853" t="str">
        <f t="shared" si="170"/>
        <v/>
      </c>
      <c r="GK858" s="1853" t="str">
        <f t="shared" si="171"/>
        <v/>
      </c>
      <c r="GL858" s="1853" t="str">
        <f t="shared" si="172"/>
        <v/>
      </c>
      <c r="GM858" s="1853" t="str">
        <f t="shared" si="173"/>
        <v/>
      </c>
      <c r="GN858" s="1853" t="str">
        <f t="shared" si="174"/>
        <v/>
      </c>
      <c r="GO858" s="1853" t="str">
        <f t="shared" si="175"/>
        <v/>
      </c>
      <c r="GP858" s="1853" t="str">
        <f t="shared" si="176"/>
        <v/>
      </c>
      <c r="GQ858" s="1853" t="str">
        <f t="shared" si="177"/>
        <v/>
      </c>
      <c r="GR858" s="1853" t="str">
        <f t="shared" si="178"/>
        <v/>
      </c>
      <c r="GS858" s="1853" t="str">
        <f t="shared" si="179"/>
        <v/>
      </c>
      <c r="GT858" s="1853" t="str">
        <f t="shared" si="180"/>
        <v/>
      </c>
      <c r="GU858" s="1853" t="str">
        <f t="shared" si="181"/>
        <v/>
      </c>
      <c r="GV858" s="1853" t="str">
        <f t="shared" si="182"/>
        <v/>
      </c>
      <c r="GW858" s="1853" t="str">
        <f t="shared" si="183"/>
        <v/>
      </c>
      <c r="GX858" s="1853" t="str">
        <f t="shared" si="184"/>
        <v/>
      </c>
      <c r="GY858" s="1853" t="str">
        <f t="shared" si="185"/>
        <v/>
      </c>
      <c r="GZ858" s="1853" t="str">
        <f t="shared" si="186"/>
        <v/>
      </c>
      <c r="HA858" s="1853" t="str">
        <f t="shared" si="187"/>
        <v/>
      </c>
      <c r="HB858" s="1853" t="str">
        <f t="shared" si="188"/>
        <v/>
      </c>
      <c r="HC858" s="1853" t="str">
        <f t="shared" si="189"/>
        <v/>
      </c>
      <c r="HD858" s="1853" t="str">
        <f t="shared" si="190"/>
        <v/>
      </c>
      <c r="HE858" s="1853" t="str">
        <f t="shared" si="191"/>
        <v/>
      </c>
      <c r="HF858" s="1853" t="str">
        <f t="shared" si="192"/>
        <v/>
      </c>
      <c r="HG858" s="1853" t="str">
        <f t="shared" si="193"/>
        <v/>
      </c>
      <c r="HH858" s="1853" t="str">
        <f t="shared" si="194"/>
        <v/>
      </c>
      <c r="HI858" s="1853" t="str">
        <f t="shared" si="195"/>
        <v/>
      </c>
      <c r="HJ858" s="1853" t="str">
        <f t="shared" si="196"/>
        <v/>
      </c>
      <c r="HK858" s="1853" t="str">
        <f t="shared" si="197"/>
        <v/>
      </c>
      <c r="HL858" s="1853" t="str">
        <f t="shared" si="198"/>
        <v/>
      </c>
      <c r="HM858" s="1853" t="str">
        <f t="shared" si="199"/>
        <v/>
      </c>
      <c r="HN858" s="1853" t="str">
        <f t="shared" si="200"/>
        <v/>
      </c>
      <c r="HO858" s="1853" t="str">
        <f t="shared" si="201"/>
        <v/>
      </c>
      <c r="HP858" s="1853" t="str">
        <f t="shared" si="202"/>
        <v/>
      </c>
      <c r="HQ858" s="1853" t="str">
        <f t="shared" si="203"/>
        <v/>
      </c>
      <c r="HR858" s="1853" t="str">
        <f t="shared" si="204"/>
        <v/>
      </c>
      <c r="HS858" s="1853" t="str">
        <f t="shared" si="205"/>
        <v/>
      </c>
      <c r="HT858" s="1853" t="str">
        <f t="shared" si="206"/>
        <v/>
      </c>
      <c r="HU858" s="1853" t="str">
        <f t="shared" si="207"/>
        <v/>
      </c>
      <c r="HV858" s="1853" t="str">
        <f t="shared" si="208"/>
        <v/>
      </c>
      <c r="HW858" s="1853" t="str">
        <f t="shared" si="209"/>
        <v/>
      </c>
      <c r="HX858" s="1853" t="str">
        <f t="shared" si="210"/>
        <v/>
      </c>
      <c r="HY858" s="1853" t="str">
        <f t="shared" si="211"/>
        <v/>
      </c>
      <c r="HZ858" s="2141" t="str">
        <f t="shared" si="212"/>
        <v/>
      </c>
      <c r="IA858" s="2141" t="str">
        <f t="shared" si="213"/>
        <v/>
      </c>
      <c r="IB858" s="2141" t="str">
        <f t="shared" si="214"/>
        <v/>
      </c>
      <c r="IC858" s="2141" t="str">
        <f t="shared" si="215"/>
        <v/>
      </c>
      <c r="ID858" s="2141" t="str">
        <f t="shared" si="216"/>
        <v/>
      </c>
      <c r="IE858" s="2141" t="str">
        <f t="shared" si="217"/>
        <v/>
      </c>
      <c r="IF858" s="2141" t="str">
        <f t="shared" si="218"/>
        <v/>
      </c>
      <c r="IG858" s="2141" t="str">
        <f t="shared" si="219"/>
        <v/>
      </c>
      <c r="IH858" s="2141" t="str">
        <f t="shared" si="220"/>
        <v/>
      </c>
      <c r="II858" s="2141" t="str">
        <f t="shared" si="221"/>
        <v/>
      </c>
      <c r="IJ858" s="2141" t="str">
        <f t="shared" si="222"/>
        <v/>
      </c>
      <c r="IK858" s="2141" t="str">
        <f t="shared" si="223"/>
        <v/>
      </c>
      <c r="IL858" s="2141" t="str">
        <f t="shared" si="224"/>
        <v/>
      </c>
      <c r="IM858" s="2141" t="str">
        <f t="shared" si="225"/>
        <v/>
      </c>
      <c r="IN858" s="2141" t="str">
        <f t="shared" si="226"/>
        <v/>
      </c>
      <c r="IO858" s="2141" t="str">
        <f t="shared" si="227"/>
        <v/>
      </c>
      <c r="IP858" s="2141" t="str">
        <f t="shared" si="228"/>
        <v/>
      </c>
      <c r="IQ858" s="2141" t="str">
        <f t="shared" si="229"/>
        <v/>
      </c>
      <c r="IR858" s="2141" t="str">
        <f t="shared" si="230"/>
        <v/>
      </c>
      <c r="IS858" s="2141" t="str">
        <f t="shared" si="231"/>
        <v/>
      </c>
      <c r="IT858" s="2141" t="str">
        <f t="shared" si="232"/>
        <v/>
      </c>
      <c r="IU858" s="2141" t="str">
        <f t="shared" si="233"/>
        <v/>
      </c>
      <c r="IV858" s="2141" t="str">
        <f t="shared" si="234"/>
        <v/>
      </c>
      <c r="IW858" s="2141" t="str">
        <f t="shared" si="235"/>
        <v/>
      </c>
      <c r="IX858" s="2141" t="str">
        <f t="shared" si="236"/>
        <v/>
      </c>
      <c r="IY858" s="2141" t="str">
        <f t="shared" si="237"/>
        <v/>
      </c>
      <c r="IZ858" s="2141" t="str">
        <f t="shared" si="238"/>
        <v/>
      </c>
      <c r="JA858" s="2141" t="str">
        <f t="shared" si="239"/>
        <v/>
      </c>
      <c r="JB858" s="2141" t="str">
        <f t="shared" si="240"/>
        <v/>
      </c>
      <c r="JC858" s="2141" t="str">
        <f t="shared" si="241"/>
        <v/>
      </c>
      <c r="JD858" s="2141" t="str">
        <f t="shared" si="242"/>
        <v/>
      </c>
      <c r="JE858" s="2141" t="str">
        <f t="shared" si="243"/>
        <v/>
      </c>
      <c r="JF858" s="2141" t="str">
        <f t="shared" si="244"/>
        <v/>
      </c>
      <c r="JG858" s="2141" t="str">
        <f t="shared" si="245"/>
        <v/>
      </c>
      <c r="JH858" s="2141" t="str">
        <f t="shared" si="246"/>
        <v/>
      </c>
      <c r="JI858" s="2141" t="str">
        <f t="shared" si="247"/>
        <v/>
      </c>
      <c r="JJ858" s="2141" t="str">
        <f t="shared" si="248"/>
        <v/>
      </c>
      <c r="JK858" s="2141" t="str">
        <f t="shared" si="249"/>
        <v/>
      </c>
      <c r="JL858" s="2141" t="str">
        <f t="shared" si="250"/>
        <v/>
      </c>
      <c r="JM858" s="2141" t="str">
        <f t="shared" si="251"/>
        <v/>
      </c>
      <c r="JN858" s="2141" t="str">
        <f t="shared" si="252"/>
        <v/>
      </c>
      <c r="JO858" s="2141" t="str">
        <f t="shared" si="253"/>
        <v/>
      </c>
      <c r="JP858" s="2141" t="str">
        <f t="shared" si="254"/>
        <v/>
      </c>
      <c r="JQ858" s="2141" t="str">
        <f t="shared" si="255"/>
        <v/>
      </c>
      <c r="JR858" s="2141" t="str">
        <f t="shared" si="256"/>
        <v/>
      </c>
      <c r="JS858" s="2141" t="str">
        <f t="shared" si="257"/>
        <v/>
      </c>
      <c r="JT858" s="2141" t="str">
        <f t="shared" si="258"/>
        <v/>
      </c>
      <c r="JU858" s="2141" t="str">
        <f t="shared" si="259"/>
        <v/>
      </c>
      <c r="JV858" s="2141" t="str">
        <f t="shared" si="260"/>
        <v/>
      </c>
      <c r="JW858" s="2141" t="str">
        <f t="shared" si="261"/>
        <v/>
      </c>
      <c r="JX858" s="2141" t="str">
        <f t="shared" si="262"/>
        <v/>
      </c>
      <c r="JY858" s="2141" t="str">
        <f t="shared" si="263"/>
        <v/>
      </c>
      <c r="JZ858" s="2141" t="str">
        <f t="shared" si="264"/>
        <v/>
      </c>
      <c r="KA858" s="2141" t="str">
        <f t="shared" si="265"/>
        <v/>
      </c>
      <c r="KB858" s="2141" t="str">
        <f t="shared" si="266"/>
        <v/>
      </c>
      <c r="KC858" s="2141" t="str">
        <f t="shared" si="267"/>
        <v/>
      </c>
      <c r="KD858" s="2141" t="str">
        <f t="shared" si="268"/>
        <v/>
      </c>
      <c r="KE858" s="2141" t="str">
        <f t="shared" si="269"/>
        <v/>
      </c>
      <c r="KF858" s="2141" t="str">
        <f t="shared" si="270"/>
        <v/>
      </c>
      <c r="KG858" s="2141" t="str">
        <f t="shared" si="271"/>
        <v/>
      </c>
      <c r="KH858" s="2141" t="str">
        <f t="shared" si="272"/>
        <v/>
      </c>
      <c r="KI858" s="2141" t="str">
        <f t="shared" si="273"/>
        <v/>
      </c>
      <c r="KJ858" s="2141" t="str">
        <f t="shared" si="274"/>
        <v/>
      </c>
      <c r="KK858" s="2141" t="str">
        <f t="shared" si="275"/>
        <v/>
      </c>
      <c r="KL858" s="2141" t="str">
        <f t="shared" si="276"/>
        <v/>
      </c>
      <c r="KM858" s="2141" t="str">
        <f t="shared" si="277"/>
        <v/>
      </c>
      <c r="KN858" s="2141" t="str">
        <f t="shared" si="278"/>
        <v/>
      </c>
      <c r="KO858" s="2141" t="str">
        <f t="shared" si="279"/>
        <v/>
      </c>
      <c r="KP858" s="2141" t="str">
        <f t="shared" si="280"/>
        <v/>
      </c>
      <c r="KQ858" s="2141" t="str">
        <f t="shared" si="281"/>
        <v/>
      </c>
      <c r="KR858" s="2141" t="str">
        <f t="shared" si="282"/>
        <v/>
      </c>
      <c r="KS858" s="2141" t="str">
        <f t="shared" si="283"/>
        <v/>
      </c>
      <c r="KT858" s="2141" t="str">
        <f t="shared" si="284"/>
        <v/>
      </c>
      <c r="KU858" s="2141" t="str">
        <f t="shared" si="285"/>
        <v/>
      </c>
      <c r="KV858" s="2141" t="str">
        <f t="shared" si="286"/>
        <v/>
      </c>
      <c r="KW858" s="2141" t="str">
        <f t="shared" si="287"/>
        <v/>
      </c>
      <c r="KX858" s="2141" t="str">
        <f t="shared" si="288"/>
        <v/>
      </c>
      <c r="KY858" s="2141" t="str">
        <f t="shared" si="289"/>
        <v/>
      </c>
      <c r="KZ858" s="2141" t="str">
        <f t="shared" si="290"/>
        <v/>
      </c>
      <c r="LA858" s="2141" t="str">
        <f t="shared" si="291"/>
        <v/>
      </c>
      <c r="LB858" s="2141" t="str">
        <f t="shared" si="292"/>
        <v/>
      </c>
      <c r="LC858" s="2141" t="str">
        <f t="shared" si="293"/>
        <v/>
      </c>
      <c r="LD858" s="2141" t="str">
        <f t="shared" si="294"/>
        <v/>
      </c>
      <c r="LE858" s="2141" t="str">
        <f t="shared" si="295"/>
        <v/>
      </c>
      <c r="LF858" s="2141" t="str">
        <f t="shared" si="296"/>
        <v/>
      </c>
      <c r="LG858" s="2052" t="str">
        <f t="shared" si="297"/>
        <v/>
      </c>
      <c r="LH858" s="2052" t="str">
        <f t="shared" si="298"/>
        <v/>
      </c>
      <c r="LI858" s="2052" t="str">
        <f t="shared" si="299"/>
        <v/>
      </c>
      <c r="LJ858" s="2052" t="str">
        <f t="shared" si="300"/>
        <v/>
      </c>
      <c r="LK858" s="2052" t="str">
        <f t="shared" si="301"/>
        <v/>
      </c>
      <c r="LL858" s="1853" t="str">
        <f t="shared" si="302"/>
        <v/>
      </c>
      <c r="LM858" s="1853" t="str">
        <f t="shared" si="303"/>
        <v/>
      </c>
      <c r="LN858" s="1853" t="str">
        <f t="shared" si="304"/>
        <v/>
      </c>
      <c r="LO858" s="1853" t="str">
        <f t="shared" si="305"/>
        <v/>
      </c>
      <c r="LP858" s="1853" t="str">
        <f t="shared" si="306"/>
        <v/>
      </c>
      <c r="LQ858" s="1853" t="str">
        <f t="shared" si="307"/>
        <v/>
      </c>
      <c r="LR858" s="1853" t="str">
        <f t="shared" si="308"/>
        <v/>
      </c>
      <c r="LS858" s="1853" t="str">
        <f t="shared" si="309"/>
        <v/>
      </c>
      <c r="LT858" s="1853" t="str">
        <f t="shared" si="310"/>
        <v/>
      </c>
      <c r="LU858" s="1853" t="str">
        <f t="shared" si="311"/>
        <v/>
      </c>
      <c r="LV858" s="1853" t="str">
        <f t="shared" si="312"/>
        <v/>
      </c>
      <c r="LW858" s="1853" t="str">
        <f t="shared" si="313"/>
        <v/>
      </c>
      <c r="LX858" s="1853" t="str">
        <f t="shared" si="314"/>
        <v/>
      </c>
      <c r="LY858" s="1853" t="str">
        <f t="shared" si="315"/>
        <v/>
      </c>
      <c r="LZ858" s="1853" t="str">
        <f t="shared" si="316"/>
        <v/>
      </c>
      <c r="MA858" s="1853" t="str">
        <f t="shared" si="317"/>
        <v/>
      </c>
      <c r="MB858" s="1853" t="str">
        <f t="shared" si="318"/>
        <v/>
      </c>
      <c r="MC858" s="1853" t="str">
        <f t="shared" si="319"/>
        <v/>
      </c>
      <c r="MD858" s="1853" t="str">
        <f t="shared" si="320"/>
        <v/>
      </c>
      <c r="ME858" s="1853" t="str">
        <f t="shared" si="321"/>
        <v/>
      </c>
      <c r="MF858" s="2052">
        <f t="shared" si="328"/>
        <v>0</v>
      </c>
      <c r="MG858" s="2052">
        <f t="shared" si="329"/>
        <v>0</v>
      </c>
      <c r="MH858" s="2052">
        <f t="shared" si="330"/>
        <v>0</v>
      </c>
      <c r="MI858" s="2052">
        <f t="shared" si="331"/>
        <v>0</v>
      </c>
      <c r="MJ858" s="2052">
        <f t="shared" si="332"/>
        <v>0</v>
      </c>
      <c r="MK858" s="2052">
        <f t="shared" si="333"/>
        <v>0</v>
      </c>
      <c r="ML858" s="2052">
        <f t="shared" si="334"/>
        <v>0</v>
      </c>
      <c r="MM858" s="2052">
        <f t="shared" si="335"/>
        <v>0</v>
      </c>
      <c r="MN858" s="2052">
        <f t="shared" si="336"/>
        <v>0</v>
      </c>
      <c r="MO858" s="2052">
        <f t="shared" si="337"/>
        <v>0</v>
      </c>
      <c r="MP858" s="2052">
        <f t="shared" si="322"/>
        <v>0</v>
      </c>
      <c r="MQ858" s="2052">
        <f t="shared" si="323"/>
        <v>0</v>
      </c>
      <c r="MR858" s="2052">
        <f t="shared" si="324"/>
        <v>0</v>
      </c>
      <c r="MS858" s="2052">
        <f t="shared" si="325"/>
        <v>0</v>
      </c>
      <c r="MT858" s="2052">
        <f t="shared" si="326"/>
        <v>0</v>
      </c>
      <c r="NP858" s="1925" t="s">
        <v>6724</v>
      </c>
    </row>
    <row r="859" spans="1:380" s="1853" customFormat="1" ht="13.9" customHeight="1">
      <c r="A859" s="2109" t="str">
        <f t="shared" si="327"/>
        <v/>
      </c>
      <c r="B859" s="2131">
        <f>'Part VI-Revenues &amp; Expenses'!B19</f>
        <v>60</v>
      </c>
      <c r="C859" s="2132">
        <f>'Part VI-Revenues &amp; Expenses'!C19</f>
        <v>2</v>
      </c>
      <c r="D859" s="2133">
        <f>'Part VI-Revenues &amp; Expenses'!D19</f>
        <v>1</v>
      </c>
      <c r="E859" s="2134">
        <f>'Part VI-Revenues &amp; Expenses'!E19</f>
        <v>25</v>
      </c>
      <c r="F859" s="2134">
        <f>'Part VI-Revenues &amp; Expenses'!F19</f>
        <v>880</v>
      </c>
      <c r="G859" s="2134">
        <f>'Part VI-Revenues &amp; Expenses'!G19</f>
        <v>856</v>
      </c>
      <c r="H859" s="2134">
        <f>'Part VI-Revenues &amp; Expenses'!H19</f>
        <v>933</v>
      </c>
      <c r="I859" s="2134">
        <f>'Part VI-Revenues &amp; Expenses'!I19</f>
        <v>0</v>
      </c>
      <c r="J859" s="2134">
        <f>'Part VI-Revenues &amp; Expenses'!J19</f>
        <v>121</v>
      </c>
      <c r="K859" s="2135" t="str">
        <f>'Part VI-Revenues &amp; Expenses'!K19</f>
        <v>RAD</v>
      </c>
      <c r="L859" s="2136">
        <f t="shared" si="0"/>
        <v>812</v>
      </c>
      <c r="M859" s="2136">
        <f t="shared" si="1"/>
        <v>20300</v>
      </c>
      <c r="N859" s="1917" t="str">
        <f>'Part VI-Revenues &amp; Expenses'!N19</f>
        <v>No</v>
      </c>
      <c r="O859" s="2137" t="str">
        <f>'Part VI-Revenues &amp; Expenses'!O19</f>
        <v>Low-Rise Apt</v>
      </c>
      <c r="P859" s="1917" t="str">
        <f>'Part VI-Revenues &amp; Expenses'!P19</f>
        <v>New Construction</v>
      </c>
      <c r="Q859" s="2138" t="str">
        <f>'Part VI-Revenues &amp; Expenses'!Q19</f>
        <v>No</v>
      </c>
      <c r="R859" s="2139"/>
      <c r="S859" s="2140"/>
      <c r="T859" s="2044"/>
      <c r="U859" s="2044"/>
      <c r="V859" s="2044"/>
      <c r="W859" s="2044"/>
      <c r="X859" s="1853" t="str">
        <f t="shared" si="2"/>
        <v/>
      </c>
      <c r="Y859" s="1853" t="str">
        <f t="shared" si="3"/>
        <v/>
      </c>
      <c r="Z859" s="1853" t="str">
        <f t="shared" si="4"/>
        <v/>
      </c>
      <c r="AA859" s="1853" t="str">
        <f t="shared" si="5"/>
        <v/>
      </c>
      <c r="AB859" s="1853" t="str">
        <f t="shared" si="6"/>
        <v/>
      </c>
      <c r="AC859" s="1853" t="str">
        <f t="shared" si="7"/>
        <v/>
      </c>
      <c r="AD859" s="1853" t="str">
        <f t="shared" si="8"/>
        <v/>
      </c>
      <c r="AE859" s="1853" t="str">
        <f t="shared" si="9"/>
        <v/>
      </c>
      <c r="AF859" s="1853" t="str">
        <f t="shared" si="10"/>
        <v/>
      </c>
      <c r="AG859" s="1853" t="str">
        <f t="shared" si="11"/>
        <v/>
      </c>
      <c r="AH859" s="1853" t="str">
        <f t="shared" si="12"/>
        <v/>
      </c>
      <c r="AI859" s="1853" t="str">
        <f t="shared" si="13"/>
        <v/>
      </c>
      <c r="AJ859" s="1853">
        <f t="shared" si="14"/>
        <v>25</v>
      </c>
      <c r="AK859" s="1853" t="str">
        <f t="shared" si="15"/>
        <v/>
      </c>
      <c r="AL859" s="1853" t="str">
        <f t="shared" si="16"/>
        <v/>
      </c>
      <c r="AM859" s="1853" t="str">
        <f t="shared" si="17"/>
        <v/>
      </c>
      <c r="AN859" s="1853" t="str">
        <f t="shared" si="18"/>
        <v/>
      </c>
      <c r="AO859" s="1853" t="str">
        <f t="shared" si="19"/>
        <v/>
      </c>
      <c r="AP859" s="1853" t="str">
        <f t="shared" si="20"/>
        <v/>
      </c>
      <c r="AQ859" s="1853" t="str">
        <f t="shared" si="21"/>
        <v/>
      </c>
      <c r="AR859" s="1853" t="str">
        <f t="shared" si="22"/>
        <v/>
      </c>
      <c r="AS859" s="1853" t="str">
        <f t="shared" si="23"/>
        <v/>
      </c>
      <c r="AT859" s="1853" t="str">
        <f t="shared" si="24"/>
        <v/>
      </c>
      <c r="AU859" s="1853" t="str">
        <f t="shared" si="25"/>
        <v/>
      </c>
      <c r="AV859" s="1853" t="str">
        <f t="shared" si="26"/>
        <v/>
      </c>
      <c r="AW859" s="1853" t="str">
        <f t="shared" si="27"/>
        <v/>
      </c>
      <c r="AX859" s="1853" t="str">
        <f t="shared" si="28"/>
        <v/>
      </c>
      <c r="AY859" s="1853" t="str">
        <f t="shared" si="29"/>
        <v/>
      </c>
      <c r="AZ859" s="1853" t="str">
        <f t="shared" si="30"/>
        <v/>
      </c>
      <c r="BA859" s="1853" t="str">
        <f t="shared" si="31"/>
        <v/>
      </c>
      <c r="BB859" s="1853" t="str">
        <f t="shared" si="32"/>
        <v/>
      </c>
      <c r="BC859" s="1853" t="str">
        <f t="shared" si="33"/>
        <v/>
      </c>
      <c r="BD859" s="1853" t="str">
        <f t="shared" si="34"/>
        <v/>
      </c>
      <c r="BE859" s="1853" t="str">
        <f t="shared" si="35"/>
        <v/>
      </c>
      <c r="BF859" s="1853" t="str">
        <f t="shared" si="36"/>
        <v/>
      </c>
      <c r="BG859" s="1853" t="str">
        <f t="shared" si="37"/>
        <v/>
      </c>
      <c r="BH859" s="1853" t="str">
        <f t="shared" si="38"/>
        <v/>
      </c>
      <c r="BI859" s="1853" t="str">
        <f t="shared" si="39"/>
        <v/>
      </c>
      <c r="BJ859" s="1853" t="str">
        <f t="shared" si="40"/>
        <v/>
      </c>
      <c r="BK859" s="1853" t="str">
        <f t="shared" si="41"/>
        <v/>
      </c>
      <c r="BL859" s="1853" t="str">
        <f t="shared" si="42"/>
        <v/>
      </c>
      <c r="BM859" s="1853" t="str">
        <f t="shared" si="43"/>
        <v/>
      </c>
      <c r="BN859" s="1853" t="str">
        <f t="shared" si="44"/>
        <v/>
      </c>
      <c r="BO859" s="1853" t="str">
        <f t="shared" si="45"/>
        <v/>
      </c>
      <c r="BP859" s="1853" t="str">
        <f t="shared" si="46"/>
        <v/>
      </c>
      <c r="BQ859" s="1853" t="str">
        <f t="shared" si="47"/>
        <v/>
      </c>
      <c r="BR859" s="1853" t="str">
        <f t="shared" si="48"/>
        <v/>
      </c>
      <c r="BS859" s="1853" t="str">
        <f t="shared" si="49"/>
        <v/>
      </c>
      <c r="BT859" s="1853" t="str">
        <f t="shared" si="50"/>
        <v/>
      </c>
      <c r="BU859" s="1853" t="str">
        <f t="shared" si="51"/>
        <v/>
      </c>
      <c r="BV859" s="1853" t="str">
        <f t="shared" si="52"/>
        <v/>
      </c>
      <c r="BW859" s="1853" t="str">
        <f t="shared" si="53"/>
        <v/>
      </c>
      <c r="BX859" s="1853" t="str">
        <f t="shared" si="54"/>
        <v/>
      </c>
      <c r="BY859" s="1853" t="str">
        <f t="shared" si="55"/>
        <v/>
      </c>
      <c r="BZ859" s="1853" t="str">
        <f t="shared" si="56"/>
        <v/>
      </c>
      <c r="CA859" s="1853" t="str">
        <f t="shared" si="57"/>
        <v/>
      </c>
      <c r="CB859" s="1853" t="str">
        <f t="shared" si="58"/>
        <v/>
      </c>
      <c r="CC859" s="1853" t="str">
        <f t="shared" si="59"/>
        <v/>
      </c>
      <c r="CD859" s="1853" t="str">
        <f t="shared" si="60"/>
        <v/>
      </c>
      <c r="CE859" s="1853" t="str">
        <f t="shared" si="61"/>
        <v/>
      </c>
      <c r="CF859" s="1853" t="str">
        <f t="shared" si="62"/>
        <v/>
      </c>
      <c r="CG859" s="1853" t="str">
        <f t="shared" si="63"/>
        <v/>
      </c>
      <c r="CH859" s="1853">
        <f t="shared" si="64"/>
        <v>25</v>
      </c>
      <c r="CI859" s="1853" t="str">
        <f t="shared" si="65"/>
        <v/>
      </c>
      <c r="CJ859" s="1853" t="str">
        <f t="shared" si="66"/>
        <v/>
      </c>
      <c r="CK859" s="1853" t="str">
        <f t="shared" si="67"/>
        <v/>
      </c>
      <c r="CL859" s="1853" t="str">
        <f t="shared" si="68"/>
        <v/>
      </c>
      <c r="CM859" s="1853" t="str">
        <f t="shared" si="69"/>
        <v/>
      </c>
      <c r="CN859" s="1853" t="str">
        <f t="shared" si="70"/>
        <v/>
      </c>
      <c r="CO859" s="1853" t="str">
        <f t="shared" si="71"/>
        <v/>
      </c>
      <c r="CP859" s="1853" t="str">
        <f t="shared" si="72"/>
        <v/>
      </c>
      <c r="CQ859" s="1853" t="str">
        <f t="shared" si="73"/>
        <v/>
      </c>
      <c r="CR859" s="1853" t="str">
        <f t="shared" si="74"/>
        <v/>
      </c>
      <c r="CS859" s="1853" t="str">
        <f t="shared" si="75"/>
        <v/>
      </c>
      <c r="CT859" s="1853" t="str">
        <f t="shared" si="76"/>
        <v/>
      </c>
      <c r="CU859" s="1853" t="str">
        <f t="shared" si="77"/>
        <v/>
      </c>
      <c r="CV859" s="1853" t="str">
        <f t="shared" si="78"/>
        <v/>
      </c>
      <c r="CW859" s="1853" t="str">
        <f t="shared" si="79"/>
        <v/>
      </c>
      <c r="CX859" s="1853" t="str">
        <f t="shared" si="80"/>
        <v/>
      </c>
      <c r="CY859" s="1853" t="str">
        <f t="shared" si="81"/>
        <v/>
      </c>
      <c r="CZ859" s="1853" t="str">
        <f t="shared" si="82"/>
        <v/>
      </c>
      <c r="DA859" s="1853" t="str">
        <f t="shared" si="83"/>
        <v/>
      </c>
      <c r="DB859" s="1853" t="str">
        <f t="shared" si="84"/>
        <v/>
      </c>
      <c r="DC859" s="1853" t="str">
        <f t="shared" si="85"/>
        <v/>
      </c>
      <c r="DD859" s="1853" t="str">
        <f t="shared" si="86"/>
        <v/>
      </c>
      <c r="DE859" s="1853" t="str">
        <f t="shared" si="87"/>
        <v/>
      </c>
      <c r="DF859" s="1853" t="str">
        <f t="shared" si="88"/>
        <v/>
      </c>
      <c r="DG859" s="1853" t="str">
        <f t="shared" si="89"/>
        <v/>
      </c>
      <c r="DH859" s="1853" t="str">
        <f t="shared" si="90"/>
        <v/>
      </c>
      <c r="DI859" s="1853" t="str">
        <f t="shared" si="91"/>
        <v/>
      </c>
      <c r="DJ859" s="1853" t="str">
        <f t="shared" si="92"/>
        <v/>
      </c>
      <c r="DK859" s="1853" t="str">
        <f t="shared" si="93"/>
        <v/>
      </c>
      <c r="DL859" s="1853" t="str">
        <f t="shared" si="94"/>
        <v/>
      </c>
      <c r="DM859" s="1853" t="str">
        <f t="shared" si="95"/>
        <v/>
      </c>
      <c r="DN859" s="1853" t="str">
        <f t="shared" si="96"/>
        <v/>
      </c>
      <c r="DO859" s="1853" t="str">
        <f t="shared" si="97"/>
        <v/>
      </c>
      <c r="DP859" s="1853" t="str">
        <f t="shared" si="98"/>
        <v/>
      </c>
      <c r="DQ859" s="1853" t="str">
        <f t="shared" si="99"/>
        <v/>
      </c>
      <c r="DR859" s="1853" t="str">
        <f t="shared" si="100"/>
        <v/>
      </c>
      <c r="DS859" s="1853" t="str">
        <f t="shared" si="101"/>
        <v/>
      </c>
      <c r="DT859" s="1853" t="str">
        <f t="shared" si="102"/>
        <v/>
      </c>
      <c r="DU859" s="1853" t="str">
        <f t="shared" si="103"/>
        <v/>
      </c>
      <c r="DV859" s="1853" t="str">
        <f t="shared" si="104"/>
        <v/>
      </c>
      <c r="DW859" s="1853" t="str">
        <f t="shared" si="105"/>
        <v/>
      </c>
      <c r="DX859" s="1853" t="str">
        <f t="shared" si="106"/>
        <v/>
      </c>
      <c r="DY859" s="1853" t="str">
        <f t="shared" si="107"/>
        <v/>
      </c>
      <c r="DZ859" s="1853" t="str">
        <f t="shared" si="108"/>
        <v/>
      </c>
      <c r="EA859" s="1853" t="str">
        <f t="shared" si="109"/>
        <v/>
      </c>
      <c r="EB859" s="1853" t="str">
        <f t="shared" si="110"/>
        <v/>
      </c>
      <c r="EC859" s="1853" t="str">
        <f t="shared" si="111"/>
        <v/>
      </c>
      <c r="ED859" s="1853" t="str">
        <f t="shared" si="112"/>
        <v/>
      </c>
      <c r="EE859" s="1853" t="str">
        <f t="shared" si="113"/>
        <v/>
      </c>
      <c r="EF859" s="1853" t="str">
        <f t="shared" si="114"/>
        <v/>
      </c>
      <c r="EG859" s="1853" t="str">
        <f t="shared" si="115"/>
        <v/>
      </c>
      <c r="EH859" s="1853" t="str">
        <f t="shared" si="116"/>
        <v/>
      </c>
      <c r="EI859" s="1853" t="str">
        <f t="shared" si="117"/>
        <v/>
      </c>
      <c r="EJ859" s="1853" t="str">
        <f t="shared" si="118"/>
        <v/>
      </c>
      <c r="EK859" s="1853" t="str">
        <f t="shared" si="119"/>
        <v/>
      </c>
      <c r="EL859" s="1853" t="str">
        <f t="shared" si="120"/>
        <v/>
      </c>
      <c r="EM859" s="1853" t="str">
        <f t="shared" si="121"/>
        <v/>
      </c>
      <c r="EN859" s="1853" t="str">
        <f t="shared" si="122"/>
        <v/>
      </c>
      <c r="EO859" s="1853" t="str">
        <f t="shared" si="123"/>
        <v/>
      </c>
      <c r="EP859" s="1853" t="str">
        <f t="shared" si="124"/>
        <v/>
      </c>
      <c r="EQ859" s="1853" t="str">
        <f t="shared" si="125"/>
        <v/>
      </c>
      <c r="ER859" s="1853" t="str">
        <f t="shared" si="126"/>
        <v/>
      </c>
      <c r="ES859" s="1853" t="str">
        <f t="shared" si="127"/>
        <v/>
      </c>
      <c r="ET859" s="1853" t="str">
        <f t="shared" si="128"/>
        <v/>
      </c>
      <c r="EU859" s="1853">
        <f t="shared" si="129"/>
        <v>22000</v>
      </c>
      <c r="EV859" s="1853" t="str">
        <f t="shared" si="130"/>
        <v/>
      </c>
      <c r="EW859" s="1853" t="str">
        <f t="shared" si="131"/>
        <v/>
      </c>
      <c r="EX859" s="1853" t="str">
        <f t="shared" si="132"/>
        <v/>
      </c>
      <c r="EY859" s="1853" t="str">
        <f t="shared" si="133"/>
        <v/>
      </c>
      <c r="EZ859" s="1853" t="str">
        <f t="shared" si="134"/>
        <v/>
      </c>
      <c r="FA859" s="1853" t="str">
        <f t="shared" si="135"/>
        <v/>
      </c>
      <c r="FB859" s="1853" t="str">
        <f t="shared" si="136"/>
        <v/>
      </c>
      <c r="FC859" s="1853" t="str">
        <f t="shared" si="137"/>
        <v/>
      </c>
      <c r="FD859" s="1853" t="str">
        <f t="shared" si="138"/>
        <v/>
      </c>
      <c r="FE859" s="1853" t="str">
        <f t="shared" si="139"/>
        <v/>
      </c>
      <c r="FF859" s="1853" t="str">
        <f t="shared" si="140"/>
        <v/>
      </c>
      <c r="FG859" s="1853" t="str">
        <f t="shared" si="141"/>
        <v/>
      </c>
      <c r="FH859" s="1853" t="str">
        <f t="shared" si="142"/>
        <v/>
      </c>
      <c r="FI859" s="1853" t="str">
        <f t="shared" si="143"/>
        <v/>
      </c>
      <c r="FJ859" s="1853" t="str">
        <f t="shared" si="144"/>
        <v/>
      </c>
      <c r="FK859" s="1853" t="str">
        <f t="shared" si="145"/>
        <v/>
      </c>
      <c r="FL859" s="1853" t="str">
        <f t="shared" si="146"/>
        <v/>
      </c>
      <c r="FM859" s="1853" t="str">
        <f t="shared" si="147"/>
        <v/>
      </c>
      <c r="FN859" s="1853" t="str">
        <f t="shared" si="148"/>
        <v/>
      </c>
      <c r="FO859" s="1853" t="str">
        <f t="shared" si="149"/>
        <v/>
      </c>
      <c r="FP859" s="1853" t="str">
        <f t="shared" si="150"/>
        <v/>
      </c>
      <c r="FQ859" s="1853" t="str">
        <f t="shared" si="151"/>
        <v/>
      </c>
      <c r="FR859" s="1853" t="str">
        <f t="shared" si="152"/>
        <v/>
      </c>
      <c r="FS859" s="1853" t="str">
        <f t="shared" si="153"/>
        <v/>
      </c>
      <c r="FT859" s="1853" t="str">
        <f t="shared" si="154"/>
        <v/>
      </c>
      <c r="FU859" s="1853" t="str">
        <f t="shared" si="155"/>
        <v/>
      </c>
      <c r="FV859" s="1853" t="str">
        <f t="shared" si="156"/>
        <v/>
      </c>
      <c r="FW859" s="1853" t="str">
        <f t="shared" si="157"/>
        <v/>
      </c>
      <c r="FX859" s="1853" t="str">
        <f t="shared" si="158"/>
        <v/>
      </c>
      <c r="FY859" s="1853">
        <f t="shared" si="159"/>
        <v>22000</v>
      </c>
      <c r="FZ859" s="1853" t="str">
        <f t="shared" si="160"/>
        <v/>
      </c>
      <c r="GA859" s="1853" t="str">
        <f t="shared" si="161"/>
        <v/>
      </c>
      <c r="GB859" s="1853" t="str">
        <f t="shared" si="162"/>
        <v/>
      </c>
      <c r="GC859" s="1853" t="str">
        <f t="shared" si="163"/>
        <v/>
      </c>
      <c r="GD859" s="1853" t="str">
        <f t="shared" si="164"/>
        <v/>
      </c>
      <c r="GE859" s="1853" t="str">
        <f t="shared" si="165"/>
        <v/>
      </c>
      <c r="GF859" s="1853" t="str">
        <f t="shared" si="166"/>
        <v/>
      </c>
      <c r="GG859" s="1853" t="str">
        <f t="shared" si="167"/>
        <v/>
      </c>
      <c r="GH859" s="1853" t="str">
        <f t="shared" si="168"/>
        <v/>
      </c>
      <c r="GI859" s="1853">
        <f t="shared" si="169"/>
        <v>25</v>
      </c>
      <c r="GJ859" s="1853" t="str">
        <f t="shared" si="170"/>
        <v/>
      </c>
      <c r="GK859" s="1853" t="str">
        <f t="shared" si="171"/>
        <v/>
      </c>
      <c r="GL859" s="1853" t="str">
        <f t="shared" si="172"/>
        <v/>
      </c>
      <c r="GM859" s="1853" t="str">
        <f t="shared" si="173"/>
        <v/>
      </c>
      <c r="GN859" s="1853" t="str">
        <f t="shared" si="174"/>
        <v/>
      </c>
      <c r="GO859" s="1853" t="str">
        <f t="shared" si="175"/>
        <v/>
      </c>
      <c r="GP859" s="1853" t="str">
        <f t="shared" si="176"/>
        <v/>
      </c>
      <c r="GQ859" s="1853" t="str">
        <f t="shared" si="177"/>
        <v/>
      </c>
      <c r="GR859" s="1853" t="str">
        <f t="shared" si="178"/>
        <v/>
      </c>
      <c r="GS859" s="1853" t="str">
        <f t="shared" si="179"/>
        <v/>
      </c>
      <c r="GT859" s="1853" t="str">
        <f t="shared" si="180"/>
        <v/>
      </c>
      <c r="GU859" s="1853" t="str">
        <f t="shared" si="181"/>
        <v/>
      </c>
      <c r="GV859" s="1853" t="str">
        <f t="shared" si="182"/>
        <v/>
      </c>
      <c r="GW859" s="1853" t="str">
        <f t="shared" si="183"/>
        <v/>
      </c>
      <c r="GX859" s="1853" t="str">
        <f t="shared" si="184"/>
        <v/>
      </c>
      <c r="GY859" s="1853" t="str">
        <f t="shared" si="185"/>
        <v/>
      </c>
      <c r="GZ859" s="1853" t="str">
        <f t="shared" si="186"/>
        <v/>
      </c>
      <c r="HA859" s="1853" t="str">
        <f t="shared" si="187"/>
        <v/>
      </c>
      <c r="HB859" s="1853" t="str">
        <f t="shared" si="188"/>
        <v/>
      </c>
      <c r="HC859" s="1853" t="str">
        <f t="shared" si="189"/>
        <v/>
      </c>
      <c r="HD859" s="1853" t="str">
        <f t="shared" si="190"/>
        <v/>
      </c>
      <c r="HE859" s="1853" t="str">
        <f t="shared" si="191"/>
        <v/>
      </c>
      <c r="HF859" s="1853" t="str">
        <f t="shared" si="192"/>
        <v/>
      </c>
      <c r="HG859" s="1853" t="str">
        <f t="shared" si="193"/>
        <v/>
      </c>
      <c r="HH859" s="1853" t="str">
        <f t="shared" si="194"/>
        <v/>
      </c>
      <c r="HI859" s="1853" t="str">
        <f t="shared" si="195"/>
        <v/>
      </c>
      <c r="HJ859" s="1853" t="str">
        <f t="shared" si="196"/>
        <v/>
      </c>
      <c r="HK859" s="1853" t="str">
        <f t="shared" si="197"/>
        <v/>
      </c>
      <c r="HL859" s="1853" t="str">
        <f t="shared" si="198"/>
        <v/>
      </c>
      <c r="HM859" s="1853" t="str">
        <f t="shared" si="199"/>
        <v/>
      </c>
      <c r="HN859" s="1853" t="str">
        <f t="shared" si="200"/>
        <v/>
      </c>
      <c r="HO859" s="1853" t="str">
        <f t="shared" si="201"/>
        <v/>
      </c>
      <c r="HP859" s="1853" t="str">
        <f t="shared" si="202"/>
        <v/>
      </c>
      <c r="HQ859" s="1853" t="str">
        <f t="shared" si="203"/>
        <v/>
      </c>
      <c r="HR859" s="1853" t="str">
        <f t="shared" si="204"/>
        <v/>
      </c>
      <c r="HS859" s="1853" t="str">
        <f t="shared" si="205"/>
        <v/>
      </c>
      <c r="HT859" s="1853" t="str">
        <f t="shared" si="206"/>
        <v/>
      </c>
      <c r="HU859" s="1853" t="str">
        <f t="shared" si="207"/>
        <v/>
      </c>
      <c r="HV859" s="1853" t="str">
        <f t="shared" si="208"/>
        <v/>
      </c>
      <c r="HW859" s="1853" t="str">
        <f t="shared" si="209"/>
        <v/>
      </c>
      <c r="HX859" s="1853" t="str">
        <f t="shared" si="210"/>
        <v/>
      </c>
      <c r="HY859" s="1853" t="str">
        <f t="shared" si="211"/>
        <v/>
      </c>
      <c r="HZ859" s="2141" t="str">
        <f t="shared" si="212"/>
        <v/>
      </c>
      <c r="IA859" s="2141" t="str">
        <f t="shared" si="213"/>
        <v/>
      </c>
      <c r="IB859" s="2141">
        <f t="shared" si="214"/>
        <v>25</v>
      </c>
      <c r="IC859" s="2141" t="str">
        <f t="shared" si="215"/>
        <v/>
      </c>
      <c r="ID859" s="2141" t="str">
        <f t="shared" si="216"/>
        <v/>
      </c>
      <c r="IE859" s="2141" t="str">
        <f t="shared" si="217"/>
        <v/>
      </c>
      <c r="IF859" s="2141" t="str">
        <f t="shared" si="218"/>
        <v/>
      </c>
      <c r="IG859" s="2141" t="str">
        <f t="shared" si="219"/>
        <v/>
      </c>
      <c r="IH859" s="2141" t="str">
        <f t="shared" si="220"/>
        <v/>
      </c>
      <c r="II859" s="2141" t="str">
        <f t="shared" si="221"/>
        <v/>
      </c>
      <c r="IJ859" s="2141" t="str">
        <f t="shared" si="222"/>
        <v/>
      </c>
      <c r="IK859" s="2141" t="str">
        <f t="shared" si="223"/>
        <v/>
      </c>
      <c r="IL859" s="2141" t="str">
        <f t="shared" si="224"/>
        <v/>
      </c>
      <c r="IM859" s="2141" t="str">
        <f t="shared" si="225"/>
        <v/>
      </c>
      <c r="IN859" s="2141" t="str">
        <f t="shared" si="226"/>
        <v/>
      </c>
      <c r="IO859" s="2141" t="str">
        <f t="shared" si="227"/>
        <v/>
      </c>
      <c r="IP859" s="2141" t="str">
        <f t="shared" si="228"/>
        <v/>
      </c>
      <c r="IQ859" s="2141" t="str">
        <f t="shared" si="229"/>
        <v/>
      </c>
      <c r="IR859" s="2141" t="str">
        <f t="shared" si="230"/>
        <v/>
      </c>
      <c r="IS859" s="2141" t="str">
        <f t="shared" si="231"/>
        <v/>
      </c>
      <c r="IT859" s="2141" t="str">
        <f t="shared" si="232"/>
        <v/>
      </c>
      <c r="IU859" s="2141" t="str">
        <f t="shared" si="233"/>
        <v/>
      </c>
      <c r="IV859" s="2141" t="str">
        <f t="shared" si="234"/>
        <v/>
      </c>
      <c r="IW859" s="2141" t="str">
        <f t="shared" si="235"/>
        <v/>
      </c>
      <c r="IX859" s="2141" t="str">
        <f t="shared" si="236"/>
        <v/>
      </c>
      <c r="IY859" s="2141" t="str">
        <f t="shared" si="237"/>
        <v/>
      </c>
      <c r="IZ859" s="2141" t="str">
        <f t="shared" si="238"/>
        <v/>
      </c>
      <c r="JA859" s="2141" t="str">
        <f t="shared" si="239"/>
        <v/>
      </c>
      <c r="JB859" s="2141" t="str">
        <f t="shared" si="240"/>
        <v/>
      </c>
      <c r="JC859" s="2141" t="str">
        <f t="shared" si="241"/>
        <v/>
      </c>
      <c r="JD859" s="2141" t="str">
        <f t="shared" si="242"/>
        <v/>
      </c>
      <c r="JE859" s="2141" t="str">
        <f t="shared" si="243"/>
        <v/>
      </c>
      <c r="JF859" s="2141" t="str">
        <f t="shared" si="244"/>
        <v/>
      </c>
      <c r="JG859" s="2141" t="str">
        <f t="shared" si="245"/>
        <v/>
      </c>
      <c r="JH859" s="2141" t="str">
        <f t="shared" si="246"/>
        <v/>
      </c>
      <c r="JI859" s="2141" t="str">
        <f t="shared" si="247"/>
        <v/>
      </c>
      <c r="JJ859" s="2141" t="str">
        <f t="shared" si="248"/>
        <v/>
      </c>
      <c r="JK859" s="2141" t="str">
        <f t="shared" si="249"/>
        <v/>
      </c>
      <c r="JL859" s="2141" t="str">
        <f t="shared" si="250"/>
        <v/>
      </c>
      <c r="JM859" s="2141" t="str">
        <f t="shared" si="251"/>
        <v/>
      </c>
      <c r="JN859" s="2141" t="str">
        <f t="shared" si="252"/>
        <v/>
      </c>
      <c r="JO859" s="2141" t="str">
        <f t="shared" si="253"/>
        <v/>
      </c>
      <c r="JP859" s="2141" t="str">
        <f t="shared" si="254"/>
        <v/>
      </c>
      <c r="JQ859" s="2141" t="str">
        <f t="shared" si="255"/>
        <v/>
      </c>
      <c r="JR859" s="2141" t="str">
        <f t="shared" si="256"/>
        <v/>
      </c>
      <c r="JS859" s="2141" t="str">
        <f t="shared" si="257"/>
        <v/>
      </c>
      <c r="JT859" s="2141" t="str">
        <f t="shared" si="258"/>
        <v/>
      </c>
      <c r="JU859" s="2141">
        <f t="shared" si="259"/>
        <v>25</v>
      </c>
      <c r="JV859" s="2141" t="str">
        <f t="shared" si="260"/>
        <v/>
      </c>
      <c r="JW859" s="2141" t="str">
        <f t="shared" si="261"/>
        <v/>
      </c>
      <c r="JX859" s="2141" t="str">
        <f t="shared" si="262"/>
        <v/>
      </c>
      <c r="JY859" s="2141" t="str">
        <f t="shared" si="263"/>
        <v/>
      </c>
      <c r="JZ859" s="2141" t="str">
        <f t="shared" si="264"/>
        <v/>
      </c>
      <c r="KA859" s="2141" t="str">
        <f t="shared" si="265"/>
        <v/>
      </c>
      <c r="KB859" s="2141" t="str">
        <f t="shared" si="266"/>
        <v/>
      </c>
      <c r="KC859" s="2141" t="str">
        <f t="shared" si="267"/>
        <v/>
      </c>
      <c r="KD859" s="2141" t="str">
        <f t="shared" si="268"/>
        <v/>
      </c>
      <c r="KE859" s="2141" t="str">
        <f t="shared" si="269"/>
        <v/>
      </c>
      <c r="KF859" s="2141" t="str">
        <f t="shared" si="270"/>
        <v/>
      </c>
      <c r="KG859" s="2141" t="str">
        <f t="shared" si="271"/>
        <v/>
      </c>
      <c r="KH859" s="2141" t="str">
        <f t="shared" si="272"/>
        <v/>
      </c>
      <c r="KI859" s="2141" t="str">
        <f t="shared" si="273"/>
        <v/>
      </c>
      <c r="KJ859" s="2141" t="str">
        <f t="shared" si="274"/>
        <v/>
      </c>
      <c r="KK859" s="2141" t="str">
        <f t="shared" si="275"/>
        <v/>
      </c>
      <c r="KL859" s="2141" t="str">
        <f t="shared" si="276"/>
        <v/>
      </c>
      <c r="KM859" s="2141" t="str">
        <f t="shared" si="277"/>
        <v/>
      </c>
      <c r="KN859" s="2141" t="str">
        <f t="shared" si="278"/>
        <v/>
      </c>
      <c r="KO859" s="2141" t="str">
        <f t="shared" si="279"/>
        <v/>
      </c>
      <c r="KP859" s="2141" t="str">
        <f t="shared" si="280"/>
        <v/>
      </c>
      <c r="KQ859" s="2141" t="str">
        <f t="shared" si="281"/>
        <v/>
      </c>
      <c r="KR859" s="2141" t="str">
        <f t="shared" si="282"/>
        <v/>
      </c>
      <c r="KS859" s="2141" t="str">
        <f t="shared" si="283"/>
        <v/>
      </c>
      <c r="KT859" s="2141" t="str">
        <f t="shared" si="284"/>
        <v/>
      </c>
      <c r="KU859" s="2141" t="str">
        <f t="shared" si="285"/>
        <v/>
      </c>
      <c r="KV859" s="2141" t="str">
        <f t="shared" si="286"/>
        <v/>
      </c>
      <c r="KW859" s="2141" t="str">
        <f t="shared" si="287"/>
        <v/>
      </c>
      <c r="KX859" s="2141" t="str">
        <f t="shared" si="288"/>
        <v/>
      </c>
      <c r="KY859" s="2141" t="str">
        <f t="shared" si="289"/>
        <v/>
      </c>
      <c r="KZ859" s="2141" t="str">
        <f t="shared" si="290"/>
        <v/>
      </c>
      <c r="LA859" s="2141" t="str">
        <f t="shared" si="291"/>
        <v/>
      </c>
      <c r="LB859" s="2141" t="str">
        <f t="shared" si="292"/>
        <v/>
      </c>
      <c r="LC859" s="2141" t="str">
        <f t="shared" si="293"/>
        <v/>
      </c>
      <c r="LD859" s="2141" t="str">
        <f t="shared" si="294"/>
        <v/>
      </c>
      <c r="LE859" s="2141" t="str">
        <f t="shared" si="295"/>
        <v/>
      </c>
      <c r="LF859" s="2141" t="str">
        <f t="shared" si="296"/>
        <v/>
      </c>
      <c r="LG859" s="2052" t="str">
        <f t="shared" si="297"/>
        <v/>
      </c>
      <c r="LH859" s="2052" t="str">
        <f t="shared" si="298"/>
        <v/>
      </c>
      <c r="LI859" s="2052" t="str">
        <f t="shared" si="299"/>
        <v/>
      </c>
      <c r="LJ859" s="2052" t="str">
        <f t="shared" si="300"/>
        <v/>
      </c>
      <c r="LK859" s="2052" t="str">
        <f t="shared" si="301"/>
        <v/>
      </c>
      <c r="LL859" s="1853" t="str">
        <f t="shared" si="302"/>
        <v/>
      </c>
      <c r="LM859" s="1853" t="str">
        <f t="shared" si="303"/>
        <v/>
      </c>
      <c r="LN859" s="1853" t="str">
        <f t="shared" si="304"/>
        <v/>
      </c>
      <c r="LO859" s="1853" t="str">
        <f t="shared" si="305"/>
        <v/>
      </c>
      <c r="LP859" s="1853" t="str">
        <f t="shared" si="306"/>
        <v/>
      </c>
      <c r="LQ859" s="1853" t="str">
        <f t="shared" si="307"/>
        <v/>
      </c>
      <c r="LR859" s="1853" t="str">
        <f t="shared" si="308"/>
        <v/>
      </c>
      <c r="LS859" s="1853" t="str">
        <f t="shared" si="309"/>
        <v/>
      </c>
      <c r="LT859" s="1853" t="str">
        <f t="shared" si="310"/>
        <v/>
      </c>
      <c r="LU859" s="1853" t="str">
        <f t="shared" si="311"/>
        <v/>
      </c>
      <c r="LV859" s="1853" t="str">
        <f t="shared" si="312"/>
        <v/>
      </c>
      <c r="LW859" s="1853" t="str">
        <f t="shared" si="313"/>
        <v/>
      </c>
      <c r="LX859" s="1853" t="str">
        <f t="shared" si="314"/>
        <v/>
      </c>
      <c r="LY859" s="1853" t="str">
        <f t="shared" si="315"/>
        <v/>
      </c>
      <c r="LZ859" s="1853" t="str">
        <f t="shared" si="316"/>
        <v/>
      </c>
      <c r="MA859" s="1853" t="str">
        <f t="shared" si="317"/>
        <v/>
      </c>
      <c r="MB859" s="1853" t="str">
        <f t="shared" si="318"/>
        <v/>
      </c>
      <c r="MC859" s="1853" t="str">
        <f t="shared" si="319"/>
        <v/>
      </c>
      <c r="MD859" s="1853" t="str">
        <f t="shared" si="320"/>
        <v/>
      </c>
      <c r="ME859" s="1853" t="str">
        <f t="shared" si="321"/>
        <v/>
      </c>
      <c r="MF859" s="2052">
        <f t="shared" si="328"/>
        <v>0</v>
      </c>
      <c r="MG859" s="2052">
        <f t="shared" si="329"/>
        <v>0</v>
      </c>
      <c r="MH859" s="2052">
        <f t="shared" si="330"/>
        <v>0</v>
      </c>
      <c r="MI859" s="2052">
        <f t="shared" si="331"/>
        <v>0</v>
      </c>
      <c r="MJ859" s="2052">
        <f t="shared" si="332"/>
        <v>0</v>
      </c>
      <c r="MK859" s="2052">
        <f t="shared" si="333"/>
        <v>0</v>
      </c>
      <c r="ML859" s="2052">
        <f t="shared" si="334"/>
        <v>0</v>
      </c>
      <c r="MM859" s="2052">
        <f t="shared" si="335"/>
        <v>25</v>
      </c>
      <c r="MN859" s="2052">
        <f t="shared" si="336"/>
        <v>0</v>
      </c>
      <c r="MO859" s="2052">
        <f t="shared" si="337"/>
        <v>0</v>
      </c>
      <c r="MP859" s="2052">
        <f t="shared" si="322"/>
        <v>0</v>
      </c>
      <c r="MQ859" s="2052">
        <f t="shared" si="323"/>
        <v>0</v>
      </c>
      <c r="MR859" s="2052">
        <f t="shared" si="324"/>
        <v>0</v>
      </c>
      <c r="MS859" s="2052">
        <f t="shared" si="325"/>
        <v>0</v>
      </c>
      <c r="MT859" s="2052">
        <f t="shared" si="326"/>
        <v>0</v>
      </c>
      <c r="NP859" s="1925" t="s">
        <v>6725</v>
      </c>
    </row>
    <row r="860" spans="1:380" s="1853" customFormat="1" ht="13.9" customHeight="1">
      <c r="A860" s="2109" t="str">
        <f t="shared" si="327"/>
        <v/>
      </c>
      <c r="B860" s="2131">
        <f>'Part VI-Revenues &amp; Expenses'!B20</f>
        <v>60</v>
      </c>
      <c r="C860" s="2132">
        <f>'Part VI-Revenues &amp; Expenses'!C20</f>
        <v>3</v>
      </c>
      <c r="D860" s="2133">
        <f>'Part VI-Revenues &amp; Expenses'!D20</f>
        <v>2</v>
      </c>
      <c r="E860" s="2134">
        <f>'Part VI-Revenues &amp; Expenses'!E20</f>
        <v>7</v>
      </c>
      <c r="F860" s="2134">
        <f>'Part VI-Revenues &amp; Expenses'!F20</f>
        <v>1180</v>
      </c>
      <c r="G860" s="2134">
        <f>'Part VI-Revenues &amp; Expenses'!G20</f>
        <v>989</v>
      </c>
      <c r="H860" s="2134">
        <f>'Part VI-Revenues &amp; Expenses'!H20</f>
        <v>1244</v>
      </c>
      <c r="I860" s="2134">
        <f>'Part VI-Revenues &amp; Expenses'!I20</f>
        <v>0</v>
      </c>
      <c r="J860" s="2134">
        <f>'Part VI-Revenues &amp; Expenses'!J20</f>
        <v>149</v>
      </c>
      <c r="K860" s="2135" t="str">
        <f>'Part VI-Revenues &amp; Expenses'!K20</f>
        <v>RAD</v>
      </c>
      <c r="L860" s="2136">
        <f t="shared" si="0"/>
        <v>1095</v>
      </c>
      <c r="M860" s="2136">
        <f t="shared" si="1"/>
        <v>7665</v>
      </c>
      <c r="N860" s="1917" t="str">
        <f>'Part VI-Revenues &amp; Expenses'!N20</f>
        <v>No</v>
      </c>
      <c r="O860" s="2137" t="str">
        <f>'Part VI-Revenues &amp; Expenses'!O20</f>
        <v>Low-Rise Apt</v>
      </c>
      <c r="P860" s="1917" t="str">
        <f>'Part VI-Revenues &amp; Expenses'!P20</f>
        <v>New Construction</v>
      </c>
      <c r="Q860" s="2138" t="str">
        <f>'Part VI-Revenues &amp; Expenses'!Q20</f>
        <v>No</v>
      </c>
      <c r="R860" s="2139"/>
      <c r="S860" s="2140"/>
      <c r="T860" s="2044"/>
      <c r="U860" s="2044"/>
      <c r="V860" s="2044"/>
      <c r="W860" s="2044"/>
      <c r="X860" s="1853" t="str">
        <f t="shared" si="2"/>
        <v/>
      </c>
      <c r="Y860" s="1853" t="str">
        <f t="shared" si="3"/>
        <v/>
      </c>
      <c r="Z860" s="1853" t="str">
        <f t="shared" si="4"/>
        <v/>
      </c>
      <c r="AA860" s="1853" t="str">
        <f t="shared" si="5"/>
        <v/>
      </c>
      <c r="AB860" s="1853" t="str">
        <f t="shared" si="6"/>
        <v/>
      </c>
      <c r="AC860" s="1853" t="str">
        <f t="shared" si="7"/>
        <v/>
      </c>
      <c r="AD860" s="1853" t="str">
        <f t="shared" si="8"/>
        <v/>
      </c>
      <c r="AE860" s="1853" t="str">
        <f t="shared" si="9"/>
        <v/>
      </c>
      <c r="AF860" s="1853" t="str">
        <f t="shared" si="10"/>
        <v/>
      </c>
      <c r="AG860" s="1853" t="str">
        <f t="shared" si="11"/>
        <v/>
      </c>
      <c r="AH860" s="1853" t="str">
        <f t="shared" si="12"/>
        <v/>
      </c>
      <c r="AI860" s="1853" t="str">
        <f t="shared" si="13"/>
        <v/>
      </c>
      <c r="AJ860" s="1853" t="str">
        <f t="shared" si="14"/>
        <v/>
      </c>
      <c r="AK860" s="1853">
        <f t="shared" si="15"/>
        <v>7</v>
      </c>
      <c r="AL860" s="1853" t="str">
        <f t="shared" si="16"/>
        <v/>
      </c>
      <c r="AM860" s="1853" t="str">
        <f t="shared" si="17"/>
        <v/>
      </c>
      <c r="AN860" s="1853" t="str">
        <f t="shared" si="18"/>
        <v/>
      </c>
      <c r="AO860" s="1853" t="str">
        <f t="shared" si="19"/>
        <v/>
      </c>
      <c r="AP860" s="1853" t="str">
        <f t="shared" si="20"/>
        <v/>
      </c>
      <c r="AQ860" s="1853" t="str">
        <f t="shared" si="21"/>
        <v/>
      </c>
      <c r="AR860" s="1853" t="str">
        <f t="shared" si="22"/>
        <v/>
      </c>
      <c r="AS860" s="1853" t="str">
        <f t="shared" si="23"/>
        <v/>
      </c>
      <c r="AT860" s="1853" t="str">
        <f t="shared" si="24"/>
        <v/>
      </c>
      <c r="AU860" s="1853" t="str">
        <f t="shared" si="25"/>
        <v/>
      </c>
      <c r="AV860" s="1853" t="str">
        <f t="shared" si="26"/>
        <v/>
      </c>
      <c r="AW860" s="1853" t="str">
        <f t="shared" si="27"/>
        <v/>
      </c>
      <c r="AX860" s="1853" t="str">
        <f t="shared" si="28"/>
        <v/>
      </c>
      <c r="AY860" s="1853" t="str">
        <f t="shared" si="29"/>
        <v/>
      </c>
      <c r="AZ860" s="1853" t="str">
        <f t="shared" si="30"/>
        <v/>
      </c>
      <c r="BA860" s="1853" t="str">
        <f t="shared" si="31"/>
        <v/>
      </c>
      <c r="BB860" s="1853" t="str">
        <f t="shared" si="32"/>
        <v/>
      </c>
      <c r="BC860" s="1853" t="str">
        <f t="shared" si="33"/>
        <v/>
      </c>
      <c r="BD860" s="1853" t="str">
        <f t="shared" si="34"/>
        <v/>
      </c>
      <c r="BE860" s="1853" t="str">
        <f t="shared" si="35"/>
        <v/>
      </c>
      <c r="BF860" s="1853" t="str">
        <f t="shared" si="36"/>
        <v/>
      </c>
      <c r="BG860" s="1853" t="str">
        <f t="shared" si="37"/>
        <v/>
      </c>
      <c r="BH860" s="1853" t="str">
        <f t="shared" si="38"/>
        <v/>
      </c>
      <c r="BI860" s="1853" t="str">
        <f t="shared" si="39"/>
        <v/>
      </c>
      <c r="BJ860" s="1853" t="str">
        <f t="shared" si="40"/>
        <v/>
      </c>
      <c r="BK860" s="1853" t="str">
        <f t="shared" si="41"/>
        <v/>
      </c>
      <c r="BL860" s="1853" t="str">
        <f t="shared" si="42"/>
        <v/>
      </c>
      <c r="BM860" s="1853" t="str">
        <f t="shared" si="43"/>
        <v/>
      </c>
      <c r="BN860" s="1853" t="str">
        <f t="shared" si="44"/>
        <v/>
      </c>
      <c r="BO860" s="1853" t="str">
        <f t="shared" si="45"/>
        <v/>
      </c>
      <c r="BP860" s="1853" t="str">
        <f t="shared" si="46"/>
        <v/>
      </c>
      <c r="BQ860" s="1853" t="str">
        <f t="shared" si="47"/>
        <v/>
      </c>
      <c r="BR860" s="1853" t="str">
        <f t="shared" si="48"/>
        <v/>
      </c>
      <c r="BS860" s="1853" t="str">
        <f t="shared" si="49"/>
        <v/>
      </c>
      <c r="BT860" s="1853" t="str">
        <f t="shared" si="50"/>
        <v/>
      </c>
      <c r="BU860" s="1853" t="str">
        <f t="shared" si="51"/>
        <v/>
      </c>
      <c r="BV860" s="1853" t="str">
        <f t="shared" si="52"/>
        <v/>
      </c>
      <c r="BW860" s="1853" t="str">
        <f t="shared" si="53"/>
        <v/>
      </c>
      <c r="BX860" s="1853" t="str">
        <f t="shared" si="54"/>
        <v/>
      </c>
      <c r="BY860" s="1853" t="str">
        <f t="shared" si="55"/>
        <v/>
      </c>
      <c r="BZ860" s="1853" t="str">
        <f t="shared" si="56"/>
        <v/>
      </c>
      <c r="CA860" s="1853" t="str">
        <f t="shared" si="57"/>
        <v/>
      </c>
      <c r="CB860" s="1853" t="str">
        <f t="shared" si="58"/>
        <v/>
      </c>
      <c r="CC860" s="1853" t="str">
        <f t="shared" si="59"/>
        <v/>
      </c>
      <c r="CD860" s="1853" t="str">
        <f t="shared" si="60"/>
        <v/>
      </c>
      <c r="CE860" s="1853" t="str">
        <f t="shared" si="61"/>
        <v/>
      </c>
      <c r="CF860" s="1853" t="str">
        <f t="shared" si="62"/>
        <v/>
      </c>
      <c r="CG860" s="1853" t="str">
        <f t="shared" si="63"/>
        <v/>
      </c>
      <c r="CH860" s="1853" t="str">
        <f t="shared" si="64"/>
        <v/>
      </c>
      <c r="CI860" s="1853">
        <f t="shared" si="65"/>
        <v>7</v>
      </c>
      <c r="CJ860" s="1853" t="str">
        <f t="shared" si="66"/>
        <v/>
      </c>
      <c r="CK860" s="1853" t="str">
        <f t="shared" si="67"/>
        <v/>
      </c>
      <c r="CL860" s="1853" t="str">
        <f t="shared" si="68"/>
        <v/>
      </c>
      <c r="CM860" s="1853" t="str">
        <f t="shared" si="69"/>
        <v/>
      </c>
      <c r="CN860" s="1853" t="str">
        <f t="shared" si="70"/>
        <v/>
      </c>
      <c r="CO860" s="1853" t="str">
        <f t="shared" si="71"/>
        <v/>
      </c>
      <c r="CP860" s="1853" t="str">
        <f t="shared" si="72"/>
        <v/>
      </c>
      <c r="CQ860" s="1853" t="str">
        <f t="shared" si="73"/>
        <v/>
      </c>
      <c r="CR860" s="1853" t="str">
        <f t="shared" si="74"/>
        <v/>
      </c>
      <c r="CS860" s="1853" t="str">
        <f t="shared" si="75"/>
        <v/>
      </c>
      <c r="CT860" s="1853" t="str">
        <f t="shared" si="76"/>
        <v/>
      </c>
      <c r="CU860" s="1853" t="str">
        <f t="shared" si="77"/>
        <v/>
      </c>
      <c r="CV860" s="1853" t="str">
        <f t="shared" si="78"/>
        <v/>
      </c>
      <c r="CW860" s="1853" t="str">
        <f t="shared" si="79"/>
        <v/>
      </c>
      <c r="CX860" s="1853" t="str">
        <f t="shared" si="80"/>
        <v/>
      </c>
      <c r="CY860" s="1853" t="str">
        <f t="shared" si="81"/>
        <v/>
      </c>
      <c r="CZ860" s="1853" t="str">
        <f t="shared" si="82"/>
        <v/>
      </c>
      <c r="DA860" s="1853" t="str">
        <f t="shared" si="83"/>
        <v/>
      </c>
      <c r="DB860" s="1853" t="str">
        <f t="shared" si="84"/>
        <v/>
      </c>
      <c r="DC860" s="1853" t="str">
        <f t="shared" si="85"/>
        <v/>
      </c>
      <c r="DD860" s="1853" t="str">
        <f t="shared" si="86"/>
        <v/>
      </c>
      <c r="DE860" s="1853" t="str">
        <f t="shared" si="87"/>
        <v/>
      </c>
      <c r="DF860" s="1853" t="str">
        <f t="shared" si="88"/>
        <v/>
      </c>
      <c r="DG860" s="1853" t="str">
        <f t="shared" si="89"/>
        <v/>
      </c>
      <c r="DH860" s="1853" t="str">
        <f t="shared" si="90"/>
        <v/>
      </c>
      <c r="DI860" s="1853" t="str">
        <f t="shared" si="91"/>
        <v/>
      </c>
      <c r="DJ860" s="1853" t="str">
        <f t="shared" si="92"/>
        <v/>
      </c>
      <c r="DK860" s="1853" t="str">
        <f t="shared" si="93"/>
        <v/>
      </c>
      <c r="DL860" s="1853" t="str">
        <f t="shared" si="94"/>
        <v/>
      </c>
      <c r="DM860" s="1853" t="str">
        <f t="shared" si="95"/>
        <v/>
      </c>
      <c r="DN860" s="1853" t="str">
        <f t="shared" si="96"/>
        <v/>
      </c>
      <c r="DO860" s="1853" t="str">
        <f t="shared" si="97"/>
        <v/>
      </c>
      <c r="DP860" s="1853" t="str">
        <f t="shared" si="98"/>
        <v/>
      </c>
      <c r="DQ860" s="1853" t="str">
        <f t="shared" si="99"/>
        <v/>
      </c>
      <c r="DR860" s="1853" t="str">
        <f t="shared" si="100"/>
        <v/>
      </c>
      <c r="DS860" s="1853" t="str">
        <f t="shared" si="101"/>
        <v/>
      </c>
      <c r="DT860" s="1853" t="str">
        <f t="shared" si="102"/>
        <v/>
      </c>
      <c r="DU860" s="1853" t="str">
        <f t="shared" si="103"/>
        <v/>
      </c>
      <c r="DV860" s="1853" t="str">
        <f t="shared" si="104"/>
        <v/>
      </c>
      <c r="DW860" s="1853" t="str">
        <f t="shared" si="105"/>
        <v/>
      </c>
      <c r="DX860" s="1853" t="str">
        <f t="shared" si="106"/>
        <v/>
      </c>
      <c r="DY860" s="1853" t="str">
        <f t="shared" si="107"/>
        <v/>
      </c>
      <c r="DZ860" s="1853" t="str">
        <f t="shared" si="108"/>
        <v/>
      </c>
      <c r="EA860" s="1853" t="str">
        <f t="shared" si="109"/>
        <v/>
      </c>
      <c r="EB860" s="1853" t="str">
        <f t="shared" si="110"/>
        <v/>
      </c>
      <c r="EC860" s="1853" t="str">
        <f t="shared" si="111"/>
        <v/>
      </c>
      <c r="ED860" s="1853" t="str">
        <f t="shared" si="112"/>
        <v/>
      </c>
      <c r="EE860" s="1853" t="str">
        <f t="shared" si="113"/>
        <v/>
      </c>
      <c r="EF860" s="1853" t="str">
        <f t="shared" si="114"/>
        <v/>
      </c>
      <c r="EG860" s="1853" t="str">
        <f t="shared" si="115"/>
        <v/>
      </c>
      <c r="EH860" s="1853" t="str">
        <f t="shared" si="116"/>
        <v/>
      </c>
      <c r="EI860" s="1853" t="str">
        <f t="shared" si="117"/>
        <v/>
      </c>
      <c r="EJ860" s="1853" t="str">
        <f t="shared" si="118"/>
        <v/>
      </c>
      <c r="EK860" s="1853" t="str">
        <f t="shared" si="119"/>
        <v/>
      </c>
      <c r="EL860" s="1853" t="str">
        <f t="shared" si="120"/>
        <v/>
      </c>
      <c r="EM860" s="1853" t="str">
        <f t="shared" si="121"/>
        <v/>
      </c>
      <c r="EN860" s="1853" t="str">
        <f t="shared" si="122"/>
        <v/>
      </c>
      <c r="EO860" s="1853" t="str">
        <f t="shared" si="123"/>
        <v/>
      </c>
      <c r="EP860" s="1853" t="str">
        <f t="shared" si="124"/>
        <v/>
      </c>
      <c r="EQ860" s="1853" t="str">
        <f t="shared" si="125"/>
        <v/>
      </c>
      <c r="ER860" s="1853" t="str">
        <f t="shared" si="126"/>
        <v/>
      </c>
      <c r="ES860" s="1853" t="str">
        <f t="shared" si="127"/>
        <v/>
      </c>
      <c r="ET860" s="1853" t="str">
        <f t="shared" si="128"/>
        <v/>
      </c>
      <c r="EU860" s="1853" t="str">
        <f t="shared" si="129"/>
        <v/>
      </c>
      <c r="EV860" s="1853">
        <f t="shared" si="130"/>
        <v>8260</v>
      </c>
      <c r="EW860" s="1853" t="str">
        <f t="shared" si="131"/>
        <v/>
      </c>
      <c r="EX860" s="1853" t="str">
        <f t="shared" si="132"/>
        <v/>
      </c>
      <c r="EY860" s="1853" t="str">
        <f t="shared" si="133"/>
        <v/>
      </c>
      <c r="EZ860" s="1853" t="str">
        <f t="shared" si="134"/>
        <v/>
      </c>
      <c r="FA860" s="1853" t="str">
        <f t="shared" si="135"/>
        <v/>
      </c>
      <c r="FB860" s="1853" t="str">
        <f t="shared" si="136"/>
        <v/>
      </c>
      <c r="FC860" s="1853" t="str">
        <f t="shared" si="137"/>
        <v/>
      </c>
      <c r="FD860" s="1853" t="str">
        <f t="shared" si="138"/>
        <v/>
      </c>
      <c r="FE860" s="1853" t="str">
        <f t="shared" si="139"/>
        <v/>
      </c>
      <c r="FF860" s="1853" t="str">
        <f t="shared" si="140"/>
        <v/>
      </c>
      <c r="FG860" s="1853" t="str">
        <f t="shared" si="141"/>
        <v/>
      </c>
      <c r="FH860" s="1853" t="str">
        <f t="shared" si="142"/>
        <v/>
      </c>
      <c r="FI860" s="1853" t="str">
        <f t="shared" si="143"/>
        <v/>
      </c>
      <c r="FJ860" s="1853" t="str">
        <f t="shared" si="144"/>
        <v/>
      </c>
      <c r="FK860" s="1853" t="str">
        <f t="shared" si="145"/>
        <v/>
      </c>
      <c r="FL860" s="1853" t="str">
        <f t="shared" si="146"/>
        <v/>
      </c>
      <c r="FM860" s="1853" t="str">
        <f t="shared" si="147"/>
        <v/>
      </c>
      <c r="FN860" s="1853" t="str">
        <f t="shared" si="148"/>
        <v/>
      </c>
      <c r="FO860" s="1853" t="str">
        <f t="shared" si="149"/>
        <v/>
      </c>
      <c r="FP860" s="1853" t="str">
        <f t="shared" si="150"/>
        <v/>
      </c>
      <c r="FQ860" s="1853" t="str">
        <f t="shared" si="151"/>
        <v/>
      </c>
      <c r="FR860" s="1853" t="str">
        <f t="shared" si="152"/>
        <v/>
      </c>
      <c r="FS860" s="1853" t="str">
        <f t="shared" si="153"/>
        <v/>
      </c>
      <c r="FT860" s="1853" t="str">
        <f t="shared" si="154"/>
        <v/>
      </c>
      <c r="FU860" s="1853" t="str">
        <f t="shared" si="155"/>
        <v/>
      </c>
      <c r="FV860" s="1853" t="str">
        <f t="shared" si="156"/>
        <v/>
      </c>
      <c r="FW860" s="1853" t="str">
        <f t="shared" si="157"/>
        <v/>
      </c>
      <c r="FX860" s="1853" t="str">
        <f t="shared" si="158"/>
        <v/>
      </c>
      <c r="FY860" s="1853" t="str">
        <f t="shared" si="159"/>
        <v/>
      </c>
      <c r="FZ860" s="1853">
        <f t="shared" si="160"/>
        <v>8260</v>
      </c>
      <c r="GA860" s="1853" t="str">
        <f t="shared" si="161"/>
        <v/>
      </c>
      <c r="GB860" s="1853" t="str">
        <f t="shared" si="162"/>
        <v/>
      </c>
      <c r="GC860" s="1853" t="str">
        <f t="shared" si="163"/>
        <v/>
      </c>
      <c r="GD860" s="1853" t="str">
        <f t="shared" si="164"/>
        <v/>
      </c>
      <c r="GE860" s="1853" t="str">
        <f t="shared" si="165"/>
        <v/>
      </c>
      <c r="GF860" s="1853" t="str">
        <f t="shared" si="166"/>
        <v/>
      </c>
      <c r="GG860" s="1853" t="str">
        <f t="shared" si="167"/>
        <v/>
      </c>
      <c r="GH860" s="1853" t="str">
        <f t="shared" si="168"/>
        <v/>
      </c>
      <c r="GI860" s="1853" t="str">
        <f t="shared" si="169"/>
        <v/>
      </c>
      <c r="GJ860" s="1853">
        <f t="shared" si="170"/>
        <v>7</v>
      </c>
      <c r="GK860" s="1853" t="str">
        <f t="shared" si="171"/>
        <v/>
      </c>
      <c r="GL860" s="1853" t="str">
        <f t="shared" si="172"/>
        <v/>
      </c>
      <c r="GM860" s="1853" t="str">
        <f t="shared" si="173"/>
        <v/>
      </c>
      <c r="GN860" s="1853" t="str">
        <f t="shared" si="174"/>
        <v/>
      </c>
      <c r="GO860" s="1853" t="str">
        <f t="shared" si="175"/>
        <v/>
      </c>
      <c r="GP860" s="1853" t="str">
        <f t="shared" si="176"/>
        <v/>
      </c>
      <c r="GQ860" s="1853" t="str">
        <f t="shared" si="177"/>
        <v/>
      </c>
      <c r="GR860" s="1853" t="str">
        <f t="shared" si="178"/>
        <v/>
      </c>
      <c r="GS860" s="1853" t="str">
        <f t="shared" si="179"/>
        <v/>
      </c>
      <c r="GT860" s="1853" t="str">
        <f t="shared" si="180"/>
        <v/>
      </c>
      <c r="GU860" s="1853" t="str">
        <f t="shared" si="181"/>
        <v/>
      </c>
      <c r="GV860" s="1853" t="str">
        <f t="shared" si="182"/>
        <v/>
      </c>
      <c r="GW860" s="1853" t="str">
        <f t="shared" si="183"/>
        <v/>
      </c>
      <c r="GX860" s="1853" t="str">
        <f t="shared" si="184"/>
        <v/>
      </c>
      <c r="GY860" s="1853" t="str">
        <f t="shared" si="185"/>
        <v/>
      </c>
      <c r="GZ860" s="1853" t="str">
        <f t="shared" si="186"/>
        <v/>
      </c>
      <c r="HA860" s="1853" t="str">
        <f t="shared" si="187"/>
        <v/>
      </c>
      <c r="HB860" s="1853" t="str">
        <f t="shared" si="188"/>
        <v/>
      </c>
      <c r="HC860" s="1853" t="str">
        <f t="shared" si="189"/>
        <v/>
      </c>
      <c r="HD860" s="1853" t="str">
        <f t="shared" si="190"/>
        <v/>
      </c>
      <c r="HE860" s="1853" t="str">
        <f t="shared" si="191"/>
        <v/>
      </c>
      <c r="HF860" s="1853" t="str">
        <f t="shared" si="192"/>
        <v/>
      </c>
      <c r="HG860" s="1853" t="str">
        <f t="shared" si="193"/>
        <v/>
      </c>
      <c r="HH860" s="1853" t="str">
        <f t="shared" si="194"/>
        <v/>
      </c>
      <c r="HI860" s="1853" t="str">
        <f t="shared" si="195"/>
        <v/>
      </c>
      <c r="HJ860" s="1853" t="str">
        <f t="shared" si="196"/>
        <v/>
      </c>
      <c r="HK860" s="1853" t="str">
        <f t="shared" si="197"/>
        <v/>
      </c>
      <c r="HL860" s="1853" t="str">
        <f t="shared" si="198"/>
        <v/>
      </c>
      <c r="HM860" s="1853" t="str">
        <f t="shared" si="199"/>
        <v/>
      </c>
      <c r="HN860" s="1853" t="str">
        <f t="shared" si="200"/>
        <v/>
      </c>
      <c r="HO860" s="1853" t="str">
        <f t="shared" si="201"/>
        <v/>
      </c>
      <c r="HP860" s="1853" t="str">
        <f t="shared" si="202"/>
        <v/>
      </c>
      <c r="HQ860" s="1853" t="str">
        <f t="shared" si="203"/>
        <v/>
      </c>
      <c r="HR860" s="1853" t="str">
        <f t="shared" si="204"/>
        <v/>
      </c>
      <c r="HS860" s="1853" t="str">
        <f t="shared" si="205"/>
        <v/>
      </c>
      <c r="HT860" s="1853" t="str">
        <f t="shared" si="206"/>
        <v/>
      </c>
      <c r="HU860" s="1853" t="str">
        <f t="shared" si="207"/>
        <v/>
      </c>
      <c r="HV860" s="1853" t="str">
        <f t="shared" si="208"/>
        <v/>
      </c>
      <c r="HW860" s="1853" t="str">
        <f t="shared" si="209"/>
        <v/>
      </c>
      <c r="HX860" s="1853" t="str">
        <f t="shared" si="210"/>
        <v/>
      </c>
      <c r="HY860" s="1853" t="str">
        <f t="shared" si="211"/>
        <v/>
      </c>
      <c r="HZ860" s="2141" t="str">
        <f t="shared" si="212"/>
        <v/>
      </c>
      <c r="IA860" s="2141" t="str">
        <f t="shared" si="213"/>
        <v/>
      </c>
      <c r="IB860" s="2141" t="str">
        <f t="shared" si="214"/>
        <v/>
      </c>
      <c r="IC860" s="2141">
        <f t="shared" si="215"/>
        <v>7</v>
      </c>
      <c r="ID860" s="2141" t="str">
        <f t="shared" si="216"/>
        <v/>
      </c>
      <c r="IE860" s="2141" t="str">
        <f t="shared" si="217"/>
        <v/>
      </c>
      <c r="IF860" s="2141" t="str">
        <f t="shared" si="218"/>
        <v/>
      </c>
      <c r="IG860" s="2141" t="str">
        <f t="shared" si="219"/>
        <v/>
      </c>
      <c r="IH860" s="2141" t="str">
        <f t="shared" si="220"/>
        <v/>
      </c>
      <c r="II860" s="2141" t="str">
        <f t="shared" si="221"/>
        <v/>
      </c>
      <c r="IJ860" s="2141" t="str">
        <f t="shared" si="222"/>
        <v/>
      </c>
      <c r="IK860" s="2141" t="str">
        <f t="shared" si="223"/>
        <v/>
      </c>
      <c r="IL860" s="2141" t="str">
        <f t="shared" si="224"/>
        <v/>
      </c>
      <c r="IM860" s="2141" t="str">
        <f t="shared" si="225"/>
        <v/>
      </c>
      <c r="IN860" s="2141" t="str">
        <f t="shared" si="226"/>
        <v/>
      </c>
      <c r="IO860" s="2141" t="str">
        <f t="shared" si="227"/>
        <v/>
      </c>
      <c r="IP860" s="2141" t="str">
        <f t="shared" si="228"/>
        <v/>
      </c>
      <c r="IQ860" s="2141" t="str">
        <f t="shared" si="229"/>
        <v/>
      </c>
      <c r="IR860" s="2141" t="str">
        <f t="shared" si="230"/>
        <v/>
      </c>
      <c r="IS860" s="2141" t="str">
        <f t="shared" si="231"/>
        <v/>
      </c>
      <c r="IT860" s="2141" t="str">
        <f t="shared" si="232"/>
        <v/>
      </c>
      <c r="IU860" s="2141" t="str">
        <f t="shared" si="233"/>
        <v/>
      </c>
      <c r="IV860" s="2141" t="str">
        <f t="shared" si="234"/>
        <v/>
      </c>
      <c r="IW860" s="2141" t="str">
        <f t="shared" si="235"/>
        <v/>
      </c>
      <c r="IX860" s="2141" t="str">
        <f t="shared" si="236"/>
        <v/>
      </c>
      <c r="IY860" s="2141" t="str">
        <f t="shared" si="237"/>
        <v/>
      </c>
      <c r="IZ860" s="2141" t="str">
        <f t="shared" si="238"/>
        <v/>
      </c>
      <c r="JA860" s="2141" t="str">
        <f t="shared" si="239"/>
        <v/>
      </c>
      <c r="JB860" s="2141" t="str">
        <f t="shared" si="240"/>
        <v/>
      </c>
      <c r="JC860" s="2141" t="str">
        <f t="shared" si="241"/>
        <v/>
      </c>
      <c r="JD860" s="2141" t="str">
        <f t="shared" si="242"/>
        <v/>
      </c>
      <c r="JE860" s="2141" t="str">
        <f t="shared" si="243"/>
        <v/>
      </c>
      <c r="JF860" s="2141" t="str">
        <f t="shared" si="244"/>
        <v/>
      </c>
      <c r="JG860" s="2141" t="str">
        <f t="shared" si="245"/>
        <v/>
      </c>
      <c r="JH860" s="2141" t="str">
        <f t="shared" si="246"/>
        <v/>
      </c>
      <c r="JI860" s="2141" t="str">
        <f t="shared" si="247"/>
        <v/>
      </c>
      <c r="JJ860" s="2141" t="str">
        <f t="shared" si="248"/>
        <v/>
      </c>
      <c r="JK860" s="2141" t="str">
        <f t="shared" si="249"/>
        <v/>
      </c>
      <c r="JL860" s="2141" t="str">
        <f t="shared" si="250"/>
        <v/>
      </c>
      <c r="JM860" s="2141" t="str">
        <f t="shared" si="251"/>
        <v/>
      </c>
      <c r="JN860" s="2141" t="str">
        <f t="shared" si="252"/>
        <v/>
      </c>
      <c r="JO860" s="2141" t="str">
        <f t="shared" si="253"/>
        <v/>
      </c>
      <c r="JP860" s="2141" t="str">
        <f t="shared" si="254"/>
        <v/>
      </c>
      <c r="JQ860" s="2141" t="str">
        <f t="shared" si="255"/>
        <v/>
      </c>
      <c r="JR860" s="2141" t="str">
        <f t="shared" si="256"/>
        <v/>
      </c>
      <c r="JS860" s="2141" t="str">
        <f t="shared" si="257"/>
        <v/>
      </c>
      <c r="JT860" s="2141" t="str">
        <f t="shared" si="258"/>
        <v/>
      </c>
      <c r="JU860" s="2141" t="str">
        <f t="shared" si="259"/>
        <v/>
      </c>
      <c r="JV860" s="2141">
        <f t="shared" si="260"/>
        <v>7</v>
      </c>
      <c r="JW860" s="2141" t="str">
        <f t="shared" si="261"/>
        <v/>
      </c>
      <c r="JX860" s="2141" t="str">
        <f t="shared" si="262"/>
        <v/>
      </c>
      <c r="JY860" s="2141" t="str">
        <f t="shared" si="263"/>
        <v/>
      </c>
      <c r="JZ860" s="2141" t="str">
        <f t="shared" si="264"/>
        <v/>
      </c>
      <c r="KA860" s="2141" t="str">
        <f t="shared" si="265"/>
        <v/>
      </c>
      <c r="KB860" s="2141" t="str">
        <f t="shared" si="266"/>
        <v/>
      </c>
      <c r="KC860" s="2141" t="str">
        <f t="shared" si="267"/>
        <v/>
      </c>
      <c r="KD860" s="2141" t="str">
        <f t="shared" si="268"/>
        <v/>
      </c>
      <c r="KE860" s="2141" t="str">
        <f t="shared" si="269"/>
        <v/>
      </c>
      <c r="KF860" s="2141" t="str">
        <f t="shared" si="270"/>
        <v/>
      </c>
      <c r="KG860" s="2141" t="str">
        <f t="shared" si="271"/>
        <v/>
      </c>
      <c r="KH860" s="2141" t="str">
        <f t="shared" si="272"/>
        <v/>
      </c>
      <c r="KI860" s="2141" t="str">
        <f t="shared" si="273"/>
        <v/>
      </c>
      <c r="KJ860" s="2141" t="str">
        <f t="shared" si="274"/>
        <v/>
      </c>
      <c r="KK860" s="2141" t="str">
        <f t="shared" si="275"/>
        <v/>
      </c>
      <c r="KL860" s="2141" t="str">
        <f t="shared" si="276"/>
        <v/>
      </c>
      <c r="KM860" s="2141" t="str">
        <f t="shared" si="277"/>
        <v/>
      </c>
      <c r="KN860" s="2141" t="str">
        <f t="shared" si="278"/>
        <v/>
      </c>
      <c r="KO860" s="2141" t="str">
        <f t="shared" si="279"/>
        <v/>
      </c>
      <c r="KP860" s="2141" t="str">
        <f t="shared" si="280"/>
        <v/>
      </c>
      <c r="KQ860" s="2141" t="str">
        <f t="shared" si="281"/>
        <v/>
      </c>
      <c r="KR860" s="2141" t="str">
        <f t="shared" si="282"/>
        <v/>
      </c>
      <c r="KS860" s="2141" t="str">
        <f t="shared" si="283"/>
        <v/>
      </c>
      <c r="KT860" s="2141" t="str">
        <f t="shared" si="284"/>
        <v/>
      </c>
      <c r="KU860" s="2141" t="str">
        <f t="shared" si="285"/>
        <v/>
      </c>
      <c r="KV860" s="2141" t="str">
        <f t="shared" si="286"/>
        <v/>
      </c>
      <c r="KW860" s="2141" t="str">
        <f t="shared" si="287"/>
        <v/>
      </c>
      <c r="KX860" s="2141" t="str">
        <f t="shared" si="288"/>
        <v/>
      </c>
      <c r="KY860" s="2141" t="str">
        <f t="shared" si="289"/>
        <v/>
      </c>
      <c r="KZ860" s="2141" t="str">
        <f t="shared" si="290"/>
        <v/>
      </c>
      <c r="LA860" s="2141" t="str">
        <f t="shared" si="291"/>
        <v/>
      </c>
      <c r="LB860" s="2141" t="str">
        <f t="shared" si="292"/>
        <v/>
      </c>
      <c r="LC860" s="2141" t="str">
        <f t="shared" si="293"/>
        <v/>
      </c>
      <c r="LD860" s="2141" t="str">
        <f t="shared" si="294"/>
        <v/>
      </c>
      <c r="LE860" s="2141" t="str">
        <f t="shared" si="295"/>
        <v/>
      </c>
      <c r="LF860" s="2141" t="str">
        <f t="shared" si="296"/>
        <v/>
      </c>
      <c r="LG860" s="2052" t="str">
        <f t="shared" si="297"/>
        <v/>
      </c>
      <c r="LH860" s="2052" t="str">
        <f t="shared" si="298"/>
        <v/>
      </c>
      <c r="LI860" s="2052" t="str">
        <f t="shared" si="299"/>
        <v/>
      </c>
      <c r="LJ860" s="2052" t="str">
        <f t="shared" si="300"/>
        <v/>
      </c>
      <c r="LK860" s="2052" t="str">
        <f t="shared" si="301"/>
        <v/>
      </c>
      <c r="LL860" s="1853" t="str">
        <f t="shared" si="302"/>
        <v/>
      </c>
      <c r="LM860" s="1853" t="str">
        <f t="shared" si="303"/>
        <v/>
      </c>
      <c r="LN860" s="1853" t="str">
        <f t="shared" si="304"/>
        <v/>
      </c>
      <c r="LO860" s="1853" t="str">
        <f t="shared" si="305"/>
        <v/>
      </c>
      <c r="LP860" s="1853" t="str">
        <f t="shared" si="306"/>
        <v/>
      </c>
      <c r="LQ860" s="1853" t="str">
        <f t="shared" si="307"/>
        <v/>
      </c>
      <c r="LR860" s="1853" t="str">
        <f t="shared" si="308"/>
        <v/>
      </c>
      <c r="LS860" s="1853" t="str">
        <f t="shared" si="309"/>
        <v/>
      </c>
      <c r="LT860" s="1853" t="str">
        <f t="shared" si="310"/>
        <v/>
      </c>
      <c r="LU860" s="1853" t="str">
        <f t="shared" si="311"/>
        <v/>
      </c>
      <c r="LV860" s="1853" t="str">
        <f t="shared" si="312"/>
        <v/>
      </c>
      <c r="LW860" s="1853" t="str">
        <f t="shared" si="313"/>
        <v/>
      </c>
      <c r="LX860" s="1853" t="str">
        <f t="shared" si="314"/>
        <v/>
      </c>
      <c r="LY860" s="1853" t="str">
        <f t="shared" si="315"/>
        <v/>
      </c>
      <c r="LZ860" s="1853" t="str">
        <f t="shared" si="316"/>
        <v/>
      </c>
      <c r="MA860" s="1853" t="str">
        <f t="shared" si="317"/>
        <v/>
      </c>
      <c r="MB860" s="1853" t="str">
        <f t="shared" si="318"/>
        <v/>
      </c>
      <c r="MC860" s="1853" t="str">
        <f t="shared" si="319"/>
        <v/>
      </c>
      <c r="MD860" s="1853" t="str">
        <f t="shared" si="320"/>
        <v/>
      </c>
      <c r="ME860" s="1853" t="str">
        <f t="shared" si="321"/>
        <v/>
      </c>
      <c r="MF860" s="2052">
        <f t="shared" si="328"/>
        <v>0</v>
      </c>
      <c r="MG860" s="2052">
        <f t="shared" si="329"/>
        <v>0</v>
      </c>
      <c r="MH860" s="2052">
        <f t="shared" si="330"/>
        <v>0</v>
      </c>
      <c r="MI860" s="2052">
        <f t="shared" si="331"/>
        <v>0</v>
      </c>
      <c r="MJ860" s="2052">
        <f t="shared" si="332"/>
        <v>0</v>
      </c>
      <c r="MK860" s="2052">
        <f t="shared" si="333"/>
        <v>0</v>
      </c>
      <c r="ML860" s="2052">
        <f t="shared" si="334"/>
        <v>0</v>
      </c>
      <c r="MM860" s="2052">
        <f t="shared" si="335"/>
        <v>0</v>
      </c>
      <c r="MN860" s="2052">
        <f t="shared" si="336"/>
        <v>7</v>
      </c>
      <c r="MO860" s="2052">
        <f t="shared" si="337"/>
        <v>0</v>
      </c>
      <c r="MP860" s="2052">
        <f t="shared" si="322"/>
        <v>0</v>
      </c>
      <c r="MQ860" s="2052">
        <f t="shared" si="323"/>
        <v>0</v>
      </c>
      <c r="MR860" s="2052">
        <f t="shared" si="324"/>
        <v>0</v>
      </c>
      <c r="MS860" s="2052">
        <f t="shared" si="325"/>
        <v>0</v>
      </c>
      <c r="MT860" s="2052">
        <f t="shared" si="326"/>
        <v>0</v>
      </c>
      <c r="NP860" s="1925" t="s">
        <v>6726</v>
      </c>
    </row>
    <row r="861" spans="1:380" s="1853" customFormat="1" ht="13.9" customHeight="1">
      <c r="A861" s="2109" t="str">
        <f t="shared" si="327"/>
        <v/>
      </c>
      <c r="B861" s="2131">
        <f>'Part VI-Revenues &amp; Expenses'!B21</f>
        <v>60</v>
      </c>
      <c r="C861" s="2132">
        <f>'Part VI-Revenues &amp; Expenses'!C21</f>
        <v>1</v>
      </c>
      <c r="D861" s="2133">
        <f>'Part VI-Revenues &amp; Expenses'!D21</f>
        <v>1</v>
      </c>
      <c r="E861" s="2134">
        <f>'Part VI-Revenues &amp; Expenses'!E21</f>
        <v>13</v>
      </c>
      <c r="F861" s="2134">
        <f>'Part VI-Revenues &amp; Expenses'!F21</f>
        <v>680</v>
      </c>
      <c r="G861" s="2134">
        <f>'Part VI-Revenues &amp; Expenses'!G21</f>
        <v>713</v>
      </c>
      <c r="H861" s="2134">
        <f>'Part VI-Revenues &amp; Expenses'!H21</f>
        <v>582</v>
      </c>
      <c r="I861" s="2134">
        <f>'Part VI-Revenues &amp; Expenses'!I21</f>
        <v>0</v>
      </c>
      <c r="J861" s="2134">
        <f>'Part VI-Revenues &amp; Expenses'!J21</f>
        <v>94</v>
      </c>
      <c r="K861" s="2135">
        <f>'Part VI-Revenues &amp; Expenses'!K21</f>
        <v>0</v>
      </c>
      <c r="L861" s="2136">
        <f t="shared" si="0"/>
        <v>488</v>
      </c>
      <c r="M861" s="2136">
        <f t="shared" si="1"/>
        <v>6344</v>
      </c>
      <c r="N861" s="1917" t="str">
        <f>'Part VI-Revenues &amp; Expenses'!N21</f>
        <v>No</v>
      </c>
      <c r="O861" s="2137" t="str">
        <f>'Part VI-Revenues &amp; Expenses'!O21</f>
        <v>Low-Rise Apt</v>
      </c>
      <c r="P861" s="1917" t="str">
        <f>'Part VI-Revenues &amp; Expenses'!P21</f>
        <v>New Construction</v>
      </c>
      <c r="Q861" s="2138" t="str">
        <f>'Part VI-Revenues &amp; Expenses'!Q21</f>
        <v>No</v>
      </c>
      <c r="R861" s="2139"/>
      <c r="S861" s="2140"/>
      <c r="T861" s="2044"/>
      <c r="U861" s="2044"/>
      <c r="V861" s="2044"/>
      <c r="W861" s="2044"/>
      <c r="X861" s="1853" t="str">
        <f t="shared" si="2"/>
        <v/>
      </c>
      <c r="Y861" s="1853" t="str">
        <f t="shared" si="3"/>
        <v/>
      </c>
      <c r="Z861" s="1853" t="str">
        <f t="shared" si="4"/>
        <v/>
      </c>
      <c r="AA861" s="1853" t="str">
        <f t="shared" si="5"/>
        <v/>
      </c>
      <c r="AB861" s="1853" t="str">
        <f t="shared" si="6"/>
        <v/>
      </c>
      <c r="AC861" s="1853" t="str">
        <f t="shared" si="7"/>
        <v/>
      </c>
      <c r="AD861" s="1853" t="str">
        <f t="shared" si="8"/>
        <v/>
      </c>
      <c r="AE861" s="1853" t="str">
        <f t="shared" si="9"/>
        <v/>
      </c>
      <c r="AF861" s="1853" t="str">
        <f t="shared" si="10"/>
        <v/>
      </c>
      <c r="AG861" s="1853" t="str">
        <f t="shared" si="11"/>
        <v/>
      </c>
      <c r="AH861" s="1853" t="str">
        <f t="shared" si="12"/>
        <v/>
      </c>
      <c r="AI861" s="1853">
        <f t="shared" si="13"/>
        <v>13</v>
      </c>
      <c r="AJ861" s="1853" t="str">
        <f t="shared" si="14"/>
        <v/>
      </c>
      <c r="AK861" s="1853" t="str">
        <f t="shared" si="15"/>
        <v/>
      </c>
      <c r="AL861" s="1853" t="str">
        <f t="shared" si="16"/>
        <v/>
      </c>
      <c r="AM861" s="1853" t="str">
        <f t="shared" si="17"/>
        <v/>
      </c>
      <c r="AN861" s="1853" t="str">
        <f t="shared" si="18"/>
        <v/>
      </c>
      <c r="AO861" s="1853" t="str">
        <f t="shared" si="19"/>
        <v/>
      </c>
      <c r="AP861" s="1853" t="str">
        <f t="shared" si="20"/>
        <v/>
      </c>
      <c r="AQ861" s="1853" t="str">
        <f t="shared" si="21"/>
        <v/>
      </c>
      <c r="AR861" s="1853" t="str">
        <f t="shared" si="22"/>
        <v/>
      </c>
      <c r="AS861" s="1853" t="str">
        <f t="shared" si="23"/>
        <v/>
      </c>
      <c r="AT861" s="1853" t="str">
        <f t="shared" si="24"/>
        <v/>
      </c>
      <c r="AU861" s="1853" t="str">
        <f t="shared" si="25"/>
        <v/>
      </c>
      <c r="AV861" s="1853" t="str">
        <f t="shared" si="26"/>
        <v/>
      </c>
      <c r="AW861" s="1853" t="str">
        <f t="shared" si="27"/>
        <v/>
      </c>
      <c r="AX861" s="1853" t="str">
        <f t="shared" si="28"/>
        <v/>
      </c>
      <c r="AY861" s="1853" t="str">
        <f t="shared" si="29"/>
        <v/>
      </c>
      <c r="AZ861" s="1853" t="str">
        <f t="shared" si="30"/>
        <v/>
      </c>
      <c r="BA861" s="1853" t="str">
        <f t="shared" si="31"/>
        <v/>
      </c>
      <c r="BB861" s="1853" t="str">
        <f t="shared" si="32"/>
        <v/>
      </c>
      <c r="BC861" s="1853" t="str">
        <f t="shared" si="33"/>
        <v/>
      </c>
      <c r="BD861" s="1853" t="str">
        <f t="shared" si="34"/>
        <v/>
      </c>
      <c r="BE861" s="1853" t="str">
        <f t="shared" si="35"/>
        <v/>
      </c>
      <c r="BF861" s="1853" t="str">
        <f t="shared" si="36"/>
        <v/>
      </c>
      <c r="BG861" s="1853" t="str">
        <f t="shared" si="37"/>
        <v/>
      </c>
      <c r="BH861" s="1853" t="str">
        <f t="shared" si="38"/>
        <v/>
      </c>
      <c r="BI861" s="1853" t="str">
        <f t="shared" si="39"/>
        <v/>
      </c>
      <c r="BJ861" s="1853" t="str">
        <f t="shared" si="40"/>
        <v/>
      </c>
      <c r="BK861" s="1853" t="str">
        <f t="shared" si="41"/>
        <v/>
      </c>
      <c r="BL861" s="1853" t="str">
        <f t="shared" si="42"/>
        <v/>
      </c>
      <c r="BM861" s="1853" t="str">
        <f t="shared" si="43"/>
        <v/>
      </c>
      <c r="BN861" s="1853" t="str">
        <f t="shared" si="44"/>
        <v/>
      </c>
      <c r="BO861" s="1853" t="str">
        <f t="shared" si="45"/>
        <v/>
      </c>
      <c r="BP861" s="1853" t="str">
        <f t="shared" si="46"/>
        <v/>
      </c>
      <c r="BQ861" s="1853" t="str">
        <f t="shared" si="47"/>
        <v/>
      </c>
      <c r="BR861" s="1853" t="str">
        <f t="shared" si="48"/>
        <v/>
      </c>
      <c r="BS861" s="1853" t="str">
        <f t="shared" si="49"/>
        <v/>
      </c>
      <c r="BT861" s="1853" t="str">
        <f t="shared" si="50"/>
        <v/>
      </c>
      <c r="BU861" s="1853" t="str">
        <f t="shared" si="51"/>
        <v/>
      </c>
      <c r="BV861" s="1853" t="str">
        <f t="shared" si="52"/>
        <v/>
      </c>
      <c r="BW861" s="1853" t="str">
        <f t="shared" si="53"/>
        <v/>
      </c>
      <c r="BX861" s="1853" t="str">
        <f t="shared" si="54"/>
        <v/>
      </c>
      <c r="BY861" s="1853" t="str">
        <f t="shared" si="55"/>
        <v/>
      </c>
      <c r="BZ861" s="1853" t="str">
        <f t="shared" si="56"/>
        <v/>
      </c>
      <c r="CA861" s="1853" t="str">
        <f t="shared" si="57"/>
        <v/>
      </c>
      <c r="CB861" s="1853" t="str">
        <f t="shared" si="58"/>
        <v/>
      </c>
      <c r="CC861" s="1853" t="str">
        <f t="shared" si="59"/>
        <v/>
      </c>
      <c r="CD861" s="1853" t="str">
        <f t="shared" si="60"/>
        <v/>
      </c>
      <c r="CE861" s="1853" t="str">
        <f t="shared" si="61"/>
        <v/>
      </c>
      <c r="CF861" s="1853" t="str">
        <f t="shared" si="62"/>
        <v/>
      </c>
      <c r="CG861" s="1853" t="str">
        <f t="shared" si="63"/>
        <v/>
      </c>
      <c r="CH861" s="1853" t="str">
        <f t="shared" si="64"/>
        <v/>
      </c>
      <c r="CI861" s="1853" t="str">
        <f t="shared" si="65"/>
        <v/>
      </c>
      <c r="CJ861" s="1853" t="str">
        <f t="shared" si="66"/>
        <v/>
      </c>
      <c r="CK861" s="1853" t="str">
        <f t="shared" si="67"/>
        <v/>
      </c>
      <c r="CL861" s="1853" t="str">
        <f t="shared" si="68"/>
        <v/>
      </c>
      <c r="CM861" s="1853" t="str">
        <f t="shared" si="69"/>
        <v/>
      </c>
      <c r="CN861" s="1853" t="str">
        <f t="shared" si="70"/>
        <v/>
      </c>
      <c r="CO861" s="1853" t="str">
        <f t="shared" si="71"/>
        <v/>
      </c>
      <c r="CP861" s="1853" t="str">
        <f t="shared" si="72"/>
        <v/>
      </c>
      <c r="CQ861" s="1853" t="str">
        <f t="shared" si="73"/>
        <v/>
      </c>
      <c r="CR861" s="1853" t="str">
        <f t="shared" si="74"/>
        <v/>
      </c>
      <c r="CS861" s="1853" t="str">
        <f t="shared" si="75"/>
        <v/>
      </c>
      <c r="CT861" s="1853" t="str">
        <f t="shared" si="76"/>
        <v/>
      </c>
      <c r="CU861" s="1853" t="str">
        <f t="shared" si="77"/>
        <v/>
      </c>
      <c r="CV861" s="1853" t="str">
        <f t="shared" si="78"/>
        <v/>
      </c>
      <c r="CW861" s="1853" t="str">
        <f t="shared" si="79"/>
        <v/>
      </c>
      <c r="CX861" s="1853" t="str">
        <f t="shared" si="80"/>
        <v/>
      </c>
      <c r="CY861" s="1853" t="str">
        <f t="shared" si="81"/>
        <v/>
      </c>
      <c r="CZ861" s="1853" t="str">
        <f t="shared" si="82"/>
        <v/>
      </c>
      <c r="DA861" s="1853" t="str">
        <f t="shared" si="83"/>
        <v/>
      </c>
      <c r="DB861" s="1853" t="str">
        <f t="shared" si="84"/>
        <v/>
      </c>
      <c r="DC861" s="1853" t="str">
        <f t="shared" si="85"/>
        <v/>
      </c>
      <c r="DD861" s="1853" t="str">
        <f t="shared" si="86"/>
        <v/>
      </c>
      <c r="DE861" s="1853" t="str">
        <f t="shared" si="87"/>
        <v/>
      </c>
      <c r="DF861" s="1853" t="str">
        <f t="shared" si="88"/>
        <v/>
      </c>
      <c r="DG861" s="1853" t="str">
        <f t="shared" si="89"/>
        <v/>
      </c>
      <c r="DH861" s="1853" t="str">
        <f t="shared" si="90"/>
        <v/>
      </c>
      <c r="DI861" s="1853" t="str">
        <f t="shared" si="91"/>
        <v/>
      </c>
      <c r="DJ861" s="1853" t="str">
        <f t="shared" si="92"/>
        <v/>
      </c>
      <c r="DK861" s="1853" t="str">
        <f t="shared" si="93"/>
        <v/>
      </c>
      <c r="DL861" s="1853" t="str">
        <f t="shared" si="94"/>
        <v/>
      </c>
      <c r="DM861" s="1853" t="str">
        <f t="shared" si="95"/>
        <v/>
      </c>
      <c r="DN861" s="1853" t="str">
        <f t="shared" si="96"/>
        <v/>
      </c>
      <c r="DO861" s="1853" t="str">
        <f t="shared" si="97"/>
        <v/>
      </c>
      <c r="DP861" s="1853" t="str">
        <f t="shared" si="98"/>
        <v/>
      </c>
      <c r="DQ861" s="1853" t="str">
        <f t="shared" si="99"/>
        <v/>
      </c>
      <c r="DR861" s="1853" t="str">
        <f t="shared" si="100"/>
        <v/>
      </c>
      <c r="DS861" s="1853" t="str">
        <f t="shared" si="101"/>
        <v/>
      </c>
      <c r="DT861" s="1853" t="str">
        <f t="shared" si="102"/>
        <v/>
      </c>
      <c r="DU861" s="1853" t="str">
        <f t="shared" si="103"/>
        <v/>
      </c>
      <c r="DV861" s="1853" t="str">
        <f t="shared" si="104"/>
        <v/>
      </c>
      <c r="DW861" s="1853" t="str">
        <f t="shared" si="105"/>
        <v/>
      </c>
      <c r="DX861" s="1853" t="str">
        <f t="shared" si="106"/>
        <v/>
      </c>
      <c r="DY861" s="1853" t="str">
        <f t="shared" si="107"/>
        <v/>
      </c>
      <c r="DZ861" s="1853" t="str">
        <f t="shared" si="108"/>
        <v/>
      </c>
      <c r="EA861" s="1853" t="str">
        <f t="shared" si="109"/>
        <v/>
      </c>
      <c r="EB861" s="1853" t="str">
        <f t="shared" si="110"/>
        <v/>
      </c>
      <c r="EC861" s="1853" t="str">
        <f t="shared" si="111"/>
        <v/>
      </c>
      <c r="ED861" s="1853" t="str">
        <f t="shared" si="112"/>
        <v/>
      </c>
      <c r="EE861" s="1853" t="str">
        <f t="shared" si="113"/>
        <v/>
      </c>
      <c r="EF861" s="1853" t="str">
        <f t="shared" si="114"/>
        <v/>
      </c>
      <c r="EG861" s="1853" t="str">
        <f t="shared" si="115"/>
        <v/>
      </c>
      <c r="EH861" s="1853" t="str">
        <f t="shared" si="116"/>
        <v/>
      </c>
      <c r="EI861" s="1853" t="str">
        <f t="shared" si="117"/>
        <v/>
      </c>
      <c r="EJ861" s="1853" t="str">
        <f t="shared" si="118"/>
        <v/>
      </c>
      <c r="EK861" s="1853" t="str">
        <f t="shared" si="119"/>
        <v/>
      </c>
      <c r="EL861" s="1853" t="str">
        <f t="shared" si="120"/>
        <v/>
      </c>
      <c r="EM861" s="1853" t="str">
        <f t="shared" si="121"/>
        <v/>
      </c>
      <c r="EN861" s="1853" t="str">
        <f t="shared" si="122"/>
        <v/>
      </c>
      <c r="EO861" s="1853" t="str">
        <f t="shared" si="123"/>
        <v/>
      </c>
      <c r="EP861" s="1853" t="str">
        <f t="shared" si="124"/>
        <v/>
      </c>
      <c r="EQ861" s="1853" t="str">
        <f t="shared" si="125"/>
        <v/>
      </c>
      <c r="ER861" s="1853" t="str">
        <f t="shared" si="126"/>
        <v/>
      </c>
      <c r="ES861" s="1853" t="str">
        <f t="shared" si="127"/>
        <v/>
      </c>
      <c r="ET861" s="1853">
        <f t="shared" si="128"/>
        <v>8840</v>
      </c>
      <c r="EU861" s="1853" t="str">
        <f t="shared" si="129"/>
        <v/>
      </c>
      <c r="EV861" s="1853" t="str">
        <f t="shared" si="130"/>
        <v/>
      </c>
      <c r="EW861" s="1853" t="str">
        <f t="shared" si="131"/>
        <v/>
      </c>
      <c r="EX861" s="1853" t="str">
        <f t="shared" si="132"/>
        <v/>
      </c>
      <c r="EY861" s="1853" t="str">
        <f t="shared" si="133"/>
        <v/>
      </c>
      <c r="EZ861" s="1853" t="str">
        <f t="shared" si="134"/>
        <v/>
      </c>
      <c r="FA861" s="1853" t="str">
        <f t="shared" si="135"/>
        <v/>
      </c>
      <c r="FB861" s="1853" t="str">
        <f t="shared" si="136"/>
        <v/>
      </c>
      <c r="FC861" s="1853" t="str">
        <f t="shared" si="137"/>
        <v/>
      </c>
      <c r="FD861" s="1853" t="str">
        <f t="shared" si="138"/>
        <v/>
      </c>
      <c r="FE861" s="1853" t="str">
        <f t="shared" si="139"/>
        <v/>
      </c>
      <c r="FF861" s="1853" t="str">
        <f t="shared" si="140"/>
        <v/>
      </c>
      <c r="FG861" s="1853" t="str">
        <f t="shared" si="141"/>
        <v/>
      </c>
      <c r="FH861" s="1853" t="str">
        <f t="shared" si="142"/>
        <v/>
      </c>
      <c r="FI861" s="1853" t="str">
        <f t="shared" si="143"/>
        <v/>
      </c>
      <c r="FJ861" s="1853" t="str">
        <f t="shared" si="144"/>
        <v/>
      </c>
      <c r="FK861" s="1853" t="str">
        <f t="shared" si="145"/>
        <v/>
      </c>
      <c r="FL861" s="1853" t="str">
        <f t="shared" si="146"/>
        <v/>
      </c>
      <c r="FM861" s="1853" t="str">
        <f t="shared" si="147"/>
        <v/>
      </c>
      <c r="FN861" s="1853" t="str">
        <f t="shared" si="148"/>
        <v/>
      </c>
      <c r="FO861" s="1853" t="str">
        <f t="shared" si="149"/>
        <v/>
      </c>
      <c r="FP861" s="1853" t="str">
        <f t="shared" si="150"/>
        <v/>
      </c>
      <c r="FQ861" s="1853" t="str">
        <f t="shared" si="151"/>
        <v/>
      </c>
      <c r="FR861" s="1853" t="str">
        <f t="shared" si="152"/>
        <v/>
      </c>
      <c r="FS861" s="1853" t="str">
        <f t="shared" si="153"/>
        <v/>
      </c>
      <c r="FT861" s="1853" t="str">
        <f t="shared" si="154"/>
        <v/>
      </c>
      <c r="FU861" s="1853" t="str">
        <f t="shared" si="155"/>
        <v/>
      </c>
      <c r="FV861" s="1853" t="str">
        <f t="shared" si="156"/>
        <v/>
      </c>
      <c r="FW861" s="1853" t="str">
        <f t="shared" si="157"/>
        <v/>
      </c>
      <c r="FX861" s="1853" t="str">
        <f t="shared" si="158"/>
        <v/>
      </c>
      <c r="FY861" s="1853" t="str">
        <f t="shared" si="159"/>
        <v/>
      </c>
      <c r="FZ861" s="1853" t="str">
        <f t="shared" si="160"/>
        <v/>
      </c>
      <c r="GA861" s="1853" t="str">
        <f t="shared" si="161"/>
        <v/>
      </c>
      <c r="GB861" s="1853" t="str">
        <f t="shared" si="162"/>
        <v/>
      </c>
      <c r="GC861" s="1853" t="str">
        <f t="shared" si="163"/>
        <v/>
      </c>
      <c r="GD861" s="1853" t="str">
        <f t="shared" si="164"/>
        <v/>
      </c>
      <c r="GE861" s="1853" t="str">
        <f t="shared" si="165"/>
        <v/>
      </c>
      <c r="GF861" s="1853" t="str">
        <f t="shared" si="166"/>
        <v/>
      </c>
      <c r="GG861" s="1853" t="str">
        <f t="shared" si="167"/>
        <v/>
      </c>
      <c r="GH861" s="1853">
        <f t="shared" si="168"/>
        <v>13</v>
      </c>
      <c r="GI861" s="1853" t="str">
        <f t="shared" si="169"/>
        <v/>
      </c>
      <c r="GJ861" s="1853" t="str">
        <f t="shared" si="170"/>
        <v/>
      </c>
      <c r="GK861" s="1853" t="str">
        <f t="shared" si="171"/>
        <v/>
      </c>
      <c r="GL861" s="1853" t="str">
        <f t="shared" si="172"/>
        <v/>
      </c>
      <c r="GM861" s="1853" t="str">
        <f t="shared" si="173"/>
        <v/>
      </c>
      <c r="GN861" s="1853" t="str">
        <f t="shared" si="174"/>
        <v/>
      </c>
      <c r="GO861" s="1853" t="str">
        <f t="shared" si="175"/>
        <v/>
      </c>
      <c r="GP861" s="1853" t="str">
        <f t="shared" si="176"/>
        <v/>
      </c>
      <c r="GQ861" s="1853" t="str">
        <f t="shared" si="177"/>
        <v/>
      </c>
      <c r="GR861" s="1853" t="str">
        <f t="shared" si="178"/>
        <v/>
      </c>
      <c r="GS861" s="1853" t="str">
        <f t="shared" si="179"/>
        <v/>
      </c>
      <c r="GT861" s="1853" t="str">
        <f t="shared" si="180"/>
        <v/>
      </c>
      <c r="GU861" s="1853" t="str">
        <f t="shared" si="181"/>
        <v/>
      </c>
      <c r="GV861" s="1853" t="str">
        <f t="shared" si="182"/>
        <v/>
      </c>
      <c r="GW861" s="1853" t="str">
        <f t="shared" si="183"/>
        <v/>
      </c>
      <c r="GX861" s="1853" t="str">
        <f t="shared" si="184"/>
        <v/>
      </c>
      <c r="GY861" s="1853" t="str">
        <f t="shared" si="185"/>
        <v/>
      </c>
      <c r="GZ861" s="1853" t="str">
        <f t="shared" si="186"/>
        <v/>
      </c>
      <c r="HA861" s="1853" t="str">
        <f t="shared" si="187"/>
        <v/>
      </c>
      <c r="HB861" s="1853" t="str">
        <f t="shared" si="188"/>
        <v/>
      </c>
      <c r="HC861" s="1853" t="str">
        <f t="shared" si="189"/>
        <v/>
      </c>
      <c r="HD861" s="1853" t="str">
        <f t="shared" si="190"/>
        <v/>
      </c>
      <c r="HE861" s="1853" t="str">
        <f t="shared" si="191"/>
        <v/>
      </c>
      <c r="HF861" s="1853" t="str">
        <f t="shared" si="192"/>
        <v/>
      </c>
      <c r="HG861" s="1853" t="str">
        <f t="shared" si="193"/>
        <v/>
      </c>
      <c r="HH861" s="1853" t="str">
        <f t="shared" si="194"/>
        <v/>
      </c>
      <c r="HI861" s="1853" t="str">
        <f t="shared" si="195"/>
        <v/>
      </c>
      <c r="HJ861" s="1853" t="str">
        <f t="shared" si="196"/>
        <v/>
      </c>
      <c r="HK861" s="1853" t="str">
        <f t="shared" si="197"/>
        <v/>
      </c>
      <c r="HL861" s="1853" t="str">
        <f t="shared" si="198"/>
        <v/>
      </c>
      <c r="HM861" s="1853" t="str">
        <f t="shared" si="199"/>
        <v/>
      </c>
      <c r="HN861" s="1853" t="str">
        <f t="shared" si="200"/>
        <v/>
      </c>
      <c r="HO861" s="1853" t="str">
        <f t="shared" si="201"/>
        <v/>
      </c>
      <c r="HP861" s="1853" t="str">
        <f t="shared" si="202"/>
        <v/>
      </c>
      <c r="HQ861" s="1853" t="str">
        <f t="shared" si="203"/>
        <v/>
      </c>
      <c r="HR861" s="1853" t="str">
        <f t="shared" si="204"/>
        <v/>
      </c>
      <c r="HS861" s="1853" t="str">
        <f t="shared" si="205"/>
        <v/>
      </c>
      <c r="HT861" s="1853" t="str">
        <f t="shared" si="206"/>
        <v/>
      </c>
      <c r="HU861" s="1853" t="str">
        <f t="shared" si="207"/>
        <v/>
      </c>
      <c r="HV861" s="1853" t="str">
        <f t="shared" si="208"/>
        <v/>
      </c>
      <c r="HW861" s="1853" t="str">
        <f t="shared" si="209"/>
        <v/>
      </c>
      <c r="HX861" s="1853" t="str">
        <f t="shared" si="210"/>
        <v/>
      </c>
      <c r="HY861" s="1853" t="str">
        <f t="shared" si="211"/>
        <v/>
      </c>
      <c r="HZ861" s="2141" t="str">
        <f t="shared" si="212"/>
        <v/>
      </c>
      <c r="IA861" s="2141">
        <f t="shared" si="213"/>
        <v>13</v>
      </c>
      <c r="IB861" s="2141" t="str">
        <f t="shared" si="214"/>
        <v/>
      </c>
      <c r="IC861" s="2141" t="str">
        <f t="shared" si="215"/>
        <v/>
      </c>
      <c r="ID861" s="2141" t="str">
        <f t="shared" si="216"/>
        <v/>
      </c>
      <c r="IE861" s="2141" t="str">
        <f t="shared" si="217"/>
        <v/>
      </c>
      <c r="IF861" s="2141" t="str">
        <f t="shared" si="218"/>
        <v/>
      </c>
      <c r="IG861" s="2141" t="str">
        <f t="shared" si="219"/>
        <v/>
      </c>
      <c r="IH861" s="2141" t="str">
        <f t="shared" si="220"/>
        <v/>
      </c>
      <c r="II861" s="2141" t="str">
        <f t="shared" si="221"/>
        <v/>
      </c>
      <c r="IJ861" s="2141" t="str">
        <f t="shared" si="222"/>
        <v/>
      </c>
      <c r="IK861" s="2141" t="str">
        <f t="shared" si="223"/>
        <v/>
      </c>
      <c r="IL861" s="2141" t="str">
        <f t="shared" si="224"/>
        <v/>
      </c>
      <c r="IM861" s="2141" t="str">
        <f t="shared" si="225"/>
        <v/>
      </c>
      <c r="IN861" s="2141" t="str">
        <f t="shared" si="226"/>
        <v/>
      </c>
      <c r="IO861" s="2141" t="str">
        <f t="shared" si="227"/>
        <v/>
      </c>
      <c r="IP861" s="2141" t="str">
        <f t="shared" si="228"/>
        <v/>
      </c>
      <c r="IQ861" s="2141" t="str">
        <f t="shared" si="229"/>
        <v/>
      </c>
      <c r="IR861" s="2141" t="str">
        <f t="shared" si="230"/>
        <v/>
      </c>
      <c r="IS861" s="2141" t="str">
        <f t="shared" si="231"/>
        <v/>
      </c>
      <c r="IT861" s="2141" t="str">
        <f t="shared" si="232"/>
        <v/>
      </c>
      <c r="IU861" s="2141" t="str">
        <f t="shared" si="233"/>
        <v/>
      </c>
      <c r="IV861" s="2141" t="str">
        <f t="shared" si="234"/>
        <v/>
      </c>
      <c r="IW861" s="2141" t="str">
        <f t="shared" si="235"/>
        <v/>
      </c>
      <c r="IX861" s="2141" t="str">
        <f t="shared" si="236"/>
        <v/>
      </c>
      <c r="IY861" s="2141" t="str">
        <f t="shared" si="237"/>
        <v/>
      </c>
      <c r="IZ861" s="2141" t="str">
        <f t="shared" si="238"/>
        <v/>
      </c>
      <c r="JA861" s="2141" t="str">
        <f t="shared" si="239"/>
        <v/>
      </c>
      <c r="JB861" s="2141" t="str">
        <f t="shared" si="240"/>
        <v/>
      </c>
      <c r="JC861" s="2141" t="str">
        <f t="shared" si="241"/>
        <v/>
      </c>
      <c r="JD861" s="2141" t="str">
        <f t="shared" si="242"/>
        <v/>
      </c>
      <c r="JE861" s="2141" t="str">
        <f t="shared" si="243"/>
        <v/>
      </c>
      <c r="JF861" s="2141" t="str">
        <f t="shared" si="244"/>
        <v/>
      </c>
      <c r="JG861" s="2141" t="str">
        <f t="shared" si="245"/>
        <v/>
      </c>
      <c r="JH861" s="2141" t="str">
        <f t="shared" si="246"/>
        <v/>
      </c>
      <c r="JI861" s="2141" t="str">
        <f t="shared" si="247"/>
        <v/>
      </c>
      <c r="JJ861" s="2141" t="str">
        <f t="shared" si="248"/>
        <v/>
      </c>
      <c r="JK861" s="2141" t="str">
        <f t="shared" si="249"/>
        <v/>
      </c>
      <c r="JL861" s="2141" t="str">
        <f t="shared" si="250"/>
        <v/>
      </c>
      <c r="JM861" s="2141" t="str">
        <f t="shared" si="251"/>
        <v/>
      </c>
      <c r="JN861" s="2141" t="str">
        <f t="shared" si="252"/>
        <v/>
      </c>
      <c r="JO861" s="2141" t="str">
        <f t="shared" si="253"/>
        <v/>
      </c>
      <c r="JP861" s="2141" t="str">
        <f t="shared" si="254"/>
        <v/>
      </c>
      <c r="JQ861" s="2141" t="str">
        <f t="shared" si="255"/>
        <v/>
      </c>
      <c r="JR861" s="2141" t="str">
        <f t="shared" si="256"/>
        <v/>
      </c>
      <c r="JS861" s="2141" t="str">
        <f t="shared" si="257"/>
        <v/>
      </c>
      <c r="JT861" s="2141">
        <f t="shared" si="258"/>
        <v>13</v>
      </c>
      <c r="JU861" s="2141" t="str">
        <f t="shared" si="259"/>
        <v/>
      </c>
      <c r="JV861" s="2141" t="str">
        <f t="shared" si="260"/>
        <v/>
      </c>
      <c r="JW861" s="2141" t="str">
        <f t="shared" si="261"/>
        <v/>
      </c>
      <c r="JX861" s="2141" t="str">
        <f t="shared" si="262"/>
        <v/>
      </c>
      <c r="JY861" s="2141" t="str">
        <f t="shared" si="263"/>
        <v/>
      </c>
      <c r="JZ861" s="2141" t="str">
        <f t="shared" si="264"/>
        <v/>
      </c>
      <c r="KA861" s="2141" t="str">
        <f t="shared" si="265"/>
        <v/>
      </c>
      <c r="KB861" s="2141" t="str">
        <f t="shared" si="266"/>
        <v/>
      </c>
      <c r="KC861" s="2141" t="str">
        <f t="shared" si="267"/>
        <v/>
      </c>
      <c r="KD861" s="2141" t="str">
        <f t="shared" si="268"/>
        <v/>
      </c>
      <c r="KE861" s="2141" t="str">
        <f t="shared" si="269"/>
        <v/>
      </c>
      <c r="KF861" s="2141" t="str">
        <f t="shared" si="270"/>
        <v/>
      </c>
      <c r="KG861" s="2141" t="str">
        <f t="shared" si="271"/>
        <v/>
      </c>
      <c r="KH861" s="2141" t="str">
        <f t="shared" si="272"/>
        <v/>
      </c>
      <c r="KI861" s="2141" t="str">
        <f t="shared" si="273"/>
        <v/>
      </c>
      <c r="KJ861" s="2141" t="str">
        <f t="shared" si="274"/>
        <v/>
      </c>
      <c r="KK861" s="2141" t="str">
        <f t="shared" si="275"/>
        <v/>
      </c>
      <c r="KL861" s="2141" t="str">
        <f t="shared" si="276"/>
        <v/>
      </c>
      <c r="KM861" s="2141" t="str">
        <f t="shared" si="277"/>
        <v/>
      </c>
      <c r="KN861" s="2141" t="str">
        <f t="shared" si="278"/>
        <v/>
      </c>
      <c r="KO861" s="2141" t="str">
        <f t="shared" si="279"/>
        <v/>
      </c>
      <c r="KP861" s="2141" t="str">
        <f t="shared" si="280"/>
        <v/>
      </c>
      <c r="KQ861" s="2141" t="str">
        <f t="shared" si="281"/>
        <v/>
      </c>
      <c r="KR861" s="2141" t="str">
        <f t="shared" si="282"/>
        <v/>
      </c>
      <c r="KS861" s="2141" t="str">
        <f t="shared" si="283"/>
        <v/>
      </c>
      <c r="KT861" s="2141" t="str">
        <f t="shared" si="284"/>
        <v/>
      </c>
      <c r="KU861" s="2141" t="str">
        <f t="shared" si="285"/>
        <v/>
      </c>
      <c r="KV861" s="2141" t="str">
        <f t="shared" si="286"/>
        <v/>
      </c>
      <c r="KW861" s="2141" t="str">
        <f t="shared" si="287"/>
        <v/>
      </c>
      <c r="KX861" s="2141" t="str">
        <f t="shared" si="288"/>
        <v/>
      </c>
      <c r="KY861" s="2141" t="str">
        <f t="shared" si="289"/>
        <v/>
      </c>
      <c r="KZ861" s="2141" t="str">
        <f t="shared" si="290"/>
        <v/>
      </c>
      <c r="LA861" s="2141" t="str">
        <f t="shared" si="291"/>
        <v/>
      </c>
      <c r="LB861" s="2141" t="str">
        <f t="shared" si="292"/>
        <v/>
      </c>
      <c r="LC861" s="2141" t="str">
        <f t="shared" si="293"/>
        <v/>
      </c>
      <c r="LD861" s="2141" t="str">
        <f t="shared" si="294"/>
        <v/>
      </c>
      <c r="LE861" s="2141" t="str">
        <f t="shared" si="295"/>
        <v/>
      </c>
      <c r="LF861" s="2141" t="str">
        <f t="shared" si="296"/>
        <v/>
      </c>
      <c r="LG861" s="2052" t="str">
        <f t="shared" si="297"/>
        <v/>
      </c>
      <c r="LH861" s="2052" t="str">
        <f t="shared" si="298"/>
        <v/>
      </c>
      <c r="LI861" s="2052" t="str">
        <f t="shared" si="299"/>
        <v/>
      </c>
      <c r="LJ861" s="2052" t="str">
        <f t="shared" si="300"/>
        <v/>
      </c>
      <c r="LK861" s="2052" t="str">
        <f t="shared" si="301"/>
        <v/>
      </c>
      <c r="LL861" s="1853" t="str">
        <f t="shared" si="302"/>
        <v/>
      </c>
      <c r="LM861" s="1853" t="str">
        <f t="shared" si="303"/>
        <v/>
      </c>
      <c r="LN861" s="1853" t="str">
        <f t="shared" si="304"/>
        <v/>
      </c>
      <c r="LO861" s="1853" t="str">
        <f t="shared" si="305"/>
        <v/>
      </c>
      <c r="LP861" s="1853" t="str">
        <f t="shared" si="306"/>
        <v/>
      </c>
      <c r="LQ861" s="1853" t="str">
        <f t="shared" si="307"/>
        <v/>
      </c>
      <c r="LR861" s="1853" t="str">
        <f t="shared" si="308"/>
        <v/>
      </c>
      <c r="LS861" s="1853" t="str">
        <f t="shared" si="309"/>
        <v/>
      </c>
      <c r="LT861" s="1853" t="str">
        <f t="shared" si="310"/>
        <v/>
      </c>
      <c r="LU861" s="1853" t="str">
        <f t="shared" si="311"/>
        <v/>
      </c>
      <c r="LV861" s="1853" t="str">
        <f t="shared" si="312"/>
        <v/>
      </c>
      <c r="LW861" s="1853" t="str">
        <f t="shared" si="313"/>
        <v/>
      </c>
      <c r="LX861" s="1853" t="str">
        <f t="shared" si="314"/>
        <v/>
      </c>
      <c r="LY861" s="1853" t="str">
        <f t="shared" si="315"/>
        <v/>
      </c>
      <c r="LZ861" s="1853" t="str">
        <f t="shared" si="316"/>
        <v/>
      </c>
      <c r="MA861" s="1853" t="str">
        <f t="shared" si="317"/>
        <v/>
      </c>
      <c r="MB861" s="1853" t="str">
        <f t="shared" si="318"/>
        <v/>
      </c>
      <c r="MC861" s="1853" t="str">
        <f t="shared" si="319"/>
        <v/>
      </c>
      <c r="MD861" s="1853" t="str">
        <f t="shared" si="320"/>
        <v/>
      </c>
      <c r="ME861" s="1853" t="str">
        <f t="shared" si="321"/>
        <v/>
      </c>
      <c r="MF861" s="2052">
        <f t="shared" si="328"/>
        <v>0</v>
      </c>
      <c r="MG861" s="2052">
        <f t="shared" si="329"/>
        <v>0</v>
      </c>
      <c r="MH861" s="2052">
        <f t="shared" si="330"/>
        <v>0</v>
      </c>
      <c r="MI861" s="2052">
        <f t="shared" si="331"/>
        <v>0</v>
      </c>
      <c r="MJ861" s="2052">
        <f t="shared" si="332"/>
        <v>0</v>
      </c>
      <c r="MK861" s="2052">
        <f t="shared" si="333"/>
        <v>0</v>
      </c>
      <c r="ML861" s="2052">
        <f t="shared" si="334"/>
        <v>13</v>
      </c>
      <c r="MM861" s="2052">
        <f t="shared" si="335"/>
        <v>0</v>
      </c>
      <c r="MN861" s="2052">
        <f t="shared" si="336"/>
        <v>0</v>
      </c>
      <c r="MO861" s="2052">
        <f t="shared" si="337"/>
        <v>0</v>
      </c>
      <c r="MP861" s="2052">
        <f t="shared" si="322"/>
        <v>0</v>
      </c>
      <c r="MQ861" s="2052">
        <f t="shared" si="323"/>
        <v>0</v>
      </c>
      <c r="MR861" s="2052">
        <f t="shared" si="324"/>
        <v>0</v>
      </c>
      <c r="MS861" s="2052">
        <f t="shared" si="325"/>
        <v>0</v>
      </c>
      <c r="MT861" s="2052">
        <f t="shared" si="326"/>
        <v>0</v>
      </c>
      <c r="NP861" s="1925" t="s">
        <v>6727</v>
      </c>
    </row>
    <row r="862" spans="1:380" s="1853" customFormat="1" ht="13.9" customHeight="1">
      <c r="A862" s="2109" t="str">
        <f t="shared" si="327"/>
        <v/>
      </c>
      <c r="B862" s="2131">
        <f>'Part VI-Revenues &amp; Expenses'!B22</f>
        <v>60</v>
      </c>
      <c r="C862" s="2132">
        <f>'Part VI-Revenues &amp; Expenses'!C22</f>
        <v>2</v>
      </c>
      <c r="D862" s="2133">
        <f>'Part VI-Revenues &amp; Expenses'!D22</f>
        <v>1</v>
      </c>
      <c r="E862" s="2134">
        <f>'Part VI-Revenues &amp; Expenses'!E22</f>
        <v>9</v>
      </c>
      <c r="F862" s="2134">
        <f>'Part VI-Revenues &amp; Expenses'!F22</f>
        <v>880</v>
      </c>
      <c r="G862" s="2134">
        <f>'Part VI-Revenues &amp; Expenses'!G22</f>
        <v>856</v>
      </c>
      <c r="H862" s="2134">
        <f>'Part VI-Revenues &amp; Expenses'!H22</f>
        <v>701</v>
      </c>
      <c r="I862" s="2134">
        <f>'Part VI-Revenues &amp; Expenses'!I22</f>
        <v>0</v>
      </c>
      <c r="J862" s="2134">
        <f>'Part VI-Revenues &amp; Expenses'!J22</f>
        <v>121</v>
      </c>
      <c r="K862" s="2135">
        <f>'Part VI-Revenues &amp; Expenses'!K22</f>
        <v>0</v>
      </c>
      <c r="L862" s="2136">
        <f t="shared" si="0"/>
        <v>580</v>
      </c>
      <c r="M862" s="2136">
        <f t="shared" si="1"/>
        <v>5220</v>
      </c>
      <c r="N862" s="1917" t="str">
        <f>'Part VI-Revenues &amp; Expenses'!N22</f>
        <v>No</v>
      </c>
      <c r="O862" s="2137" t="str">
        <f>'Part VI-Revenues &amp; Expenses'!O22</f>
        <v>Low-Rise Apt</v>
      </c>
      <c r="P862" s="1917" t="str">
        <f>'Part VI-Revenues &amp; Expenses'!P22</f>
        <v>New Construction</v>
      </c>
      <c r="Q862" s="2138" t="str">
        <f>'Part VI-Revenues &amp; Expenses'!Q22</f>
        <v>No</v>
      </c>
      <c r="R862" s="2139"/>
      <c r="S862" s="2140"/>
      <c r="T862" s="2044"/>
      <c r="U862" s="2044"/>
      <c r="V862" s="2044"/>
      <c r="W862" s="2044"/>
      <c r="X862" s="1853" t="str">
        <f t="shared" si="2"/>
        <v/>
      </c>
      <c r="Y862" s="1853" t="str">
        <f t="shared" si="3"/>
        <v/>
      </c>
      <c r="Z862" s="1853" t="str">
        <f t="shared" si="4"/>
        <v/>
      </c>
      <c r="AA862" s="1853" t="str">
        <f t="shared" si="5"/>
        <v/>
      </c>
      <c r="AB862" s="1853" t="str">
        <f t="shared" si="6"/>
        <v/>
      </c>
      <c r="AC862" s="1853" t="str">
        <f t="shared" si="7"/>
        <v/>
      </c>
      <c r="AD862" s="1853" t="str">
        <f t="shared" si="8"/>
        <v/>
      </c>
      <c r="AE862" s="1853" t="str">
        <f t="shared" si="9"/>
        <v/>
      </c>
      <c r="AF862" s="1853" t="str">
        <f t="shared" si="10"/>
        <v/>
      </c>
      <c r="AG862" s="1853" t="str">
        <f t="shared" si="11"/>
        <v/>
      </c>
      <c r="AH862" s="1853" t="str">
        <f t="shared" si="12"/>
        <v/>
      </c>
      <c r="AI862" s="1853" t="str">
        <f t="shared" si="13"/>
        <v/>
      </c>
      <c r="AJ862" s="1853">
        <f t="shared" si="14"/>
        <v>9</v>
      </c>
      <c r="AK862" s="1853" t="str">
        <f t="shared" si="15"/>
        <v/>
      </c>
      <c r="AL862" s="1853" t="str">
        <f t="shared" si="16"/>
        <v/>
      </c>
      <c r="AM862" s="1853" t="str">
        <f t="shared" si="17"/>
        <v/>
      </c>
      <c r="AN862" s="1853" t="str">
        <f t="shared" si="18"/>
        <v/>
      </c>
      <c r="AO862" s="1853" t="str">
        <f t="shared" si="19"/>
        <v/>
      </c>
      <c r="AP862" s="1853" t="str">
        <f t="shared" si="20"/>
        <v/>
      </c>
      <c r="AQ862" s="1853" t="str">
        <f t="shared" si="21"/>
        <v/>
      </c>
      <c r="AR862" s="1853" t="str">
        <f t="shared" si="22"/>
        <v/>
      </c>
      <c r="AS862" s="1853" t="str">
        <f t="shared" si="23"/>
        <v/>
      </c>
      <c r="AT862" s="1853" t="str">
        <f t="shared" si="24"/>
        <v/>
      </c>
      <c r="AU862" s="1853" t="str">
        <f t="shared" si="25"/>
        <v/>
      </c>
      <c r="AV862" s="1853" t="str">
        <f t="shared" si="26"/>
        <v/>
      </c>
      <c r="AW862" s="1853" t="str">
        <f t="shared" si="27"/>
        <v/>
      </c>
      <c r="AX862" s="1853" t="str">
        <f t="shared" si="28"/>
        <v/>
      </c>
      <c r="AY862" s="1853" t="str">
        <f t="shared" si="29"/>
        <v/>
      </c>
      <c r="AZ862" s="1853" t="str">
        <f t="shared" si="30"/>
        <v/>
      </c>
      <c r="BA862" s="1853" t="str">
        <f t="shared" si="31"/>
        <v/>
      </c>
      <c r="BB862" s="1853" t="str">
        <f t="shared" si="32"/>
        <v/>
      </c>
      <c r="BC862" s="1853" t="str">
        <f t="shared" si="33"/>
        <v/>
      </c>
      <c r="BD862" s="1853" t="str">
        <f t="shared" si="34"/>
        <v/>
      </c>
      <c r="BE862" s="1853" t="str">
        <f t="shared" si="35"/>
        <v/>
      </c>
      <c r="BF862" s="1853" t="str">
        <f t="shared" si="36"/>
        <v/>
      </c>
      <c r="BG862" s="1853" t="str">
        <f t="shared" si="37"/>
        <v/>
      </c>
      <c r="BH862" s="1853" t="str">
        <f t="shared" si="38"/>
        <v/>
      </c>
      <c r="BI862" s="1853" t="str">
        <f t="shared" si="39"/>
        <v/>
      </c>
      <c r="BJ862" s="1853" t="str">
        <f t="shared" si="40"/>
        <v/>
      </c>
      <c r="BK862" s="1853" t="str">
        <f t="shared" si="41"/>
        <v/>
      </c>
      <c r="BL862" s="1853" t="str">
        <f t="shared" si="42"/>
        <v/>
      </c>
      <c r="BM862" s="1853" t="str">
        <f t="shared" si="43"/>
        <v/>
      </c>
      <c r="BN862" s="1853" t="str">
        <f t="shared" si="44"/>
        <v/>
      </c>
      <c r="BO862" s="1853" t="str">
        <f t="shared" si="45"/>
        <v/>
      </c>
      <c r="BP862" s="1853" t="str">
        <f t="shared" si="46"/>
        <v/>
      </c>
      <c r="BQ862" s="1853" t="str">
        <f t="shared" si="47"/>
        <v/>
      </c>
      <c r="BR862" s="1853" t="str">
        <f t="shared" si="48"/>
        <v/>
      </c>
      <c r="BS862" s="1853" t="str">
        <f t="shared" si="49"/>
        <v/>
      </c>
      <c r="BT862" s="1853" t="str">
        <f t="shared" si="50"/>
        <v/>
      </c>
      <c r="BU862" s="1853" t="str">
        <f t="shared" si="51"/>
        <v/>
      </c>
      <c r="BV862" s="1853" t="str">
        <f t="shared" si="52"/>
        <v/>
      </c>
      <c r="BW862" s="1853" t="str">
        <f t="shared" si="53"/>
        <v/>
      </c>
      <c r="BX862" s="1853" t="str">
        <f t="shared" si="54"/>
        <v/>
      </c>
      <c r="BY862" s="1853" t="str">
        <f t="shared" si="55"/>
        <v/>
      </c>
      <c r="BZ862" s="1853" t="str">
        <f t="shared" si="56"/>
        <v/>
      </c>
      <c r="CA862" s="1853" t="str">
        <f t="shared" si="57"/>
        <v/>
      </c>
      <c r="CB862" s="1853" t="str">
        <f t="shared" si="58"/>
        <v/>
      </c>
      <c r="CC862" s="1853" t="str">
        <f t="shared" si="59"/>
        <v/>
      </c>
      <c r="CD862" s="1853" t="str">
        <f t="shared" si="60"/>
        <v/>
      </c>
      <c r="CE862" s="1853" t="str">
        <f t="shared" si="61"/>
        <v/>
      </c>
      <c r="CF862" s="1853" t="str">
        <f t="shared" si="62"/>
        <v/>
      </c>
      <c r="CG862" s="1853" t="str">
        <f t="shared" si="63"/>
        <v/>
      </c>
      <c r="CH862" s="1853" t="str">
        <f t="shared" si="64"/>
        <v/>
      </c>
      <c r="CI862" s="1853" t="str">
        <f t="shared" si="65"/>
        <v/>
      </c>
      <c r="CJ862" s="1853" t="str">
        <f t="shared" si="66"/>
        <v/>
      </c>
      <c r="CK862" s="1853" t="str">
        <f t="shared" si="67"/>
        <v/>
      </c>
      <c r="CL862" s="1853" t="str">
        <f t="shared" si="68"/>
        <v/>
      </c>
      <c r="CM862" s="1853" t="str">
        <f t="shared" si="69"/>
        <v/>
      </c>
      <c r="CN862" s="1853" t="str">
        <f t="shared" si="70"/>
        <v/>
      </c>
      <c r="CO862" s="1853" t="str">
        <f t="shared" si="71"/>
        <v/>
      </c>
      <c r="CP862" s="1853" t="str">
        <f t="shared" si="72"/>
        <v/>
      </c>
      <c r="CQ862" s="1853" t="str">
        <f t="shared" si="73"/>
        <v/>
      </c>
      <c r="CR862" s="1853" t="str">
        <f t="shared" si="74"/>
        <v/>
      </c>
      <c r="CS862" s="1853" t="str">
        <f t="shared" si="75"/>
        <v/>
      </c>
      <c r="CT862" s="1853" t="str">
        <f t="shared" si="76"/>
        <v/>
      </c>
      <c r="CU862" s="1853" t="str">
        <f t="shared" si="77"/>
        <v/>
      </c>
      <c r="CV862" s="1853" t="str">
        <f t="shared" si="78"/>
        <v/>
      </c>
      <c r="CW862" s="1853" t="str">
        <f t="shared" si="79"/>
        <v/>
      </c>
      <c r="CX862" s="1853" t="str">
        <f t="shared" si="80"/>
        <v/>
      </c>
      <c r="CY862" s="1853" t="str">
        <f t="shared" si="81"/>
        <v/>
      </c>
      <c r="CZ862" s="1853" t="str">
        <f t="shared" si="82"/>
        <v/>
      </c>
      <c r="DA862" s="1853" t="str">
        <f t="shared" si="83"/>
        <v/>
      </c>
      <c r="DB862" s="1853" t="str">
        <f t="shared" si="84"/>
        <v/>
      </c>
      <c r="DC862" s="1853" t="str">
        <f t="shared" si="85"/>
        <v/>
      </c>
      <c r="DD862" s="1853" t="str">
        <f t="shared" si="86"/>
        <v/>
      </c>
      <c r="DE862" s="1853" t="str">
        <f t="shared" si="87"/>
        <v/>
      </c>
      <c r="DF862" s="1853" t="str">
        <f t="shared" si="88"/>
        <v/>
      </c>
      <c r="DG862" s="1853" t="str">
        <f t="shared" si="89"/>
        <v/>
      </c>
      <c r="DH862" s="1853" t="str">
        <f t="shared" si="90"/>
        <v/>
      </c>
      <c r="DI862" s="1853" t="str">
        <f t="shared" si="91"/>
        <v/>
      </c>
      <c r="DJ862" s="1853" t="str">
        <f t="shared" si="92"/>
        <v/>
      </c>
      <c r="DK862" s="1853" t="str">
        <f t="shared" si="93"/>
        <v/>
      </c>
      <c r="DL862" s="1853" t="str">
        <f t="shared" si="94"/>
        <v/>
      </c>
      <c r="DM862" s="1853" t="str">
        <f t="shared" si="95"/>
        <v/>
      </c>
      <c r="DN862" s="1853" t="str">
        <f t="shared" si="96"/>
        <v/>
      </c>
      <c r="DO862" s="1853" t="str">
        <f t="shared" si="97"/>
        <v/>
      </c>
      <c r="DP862" s="1853" t="str">
        <f t="shared" si="98"/>
        <v/>
      </c>
      <c r="DQ862" s="1853" t="str">
        <f t="shared" si="99"/>
        <v/>
      </c>
      <c r="DR862" s="1853" t="str">
        <f t="shared" si="100"/>
        <v/>
      </c>
      <c r="DS862" s="1853" t="str">
        <f t="shared" si="101"/>
        <v/>
      </c>
      <c r="DT862" s="1853" t="str">
        <f t="shared" si="102"/>
        <v/>
      </c>
      <c r="DU862" s="1853" t="str">
        <f t="shared" si="103"/>
        <v/>
      </c>
      <c r="DV862" s="1853" t="str">
        <f t="shared" si="104"/>
        <v/>
      </c>
      <c r="DW862" s="1853" t="str">
        <f t="shared" si="105"/>
        <v/>
      </c>
      <c r="DX862" s="1853" t="str">
        <f t="shared" si="106"/>
        <v/>
      </c>
      <c r="DY862" s="1853" t="str">
        <f t="shared" si="107"/>
        <v/>
      </c>
      <c r="DZ862" s="1853" t="str">
        <f t="shared" si="108"/>
        <v/>
      </c>
      <c r="EA862" s="1853" t="str">
        <f t="shared" si="109"/>
        <v/>
      </c>
      <c r="EB862" s="1853" t="str">
        <f t="shared" si="110"/>
        <v/>
      </c>
      <c r="EC862" s="1853" t="str">
        <f t="shared" si="111"/>
        <v/>
      </c>
      <c r="ED862" s="1853" t="str">
        <f t="shared" si="112"/>
        <v/>
      </c>
      <c r="EE862" s="1853" t="str">
        <f t="shared" si="113"/>
        <v/>
      </c>
      <c r="EF862" s="1853" t="str">
        <f t="shared" si="114"/>
        <v/>
      </c>
      <c r="EG862" s="1853" t="str">
        <f t="shared" si="115"/>
        <v/>
      </c>
      <c r="EH862" s="1853" t="str">
        <f t="shared" si="116"/>
        <v/>
      </c>
      <c r="EI862" s="1853" t="str">
        <f t="shared" si="117"/>
        <v/>
      </c>
      <c r="EJ862" s="1853" t="str">
        <f t="shared" si="118"/>
        <v/>
      </c>
      <c r="EK862" s="1853" t="str">
        <f t="shared" si="119"/>
        <v/>
      </c>
      <c r="EL862" s="1853" t="str">
        <f t="shared" si="120"/>
        <v/>
      </c>
      <c r="EM862" s="1853" t="str">
        <f t="shared" si="121"/>
        <v/>
      </c>
      <c r="EN862" s="1853" t="str">
        <f t="shared" si="122"/>
        <v/>
      </c>
      <c r="EO862" s="1853" t="str">
        <f t="shared" si="123"/>
        <v/>
      </c>
      <c r="EP862" s="1853" t="str">
        <f t="shared" si="124"/>
        <v/>
      </c>
      <c r="EQ862" s="1853" t="str">
        <f t="shared" si="125"/>
        <v/>
      </c>
      <c r="ER862" s="1853" t="str">
        <f t="shared" si="126"/>
        <v/>
      </c>
      <c r="ES862" s="1853" t="str">
        <f t="shared" si="127"/>
        <v/>
      </c>
      <c r="ET862" s="1853" t="str">
        <f t="shared" si="128"/>
        <v/>
      </c>
      <c r="EU862" s="1853">
        <f t="shared" si="129"/>
        <v>7920</v>
      </c>
      <c r="EV862" s="1853" t="str">
        <f t="shared" si="130"/>
        <v/>
      </c>
      <c r="EW862" s="1853" t="str">
        <f t="shared" si="131"/>
        <v/>
      </c>
      <c r="EX862" s="1853" t="str">
        <f t="shared" si="132"/>
        <v/>
      </c>
      <c r="EY862" s="1853" t="str">
        <f t="shared" si="133"/>
        <v/>
      </c>
      <c r="EZ862" s="1853" t="str">
        <f t="shared" si="134"/>
        <v/>
      </c>
      <c r="FA862" s="1853" t="str">
        <f t="shared" si="135"/>
        <v/>
      </c>
      <c r="FB862" s="1853" t="str">
        <f t="shared" si="136"/>
        <v/>
      </c>
      <c r="FC862" s="1853" t="str">
        <f t="shared" si="137"/>
        <v/>
      </c>
      <c r="FD862" s="1853" t="str">
        <f t="shared" si="138"/>
        <v/>
      </c>
      <c r="FE862" s="1853" t="str">
        <f t="shared" si="139"/>
        <v/>
      </c>
      <c r="FF862" s="1853" t="str">
        <f t="shared" si="140"/>
        <v/>
      </c>
      <c r="FG862" s="1853" t="str">
        <f t="shared" si="141"/>
        <v/>
      </c>
      <c r="FH862" s="1853" t="str">
        <f t="shared" si="142"/>
        <v/>
      </c>
      <c r="FI862" s="1853" t="str">
        <f t="shared" si="143"/>
        <v/>
      </c>
      <c r="FJ862" s="1853" t="str">
        <f t="shared" si="144"/>
        <v/>
      </c>
      <c r="FK862" s="1853" t="str">
        <f t="shared" si="145"/>
        <v/>
      </c>
      <c r="FL862" s="1853" t="str">
        <f t="shared" si="146"/>
        <v/>
      </c>
      <c r="FM862" s="1853" t="str">
        <f t="shared" si="147"/>
        <v/>
      </c>
      <c r="FN862" s="1853" t="str">
        <f t="shared" si="148"/>
        <v/>
      </c>
      <c r="FO862" s="1853" t="str">
        <f t="shared" si="149"/>
        <v/>
      </c>
      <c r="FP862" s="1853" t="str">
        <f t="shared" si="150"/>
        <v/>
      </c>
      <c r="FQ862" s="1853" t="str">
        <f t="shared" si="151"/>
        <v/>
      </c>
      <c r="FR862" s="1853" t="str">
        <f t="shared" si="152"/>
        <v/>
      </c>
      <c r="FS862" s="1853" t="str">
        <f t="shared" si="153"/>
        <v/>
      </c>
      <c r="FT862" s="1853" t="str">
        <f t="shared" si="154"/>
        <v/>
      </c>
      <c r="FU862" s="1853" t="str">
        <f t="shared" si="155"/>
        <v/>
      </c>
      <c r="FV862" s="1853" t="str">
        <f t="shared" si="156"/>
        <v/>
      </c>
      <c r="FW862" s="1853" t="str">
        <f t="shared" si="157"/>
        <v/>
      </c>
      <c r="FX862" s="1853" t="str">
        <f t="shared" si="158"/>
        <v/>
      </c>
      <c r="FY862" s="1853" t="str">
        <f t="shared" si="159"/>
        <v/>
      </c>
      <c r="FZ862" s="1853" t="str">
        <f t="shared" si="160"/>
        <v/>
      </c>
      <c r="GA862" s="1853" t="str">
        <f t="shared" si="161"/>
        <v/>
      </c>
      <c r="GB862" s="1853" t="str">
        <f t="shared" si="162"/>
        <v/>
      </c>
      <c r="GC862" s="1853" t="str">
        <f t="shared" si="163"/>
        <v/>
      </c>
      <c r="GD862" s="1853" t="str">
        <f t="shared" si="164"/>
        <v/>
      </c>
      <c r="GE862" s="1853" t="str">
        <f t="shared" si="165"/>
        <v/>
      </c>
      <c r="GF862" s="1853" t="str">
        <f t="shared" si="166"/>
        <v/>
      </c>
      <c r="GG862" s="1853" t="str">
        <f t="shared" si="167"/>
        <v/>
      </c>
      <c r="GH862" s="1853" t="str">
        <f t="shared" si="168"/>
        <v/>
      </c>
      <c r="GI862" s="1853">
        <f t="shared" si="169"/>
        <v>9</v>
      </c>
      <c r="GJ862" s="1853" t="str">
        <f t="shared" si="170"/>
        <v/>
      </c>
      <c r="GK862" s="1853" t="str">
        <f t="shared" si="171"/>
        <v/>
      </c>
      <c r="GL862" s="1853" t="str">
        <f t="shared" si="172"/>
        <v/>
      </c>
      <c r="GM862" s="1853" t="str">
        <f t="shared" si="173"/>
        <v/>
      </c>
      <c r="GN862" s="1853" t="str">
        <f t="shared" si="174"/>
        <v/>
      </c>
      <c r="GO862" s="1853" t="str">
        <f t="shared" si="175"/>
        <v/>
      </c>
      <c r="GP862" s="1853" t="str">
        <f t="shared" si="176"/>
        <v/>
      </c>
      <c r="GQ862" s="1853" t="str">
        <f t="shared" si="177"/>
        <v/>
      </c>
      <c r="GR862" s="1853" t="str">
        <f t="shared" si="178"/>
        <v/>
      </c>
      <c r="GS862" s="1853" t="str">
        <f t="shared" si="179"/>
        <v/>
      </c>
      <c r="GT862" s="1853" t="str">
        <f t="shared" si="180"/>
        <v/>
      </c>
      <c r="GU862" s="1853" t="str">
        <f t="shared" si="181"/>
        <v/>
      </c>
      <c r="GV862" s="1853" t="str">
        <f t="shared" si="182"/>
        <v/>
      </c>
      <c r="GW862" s="1853" t="str">
        <f t="shared" si="183"/>
        <v/>
      </c>
      <c r="GX862" s="1853" t="str">
        <f t="shared" si="184"/>
        <v/>
      </c>
      <c r="GY862" s="1853" t="str">
        <f t="shared" si="185"/>
        <v/>
      </c>
      <c r="GZ862" s="1853" t="str">
        <f t="shared" si="186"/>
        <v/>
      </c>
      <c r="HA862" s="1853" t="str">
        <f t="shared" si="187"/>
        <v/>
      </c>
      <c r="HB862" s="1853" t="str">
        <f t="shared" si="188"/>
        <v/>
      </c>
      <c r="HC862" s="1853" t="str">
        <f t="shared" si="189"/>
        <v/>
      </c>
      <c r="HD862" s="1853" t="str">
        <f t="shared" si="190"/>
        <v/>
      </c>
      <c r="HE862" s="1853" t="str">
        <f t="shared" si="191"/>
        <v/>
      </c>
      <c r="HF862" s="1853" t="str">
        <f t="shared" si="192"/>
        <v/>
      </c>
      <c r="HG862" s="1853" t="str">
        <f t="shared" si="193"/>
        <v/>
      </c>
      <c r="HH862" s="1853" t="str">
        <f t="shared" si="194"/>
        <v/>
      </c>
      <c r="HI862" s="1853" t="str">
        <f t="shared" si="195"/>
        <v/>
      </c>
      <c r="HJ862" s="1853" t="str">
        <f t="shared" si="196"/>
        <v/>
      </c>
      <c r="HK862" s="1853" t="str">
        <f t="shared" si="197"/>
        <v/>
      </c>
      <c r="HL862" s="1853" t="str">
        <f t="shared" si="198"/>
        <v/>
      </c>
      <c r="HM862" s="1853" t="str">
        <f t="shared" si="199"/>
        <v/>
      </c>
      <c r="HN862" s="1853" t="str">
        <f t="shared" si="200"/>
        <v/>
      </c>
      <c r="HO862" s="1853" t="str">
        <f t="shared" si="201"/>
        <v/>
      </c>
      <c r="HP862" s="1853" t="str">
        <f t="shared" si="202"/>
        <v/>
      </c>
      <c r="HQ862" s="1853" t="str">
        <f t="shared" si="203"/>
        <v/>
      </c>
      <c r="HR862" s="1853" t="str">
        <f t="shared" si="204"/>
        <v/>
      </c>
      <c r="HS862" s="1853" t="str">
        <f t="shared" si="205"/>
        <v/>
      </c>
      <c r="HT862" s="1853" t="str">
        <f t="shared" si="206"/>
        <v/>
      </c>
      <c r="HU862" s="1853" t="str">
        <f t="shared" si="207"/>
        <v/>
      </c>
      <c r="HV862" s="1853" t="str">
        <f t="shared" si="208"/>
        <v/>
      </c>
      <c r="HW862" s="1853" t="str">
        <f t="shared" si="209"/>
        <v/>
      </c>
      <c r="HX862" s="1853" t="str">
        <f t="shared" si="210"/>
        <v/>
      </c>
      <c r="HY862" s="1853" t="str">
        <f t="shared" si="211"/>
        <v/>
      </c>
      <c r="HZ862" s="2141" t="str">
        <f t="shared" si="212"/>
        <v/>
      </c>
      <c r="IA862" s="2141" t="str">
        <f t="shared" si="213"/>
        <v/>
      </c>
      <c r="IB862" s="2141">
        <f t="shared" si="214"/>
        <v>9</v>
      </c>
      <c r="IC862" s="2141" t="str">
        <f t="shared" si="215"/>
        <v/>
      </c>
      <c r="ID862" s="2141" t="str">
        <f t="shared" si="216"/>
        <v/>
      </c>
      <c r="IE862" s="2141" t="str">
        <f t="shared" si="217"/>
        <v/>
      </c>
      <c r="IF862" s="2141" t="str">
        <f t="shared" si="218"/>
        <v/>
      </c>
      <c r="IG862" s="2141" t="str">
        <f t="shared" si="219"/>
        <v/>
      </c>
      <c r="IH862" s="2141" t="str">
        <f t="shared" si="220"/>
        <v/>
      </c>
      <c r="II862" s="2141" t="str">
        <f t="shared" si="221"/>
        <v/>
      </c>
      <c r="IJ862" s="2141" t="str">
        <f t="shared" si="222"/>
        <v/>
      </c>
      <c r="IK862" s="2141" t="str">
        <f t="shared" si="223"/>
        <v/>
      </c>
      <c r="IL862" s="2141" t="str">
        <f t="shared" si="224"/>
        <v/>
      </c>
      <c r="IM862" s="2141" t="str">
        <f t="shared" si="225"/>
        <v/>
      </c>
      <c r="IN862" s="2141" t="str">
        <f t="shared" si="226"/>
        <v/>
      </c>
      <c r="IO862" s="2141" t="str">
        <f t="shared" si="227"/>
        <v/>
      </c>
      <c r="IP862" s="2141" t="str">
        <f t="shared" si="228"/>
        <v/>
      </c>
      <c r="IQ862" s="2141" t="str">
        <f t="shared" si="229"/>
        <v/>
      </c>
      <c r="IR862" s="2141" t="str">
        <f t="shared" si="230"/>
        <v/>
      </c>
      <c r="IS862" s="2141" t="str">
        <f t="shared" si="231"/>
        <v/>
      </c>
      <c r="IT862" s="2141" t="str">
        <f t="shared" si="232"/>
        <v/>
      </c>
      <c r="IU862" s="2141" t="str">
        <f t="shared" si="233"/>
        <v/>
      </c>
      <c r="IV862" s="2141" t="str">
        <f t="shared" si="234"/>
        <v/>
      </c>
      <c r="IW862" s="2141" t="str">
        <f t="shared" si="235"/>
        <v/>
      </c>
      <c r="IX862" s="2141" t="str">
        <f t="shared" si="236"/>
        <v/>
      </c>
      <c r="IY862" s="2141" t="str">
        <f t="shared" si="237"/>
        <v/>
      </c>
      <c r="IZ862" s="2141" t="str">
        <f t="shared" si="238"/>
        <v/>
      </c>
      <c r="JA862" s="2141" t="str">
        <f t="shared" si="239"/>
        <v/>
      </c>
      <c r="JB862" s="2141" t="str">
        <f t="shared" si="240"/>
        <v/>
      </c>
      <c r="JC862" s="2141" t="str">
        <f t="shared" si="241"/>
        <v/>
      </c>
      <c r="JD862" s="2141" t="str">
        <f t="shared" si="242"/>
        <v/>
      </c>
      <c r="JE862" s="2141" t="str">
        <f t="shared" si="243"/>
        <v/>
      </c>
      <c r="JF862" s="2141" t="str">
        <f t="shared" si="244"/>
        <v/>
      </c>
      <c r="JG862" s="2141" t="str">
        <f t="shared" si="245"/>
        <v/>
      </c>
      <c r="JH862" s="2141" t="str">
        <f t="shared" si="246"/>
        <v/>
      </c>
      <c r="JI862" s="2141" t="str">
        <f t="shared" si="247"/>
        <v/>
      </c>
      <c r="JJ862" s="2141" t="str">
        <f t="shared" si="248"/>
        <v/>
      </c>
      <c r="JK862" s="2141" t="str">
        <f t="shared" si="249"/>
        <v/>
      </c>
      <c r="JL862" s="2141" t="str">
        <f t="shared" si="250"/>
        <v/>
      </c>
      <c r="JM862" s="2141" t="str">
        <f t="shared" si="251"/>
        <v/>
      </c>
      <c r="JN862" s="2141" t="str">
        <f t="shared" si="252"/>
        <v/>
      </c>
      <c r="JO862" s="2141" t="str">
        <f t="shared" si="253"/>
        <v/>
      </c>
      <c r="JP862" s="2141" t="str">
        <f t="shared" si="254"/>
        <v/>
      </c>
      <c r="JQ862" s="2141" t="str">
        <f t="shared" si="255"/>
        <v/>
      </c>
      <c r="JR862" s="2141" t="str">
        <f t="shared" si="256"/>
        <v/>
      </c>
      <c r="JS862" s="2141" t="str">
        <f t="shared" si="257"/>
        <v/>
      </c>
      <c r="JT862" s="2141" t="str">
        <f t="shared" si="258"/>
        <v/>
      </c>
      <c r="JU862" s="2141">
        <f t="shared" si="259"/>
        <v>9</v>
      </c>
      <c r="JV862" s="2141" t="str">
        <f t="shared" si="260"/>
        <v/>
      </c>
      <c r="JW862" s="2141" t="str">
        <f t="shared" si="261"/>
        <v/>
      </c>
      <c r="JX862" s="2141" t="str">
        <f t="shared" si="262"/>
        <v/>
      </c>
      <c r="JY862" s="2141" t="str">
        <f t="shared" si="263"/>
        <v/>
      </c>
      <c r="JZ862" s="2141" t="str">
        <f t="shared" si="264"/>
        <v/>
      </c>
      <c r="KA862" s="2141" t="str">
        <f t="shared" si="265"/>
        <v/>
      </c>
      <c r="KB862" s="2141" t="str">
        <f t="shared" si="266"/>
        <v/>
      </c>
      <c r="KC862" s="2141" t="str">
        <f t="shared" si="267"/>
        <v/>
      </c>
      <c r="KD862" s="2141" t="str">
        <f t="shared" si="268"/>
        <v/>
      </c>
      <c r="KE862" s="2141" t="str">
        <f t="shared" si="269"/>
        <v/>
      </c>
      <c r="KF862" s="2141" t="str">
        <f t="shared" si="270"/>
        <v/>
      </c>
      <c r="KG862" s="2141" t="str">
        <f t="shared" si="271"/>
        <v/>
      </c>
      <c r="KH862" s="2141" t="str">
        <f t="shared" si="272"/>
        <v/>
      </c>
      <c r="KI862" s="2141" t="str">
        <f t="shared" si="273"/>
        <v/>
      </c>
      <c r="KJ862" s="2141" t="str">
        <f t="shared" si="274"/>
        <v/>
      </c>
      <c r="KK862" s="2141" t="str">
        <f t="shared" si="275"/>
        <v/>
      </c>
      <c r="KL862" s="2141" t="str">
        <f t="shared" si="276"/>
        <v/>
      </c>
      <c r="KM862" s="2141" t="str">
        <f t="shared" si="277"/>
        <v/>
      </c>
      <c r="KN862" s="2141" t="str">
        <f t="shared" si="278"/>
        <v/>
      </c>
      <c r="KO862" s="2141" t="str">
        <f t="shared" si="279"/>
        <v/>
      </c>
      <c r="KP862" s="2141" t="str">
        <f t="shared" si="280"/>
        <v/>
      </c>
      <c r="KQ862" s="2141" t="str">
        <f t="shared" si="281"/>
        <v/>
      </c>
      <c r="KR862" s="2141" t="str">
        <f t="shared" si="282"/>
        <v/>
      </c>
      <c r="KS862" s="2141" t="str">
        <f t="shared" si="283"/>
        <v/>
      </c>
      <c r="KT862" s="2141" t="str">
        <f t="shared" si="284"/>
        <v/>
      </c>
      <c r="KU862" s="2141" t="str">
        <f t="shared" si="285"/>
        <v/>
      </c>
      <c r="KV862" s="2141" t="str">
        <f t="shared" si="286"/>
        <v/>
      </c>
      <c r="KW862" s="2141" t="str">
        <f t="shared" si="287"/>
        <v/>
      </c>
      <c r="KX862" s="2141" t="str">
        <f t="shared" si="288"/>
        <v/>
      </c>
      <c r="KY862" s="2141" t="str">
        <f t="shared" si="289"/>
        <v/>
      </c>
      <c r="KZ862" s="2141" t="str">
        <f t="shared" si="290"/>
        <v/>
      </c>
      <c r="LA862" s="2141" t="str">
        <f t="shared" si="291"/>
        <v/>
      </c>
      <c r="LB862" s="2141" t="str">
        <f t="shared" si="292"/>
        <v/>
      </c>
      <c r="LC862" s="2141" t="str">
        <f t="shared" si="293"/>
        <v/>
      </c>
      <c r="LD862" s="2141" t="str">
        <f t="shared" si="294"/>
        <v/>
      </c>
      <c r="LE862" s="2141" t="str">
        <f t="shared" si="295"/>
        <v/>
      </c>
      <c r="LF862" s="2141" t="str">
        <f t="shared" si="296"/>
        <v/>
      </c>
      <c r="LG862" s="2052" t="str">
        <f t="shared" si="297"/>
        <v/>
      </c>
      <c r="LH862" s="2052" t="str">
        <f t="shared" si="298"/>
        <v/>
      </c>
      <c r="LI862" s="2052" t="str">
        <f t="shared" si="299"/>
        <v/>
      </c>
      <c r="LJ862" s="2052" t="str">
        <f t="shared" si="300"/>
        <v/>
      </c>
      <c r="LK862" s="2052" t="str">
        <f t="shared" si="301"/>
        <v/>
      </c>
      <c r="LL862" s="1853" t="str">
        <f t="shared" si="302"/>
        <v/>
      </c>
      <c r="LM862" s="1853" t="str">
        <f t="shared" si="303"/>
        <v/>
      </c>
      <c r="LN862" s="1853" t="str">
        <f t="shared" si="304"/>
        <v/>
      </c>
      <c r="LO862" s="1853" t="str">
        <f t="shared" si="305"/>
        <v/>
      </c>
      <c r="LP862" s="1853" t="str">
        <f t="shared" si="306"/>
        <v/>
      </c>
      <c r="LQ862" s="1853" t="str">
        <f t="shared" si="307"/>
        <v/>
      </c>
      <c r="LR862" s="1853" t="str">
        <f t="shared" si="308"/>
        <v/>
      </c>
      <c r="LS862" s="1853" t="str">
        <f t="shared" si="309"/>
        <v/>
      </c>
      <c r="LT862" s="1853" t="str">
        <f t="shared" si="310"/>
        <v/>
      </c>
      <c r="LU862" s="1853" t="str">
        <f t="shared" si="311"/>
        <v/>
      </c>
      <c r="LV862" s="1853" t="str">
        <f t="shared" si="312"/>
        <v/>
      </c>
      <c r="LW862" s="1853" t="str">
        <f t="shared" si="313"/>
        <v/>
      </c>
      <c r="LX862" s="1853" t="str">
        <f t="shared" si="314"/>
        <v/>
      </c>
      <c r="LY862" s="1853" t="str">
        <f t="shared" si="315"/>
        <v/>
      </c>
      <c r="LZ862" s="1853" t="str">
        <f t="shared" si="316"/>
        <v/>
      </c>
      <c r="MA862" s="1853" t="str">
        <f t="shared" si="317"/>
        <v/>
      </c>
      <c r="MB862" s="1853" t="str">
        <f t="shared" si="318"/>
        <v/>
      </c>
      <c r="MC862" s="1853" t="str">
        <f t="shared" si="319"/>
        <v/>
      </c>
      <c r="MD862" s="1853" t="str">
        <f t="shared" si="320"/>
        <v/>
      </c>
      <c r="ME862" s="1853" t="str">
        <f t="shared" si="321"/>
        <v/>
      </c>
      <c r="MF862" s="2052">
        <f t="shared" si="328"/>
        <v>0</v>
      </c>
      <c r="MG862" s="2052">
        <f t="shared" si="329"/>
        <v>0</v>
      </c>
      <c r="MH862" s="2052">
        <f t="shared" si="330"/>
        <v>0</v>
      </c>
      <c r="MI862" s="2052">
        <f t="shared" si="331"/>
        <v>0</v>
      </c>
      <c r="MJ862" s="2052">
        <f t="shared" si="332"/>
        <v>0</v>
      </c>
      <c r="MK862" s="2052">
        <f t="shared" si="333"/>
        <v>0</v>
      </c>
      <c r="ML862" s="2052">
        <f t="shared" si="334"/>
        <v>0</v>
      </c>
      <c r="MM862" s="2052">
        <f t="shared" si="335"/>
        <v>9</v>
      </c>
      <c r="MN862" s="2052">
        <f t="shared" si="336"/>
        <v>0</v>
      </c>
      <c r="MO862" s="2052">
        <f t="shared" si="337"/>
        <v>0</v>
      </c>
      <c r="MP862" s="2052">
        <f t="shared" si="322"/>
        <v>0</v>
      </c>
      <c r="MQ862" s="2052">
        <f t="shared" si="323"/>
        <v>0</v>
      </c>
      <c r="MR862" s="2052">
        <f t="shared" si="324"/>
        <v>0</v>
      </c>
      <c r="MS862" s="2052">
        <f t="shared" si="325"/>
        <v>0</v>
      </c>
      <c r="MT862" s="2052">
        <f t="shared" si="326"/>
        <v>0</v>
      </c>
      <c r="NP862" s="1925" t="s">
        <v>6728</v>
      </c>
    </row>
    <row r="863" spans="1:380" s="1853" customFormat="1" ht="13.9" customHeight="1">
      <c r="A863" s="2109" t="str">
        <f t="shared" si="327"/>
        <v/>
      </c>
      <c r="B863" s="2131">
        <f>'Part VI-Revenues &amp; Expenses'!B23</f>
        <v>60</v>
      </c>
      <c r="C863" s="2132">
        <f>'Part VI-Revenues &amp; Expenses'!C23</f>
        <v>3</v>
      </c>
      <c r="D863" s="2133">
        <f>'Part VI-Revenues &amp; Expenses'!D23</f>
        <v>2</v>
      </c>
      <c r="E863" s="2134">
        <f>'Part VI-Revenues &amp; Expenses'!E23</f>
        <v>10</v>
      </c>
      <c r="F863" s="2134">
        <f>'Part VI-Revenues &amp; Expenses'!F23</f>
        <v>1180</v>
      </c>
      <c r="G863" s="2134">
        <f>'Part VI-Revenues &amp; Expenses'!G23</f>
        <v>989</v>
      </c>
      <c r="H863" s="2134">
        <f>'Part VI-Revenues &amp; Expenses'!H23</f>
        <v>830</v>
      </c>
      <c r="I863" s="2134">
        <f>'Part VI-Revenues &amp; Expenses'!I23</f>
        <v>0</v>
      </c>
      <c r="J863" s="2134">
        <f>'Part VI-Revenues &amp; Expenses'!J23</f>
        <v>149</v>
      </c>
      <c r="K863" s="2135">
        <f>'Part VI-Revenues &amp; Expenses'!K23</f>
        <v>0</v>
      </c>
      <c r="L863" s="2136">
        <f t="shared" si="0"/>
        <v>681</v>
      </c>
      <c r="M863" s="2136">
        <f t="shared" si="1"/>
        <v>6810</v>
      </c>
      <c r="N863" s="1917" t="str">
        <f>'Part VI-Revenues &amp; Expenses'!N23</f>
        <v>No</v>
      </c>
      <c r="O863" s="2137" t="str">
        <f>'Part VI-Revenues &amp; Expenses'!O23</f>
        <v>Low-Rise Apt</v>
      </c>
      <c r="P863" s="1917" t="str">
        <f>'Part VI-Revenues &amp; Expenses'!P23</f>
        <v>New Construction</v>
      </c>
      <c r="Q863" s="2138" t="str">
        <f>'Part VI-Revenues &amp; Expenses'!Q23</f>
        <v>No</v>
      </c>
      <c r="R863" s="2139"/>
      <c r="S863" s="2140"/>
      <c r="T863" s="2044"/>
      <c r="U863" s="2044"/>
      <c r="V863" s="2044"/>
      <c r="W863" s="2044"/>
      <c r="X863" s="1853" t="str">
        <f t="shared" si="2"/>
        <v/>
      </c>
      <c r="Y863" s="1853" t="str">
        <f t="shared" si="3"/>
        <v/>
      </c>
      <c r="Z863" s="1853" t="str">
        <f t="shared" si="4"/>
        <v/>
      </c>
      <c r="AA863" s="1853" t="str">
        <f t="shared" si="5"/>
        <v/>
      </c>
      <c r="AB863" s="1853" t="str">
        <f t="shared" si="6"/>
        <v/>
      </c>
      <c r="AC863" s="1853" t="str">
        <f t="shared" si="7"/>
        <v/>
      </c>
      <c r="AD863" s="1853" t="str">
        <f t="shared" si="8"/>
        <v/>
      </c>
      <c r="AE863" s="1853" t="str">
        <f t="shared" si="9"/>
        <v/>
      </c>
      <c r="AF863" s="1853" t="str">
        <f t="shared" si="10"/>
        <v/>
      </c>
      <c r="AG863" s="1853" t="str">
        <f t="shared" si="11"/>
        <v/>
      </c>
      <c r="AH863" s="1853" t="str">
        <f t="shared" si="12"/>
        <v/>
      </c>
      <c r="AI863" s="1853" t="str">
        <f t="shared" si="13"/>
        <v/>
      </c>
      <c r="AJ863" s="1853" t="str">
        <f t="shared" si="14"/>
        <v/>
      </c>
      <c r="AK863" s="1853">
        <f t="shared" si="15"/>
        <v>10</v>
      </c>
      <c r="AL863" s="1853" t="str">
        <f t="shared" si="16"/>
        <v/>
      </c>
      <c r="AM863" s="1853" t="str">
        <f t="shared" si="17"/>
        <v/>
      </c>
      <c r="AN863" s="1853" t="str">
        <f t="shared" si="18"/>
        <v/>
      </c>
      <c r="AO863" s="1853" t="str">
        <f t="shared" si="19"/>
        <v/>
      </c>
      <c r="AP863" s="1853" t="str">
        <f t="shared" si="20"/>
        <v/>
      </c>
      <c r="AQ863" s="1853" t="str">
        <f t="shared" si="21"/>
        <v/>
      </c>
      <c r="AR863" s="1853" t="str">
        <f t="shared" si="22"/>
        <v/>
      </c>
      <c r="AS863" s="1853" t="str">
        <f t="shared" si="23"/>
        <v/>
      </c>
      <c r="AT863" s="1853" t="str">
        <f t="shared" si="24"/>
        <v/>
      </c>
      <c r="AU863" s="1853" t="str">
        <f t="shared" si="25"/>
        <v/>
      </c>
      <c r="AV863" s="1853" t="str">
        <f t="shared" si="26"/>
        <v/>
      </c>
      <c r="AW863" s="1853" t="str">
        <f t="shared" si="27"/>
        <v/>
      </c>
      <c r="AX863" s="1853" t="str">
        <f t="shared" si="28"/>
        <v/>
      </c>
      <c r="AY863" s="1853" t="str">
        <f t="shared" si="29"/>
        <v/>
      </c>
      <c r="AZ863" s="1853" t="str">
        <f t="shared" si="30"/>
        <v/>
      </c>
      <c r="BA863" s="1853" t="str">
        <f t="shared" si="31"/>
        <v/>
      </c>
      <c r="BB863" s="1853" t="str">
        <f t="shared" si="32"/>
        <v/>
      </c>
      <c r="BC863" s="1853" t="str">
        <f t="shared" si="33"/>
        <v/>
      </c>
      <c r="BD863" s="1853" t="str">
        <f t="shared" si="34"/>
        <v/>
      </c>
      <c r="BE863" s="1853" t="str">
        <f t="shared" si="35"/>
        <v/>
      </c>
      <c r="BF863" s="1853" t="str">
        <f t="shared" si="36"/>
        <v/>
      </c>
      <c r="BG863" s="1853" t="str">
        <f t="shared" si="37"/>
        <v/>
      </c>
      <c r="BH863" s="1853" t="str">
        <f t="shared" si="38"/>
        <v/>
      </c>
      <c r="BI863" s="1853" t="str">
        <f t="shared" si="39"/>
        <v/>
      </c>
      <c r="BJ863" s="1853" t="str">
        <f t="shared" si="40"/>
        <v/>
      </c>
      <c r="BK863" s="1853" t="str">
        <f t="shared" si="41"/>
        <v/>
      </c>
      <c r="BL863" s="1853" t="str">
        <f t="shared" si="42"/>
        <v/>
      </c>
      <c r="BM863" s="1853" t="str">
        <f t="shared" si="43"/>
        <v/>
      </c>
      <c r="BN863" s="1853" t="str">
        <f t="shared" si="44"/>
        <v/>
      </c>
      <c r="BO863" s="1853" t="str">
        <f t="shared" si="45"/>
        <v/>
      </c>
      <c r="BP863" s="1853" t="str">
        <f t="shared" si="46"/>
        <v/>
      </c>
      <c r="BQ863" s="1853" t="str">
        <f t="shared" si="47"/>
        <v/>
      </c>
      <c r="BR863" s="1853" t="str">
        <f t="shared" si="48"/>
        <v/>
      </c>
      <c r="BS863" s="1853" t="str">
        <f t="shared" si="49"/>
        <v/>
      </c>
      <c r="BT863" s="1853" t="str">
        <f t="shared" si="50"/>
        <v/>
      </c>
      <c r="BU863" s="1853" t="str">
        <f t="shared" si="51"/>
        <v/>
      </c>
      <c r="BV863" s="1853" t="str">
        <f t="shared" si="52"/>
        <v/>
      </c>
      <c r="BW863" s="1853" t="str">
        <f t="shared" si="53"/>
        <v/>
      </c>
      <c r="BX863" s="1853" t="str">
        <f t="shared" si="54"/>
        <v/>
      </c>
      <c r="BY863" s="1853" t="str">
        <f t="shared" si="55"/>
        <v/>
      </c>
      <c r="BZ863" s="1853" t="str">
        <f t="shared" si="56"/>
        <v/>
      </c>
      <c r="CA863" s="1853" t="str">
        <f t="shared" si="57"/>
        <v/>
      </c>
      <c r="CB863" s="1853" t="str">
        <f t="shared" si="58"/>
        <v/>
      </c>
      <c r="CC863" s="1853" t="str">
        <f t="shared" si="59"/>
        <v/>
      </c>
      <c r="CD863" s="1853" t="str">
        <f t="shared" si="60"/>
        <v/>
      </c>
      <c r="CE863" s="1853" t="str">
        <f t="shared" si="61"/>
        <v/>
      </c>
      <c r="CF863" s="1853" t="str">
        <f t="shared" si="62"/>
        <v/>
      </c>
      <c r="CG863" s="1853" t="str">
        <f t="shared" si="63"/>
        <v/>
      </c>
      <c r="CH863" s="1853" t="str">
        <f t="shared" si="64"/>
        <v/>
      </c>
      <c r="CI863" s="1853" t="str">
        <f t="shared" si="65"/>
        <v/>
      </c>
      <c r="CJ863" s="1853" t="str">
        <f t="shared" si="66"/>
        <v/>
      </c>
      <c r="CK863" s="1853" t="str">
        <f t="shared" si="67"/>
        <v/>
      </c>
      <c r="CL863" s="1853" t="str">
        <f t="shared" si="68"/>
        <v/>
      </c>
      <c r="CM863" s="1853" t="str">
        <f t="shared" si="69"/>
        <v/>
      </c>
      <c r="CN863" s="1853" t="str">
        <f t="shared" si="70"/>
        <v/>
      </c>
      <c r="CO863" s="1853" t="str">
        <f t="shared" si="71"/>
        <v/>
      </c>
      <c r="CP863" s="1853" t="str">
        <f t="shared" si="72"/>
        <v/>
      </c>
      <c r="CQ863" s="1853" t="str">
        <f t="shared" si="73"/>
        <v/>
      </c>
      <c r="CR863" s="1853" t="str">
        <f t="shared" si="74"/>
        <v/>
      </c>
      <c r="CS863" s="1853" t="str">
        <f t="shared" si="75"/>
        <v/>
      </c>
      <c r="CT863" s="1853" t="str">
        <f t="shared" si="76"/>
        <v/>
      </c>
      <c r="CU863" s="1853" t="str">
        <f t="shared" si="77"/>
        <v/>
      </c>
      <c r="CV863" s="1853" t="str">
        <f t="shared" si="78"/>
        <v/>
      </c>
      <c r="CW863" s="1853" t="str">
        <f t="shared" si="79"/>
        <v/>
      </c>
      <c r="CX863" s="1853" t="str">
        <f t="shared" si="80"/>
        <v/>
      </c>
      <c r="CY863" s="1853" t="str">
        <f t="shared" si="81"/>
        <v/>
      </c>
      <c r="CZ863" s="1853" t="str">
        <f t="shared" si="82"/>
        <v/>
      </c>
      <c r="DA863" s="1853" t="str">
        <f t="shared" si="83"/>
        <v/>
      </c>
      <c r="DB863" s="1853" t="str">
        <f t="shared" si="84"/>
        <v/>
      </c>
      <c r="DC863" s="1853" t="str">
        <f t="shared" si="85"/>
        <v/>
      </c>
      <c r="DD863" s="1853" t="str">
        <f t="shared" si="86"/>
        <v/>
      </c>
      <c r="DE863" s="1853" t="str">
        <f t="shared" si="87"/>
        <v/>
      </c>
      <c r="DF863" s="1853" t="str">
        <f t="shared" si="88"/>
        <v/>
      </c>
      <c r="DG863" s="1853" t="str">
        <f t="shared" si="89"/>
        <v/>
      </c>
      <c r="DH863" s="1853" t="str">
        <f t="shared" si="90"/>
        <v/>
      </c>
      <c r="DI863" s="1853" t="str">
        <f t="shared" si="91"/>
        <v/>
      </c>
      <c r="DJ863" s="1853" t="str">
        <f t="shared" si="92"/>
        <v/>
      </c>
      <c r="DK863" s="1853" t="str">
        <f t="shared" si="93"/>
        <v/>
      </c>
      <c r="DL863" s="1853" t="str">
        <f t="shared" si="94"/>
        <v/>
      </c>
      <c r="DM863" s="1853" t="str">
        <f t="shared" si="95"/>
        <v/>
      </c>
      <c r="DN863" s="1853" t="str">
        <f t="shared" si="96"/>
        <v/>
      </c>
      <c r="DO863" s="1853" t="str">
        <f t="shared" si="97"/>
        <v/>
      </c>
      <c r="DP863" s="1853" t="str">
        <f t="shared" si="98"/>
        <v/>
      </c>
      <c r="DQ863" s="1853" t="str">
        <f t="shared" si="99"/>
        <v/>
      </c>
      <c r="DR863" s="1853" t="str">
        <f t="shared" si="100"/>
        <v/>
      </c>
      <c r="DS863" s="1853" t="str">
        <f t="shared" si="101"/>
        <v/>
      </c>
      <c r="DT863" s="1853" t="str">
        <f t="shared" si="102"/>
        <v/>
      </c>
      <c r="DU863" s="1853" t="str">
        <f t="shared" si="103"/>
        <v/>
      </c>
      <c r="DV863" s="1853" t="str">
        <f t="shared" si="104"/>
        <v/>
      </c>
      <c r="DW863" s="1853" t="str">
        <f t="shared" si="105"/>
        <v/>
      </c>
      <c r="DX863" s="1853" t="str">
        <f t="shared" si="106"/>
        <v/>
      </c>
      <c r="DY863" s="1853" t="str">
        <f t="shared" si="107"/>
        <v/>
      </c>
      <c r="DZ863" s="1853" t="str">
        <f t="shared" si="108"/>
        <v/>
      </c>
      <c r="EA863" s="1853" t="str">
        <f t="shared" si="109"/>
        <v/>
      </c>
      <c r="EB863" s="1853" t="str">
        <f t="shared" si="110"/>
        <v/>
      </c>
      <c r="EC863" s="1853" t="str">
        <f t="shared" si="111"/>
        <v/>
      </c>
      <c r="ED863" s="1853" t="str">
        <f t="shared" si="112"/>
        <v/>
      </c>
      <c r="EE863" s="1853" t="str">
        <f t="shared" si="113"/>
        <v/>
      </c>
      <c r="EF863" s="1853" t="str">
        <f t="shared" si="114"/>
        <v/>
      </c>
      <c r="EG863" s="1853" t="str">
        <f t="shared" si="115"/>
        <v/>
      </c>
      <c r="EH863" s="1853" t="str">
        <f t="shared" si="116"/>
        <v/>
      </c>
      <c r="EI863" s="1853" t="str">
        <f t="shared" si="117"/>
        <v/>
      </c>
      <c r="EJ863" s="1853" t="str">
        <f t="shared" si="118"/>
        <v/>
      </c>
      <c r="EK863" s="1853" t="str">
        <f t="shared" si="119"/>
        <v/>
      </c>
      <c r="EL863" s="1853" t="str">
        <f t="shared" si="120"/>
        <v/>
      </c>
      <c r="EM863" s="1853" t="str">
        <f t="shared" si="121"/>
        <v/>
      </c>
      <c r="EN863" s="1853" t="str">
        <f t="shared" si="122"/>
        <v/>
      </c>
      <c r="EO863" s="1853" t="str">
        <f t="shared" si="123"/>
        <v/>
      </c>
      <c r="EP863" s="1853" t="str">
        <f t="shared" si="124"/>
        <v/>
      </c>
      <c r="EQ863" s="1853" t="str">
        <f t="shared" si="125"/>
        <v/>
      </c>
      <c r="ER863" s="1853" t="str">
        <f t="shared" si="126"/>
        <v/>
      </c>
      <c r="ES863" s="1853" t="str">
        <f t="shared" si="127"/>
        <v/>
      </c>
      <c r="ET863" s="1853" t="str">
        <f t="shared" si="128"/>
        <v/>
      </c>
      <c r="EU863" s="1853" t="str">
        <f t="shared" si="129"/>
        <v/>
      </c>
      <c r="EV863" s="1853">
        <f t="shared" si="130"/>
        <v>11800</v>
      </c>
      <c r="EW863" s="1853" t="str">
        <f t="shared" si="131"/>
        <v/>
      </c>
      <c r="EX863" s="1853" t="str">
        <f t="shared" si="132"/>
        <v/>
      </c>
      <c r="EY863" s="1853" t="str">
        <f t="shared" si="133"/>
        <v/>
      </c>
      <c r="EZ863" s="1853" t="str">
        <f t="shared" si="134"/>
        <v/>
      </c>
      <c r="FA863" s="1853" t="str">
        <f t="shared" si="135"/>
        <v/>
      </c>
      <c r="FB863" s="1853" t="str">
        <f t="shared" si="136"/>
        <v/>
      </c>
      <c r="FC863" s="1853" t="str">
        <f t="shared" si="137"/>
        <v/>
      </c>
      <c r="FD863" s="1853" t="str">
        <f t="shared" si="138"/>
        <v/>
      </c>
      <c r="FE863" s="1853" t="str">
        <f t="shared" si="139"/>
        <v/>
      </c>
      <c r="FF863" s="1853" t="str">
        <f t="shared" si="140"/>
        <v/>
      </c>
      <c r="FG863" s="1853" t="str">
        <f t="shared" si="141"/>
        <v/>
      </c>
      <c r="FH863" s="1853" t="str">
        <f t="shared" si="142"/>
        <v/>
      </c>
      <c r="FI863" s="1853" t="str">
        <f t="shared" si="143"/>
        <v/>
      </c>
      <c r="FJ863" s="1853" t="str">
        <f t="shared" si="144"/>
        <v/>
      </c>
      <c r="FK863" s="1853" t="str">
        <f t="shared" si="145"/>
        <v/>
      </c>
      <c r="FL863" s="1853" t="str">
        <f t="shared" si="146"/>
        <v/>
      </c>
      <c r="FM863" s="1853" t="str">
        <f t="shared" si="147"/>
        <v/>
      </c>
      <c r="FN863" s="1853" t="str">
        <f t="shared" si="148"/>
        <v/>
      </c>
      <c r="FO863" s="1853" t="str">
        <f t="shared" si="149"/>
        <v/>
      </c>
      <c r="FP863" s="1853" t="str">
        <f t="shared" si="150"/>
        <v/>
      </c>
      <c r="FQ863" s="1853" t="str">
        <f t="shared" si="151"/>
        <v/>
      </c>
      <c r="FR863" s="1853" t="str">
        <f t="shared" si="152"/>
        <v/>
      </c>
      <c r="FS863" s="1853" t="str">
        <f t="shared" si="153"/>
        <v/>
      </c>
      <c r="FT863" s="1853" t="str">
        <f t="shared" si="154"/>
        <v/>
      </c>
      <c r="FU863" s="1853" t="str">
        <f t="shared" si="155"/>
        <v/>
      </c>
      <c r="FV863" s="1853" t="str">
        <f t="shared" si="156"/>
        <v/>
      </c>
      <c r="FW863" s="1853" t="str">
        <f t="shared" si="157"/>
        <v/>
      </c>
      <c r="FX863" s="1853" t="str">
        <f t="shared" si="158"/>
        <v/>
      </c>
      <c r="FY863" s="1853" t="str">
        <f t="shared" si="159"/>
        <v/>
      </c>
      <c r="FZ863" s="1853" t="str">
        <f t="shared" si="160"/>
        <v/>
      </c>
      <c r="GA863" s="1853" t="str">
        <f t="shared" si="161"/>
        <v/>
      </c>
      <c r="GB863" s="1853" t="str">
        <f t="shared" si="162"/>
        <v/>
      </c>
      <c r="GC863" s="1853" t="str">
        <f t="shared" si="163"/>
        <v/>
      </c>
      <c r="GD863" s="1853" t="str">
        <f t="shared" si="164"/>
        <v/>
      </c>
      <c r="GE863" s="1853" t="str">
        <f t="shared" si="165"/>
        <v/>
      </c>
      <c r="GF863" s="1853" t="str">
        <f t="shared" si="166"/>
        <v/>
      </c>
      <c r="GG863" s="1853" t="str">
        <f t="shared" si="167"/>
        <v/>
      </c>
      <c r="GH863" s="1853" t="str">
        <f t="shared" si="168"/>
        <v/>
      </c>
      <c r="GI863" s="1853" t="str">
        <f t="shared" si="169"/>
        <v/>
      </c>
      <c r="GJ863" s="1853">
        <f t="shared" si="170"/>
        <v>10</v>
      </c>
      <c r="GK863" s="1853" t="str">
        <f t="shared" si="171"/>
        <v/>
      </c>
      <c r="GL863" s="1853" t="str">
        <f t="shared" si="172"/>
        <v/>
      </c>
      <c r="GM863" s="1853" t="str">
        <f t="shared" si="173"/>
        <v/>
      </c>
      <c r="GN863" s="1853" t="str">
        <f t="shared" si="174"/>
        <v/>
      </c>
      <c r="GO863" s="1853" t="str">
        <f t="shared" si="175"/>
        <v/>
      </c>
      <c r="GP863" s="1853" t="str">
        <f t="shared" si="176"/>
        <v/>
      </c>
      <c r="GQ863" s="1853" t="str">
        <f t="shared" si="177"/>
        <v/>
      </c>
      <c r="GR863" s="1853" t="str">
        <f t="shared" si="178"/>
        <v/>
      </c>
      <c r="GS863" s="1853" t="str">
        <f t="shared" si="179"/>
        <v/>
      </c>
      <c r="GT863" s="1853" t="str">
        <f t="shared" si="180"/>
        <v/>
      </c>
      <c r="GU863" s="1853" t="str">
        <f t="shared" si="181"/>
        <v/>
      </c>
      <c r="GV863" s="1853" t="str">
        <f t="shared" si="182"/>
        <v/>
      </c>
      <c r="GW863" s="1853" t="str">
        <f t="shared" si="183"/>
        <v/>
      </c>
      <c r="GX863" s="1853" t="str">
        <f t="shared" si="184"/>
        <v/>
      </c>
      <c r="GY863" s="1853" t="str">
        <f t="shared" si="185"/>
        <v/>
      </c>
      <c r="GZ863" s="1853" t="str">
        <f t="shared" si="186"/>
        <v/>
      </c>
      <c r="HA863" s="1853" t="str">
        <f t="shared" si="187"/>
        <v/>
      </c>
      <c r="HB863" s="1853" t="str">
        <f t="shared" si="188"/>
        <v/>
      </c>
      <c r="HC863" s="1853" t="str">
        <f t="shared" si="189"/>
        <v/>
      </c>
      <c r="HD863" s="1853" t="str">
        <f t="shared" si="190"/>
        <v/>
      </c>
      <c r="HE863" s="1853" t="str">
        <f t="shared" si="191"/>
        <v/>
      </c>
      <c r="HF863" s="1853" t="str">
        <f t="shared" si="192"/>
        <v/>
      </c>
      <c r="HG863" s="1853" t="str">
        <f t="shared" si="193"/>
        <v/>
      </c>
      <c r="HH863" s="1853" t="str">
        <f t="shared" si="194"/>
        <v/>
      </c>
      <c r="HI863" s="1853" t="str">
        <f t="shared" si="195"/>
        <v/>
      </c>
      <c r="HJ863" s="1853" t="str">
        <f t="shared" si="196"/>
        <v/>
      </c>
      <c r="HK863" s="1853" t="str">
        <f t="shared" si="197"/>
        <v/>
      </c>
      <c r="HL863" s="1853" t="str">
        <f t="shared" si="198"/>
        <v/>
      </c>
      <c r="HM863" s="1853" t="str">
        <f t="shared" si="199"/>
        <v/>
      </c>
      <c r="HN863" s="1853" t="str">
        <f t="shared" si="200"/>
        <v/>
      </c>
      <c r="HO863" s="1853" t="str">
        <f t="shared" si="201"/>
        <v/>
      </c>
      <c r="HP863" s="1853" t="str">
        <f t="shared" si="202"/>
        <v/>
      </c>
      <c r="HQ863" s="1853" t="str">
        <f t="shared" si="203"/>
        <v/>
      </c>
      <c r="HR863" s="1853" t="str">
        <f t="shared" si="204"/>
        <v/>
      </c>
      <c r="HS863" s="1853" t="str">
        <f t="shared" si="205"/>
        <v/>
      </c>
      <c r="HT863" s="1853" t="str">
        <f t="shared" si="206"/>
        <v/>
      </c>
      <c r="HU863" s="1853" t="str">
        <f t="shared" si="207"/>
        <v/>
      </c>
      <c r="HV863" s="1853" t="str">
        <f t="shared" si="208"/>
        <v/>
      </c>
      <c r="HW863" s="1853" t="str">
        <f t="shared" si="209"/>
        <v/>
      </c>
      <c r="HX863" s="1853" t="str">
        <f t="shared" si="210"/>
        <v/>
      </c>
      <c r="HY863" s="1853" t="str">
        <f t="shared" si="211"/>
        <v/>
      </c>
      <c r="HZ863" s="2141" t="str">
        <f t="shared" si="212"/>
        <v/>
      </c>
      <c r="IA863" s="2141" t="str">
        <f t="shared" si="213"/>
        <v/>
      </c>
      <c r="IB863" s="2141" t="str">
        <f t="shared" si="214"/>
        <v/>
      </c>
      <c r="IC863" s="2141">
        <f t="shared" si="215"/>
        <v>10</v>
      </c>
      <c r="ID863" s="2141" t="str">
        <f t="shared" si="216"/>
        <v/>
      </c>
      <c r="IE863" s="2141" t="str">
        <f t="shared" si="217"/>
        <v/>
      </c>
      <c r="IF863" s="2141" t="str">
        <f t="shared" si="218"/>
        <v/>
      </c>
      <c r="IG863" s="2141" t="str">
        <f t="shared" si="219"/>
        <v/>
      </c>
      <c r="IH863" s="2141" t="str">
        <f t="shared" si="220"/>
        <v/>
      </c>
      <c r="II863" s="2141" t="str">
        <f t="shared" si="221"/>
        <v/>
      </c>
      <c r="IJ863" s="2141" t="str">
        <f t="shared" si="222"/>
        <v/>
      </c>
      <c r="IK863" s="2141" t="str">
        <f t="shared" si="223"/>
        <v/>
      </c>
      <c r="IL863" s="2141" t="str">
        <f t="shared" si="224"/>
        <v/>
      </c>
      <c r="IM863" s="2141" t="str">
        <f t="shared" si="225"/>
        <v/>
      </c>
      <c r="IN863" s="2141" t="str">
        <f t="shared" si="226"/>
        <v/>
      </c>
      <c r="IO863" s="2141" t="str">
        <f t="shared" si="227"/>
        <v/>
      </c>
      <c r="IP863" s="2141" t="str">
        <f t="shared" si="228"/>
        <v/>
      </c>
      <c r="IQ863" s="2141" t="str">
        <f t="shared" si="229"/>
        <v/>
      </c>
      <c r="IR863" s="2141" t="str">
        <f t="shared" si="230"/>
        <v/>
      </c>
      <c r="IS863" s="2141" t="str">
        <f t="shared" si="231"/>
        <v/>
      </c>
      <c r="IT863" s="2141" t="str">
        <f t="shared" si="232"/>
        <v/>
      </c>
      <c r="IU863" s="2141" t="str">
        <f t="shared" si="233"/>
        <v/>
      </c>
      <c r="IV863" s="2141" t="str">
        <f t="shared" si="234"/>
        <v/>
      </c>
      <c r="IW863" s="2141" t="str">
        <f t="shared" si="235"/>
        <v/>
      </c>
      <c r="IX863" s="2141" t="str">
        <f t="shared" si="236"/>
        <v/>
      </c>
      <c r="IY863" s="2141" t="str">
        <f t="shared" si="237"/>
        <v/>
      </c>
      <c r="IZ863" s="2141" t="str">
        <f t="shared" si="238"/>
        <v/>
      </c>
      <c r="JA863" s="2141" t="str">
        <f t="shared" si="239"/>
        <v/>
      </c>
      <c r="JB863" s="2141" t="str">
        <f t="shared" si="240"/>
        <v/>
      </c>
      <c r="JC863" s="2141" t="str">
        <f t="shared" si="241"/>
        <v/>
      </c>
      <c r="JD863" s="2141" t="str">
        <f t="shared" si="242"/>
        <v/>
      </c>
      <c r="JE863" s="2141" t="str">
        <f t="shared" si="243"/>
        <v/>
      </c>
      <c r="JF863" s="2141" t="str">
        <f t="shared" si="244"/>
        <v/>
      </c>
      <c r="JG863" s="2141" t="str">
        <f t="shared" si="245"/>
        <v/>
      </c>
      <c r="JH863" s="2141" t="str">
        <f t="shared" si="246"/>
        <v/>
      </c>
      <c r="JI863" s="2141" t="str">
        <f t="shared" si="247"/>
        <v/>
      </c>
      <c r="JJ863" s="2141" t="str">
        <f t="shared" si="248"/>
        <v/>
      </c>
      <c r="JK863" s="2141" t="str">
        <f t="shared" si="249"/>
        <v/>
      </c>
      <c r="JL863" s="2141" t="str">
        <f t="shared" si="250"/>
        <v/>
      </c>
      <c r="JM863" s="2141" t="str">
        <f t="shared" si="251"/>
        <v/>
      </c>
      <c r="JN863" s="2141" t="str">
        <f t="shared" si="252"/>
        <v/>
      </c>
      <c r="JO863" s="2141" t="str">
        <f t="shared" si="253"/>
        <v/>
      </c>
      <c r="JP863" s="2141" t="str">
        <f t="shared" si="254"/>
        <v/>
      </c>
      <c r="JQ863" s="2141" t="str">
        <f t="shared" si="255"/>
        <v/>
      </c>
      <c r="JR863" s="2141" t="str">
        <f t="shared" si="256"/>
        <v/>
      </c>
      <c r="JS863" s="2141" t="str">
        <f t="shared" si="257"/>
        <v/>
      </c>
      <c r="JT863" s="2141" t="str">
        <f t="shared" si="258"/>
        <v/>
      </c>
      <c r="JU863" s="2141" t="str">
        <f t="shared" si="259"/>
        <v/>
      </c>
      <c r="JV863" s="2141">
        <f t="shared" si="260"/>
        <v>10</v>
      </c>
      <c r="JW863" s="2141" t="str">
        <f t="shared" si="261"/>
        <v/>
      </c>
      <c r="JX863" s="2141" t="str">
        <f t="shared" si="262"/>
        <v/>
      </c>
      <c r="JY863" s="2141" t="str">
        <f t="shared" si="263"/>
        <v/>
      </c>
      <c r="JZ863" s="2141" t="str">
        <f t="shared" si="264"/>
        <v/>
      </c>
      <c r="KA863" s="2141" t="str">
        <f t="shared" si="265"/>
        <v/>
      </c>
      <c r="KB863" s="2141" t="str">
        <f t="shared" si="266"/>
        <v/>
      </c>
      <c r="KC863" s="2141" t="str">
        <f t="shared" si="267"/>
        <v/>
      </c>
      <c r="KD863" s="2141" t="str">
        <f t="shared" si="268"/>
        <v/>
      </c>
      <c r="KE863" s="2141" t="str">
        <f t="shared" si="269"/>
        <v/>
      </c>
      <c r="KF863" s="2141" t="str">
        <f t="shared" si="270"/>
        <v/>
      </c>
      <c r="KG863" s="2141" t="str">
        <f t="shared" si="271"/>
        <v/>
      </c>
      <c r="KH863" s="2141" t="str">
        <f t="shared" si="272"/>
        <v/>
      </c>
      <c r="KI863" s="2141" t="str">
        <f t="shared" si="273"/>
        <v/>
      </c>
      <c r="KJ863" s="2141" t="str">
        <f t="shared" si="274"/>
        <v/>
      </c>
      <c r="KK863" s="2141" t="str">
        <f t="shared" si="275"/>
        <v/>
      </c>
      <c r="KL863" s="2141" t="str">
        <f t="shared" si="276"/>
        <v/>
      </c>
      <c r="KM863" s="2141" t="str">
        <f t="shared" si="277"/>
        <v/>
      </c>
      <c r="KN863" s="2141" t="str">
        <f t="shared" si="278"/>
        <v/>
      </c>
      <c r="KO863" s="2141" t="str">
        <f t="shared" si="279"/>
        <v/>
      </c>
      <c r="KP863" s="2141" t="str">
        <f t="shared" si="280"/>
        <v/>
      </c>
      <c r="KQ863" s="2141" t="str">
        <f t="shared" si="281"/>
        <v/>
      </c>
      <c r="KR863" s="2141" t="str">
        <f t="shared" si="282"/>
        <v/>
      </c>
      <c r="KS863" s="2141" t="str">
        <f t="shared" si="283"/>
        <v/>
      </c>
      <c r="KT863" s="2141" t="str">
        <f t="shared" si="284"/>
        <v/>
      </c>
      <c r="KU863" s="2141" t="str">
        <f t="shared" si="285"/>
        <v/>
      </c>
      <c r="KV863" s="2141" t="str">
        <f t="shared" si="286"/>
        <v/>
      </c>
      <c r="KW863" s="2141" t="str">
        <f t="shared" si="287"/>
        <v/>
      </c>
      <c r="KX863" s="2141" t="str">
        <f t="shared" si="288"/>
        <v/>
      </c>
      <c r="KY863" s="2141" t="str">
        <f t="shared" si="289"/>
        <v/>
      </c>
      <c r="KZ863" s="2141" t="str">
        <f t="shared" si="290"/>
        <v/>
      </c>
      <c r="LA863" s="2141" t="str">
        <f t="shared" si="291"/>
        <v/>
      </c>
      <c r="LB863" s="2141" t="str">
        <f t="shared" si="292"/>
        <v/>
      </c>
      <c r="LC863" s="2141" t="str">
        <f t="shared" si="293"/>
        <v/>
      </c>
      <c r="LD863" s="2141" t="str">
        <f t="shared" si="294"/>
        <v/>
      </c>
      <c r="LE863" s="2141" t="str">
        <f t="shared" si="295"/>
        <v/>
      </c>
      <c r="LF863" s="2141" t="str">
        <f t="shared" si="296"/>
        <v/>
      </c>
      <c r="LG863" s="2052" t="str">
        <f t="shared" si="297"/>
        <v/>
      </c>
      <c r="LH863" s="2052" t="str">
        <f t="shared" si="298"/>
        <v/>
      </c>
      <c r="LI863" s="2052" t="str">
        <f t="shared" si="299"/>
        <v/>
      </c>
      <c r="LJ863" s="2052" t="str">
        <f t="shared" si="300"/>
        <v/>
      </c>
      <c r="LK863" s="2052" t="str">
        <f t="shared" si="301"/>
        <v/>
      </c>
      <c r="LL863" s="1853" t="str">
        <f t="shared" si="302"/>
        <v/>
      </c>
      <c r="LM863" s="1853" t="str">
        <f t="shared" si="303"/>
        <v/>
      </c>
      <c r="LN863" s="1853" t="str">
        <f t="shared" si="304"/>
        <v/>
      </c>
      <c r="LO863" s="1853" t="str">
        <f t="shared" si="305"/>
        <v/>
      </c>
      <c r="LP863" s="1853" t="str">
        <f t="shared" si="306"/>
        <v/>
      </c>
      <c r="LQ863" s="1853" t="str">
        <f t="shared" si="307"/>
        <v/>
      </c>
      <c r="LR863" s="1853" t="str">
        <f t="shared" si="308"/>
        <v/>
      </c>
      <c r="LS863" s="1853" t="str">
        <f t="shared" si="309"/>
        <v/>
      </c>
      <c r="LT863" s="1853" t="str">
        <f t="shared" si="310"/>
        <v/>
      </c>
      <c r="LU863" s="1853" t="str">
        <f t="shared" si="311"/>
        <v/>
      </c>
      <c r="LV863" s="1853" t="str">
        <f t="shared" si="312"/>
        <v/>
      </c>
      <c r="LW863" s="1853" t="str">
        <f t="shared" si="313"/>
        <v/>
      </c>
      <c r="LX863" s="1853" t="str">
        <f t="shared" si="314"/>
        <v/>
      </c>
      <c r="LY863" s="1853" t="str">
        <f t="shared" si="315"/>
        <v/>
      </c>
      <c r="LZ863" s="1853" t="str">
        <f t="shared" si="316"/>
        <v/>
      </c>
      <c r="MA863" s="1853" t="str">
        <f t="shared" si="317"/>
        <v/>
      </c>
      <c r="MB863" s="1853" t="str">
        <f t="shared" si="318"/>
        <v/>
      </c>
      <c r="MC863" s="1853" t="str">
        <f t="shared" si="319"/>
        <v/>
      </c>
      <c r="MD863" s="1853" t="str">
        <f t="shared" si="320"/>
        <v/>
      </c>
      <c r="ME863" s="1853" t="str">
        <f t="shared" si="321"/>
        <v/>
      </c>
      <c r="MF863" s="2052">
        <f t="shared" si="328"/>
        <v>0</v>
      </c>
      <c r="MG863" s="2052">
        <f t="shared" si="329"/>
        <v>0</v>
      </c>
      <c r="MH863" s="2052">
        <f t="shared" si="330"/>
        <v>0</v>
      </c>
      <c r="MI863" s="2052">
        <f t="shared" si="331"/>
        <v>0</v>
      </c>
      <c r="MJ863" s="2052">
        <f t="shared" si="332"/>
        <v>0</v>
      </c>
      <c r="MK863" s="2052">
        <f t="shared" si="333"/>
        <v>0</v>
      </c>
      <c r="ML863" s="2052">
        <f t="shared" si="334"/>
        <v>0</v>
      </c>
      <c r="MM863" s="2052">
        <f t="shared" si="335"/>
        <v>0</v>
      </c>
      <c r="MN863" s="2052">
        <f t="shared" si="336"/>
        <v>10</v>
      </c>
      <c r="MO863" s="2052">
        <f t="shared" si="337"/>
        <v>0</v>
      </c>
      <c r="MP863" s="2052">
        <f t="shared" si="322"/>
        <v>0</v>
      </c>
      <c r="MQ863" s="2052">
        <f t="shared" si="323"/>
        <v>0</v>
      </c>
      <c r="MR863" s="2052">
        <f t="shared" si="324"/>
        <v>0</v>
      </c>
      <c r="MS863" s="2052">
        <f t="shared" si="325"/>
        <v>0</v>
      </c>
      <c r="MT863" s="2052">
        <f t="shared" si="326"/>
        <v>0</v>
      </c>
      <c r="NP863" s="1925" t="s">
        <v>6729</v>
      </c>
    </row>
    <row r="864" spans="1:380" s="1853" customFormat="1" ht="13.9" customHeight="1">
      <c r="A864" s="2109" t="str">
        <f t="shared" si="327"/>
        <v/>
      </c>
      <c r="B864" s="2131">
        <f>'Part VI-Revenues &amp; Expenses'!B24</f>
        <v>0</v>
      </c>
      <c r="C864" s="2132">
        <f>'Part VI-Revenues &amp; Expenses'!C24</f>
        <v>0</v>
      </c>
      <c r="D864" s="2133">
        <f>'Part VI-Revenues &amp; Expenses'!D24</f>
        <v>0</v>
      </c>
      <c r="E864" s="2134">
        <f>'Part VI-Revenues &amp; Expenses'!E24</f>
        <v>0</v>
      </c>
      <c r="F864" s="2134">
        <f>'Part VI-Revenues &amp; Expenses'!F24</f>
        <v>0</v>
      </c>
      <c r="G864" s="2134">
        <f>'Part VI-Revenues &amp; Expenses'!G24</f>
        <v>0</v>
      </c>
      <c r="H864" s="2134">
        <f>'Part VI-Revenues &amp; Expenses'!H24</f>
        <v>0</v>
      </c>
      <c r="I864" s="2134">
        <f>'Part VI-Revenues &amp; Expenses'!I24</f>
        <v>0</v>
      </c>
      <c r="J864" s="2134">
        <f>'Part VI-Revenues &amp; Expenses'!J24</f>
        <v>0</v>
      </c>
      <c r="K864" s="2135">
        <f>'Part VI-Revenues &amp; Expenses'!K24</f>
        <v>0</v>
      </c>
      <c r="L864" s="2136">
        <f t="shared" si="0"/>
        <v>0</v>
      </c>
      <c r="M864" s="2136">
        <f t="shared" si="1"/>
        <v>0</v>
      </c>
      <c r="N864" s="1917">
        <f>'Part VI-Revenues &amp; Expenses'!N24</f>
        <v>0</v>
      </c>
      <c r="O864" s="2137">
        <f>'Part VI-Revenues &amp; Expenses'!O24</f>
        <v>0</v>
      </c>
      <c r="P864" s="1917">
        <f>'Part VI-Revenues &amp; Expenses'!P24</f>
        <v>0</v>
      </c>
      <c r="Q864" s="2138">
        <f>'Part VI-Revenues &amp; Expenses'!Q24</f>
        <v>0</v>
      </c>
      <c r="R864" s="2139"/>
      <c r="S864" s="2140"/>
      <c r="T864" s="2044"/>
      <c r="U864" s="2044"/>
      <c r="V864" s="2044"/>
      <c r="W864" s="2044"/>
      <c r="X864" s="1853" t="str">
        <f t="shared" si="2"/>
        <v/>
      </c>
      <c r="Y864" s="1853" t="str">
        <f t="shared" si="3"/>
        <v/>
      </c>
      <c r="Z864" s="1853" t="str">
        <f t="shared" si="4"/>
        <v/>
      </c>
      <c r="AA864" s="1853" t="str">
        <f t="shared" si="5"/>
        <v/>
      </c>
      <c r="AB864" s="1853" t="str">
        <f t="shared" si="6"/>
        <v/>
      </c>
      <c r="AC864" s="1853" t="str">
        <f t="shared" si="7"/>
        <v/>
      </c>
      <c r="AD864" s="1853" t="str">
        <f t="shared" si="8"/>
        <v/>
      </c>
      <c r="AE864" s="1853" t="str">
        <f t="shared" si="9"/>
        <v/>
      </c>
      <c r="AF864" s="1853" t="str">
        <f t="shared" si="10"/>
        <v/>
      </c>
      <c r="AG864" s="1853" t="str">
        <f t="shared" si="11"/>
        <v/>
      </c>
      <c r="AH864" s="1853" t="str">
        <f t="shared" si="12"/>
        <v/>
      </c>
      <c r="AI864" s="1853" t="str">
        <f t="shared" si="13"/>
        <v/>
      </c>
      <c r="AJ864" s="1853" t="str">
        <f t="shared" si="14"/>
        <v/>
      </c>
      <c r="AK864" s="1853" t="str">
        <f t="shared" si="15"/>
        <v/>
      </c>
      <c r="AL864" s="1853" t="str">
        <f t="shared" si="16"/>
        <v/>
      </c>
      <c r="AM864" s="1853" t="str">
        <f t="shared" si="17"/>
        <v/>
      </c>
      <c r="AN864" s="1853" t="str">
        <f t="shared" si="18"/>
        <v/>
      </c>
      <c r="AO864" s="1853" t="str">
        <f t="shared" si="19"/>
        <v/>
      </c>
      <c r="AP864" s="1853" t="str">
        <f t="shared" si="20"/>
        <v/>
      </c>
      <c r="AQ864" s="1853" t="str">
        <f t="shared" si="21"/>
        <v/>
      </c>
      <c r="AR864" s="1853" t="str">
        <f t="shared" si="22"/>
        <v/>
      </c>
      <c r="AS864" s="1853" t="str">
        <f t="shared" si="23"/>
        <v/>
      </c>
      <c r="AT864" s="1853" t="str">
        <f t="shared" si="24"/>
        <v/>
      </c>
      <c r="AU864" s="1853" t="str">
        <f t="shared" si="25"/>
        <v/>
      </c>
      <c r="AV864" s="1853" t="str">
        <f t="shared" si="26"/>
        <v/>
      </c>
      <c r="AW864" s="1853" t="str">
        <f t="shared" si="27"/>
        <v/>
      </c>
      <c r="AX864" s="1853" t="str">
        <f t="shared" si="28"/>
        <v/>
      </c>
      <c r="AY864" s="1853" t="str">
        <f t="shared" si="29"/>
        <v/>
      </c>
      <c r="AZ864" s="1853" t="str">
        <f t="shared" si="30"/>
        <v/>
      </c>
      <c r="BA864" s="1853" t="str">
        <f t="shared" si="31"/>
        <v/>
      </c>
      <c r="BB864" s="1853" t="str">
        <f t="shared" si="32"/>
        <v/>
      </c>
      <c r="BC864" s="1853" t="str">
        <f t="shared" si="33"/>
        <v/>
      </c>
      <c r="BD864" s="1853" t="str">
        <f t="shared" si="34"/>
        <v/>
      </c>
      <c r="BE864" s="1853" t="str">
        <f t="shared" si="35"/>
        <v/>
      </c>
      <c r="BF864" s="1853" t="str">
        <f t="shared" si="36"/>
        <v/>
      </c>
      <c r="BG864" s="1853" t="str">
        <f t="shared" si="37"/>
        <v/>
      </c>
      <c r="BH864" s="1853" t="str">
        <f t="shared" si="38"/>
        <v/>
      </c>
      <c r="BI864" s="1853" t="str">
        <f t="shared" si="39"/>
        <v/>
      </c>
      <c r="BJ864" s="1853" t="str">
        <f t="shared" si="40"/>
        <v/>
      </c>
      <c r="BK864" s="1853" t="str">
        <f t="shared" si="41"/>
        <v/>
      </c>
      <c r="BL864" s="1853" t="str">
        <f t="shared" si="42"/>
        <v/>
      </c>
      <c r="BM864" s="1853" t="str">
        <f t="shared" si="43"/>
        <v/>
      </c>
      <c r="BN864" s="1853" t="str">
        <f t="shared" si="44"/>
        <v/>
      </c>
      <c r="BO864" s="1853" t="str">
        <f t="shared" si="45"/>
        <v/>
      </c>
      <c r="BP864" s="1853" t="str">
        <f t="shared" si="46"/>
        <v/>
      </c>
      <c r="BQ864" s="1853" t="str">
        <f t="shared" si="47"/>
        <v/>
      </c>
      <c r="BR864" s="1853" t="str">
        <f t="shared" si="48"/>
        <v/>
      </c>
      <c r="BS864" s="1853" t="str">
        <f t="shared" si="49"/>
        <v/>
      </c>
      <c r="BT864" s="1853" t="str">
        <f t="shared" si="50"/>
        <v/>
      </c>
      <c r="BU864" s="1853" t="str">
        <f t="shared" si="51"/>
        <v/>
      </c>
      <c r="BV864" s="1853" t="str">
        <f t="shared" si="52"/>
        <v/>
      </c>
      <c r="BW864" s="1853" t="str">
        <f t="shared" si="53"/>
        <v/>
      </c>
      <c r="BX864" s="1853" t="str">
        <f t="shared" si="54"/>
        <v/>
      </c>
      <c r="BY864" s="1853" t="str">
        <f t="shared" si="55"/>
        <v/>
      </c>
      <c r="BZ864" s="1853" t="str">
        <f t="shared" si="56"/>
        <v/>
      </c>
      <c r="CA864" s="1853" t="str">
        <f t="shared" si="57"/>
        <v/>
      </c>
      <c r="CB864" s="1853" t="str">
        <f t="shared" si="58"/>
        <v/>
      </c>
      <c r="CC864" s="1853" t="str">
        <f t="shared" si="59"/>
        <v/>
      </c>
      <c r="CD864" s="1853" t="str">
        <f t="shared" si="60"/>
        <v/>
      </c>
      <c r="CE864" s="1853" t="str">
        <f t="shared" si="61"/>
        <v/>
      </c>
      <c r="CF864" s="1853" t="str">
        <f t="shared" si="62"/>
        <v/>
      </c>
      <c r="CG864" s="1853" t="str">
        <f t="shared" si="63"/>
        <v/>
      </c>
      <c r="CH864" s="1853" t="str">
        <f t="shared" si="64"/>
        <v/>
      </c>
      <c r="CI864" s="1853" t="str">
        <f t="shared" si="65"/>
        <v/>
      </c>
      <c r="CJ864" s="1853" t="str">
        <f t="shared" si="66"/>
        <v/>
      </c>
      <c r="CK864" s="1853" t="str">
        <f t="shared" si="67"/>
        <v/>
      </c>
      <c r="CL864" s="1853" t="str">
        <f t="shared" si="68"/>
        <v/>
      </c>
      <c r="CM864" s="1853" t="str">
        <f t="shared" si="69"/>
        <v/>
      </c>
      <c r="CN864" s="1853" t="str">
        <f t="shared" si="70"/>
        <v/>
      </c>
      <c r="CO864" s="1853" t="str">
        <f t="shared" si="71"/>
        <v/>
      </c>
      <c r="CP864" s="1853" t="str">
        <f t="shared" si="72"/>
        <v/>
      </c>
      <c r="CQ864" s="1853" t="str">
        <f t="shared" si="73"/>
        <v/>
      </c>
      <c r="CR864" s="1853" t="str">
        <f t="shared" si="74"/>
        <v/>
      </c>
      <c r="CS864" s="1853" t="str">
        <f t="shared" si="75"/>
        <v/>
      </c>
      <c r="CT864" s="1853" t="str">
        <f t="shared" si="76"/>
        <v/>
      </c>
      <c r="CU864" s="1853" t="str">
        <f t="shared" si="77"/>
        <v/>
      </c>
      <c r="CV864" s="1853" t="str">
        <f t="shared" si="78"/>
        <v/>
      </c>
      <c r="CW864" s="1853" t="str">
        <f t="shared" si="79"/>
        <v/>
      </c>
      <c r="CX864" s="1853" t="str">
        <f t="shared" si="80"/>
        <v/>
      </c>
      <c r="CY864" s="1853" t="str">
        <f t="shared" si="81"/>
        <v/>
      </c>
      <c r="CZ864" s="1853" t="str">
        <f t="shared" si="82"/>
        <v/>
      </c>
      <c r="DA864" s="1853" t="str">
        <f t="shared" si="83"/>
        <v/>
      </c>
      <c r="DB864" s="1853" t="str">
        <f t="shared" si="84"/>
        <v/>
      </c>
      <c r="DC864" s="1853" t="str">
        <f t="shared" si="85"/>
        <v/>
      </c>
      <c r="DD864" s="1853" t="str">
        <f t="shared" si="86"/>
        <v/>
      </c>
      <c r="DE864" s="1853" t="str">
        <f t="shared" si="87"/>
        <v/>
      </c>
      <c r="DF864" s="1853" t="str">
        <f t="shared" si="88"/>
        <v/>
      </c>
      <c r="DG864" s="1853" t="str">
        <f t="shared" si="89"/>
        <v/>
      </c>
      <c r="DH864" s="1853" t="str">
        <f t="shared" si="90"/>
        <v/>
      </c>
      <c r="DI864" s="1853" t="str">
        <f t="shared" si="91"/>
        <v/>
      </c>
      <c r="DJ864" s="1853" t="str">
        <f t="shared" si="92"/>
        <v/>
      </c>
      <c r="DK864" s="1853" t="str">
        <f t="shared" si="93"/>
        <v/>
      </c>
      <c r="DL864" s="1853" t="str">
        <f t="shared" si="94"/>
        <v/>
      </c>
      <c r="DM864" s="1853" t="str">
        <f t="shared" si="95"/>
        <v/>
      </c>
      <c r="DN864" s="1853" t="str">
        <f t="shared" si="96"/>
        <v/>
      </c>
      <c r="DO864" s="1853" t="str">
        <f t="shared" si="97"/>
        <v/>
      </c>
      <c r="DP864" s="1853" t="str">
        <f t="shared" si="98"/>
        <v/>
      </c>
      <c r="DQ864" s="1853" t="str">
        <f t="shared" si="99"/>
        <v/>
      </c>
      <c r="DR864" s="1853" t="str">
        <f t="shared" si="100"/>
        <v/>
      </c>
      <c r="DS864" s="1853" t="str">
        <f t="shared" si="101"/>
        <v/>
      </c>
      <c r="DT864" s="1853" t="str">
        <f t="shared" si="102"/>
        <v/>
      </c>
      <c r="DU864" s="1853" t="str">
        <f t="shared" si="103"/>
        <v/>
      </c>
      <c r="DV864" s="1853" t="str">
        <f t="shared" si="104"/>
        <v/>
      </c>
      <c r="DW864" s="1853" t="str">
        <f t="shared" si="105"/>
        <v/>
      </c>
      <c r="DX864" s="1853" t="str">
        <f t="shared" si="106"/>
        <v/>
      </c>
      <c r="DY864" s="1853" t="str">
        <f t="shared" si="107"/>
        <v/>
      </c>
      <c r="DZ864" s="1853" t="str">
        <f t="shared" si="108"/>
        <v/>
      </c>
      <c r="EA864" s="1853" t="str">
        <f t="shared" si="109"/>
        <v/>
      </c>
      <c r="EB864" s="1853" t="str">
        <f t="shared" si="110"/>
        <v/>
      </c>
      <c r="EC864" s="1853" t="str">
        <f t="shared" si="111"/>
        <v/>
      </c>
      <c r="ED864" s="1853" t="str">
        <f t="shared" si="112"/>
        <v/>
      </c>
      <c r="EE864" s="1853" t="str">
        <f t="shared" si="113"/>
        <v/>
      </c>
      <c r="EF864" s="1853" t="str">
        <f t="shared" si="114"/>
        <v/>
      </c>
      <c r="EG864" s="1853" t="str">
        <f t="shared" si="115"/>
        <v/>
      </c>
      <c r="EH864" s="1853" t="str">
        <f t="shared" si="116"/>
        <v/>
      </c>
      <c r="EI864" s="1853" t="str">
        <f t="shared" si="117"/>
        <v/>
      </c>
      <c r="EJ864" s="1853" t="str">
        <f t="shared" si="118"/>
        <v/>
      </c>
      <c r="EK864" s="1853" t="str">
        <f t="shared" si="119"/>
        <v/>
      </c>
      <c r="EL864" s="1853" t="str">
        <f t="shared" si="120"/>
        <v/>
      </c>
      <c r="EM864" s="1853" t="str">
        <f t="shared" si="121"/>
        <v/>
      </c>
      <c r="EN864" s="1853" t="str">
        <f t="shared" si="122"/>
        <v/>
      </c>
      <c r="EO864" s="1853" t="str">
        <f t="shared" si="123"/>
        <v/>
      </c>
      <c r="EP864" s="1853" t="str">
        <f t="shared" si="124"/>
        <v/>
      </c>
      <c r="EQ864" s="1853" t="str">
        <f t="shared" si="125"/>
        <v/>
      </c>
      <c r="ER864" s="1853" t="str">
        <f t="shared" si="126"/>
        <v/>
      </c>
      <c r="ES864" s="1853" t="str">
        <f t="shared" si="127"/>
        <v/>
      </c>
      <c r="ET864" s="1853" t="str">
        <f t="shared" si="128"/>
        <v/>
      </c>
      <c r="EU864" s="1853" t="str">
        <f t="shared" si="129"/>
        <v/>
      </c>
      <c r="EV864" s="1853" t="str">
        <f t="shared" si="130"/>
        <v/>
      </c>
      <c r="EW864" s="1853" t="str">
        <f t="shared" si="131"/>
        <v/>
      </c>
      <c r="EX864" s="1853" t="str">
        <f t="shared" si="132"/>
        <v/>
      </c>
      <c r="EY864" s="1853" t="str">
        <f t="shared" si="133"/>
        <v/>
      </c>
      <c r="EZ864" s="1853" t="str">
        <f t="shared" si="134"/>
        <v/>
      </c>
      <c r="FA864" s="1853" t="str">
        <f t="shared" si="135"/>
        <v/>
      </c>
      <c r="FB864" s="1853" t="str">
        <f t="shared" si="136"/>
        <v/>
      </c>
      <c r="FC864" s="1853" t="str">
        <f t="shared" si="137"/>
        <v/>
      </c>
      <c r="FD864" s="1853" t="str">
        <f t="shared" si="138"/>
        <v/>
      </c>
      <c r="FE864" s="1853" t="str">
        <f t="shared" si="139"/>
        <v/>
      </c>
      <c r="FF864" s="1853" t="str">
        <f t="shared" si="140"/>
        <v/>
      </c>
      <c r="FG864" s="1853" t="str">
        <f t="shared" si="141"/>
        <v/>
      </c>
      <c r="FH864" s="1853" t="str">
        <f t="shared" si="142"/>
        <v/>
      </c>
      <c r="FI864" s="1853" t="str">
        <f t="shared" si="143"/>
        <v/>
      </c>
      <c r="FJ864" s="1853" t="str">
        <f t="shared" si="144"/>
        <v/>
      </c>
      <c r="FK864" s="1853" t="str">
        <f t="shared" si="145"/>
        <v/>
      </c>
      <c r="FL864" s="1853" t="str">
        <f t="shared" si="146"/>
        <v/>
      </c>
      <c r="FM864" s="1853" t="str">
        <f t="shared" si="147"/>
        <v/>
      </c>
      <c r="FN864" s="1853" t="str">
        <f t="shared" si="148"/>
        <v/>
      </c>
      <c r="FO864" s="1853" t="str">
        <f t="shared" si="149"/>
        <v/>
      </c>
      <c r="FP864" s="1853" t="str">
        <f t="shared" si="150"/>
        <v/>
      </c>
      <c r="FQ864" s="1853" t="str">
        <f t="shared" si="151"/>
        <v/>
      </c>
      <c r="FR864" s="1853" t="str">
        <f t="shared" si="152"/>
        <v/>
      </c>
      <c r="FS864" s="1853" t="str">
        <f t="shared" si="153"/>
        <v/>
      </c>
      <c r="FT864" s="1853" t="str">
        <f t="shared" si="154"/>
        <v/>
      </c>
      <c r="FU864" s="1853" t="str">
        <f t="shared" si="155"/>
        <v/>
      </c>
      <c r="FV864" s="1853" t="str">
        <f t="shared" si="156"/>
        <v/>
      </c>
      <c r="FW864" s="1853" t="str">
        <f t="shared" si="157"/>
        <v/>
      </c>
      <c r="FX864" s="1853" t="str">
        <f t="shared" si="158"/>
        <v/>
      </c>
      <c r="FY864" s="1853" t="str">
        <f t="shared" si="159"/>
        <v/>
      </c>
      <c r="FZ864" s="1853" t="str">
        <f t="shared" si="160"/>
        <v/>
      </c>
      <c r="GA864" s="1853" t="str">
        <f t="shared" si="161"/>
        <v/>
      </c>
      <c r="GB864" s="1853" t="str">
        <f t="shared" si="162"/>
        <v/>
      </c>
      <c r="GC864" s="1853" t="str">
        <f t="shared" si="163"/>
        <v/>
      </c>
      <c r="GD864" s="1853" t="str">
        <f t="shared" si="164"/>
        <v/>
      </c>
      <c r="GE864" s="1853" t="str">
        <f t="shared" si="165"/>
        <v/>
      </c>
      <c r="GF864" s="1853" t="str">
        <f t="shared" si="166"/>
        <v/>
      </c>
      <c r="GG864" s="1853" t="str">
        <f t="shared" si="167"/>
        <v/>
      </c>
      <c r="GH864" s="1853" t="str">
        <f t="shared" si="168"/>
        <v/>
      </c>
      <c r="GI864" s="1853" t="str">
        <f t="shared" si="169"/>
        <v/>
      </c>
      <c r="GJ864" s="1853" t="str">
        <f t="shared" si="170"/>
        <v/>
      </c>
      <c r="GK864" s="1853" t="str">
        <f t="shared" si="171"/>
        <v/>
      </c>
      <c r="GL864" s="1853" t="str">
        <f t="shared" si="172"/>
        <v/>
      </c>
      <c r="GM864" s="1853" t="str">
        <f t="shared" si="173"/>
        <v/>
      </c>
      <c r="GN864" s="1853" t="str">
        <f t="shared" si="174"/>
        <v/>
      </c>
      <c r="GO864" s="1853" t="str">
        <f t="shared" si="175"/>
        <v/>
      </c>
      <c r="GP864" s="1853" t="str">
        <f t="shared" si="176"/>
        <v/>
      </c>
      <c r="GQ864" s="1853" t="str">
        <f t="shared" si="177"/>
        <v/>
      </c>
      <c r="GR864" s="1853" t="str">
        <f t="shared" si="178"/>
        <v/>
      </c>
      <c r="GS864" s="1853" t="str">
        <f t="shared" si="179"/>
        <v/>
      </c>
      <c r="GT864" s="1853" t="str">
        <f t="shared" si="180"/>
        <v/>
      </c>
      <c r="GU864" s="1853" t="str">
        <f t="shared" si="181"/>
        <v/>
      </c>
      <c r="GV864" s="1853" t="str">
        <f t="shared" si="182"/>
        <v/>
      </c>
      <c r="GW864" s="1853" t="str">
        <f t="shared" si="183"/>
        <v/>
      </c>
      <c r="GX864" s="1853" t="str">
        <f t="shared" si="184"/>
        <v/>
      </c>
      <c r="GY864" s="1853" t="str">
        <f t="shared" si="185"/>
        <v/>
      </c>
      <c r="GZ864" s="1853" t="str">
        <f t="shared" si="186"/>
        <v/>
      </c>
      <c r="HA864" s="1853" t="str">
        <f t="shared" si="187"/>
        <v/>
      </c>
      <c r="HB864" s="1853" t="str">
        <f t="shared" si="188"/>
        <v/>
      </c>
      <c r="HC864" s="1853" t="str">
        <f t="shared" si="189"/>
        <v/>
      </c>
      <c r="HD864" s="1853" t="str">
        <f t="shared" si="190"/>
        <v/>
      </c>
      <c r="HE864" s="1853" t="str">
        <f t="shared" si="191"/>
        <v/>
      </c>
      <c r="HF864" s="1853" t="str">
        <f t="shared" si="192"/>
        <v/>
      </c>
      <c r="HG864" s="1853" t="str">
        <f t="shared" si="193"/>
        <v/>
      </c>
      <c r="HH864" s="1853" t="str">
        <f t="shared" si="194"/>
        <v/>
      </c>
      <c r="HI864" s="1853" t="str">
        <f t="shared" si="195"/>
        <v/>
      </c>
      <c r="HJ864" s="1853" t="str">
        <f t="shared" si="196"/>
        <v/>
      </c>
      <c r="HK864" s="1853" t="str">
        <f t="shared" si="197"/>
        <v/>
      </c>
      <c r="HL864" s="1853" t="str">
        <f t="shared" si="198"/>
        <v/>
      </c>
      <c r="HM864" s="1853" t="str">
        <f t="shared" si="199"/>
        <v/>
      </c>
      <c r="HN864" s="1853" t="str">
        <f t="shared" si="200"/>
        <v/>
      </c>
      <c r="HO864" s="1853" t="str">
        <f t="shared" si="201"/>
        <v/>
      </c>
      <c r="HP864" s="1853" t="str">
        <f t="shared" si="202"/>
        <v/>
      </c>
      <c r="HQ864" s="1853" t="str">
        <f t="shared" si="203"/>
        <v/>
      </c>
      <c r="HR864" s="1853" t="str">
        <f t="shared" si="204"/>
        <v/>
      </c>
      <c r="HS864" s="1853" t="str">
        <f t="shared" si="205"/>
        <v/>
      </c>
      <c r="HT864" s="1853" t="str">
        <f t="shared" si="206"/>
        <v/>
      </c>
      <c r="HU864" s="1853" t="str">
        <f t="shared" si="207"/>
        <v/>
      </c>
      <c r="HV864" s="1853" t="str">
        <f t="shared" si="208"/>
        <v/>
      </c>
      <c r="HW864" s="1853" t="str">
        <f t="shared" si="209"/>
        <v/>
      </c>
      <c r="HX864" s="1853" t="str">
        <f t="shared" si="210"/>
        <v/>
      </c>
      <c r="HY864" s="1853" t="str">
        <f t="shared" si="211"/>
        <v/>
      </c>
      <c r="HZ864" s="2141" t="str">
        <f t="shared" si="212"/>
        <v/>
      </c>
      <c r="IA864" s="2141" t="str">
        <f t="shared" si="213"/>
        <v/>
      </c>
      <c r="IB864" s="2141" t="str">
        <f t="shared" si="214"/>
        <v/>
      </c>
      <c r="IC864" s="2141" t="str">
        <f t="shared" si="215"/>
        <v/>
      </c>
      <c r="ID864" s="2141" t="str">
        <f t="shared" si="216"/>
        <v/>
      </c>
      <c r="IE864" s="2141" t="str">
        <f t="shared" si="217"/>
        <v/>
      </c>
      <c r="IF864" s="2141" t="str">
        <f t="shared" si="218"/>
        <v/>
      </c>
      <c r="IG864" s="2141" t="str">
        <f t="shared" si="219"/>
        <v/>
      </c>
      <c r="IH864" s="2141" t="str">
        <f t="shared" si="220"/>
        <v/>
      </c>
      <c r="II864" s="2141" t="str">
        <f t="shared" si="221"/>
        <v/>
      </c>
      <c r="IJ864" s="2141" t="str">
        <f t="shared" si="222"/>
        <v/>
      </c>
      <c r="IK864" s="2141" t="str">
        <f t="shared" si="223"/>
        <v/>
      </c>
      <c r="IL864" s="2141" t="str">
        <f t="shared" si="224"/>
        <v/>
      </c>
      <c r="IM864" s="2141" t="str">
        <f t="shared" si="225"/>
        <v/>
      </c>
      <c r="IN864" s="2141" t="str">
        <f t="shared" si="226"/>
        <v/>
      </c>
      <c r="IO864" s="2141" t="str">
        <f t="shared" si="227"/>
        <v/>
      </c>
      <c r="IP864" s="2141" t="str">
        <f t="shared" si="228"/>
        <v/>
      </c>
      <c r="IQ864" s="2141" t="str">
        <f t="shared" si="229"/>
        <v/>
      </c>
      <c r="IR864" s="2141" t="str">
        <f t="shared" si="230"/>
        <v/>
      </c>
      <c r="IS864" s="2141" t="str">
        <f t="shared" si="231"/>
        <v/>
      </c>
      <c r="IT864" s="2141" t="str">
        <f t="shared" si="232"/>
        <v/>
      </c>
      <c r="IU864" s="2141" t="str">
        <f t="shared" si="233"/>
        <v/>
      </c>
      <c r="IV864" s="2141" t="str">
        <f t="shared" si="234"/>
        <v/>
      </c>
      <c r="IW864" s="2141" t="str">
        <f t="shared" si="235"/>
        <v/>
      </c>
      <c r="IX864" s="2141" t="str">
        <f t="shared" si="236"/>
        <v/>
      </c>
      <c r="IY864" s="2141" t="str">
        <f t="shared" si="237"/>
        <v/>
      </c>
      <c r="IZ864" s="2141" t="str">
        <f t="shared" si="238"/>
        <v/>
      </c>
      <c r="JA864" s="2141" t="str">
        <f t="shared" si="239"/>
        <v/>
      </c>
      <c r="JB864" s="2141" t="str">
        <f t="shared" si="240"/>
        <v/>
      </c>
      <c r="JC864" s="2141" t="str">
        <f t="shared" si="241"/>
        <v/>
      </c>
      <c r="JD864" s="2141" t="str">
        <f t="shared" si="242"/>
        <v/>
      </c>
      <c r="JE864" s="2141" t="str">
        <f t="shared" si="243"/>
        <v/>
      </c>
      <c r="JF864" s="2141" t="str">
        <f t="shared" si="244"/>
        <v/>
      </c>
      <c r="JG864" s="2141" t="str">
        <f t="shared" si="245"/>
        <v/>
      </c>
      <c r="JH864" s="2141" t="str">
        <f t="shared" si="246"/>
        <v/>
      </c>
      <c r="JI864" s="2141" t="str">
        <f t="shared" si="247"/>
        <v/>
      </c>
      <c r="JJ864" s="2141" t="str">
        <f t="shared" si="248"/>
        <v/>
      </c>
      <c r="JK864" s="2141" t="str">
        <f t="shared" si="249"/>
        <v/>
      </c>
      <c r="JL864" s="2141" t="str">
        <f t="shared" si="250"/>
        <v/>
      </c>
      <c r="JM864" s="2141" t="str">
        <f t="shared" si="251"/>
        <v/>
      </c>
      <c r="JN864" s="2141" t="str">
        <f t="shared" si="252"/>
        <v/>
      </c>
      <c r="JO864" s="2141" t="str">
        <f t="shared" si="253"/>
        <v/>
      </c>
      <c r="JP864" s="2141" t="str">
        <f t="shared" si="254"/>
        <v/>
      </c>
      <c r="JQ864" s="2141" t="str">
        <f t="shared" si="255"/>
        <v/>
      </c>
      <c r="JR864" s="2141" t="str">
        <f t="shared" si="256"/>
        <v/>
      </c>
      <c r="JS864" s="2141" t="str">
        <f t="shared" si="257"/>
        <v/>
      </c>
      <c r="JT864" s="2141" t="str">
        <f t="shared" si="258"/>
        <v/>
      </c>
      <c r="JU864" s="2141" t="str">
        <f t="shared" si="259"/>
        <v/>
      </c>
      <c r="JV864" s="2141" t="str">
        <f t="shared" si="260"/>
        <v/>
      </c>
      <c r="JW864" s="2141" t="str">
        <f t="shared" si="261"/>
        <v/>
      </c>
      <c r="JX864" s="2141" t="str">
        <f t="shared" si="262"/>
        <v/>
      </c>
      <c r="JY864" s="2141" t="str">
        <f t="shared" si="263"/>
        <v/>
      </c>
      <c r="JZ864" s="2141" t="str">
        <f t="shared" si="264"/>
        <v/>
      </c>
      <c r="KA864" s="2141" t="str">
        <f t="shared" si="265"/>
        <v/>
      </c>
      <c r="KB864" s="2141" t="str">
        <f t="shared" si="266"/>
        <v/>
      </c>
      <c r="KC864" s="2141" t="str">
        <f t="shared" si="267"/>
        <v/>
      </c>
      <c r="KD864" s="2141" t="str">
        <f t="shared" si="268"/>
        <v/>
      </c>
      <c r="KE864" s="2141" t="str">
        <f t="shared" si="269"/>
        <v/>
      </c>
      <c r="KF864" s="2141" t="str">
        <f t="shared" si="270"/>
        <v/>
      </c>
      <c r="KG864" s="2141" t="str">
        <f t="shared" si="271"/>
        <v/>
      </c>
      <c r="KH864" s="2141" t="str">
        <f t="shared" si="272"/>
        <v/>
      </c>
      <c r="KI864" s="2141" t="str">
        <f t="shared" si="273"/>
        <v/>
      </c>
      <c r="KJ864" s="2141" t="str">
        <f t="shared" si="274"/>
        <v/>
      </c>
      <c r="KK864" s="2141" t="str">
        <f t="shared" si="275"/>
        <v/>
      </c>
      <c r="KL864" s="2141" t="str">
        <f t="shared" si="276"/>
        <v/>
      </c>
      <c r="KM864" s="2141" t="str">
        <f t="shared" si="277"/>
        <v/>
      </c>
      <c r="KN864" s="2141" t="str">
        <f t="shared" si="278"/>
        <v/>
      </c>
      <c r="KO864" s="2141" t="str">
        <f t="shared" si="279"/>
        <v/>
      </c>
      <c r="KP864" s="2141" t="str">
        <f t="shared" si="280"/>
        <v/>
      </c>
      <c r="KQ864" s="2141" t="str">
        <f t="shared" si="281"/>
        <v/>
      </c>
      <c r="KR864" s="2141" t="str">
        <f t="shared" si="282"/>
        <v/>
      </c>
      <c r="KS864" s="2141" t="str">
        <f t="shared" si="283"/>
        <v/>
      </c>
      <c r="KT864" s="2141" t="str">
        <f t="shared" si="284"/>
        <v/>
      </c>
      <c r="KU864" s="2141" t="str">
        <f t="shared" si="285"/>
        <v/>
      </c>
      <c r="KV864" s="2141" t="str">
        <f t="shared" si="286"/>
        <v/>
      </c>
      <c r="KW864" s="2141" t="str">
        <f t="shared" si="287"/>
        <v/>
      </c>
      <c r="KX864" s="2141" t="str">
        <f t="shared" si="288"/>
        <v/>
      </c>
      <c r="KY864" s="2141" t="str">
        <f t="shared" si="289"/>
        <v/>
      </c>
      <c r="KZ864" s="2141" t="str">
        <f t="shared" si="290"/>
        <v/>
      </c>
      <c r="LA864" s="2141" t="str">
        <f t="shared" si="291"/>
        <v/>
      </c>
      <c r="LB864" s="2141" t="str">
        <f t="shared" si="292"/>
        <v/>
      </c>
      <c r="LC864" s="2141" t="str">
        <f t="shared" si="293"/>
        <v/>
      </c>
      <c r="LD864" s="2141" t="str">
        <f t="shared" si="294"/>
        <v/>
      </c>
      <c r="LE864" s="2141" t="str">
        <f t="shared" si="295"/>
        <v/>
      </c>
      <c r="LF864" s="2141" t="str">
        <f t="shared" si="296"/>
        <v/>
      </c>
      <c r="LG864" s="2052" t="str">
        <f t="shared" si="297"/>
        <v/>
      </c>
      <c r="LH864" s="2052" t="str">
        <f t="shared" si="298"/>
        <v/>
      </c>
      <c r="LI864" s="2052" t="str">
        <f t="shared" si="299"/>
        <v/>
      </c>
      <c r="LJ864" s="2052" t="str">
        <f t="shared" si="300"/>
        <v/>
      </c>
      <c r="LK864" s="2052" t="str">
        <f t="shared" si="301"/>
        <v/>
      </c>
      <c r="LL864" s="1853" t="str">
        <f t="shared" si="302"/>
        <v/>
      </c>
      <c r="LM864" s="1853" t="str">
        <f t="shared" si="303"/>
        <v/>
      </c>
      <c r="LN864" s="1853" t="str">
        <f t="shared" si="304"/>
        <v/>
      </c>
      <c r="LO864" s="1853" t="str">
        <f t="shared" si="305"/>
        <v/>
      </c>
      <c r="LP864" s="1853" t="str">
        <f t="shared" si="306"/>
        <v/>
      </c>
      <c r="LQ864" s="1853" t="str">
        <f t="shared" si="307"/>
        <v/>
      </c>
      <c r="LR864" s="1853" t="str">
        <f t="shared" si="308"/>
        <v/>
      </c>
      <c r="LS864" s="1853" t="str">
        <f t="shared" si="309"/>
        <v/>
      </c>
      <c r="LT864" s="1853" t="str">
        <f t="shared" si="310"/>
        <v/>
      </c>
      <c r="LU864" s="1853" t="str">
        <f t="shared" si="311"/>
        <v/>
      </c>
      <c r="LV864" s="1853" t="str">
        <f t="shared" si="312"/>
        <v/>
      </c>
      <c r="LW864" s="1853" t="str">
        <f t="shared" si="313"/>
        <v/>
      </c>
      <c r="LX864" s="1853" t="str">
        <f t="shared" si="314"/>
        <v/>
      </c>
      <c r="LY864" s="1853" t="str">
        <f t="shared" si="315"/>
        <v/>
      </c>
      <c r="LZ864" s="1853" t="str">
        <f t="shared" si="316"/>
        <v/>
      </c>
      <c r="MA864" s="1853" t="str">
        <f t="shared" si="317"/>
        <v/>
      </c>
      <c r="MB864" s="1853" t="str">
        <f t="shared" si="318"/>
        <v/>
      </c>
      <c r="MC864" s="1853" t="str">
        <f t="shared" si="319"/>
        <v/>
      </c>
      <c r="MD864" s="1853" t="str">
        <f t="shared" si="320"/>
        <v/>
      </c>
      <c r="ME864" s="1853" t="str">
        <f t="shared" si="321"/>
        <v/>
      </c>
      <c r="MF864" s="2052">
        <f t="shared" si="328"/>
        <v>0</v>
      </c>
      <c r="MG864" s="2052">
        <f t="shared" si="329"/>
        <v>0</v>
      </c>
      <c r="MH864" s="2052">
        <f t="shared" si="330"/>
        <v>0</v>
      </c>
      <c r="MI864" s="2052">
        <f t="shared" si="331"/>
        <v>0</v>
      </c>
      <c r="MJ864" s="2052">
        <f t="shared" si="332"/>
        <v>0</v>
      </c>
      <c r="MK864" s="2052">
        <f t="shared" si="333"/>
        <v>0</v>
      </c>
      <c r="ML864" s="2052">
        <f t="shared" si="334"/>
        <v>0</v>
      </c>
      <c r="MM864" s="2052">
        <f t="shared" si="335"/>
        <v>0</v>
      </c>
      <c r="MN864" s="2052">
        <f t="shared" si="336"/>
        <v>0</v>
      </c>
      <c r="MO864" s="2052">
        <f t="shared" si="337"/>
        <v>0</v>
      </c>
      <c r="MP864" s="2052">
        <f t="shared" si="322"/>
        <v>0</v>
      </c>
      <c r="MQ864" s="2052">
        <f t="shared" si="323"/>
        <v>0</v>
      </c>
      <c r="MR864" s="2052">
        <f t="shared" si="324"/>
        <v>0</v>
      </c>
      <c r="MS864" s="2052">
        <f t="shared" si="325"/>
        <v>0</v>
      </c>
      <c r="MT864" s="2052">
        <f t="shared" si="326"/>
        <v>0</v>
      </c>
      <c r="NP864" s="1925" t="s">
        <v>6730</v>
      </c>
    </row>
    <row r="865" spans="1:380" s="1853" customFormat="1" ht="13.9" customHeight="1">
      <c r="A865" s="2109" t="str">
        <f t="shared" si="327"/>
        <v/>
      </c>
      <c r="B865" s="2131">
        <f>'Part VI-Revenues &amp; Expenses'!B25</f>
        <v>0</v>
      </c>
      <c r="C865" s="2132">
        <f>'Part VI-Revenues &amp; Expenses'!C25</f>
        <v>0</v>
      </c>
      <c r="D865" s="2133">
        <f>'Part VI-Revenues &amp; Expenses'!D25</f>
        <v>0</v>
      </c>
      <c r="E865" s="2134">
        <f>'Part VI-Revenues &amp; Expenses'!E25</f>
        <v>0</v>
      </c>
      <c r="F865" s="2134">
        <f>'Part VI-Revenues &amp; Expenses'!F25</f>
        <v>0</v>
      </c>
      <c r="G865" s="2134">
        <f>'Part VI-Revenues &amp; Expenses'!G25</f>
        <v>0</v>
      </c>
      <c r="H865" s="2134">
        <f>'Part VI-Revenues &amp; Expenses'!H25</f>
        <v>0</v>
      </c>
      <c r="I865" s="2134">
        <f>'Part VI-Revenues &amp; Expenses'!I25</f>
        <v>0</v>
      </c>
      <c r="J865" s="2134">
        <f>'Part VI-Revenues &amp; Expenses'!J25</f>
        <v>0</v>
      </c>
      <c r="K865" s="2135">
        <f>'Part VI-Revenues &amp; Expenses'!K25</f>
        <v>0</v>
      </c>
      <c r="L865" s="2136">
        <f t="shared" si="0"/>
        <v>0</v>
      </c>
      <c r="M865" s="2136">
        <f t="shared" si="1"/>
        <v>0</v>
      </c>
      <c r="N865" s="1917">
        <f>'Part VI-Revenues &amp; Expenses'!N25</f>
        <v>0</v>
      </c>
      <c r="O865" s="2137">
        <f>'Part VI-Revenues &amp; Expenses'!O25</f>
        <v>0</v>
      </c>
      <c r="P865" s="1917">
        <f>'Part VI-Revenues &amp; Expenses'!P25</f>
        <v>0</v>
      </c>
      <c r="Q865" s="2138">
        <f>'Part VI-Revenues &amp; Expenses'!Q25</f>
        <v>0</v>
      </c>
      <c r="R865" s="2139"/>
      <c r="S865" s="2140"/>
      <c r="T865" s="2044"/>
      <c r="U865" s="2044"/>
      <c r="V865" s="2044"/>
      <c r="W865" s="2044"/>
      <c r="X865" s="1853" t="str">
        <f t="shared" si="2"/>
        <v/>
      </c>
      <c r="Y865" s="1853" t="str">
        <f t="shared" si="3"/>
        <v/>
      </c>
      <c r="Z865" s="1853" t="str">
        <f t="shared" si="4"/>
        <v/>
      </c>
      <c r="AA865" s="1853" t="str">
        <f t="shared" si="5"/>
        <v/>
      </c>
      <c r="AB865" s="1853" t="str">
        <f t="shared" si="6"/>
        <v/>
      </c>
      <c r="AC865" s="1853" t="str">
        <f t="shared" si="7"/>
        <v/>
      </c>
      <c r="AD865" s="1853" t="str">
        <f t="shared" si="8"/>
        <v/>
      </c>
      <c r="AE865" s="1853" t="str">
        <f t="shared" si="9"/>
        <v/>
      </c>
      <c r="AF865" s="1853" t="str">
        <f t="shared" si="10"/>
        <v/>
      </c>
      <c r="AG865" s="1853" t="str">
        <f t="shared" si="11"/>
        <v/>
      </c>
      <c r="AH865" s="1853" t="str">
        <f t="shared" si="12"/>
        <v/>
      </c>
      <c r="AI865" s="1853" t="str">
        <f t="shared" si="13"/>
        <v/>
      </c>
      <c r="AJ865" s="1853" t="str">
        <f t="shared" si="14"/>
        <v/>
      </c>
      <c r="AK865" s="1853" t="str">
        <f t="shared" si="15"/>
        <v/>
      </c>
      <c r="AL865" s="1853" t="str">
        <f t="shared" si="16"/>
        <v/>
      </c>
      <c r="AM865" s="1853" t="str">
        <f t="shared" si="17"/>
        <v/>
      </c>
      <c r="AN865" s="1853" t="str">
        <f t="shared" si="18"/>
        <v/>
      </c>
      <c r="AO865" s="1853" t="str">
        <f t="shared" si="19"/>
        <v/>
      </c>
      <c r="AP865" s="1853" t="str">
        <f t="shared" si="20"/>
        <v/>
      </c>
      <c r="AQ865" s="1853" t="str">
        <f t="shared" si="21"/>
        <v/>
      </c>
      <c r="AR865" s="1853" t="str">
        <f t="shared" si="22"/>
        <v/>
      </c>
      <c r="AS865" s="1853" t="str">
        <f t="shared" si="23"/>
        <v/>
      </c>
      <c r="AT865" s="1853" t="str">
        <f t="shared" si="24"/>
        <v/>
      </c>
      <c r="AU865" s="1853" t="str">
        <f t="shared" si="25"/>
        <v/>
      </c>
      <c r="AV865" s="1853" t="str">
        <f t="shared" si="26"/>
        <v/>
      </c>
      <c r="AW865" s="1853" t="str">
        <f t="shared" si="27"/>
        <v/>
      </c>
      <c r="AX865" s="1853" t="str">
        <f t="shared" si="28"/>
        <v/>
      </c>
      <c r="AY865" s="1853" t="str">
        <f t="shared" si="29"/>
        <v/>
      </c>
      <c r="AZ865" s="1853" t="str">
        <f t="shared" si="30"/>
        <v/>
      </c>
      <c r="BA865" s="1853" t="str">
        <f t="shared" si="31"/>
        <v/>
      </c>
      <c r="BB865" s="1853" t="str">
        <f t="shared" si="32"/>
        <v/>
      </c>
      <c r="BC865" s="1853" t="str">
        <f t="shared" si="33"/>
        <v/>
      </c>
      <c r="BD865" s="1853" t="str">
        <f t="shared" si="34"/>
        <v/>
      </c>
      <c r="BE865" s="1853" t="str">
        <f t="shared" si="35"/>
        <v/>
      </c>
      <c r="BF865" s="1853" t="str">
        <f t="shared" si="36"/>
        <v/>
      </c>
      <c r="BG865" s="1853" t="str">
        <f t="shared" si="37"/>
        <v/>
      </c>
      <c r="BH865" s="1853" t="str">
        <f t="shared" si="38"/>
        <v/>
      </c>
      <c r="BI865" s="1853" t="str">
        <f t="shared" si="39"/>
        <v/>
      </c>
      <c r="BJ865" s="1853" t="str">
        <f t="shared" si="40"/>
        <v/>
      </c>
      <c r="BK865" s="1853" t="str">
        <f t="shared" si="41"/>
        <v/>
      </c>
      <c r="BL865" s="1853" t="str">
        <f t="shared" si="42"/>
        <v/>
      </c>
      <c r="BM865" s="1853" t="str">
        <f t="shared" si="43"/>
        <v/>
      </c>
      <c r="BN865" s="1853" t="str">
        <f t="shared" si="44"/>
        <v/>
      </c>
      <c r="BO865" s="1853" t="str">
        <f t="shared" si="45"/>
        <v/>
      </c>
      <c r="BP865" s="1853" t="str">
        <f t="shared" si="46"/>
        <v/>
      </c>
      <c r="BQ865" s="1853" t="str">
        <f t="shared" si="47"/>
        <v/>
      </c>
      <c r="BR865" s="1853" t="str">
        <f t="shared" si="48"/>
        <v/>
      </c>
      <c r="BS865" s="1853" t="str">
        <f t="shared" si="49"/>
        <v/>
      </c>
      <c r="BT865" s="1853" t="str">
        <f t="shared" si="50"/>
        <v/>
      </c>
      <c r="BU865" s="1853" t="str">
        <f t="shared" si="51"/>
        <v/>
      </c>
      <c r="BV865" s="1853" t="str">
        <f t="shared" si="52"/>
        <v/>
      </c>
      <c r="BW865" s="1853" t="str">
        <f t="shared" si="53"/>
        <v/>
      </c>
      <c r="BX865" s="1853" t="str">
        <f t="shared" si="54"/>
        <v/>
      </c>
      <c r="BY865" s="1853" t="str">
        <f t="shared" si="55"/>
        <v/>
      </c>
      <c r="BZ865" s="1853" t="str">
        <f t="shared" si="56"/>
        <v/>
      </c>
      <c r="CA865" s="1853" t="str">
        <f t="shared" si="57"/>
        <v/>
      </c>
      <c r="CB865" s="1853" t="str">
        <f t="shared" si="58"/>
        <v/>
      </c>
      <c r="CC865" s="1853" t="str">
        <f t="shared" si="59"/>
        <v/>
      </c>
      <c r="CD865" s="1853" t="str">
        <f t="shared" si="60"/>
        <v/>
      </c>
      <c r="CE865" s="1853" t="str">
        <f t="shared" si="61"/>
        <v/>
      </c>
      <c r="CF865" s="1853" t="str">
        <f t="shared" si="62"/>
        <v/>
      </c>
      <c r="CG865" s="1853" t="str">
        <f t="shared" si="63"/>
        <v/>
      </c>
      <c r="CH865" s="1853" t="str">
        <f t="shared" si="64"/>
        <v/>
      </c>
      <c r="CI865" s="1853" t="str">
        <f t="shared" si="65"/>
        <v/>
      </c>
      <c r="CJ865" s="1853" t="str">
        <f t="shared" si="66"/>
        <v/>
      </c>
      <c r="CK865" s="1853" t="str">
        <f t="shared" si="67"/>
        <v/>
      </c>
      <c r="CL865" s="1853" t="str">
        <f t="shared" si="68"/>
        <v/>
      </c>
      <c r="CM865" s="1853" t="str">
        <f t="shared" si="69"/>
        <v/>
      </c>
      <c r="CN865" s="1853" t="str">
        <f t="shared" si="70"/>
        <v/>
      </c>
      <c r="CO865" s="1853" t="str">
        <f t="shared" si="71"/>
        <v/>
      </c>
      <c r="CP865" s="1853" t="str">
        <f t="shared" si="72"/>
        <v/>
      </c>
      <c r="CQ865" s="1853" t="str">
        <f t="shared" si="73"/>
        <v/>
      </c>
      <c r="CR865" s="1853" t="str">
        <f t="shared" si="74"/>
        <v/>
      </c>
      <c r="CS865" s="1853" t="str">
        <f t="shared" si="75"/>
        <v/>
      </c>
      <c r="CT865" s="1853" t="str">
        <f t="shared" si="76"/>
        <v/>
      </c>
      <c r="CU865" s="1853" t="str">
        <f t="shared" si="77"/>
        <v/>
      </c>
      <c r="CV865" s="1853" t="str">
        <f t="shared" si="78"/>
        <v/>
      </c>
      <c r="CW865" s="1853" t="str">
        <f t="shared" si="79"/>
        <v/>
      </c>
      <c r="CX865" s="1853" t="str">
        <f t="shared" si="80"/>
        <v/>
      </c>
      <c r="CY865" s="1853" t="str">
        <f t="shared" si="81"/>
        <v/>
      </c>
      <c r="CZ865" s="1853" t="str">
        <f t="shared" si="82"/>
        <v/>
      </c>
      <c r="DA865" s="1853" t="str">
        <f t="shared" si="83"/>
        <v/>
      </c>
      <c r="DB865" s="1853" t="str">
        <f t="shared" si="84"/>
        <v/>
      </c>
      <c r="DC865" s="1853" t="str">
        <f t="shared" si="85"/>
        <v/>
      </c>
      <c r="DD865" s="1853" t="str">
        <f t="shared" si="86"/>
        <v/>
      </c>
      <c r="DE865" s="1853" t="str">
        <f t="shared" si="87"/>
        <v/>
      </c>
      <c r="DF865" s="1853" t="str">
        <f t="shared" si="88"/>
        <v/>
      </c>
      <c r="DG865" s="1853" t="str">
        <f t="shared" si="89"/>
        <v/>
      </c>
      <c r="DH865" s="1853" t="str">
        <f t="shared" si="90"/>
        <v/>
      </c>
      <c r="DI865" s="1853" t="str">
        <f t="shared" si="91"/>
        <v/>
      </c>
      <c r="DJ865" s="1853" t="str">
        <f t="shared" si="92"/>
        <v/>
      </c>
      <c r="DK865" s="1853" t="str">
        <f t="shared" si="93"/>
        <v/>
      </c>
      <c r="DL865" s="1853" t="str">
        <f t="shared" si="94"/>
        <v/>
      </c>
      <c r="DM865" s="1853" t="str">
        <f t="shared" si="95"/>
        <v/>
      </c>
      <c r="DN865" s="1853" t="str">
        <f t="shared" si="96"/>
        <v/>
      </c>
      <c r="DO865" s="1853" t="str">
        <f t="shared" si="97"/>
        <v/>
      </c>
      <c r="DP865" s="1853" t="str">
        <f t="shared" si="98"/>
        <v/>
      </c>
      <c r="DQ865" s="1853" t="str">
        <f t="shared" si="99"/>
        <v/>
      </c>
      <c r="DR865" s="1853" t="str">
        <f t="shared" si="100"/>
        <v/>
      </c>
      <c r="DS865" s="1853" t="str">
        <f t="shared" si="101"/>
        <v/>
      </c>
      <c r="DT865" s="1853" t="str">
        <f t="shared" si="102"/>
        <v/>
      </c>
      <c r="DU865" s="1853" t="str">
        <f t="shared" si="103"/>
        <v/>
      </c>
      <c r="DV865" s="1853" t="str">
        <f t="shared" si="104"/>
        <v/>
      </c>
      <c r="DW865" s="1853" t="str">
        <f t="shared" si="105"/>
        <v/>
      </c>
      <c r="DX865" s="1853" t="str">
        <f t="shared" si="106"/>
        <v/>
      </c>
      <c r="DY865" s="1853" t="str">
        <f t="shared" si="107"/>
        <v/>
      </c>
      <c r="DZ865" s="1853" t="str">
        <f t="shared" si="108"/>
        <v/>
      </c>
      <c r="EA865" s="1853" t="str">
        <f t="shared" si="109"/>
        <v/>
      </c>
      <c r="EB865" s="1853" t="str">
        <f t="shared" si="110"/>
        <v/>
      </c>
      <c r="EC865" s="1853" t="str">
        <f t="shared" si="111"/>
        <v/>
      </c>
      <c r="ED865" s="1853" t="str">
        <f t="shared" si="112"/>
        <v/>
      </c>
      <c r="EE865" s="1853" t="str">
        <f t="shared" si="113"/>
        <v/>
      </c>
      <c r="EF865" s="1853" t="str">
        <f t="shared" si="114"/>
        <v/>
      </c>
      <c r="EG865" s="1853" t="str">
        <f t="shared" si="115"/>
        <v/>
      </c>
      <c r="EH865" s="1853" t="str">
        <f t="shared" si="116"/>
        <v/>
      </c>
      <c r="EI865" s="1853" t="str">
        <f t="shared" si="117"/>
        <v/>
      </c>
      <c r="EJ865" s="1853" t="str">
        <f t="shared" si="118"/>
        <v/>
      </c>
      <c r="EK865" s="1853" t="str">
        <f t="shared" si="119"/>
        <v/>
      </c>
      <c r="EL865" s="1853" t="str">
        <f t="shared" si="120"/>
        <v/>
      </c>
      <c r="EM865" s="1853" t="str">
        <f t="shared" si="121"/>
        <v/>
      </c>
      <c r="EN865" s="1853" t="str">
        <f t="shared" si="122"/>
        <v/>
      </c>
      <c r="EO865" s="1853" t="str">
        <f t="shared" si="123"/>
        <v/>
      </c>
      <c r="EP865" s="1853" t="str">
        <f t="shared" si="124"/>
        <v/>
      </c>
      <c r="EQ865" s="1853" t="str">
        <f t="shared" si="125"/>
        <v/>
      </c>
      <c r="ER865" s="1853" t="str">
        <f t="shared" si="126"/>
        <v/>
      </c>
      <c r="ES865" s="1853" t="str">
        <f t="shared" si="127"/>
        <v/>
      </c>
      <c r="ET865" s="1853" t="str">
        <f t="shared" si="128"/>
        <v/>
      </c>
      <c r="EU865" s="1853" t="str">
        <f t="shared" si="129"/>
        <v/>
      </c>
      <c r="EV865" s="1853" t="str">
        <f t="shared" si="130"/>
        <v/>
      </c>
      <c r="EW865" s="1853" t="str">
        <f t="shared" si="131"/>
        <v/>
      </c>
      <c r="EX865" s="1853" t="str">
        <f t="shared" si="132"/>
        <v/>
      </c>
      <c r="EY865" s="1853" t="str">
        <f t="shared" si="133"/>
        <v/>
      </c>
      <c r="EZ865" s="1853" t="str">
        <f t="shared" si="134"/>
        <v/>
      </c>
      <c r="FA865" s="1853" t="str">
        <f t="shared" si="135"/>
        <v/>
      </c>
      <c r="FB865" s="1853" t="str">
        <f t="shared" si="136"/>
        <v/>
      </c>
      <c r="FC865" s="1853" t="str">
        <f t="shared" si="137"/>
        <v/>
      </c>
      <c r="FD865" s="1853" t="str">
        <f t="shared" si="138"/>
        <v/>
      </c>
      <c r="FE865" s="1853" t="str">
        <f t="shared" si="139"/>
        <v/>
      </c>
      <c r="FF865" s="1853" t="str">
        <f t="shared" si="140"/>
        <v/>
      </c>
      <c r="FG865" s="1853" t="str">
        <f t="shared" si="141"/>
        <v/>
      </c>
      <c r="FH865" s="1853" t="str">
        <f t="shared" si="142"/>
        <v/>
      </c>
      <c r="FI865" s="1853" t="str">
        <f t="shared" si="143"/>
        <v/>
      </c>
      <c r="FJ865" s="1853" t="str">
        <f t="shared" si="144"/>
        <v/>
      </c>
      <c r="FK865" s="1853" t="str">
        <f t="shared" si="145"/>
        <v/>
      </c>
      <c r="FL865" s="1853" t="str">
        <f t="shared" si="146"/>
        <v/>
      </c>
      <c r="FM865" s="1853" t="str">
        <f t="shared" si="147"/>
        <v/>
      </c>
      <c r="FN865" s="1853" t="str">
        <f t="shared" si="148"/>
        <v/>
      </c>
      <c r="FO865" s="1853" t="str">
        <f t="shared" si="149"/>
        <v/>
      </c>
      <c r="FP865" s="1853" t="str">
        <f t="shared" si="150"/>
        <v/>
      </c>
      <c r="FQ865" s="1853" t="str">
        <f t="shared" si="151"/>
        <v/>
      </c>
      <c r="FR865" s="1853" t="str">
        <f t="shared" si="152"/>
        <v/>
      </c>
      <c r="FS865" s="1853" t="str">
        <f t="shared" si="153"/>
        <v/>
      </c>
      <c r="FT865" s="1853" t="str">
        <f t="shared" si="154"/>
        <v/>
      </c>
      <c r="FU865" s="1853" t="str">
        <f t="shared" si="155"/>
        <v/>
      </c>
      <c r="FV865" s="1853" t="str">
        <f t="shared" si="156"/>
        <v/>
      </c>
      <c r="FW865" s="1853" t="str">
        <f t="shared" si="157"/>
        <v/>
      </c>
      <c r="FX865" s="1853" t="str">
        <f t="shared" si="158"/>
        <v/>
      </c>
      <c r="FY865" s="1853" t="str">
        <f t="shared" si="159"/>
        <v/>
      </c>
      <c r="FZ865" s="1853" t="str">
        <f t="shared" si="160"/>
        <v/>
      </c>
      <c r="GA865" s="1853" t="str">
        <f t="shared" si="161"/>
        <v/>
      </c>
      <c r="GB865" s="1853" t="str">
        <f t="shared" si="162"/>
        <v/>
      </c>
      <c r="GC865" s="1853" t="str">
        <f t="shared" si="163"/>
        <v/>
      </c>
      <c r="GD865" s="1853" t="str">
        <f t="shared" si="164"/>
        <v/>
      </c>
      <c r="GE865" s="1853" t="str">
        <f t="shared" si="165"/>
        <v/>
      </c>
      <c r="GF865" s="1853" t="str">
        <f t="shared" si="166"/>
        <v/>
      </c>
      <c r="GG865" s="1853" t="str">
        <f t="shared" si="167"/>
        <v/>
      </c>
      <c r="GH865" s="1853" t="str">
        <f t="shared" si="168"/>
        <v/>
      </c>
      <c r="GI865" s="1853" t="str">
        <f t="shared" si="169"/>
        <v/>
      </c>
      <c r="GJ865" s="1853" t="str">
        <f t="shared" si="170"/>
        <v/>
      </c>
      <c r="GK865" s="1853" t="str">
        <f t="shared" si="171"/>
        <v/>
      </c>
      <c r="GL865" s="1853" t="str">
        <f t="shared" si="172"/>
        <v/>
      </c>
      <c r="GM865" s="1853" t="str">
        <f t="shared" si="173"/>
        <v/>
      </c>
      <c r="GN865" s="1853" t="str">
        <f t="shared" si="174"/>
        <v/>
      </c>
      <c r="GO865" s="1853" t="str">
        <f t="shared" si="175"/>
        <v/>
      </c>
      <c r="GP865" s="1853" t="str">
        <f t="shared" si="176"/>
        <v/>
      </c>
      <c r="GQ865" s="1853" t="str">
        <f t="shared" si="177"/>
        <v/>
      </c>
      <c r="GR865" s="1853" t="str">
        <f t="shared" si="178"/>
        <v/>
      </c>
      <c r="GS865" s="1853" t="str">
        <f t="shared" si="179"/>
        <v/>
      </c>
      <c r="GT865" s="1853" t="str">
        <f t="shared" si="180"/>
        <v/>
      </c>
      <c r="GU865" s="1853" t="str">
        <f t="shared" si="181"/>
        <v/>
      </c>
      <c r="GV865" s="1853" t="str">
        <f t="shared" si="182"/>
        <v/>
      </c>
      <c r="GW865" s="1853" t="str">
        <f t="shared" si="183"/>
        <v/>
      </c>
      <c r="GX865" s="1853" t="str">
        <f t="shared" si="184"/>
        <v/>
      </c>
      <c r="GY865" s="1853" t="str">
        <f t="shared" si="185"/>
        <v/>
      </c>
      <c r="GZ865" s="1853" t="str">
        <f t="shared" si="186"/>
        <v/>
      </c>
      <c r="HA865" s="1853" t="str">
        <f t="shared" si="187"/>
        <v/>
      </c>
      <c r="HB865" s="1853" t="str">
        <f t="shared" si="188"/>
        <v/>
      </c>
      <c r="HC865" s="1853" t="str">
        <f t="shared" si="189"/>
        <v/>
      </c>
      <c r="HD865" s="1853" t="str">
        <f t="shared" si="190"/>
        <v/>
      </c>
      <c r="HE865" s="1853" t="str">
        <f t="shared" si="191"/>
        <v/>
      </c>
      <c r="HF865" s="1853" t="str">
        <f t="shared" si="192"/>
        <v/>
      </c>
      <c r="HG865" s="1853" t="str">
        <f t="shared" si="193"/>
        <v/>
      </c>
      <c r="HH865" s="1853" t="str">
        <f t="shared" si="194"/>
        <v/>
      </c>
      <c r="HI865" s="1853" t="str">
        <f t="shared" si="195"/>
        <v/>
      </c>
      <c r="HJ865" s="1853" t="str">
        <f t="shared" si="196"/>
        <v/>
      </c>
      <c r="HK865" s="1853" t="str">
        <f t="shared" si="197"/>
        <v/>
      </c>
      <c r="HL865" s="1853" t="str">
        <f t="shared" si="198"/>
        <v/>
      </c>
      <c r="HM865" s="1853" t="str">
        <f t="shared" si="199"/>
        <v/>
      </c>
      <c r="HN865" s="1853" t="str">
        <f t="shared" si="200"/>
        <v/>
      </c>
      <c r="HO865" s="1853" t="str">
        <f t="shared" si="201"/>
        <v/>
      </c>
      <c r="HP865" s="1853" t="str">
        <f t="shared" si="202"/>
        <v/>
      </c>
      <c r="HQ865" s="1853" t="str">
        <f t="shared" si="203"/>
        <v/>
      </c>
      <c r="HR865" s="1853" t="str">
        <f t="shared" si="204"/>
        <v/>
      </c>
      <c r="HS865" s="1853" t="str">
        <f t="shared" si="205"/>
        <v/>
      </c>
      <c r="HT865" s="1853" t="str">
        <f t="shared" si="206"/>
        <v/>
      </c>
      <c r="HU865" s="1853" t="str">
        <f t="shared" si="207"/>
        <v/>
      </c>
      <c r="HV865" s="1853" t="str">
        <f t="shared" si="208"/>
        <v/>
      </c>
      <c r="HW865" s="1853" t="str">
        <f t="shared" si="209"/>
        <v/>
      </c>
      <c r="HX865" s="1853" t="str">
        <f t="shared" si="210"/>
        <v/>
      </c>
      <c r="HY865" s="1853" t="str">
        <f t="shared" si="211"/>
        <v/>
      </c>
      <c r="HZ865" s="2141" t="str">
        <f t="shared" si="212"/>
        <v/>
      </c>
      <c r="IA865" s="2141" t="str">
        <f t="shared" si="213"/>
        <v/>
      </c>
      <c r="IB865" s="2141" t="str">
        <f t="shared" si="214"/>
        <v/>
      </c>
      <c r="IC865" s="2141" t="str">
        <f t="shared" si="215"/>
        <v/>
      </c>
      <c r="ID865" s="2141" t="str">
        <f t="shared" si="216"/>
        <v/>
      </c>
      <c r="IE865" s="2141" t="str">
        <f t="shared" si="217"/>
        <v/>
      </c>
      <c r="IF865" s="2141" t="str">
        <f t="shared" si="218"/>
        <v/>
      </c>
      <c r="IG865" s="2141" t="str">
        <f t="shared" si="219"/>
        <v/>
      </c>
      <c r="IH865" s="2141" t="str">
        <f t="shared" si="220"/>
        <v/>
      </c>
      <c r="II865" s="2141" t="str">
        <f t="shared" si="221"/>
        <v/>
      </c>
      <c r="IJ865" s="2141" t="str">
        <f t="shared" si="222"/>
        <v/>
      </c>
      <c r="IK865" s="2141" t="str">
        <f t="shared" si="223"/>
        <v/>
      </c>
      <c r="IL865" s="2141" t="str">
        <f t="shared" si="224"/>
        <v/>
      </c>
      <c r="IM865" s="2141" t="str">
        <f t="shared" si="225"/>
        <v/>
      </c>
      <c r="IN865" s="2141" t="str">
        <f t="shared" si="226"/>
        <v/>
      </c>
      <c r="IO865" s="2141" t="str">
        <f t="shared" si="227"/>
        <v/>
      </c>
      <c r="IP865" s="2141" t="str">
        <f t="shared" si="228"/>
        <v/>
      </c>
      <c r="IQ865" s="2141" t="str">
        <f t="shared" si="229"/>
        <v/>
      </c>
      <c r="IR865" s="2141" t="str">
        <f t="shared" si="230"/>
        <v/>
      </c>
      <c r="IS865" s="2141" t="str">
        <f t="shared" si="231"/>
        <v/>
      </c>
      <c r="IT865" s="2141" t="str">
        <f t="shared" si="232"/>
        <v/>
      </c>
      <c r="IU865" s="2141" t="str">
        <f t="shared" si="233"/>
        <v/>
      </c>
      <c r="IV865" s="2141" t="str">
        <f t="shared" si="234"/>
        <v/>
      </c>
      <c r="IW865" s="2141" t="str">
        <f t="shared" si="235"/>
        <v/>
      </c>
      <c r="IX865" s="2141" t="str">
        <f t="shared" si="236"/>
        <v/>
      </c>
      <c r="IY865" s="2141" t="str">
        <f t="shared" si="237"/>
        <v/>
      </c>
      <c r="IZ865" s="2141" t="str">
        <f t="shared" si="238"/>
        <v/>
      </c>
      <c r="JA865" s="2141" t="str">
        <f t="shared" si="239"/>
        <v/>
      </c>
      <c r="JB865" s="2141" t="str">
        <f t="shared" si="240"/>
        <v/>
      </c>
      <c r="JC865" s="2141" t="str">
        <f t="shared" si="241"/>
        <v/>
      </c>
      <c r="JD865" s="2141" t="str">
        <f t="shared" si="242"/>
        <v/>
      </c>
      <c r="JE865" s="2141" t="str">
        <f t="shared" si="243"/>
        <v/>
      </c>
      <c r="JF865" s="2141" t="str">
        <f t="shared" si="244"/>
        <v/>
      </c>
      <c r="JG865" s="2141" t="str">
        <f t="shared" si="245"/>
        <v/>
      </c>
      <c r="JH865" s="2141" t="str">
        <f t="shared" si="246"/>
        <v/>
      </c>
      <c r="JI865" s="2141" t="str">
        <f t="shared" si="247"/>
        <v/>
      </c>
      <c r="JJ865" s="2141" t="str">
        <f t="shared" si="248"/>
        <v/>
      </c>
      <c r="JK865" s="2141" t="str">
        <f t="shared" si="249"/>
        <v/>
      </c>
      <c r="JL865" s="2141" t="str">
        <f t="shared" si="250"/>
        <v/>
      </c>
      <c r="JM865" s="2141" t="str">
        <f t="shared" si="251"/>
        <v/>
      </c>
      <c r="JN865" s="2141" t="str">
        <f t="shared" si="252"/>
        <v/>
      </c>
      <c r="JO865" s="2141" t="str">
        <f t="shared" si="253"/>
        <v/>
      </c>
      <c r="JP865" s="2141" t="str">
        <f t="shared" si="254"/>
        <v/>
      </c>
      <c r="JQ865" s="2141" t="str">
        <f t="shared" si="255"/>
        <v/>
      </c>
      <c r="JR865" s="2141" t="str">
        <f t="shared" si="256"/>
        <v/>
      </c>
      <c r="JS865" s="2141" t="str">
        <f t="shared" si="257"/>
        <v/>
      </c>
      <c r="JT865" s="2141" t="str">
        <f t="shared" si="258"/>
        <v/>
      </c>
      <c r="JU865" s="2141" t="str">
        <f t="shared" si="259"/>
        <v/>
      </c>
      <c r="JV865" s="2141" t="str">
        <f t="shared" si="260"/>
        <v/>
      </c>
      <c r="JW865" s="2141" t="str">
        <f t="shared" si="261"/>
        <v/>
      </c>
      <c r="JX865" s="2141" t="str">
        <f t="shared" si="262"/>
        <v/>
      </c>
      <c r="JY865" s="2141" t="str">
        <f t="shared" si="263"/>
        <v/>
      </c>
      <c r="JZ865" s="2141" t="str">
        <f t="shared" si="264"/>
        <v/>
      </c>
      <c r="KA865" s="2141" t="str">
        <f t="shared" si="265"/>
        <v/>
      </c>
      <c r="KB865" s="2141" t="str">
        <f t="shared" si="266"/>
        <v/>
      </c>
      <c r="KC865" s="2141" t="str">
        <f t="shared" si="267"/>
        <v/>
      </c>
      <c r="KD865" s="2141" t="str">
        <f t="shared" si="268"/>
        <v/>
      </c>
      <c r="KE865" s="2141" t="str">
        <f t="shared" si="269"/>
        <v/>
      </c>
      <c r="KF865" s="2141" t="str">
        <f t="shared" si="270"/>
        <v/>
      </c>
      <c r="KG865" s="2141" t="str">
        <f t="shared" si="271"/>
        <v/>
      </c>
      <c r="KH865" s="2141" t="str">
        <f t="shared" si="272"/>
        <v/>
      </c>
      <c r="KI865" s="2141" t="str">
        <f t="shared" si="273"/>
        <v/>
      </c>
      <c r="KJ865" s="2141" t="str">
        <f t="shared" si="274"/>
        <v/>
      </c>
      <c r="KK865" s="2141" t="str">
        <f t="shared" si="275"/>
        <v/>
      </c>
      <c r="KL865" s="2141" t="str">
        <f t="shared" si="276"/>
        <v/>
      </c>
      <c r="KM865" s="2141" t="str">
        <f t="shared" si="277"/>
        <v/>
      </c>
      <c r="KN865" s="2141" t="str">
        <f t="shared" si="278"/>
        <v/>
      </c>
      <c r="KO865" s="2141" t="str">
        <f t="shared" si="279"/>
        <v/>
      </c>
      <c r="KP865" s="2141" t="str">
        <f t="shared" si="280"/>
        <v/>
      </c>
      <c r="KQ865" s="2141" t="str">
        <f t="shared" si="281"/>
        <v/>
      </c>
      <c r="KR865" s="2141" t="str">
        <f t="shared" si="282"/>
        <v/>
      </c>
      <c r="KS865" s="2141" t="str">
        <f t="shared" si="283"/>
        <v/>
      </c>
      <c r="KT865" s="2141" t="str">
        <f t="shared" si="284"/>
        <v/>
      </c>
      <c r="KU865" s="2141" t="str">
        <f t="shared" si="285"/>
        <v/>
      </c>
      <c r="KV865" s="2141" t="str">
        <f t="shared" si="286"/>
        <v/>
      </c>
      <c r="KW865" s="2141" t="str">
        <f t="shared" si="287"/>
        <v/>
      </c>
      <c r="KX865" s="2141" t="str">
        <f t="shared" si="288"/>
        <v/>
      </c>
      <c r="KY865" s="2141" t="str">
        <f t="shared" si="289"/>
        <v/>
      </c>
      <c r="KZ865" s="2141" t="str">
        <f t="shared" si="290"/>
        <v/>
      </c>
      <c r="LA865" s="2141" t="str">
        <f t="shared" si="291"/>
        <v/>
      </c>
      <c r="LB865" s="2141" t="str">
        <f t="shared" si="292"/>
        <v/>
      </c>
      <c r="LC865" s="2141" t="str">
        <f t="shared" si="293"/>
        <v/>
      </c>
      <c r="LD865" s="2141" t="str">
        <f t="shared" si="294"/>
        <v/>
      </c>
      <c r="LE865" s="2141" t="str">
        <f t="shared" si="295"/>
        <v/>
      </c>
      <c r="LF865" s="2141" t="str">
        <f t="shared" si="296"/>
        <v/>
      </c>
      <c r="LG865" s="2052" t="str">
        <f t="shared" si="297"/>
        <v/>
      </c>
      <c r="LH865" s="2052" t="str">
        <f t="shared" si="298"/>
        <v/>
      </c>
      <c r="LI865" s="2052" t="str">
        <f t="shared" si="299"/>
        <v/>
      </c>
      <c r="LJ865" s="2052" t="str">
        <f t="shared" si="300"/>
        <v/>
      </c>
      <c r="LK865" s="2052" t="str">
        <f t="shared" si="301"/>
        <v/>
      </c>
      <c r="LL865" s="1853" t="str">
        <f t="shared" si="302"/>
        <v/>
      </c>
      <c r="LM865" s="1853" t="str">
        <f t="shared" si="303"/>
        <v/>
      </c>
      <c r="LN865" s="1853" t="str">
        <f t="shared" si="304"/>
        <v/>
      </c>
      <c r="LO865" s="1853" t="str">
        <f t="shared" si="305"/>
        <v/>
      </c>
      <c r="LP865" s="1853" t="str">
        <f t="shared" si="306"/>
        <v/>
      </c>
      <c r="LQ865" s="1853" t="str">
        <f t="shared" si="307"/>
        <v/>
      </c>
      <c r="LR865" s="1853" t="str">
        <f t="shared" si="308"/>
        <v/>
      </c>
      <c r="LS865" s="1853" t="str">
        <f t="shared" si="309"/>
        <v/>
      </c>
      <c r="LT865" s="1853" t="str">
        <f t="shared" si="310"/>
        <v/>
      </c>
      <c r="LU865" s="1853" t="str">
        <f t="shared" si="311"/>
        <v/>
      </c>
      <c r="LV865" s="1853" t="str">
        <f t="shared" si="312"/>
        <v/>
      </c>
      <c r="LW865" s="1853" t="str">
        <f t="shared" si="313"/>
        <v/>
      </c>
      <c r="LX865" s="1853" t="str">
        <f t="shared" si="314"/>
        <v/>
      </c>
      <c r="LY865" s="1853" t="str">
        <f t="shared" si="315"/>
        <v/>
      </c>
      <c r="LZ865" s="1853" t="str">
        <f t="shared" si="316"/>
        <v/>
      </c>
      <c r="MA865" s="1853" t="str">
        <f t="shared" si="317"/>
        <v/>
      </c>
      <c r="MB865" s="1853" t="str">
        <f t="shared" si="318"/>
        <v/>
      </c>
      <c r="MC865" s="1853" t="str">
        <f t="shared" si="319"/>
        <v/>
      </c>
      <c r="MD865" s="1853" t="str">
        <f t="shared" si="320"/>
        <v/>
      </c>
      <c r="ME865" s="1853" t="str">
        <f t="shared" si="321"/>
        <v/>
      </c>
      <c r="MF865" s="2052">
        <f t="shared" si="328"/>
        <v>0</v>
      </c>
      <c r="MG865" s="2052">
        <f t="shared" si="329"/>
        <v>0</v>
      </c>
      <c r="MH865" s="2052">
        <f t="shared" si="330"/>
        <v>0</v>
      </c>
      <c r="MI865" s="2052">
        <f t="shared" si="331"/>
        <v>0</v>
      </c>
      <c r="MJ865" s="2052">
        <f t="shared" si="332"/>
        <v>0</v>
      </c>
      <c r="MK865" s="2052">
        <f t="shared" si="333"/>
        <v>0</v>
      </c>
      <c r="ML865" s="2052">
        <f t="shared" si="334"/>
        <v>0</v>
      </c>
      <c r="MM865" s="2052">
        <f t="shared" si="335"/>
        <v>0</v>
      </c>
      <c r="MN865" s="2052">
        <f t="shared" si="336"/>
        <v>0</v>
      </c>
      <c r="MO865" s="2052">
        <f t="shared" si="337"/>
        <v>0</v>
      </c>
      <c r="MP865" s="2052">
        <f t="shared" si="322"/>
        <v>0</v>
      </c>
      <c r="MQ865" s="2052">
        <f t="shared" si="323"/>
        <v>0</v>
      </c>
      <c r="MR865" s="2052">
        <f t="shared" si="324"/>
        <v>0</v>
      </c>
      <c r="MS865" s="2052">
        <f t="shared" si="325"/>
        <v>0</v>
      </c>
      <c r="MT865" s="2052">
        <f t="shared" si="326"/>
        <v>0</v>
      </c>
      <c r="NP865" s="1925" t="s">
        <v>6731</v>
      </c>
    </row>
    <row r="866" spans="1:380" s="1853" customFormat="1" ht="13.9" customHeight="1">
      <c r="A866" s="2109" t="str">
        <f t="shared" si="327"/>
        <v/>
      </c>
      <c r="B866" s="2131">
        <f>'Part VI-Revenues &amp; Expenses'!B26</f>
        <v>0</v>
      </c>
      <c r="C866" s="2132">
        <f>'Part VI-Revenues &amp; Expenses'!C26</f>
        <v>0</v>
      </c>
      <c r="D866" s="2133">
        <f>'Part VI-Revenues &amp; Expenses'!D26</f>
        <v>0</v>
      </c>
      <c r="E866" s="2134">
        <f>'Part VI-Revenues &amp; Expenses'!E26</f>
        <v>0</v>
      </c>
      <c r="F866" s="2134">
        <f>'Part VI-Revenues &amp; Expenses'!F26</f>
        <v>0</v>
      </c>
      <c r="G866" s="2134">
        <f>'Part VI-Revenues &amp; Expenses'!G26</f>
        <v>0</v>
      </c>
      <c r="H866" s="2134">
        <f>'Part VI-Revenues &amp; Expenses'!H26</f>
        <v>0</v>
      </c>
      <c r="I866" s="2134">
        <f>'Part VI-Revenues &amp; Expenses'!I26</f>
        <v>0</v>
      </c>
      <c r="J866" s="2134">
        <f>'Part VI-Revenues &amp; Expenses'!J26</f>
        <v>0</v>
      </c>
      <c r="K866" s="2135">
        <f>'Part VI-Revenues &amp; Expenses'!K26</f>
        <v>0</v>
      </c>
      <c r="L866" s="2136">
        <f t="shared" si="0"/>
        <v>0</v>
      </c>
      <c r="M866" s="2136">
        <f t="shared" si="1"/>
        <v>0</v>
      </c>
      <c r="N866" s="1917">
        <f>'Part VI-Revenues &amp; Expenses'!N26</f>
        <v>0</v>
      </c>
      <c r="O866" s="2137">
        <f>'Part VI-Revenues &amp; Expenses'!O26</f>
        <v>0</v>
      </c>
      <c r="P866" s="1917">
        <f>'Part VI-Revenues &amp; Expenses'!P26</f>
        <v>0</v>
      </c>
      <c r="Q866" s="2138">
        <f>'Part VI-Revenues &amp; Expenses'!Q26</f>
        <v>0</v>
      </c>
      <c r="R866" s="2139"/>
      <c r="S866" s="2140"/>
      <c r="T866" s="2044"/>
      <c r="U866" s="2044"/>
      <c r="V866" s="2044"/>
      <c r="W866" s="2044"/>
      <c r="X866" s="1853" t="str">
        <f t="shared" si="2"/>
        <v/>
      </c>
      <c r="Y866" s="1853" t="str">
        <f t="shared" si="3"/>
        <v/>
      </c>
      <c r="Z866" s="1853" t="str">
        <f t="shared" si="4"/>
        <v/>
      </c>
      <c r="AA866" s="1853" t="str">
        <f t="shared" si="5"/>
        <v/>
      </c>
      <c r="AB866" s="1853" t="str">
        <f t="shared" si="6"/>
        <v/>
      </c>
      <c r="AC866" s="1853" t="str">
        <f t="shared" si="7"/>
        <v/>
      </c>
      <c r="AD866" s="1853" t="str">
        <f t="shared" si="8"/>
        <v/>
      </c>
      <c r="AE866" s="1853" t="str">
        <f t="shared" si="9"/>
        <v/>
      </c>
      <c r="AF866" s="1853" t="str">
        <f t="shared" si="10"/>
        <v/>
      </c>
      <c r="AG866" s="1853" t="str">
        <f t="shared" si="11"/>
        <v/>
      </c>
      <c r="AH866" s="1853" t="str">
        <f t="shared" si="12"/>
        <v/>
      </c>
      <c r="AI866" s="1853" t="str">
        <f t="shared" si="13"/>
        <v/>
      </c>
      <c r="AJ866" s="1853" t="str">
        <f t="shared" si="14"/>
        <v/>
      </c>
      <c r="AK866" s="1853" t="str">
        <f t="shared" si="15"/>
        <v/>
      </c>
      <c r="AL866" s="1853" t="str">
        <f t="shared" si="16"/>
        <v/>
      </c>
      <c r="AM866" s="1853" t="str">
        <f t="shared" si="17"/>
        <v/>
      </c>
      <c r="AN866" s="1853" t="str">
        <f t="shared" si="18"/>
        <v/>
      </c>
      <c r="AO866" s="1853" t="str">
        <f t="shared" si="19"/>
        <v/>
      </c>
      <c r="AP866" s="1853" t="str">
        <f t="shared" si="20"/>
        <v/>
      </c>
      <c r="AQ866" s="1853" t="str">
        <f t="shared" si="21"/>
        <v/>
      </c>
      <c r="AR866" s="1853" t="str">
        <f t="shared" si="22"/>
        <v/>
      </c>
      <c r="AS866" s="1853" t="str">
        <f t="shared" si="23"/>
        <v/>
      </c>
      <c r="AT866" s="1853" t="str">
        <f t="shared" si="24"/>
        <v/>
      </c>
      <c r="AU866" s="1853" t="str">
        <f t="shared" si="25"/>
        <v/>
      </c>
      <c r="AV866" s="1853" t="str">
        <f t="shared" si="26"/>
        <v/>
      </c>
      <c r="AW866" s="1853" t="str">
        <f t="shared" si="27"/>
        <v/>
      </c>
      <c r="AX866" s="1853" t="str">
        <f t="shared" si="28"/>
        <v/>
      </c>
      <c r="AY866" s="1853" t="str">
        <f t="shared" si="29"/>
        <v/>
      </c>
      <c r="AZ866" s="1853" t="str">
        <f t="shared" si="30"/>
        <v/>
      </c>
      <c r="BA866" s="1853" t="str">
        <f t="shared" si="31"/>
        <v/>
      </c>
      <c r="BB866" s="1853" t="str">
        <f t="shared" si="32"/>
        <v/>
      </c>
      <c r="BC866" s="1853" t="str">
        <f t="shared" si="33"/>
        <v/>
      </c>
      <c r="BD866" s="1853" t="str">
        <f t="shared" si="34"/>
        <v/>
      </c>
      <c r="BE866" s="1853" t="str">
        <f t="shared" si="35"/>
        <v/>
      </c>
      <c r="BF866" s="1853" t="str">
        <f t="shared" si="36"/>
        <v/>
      </c>
      <c r="BG866" s="1853" t="str">
        <f t="shared" si="37"/>
        <v/>
      </c>
      <c r="BH866" s="1853" t="str">
        <f t="shared" si="38"/>
        <v/>
      </c>
      <c r="BI866" s="1853" t="str">
        <f t="shared" si="39"/>
        <v/>
      </c>
      <c r="BJ866" s="1853" t="str">
        <f t="shared" si="40"/>
        <v/>
      </c>
      <c r="BK866" s="1853" t="str">
        <f t="shared" si="41"/>
        <v/>
      </c>
      <c r="BL866" s="1853" t="str">
        <f t="shared" si="42"/>
        <v/>
      </c>
      <c r="BM866" s="1853" t="str">
        <f t="shared" si="43"/>
        <v/>
      </c>
      <c r="BN866" s="1853" t="str">
        <f t="shared" si="44"/>
        <v/>
      </c>
      <c r="BO866" s="1853" t="str">
        <f t="shared" si="45"/>
        <v/>
      </c>
      <c r="BP866" s="1853" t="str">
        <f t="shared" si="46"/>
        <v/>
      </c>
      <c r="BQ866" s="1853" t="str">
        <f t="shared" si="47"/>
        <v/>
      </c>
      <c r="BR866" s="1853" t="str">
        <f t="shared" si="48"/>
        <v/>
      </c>
      <c r="BS866" s="1853" t="str">
        <f t="shared" si="49"/>
        <v/>
      </c>
      <c r="BT866" s="1853" t="str">
        <f t="shared" si="50"/>
        <v/>
      </c>
      <c r="BU866" s="1853" t="str">
        <f t="shared" si="51"/>
        <v/>
      </c>
      <c r="BV866" s="1853" t="str">
        <f t="shared" si="52"/>
        <v/>
      </c>
      <c r="BW866" s="1853" t="str">
        <f t="shared" si="53"/>
        <v/>
      </c>
      <c r="BX866" s="1853" t="str">
        <f t="shared" si="54"/>
        <v/>
      </c>
      <c r="BY866" s="1853" t="str">
        <f t="shared" si="55"/>
        <v/>
      </c>
      <c r="BZ866" s="1853" t="str">
        <f t="shared" si="56"/>
        <v/>
      </c>
      <c r="CA866" s="1853" t="str">
        <f t="shared" si="57"/>
        <v/>
      </c>
      <c r="CB866" s="1853" t="str">
        <f t="shared" si="58"/>
        <v/>
      </c>
      <c r="CC866" s="1853" t="str">
        <f t="shared" si="59"/>
        <v/>
      </c>
      <c r="CD866" s="1853" t="str">
        <f t="shared" si="60"/>
        <v/>
      </c>
      <c r="CE866" s="1853" t="str">
        <f t="shared" si="61"/>
        <v/>
      </c>
      <c r="CF866" s="1853" t="str">
        <f t="shared" si="62"/>
        <v/>
      </c>
      <c r="CG866" s="1853" t="str">
        <f t="shared" si="63"/>
        <v/>
      </c>
      <c r="CH866" s="1853" t="str">
        <f t="shared" si="64"/>
        <v/>
      </c>
      <c r="CI866" s="1853" t="str">
        <f t="shared" si="65"/>
        <v/>
      </c>
      <c r="CJ866" s="1853" t="str">
        <f t="shared" si="66"/>
        <v/>
      </c>
      <c r="CK866" s="1853" t="str">
        <f t="shared" si="67"/>
        <v/>
      </c>
      <c r="CL866" s="1853" t="str">
        <f t="shared" si="68"/>
        <v/>
      </c>
      <c r="CM866" s="1853" t="str">
        <f t="shared" si="69"/>
        <v/>
      </c>
      <c r="CN866" s="1853" t="str">
        <f t="shared" si="70"/>
        <v/>
      </c>
      <c r="CO866" s="1853" t="str">
        <f t="shared" si="71"/>
        <v/>
      </c>
      <c r="CP866" s="1853" t="str">
        <f t="shared" si="72"/>
        <v/>
      </c>
      <c r="CQ866" s="1853" t="str">
        <f t="shared" si="73"/>
        <v/>
      </c>
      <c r="CR866" s="1853" t="str">
        <f t="shared" si="74"/>
        <v/>
      </c>
      <c r="CS866" s="1853" t="str">
        <f t="shared" si="75"/>
        <v/>
      </c>
      <c r="CT866" s="1853" t="str">
        <f t="shared" si="76"/>
        <v/>
      </c>
      <c r="CU866" s="1853" t="str">
        <f t="shared" si="77"/>
        <v/>
      </c>
      <c r="CV866" s="1853" t="str">
        <f t="shared" si="78"/>
        <v/>
      </c>
      <c r="CW866" s="1853" t="str">
        <f t="shared" si="79"/>
        <v/>
      </c>
      <c r="CX866" s="1853" t="str">
        <f t="shared" si="80"/>
        <v/>
      </c>
      <c r="CY866" s="1853" t="str">
        <f t="shared" si="81"/>
        <v/>
      </c>
      <c r="CZ866" s="1853" t="str">
        <f t="shared" si="82"/>
        <v/>
      </c>
      <c r="DA866" s="1853" t="str">
        <f t="shared" si="83"/>
        <v/>
      </c>
      <c r="DB866" s="1853" t="str">
        <f t="shared" si="84"/>
        <v/>
      </c>
      <c r="DC866" s="1853" t="str">
        <f t="shared" si="85"/>
        <v/>
      </c>
      <c r="DD866" s="1853" t="str">
        <f t="shared" si="86"/>
        <v/>
      </c>
      <c r="DE866" s="1853" t="str">
        <f t="shared" si="87"/>
        <v/>
      </c>
      <c r="DF866" s="1853" t="str">
        <f t="shared" si="88"/>
        <v/>
      </c>
      <c r="DG866" s="1853" t="str">
        <f t="shared" si="89"/>
        <v/>
      </c>
      <c r="DH866" s="1853" t="str">
        <f t="shared" si="90"/>
        <v/>
      </c>
      <c r="DI866" s="1853" t="str">
        <f t="shared" si="91"/>
        <v/>
      </c>
      <c r="DJ866" s="1853" t="str">
        <f t="shared" si="92"/>
        <v/>
      </c>
      <c r="DK866" s="1853" t="str">
        <f t="shared" si="93"/>
        <v/>
      </c>
      <c r="DL866" s="1853" t="str">
        <f t="shared" si="94"/>
        <v/>
      </c>
      <c r="DM866" s="1853" t="str">
        <f t="shared" si="95"/>
        <v/>
      </c>
      <c r="DN866" s="1853" t="str">
        <f t="shared" si="96"/>
        <v/>
      </c>
      <c r="DO866" s="1853" t="str">
        <f t="shared" si="97"/>
        <v/>
      </c>
      <c r="DP866" s="1853" t="str">
        <f t="shared" si="98"/>
        <v/>
      </c>
      <c r="DQ866" s="1853" t="str">
        <f t="shared" si="99"/>
        <v/>
      </c>
      <c r="DR866" s="1853" t="str">
        <f t="shared" si="100"/>
        <v/>
      </c>
      <c r="DS866" s="1853" t="str">
        <f t="shared" si="101"/>
        <v/>
      </c>
      <c r="DT866" s="1853" t="str">
        <f t="shared" si="102"/>
        <v/>
      </c>
      <c r="DU866" s="1853" t="str">
        <f t="shared" si="103"/>
        <v/>
      </c>
      <c r="DV866" s="1853" t="str">
        <f t="shared" si="104"/>
        <v/>
      </c>
      <c r="DW866" s="1853" t="str">
        <f t="shared" si="105"/>
        <v/>
      </c>
      <c r="DX866" s="1853" t="str">
        <f t="shared" si="106"/>
        <v/>
      </c>
      <c r="DY866" s="1853" t="str">
        <f t="shared" si="107"/>
        <v/>
      </c>
      <c r="DZ866" s="1853" t="str">
        <f t="shared" si="108"/>
        <v/>
      </c>
      <c r="EA866" s="1853" t="str">
        <f t="shared" si="109"/>
        <v/>
      </c>
      <c r="EB866" s="1853" t="str">
        <f t="shared" si="110"/>
        <v/>
      </c>
      <c r="EC866" s="1853" t="str">
        <f t="shared" si="111"/>
        <v/>
      </c>
      <c r="ED866" s="1853" t="str">
        <f t="shared" si="112"/>
        <v/>
      </c>
      <c r="EE866" s="1853" t="str">
        <f t="shared" si="113"/>
        <v/>
      </c>
      <c r="EF866" s="1853" t="str">
        <f t="shared" si="114"/>
        <v/>
      </c>
      <c r="EG866" s="1853" t="str">
        <f t="shared" si="115"/>
        <v/>
      </c>
      <c r="EH866" s="1853" t="str">
        <f t="shared" si="116"/>
        <v/>
      </c>
      <c r="EI866" s="1853" t="str">
        <f t="shared" si="117"/>
        <v/>
      </c>
      <c r="EJ866" s="1853" t="str">
        <f t="shared" si="118"/>
        <v/>
      </c>
      <c r="EK866" s="1853" t="str">
        <f t="shared" si="119"/>
        <v/>
      </c>
      <c r="EL866" s="1853" t="str">
        <f t="shared" si="120"/>
        <v/>
      </c>
      <c r="EM866" s="1853" t="str">
        <f t="shared" si="121"/>
        <v/>
      </c>
      <c r="EN866" s="1853" t="str">
        <f t="shared" si="122"/>
        <v/>
      </c>
      <c r="EO866" s="1853" t="str">
        <f t="shared" si="123"/>
        <v/>
      </c>
      <c r="EP866" s="1853" t="str">
        <f t="shared" si="124"/>
        <v/>
      </c>
      <c r="EQ866" s="1853" t="str">
        <f t="shared" si="125"/>
        <v/>
      </c>
      <c r="ER866" s="1853" t="str">
        <f t="shared" si="126"/>
        <v/>
      </c>
      <c r="ES866" s="1853" t="str">
        <f t="shared" si="127"/>
        <v/>
      </c>
      <c r="ET866" s="1853" t="str">
        <f t="shared" si="128"/>
        <v/>
      </c>
      <c r="EU866" s="1853" t="str">
        <f t="shared" si="129"/>
        <v/>
      </c>
      <c r="EV866" s="1853" t="str">
        <f t="shared" si="130"/>
        <v/>
      </c>
      <c r="EW866" s="1853" t="str">
        <f t="shared" si="131"/>
        <v/>
      </c>
      <c r="EX866" s="1853" t="str">
        <f t="shared" si="132"/>
        <v/>
      </c>
      <c r="EY866" s="1853" t="str">
        <f t="shared" si="133"/>
        <v/>
      </c>
      <c r="EZ866" s="1853" t="str">
        <f t="shared" si="134"/>
        <v/>
      </c>
      <c r="FA866" s="1853" t="str">
        <f t="shared" si="135"/>
        <v/>
      </c>
      <c r="FB866" s="1853" t="str">
        <f t="shared" si="136"/>
        <v/>
      </c>
      <c r="FC866" s="1853" t="str">
        <f t="shared" si="137"/>
        <v/>
      </c>
      <c r="FD866" s="1853" t="str">
        <f t="shared" si="138"/>
        <v/>
      </c>
      <c r="FE866" s="1853" t="str">
        <f t="shared" si="139"/>
        <v/>
      </c>
      <c r="FF866" s="1853" t="str">
        <f t="shared" si="140"/>
        <v/>
      </c>
      <c r="FG866" s="1853" t="str">
        <f t="shared" si="141"/>
        <v/>
      </c>
      <c r="FH866" s="1853" t="str">
        <f t="shared" si="142"/>
        <v/>
      </c>
      <c r="FI866" s="1853" t="str">
        <f t="shared" si="143"/>
        <v/>
      </c>
      <c r="FJ866" s="1853" t="str">
        <f t="shared" si="144"/>
        <v/>
      </c>
      <c r="FK866" s="1853" t="str">
        <f t="shared" si="145"/>
        <v/>
      </c>
      <c r="FL866" s="1853" t="str">
        <f t="shared" si="146"/>
        <v/>
      </c>
      <c r="FM866" s="1853" t="str">
        <f t="shared" si="147"/>
        <v/>
      </c>
      <c r="FN866" s="1853" t="str">
        <f t="shared" si="148"/>
        <v/>
      </c>
      <c r="FO866" s="1853" t="str">
        <f t="shared" si="149"/>
        <v/>
      </c>
      <c r="FP866" s="1853" t="str">
        <f t="shared" si="150"/>
        <v/>
      </c>
      <c r="FQ866" s="1853" t="str">
        <f t="shared" si="151"/>
        <v/>
      </c>
      <c r="FR866" s="1853" t="str">
        <f t="shared" si="152"/>
        <v/>
      </c>
      <c r="FS866" s="1853" t="str">
        <f t="shared" si="153"/>
        <v/>
      </c>
      <c r="FT866" s="1853" t="str">
        <f t="shared" si="154"/>
        <v/>
      </c>
      <c r="FU866" s="1853" t="str">
        <f t="shared" si="155"/>
        <v/>
      </c>
      <c r="FV866" s="1853" t="str">
        <f t="shared" si="156"/>
        <v/>
      </c>
      <c r="FW866" s="1853" t="str">
        <f t="shared" si="157"/>
        <v/>
      </c>
      <c r="FX866" s="1853" t="str">
        <f t="shared" si="158"/>
        <v/>
      </c>
      <c r="FY866" s="1853" t="str">
        <f t="shared" si="159"/>
        <v/>
      </c>
      <c r="FZ866" s="1853" t="str">
        <f t="shared" si="160"/>
        <v/>
      </c>
      <c r="GA866" s="1853" t="str">
        <f t="shared" si="161"/>
        <v/>
      </c>
      <c r="GB866" s="1853" t="str">
        <f t="shared" si="162"/>
        <v/>
      </c>
      <c r="GC866" s="1853" t="str">
        <f t="shared" si="163"/>
        <v/>
      </c>
      <c r="GD866" s="1853" t="str">
        <f t="shared" si="164"/>
        <v/>
      </c>
      <c r="GE866" s="1853" t="str">
        <f t="shared" si="165"/>
        <v/>
      </c>
      <c r="GF866" s="1853" t="str">
        <f t="shared" si="166"/>
        <v/>
      </c>
      <c r="GG866" s="1853" t="str">
        <f t="shared" si="167"/>
        <v/>
      </c>
      <c r="GH866" s="1853" t="str">
        <f t="shared" si="168"/>
        <v/>
      </c>
      <c r="GI866" s="1853" t="str">
        <f t="shared" si="169"/>
        <v/>
      </c>
      <c r="GJ866" s="1853" t="str">
        <f t="shared" si="170"/>
        <v/>
      </c>
      <c r="GK866" s="1853" t="str">
        <f t="shared" si="171"/>
        <v/>
      </c>
      <c r="GL866" s="1853" t="str">
        <f t="shared" si="172"/>
        <v/>
      </c>
      <c r="GM866" s="1853" t="str">
        <f t="shared" si="173"/>
        <v/>
      </c>
      <c r="GN866" s="1853" t="str">
        <f t="shared" si="174"/>
        <v/>
      </c>
      <c r="GO866" s="1853" t="str">
        <f t="shared" si="175"/>
        <v/>
      </c>
      <c r="GP866" s="1853" t="str">
        <f t="shared" si="176"/>
        <v/>
      </c>
      <c r="GQ866" s="1853" t="str">
        <f t="shared" si="177"/>
        <v/>
      </c>
      <c r="GR866" s="1853" t="str">
        <f t="shared" si="178"/>
        <v/>
      </c>
      <c r="GS866" s="1853" t="str">
        <f t="shared" si="179"/>
        <v/>
      </c>
      <c r="GT866" s="1853" t="str">
        <f t="shared" si="180"/>
        <v/>
      </c>
      <c r="GU866" s="1853" t="str">
        <f t="shared" si="181"/>
        <v/>
      </c>
      <c r="GV866" s="1853" t="str">
        <f t="shared" si="182"/>
        <v/>
      </c>
      <c r="GW866" s="1853" t="str">
        <f t="shared" si="183"/>
        <v/>
      </c>
      <c r="GX866" s="1853" t="str">
        <f t="shared" si="184"/>
        <v/>
      </c>
      <c r="GY866" s="1853" t="str">
        <f t="shared" si="185"/>
        <v/>
      </c>
      <c r="GZ866" s="1853" t="str">
        <f t="shared" si="186"/>
        <v/>
      </c>
      <c r="HA866" s="1853" t="str">
        <f t="shared" si="187"/>
        <v/>
      </c>
      <c r="HB866" s="1853" t="str">
        <f t="shared" si="188"/>
        <v/>
      </c>
      <c r="HC866" s="1853" t="str">
        <f t="shared" si="189"/>
        <v/>
      </c>
      <c r="HD866" s="1853" t="str">
        <f t="shared" si="190"/>
        <v/>
      </c>
      <c r="HE866" s="1853" t="str">
        <f t="shared" si="191"/>
        <v/>
      </c>
      <c r="HF866" s="1853" t="str">
        <f t="shared" si="192"/>
        <v/>
      </c>
      <c r="HG866" s="1853" t="str">
        <f t="shared" si="193"/>
        <v/>
      </c>
      <c r="HH866" s="1853" t="str">
        <f t="shared" si="194"/>
        <v/>
      </c>
      <c r="HI866" s="1853" t="str">
        <f t="shared" si="195"/>
        <v/>
      </c>
      <c r="HJ866" s="1853" t="str">
        <f t="shared" si="196"/>
        <v/>
      </c>
      <c r="HK866" s="1853" t="str">
        <f t="shared" si="197"/>
        <v/>
      </c>
      <c r="HL866" s="1853" t="str">
        <f t="shared" si="198"/>
        <v/>
      </c>
      <c r="HM866" s="1853" t="str">
        <f t="shared" si="199"/>
        <v/>
      </c>
      <c r="HN866" s="1853" t="str">
        <f t="shared" si="200"/>
        <v/>
      </c>
      <c r="HO866" s="1853" t="str">
        <f t="shared" si="201"/>
        <v/>
      </c>
      <c r="HP866" s="1853" t="str">
        <f t="shared" si="202"/>
        <v/>
      </c>
      <c r="HQ866" s="1853" t="str">
        <f t="shared" si="203"/>
        <v/>
      </c>
      <c r="HR866" s="1853" t="str">
        <f t="shared" si="204"/>
        <v/>
      </c>
      <c r="HS866" s="1853" t="str">
        <f t="shared" si="205"/>
        <v/>
      </c>
      <c r="HT866" s="1853" t="str">
        <f t="shared" si="206"/>
        <v/>
      </c>
      <c r="HU866" s="1853" t="str">
        <f t="shared" si="207"/>
        <v/>
      </c>
      <c r="HV866" s="1853" t="str">
        <f t="shared" si="208"/>
        <v/>
      </c>
      <c r="HW866" s="1853" t="str">
        <f t="shared" si="209"/>
        <v/>
      </c>
      <c r="HX866" s="1853" t="str">
        <f t="shared" si="210"/>
        <v/>
      </c>
      <c r="HY866" s="1853" t="str">
        <f t="shared" si="211"/>
        <v/>
      </c>
      <c r="HZ866" s="2141" t="str">
        <f t="shared" si="212"/>
        <v/>
      </c>
      <c r="IA866" s="2141" t="str">
        <f t="shared" si="213"/>
        <v/>
      </c>
      <c r="IB866" s="2141" t="str">
        <f t="shared" si="214"/>
        <v/>
      </c>
      <c r="IC866" s="2141" t="str">
        <f t="shared" si="215"/>
        <v/>
      </c>
      <c r="ID866" s="2141" t="str">
        <f t="shared" si="216"/>
        <v/>
      </c>
      <c r="IE866" s="2141" t="str">
        <f t="shared" si="217"/>
        <v/>
      </c>
      <c r="IF866" s="2141" t="str">
        <f t="shared" si="218"/>
        <v/>
      </c>
      <c r="IG866" s="2141" t="str">
        <f t="shared" si="219"/>
        <v/>
      </c>
      <c r="IH866" s="2141" t="str">
        <f t="shared" si="220"/>
        <v/>
      </c>
      <c r="II866" s="2141" t="str">
        <f t="shared" si="221"/>
        <v/>
      </c>
      <c r="IJ866" s="2141" t="str">
        <f t="shared" si="222"/>
        <v/>
      </c>
      <c r="IK866" s="2141" t="str">
        <f t="shared" si="223"/>
        <v/>
      </c>
      <c r="IL866" s="2141" t="str">
        <f t="shared" si="224"/>
        <v/>
      </c>
      <c r="IM866" s="2141" t="str">
        <f t="shared" si="225"/>
        <v/>
      </c>
      <c r="IN866" s="2141" t="str">
        <f t="shared" si="226"/>
        <v/>
      </c>
      <c r="IO866" s="2141" t="str">
        <f t="shared" si="227"/>
        <v/>
      </c>
      <c r="IP866" s="2141" t="str">
        <f t="shared" si="228"/>
        <v/>
      </c>
      <c r="IQ866" s="2141" t="str">
        <f t="shared" si="229"/>
        <v/>
      </c>
      <c r="IR866" s="2141" t="str">
        <f t="shared" si="230"/>
        <v/>
      </c>
      <c r="IS866" s="2141" t="str">
        <f t="shared" si="231"/>
        <v/>
      </c>
      <c r="IT866" s="2141" t="str">
        <f t="shared" si="232"/>
        <v/>
      </c>
      <c r="IU866" s="2141" t="str">
        <f t="shared" si="233"/>
        <v/>
      </c>
      <c r="IV866" s="2141" t="str">
        <f t="shared" si="234"/>
        <v/>
      </c>
      <c r="IW866" s="2141" t="str">
        <f t="shared" si="235"/>
        <v/>
      </c>
      <c r="IX866" s="2141" t="str">
        <f t="shared" si="236"/>
        <v/>
      </c>
      <c r="IY866" s="2141" t="str">
        <f t="shared" si="237"/>
        <v/>
      </c>
      <c r="IZ866" s="2141" t="str">
        <f t="shared" si="238"/>
        <v/>
      </c>
      <c r="JA866" s="2141" t="str">
        <f t="shared" si="239"/>
        <v/>
      </c>
      <c r="JB866" s="2141" t="str">
        <f t="shared" si="240"/>
        <v/>
      </c>
      <c r="JC866" s="2141" t="str">
        <f t="shared" si="241"/>
        <v/>
      </c>
      <c r="JD866" s="2141" t="str">
        <f t="shared" si="242"/>
        <v/>
      </c>
      <c r="JE866" s="2141" t="str">
        <f t="shared" si="243"/>
        <v/>
      </c>
      <c r="JF866" s="2141" t="str">
        <f t="shared" si="244"/>
        <v/>
      </c>
      <c r="JG866" s="2141" t="str">
        <f t="shared" si="245"/>
        <v/>
      </c>
      <c r="JH866" s="2141" t="str">
        <f t="shared" si="246"/>
        <v/>
      </c>
      <c r="JI866" s="2141" t="str">
        <f t="shared" si="247"/>
        <v/>
      </c>
      <c r="JJ866" s="2141" t="str">
        <f t="shared" si="248"/>
        <v/>
      </c>
      <c r="JK866" s="2141" t="str">
        <f t="shared" si="249"/>
        <v/>
      </c>
      <c r="JL866" s="2141" t="str">
        <f t="shared" si="250"/>
        <v/>
      </c>
      <c r="JM866" s="2141" t="str">
        <f t="shared" si="251"/>
        <v/>
      </c>
      <c r="JN866" s="2141" t="str">
        <f t="shared" si="252"/>
        <v/>
      </c>
      <c r="JO866" s="2141" t="str">
        <f t="shared" si="253"/>
        <v/>
      </c>
      <c r="JP866" s="2141" t="str">
        <f t="shared" si="254"/>
        <v/>
      </c>
      <c r="JQ866" s="2141" t="str">
        <f t="shared" si="255"/>
        <v/>
      </c>
      <c r="JR866" s="2141" t="str">
        <f t="shared" si="256"/>
        <v/>
      </c>
      <c r="JS866" s="2141" t="str">
        <f t="shared" si="257"/>
        <v/>
      </c>
      <c r="JT866" s="2141" t="str">
        <f t="shared" si="258"/>
        <v/>
      </c>
      <c r="JU866" s="2141" t="str">
        <f t="shared" si="259"/>
        <v/>
      </c>
      <c r="JV866" s="2141" t="str">
        <f t="shared" si="260"/>
        <v/>
      </c>
      <c r="JW866" s="2141" t="str">
        <f t="shared" si="261"/>
        <v/>
      </c>
      <c r="JX866" s="2141" t="str">
        <f t="shared" si="262"/>
        <v/>
      </c>
      <c r="JY866" s="2141" t="str">
        <f t="shared" si="263"/>
        <v/>
      </c>
      <c r="JZ866" s="2141" t="str">
        <f t="shared" si="264"/>
        <v/>
      </c>
      <c r="KA866" s="2141" t="str">
        <f t="shared" si="265"/>
        <v/>
      </c>
      <c r="KB866" s="2141" t="str">
        <f t="shared" si="266"/>
        <v/>
      </c>
      <c r="KC866" s="2141" t="str">
        <f t="shared" si="267"/>
        <v/>
      </c>
      <c r="KD866" s="2141" t="str">
        <f t="shared" si="268"/>
        <v/>
      </c>
      <c r="KE866" s="2141" t="str">
        <f t="shared" si="269"/>
        <v/>
      </c>
      <c r="KF866" s="2141" t="str">
        <f t="shared" si="270"/>
        <v/>
      </c>
      <c r="KG866" s="2141" t="str">
        <f t="shared" si="271"/>
        <v/>
      </c>
      <c r="KH866" s="2141" t="str">
        <f t="shared" si="272"/>
        <v/>
      </c>
      <c r="KI866" s="2141" t="str">
        <f t="shared" si="273"/>
        <v/>
      </c>
      <c r="KJ866" s="2141" t="str">
        <f t="shared" si="274"/>
        <v/>
      </c>
      <c r="KK866" s="2141" t="str">
        <f t="shared" si="275"/>
        <v/>
      </c>
      <c r="KL866" s="2141" t="str">
        <f t="shared" si="276"/>
        <v/>
      </c>
      <c r="KM866" s="2141" t="str">
        <f t="shared" si="277"/>
        <v/>
      </c>
      <c r="KN866" s="2141" t="str">
        <f t="shared" si="278"/>
        <v/>
      </c>
      <c r="KO866" s="2141" t="str">
        <f t="shared" si="279"/>
        <v/>
      </c>
      <c r="KP866" s="2141" t="str">
        <f t="shared" si="280"/>
        <v/>
      </c>
      <c r="KQ866" s="2141" t="str">
        <f t="shared" si="281"/>
        <v/>
      </c>
      <c r="KR866" s="2141" t="str">
        <f t="shared" si="282"/>
        <v/>
      </c>
      <c r="KS866" s="2141" t="str">
        <f t="shared" si="283"/>
        <v/>
      </c>
      <c r="KT866" s="2141" t="str">
        <f t="shared" si="284"/>
        <v/>
      </c>
      <c r="KU866" s="2141" t="str">
        <f t="shared" si="285"/>
        <v/>
      </c>
      <c r="KV866" s="2141" t="str">
        <f t="shared" si="286"/>
        <v/>
      </c>
      <c r="KW866" s="2141" t="str">
        <f t="shared" si="287"/>
        <v/>
      </c>
      <c r="KX866" s="2141" t="str">
        <f t="shared" si="288"/>
        <v/>
      </c>
      <c r="KY866" s="2141" t="str">
        <f t="shared" si="289"/>
        <v/>
      </c>
      <c r="KZ866" s="2141" t="str">
        <f t="shared" si="290"/>
        <v/>
      </c>
      <c r="LA866" s="2141" t="str">
        <f t="shared" si="291"/>
        <v/>
      </c>
      <c r="LB866" s="2141" t="str">
        <f t="shared" si="292"/>
        <v/>
      </c>
      <c r="LC866" s="2141" t="str">
        <f t="shared" si="293"/>
        <v/>
      </c>
      <c r="LD866" s="2141" t="str">
        <f t="shared" si="294"/>
        <v/>
      </c>
      <c r="LE866" s="2141" t="str">
        <f t="shared" si="295"/>
        <v/>
      </c>
      <c r="LF866" s="2141" t="str">
        <f t="shared" si="296"/>
        <v/>
      </c>
      <c r="LG866" s="2052" t="str">
        <f t="shared" si="297"/>
        <v/>
      </c>
      <c r="LH866" s="2052" t="str">
        <f t="shared" si="298"/>
        <v/>
      </c>
      <c r="LI866" s="2052" t="str">
        <f t="shared" si="299"/>
        <v/>
      </c>
      <c r="LJ866" s="2052" t="str">
        <f t="shared" si="300"/>
        <v/>
      </c>
      <c r="LK866" s="2052" t="str">
        <f t="shared" si="301"/>
        <v/>
      </c>
      <c r="LL866" s="1853" t="str">
        <f t="shared" si="302"/>
        <v/>
      </c>
      <c r="LM866" s="1853" t="str">
        <f t="shared" si="303"/>
        <v/>
      </c>
      <c r="LN866" s="1853" t="str">
        <f t="shared" si="304"/>
        <v/>
      </c>
      <c r="LO866" s="1853" t="str">
        <f t="shared" si="305"/>
        <v/>
      </c>
      <c r="LP866" s="1853" t="str">
        <f t="shared" si="306"/>
        <v/>
      </c>
      <c r="LQ866" s="1853" t="str">
        <f t="shared" si="307"/>
        <v/>
      </c>
      <c r="LR866" s="1853" t="str">
        <f t="shared" si="308"/>
        <v/>
      </c>
      <c r="LS866" s="1853" t="str">
        <f t="shared" si="309"/>
        <v/>
      </c>
      <c r="LT866" s="1853" t="str">
        <f t="shared" si="310"/>
        <v/>
      </c>
      <c r="LU866" s="1853" t="str">
        <f t="shared" si="311"/>
        <v/>
      </c>
      <c r="LV866" s="1853" t="str">
        <f t="shared" si="312"/>
        <v/>
      </c>
      <c r="LW866" s="1853" t="str">
        <f t="shared" si="313"/>
        <v/>
      </c>
      <c r="LX866" s="1853" t="str">
        <f t="shared" si="314"/>
        <v/>
      </c>
      <c r="LY866" s="1853" t="str">
        <f t="shared" si="315"/>
        <v/>
      </c>
      <c r="LZ866" s="1853" t="str">
        <f t="shared" si="316"/>
        <v/>
      </c>
      <c r="MA866" s="1853" t="str">
        <f t="shared" si="317"/>
        <v/>
      </c>
      <c r="MB866" s="1853" t="str">
        <f t="shared" si="318"/>
        <v/>
      </c>
      <c r="MC866" s="1853" t="str">
        <f t="shared" si="319"/>
        <v/>
      </c>
      <c r="MD866" s="1853" t="str">
        <f t="shared" si="320"/>
        <v/>
      </c>
      <c r="ME866" s="1853" t="str">
        <f t="shared" si="321"/>
        <v/>
      </c>
      <c r="MF866" s="2052">
        <f t="shared" si="328"/>
        <v>0</v>
      </c>
      <c r="MG866" s="2052">
        <f t="shared" si="329"/>
        <v>0</v>
      </c>
      <c r="MH866" s="2052">
        <f t="shared" si="330"/>
        <v>0</v>
      </c>
      <c r="MI866" s="2052">
        <f t="shared" si="331"/>
        <v>0</v>
      </c>
      <c r="MJ866" s="2052">
        <f t="shared" si="332"/>
        <v>0</v>
      </c>
      <c r="MK866" s="2052">
        <f t="shared" si="333"/>
        <v>0</v>
      </c>
      <c r="ML866" s="2052">
        <f t="shared" si="334"/>
        <v>0</v>
      </c>
      <c r="MM866" s="2052">
        <f t="shared" si="335"/>
        <v>0</v>
      </c>
      <c r="MN866" s="2052">
        <f t="shared" si="336"/>
        <v>0</v>
      </c>
      <c r="MO866" s="2052">
        <f t="shared" si="337"/>
        <v>0</v>
      </c>
      <c r="MP866" s="2052">
        <f t="shared" si="322"/>
        <v>0</v>
      </c>
      <c r="MQ866" s="2052">
        <f t="shared" si="323"/>
        <v>0</v>
      </c>
      <c r="MR866" s="2052">
        <f t="shared" si="324"/>
        <v>0</v>
      </c>
      <c r="MS866" s="2052">
        <f t="shared" si="325"/>
        <v>0</v>
      </c>
      <c r="MT866" s="2052">
        <f t="shared" si="326"/>
        <v>0</v>
      </c>
      <c r="NP866" s="1925" t="s">
        <v>6732</v>
      </c>
    </row>
    <row r="867" spans="1:380" s="1853" customFormat="1" ht="13.9" customHeight="1">
      <c r="A867" s="2109" t="str">
        <f t="shared" si="327"/>
        <v/>
      </c>
      <c r="B867" s="2131">
        <f>'Part VI-Revenues &amp; Expenses'!B27</f>
        <v>0</v>
      </c>
      <c r="C867" s="2132">
        <f>'Part VI-Revenues &amp; Expenses'!C27</f>
        <v>0</v>
      </c>
      <c r="D867" s="2133">
        <f>'Part VI-Revenues &amp; Expenses'!D27</f>
        <v>0</v>
      </c>
      <c r="E867" s="2134">
        <f>'Part VI-Revenues &amp; Expenses'!E27</f>
        <v>0</v>
      </c>
      <c r="F867" s="2134">
        <f>'Part VI-Revenues &amp; Expenses'!F27</f>
        <v>0</v>
      </c>
      <c r="G867" s="2134">
        <f>'Part VI-Revenues &amp; Expenses'!G27</f>
        <v>0</v>
      </c>
      <c r="H867" s="2134">
        <f>'Part VI-Revenues &amp; Expenses'!H27</f>
        <v>0</v>
      </c>
      <c r="I867" s="2134">
        <f>'Part VI-Revenues &amp; Expenses'!I27</f>
        <v>0</v>
      </c>
      <c r="J867" s="2134">
        <f>'Part VI-Revenues &amp; Expenses'!J27</f>
        <v>0</v>
      </c>
      <c r="K867" s="2135">
        <f>'Part VI-Revenues &amp; Expenses'!K27</f>
        <v>0</v>
      </c>
      <c r="L867" s="2136">
        <f t="shared" si="0"/>
        <v>0</v>
      </c>
      <c r="M867" s="2136">
        <f t="shared" si="1"/>
        <v>0</v>
      </c>
      <c r="N867" s="1917">
        <f>'Part VI-Revenues &amp; Expenses'!N27</f>
        <v>0</v>
      </c>
      <c r="O867" s="2137">
        <f>'Part VI-Revenues &amp; Expenses'!O27</f>
        <v>0</v>
      </c>
      <c r="P867" s="1917">
        <f>'Part VI-Revenues &amp; Expenses'!P27</f>
        <v>0</v>
      </c>
      <c r="Q867" s="2138">
        <f>'Part VI-Revenues &amp; Expenses'!Q27</f>
        <v>0</v>
      </c>
      <c r="R867" s="2139"/>
      <c r="S867" s="2140"/>
      <c r="T867" s="2044"/>
      <c r="U867" s="2044"/>
      <c r="V867" s="2044"/>
      <c r="W867" s="2044"/>
      <c r="X867" s="1853" t="str">
        <f t="shared" si="2"/>
        <v/>
      </c>
      <c r="Y867" s="1853" t="str">
        <f t="shared" si="3"/>
        <v/>
      </c>
      <c r="Z867" s="1853" t="str">
        <f t="shared" si="4"/>
        <v/>
      </c>
      <c r="AA867" s="1853" t="str">
        <f t="shared" si="5"/>
        <v/>
      </c>
      <c r="AB867" s="1853" t="str">
        <f t="shared" si="6"/>
        <v/>
      </c>
      <c r="AC867" s="1853" t="str">
        <f t="shared" si="7"/>
        <v/>
      </c>
      <c r="AD867" s="1853" t="str">
        <f t="shared" si="8"/>
        <v/>
      </c>
      <c r="AE867" s="1853" t="str">
        <f t="shared" si="9"/>
        <v/>
      </c>
      <c r="AF867" s="1853" t="str">
        <f t="shared" si="10"/>
        <v/>
      </c>
      <c r="AG867" s="1853" t="str">
        <f t="shared" si="11"/>
        <v/>
      </c>
      <c r="AH867" s="1853" t="str">
        <f t="shared" si="12"/>
        <v/>
      </c>
      <c r="AI867" s="1853" t="str">
        <f t="shared" si="13"/>
        <v/>
      </c>
      <c r="AJ867" s="1853" t="str">
        <f t="shared" si="14"/>
        <v/>
      </c>
      <c r="AK867" s="1853" t="str">
        <f t="shared" si="15"/>
        <v/>
      </c>
      <c r="AL867" s="1853" t="str">
        <f t="shared" si="16"/>
        <v/>
      </c>
      <c r="AM867" s="1853" t="str">
        <f t="shared" si="17"/>
        <v/>
      </c>
      <c r="AN867" s="1853" t="str">
        <f t="shared" si="18"/>
        <v/>
      </c>
      <c r="AO867" s="1853" t="str">
        <f t="shared" si="19"/>
        <v/>
      </c>
      <c r="AP867" s="1853" t="str">
        <f t="shared" si="20"/>
        <v/>
      </c>
      <c r="AQ867" s="1853" t="str">
        <f t="shared" si="21"/>
        <v/>
      </c>
      <c r="AR867" s="1853" t="str">
        <f t="shared" si="22"/>
        <v/>
      </c>
      <c r="AS867" s="1853" t="str">
        <f t="shared" si="23"/>
        <v/>
      </c>
      <c r="AT867" s="1853" t="str">
        <f t="shared" si="24"/>
        <v/>
      </c>
      <c r="AU867" s="1853" t="str">
        <f t="shared" si="25"/>
        <v/>
      </c>
      <c r="AV867" s="1853" t="str">
        <f t="shared" si="26"/>
        <v/>
      </c>
      <c r="AW867" s="1853" t="str">
        <f t="shared" si="27"/>
        <v/>
      </c>
      <c r="AX867" s="1853" t="str">
        <f t="shared" si="28"/>
        <v/>
      </c>
      <c r="AY867" s="1853" t="str">
        <f t="shared" si="29"/>
        <v/>
      </c>
      <c r="AZ867" s="1853" t="str">
        <f t="shared" si="30"/>
        <v/>
      </c>
      <c r="BA867" s="1853" t="str">
        <f t="shared" si="31"/>
        <v/>
      </c>
      <c r="BB867" s="1853" t="str">
        <f t="shared" si="32"/>
        <v/>
      </c>
      <c r="BC867" s="1853" t="str">
        <f t="shared" si="33"/>
        <v/>
      </c>
      <c r="BD867" s="1853" t="str">
        <f t="shared" si="34"/>
        <v/>
      </c>
      <c r="BE867" s="1853" t="str">
        <f t="shared" si="35"/>
        <v/>
      </c>
      <c r="BF867" s="1853" t="str">
        <f t="shared" si="36"/>
        <v/>
      </c>
      <c r="BG867" s="1853" t="str">
        <f t="shared" si="37"/>
        <v/>
      </c>
      <c r="BH867" s="1853" t="str">
        <f t="shared" si="38"/>
        <v/>
      </c>
      <c r="BI867" s="1853" t="str">
        <f t="shared" si="39"/>
        <v/>
      </c>
      <c r="BJ867" s="1853" t="str">
        <f t="shared" si="40"/>
        <v/>
      </c>
      <c r="BK867" s="1853" t="str">
        <f t="shared" si="41"/>
        <v/>
      </c>
      <c r="BL867" s="1853" t="str">
        <f t="shared" si="42"/>
        <v/>
      </c>
      <c r="BM867" s="1853" t="str">
        <f t="shared" si="43"/>
        <v/>
      </c>
      <c r="BN867" s="1853" t="str">
        <f t="shared" si="44"/>
        <v/>
      </c>
      <c r="BO867" s="1853" t="str">
        <f t="shared" si="45"/>
        <v/>
      </c>
      <c r="BP867" s="1853" t="str">
        <f t="shared" si="46"/>
        <v/>
      </c>
      <c r="BQ867" s="1853" t="str">
        <f t="shared" si="47"/>
        <v/>
      </c>
      <c r="BR867" s="1853" t="str">
        <f t="shared" si="48"/>
        <v/>
      </c>
      <c r="BS867" s="1853" t="str">
        <f t="shared" si="49"/>
        <v/>
      </c>
      <c r="BT867" s="1853" t="str">
        <f t="shared" si="50"/>
        <v/>
      </c>
      <c r="BU867" s="1853" t="str">
        <f t="shared" si="51"/>
        <v/>
      </c>
      <c r="BV867" s="1853" t="str">
        <f t="shared" si="52"/>
        <v/>
      </c>
      <c r="BW867" s="1853" t="str">
        <f t="shared" si="53"/>
        <v/>
      </c>
      <c r="BX867" s="1853" t="str">
        <f t="shared" si="54"/>
        <v/>
      </c>
      <c r="BY867" s="1853" t="str">
        <f t="shared" si="55"/>
        <v/>
      </c>
      <c r="BZ867" s="1853" t="str">
        <f t="shared" si="56"/>
        <v/>
      </c>
      <c r="CA867" s="1853" t="str">
        <f t="shared" si="57"/>
        <v/>
      </c>
      <c r="CB867" s="1853" t="str">
        <f t="shared" si="58"/>
        <v/>
      </c>
      <c r="CC867" s="1853" t="str">
        <f t="shared" si="59"/>
        <v/>
      </c>
      <c r="CD867" s="1853" t="str">
        <f t="shared" si="60"/>
        <v/>
      </c>
      <c r="CE867" s="1853" t="str">
        <f t="shared" si="61"/>
        <v/>
      </c>
      <c r="CF867" s="1853" t="str">
        <f t="shared" si="62"/>
        <v/>
      </c>
      <c r="CG867" s="1853" t="str">
        <f t="shared" si="63"/>
        <v/>
      </c>
      <c r="CH867" s="1853" t="str">
        <f t="shared" si="64"/>
        <v/>
      </c>
      <c r="CI867" s="1853" t="str">
        <f t="shared" si="65"/>
        <v/>
      </c>
      <c r="CJ867" s="1853" t="str">
        <f t="shared" si="66"/>
        <v/>
      </c>
      <c r="CK867" s="1853" t="str">
        <f t="shared" si="67"/>
        <v/>
      </c>
      <c r="CL867" s="1853" t="str">
        <f t="shared" si="68"/>
        <v/>
      </c>
      <c r="CM867" s="1853" t="str">
        <f t="shared" si="69"/>
        <v/>
      </c>
      <c r="CN867" s="1853" t="str">
        <f t="shared" si="70"/>
        <v/>
      </c>
      <c r="CO867" s="1853" t="str">
        <f t="shared" si="71"/>
        <v/>
      </c>
      <c r="CP867" s="1853" t="str">
        <f t="shared" si="72"/>
        <v/>
      </c>
      <c r="CQ867" s="1853" t="str">
        <f t="shared" si="73"/>
        <v/>
      </c>
      <c r="CR867" s="1853" t="str">
        <f t="shared" si="74"/>
        <v/>
      </c>
      <c r="CS867" s="1853" t="str">
        <f t="shared" si="75"/>
        <v/>
      </c>
      <c r="CT867" s="1853" t="str">
        <f t="shared" si="76"/>
        <v/>
      </c>
      <c r="CU867" s="1853" t="str">
        <f t="shared" si="77"/>
        <v/>
      </c>
      <c r="CV867" s="1853" t="str">
        <f t="shared" si="78"/>
        <v/>
      </c>
      <c r="CW867" s="1853" t="str">
        <f t="shared" si="79"/>
        <v/>
      </c>
      <c r="CX867" s="1853" t="str">
        <f t="shared" si="80"/>
        <v/>
      </c>
      <c r="CY867" s="1853" t="str">
        <f t="shared" si="81"/>
        <v/>
      </c>
      <c r="CZ867" s="1853" t="str">
        <f t="shared" si="82"/>
        <v/>
      </c>
      <c r="DA867" s="1853" t="str">
        <f t="shared" si="83"/>
        <v/>
      </c>
      <c r="DB867" s="1853" t="str">
        <f t="shared" si="84"/>
        <v/>
      </c>
      <c r="DC867" s="1853" t="str">
        <f t="shared" si="85"/>
        <v/>
      </c>
      <c r="DD867" s="1853" t="str">
        <f t="shared" si="86"/>
        <v/>
      </c>
      <c r="DE867" s="1853" t="str">
        <f t="shared" si="87"/>
        <v/>
      </c>
      <c r="DF867" s="1853" t="str">
        <f t="shared" si="88"/>
        <v/>
      </c>
      <c r="DG867" s="1853" t="str">
        <f t="shared" si="89"/>
        <v/>
      </c>
      <c r="DH867" s="1853" t="str">
        <f t="shared" si="90"/>
        <v/>
      </c>
      <c r="DI867" s="1853" t="str">
        <f t="shared" si="91"/>
        <v/>
      </c>
      <c r="DJ867" s="1853" t="str">
        <f t="shared" si="92"/>
        <v/>
      </c>
      <c r="DK867" s="1853" t="str">
        <f t="shared" si="93"/>
        <v/>
      </c>
      <c r="DL867" s="1853" t="str">
        <f t="shared" si="94"/>
        <v/>
      </c>
      <c r="DM867" s="1853" t="str">
        <f t="shared" si="95"/>
        <v/>
      </c>
      <c r="DN867" s="1853" t="str">
        <f t="shared" si="96"/>
        <v/>
      </c>
      <c r="DO867" s="1853" t="str">
        <f t="shared" si="97"/>
        <v/>
      </c>
      <c r="DP867" s="1853" t="str">
        <f t="shared" si="98"/>
        <v/>
      </c>
      <c r="DQ867" s="1853" t="str">
        <f t="shared" si="99"/>
        <v/>
      </c>
      <c r="DR867" s="1853" t="str">
        <f t="shared" si="100"/>
        <v/>
      </c>
      <c r="DS867" s="1853" t="str">
        <f t="shared" si="101"/>
        <v/>
      </c>
      <c r="DT867" s="1853" t="str">
        <f t="shared" si="102"/>
        <v/>
      </c>
      <c r="DU867" s="1853" t="str">
        <f t="shared" si="103"/>
        <v/>
      </c>
      <c r="DV867" s="1853" t="str">
        <f t="shared" si="104"/>
        <v/>
      </c>
      <c r="DW867" s="1853" t="str">
        <f t="shared" si="105"/>
        <v/>
      </c>
      <c r="DX867" s="1853" t="str">
        <f t="shared" si="106"/>
        <v/>
      </c>
      <c r="DY867" s="1853" t="str">
        <f t="shared" si="107"/>
        <v/>
      </c>
      <c r="DZ867" s="1853" t="str">
        <f t="shared" si="108"/>
        <v/>
      </c>
      <c r="EA867" s="1853" t="str">
        <f t="shared" si="109"/>
        <v/>
      </c>
      <c r="EB867" s="1853" t="str">
        <f t="shared" si="110"/>
        <v/>
      </c>
      <c r="EC867" s="1853" t="str">
        <f t="shared" si="111"/>
        <v/>
      </c>
      <c r="ED867" s="1853" t="str">
        <f t="shared" si="112"/>
        <v/>
      </c>
      <c r="EE867" s="1853" t="str">
        <f t="shared" si="113"/>
        <v/>
      </c>
      <c r="EF867" s="1853" t="str">
        <f t="shared" si="114"/>
        <v/>
      </c>
      <c r="EG867" s="1853" t="str">
        <f t="shared" si="115"/>
        <v/>
      </c>
      <c r="EH867" s="1853" t="str">
        <f t="shared" si="116"/>
        <v/>
      </c>
      <c r="EI867" s="1853" t="str">
        <f t="shared" si="117"/>
        <v/>
      </c>
      <c r="EJ867" s="1853" t="str">
        <f t="shared" si="118"/>
        <v/>
      </c>
      <c r="EK867" s="1853" t="str">
        <f t="shared" si="119"/>
        <v/>
      </c>
      <c r="EL867" s="1853" t="str">
        <f t="shared" si="120"/>
        <v/>
      </c>
      <c r="EM867" s="1853" t="str">
        <f t="shared" si="121"/>
        <v/>
      </c>
      <c r="EN867" s="1853" t="str">
        <f t="shared" si="122"/>
        <v/>
      </c>
      <c r="EO867" s="1853" t="str">
        <f t="shared" si="123"/>
        <v/>
      </c>
      <c r="EP867" s="1853" t="str">
        <f t="shared" si="124"/>
        <v/>
      </c>
      <c r="EQ867" s="1853" t="str">
        <f t="shared" si="125"/>
        <v/>
      </c>
      <c r="ER867" s="1853" t="str">
        <f t="shared" si="126"/>
        <v/>
      </c>
      <c r="ES867" s="1853" t="str">
        <f t="shared" si="127"/>
        <v/>
      </c>
      <c r="ET867" s="1853" t="str">
        <f t="shared" si="128"/>
        <v/>
      </c>
      <c r="EU867" s="1853" t="str">
        <f t="shared" si="129"/>
        <v/>
      </c>
      <c r="EV867" s="1853" t="str">
        <f t="shared" si="130"/>
        <v/>
      </c>
      <c r="EW867" s="1853" t="str">
        <f t="shared" si="131"/>
        <v/>
      </c>
      <c r="EX867" s="1853" t="str">
        <f t="shared" si="132"/>
        <v/>
      </c>
      <c r="EY867" s="1853" t="str">
        <f t="shared" si="133"/>
        <v/>
      </c>
      <c r="EZ867" s="1853" t="str">
        <f t="shared" si="134"/>
        <v/>
      </c>
      <c r="FA867" s="1853" t="str">
        <f t="shared" si="135"/>
        <v/>
      </c>
      <c r="FB867" s="1853" t="str">
        <f t="shared" si="136"/>
        <v/>
      </c>
      <c r="FC867" s="1853" t="str">
        <f t="shared" si="137"/>
        <v/>
      </c>
      <c r="FD867" s="1853" t="str">
        <f t="shared" si="138"/>
        <v/>
      </c>
      <c r="FE867" s="1853" t="str">
        <f t="shared" si="139"/>
        <v/>
      </c>
      <c r="FF867" s="1853" t="str">
        <f t="shared" si="140"/>
        <v/>
      </c>
      <c r="FG867" s="1853" t="str">
        <f t="shared" si="141"/>
        <v/>
      </c>
      <c r="FH867" s="1853" t="str">
        <f t="shared" si="142"/>
        <v/>
      </c>
      <c r="FI867" s="1853" t="str">
        <f t="shared" si="143"/>
        <v/>
      </c>
      <c r="FJ867" s="1853" t="str">
        <f t="shared" si="144"/>
        <v/>
      </c>
      <c r="FK867" s="1853" t="str">
        <f t="shared" si="145"/>
        <v/>
      </c>
      <c r="FL867" s="1853" t="str">
        <f t="shared" si="146"/>
        <v/>
      </c>
      <c r="FM867" s="1853" t="str">
        <f t="shared" si="147"/>
        <v/>
      </c>
      <c r="FN867" s="1853" t="str">
        <f t="shared" si="148"/>
        <v/>
      </c>
      <c r="FO867" s="1853" t="str">
        <f t="shared" si="149"/>
        <v/>
      </c>
      <c r="FP867" s="1853" t="str">
        <f t="shared" si="150"/>
        <v/>
      </c>
      <c r="FQ867" s="1853" t="str">
        <f t="shared" si="151"/>
        <v/>
      </c>
      <c r="FR867" s="1853" t="str">
        <f t="shared" si="152"/>
        <v/>
      </c>
      <c r="FS867" s="1853" t="str">
        <f t="shared" si="153"/>
        <v/>
      </c>
      <c r="FT867" s="1853" t="str">
        <f t="shared" si="154"/>
        <v/>
      </c>
      <c r="FU867" s="1853" t="str">
        <f t="shared" si="155"/>
        <v/>
      </c>
      <c r="FV867" s="1853" t="str">
        <f t="shared" si="156"/>
        <v/>
      </c>
      <c r="FW867" s="1853" t="str">
        <f t="shared" si="157"/>
        <v/>
      </c>
      <c r="FX867" s="1853" t="str">
        <f t="shared" si="158"/>
        <v/>
      </c>
      <c r="FY867" s="1853" t="str">
        <f t="shared" si="159"/>
        <v/>
      </c>
      <c r="FZ867" s="1853" t="str">
        <f t="shared" si="160"/>
        <v/>
      </c>
      <c r="GA867" s="1853" t="str">
        <f t="shared" si="161"/>
        <v/>
      </c>
      <c r="GB867" s="1853" t="str">
        <f t="shared" si="162"/>
        <v/>
      </c>
      <c r="GC867" s="1853" t="str">
        <f t="shared" si="163"/>
        <v/>
      </c>
      <c r="GD867" s="1853" t="str">
        <f t="shared" si="164"/>
        <v/>
      </c>
      <c r="GE867" s="1853" t="str">
        <f t="shared" si="165"/>
        <v/>
      </c>
      <c r="GF867" s="1853" t="str">
        <f t="shared" si="166"/>
        <v/>
      </c>
      <c r="GG867" s="1853" t="str">
        <f t="shared" si="167"/>
        <v/>
      </c>
      <c r="GH867" s="1853" t="str">
        <f t="shared" si="168"/>
        <v/>
      </c>
      <c r="GI867" s="1853" t="str">
        <f t="shared" si="169"/>
        <v/>
      </c>
      <c r="GJ867" s="1853" t="str">
        <f t="shared" si="170"/>
        <v/>
      </c>
      <c r="GK867" s="1853" t="str">
        <f t="shared" si="171"/>
        <v/>
      </c>
      <c r="GL867" s="1853" t="str">
        <f t="shared" si="172"/>
        <v/>
      </c>
      <c r="GM867" s="1853" t="str">
        <f t="shared" si="173"/>
        <v/>
      </c>
      <c r="GN867" s="1853" t="str">
        <f t="shared" si="174"/>
        <v/>
      </c>
      <c r="GO867" s="1853" t="str">
        <f t="shared" si="175"/>
        <v/>
      </c>
      <c r="GP867" s="1853" t="str">
        <f t="shared" si="176"/>
        <v/>
      </c>
      <c r="GQ867" s="1853" t="str">
        <f t="shared" si="177"/>
        <v/>
      </c>
      <c r="GR867" s="1853" t="str">
        <f t="shared" si="178"/>
        <v/>
      </c>
      <c r="GS867" s="1853" t="str">
        <f t="shared" si="179"/>
        <v/>
      </c>
      <c r="GT867" s="1853" t="str">
        <f t="shared" si="180"/>
        <v/>
      </c>
      <c r="GU867" s="1853" t="str">
        <f t="shared" si="181"/>
        <v/>
      </c>
      <c r="GV867" s="1853" t="str">
        <f t="shared" si="182"/>
        <v/>
      </c>
      <c r="GW867" s="1853" t="str">
        <f t="shared" si="183"/>
        <v/>
      </c>
      <c r="GX867" s="1853" t="str">
        <f t="shared" si="184"/>
        <v/>
      </c>
      <c r="GY867" s="1853" t="str">
        <f t="shared" si="185"/>
        <v/>
      </c>
      <c r="GZ867" s="1853" t="str">
        <f t="shared" si="186"/>
        <v/>
      </c>
      <c r="HA867" s="1853" t="str">
        <f t="shared" si="187"/>
        <v/>
      </c>
      <c r="HB867" s="1853" t="str">
        <f t="shared" si="188"/>
        <v/>
      </c>
      <c r="HC867" s="1853" t="str">
        <f t="shared" si="189"/>
        <v/>
      </c>
      <c r="HD867" s="1853" t="str">
        <f t="shared" si="190"/>
        <v/>
      </c>
      <c r="HE867" s="1853" t="str">
        <f t="shared" si="191"/>
        <v/>
      </c>
      <c r="HF867" s="1853" t="str">
        <f t="shared" si="192"/>
        <v/>
      </c>
      <c r="HG867" s="1853" t="str">
        <f t="shared" si="193"/>
        <v/>
      </c>
      <c r="HH867" s="1853" t="str">
        <f t="shared" si="194"/>
        <v/>
      </c>
      <c r="HI867" s="1853" t="str">
        <f t="shared" si="195"/>
        <v/>
      </c>
      <c r="HJ867" s="1853" t="str">
        <f t="shared" si="196"/>
        <v/>
      </c>
      <c r="HK867" s="1853" t="str">
        <f t="shared" si="197"/>
        <v/>
      </c>
      <c r="HL867" s="1853" t="str">
        <f t="shared" si="198"/>
        <v/>
      </c>
      <c r="HM867" s="1853" t="str">
        <f t="shared" si="199"/>
        <v/>
      </c>
      <c r="HN867" s="1853" t="str">
        <f t="shared" si="200"/>
        <v/>
      </c>
      <c r="HO867" s="1853" t="str">
        <f t="shared" si="201"/>
        <v/>
      </c>
      <c r="HP867" s="1853" t="str">
        <f t="shared" si="202"/>
        <v/>
      </c>
      <c r="HQ867" s="1853" t="str">
        <f t="shared" si="203"/>
        <v/>
      </c>
      <c r="HR867" s="1853" t="str">
        <f t="shared" si="204"/>
        <v/>
      </c>
      <c r="HS867" s="1853" t="str">
        <f t="shared" si="205"/>
        <v/>
      </c>
      <c r="HT867" s="1853" t="str">
        <f t="shared" si="206"/>
        <v/>
      </c>
      <c r="HU867" s="1853" t="str">
        <f t="shared" si="207"/>
        <v/>
      </c>
      <c r="HV867" s="1853" t="str">
        <f t="shared" si="208"/>
        <v/>
      </c>
      <c r="HW867" s="1853" t="str">
        <f t="shared" si="209"/>
        <v/>
      </c>
      <c r="HX867" s="1853" t="str">
        <f t="shared" si="210"/>
        <v/>
      </c>
      <c r="HY867" s="1853" t="str">
        <f t="shared" si="211"/>
        <v/>
      </c>
      <c r="HZ867" s="2141" t="str">
        <f t="shared" si="212"/>
        <v/>
      </c>
      <c r="IA867" s="2141" t="str">
        <f t="shared" si="213"/>
        <v/>
      </c>
      <c r="IB867" s="2141" t="str">
        <f t="shared" si="214"/>
        <v/>
      </c>
      <c r="IC867" s="2141" t="str">
        <f t="shared" si="215"/>
        <v/>
      </c>
      <c r="ID867" s="2141" t="str">
        <f t="shared" si="216"/>
        <v/>
      </c>
      <c r="IE867" s="2141" t="str">
        <f t="shared" si="217"/>
        <v/>
      </c>
      <c r="IF867" s="2141" t="str">
        <f t="shared" si="218"/>
        <v/>
      </c>
      <c r="IG867" s="2141" t="str">
        <f t="shared" si="219"/>
        <v/>
      </c>
      <c r="IH867" s="2141" t="str">
        <f t="shared" si="220"/>
        <v/>
      </c>
      <c r="II867" s="2141" t="str">
        <f t="shared" si="221"/>
        <v/>
      </c>
      <c r="IJ867" s="2141" t="str">
        <f t="shared" si="222"/>
        <v/>
      </c>
      <c r="IK867" s="2141" t="str">
        <f t="shared" si="223"/>
        <v/>
      </c>
      <c r="IL867" s="2141" t="str">
        <f t="shared" si="224"/>
        <v/>
      </c>
      <c r="IM867" s="2141" t="str">
        <f t="shared" si="225"/>
        <v/>
      </c>
      <c r="IN867" s="2141" t="str">
        <f t="shared" si="226"/>
        <v/>
      </c>
      <c r="IO867" s="2141" t="str">
        <f t="shared" si="227"/>
        <v/>
      </c>
      <c r="IP867" s="2141" t="str">
        <f t="shared" si="228"/>
        <v/>
      </c>
      <c r="IQ867" s="2141" t="str">
        <f t="shared" si="229"/>
        <v/>
      </c>
      <c r="IR867" s="2141" t="str">
        <f t="shared" si="230"/>
        <v/>
      </c>
      <c r="IS867" s="2141" t="str">
        <f t="shared" si="231"/>
        <v/>
      </c>
      <c r="IT867" s="2141" t="str">
        <f t="shared" si="232"/>
        <v/>
      </c>
      <c r="IU867" s="2141" t="str">
        <f t="shared" si="233"/>
        <v/>
      </c>
      <c r="IV867" s="2141" t="str">
        <f t="shared" si="234"/>
        <v/>
      </c>
      <c r="IW867" s="2141" t="str">
        <f t="shared" si="235"/>
        <v/>
      </c>
      <c r="IX867" s="2141" t="str">
        <f t="shared" si="236"/>
        <v/>
      </c>
      <c r="IY867" s="2141" t="str">
        <f t="shared" si="237"/>
        <v/>
      </c>
      <c r="IZ867" s="2141" t="str">
        <f t="shared" si="238"/>
        <v/>
      </c>
      <c r="JA867" s="2141" t="str">
        <f t="shared" si="239"/>
        <v/>
      </c>
      <c r="JB867" s="2141" t="str">
        <f t="shared" si="240"/>
        <v/>
      </c>
      <c r="JC867" s="2141" t="str">
        <f t="shared" si="241"/>
        <v/>
      </c>
      <c r="JD867" s="2141" t="str">
        <f t="shared" si="242"/>
        <v/>
      </c>
      <c r="JE867" s="2141" t="str">
        <f t="shared" si="243"/>
        <v/>
      </c>
      <c r="JF867" s="2141" t="str">
        <f t="shared" si="244"/>
        <v/>
      </c>
      <c r="JG867" s="2141" t="str">
        <f t="shared" si="245"/>
        <v/>
      </c>
      <c r="JH867" s="2141" t="str">
        <f t="shared" si="246"/>
        <v/>
      </c>
      <c r="JI867" s="2141" t="str">
        <f t="shared" si="247"/>
        <v/>
      </c>
      <c r="JJ867" s="2141" t="str">
        <f t="shared" si="248"/>
        <v/>
      </c>
      <c r="JK867" s="2141" t="str">
        <f t="shared" si="249"/>
        <v/>
      </c>
      <c r="JL867" s="2141" t="str">
        <f t="shared" si="250"/>
        <v/>
      </c>
      <c r="JM867" s="2141" t="str">
        <f t="shared" si="251"/>
        <v/>
      </c>
      <c r="JN867" s="2141" t="str">
        <f t="shared" si="252"/>
        <v/>
      </c>
      <c r="JO867" s="2141" t="str">
        <f t="shared" si="253"/>
        <v/>
      </c>
      <c r="JP867" s="2141" t="str">
        <f t="shared" si="254"/>
        <v/>
      </c>
      <c r="JQ867" s="2141" t="str">
        <f t="shared" si="255"/>
        <v/>
      </c>
      <c r="JR867" s="2141" t="str">
        <f t="shared" si="256"/>
        <v/>
      </c>
      <c r="JS867" s="2141" t="str">
        <f t="shared" si="257"/>
        <v/>
      </c>
      <c r="JT867" s="2141" t="str">
        <f t="shared" si="258"/>
        <v/>
      </c>
      <c r="JU867" s="2141" t="str">
        <f t="shared" si="259"/>
        <v/>
      </c>
      <c r="JV867" s="2141" t="str">
        <f t="shared" si="260"/>
        <v/>
      </c>
      <c r="JW867" s="2141" t="str">
        <f t="shared" si="261"/>
        <v/>
      </c>
      <c r="JX867" s="2141" t="str">
        <f t="shared" si="262"/>
        <v/>
      </c>
      <c r="JY867" s="2141" t="str">
        <f t="shared" si="263"/>
        <v/>
      </c>
      <c r="JZ867" s="2141" t="str">
        <f t="shared" si="264"/>
        <v/>
      </c>
      <c r="KA867" s="2141" t="str">
        <f t="shared" si="265"/>
        <v/>
      </c>
      <c r="KB867" s="2141" t="str">
        <f t="shared" si="266"/>
        <v/>
      </c>
      <c r="KC867" s="2141" t="str">
        <f t="shared" si="267"/>
        <v/>
      </c>
      <c r="KD867" s="2141" t="str">
        <f t="shared" si="268"/>
        <v/>
      </c>
      <c r="KE867" s="2141" t="str">
        <f t="shared" si="269"/>
        <v/>
      </c>
      <c r="KF867" s="2141" t="str">
        <f t="shared" si="270"/>
        <v/>
      </c>
      <c r="KG867" s="2141" t="str">
        <f t="shared" si="271"/>
        <v/>
      </c>
      <c r="KH867" s="2141" t="str">
        <f t="shared" si="272"/>
        <v/>
      </c>
      <c r="KI867" s="2141" t="str">
        <f t="shared" si="273"/>
        <v/>
      </c>
      <c r="KJ867" s="2141" t="str">
        <f t="shared" si="274"/>
        <v/>
      </c>
      <c r="KK867" s="2141" t="str">
        <f t="shared" si="275"/>
        <v/>
      </c>
      <c r="KL867" s="2141" t="str">
        <f t="shared" si="276"/>
        <v/>
      </c>
      <c r="KM867" s="2141" t="str">
        <f t="shared" si="277"/>
        <v/>
      </c>
      <c r="KN867" s="2141" t="str">
        <f t="shared" si="278"/>
        <v/>
      </c>
      <c r="KO867" s="2141" t="str">
        <f t="shared" si="279"/>
        <v/>
      </c>
      <c r="KP867" s="2141" t="str">
        <f t="shared" si="280"/>
        <v/>
      </c>
      <c r="KQ867" s="2141" t="str">
        <f t="shared" si="281"/>
        <v/>
      </c>
      <c r="KR867" s="2141" t="str">
        <f t="shared" si="282"/>
        <v/>
      </c>
      <c r="KS867" s="2141" t="str">
        <f t="shared" si="283"/>
        <v/>
      </c>
      <c r="KT867" s="2141" t="str">
        <f t="shared" si="284"/>
        <v/>
      </c>
      <c r="KU867" s="2141" t="str">
        <f t="shared" si="285"/>
        <v/>
      </c>
      <c r="KV867" s="2141" t="str">
        <f t="shared" si="286"/>
        <v/>
      </c>
      <c r="KW867" s="2141" t="str">
        <f t="shared" si="287"/>
        <v/>
      </c>
      <c r="KX867" s="2141" t="str">
        <f t="shared" si="288"/>
        <v/>
      </c>
      <c r="KY867" s="2141" t="str">
        <f t="shared" si="289"/>
        <v/>
      </c>
      <c r="KZ867" s="2141" t="str">
        <f t="shared" si="290"/>
        <v/>
      </c>
      <c r="LA867" s="2141" t="str">
        <f t="shared" si="291"/>
        <v/>
      </c>
      <c r="LB867" s="2141" t="str">
        <f t="shared" si="292"/>
        <v/>
      </c>
      <c r="LC867" s="2141" t="str">
        <f t="shared" si="293"/>
        <v/>
      </c>
      <c r="LD867" s="2141" t="str">
        <f t="shared" si="294"/>
        <v/>
      </c>
      <c r="LE867" s="2141" t="str">
        <f t="shared" si="295"/>
        <v/>
      </c>
      <c r="LF867" s="2141" t="str">
        <f t="shared" si="296"/>
        <v/>
      </c>
      <c r="LG867" s="2052" t="str">
        <f t="shared" si="297"/>
        <v/>
      </c>
      <c r="LH867" s="2052" t="str">
        <f t="shared" si="298"/>
        <v/>
      </c>
      <c r="LI867" s="2052" t="str">
        <f t="shared" si="299"/>
        <v/>
      </c>
      <c r="LJ867" s="2052" t="str">
        <f t="shared" si="300"/>
        <v/>
      </c>
      <c r="LK867" s="2052" t="str">
        <f t="shared" si="301"/>
        <v/>
      </c>
      <c r="LL867" s="1853" t="str">
        <f t="shared" si="302"/>
        <v/>
      </c>
      <c r="LM867" s="1853" t="str">
        <f t="shared" si="303"/>
        <v/>
      </c>
      <c r="LN867" s="1853" t="str">
        <f t="shared" si="304"/>
        <v/>
      </c>
      <c r="LO867" s="1853" t="str">
        <f t="shared" si="305"/>
        <v/>
      </c>
      <c r="LP867" s="1853" t="str">
        <f t="shared" si="306"/>
        <v/>
      </c>
      <c r="LQ867" s="1853" t="str">
        <f t="shared" si="307"/>
        <v/>
      </c>
      <c r="LR867" s="1853" t="str">
        <f t="shared" si="308"/>
        <v/>
      </c>
      <c r="LS867" s="1853" t="str">
        <f t="shared" si="309"/>
        <v/>
      </c>
      <c r="LT867" s="1853" t="str">
        <f t="shared" si="310"/>
        <v/>
      </c>
      <c r="LU867" s="1853" t="str">
        <f t="shared" si="311"/>
        <v/>
      </c>
      <c r="LV867" s="1853" t="str">
        <f t="shared" si="312"/>
        <v/>
      </c>
      <c r="LW867" s="1853" t="str">
        <f t="shared" si="313"/>
        <v/>
      </c>
      <c r="LX867" s="1853" t="str">
        <f t="shared" si="314"/>
        <v/>
      </c>
      <c r="LY867" s="1853" t="str">
        <f t="shared" si="315"/>
        <v/>
      </c>
      <c r="LZ867" s="1853" t="str">
        <f t="shared" si="316"/>
        <v/>
      </c>
      <c r="MA867" s="1853" t="str">
        <f t="shared" si="317"/>
        <v/>
      </c>
      <c r="MB867" s="1853" t="str">
        <f t="shared" si="318"/>
        <v/>
      </c>
      <c r="MC867" s="1853" t="str">
        <f t="shared" si="319"/>
        <v/>
      </c>
      <c r="MD867" s="1853" t="str">
        <f t="shared" si="320"/>
        <v/>
      </c>
      <c r="ME867" s="1853" t="str">
        <f t="shared" si="321"/>
        <v/>
      </c>
      <c r="MF867" s="2052">
        <f t="shared" si="328"/>
        <v>0</v>
      </c>
      <c r="MG867" s="2052">
        <f t="shared" si="329"/>
        <v>0</v>
      </c>
      <c r="MH867" s="2052">
        <f t="shared" si="330"/>
        <v>0</v>
      </c>
      <c r="MI867" s="2052">
        <f t="shared" si="331"/>
        <v>0</v>
      </c>
      <c r="MJ867" s="2052">
        <f t="shared" si="332"/>
        <v>0</v>
      </c>
      <c r="MK867" s="2052">
        <f t="shared" si="333"/>
        <v>0</v>
      </c>
      <c r="ML867" s="2052">
        <f t="shared" si="334"/>
        <v>0</v>
      </c>
      <c r="MM867" s="2052">
        <f t="shared" si="335"/>
        <v>0</v>
      </c>
      <c r="MN867" s="2052">
        <f t="shared" si="336"/>
        <v>0</v>
      </c>
      <c r="MO867" s="2052">
        <f t="shared" si="337"/>
        <v>0</v>
      </c>
      <c r="MP867" s="2052">
        <f t="shared" si="322"/>
        <v>0</v>
      </c>
      <c r="MQ867" s="2052">
        <f t="shared" si="323"/>
        <v>0</v>
      </c>
      <c r="MR867" s="2052">
        <f t="shared" si="324"/>
        <v>0</v>
      </c>
      <c r="MS867" s="2052">
        <f t="shared" si="325"/>
        <v>0</v>
      </c>
      <c r="MT867" s="2052">
        <f t="shared" si="326"/>
        <v>0</v>
      </c>
      <c r="NP867" s="1925" t="s">
        <v>6733</v>
      </c>
    </row>
    <row r="868" spans="1:380" s="1853" customFormat="1" ht="13.9" customHeight="1">
      <c r="A868" s="2109" t="str">
        <f t="shared" si="327"/>
        <v/>
      </c>
      <c r="B868" s="2131">
        <f>'Part VI-Revenues &amp; Expenses'!B28</f>
        <v>0</v>
      </c>
      <c r="C868" s="2132">
        <f>'Part VI-Revenues &amp; Expenses'!C28</f>
        <v>0</v>
      </c>
      <c r="D868" s="2133">
        <f>'Part VI-Revenues &amp; Expenses'!D28</f>
        <v>0</v>
      </c>
      <c r="E868" s="2134">
        <f>'Part VI-Revenues &amp; Expenses'!E28</f>
        <v>0</v>
      </c>
      <c r="F868" s="2134">
        <f>'Part VI-Revenues &amp; Expenses'!F28</f>
        <v>0</v>
      </c>
      <c r="G868" s="2134">
        <f>'Part VI-Revenues &amp; Expenses'!G28</f>
        <v>0</v>
      </c>
      <c r="H868" s="2134">
        <f>'Part VI-Revenues &amp; Expenses'!H28</f>
        <v>0</v>
      </c>
      <c r="I868" s="2134">
        <f>'Part VI-Revenues &amp; Expenses'!I28</f>
        <v>0</v>
      </c>
      <c r="J868" s="2134">
        <f>'Part VI-Revenues &amp; Expenses'!J28</f>
        <v>0</v>
      </c>
      <c r="K868" s="2135">
        <f>'Part VI-Revenues &amp; Expenses'!K28</f>
        <v>0</v>
      </c>
      <c r="L868" s="2136">
        <f t="shared" si="0"/>
        <v>0</v>
      </c>
      <c r="M868" s="2136">
        <f t="shared" si="1"/>
        <v>0</v>
      </c>
      <c r="N868" s="1917">
        <f>'Part VI-Revenues &amp; Expenses'!N28</f>
        <v>0</v>
      </c>
      <c r="O868" s="2137">
        <f>'Part VI-Revenues &amp; Expenses'!O28</f>
        <v>0</v>
      </c>
      <c r="P868" s="1917">
        <f>'Part VI-Revenues &amp; Expenses'!P28</f>
        <v>0</v>
      </c>
      <c r="Q868" s="2138">
        <f>'Part VI-Revenues &amp; Expenses'!Q28</f>
        <v>0</v>
      </c>
      <c r="R868" s="2139"/>
      <c r="S868" s="2140"/>
      <c r="T868" s="2044"/>
      <c r="U868" s="2044"/>
      <c r="V868" s="2044"/>
      <c r="W868" s="2044"/>
      <c r="X868" s="1853" t="str">
        <f t="shared" si="2"/>
        <v/>
      </c>
      <c r="Y868" s="1853" t="str">
        <f t="shared" si="3"/>
        <v/>
      </c>
      <c r="Z868" s="1853" t="str">
        <f t="shared" si="4"/>
        <v/>
      </c>
      <c r="AA868" s="1853" t="str">
        <f t="shared" si="5"/>
        <v/>
      </c>
      <c r="AB868" s="1853" t="str">
        <f t="shared" si="6"/>
        <v/>
      </c>
      <c r="AC868" s="1853" t="str">
        <f t="shared" si="7"/>
        <v/>
      </c>
      <c r="AD868" s="1853" t="str">
        <f t="shared" si="8"/>
        <v/>
      </c>
      <c r="AE868" s="1853" t="str">
        <f t="shared" si="9"/>
        <v/>
      </c>
      <c r="AF868" s="1853" t="str">
        <f t="shared" si="10"/>
        <v/>
      </c>
      <c r="AG868" s="1853" t="str">
        <f t="shared" si="11"/>
        <v/>
      </c>
      <c r="AH868" s="1853" t="str">
        <f t="shared" si="12"/>
        <v/>
      </c>
      <c r="AI868" s="1853" t="str">
        <f t="shared" si="13"/>
        <v/>
      </c>
      <c r="AJ868" s="1853" t="str">
        <f t="shared" si="14"/>
        <v/>
      </c>
      <c r="AK868" s="1853" t="str">
        <f t="shared" si="15"/>
        <v/>
      </c>
      <c r="AL868" s="1853" t="str">
        <f t="shared" si="16"/>
        <v/>
      </c>
      <c r="AM868" s="1853" t="str">
        <f t="shared" si="17"/>
        <v/>
      </c>
      <c r="AN868" s="1853" t="str">
        <f t="shared" si="18"/>
        <v/>
      </c>
      <c r="AO868" s="1853" t="str">
        <f t="shared" si="19"/>
        <v/>
      </c>
      <c r="AP868" s="1853" t="str">
        <f t="shared" si="20"/>
        <v/>
      </c>
      <c r="AQ868" s="1853" t="str">
        <f t="shared" si="21"/>
        <v/>
      </c>
      <c r="AR868" s="1853" t="str">
        <f t="shared" si="22"/>
        <v/>
      </c>
      <c r="AS868" s="1853" t="str">
        <f t="shared" si="23"/>
        <v/>
      </c>
      <c r="AT868" s="1853" t="str">
        <f t="shared" si="24"/>
        <v/>
      </c>
      <c r="AU868" s="1853" t="str">
        <f t="shared" si="25"/>
        <v/>
      </c>
      <c r="AV868" s="1853" t="str">
        <f t="shared" si="26"/>
        <v/>
      </c>
      <c r="AW868" s="1853" t="str">
        <f t="shared" si="27"/>
        <v/>
      </c>
      <c r="AX868" s="1853" t="str">
        <f t="shared" si="28"/>
        <v/>
      </c>
      <c r="AY868" s="1853" t="str">
        <f t="shared" si="29"/>
        <v/>
      </c>
      <c r="AZ868" s="1853" t="str">
        <f t="shared" si="30"/>
        <v/>
      </c>
      <c r="BA868" s="1853" t="str">
        <f t="shared" si="31"/>
        <v/>
      </c>
      <c r="BB868" s="1853" t="str">
        <f t="shared" si="32"/>
        <v/>
      </c>
      <c r="BC868" s="1853" t="str">
        <f t="shared" si="33"/>
        <v/>
      </c>
      <c r="BD868" s="1853" t="str">
        <f t="shared" si="34"/>
        <v/>
      </c>
      <c r="BE868" s="1853" t="str">
        <f t="shared" si="35"/>
        <v/>
      </c>
      <c r="BF868" s="1853" t="str">
        <f t="shared" si="36"/>
        <v/>
      </c>
      <c r="BG868" s="1853" t="str">
        <f t="shared" si="37"/>
        <v/>
      </c>
      <c r="BH868" s="1853" t="str">
        <f t="shared" si="38"/>
        <v/>
      </c>
      <c r="BI868" s="1853" t="str">
        <f t="shared" si="39"/>
        <v/>
      </c>
      <c r="BJ868" s="1853" t="str">
        <f t="shared" si="40"/>
        <v/>
      </c>
      <c r="BK868" s="1853" t="str">
        <f t="shared" si="41"/>
        <v/>
      </c>
      <c r="BL868" s="1853" t="str">
        <f t="shared" si="42"/>
        <v/>
      </c>
      <c r="BM868" s="1853" t="str">
        <f t="shared" si="43"/>
        <v/>
      </c>
      <c r="BN868" s="1853" t="str">
        <f t="shared" si="44"/>
        <v/>
      </c>
      <c r="BO868" s="1853" t="str">
        <f t="shared" si="45"/>
        <v/>
      </c>
      <c r="BP868" s="1853" t="str">
        <f t="shared" si="46"/>
        <v/>
      </c>
      <c r="BQ868" s="1853" t="str">
        <f t="shared" si="47"/>
        <v/>
      </c>
      <c r="BR868" s="1853" t="str">
        <f t="shared" si="48"/>
        <v/>
      </c>
      <c r="BS868" s="1853" t="str">
        <f t="shared" si="49"/>
        <v/>
      </c>
      <c r="BT868" s="1853" t="str">
        <f t="shared" si="50"/>
        <v/>
      </c>
      <c r="BU868" s="1853" t="str">
        <f t="shared" si="51"/>
        <v/>
      </c>
      <c r="BV868" s="1853" t="str">
        <f t="shared" si="52"/>
        <v/>
      </c>
      <c r="BW868" s="1853" t="str">
        <f t="shared" si="53"/>
        <v/>
      </c>
      <c r="BX868" s="1853" t="str">
        <f t="shared" si="54"/>
        <v/>
      </c>
      <c r="BY868" s="1853" t="str">
        <f t="shared" si="55"/>
        <v/>
      </c>
      <c r="BZ868" s="1853" t="str">
        <f t="shared" si="56"/>
        <v/>
      </c>
      <c r="CA868" s="1853" t="str">
        <f t="shared" si="57"/>
        <v/>
      </c>
      <c r="CB868" s="1853" t="str">
        <f t="shared" si="58"/>
        <v/>
      </c>
      <c r="CC868" s="1853" t="str">
        <f t="shared" si="59"/>
        <v/>
      </c>
      <c r="CD868" s="1853" t="str">
        <f t="shared" si="60"/>
        <v/>
      </c>
      <c r="CE868" s="1853" t="str">
        <f t="shared" si="61"/>
        <v/>
      </c>
      <c r="CF868" s="1853" t="str">
        <f t="shared" si="62"/>
        <v/>
      </c>
      <c r="CG868" s="1853" t="str">
        <f t="shared" si="63"/>
        <v/>
      </c>
      <c r="CH868" s="1853" t="str">
        <f t="shared" si="64"/>
        <v/>
      </c>
      <c r="CI868" s="1853" t="str">
        <f t="shared" si="65"/>
        <v/>
      </c>
      <c r="CJ868" s="1853" t="str">
        <f t="shared" si="66"/>
        <v/>
      </c>
      <c r="CK868" s="1853" t="str">
        <f t="shared" si="67"/>
        <v/>
      </c>
      <c r="CL868" s="1853" t="str">
        <f t="shared" si="68"/>
        <v/>
      </c>
      <c r="CM868" s="1853" t="str">
        <f t="shared" si="69"/>
        <v/>
      </c>
      <c r="CN868" s="1853" t="str">
        <f t="shared" si="70"/>
        <v/>
      </c>
      <c r="CO868" s="1853" t="str">
        <f t="shared" si="71"/>
        <v/>
      </c>
      <c r="CP868" s="1853" t="str">
        <f t="shared" si="72"/>
        <v/>
      </c>
      <c r="CQ868" s="1853" t="str">
        <f t="shared" si="73"/>
        <v/>
      </c>
      <c r="CR868" s="1853" t="str">
        <f t="shared" si="74"/>
        <v/>
      </c>
      <c r="CS868" s="1853" t="str">
        <f t="shared" si="75"/>
        <v/>
      </c>
      <c r="CT868" s="1853" t="str">
        <f t="shared" si="76"/>
        <v/>
      </c>
      <c r="CU868" s="1853" t="str">
        <f t="shared" si="77"/>
        <v/>
      </c>
      <c r="CV868" s="1853" t="str">
        <f t="shared" si="78"/>
        <v/>
      </c>
      <c r="CW868" s="1853" t="str">
        <f t="shared" si="79"/>
        <v/>
      </c>
      <c r="CX868" s="1853" t="str">
        <f t="shared" si="80"/>
        <v/>
      </c>
      <c r="CY868" s="1853" t="str">
        <f t="shared" si="81"/>
        <v/>
      </c>
      <c r="CZ868" s="1853" t="str">
        <f t="shared" si="82"/>
        <v/>
      </c>
      <c r="DA868" s="1853" t="str">
        <f t="shared" si="83"/>
        <v/>
      </c>
      <c r="DB868" s="1853" t="str">
        <f t="shared" si="84"/>
        <v/>
      </c>
      <c r="DC868" s="1853" t="str">
        <f t="shared" si="85"/>
        <v/>
      </c>
      <c r="DD868" s="1853" t="str">
        <f t="shared" si="86"/>
        <v/>
      </c>
      <c r="DE868" s="1853" t="str">
        <f t="shared" si="87"/>
        <v/>
      </c>
      <c r="DF868" s="1853" t="str">
        <f t="shared" si="88"/>
        <v/>
      </c>
      <c r="DG868" s="1853" t="str">
        <f t="shared" si="89"/>
        <v/>
      </c>
      <c r="DH868" s="1853" t="str">
        <f t="shared" si="90"/>
        <v/>
      </c>
      <c r="DI868" s="1853" t="str">
        <f t="shared" si="91"/>
        <v/>
      </c>
      <c r="DJ868" s="1853" t="str">
        <f t="shared" si="92"/>
        <v/>
      </c>
      <c r="DK868" s="1853" t="str">
        <f t="shared" si="93"/>
        <v/>
      </c>
      <c r="DL868" s="1853" t="str">
        <f t="shared" si="94"/>
        <v/>
      </c>
      <c r="DM868" s="1853" t="str">
        <f t="shared" si="95"/>
        <v/>
      </c>
      <c r="DN868" s="1853" t="str">
        <f t="shared" si="96"/>
        <v/>
      </c>
      <c r="DO868" s="1853" t="str">
        <f t="shared" si="97"/>
        <v/>
      </c>
      <c r="DP868" s="1853" t="str">
        <f t="shared" si="98"/>
        <v/>
      </c>
      <c r="DQ868" s="1853" t="str">
        <f t="shared" si="99"/>
        <v/>
      </c>
      <c r="DR868" s="1853" t="str">
        <f t="shared" si="100"/>
        <v/>
      </c>
      <c r="DS868" s="1853" t="str">
        <f t="shared" si="101"/>
        <v/>
      </c>
      <c r="DT868" s="1853" t="str">
        <f t="shared" si="102"/>
        <v/>
      </c>
      <c r="DU868" s="1853" t="str">
        <f t="shared" si="103"/>
        <v/>
      </c>
      <c r="DV868" s="1853" t="str">
        <f t="shared" si="104"/>
        <v/>
      </c>
      <c r="DW868" s="1853" t="str">
        <f t="shared" si="105"/>
        <v/>
      </c>
      <c r="DX868" s="1853" t="str">
        <f t="shared" si="106"/>
        <v/>
      </c>
      <c r="DY868" s="1853" t="str">
        <f t="shared" si="107"/>
        <v/>
      </c>
      <c r="DZ868" s="1853" t="str">
        <f t="shared" si="108"/>
        <v/>
      </c>
      <c r="EA868" s="1853" t="str">
        <f t="shared" si="109"/>
        <v/>
      </c>
      <c r="EB868" s="1853" t="str">
        <f t="shared" si="110"/>
        <v/>
      </c>
      <c r="EC868" s="1853" t="str">
        <f t="shared" si="111"/>
        <v/>
      </c>
      <c r="ED868" s="1853" t="str">
        <f t="shared" si="112"/>
        <v/>
      </c>
      <c r="EE868" s="1853" t="str">
        <f t="shared" si="113"/>
        <v/>
      </c>
      <c r="EF868" s="1853" t="str">
        <f t="shared" si="114"/>
        <v/>
      </c>
      <c r="EG868" s="1853" t="str">
        <f t="shared" si="115"/>
        <v/>
      </c>
      <c r="EH868" s="1853" t="str">
        <f t="shared" si="116"/>
        <v/>
      </c>
      <c r="EI868" s="1853" t="str">
        <f t="shared" si="117"/>
        <v/>
      </c>
      <c r="EJ868" s="1853" t="str">
        <f t="shared" si="118"/>
        <v/>
      </c>
      <c r="EK868" s="1853" t="str">
        <f t="shared" si="119"/>
        <v/>
      </c>
      <c r="EL868" s="1853" t="str">
        <f t="shared" si="120"/>
        <v/>
      </c>
      <c r="EM868" s="1853" t="str">
        <f t="shared" si="121"/>
        <v/>
      </c>
      <c r="EN868" s="1853" t="str">
        <f t="shared" si="122"/>
        <v/>
      </c>
      <c r="EO868" s="1853" t="str">
        <f t="shared" si="123"/>
        <v/>
      </c>
      <c r="EP868" s="1853" t="str">
        <f t="shared" si="124"/>
        <v/>
      </c>
      <c r="EQ868" s="1853" t="str">
        <f t="shared" si="125"/>
        <v/>
      </c>
      <c r="ER868" s="1853" t="str">
        <f t="shared" si="126"/>
        <v/>
      </c>
      <c r="ES868" s="1853" t="str">
        <f t="shared" si="127"/>
        <v/>
      </c>
      <c r="ET868" s="1853" t="str">
        <f t="shared" si="128"/>
        <v/>
      </c>
      <c r="EU868" s="1853" t="str">
        <f t="shared" si="129"/>
        <v/>
      </c>
      <c r="EV868" s="1853" t="str">
        <f t="shared" si="130"/>
        <v/>
      </c>
      <c r="EW868" s="1853" t="str">
        <f t="shared" si="131"/>
        <v/>
      </c>
      <c r="EX868" s="1853" t="str">
        <f t="shared" si="132"/>
        <v/>
      </c>
      <c r="EY868" s="1853" t="str">
        <f t="shared" si="133"/>
        <v/>
      </c>
      <c r="EZ868" s="1853" t="str">
        <f t="shared" si="134"/>
        <v/>
      </c>
      <c r="FA868" s="1853" t="str">
        <f t="shared" si="135"/>
        <v/>
      </c>
      <c r="FB868" s="1853" t="str">
        <f t="shared" si="136"/>
        <v/>
      </c>
      <c r="FC868" s="1853" t="str">
        <f t="shared" si="137"/>
        <v/>
      </c>
      <c r="FD868" s="1853" t="str">
        <f t="shared" si="138"/>
        <v/>
      </c>
      <c r="FE868" s="1853" t="str">
        <f t="shared" si="139"/>
        <v/>
      </c>
      <c r="FF868" s="1853" t="str">
        <f t="shared" si="140"/>
        <v/>
      </c>
      <c r="FG868" s="1853" t="str">
        <f t="shared" si="141"/>
        <v/>
      </c>
      <c r="FH868" s="1853" t="str">
        <f t="shared" si="142"/>
        <v/>
      </c>
      <c r="FI868" s="1853" t="str">
        <f t="shared" si="143"/>
        <v/>
      </c>
      <c r="FJ868" s="1853" t="str">
        <f t="shared" si="144"/>
        <v/>
      </c>
      <c r="FK868" s="1853" t="str">
        <f t="shared" si="145"/>
        <v/>
      </c>
      <c r="FL868" s="1853" t="str">
        <f t="shared" si="146"/>
        <v/>
      </c>
      <c r="FM868" s="1853" t="str">
        <f t="shared" si="147"/>
        <v/>
      </c>
      <c r="FN868" s="1853" t="str">
        <f t="shared" si="148"/>
        <v/>
      </c>
      <c r="FO868" s="1853" t="str">
        <f t="shared" si="149"/>
        <v/>
      </c>
      <c r="FP868" s="1853" t="str">
        <f t="shared" si="150"/>
        <v/>
      </c>
      <c r="FQ868" s="1853" t="str">
        <f t="shared" si="151"/>
        <v/>
      </c>
      <c r="FR868" s="1853" t="str">
        <f t="shared" si="152"/>
        <v/>
      </c>
      <c r="FS868" s="1853" t="str">
        <f t="shared" si="153"/>
        <v/>
      </c>
      <c r="FT868" s="1853" t="str">
        <f t="shared" si="154"/>
        <v/>
      </c>
      <c r="FU868" s="1853" t="str">
        <f t="shared" si="155"/>
        <v/>
      </c>
      <c r="FV868" s="1853" t="str">
        <f t="shared" si="156"/>
        <v/>
      </c>
      <c r="FW868" s="1853" t="str">
        <f t="shared" si="157"/>
        <v/>
      </c>
      <c r="FX868" s="1853" t="str">
        <f t="shared" si="158"/>
        <v/>
      </c>
      <c r="FY868" s="1853" t="str">
        <f t="shared" si="159"/>
        <v/>
      </c>
      <c r="FZ868" s="1853" t="str">
        <f t="shared" si="160"/>
        <v/>
      </c>
      <c r="GA868" s="1853" t="str">
        <f t="shared" si="161"/>
        <v/>
      </c>
      <c r="GB868" s="1853" t="str">
        <f t="shared" si="162"/>
        <v/>
      </c>
      <c r="GC868" s="1853" t="str">
        <f t="shared" si="163"/>
        <v/>
      </c>
      <c r="GD868" s="1853" t="str">
        <f t="shared" si="164"/>
        <v/>
      </c>
      <c r="GE868" s="1853" t="str">
        <f t="shared" si="165"/>
        <v/>
      </c>
      <c r="GF868" s="1853" t="str">
        <f t="shared" si="166"/>
        <v/>
      </c>
      <c r="GG868" s="1853" t="str">
        <f t="shared" si="167"/>
        <v/>
      </c>
      <c r="GH868" s="1853" t="str">
        <f t="shared" si="168"/>
        <v/>
      </c>
      <c r="GI868" s="1853" t="str">
        <f t="shared" si="169"/>
        <v/>
      </c>
      <c r="GJ868" s="1853" t="str">
        <f t="shared" si="170"/>
        <v/>
      </c>
      <c r="GK868" s="1853" t="str">
        <f t="shared" si="171"/>
        <v/>
      </c>
      <c r="GL868" s="1853" t="str">
        <f t="shared" si="172"/>
        <v/>
      </c>
      <c r="GM868" s="1853" t="str">
        <f t="shared" si="173"/>
        <v/>
      </c>
      <c r="GN868" s="1853" t="str">
        <f t="shared" si="174"/>
        <v/>
      </c>
      <c r="GO868" s="1853" t="str">
        <f t="shared" si="175"/>
        <v/>
      </c>
      <c r="GP868" s="1853" t="str">
        <f t="shared" si="176"/>
        <v/>
      </c>
      <c r="GQ868" s="1853" t="str">
        <f t="shared" si="177"/>
        <v/>
      </c>
      <c r="GR868" s="1853" t="str">
        <f t="shared" si="178"/>
        <v/>
      </c>
      <c r="GS868" s="1853" t="str">
        <f t="shared" si="179"/>
        <v/>
      </c>
      <c r="GT868" s="1853" t="str">
        <f t="shared" si="180"/>
        <v/>
      </c>
      <c r="GU868" s="1853" t="str">
        <f t="shared" si="181"/>
        <v/>
      </c>
      <c r="GV868" s="1853" t="str">
        <f t="shared" si="182"/>
        <v/>
      </c>
      <c r="GW868" s="1853" t="str">
        <f t="shared" si="183"/>
        <v/>
      </c>
      <c r="GX868" s="1853" t="str">
        <f t="shared" si="184"/>
        <v/>
      </c>
      <c r="GY868" s="1853" t="str">
        <f t="shared" si="185"/>
        <v/>
      </c>
      <c r="GZ868" s="1853" t="str">
        <f t="shared" si="186"/>
        <v/>
      </c>
      <c r="HA868" s="1853" t="str">
        <f t="shared" si="187"/>
        <v/>
      </c>
      <c r="HB868" s="1853" t="str">
        <f t="shared" si="188"/>
        <v/>
      </c>
      <c r="HC868" s="1853" t="str">
        <f t="shared" si="189"/>
        <v/>
      </c>
      <c r="HD868" s="1853" t="str">
        <f t="shared" si="190"/>
        <v/>
      </c>
      <c r="HE868" s="1853" t="str">
        <f t="shared" si="191"/>
        <v/>
      </c>
      <c r="HF868" s="1853" t="str">
        <f t="shared" si="192"/>
        <v/>
      </c>
      <c r="HG868" s="1853" t="str">
        <f t="shared" si="193"/>
        <v/>
      </c>
      <c r="HH868" s="1853" t="str">
        <f t="shared" si="194"/>
        <v/>
      </c>
      <c r="HI868" s="1853" t="str">
        <f t="shared" si="195"/>
        <v/>
      </c>
      <c r="HJ868" s="1853" t="str">
        <f t="shared" si="196"/>
        <v/>
      </c>
      <c r="HK868" s="1853" t="str">
        <f t="shared" si="197"/>
        <v/>
      </c>
      <c r="HL868" s="1853" t="str">
        <f t="shared" si="198"/>
        <v/>
      </c>
      <c r="HM868" s="1853" t="str">
        <f t="shared" si="199"/>
        <v/>
      </c>
      <c r="HN868" s="1853" t="str">
        <f t="shared" si="200"/>
        <v/>
      </c>
      <c r="HO868" s="1853" t="str">
        <f t="shared" si="201"/>
        <v/>
      </c>
      <c r="HP868" s="1853" t="str">
        <f t="shared" si="202"/>
        <v/>
      </c>
      <c r="HQ868" s="1853" t="str">
        <f t="shared" si="203"/>
        <v/>
      </c>
      <c r="HR868" s="1853" t="str">
        <f t="shared" si="204"/>
        <v/>
      </c>
      <c r="HS868" s="1853" t="str">
        <f t="shared" si="205"/>
        <v/>
      </c>
      <c r="HT868" s="1853" t="str">
        <f t="shared" si="206"/>
        <v/>
      </c>
      <c r="HU868" s="1853" t="str">
        <f t="shared" si="207"/>
        <v/>
      </c>
      <c r="HV868" s="1853" t="str">
        <f t="shared" si="208"/>
        <v/>
      </c>
      <c r="HW868" s="1853" t="str">
        <f t="shared" si="209"/>
        <v/>
      </c>
      <c r="HX868" s="1853" t="str">
        <f t="shared" si="210"/>
        <v/>
      </c>
      <c r="HY868" s="1853" t="str">
        <f t="shared" si="211"/>
        <v/>
      </c>
      <c r="HZ868" s="2141" t="str">
        <f t="shared" si="212"/>
        <v/>
      </c>
      <c r="IA868" s="2141" t="str">
        <f t="shared" si="213"/>
        <v/>
      </c>
      <c r="IB868" s="2141" t="str">
        <f t="shared" si="214"/>
        <v/>
      </c>
      <c r="IC868" s="2141" t="str">
        <f t="shared" si="215"/>
        <v/>
      </c>
      <c r="ID868" s="2141" t="str">
        <f t="shared" si="216"/>
        <v/>
      </c>
      <c r="IE868" s="2141" t="str">
        <f t="shared" si="217"/>
        <v/>
      </c>
      <c r="IF868" s="2141" t="str">
        <f t="shared" si="218"/>
        <v/>
      </c>
      <c r="IG868" s="2141" t="str">
        <f t="shared" si="219"/>
        <v/>
      </c>
      <c r="IH868" s="2141" t="str">
        <f t="shared" si="220"/>
        <v/>
      </c>
      <c r="II868" s="2141" t="str">
        <f t="shared" si="221"/>
        <v/>
      </c>
      <c r="IJ868" s="2141" t="str">
        <f t="shared" si="222"/>
        <v/>
      </c>
      <c r="IK868" s="2141" t="str">
        <f t="shared" si="223"/>
        <v/>
      </c>
      <c r="IL868" s="2141" t="str">
        <f t="shared" si="224"/>
        <v/>
      </c>
      <c r="IM868" s="2141" t="str">
        <f t="shared" si="225"/>
        <v/>
      </c>
      <c r="IN868" s="2141" t="str">
        <f t="shared" si="226"/>
        <v/>
      </c>
      <c r="IO868" s="2141" t="str">
        <f t="shared" si="227"/>
        <v/>
      </c>
      <c r="IP868" s="2141" t="str">
        <f t="shared" si="228"/>
        <v/>
      </c>
      <c r="IQ868" s="2141" t="str">
        <f t="shared" si="229"/>
        <v/>
      </c>
      <c r="IR868" s="2141" t="str">
        <f t="shared" si="230"/>
        <v/>
      </c>
      <c r="IS868" s="2141" t="str">
        <f t="shared" si="231"/>
        <v/>
      </c>
      <c r="IT868" s="2141" t="str">
        <f t="shared" si="232"/>
        <v/>
      </c>
      <c r="IU868" s="2141" t="str">
        <f t="shared" si="233"/>
        <v/>
      </c>
      <c r="IV868" s="2141" t="str">
        <f t="shared" si="234"/>
        <v/>
      </c>
      <c r="IW868" s="2141" t="str">
        <f t="shared" si="235"/>
        <v/>
      </c>
      <c r="IX868" s="2141" t="str">
        <f t="shared" si="236"/>
        <v/>
      </c>
      <c r="IY868" s="2141" t="str">
        <f t="shared" si="237"/>
        <v/>
      </c>
      <c r="IZ868" s="2141" t="str">
        <f t="shared" si="238"/>
        <v/>
      </c>
      <c r="JA868" s="2141" t="str">
        <f t="shared" si="239"/>
        <v/>
      </c>
      <c r="JB868" s="2141" t="str">
        <f t="shared" si="240"/>
        <v/>
      </c>
      <c r="JC868" s="2141" t="str">
        <f t="shared" si="241"/>
        <v/>
      </c>
      <c r="JD868" s="2141" t="str">
        <f t="shared" si="242"/>
        <v/>
      </c>
      <c r="JE868" s="2141" t="str">
        <f t="shared" si="243"/>
        <v/>
      </c>
      <c r="JF868" s="2141" t="str">
        <f t="shared" si="244"/>
        <v/>
      </c>
      <c r="JG868" s="2141" t="str">
        <f t="shared" si="245"/>
        <v/>
      </c>
      <c r="JH868" s="2141" t="str">
        <f t="shared" si="246"/>
        <v/>
      </c>
      <c r="JI868" s="2141" t="str">
        <f t="shared" si="247"/>
        <v/>
      </c>
      <c r="JJ868" s="2141" t="str">
        <f t="shared" si="248"/>
        <v/>
      </c>
      <c r="JK868" s="2141" t="str">
        <f t="shared" si="249"/>
        <v/>
      </c>
      <c r="JL868" s="2141" t="str">
        <f t="shared" si="250"/>
        <v/>
      </c>
      <c r="JM868" s="2141" t="str">
        <f t="shared" si="251"/>
        <v/>
      </c>
      <c r="JN868" s="2141" t="str">
        <f t="shared" si="252"/>
        <v/>
      </c>
      <c r="JO868" s="2141" t="str">
        <f t="shared" si="253"/>
        <v/>
      </c>
      <c r="JP868" s="2141" t="str">
        <f t="shared" si="254"/>
        <v/>
      </c>
      <c r="JQ868" s="2141" t="str">
        <f t="shared" si="255"/>
        <v/>
      </c>
      <c r="JR868" s="2141" t="str">
        <f t="shared" si="256"/>
        <v/>
      </c>
      <c r="JS868" s="2141" t="str">
        <f t="shared" si="257"/>
        <v/>
      </c>
      <c r="JT868" s="2141" t="str">
        <f t="shared" si="258"/>
        <v/>
      </c>
      <c r="JU868" s="2141" t="str">
        <f t="shared" si="259"/>
        <v/>
      </c>
      <c r="JV868" s="2141" t="str">
        <f t="shared" si="260"/>
        <v/>
      </c>
      <c r="JW868" s="2141" t="str">
        <f t="shared" si="261"/>
        <v/>
      </c>
      <c r="JX868" s="2141" t="str">
        <f t="shared" si="262"/>
        <v/>
      </c>
      <c r="JY868" s="2141" t="str">
        <f t="shared" si="263"/>
        <v/>
      </c>
      <c r="JZ868" s="2141" t="str">
        <f t="shared" si="264"/>
        <v/>
      </c>
      <c r="KA868" s="2141" t="str">
        <f t="shared" si="265"/>
        <v/>
      </c>
      <c r="KB868" s="2141" t="str">
        <f t="shared" si="266"/>
        <v/>
      </c>
      <c r="KC868" s="2141" t="str">
        <f t="shared" si="267"/>
        <v/>
      </c>
      <c r="KD868" s="2141" t="str">
        <f t="shared" si="268"/>
        <v/>
      </c>
      <c r="KE868" s="2141" t="str">
        <f t="shared" si="269"/>
        <v/>
      </c>
      <c r="KF868" s="2141" t="str">
        <f t="shared" si="270"/>
        <v/>
      </c>
      <c r="KG868" s="2141" t="str">
        <f t="shared" si="271"/>
        <v/>
      </c>
      <c r="KH868" s="2141" t="str">
        <f t="shared" si="272"/>
        <v/>
      </c>
      <c r="KI868" s="2141" t="str">
        <f t="shared" si="273"/>
        <v/>
      </c>
      <c r="KJ868" s="2141" t="str">
        <f t="shared" si="274"/>
        <v/>
      </c>
      <c r="KK868" s="2141" t="str">
        <f t="shared" si="275"/>
        <v/>
      </c>
      <c r="KL868" s="2141" t="str">
        <f t="shared" si="276"/>
        <v/>
      </c>
      <c r="KM868" s="2141" t="str">
        <f t="shared" si="277"/>
        <v/>
      </c>
      <c r="KN868" s="2141" t="str">
        <f t="shared" si="278"/>
        <v/>
      </c>
      <c r="KO868" s="2141" t="str">
        <f t="shared" si="279"/>
        <v/>
      </c>
      <c r="KP868" s="2141" t="str">
        <f t="shared" si="280"/>
        <v/>
      </c>
      <c r="KQ868" s="2141" t="str">
        <f t="shared" si="281"/>
        <v/>
      </c>
      <c r="KR868" s="2141" t="str">
        <f t="shared" si="282"/>
        <v/>
      </c>
      <c r="KS868" s="2141" t="str">
        <f t="shared" si="283"/>
        <v/>
      </c>
      <c r="KT868" s="2141" t="str">
        <f t="shared" si="284"/>
        <v/>
      </c>
      <c r="KU868" s="2141" t="str">
        <f t="shared" si="285"/>
        <v/>
      </c>
      <c r="KV868" s="2141" t="str">
        <f t="shared" si="286"/>
        <v/>
      </c>
      <c r="KW868" s="2141" t="str">
        <f t="shared" si="287"/>
        <v/>
      </c>
      <c r="KX868" s="2141" t="str">
        <f t="shared" si="288"/>
        <v/>
      </c>
      <c r="KY868" s="2141" t="str">
        <f t="shared" si="289"/>
        <v/>
      </c>
      <c r="KZ868" s="2141" t="str">
        <f t="shared" si="290"/>
        <v/>
      </c>
      <c r="LA868" s="2141" t="str">
        <f t="shared" si="291"/>
        <v/>
      </c>
      <c r="LB868" s="2141" t="str">
        <f t="shared" si="292"/>
        <v/>
      </c>
      <c r="LC868" s="2141" t="str">
        <f t="shared" si="293"/>
        <v/>
      </c>
      <c r="LD868" s="2141" t="str">
        <f t="shared" si="294"/>
        <v/>
      </c>
      <c r="LE868" s="2141" t="str">
        <f t="shared" si="295"/>
        <v/>
      </c>
      <c r="LF868" s="2141" t="str">
        <f t="shared" si="296"/>
        <v/>
      </c>
      <c r="LG868" s="2052" t="str">
        <f t="shared" si="297"/>
        <v/>
      </c>
      <c r="LH868" s="2052" t="str">
        <f t="shared" si="298"/>
        <v/>
      </c>
      <c r="LI868" s="2052" t="str">
        <f t="shared" si="299"/>
        <v/>
      </c>
      <c r="LJ868" s="2052" t="str">
        <f t="shared" si="300"/>
        <v/>
      </c>
      <c r="LK868" s="2052" t="str">
        <f t="shared" si="301"/>
        <v/>
      </c>
      <c r="LL868" s="1853" t="str">
        <f t="shared" si="302"/>
        <v/>
      </c>
      <c r="LM868" s="1853" t="str">
        <f t="shared" si="303"/>
        <v/>
      </c>
      <c r="LN868" s="1853" t="str">
        <f t="shared" si="304"/>
        <v/>
      </c>
      <c r="LO868" s="1853" t="str">
        <f t="shared" si="305"/>
        <v/>
      </c>
      <c r="LP868" s="1853" t="str">
        <f t="shared" si="306"/>
        <v/>
      </c>
      <c r="LQ868" s="1853" t="str">
        <f t="shared" si="307"/>
        <v/>
      </c>
      <c r="LR868" s="1853" t="str">
        <f t="shared" si="308"/>
        <v/>
      </c>
      <c r="LS868" s="1853" t="str">
        <f t="shared" si="309"/>
        <v/>
      </c>
      <c r="LT868" s="1853" t="str">
        <f t="shared" si="310"/>
        <v/>
      </c>
      <c r="LU868" s="1853" t="str">
        <f t="shared" si="311"/>
        <v/>
      </c>
      <c r="LV868" s="1853" t="str">
        <f t="shared" si="312"/>
        <v/>
      </c>
      <c r="LW868" s="1853" t="str">
        <f t="shared" si="313"/>
        <v/>
      </c>
      <c r="LX868" s="1853" t="str">
        <f t="shared" si="314"/>
        <v/>
      </c>
      <c r="LY868" s="1853" t="str">
        <f t="shared" si="315"/>
        <v/>
      </c>
      <c r="LZ868" s="1853" t="str">
        <f t="shared" si="316"/>
        <v/>
      </c>
      <c r="MA868" s="1853" t="str">
        <f t="shared" si="317"/>
        <v/>
      </c>
      <c r="MB868" s="1853" t="str">
        <f t="shared" si="318"/>
        <v/>
      </c>
      <c r="MC868" s="1853" t="str">
        <f t="shared" si="319"/>
        <v/>
      </c>
      <c r="MD868" s="1853" t="str">
        <f t="shared" si="320"/>
        <v/>
      </c>
      <c r="ME868" s="1853" t="str">
        <f t="shared" si="321"/>
        <v/>
      </c>
      <c r="MF868" s="2052">
        <f t="shared" si="328"/>
        <v>0</v>
      </c>
      <c r="MG868" s="2052">
        <f t="shared" si="329"/>
        <v>0</v>
      </c>
      <c r="MH868" s="2052">
        <f t="shared" si="330"/>
        <v>0</v>
      </c>
      <c r="MI868" s="2052">
        <f t="shared" si="331"/>
        <v>0</v>
      </c>
      <c r="MJ868" s="2052">
        <f t="shared" si="332"/>
        <v>0</v>
      </c>
      <c r="MK868" s="2052">
        <f t="shared" si="333"/>
        <v>0</v>
      </c>
      <c r="ML868" s="2052">
        <f t="shared" si="334"/>
        <v>0</v>
      </c>
      <c r="MM868" s="2052">
        <f t="shared" si="335"/>
        <v>0</v>
      </c>
      <c r="MN868" s="2052">
        <f t="shared" si="336"/>
        <v>0</v>
      </c>
      <c r="MO868" s="2052">
        <f t="shared" si="337"/>
        <v>0</v>
      </c>
      <c r="MP868" s="2052">
        <f t="shared" si="322"/>
        <v>0</v>
      </c>
      <c r="MQ868" s="2052">
        <f t="shared" si="323"/>
        <v>0</v>
      </c>
      <c r="MR868" s="2052">
        <f t="shared" si="324"/>
        <v>0</v>
      </c>
      <c r="MS868" s="2052">
        <f t="shared" si="325"/>
        <v>0</v>
      </c>
      <c r="MT868" s="2052">
        <f t="shared" si="326"/>
        <v>0</v>
      </c>
      <c r="NP868" s="1925" t="s">
        <v>6734</v>
      </c>
    </row>
    <row r="869" spans="1:380" s="1853" customFormat="1" ht="13.9" customHeight="1">
      <c r="A869" s="2109" t="str">
        <f t="shared" si="327"/>
        <v/>
      </c>
      <c r="B869" s="2131">
        <f>'Part VI-Revenues &amp; Expenses'!B29</f>
        <v>0</v>
      </c>
      <c r="C869" s="2132">
        <f>'Part VI-Revenues &amp; Expenses'!C29</f>
        <v>0</v>
      </c>
      <c r="D869" s="2133">
        <f>'Part VI-Revenues &amp; Expenses'!D29</f>
        <v>0</v>
      </c>
      <c r="E869" s="2134">
        <f>'Part VI-Revenues &amp; Expenses'!E29</f>
        <v>0</v>
      </c>
      <c r="F869" s="2134">
        <f>'Part VI-Revenues &amp; Expenses'!F29</f>
        <v>0</v>
      </c>
      <c r="G869" s="2134">
        <f>'Part VI-Revenues &amp; Expenses'!G29</f>
        <v>0</v>
      </c>
      <c r="H869" s="2134">
        <f>'Part VI-Revenues &amp; Expenses'!H29</f>
        <v>0</v>
      </c>
      <c r="I869" s="2134">
        <f>'Part VI-Revenues &amp; Expenses'!I29</f>
        <v>0</v>
      </c>
      <c r="J869" s="2134">
        <f>'Part VI-Revenues &amp; Expenses'!J29</f>
        <v>0</v>
      </c>
      <c r="K869" s="2135">
        <f>'Part VI-Revenues &amp; Expenses'!K29</f>
        <v>0</v>
      </c>
      <c r="L869" s="2136">
        <f t="shared" si="0"/>
        <v>0</v>
      </c>
      <c r="M869" s="2136">
        <f t="shared" si="1"/>
        <v>0</v>
      </c>
      <c r="N869" s="1917">
        <f>'Part VI-Revenues &amp; Expenses'!N29</f>
        <v>0</v>
      </c>
      <c r="O869" s="2137">
        <f>'Part VI-Revenues &amp; Expenses'!O29</f>
        <v>0</v>
      </c>
      <c r="P869" s="1917">
        <f>'Part VI-Revenues &amp; Expenses'!P29</f>
        <v>0</v>
      </c>
      <c r="Q869" s="2138">
        <f>'Part VI-Revenues &amp; Expenses'!Q29</f>
        <v>0</v>
      </c>
      <c r="R869" s="2139"/>
      <c r="S869" s="2140"/>
      <c r="T869" s="2044"/>
      <c r="U869" s="2044"/>
      <c r="V869" s="2044"/>
      <c r="W869" s="2044"/>
      <c r="X869" s="1853" t="str">
        <f t="shared" si="2"/>
        <v/>
      </c>
      <c r="Y869" s="1853" t="str">
        <f t="shared" si="3"/>
        <v/>
      </c>
      <c r="Z869" s="1853" t="str">
        <f t="shared" si="4"/>
        <v/>
      </c>
      <c r="AA869" s="1853" t="str">
        <f t="shared" si="5"/>
        <v/>
      </c>
      <c r="AB869" s="1853" t="str">
        <f t="shared" si="6"/>
        <v/>
      </c>
      <c r="AC869" s="1853" t="str">
        <f t="shared" si="7"/>
        <v/>
      </c>
      <c r="AD869" s="1853" t="str">
        <f t="shared" si="8"/>
        <v/>
      </c>
      <c r="AE869" s="1853" t="str">
        <f t="shared" si="9"/>
        <v/>
      </c>
      <c r="AF869" s="1853" t="str">
        <f t="shared" si="10"/>
        <v/>
      </c>
      <c r="AG869" s="1853" t="str">
        <f t="shared" si="11"/>
        <v/>
      </c>
      <c r="AH869" s="1853" t="str">
        <f t="shared" si="12"/>
        <v/>
      </c>
      <c r="AI869" s="1853" t="str">
        <f t="shared" si="13"/>
        <v/>
      </c>
      <c r="AJ869" s="1853" t="str">
        <f t="shared" si="14"/>
        <v/>
      </c>
      <c r="AK869" s="1853" t="str">
        <f t="shared" si="15"/>
        <v/>
      </c>
      <c r="AL869" s="1853" t="str">
        <f t="shared" si="16"/>
        <v/>
      </c>
      <c r="AM869" s="1853" t="str">
        <f t="shared" si="17"/>
        <v/>
      </c>
      <c r="AN869" s="1853" t="str">
        <f t="shared" si="18"/>
        <v/>
      </c>
      <c r="AO869" s="1853" t="str">
        <f t="shared" si="19"/>
        <v/>
      </c>
      <c r="AP869" s="1853" t="str">
        <f t="shared" si="20"/>
        <v/>
      </c>
      <c r="AQ869" s="1853" t="str">
        <f t="shared" si="21"/>
        <v/>
      </c>
      <c r="AR869" s="1853" t="str">
        <f t="shared" si="22"/>
        <v/>
      </c>
      <c r="AS869" s="1853" t="str">
        <f t="shared" si="23"/>
        <v/>
      </c>
      <c r="AT869" s="1853" t="str">
        <f t="shared" si="24"/>
        <v/>
      </c>
      <c r="AU869" s="1853" t="str">
        <f t="shared" si="25"/>
        <v/>
      </c>
      <c r="AV869" s="1853" t="str">
        <f t="shared" si="26"/>
        <v/>
      </c>
      <c r="AW869" s="1853" t="str">
        <f t="shared" si="27"/>
        <v/>
      </c>
      <c r="AX869" s="1853" t="str">
        <f t="shared" si="28"/>
        <v/>
      </c>
      <c r="AY869" s="1853" t="str">
        <f t="shared" si="29"/>
        <v/>
      </c>
      <c r="AZ869" s="1853" t="str">
        <f t="shared" si="30"/>
        <v/>
      </c>
      <c r="BA869" s="1853" t="str">
        <f t="shared" si="31"/>
        <v/>
      </c>
      <c r="BB869" s="1853" t="str">
        <f t="shared" si="32"/>
        <v/>
      </c>
      <c r="BC869" s="1853" t="str">
        <f t="shared" si="33"/>
        <v/>
      </c>
      <c r="BD869" s="1853" t="str">
        <f t="shared" si="34"/>
        <v/>
      </c>
      <c r="BE869" s="1853" t="str">
        <f t="shared" si="35"/>
        <v/>
      </c>
      <c r="BF869" s="1853" t="str">
        <f t="shared" si="36"/>
        <v/>
      </c>
      <c r="BG869" s="1853" t="str">
        <f t="shared" si="37"/>
        <v/>
      </c>
      <c r="BH869" s="1853" t="str">
        <f t="shared" si="38"/>
        <v/>
      </c>
      <c r="BI869" s="1853" t="str">
        <f t="shared" si="39"/>
        <v/>
      </c>
      <c r="BJ869" s="1853" t="str">
        <f t="shared" si="40"/>
        <v/>
      </c>
      <c r="BK869" s="1853" t="str">
        <f t="shared" si="41"/>
        <v/>
      </c>
      <c r="BL869" s="1853" t="str">
        <f t="shared" si="42"/>
        <v/>
      </c>
      <c r="BM869" s="1853" t="str">
        <f t="shared" si="43"/>
        <v/>
      </c>
      <c r="BN869" s="1853" t="str">
        <f t="shared" si="44"/>
        <v/>
      </c>
      <c r="BO869" s="1853" t="str">
        <f t="shared" si="45"/>
        <v/>
      </c>
      <c r="BP869" s="1853" t="str">
        <f t="shared" si="46"/>
        <v/>
      </c>
      <c r="BQ869" s="1853" t="str">
        <f t="shared" si="47"/>
        <v/>
      </c>
      <c r="BR869" s="1853" t="str">
        <f t="shared" si="48"/>
        <v/>
      </c>
      <c r="BS869" s="1853" t="str">
        <f t="shared" si="49"/>
        <v/>
      </c>
      <c r="BT869" s="1853" t="str">
        <f t="shared" si="50"/>
        <v/>
      </c>
      <c r="BU869" s="1853" t="str">
        <f t="shared" si="51"/>
        <v/>
      </c>
      <c r="BV869" s="1853" t="str">
        <f t="shared" si="52"/>
        <v/>
      </c>
      <c r="BW869" s="1853" t="str">
        <f t="shared" si="53"/>
        <v/>
      </c>
      <c r="BX869" s="1853" t="str">
        <f t="shared" si="54"/>
        <v/>
      </c>
      <c r="BY869" s="1853" t="str">
        <f t="shared" si="55"/>
        <v/>
      </c>
      <c r="BZ869" s="1853" t="str">
        <f t="shared" si="56"/>
        <v/>
      </c>
      <c r="CA869" s="1853" t="str">
        <f t="shared" si="57"/>
        <v/>
      </c>
      <c r="CB869" s="1853" t="str">
        <f t="shared" si="58"/>
        <v/>
      </c>
      <c r="CC869" s="1853" t="str">
        <f t="shared" si="59"/>
        <v/>
      </c>
      <c r="CD869" s="1853" t="str">
        <f t="shared" si="60"/>
        <v/>
      </c>
      <c r="CE869" s="1853" t="str">
        <f t="shared" si="61"/>
        <v/>
      </c>
      <c r="CF869" s="1853" t="str">
        <f t="shared" si="62"/>
        <v/>
      </c>
      <c r="CG869" s="1853" t="str">
        <f t="shared" si="63"/>
        <v/>
      </c>
      <c r="CH869" s="1853" t="str">
        <f t="shared" si="64"/>
        <v/>
      </c>
      <c r="CI869" s="1853" t="str">
        <f t="shared" si="65"/>
        <v/>
      </c>
      <c r="CJ869" s="1853" t="str">
        <f t="shared" si="66"/>
        <v/>
      </c>
      <c r="CK869" s="1853" t="str">
        <f t="shared" si="67"/>
        <v/>
      </c>
      <c r="CL869" s="1853" t="str">
        <f t="shared" si="68"/>
        <v/>
      </c>
      <c r="CM869" s="1853" t="str">
        <f t="shared" si="69"/>
        <v/>
      </c>
      <c r="CN869" s="1853" t="str">
        <f t="shared" si="70"/>
        <v/>
      </c>
      <c r="CO869" s="1853" t="str">
        <f t="shared" si="71"/>
        <v/>
      </c>
      <c r="CP869" s="1853" t="str">
        <f t="shared" si="72"/>
        <v/>
      </c>
      <c r="CQ869" s="1853" t="str">
        <f t="shared" si="73"/>
        <v/>
      </c>
      <c r="CR869" s="1853" t="str">
        <f t="shared" si="74"/>
        <v/>
      </c>
      <c r="CS869" s="1853" t="str">
        <f t="shared" si="75"/>
        <v/>
      </c>
      <c r="CT869" s="1853" t="str">
        <f t="shared" si="76"/>
        <v/>
      </c>
      <c r="CU869" s="1853" t="str">
        <f t="shared" si="77"/>
        <v/>
      </c>
      <c r="CV869" s="1853" t="str">
        <f t="shared" si="78"/>
        <v/>
      </c>
      <c r="CW869" s="1853" t="str">
        <f t="shared" si="79"/>
        <v/>
      </c>
      <c r="CX869" s="1853" t="str">
        <f t="shared" si="80"/>
        <v/>
      </c>
      <c r="CY869" s="1853" t="str">
        <f t="shared" si="81"/>
        <v/>
      </c>
      <c r="CZ869" s="1853" t="str">
        <f t="shared" si="82"/>
        <v/>
      </c>
      <c r="DA869" s="1853" t="str">
        <f t="shared" si="83"/>
        <v/>
      </c>
      <c r="DB869" s="1853" t="str">
        <f t="shared" si="84"/>
        <v/>
      </c>
      <c r="DC869" s="1853" t="str">
        <f t="shared" si="85"/>
        <v/>
      </c>
      <c r="DD869" s="1853" t="str">
        <f t="shared" si="86"/>
        <v/>
      </c>
      <c r="DE869" s="1853" t="str">
        <f t="shared" si="87"/>
        <v/>
      </c>
      <c r="DF869" s="1853" t="str">
        <f t="shared" si="88"/>
        <v/>
      </c>
      <c r="DG869" s="1853" t="str">
        <f t="shared" si="89"/>
        <v/>
      </c>
      <c r="DH869" s="1853" t="str">
        <f t="shared" si="90"/>
        <v/>
      </c>
      <c r="DI869" s="1853" t="str">
        <f t="shared" si="91"/>
        <v/>
      </c>
      <c r="DJ869" s="1853" t="str">
        <f t="shared" si="92"/>
        <v/>
      </c>
      <c r="DK869" s="1853" t="str">
        <f t="shared" si="93"/>
        <v/>
      </c>
      <c r="DL869" s="1853" t="str">
        <f t="shared" si="94"/>
        <v/>
      </c>
      <c r="DM869" s="1853" t="str">
        <f t="shared" si="95"/>
        <v/>
      </c>
      <c r="DN869" s="1853" t="str">
        <f t="shared" si="96"/>
        <v/>
      </c>
      <c r="DO869" s="1853" t="str">
        <f t="shared" si="97"/>
        <v/>
      </c>
      <c r="DP869" s="1853" t="str">
        <f t="shared" si="98"/>
        <v/>
      </c>
      <c r="DQ869" s="1853" t="str">
        <f t="shared" si="99"/>
        <v/>
      </c>
      <c r="DR869" s="1853" t="str">
        <f t="shared" si="100"/>
        <v/>
      </c>
      <c r="DS869" s="1853" t="str">
        <f t="shared" si="101"/>
        <v/>
      </c>
      <c r="DT869" s="1853" t="str">
        <f t="shared" si="102"/>
        <v/>
      </c>
      <c r="DU869" s="1853" t="str">
        <f t="shared" si="103"/>
        <v/>
      </c>
      <c r="DV869" s="1853" t="str">
        <f t="shared" si="104"/>
        <v/>
      </c>
      <c r="DW869" s="1853" t="str">
        <f t="shared" si="105"/>
        <v/>
      </c>
      <c r="DX869" s="1853" t="str">
        <f t="shared" si="106"/>
        <v/>
      </c>
      <c r="DY869" s="1853" t="str">
        <f t="shared" si="107"/>
        <v/>
      </c>
      <c r="DZ869" s="1853" t="str">
        <f t="shared" si="108"/>
        <v/>
      </c>
      <c r="EA869" s="1853" t="str">
        <f t="shared" si="109"/>
        <v/>
      </c>
      <c r="EB869" s="1853" t="str">
        <f t="shared" si="110"/>
        <v/>
      </c>
      <c r="EC869" s="1853" t="str">
        <f t="shared" si="111"/>
        <v/>
      </c>
      <c r="ED869" s="1853" t="str">
        <f t="shared" si="112"/>
        <v/>
      </c>
      <c r="EE869" s="1853" t="str">
        <f t="shared" si="113"/>
        <v/>
      </c>
      <c r="EF869" s="1853" t="str">
        <f t="shared" si="114"/>
        <v/>
      </c>
      <c r="EG869" s="1853" t="str">
        <f t="shared" si="115"/>
        <v/>
      </c>
      <c r="EH869" s="1853" t="str">
        <f t="shared" si="116"/>
        <v/>
      </c>
      <c r="EI869" s="1853" t="str">
        <f t="shared" si="117"/>
        <v/>
      </c>
      <c r="EJ869" s="1853" t="str">
        <f t="shared" si="118"/>
        <v/>
      </c>
      <c r="EK869" s="1853" t="str">
        <f t="shared" si="119"/>
        <v/>
      </c>
      <c r="EL869" s="1853" t="str">
        <f t="shared" si="120"/>
        <v/>
      </c>
      <c r="EM869" s="1853" t="str">
        <f t="shared" si="121"/>
        <v/>
      </c>
      <c r="EN869" s="1853" t="str">
        <f t="shared" si="122"/>
        <v/>
      </c>
      <c r="EO869" s="1853" t="str">
        <f t="shared" si="123"/>
        <v/>
      </c>
      <c r="EP869" s="1853" t="str">
        <f t="shared" si="124"/>
        <v/>
      </c>
      <c r="EQ869" s="1853" t="str">
        <f t="shared" si="125"/>
        <v/>
      </c>
      <c r="ER869" s="1853" t="str">
        <f t="shared" si="126"/>
        <v/>
      </c>
      <c r="ES869" s="1853" t="str">
        <f t="shared" si="127"/>
        <v/>
      </c>
      <c r="ET869" s="1853" t="str">
        <f t="shared" si="128"/>
        <v/>
      </c>
      <c r="EU869" s="1853" t="str">
        <f t="shared" si="129"/>
        <v/>
      </c>
      <c r="EV869" s="1853" t="str">
        <f t="shared" si="130"/>
        <v/>
      </c>
      <c r="EW869" s="1853" t="str">
        <f t="shared" si="131"/>
        <v/>
      </c>
      <c r="EX869" s="1853" t="str">
        <f t="shared" si="132"/>
        <v/>
      </c>
      <c r="EY869" s="1853" t="str">
        <f t="shared" si="133"/>
        <v/>
      </c>
      <c r="EZ869" s="1853" t="str">
        <f t="shared" si="134"/>
        <v/>
      </c>
      <c r="FA869" s="1853" t="str">
        <f t="shared" si="135"/>
        <v/>
      </c>
      <c r="FB869" s="1853" t="str">
        <f t="shared" si="136"/>
        <v/>
      </c>
      <c r="FC869" s="1853" t="str">
        <f t="shared" si="137"/>
        <v/>
      </c>
      <c r="FD869" s="1853" t="str">
        <f t="shared" si="138"/>
        <v/>
      </c>
      <c r="FE869" s="1853" t="str">
        <f t="shared" si="139"/>
        <v/>
      </c>
      <c r="FF869" s="1853" t="str">
        <f t="shared" si="140"/>
        <v/>
      </c>
      <c r="FG869" s="1853" t="str">
        <f t="shared" si="141"/>
        <v/>
      </c>
      <c r="FH869" s="1853" t="str">
        <f t="shared" si="142"/>
        <v/>
      </c>
      <c r="FI869" s="1853" t="str">
        <f t="shared" si="143"/>
        <v/>
      </c>
      <c r="FJ869" s="1853" t="str">
        <f t="shared" si="144"/>
        <v/>
      </c>
      <c r="FK869" s="1853" t="str">
        <f t="shared" si="145"/>
        <v/>
      </c>
      <c r="FL869" s="1853" t="str">
        <f t="shared" si="146"/>
        <v/>
      </c>
      <c r="FM869" s="1853" t="str">
        <f t="shared" si="147"/>
        <v/>
      </c>
      <c r="FN869" s="1853" t="str">
        <f t="shared" si="148"/>
        <v/>
      </c>
      <c r="FO869" s="1853" t="str">
        <f t="shared" si="149"/>
        <v/>
      </c>
      <c r="FP869" s="1853" t="str">
        <f t="shared" si="150"/>
        <v/>
      </c>
      <c r="FQ869" s="1853" t="str">
        <f t="shared" si="151"/>
        <v/>
      </c>
      <c r="FR869" s="1853" t="str">
        <f t="shared" si="152"/>
        <v/>
      </c>
      <c r="FS869" s="1853" t="str">
        <f t="shared" si="153"/>
        <v/>
      </c>
      <c r="FT869" s="1853" t="str">
        <f t="shared" si="154"/>
        <v/>
      </c>
      <c r="FU869" s="1853" t="str">
        <f t="shared" si="155"/>
        <v/>
      </c>
      <c r="FV869" s="1853" t="str">
        <f t="shared" si="156"/>
        <v/>
      </c>
      <c r="FW869" s="1853" t="str">
        <f t="shared" si="157"/>
        <v/>
      </c>
      <c r="FX869" s="1853" t="str">
        <f t="shared" si="158"/>
        <v/>
      </c>
      <c r="FY869" s="1853" t="str">
        <f t="shared" si="159"/>
        <v/>
      </c>
      <c r="FZ869" s="1853" t="str">
        <f t="shared" si="160"/>
        <v/>
      </c>
      <c r="GA869" s="1853" t="str">
        <f t="shared" si="161"/>
        <v/>
      </c>
      <c r="GB869" s="1853" t="str">
        <f t="shared" si="162"/>
        <v/>
      </c>
      <c r="GC869" s="1853" t="str">
        <f t="shared" si="163"/>
        <v/>
      </c>
      <c r="GD869" s="1853" t="str">
        <f t="shared" si="164"/>
        <v/>
      </c>
      <c r="GE869" s="1853" t="str">
        <f t="shared" si="165"/>
        <v/>
      </c>
      <c r="GF869" s="1853" t="str">
        <f t="shared" si="166"/>
        <v/>
      </c>
      <c r="GG869" s="1853" t="str">
        <f t="shared" si="167"/>
        <v/>
      </c>
      <c r="GH869" s="1853" t="str">
        <f t="shared" si="168"/>
        <v/>
      </c>
      <c r="GI869" s="1853" t="str">
        <f t="shared" si="169"/>
        <v/>
      </c>
      <c r="GJ869" s="1853" t="str">
        <f t="shared" si="170"/>
        <v/>
      </c>
      <c r="GK869" s="1853" t="str">
        <f t="shared" si="171"/>
        <v/>
      </c>
      <c r="GL869" s="1853" t="str">
        <f t="shared" si="172"/>
        <v/>
      </c>
      <c r="GM869" s="1853" t="str">
        <f t="shared" si="173"/>
        <v/>
      </c>
      <c r="GN869" s="1853" t="str">
        <f t="shared" si="174"/>
        <v/>
      </c>
      <c r="GO869" s="1853" t="str">
        <f t="shared" si="175"/>
        <v/>
      </c>
      <c r="GP869" s="1853" t="str">
        <f t="shared" si="176"/>
        <v/>
      </c>
      <c r="GQ869" s="1853" t="str">
        <f t="shared" si="177"/>
        <v/>
      </c>
      <c r="GR869" s="1853" t="str">
        <f t="shared" si="178"/>
        <v/>
      </c>
      <c r="GS869" s="1853" t="str">
        <f t="shared" si="179"/>
        <v/>
      </c>
      <c r="GT869" s="1853" t="str">
        <f t="shared" si="180"/>
        <v/>
      </c>
      <c r="GU869" s="1853" t="str">
        <f t="shared" si="181"/>
        <v/>
      </c>
      <c r="GV869" s="1853" t="str">
        <f t="shared" si="182"/>
        <v/>
      </c>
      <c r="GW869" s="1853" t="str">
        <f t="shared" si="183"/>
        <v/>
      </c>
      <c r="GX869" s="1853" t="str">
        <f t="shared" si="184"/>
        <v/>
      </c>
      <c r="GY869" s="1853" t="str">
        <f t="shared" si="185"/>
        <v/>
      </c>
      <c r="GZ869" s="1853" t="str">
        <f t="shared" si="186"/>
        <v/>
      </c>
      <c r="HA869" s="1853" t="str">
        <f t="shared" si="187"/>
        <v/>
      </c>
      <c r="HB869" s="1853" t="str">
        <f t="shared" si="188"/>
        <v/>
      </c>
      <c r="HC869" s="1853" t="str">
        <f t="shared" si="189"/>
        <v/>
      </c>
      <c r="HD869" s="1853" t="str">
        <f t="shared" si="190"/>
        <v/>
      </c>
      <c r="HE869" s="1853" t="str">
        <f t="shared" si="191"/>
        <v/>
      </c>
      <c r="HF869" s="1853" t="str">
        <f t="shared" si="192"/>
        <v/>
      </c>
      <c r="HG869" s="1853" t="str">
        <f t="shared" si="193"/>
        <v/>
      </c>
      <c r="HH869" s="1853" t="str">
        <f t="shared" si="194"/>
        <v/>
      </c>
      <c r="HI869" s="1853" t="str">
        <f t="shared" si="195"/>
        <v/>
      </c>
      <c r="HJ869" s="1853" t="str">
        <f t="shared" si="196"/>
        <v/>
      </c>
      <c r="HK869" s="1853" t="str">
        <f t="shared" si="197"/>
        <v/>
      </c>
      <c r="HL869" s="1853" t="str">
        <f t="shared" si="198"/>
        <v/>
      </c>
      <c r="HM869" s="1853" t="str">
        <f t="shared" si="199"/>
        <v/>
      </c>
      <c r="HN869" s="1853" t="str">
        <f t="shared" si="200"/>
        <v/>
      </c>
      <c r="HO869" s="1853" t="str">
        <f t="shared" si="201"/>
        <v/>
      </c>
      <c r="HP869" s="1853" t="str">
        <f t="shared" si="202"/>
        <v/>
      </c>
      <c r="HQ869" s="1853" t="str">
        <f t="shared" si="203"/>
        <v/>
      </c>
      <c r="HR869" s="1853" t="str">
        <f t="shared" si="204"/>
        <v/>
      </c>
      <c r="HS869" s="1853" t="str">
        <f t="shared" si="205"/>
        <v/>
      </c>
      <c r="HT869" s="1853" t="str">
        <f t="shared" si="206"/>
        <v/>
      </c>
      <c r="HU869" s="1853" t="str">
        <f t="shared" si="207"/>
        <v/>
      </c>
      <c r="HV869" s="1853" t="str">
        <f t="shared" si="208"/>
        <v/>
      </c>
      <c r="HW869" s="1853" t="str">
        <f t="shared" si="209"/>
        <v/>
      </c>
      <c r="HX869" s="1853" t="str">
        <f t="shared" si="210"/>
        <v/>
      </c>
      <c r="HY869" s="1853" t="str">
        <f t="shared" si="211"/>
        <v/>
      </c>
      <c r="HZ869" s="2141" t="str">
        <f t="shared" si="212"/>
        <v/>
      </c>
      <c r="IA869" s="2141" t="str">
        <f t="shared" si="213"/>
        <v/>
      </c>
      <c r="IB869" s="2141" t="str">
        <f t="shared" si="214"/>
        <v/>
      </c>
      <c r="IC869" s="2141" t="str">
        <f t="shared" si="215"/>
        <v/>
      </c>
      <c r="ID869" s="2141" t="str">
        <f t="shared" si="216"/>
        <v/>
      </c>
      <c r="IE869" s="2141" t="str">
        <f t="shared" si="217"/>
        <v/>
      </c>
      <c r="IF869" s="2141" t="str">
        <f t="shared" si="218"/>
        <v/>
      </c>
      <c r="IG869" s="2141" t="str">
        <f t="shared" si="219"/>
        <v/>
      </c>
      <c r="IH869" s="2141" t="str">
        <f t="shared" si="220"/>
        <v/>
      </c>
      <c r="II869" s="2141" t="str">
        <f t="shared" si="221"/>
        <v/>
      </c>
      <c r="IJ869" s="2141" t="str">
        <f t="shared" si="222"/>
        <v/>
      </c>
      <c r="IK869" s="2141" t="str">
        <f t="shared" si="223"/>
        <v/>
      </c>
      <c r="IL869" s="2141" t="str">
        <f t="shared" si="224"/>
        <v/>
      </c>
      <c r="IM869" s="2141" t="str">
        <f t="shared" si="225"/>
        <v/>
      </c>
      <c r="IN869" s="2141" t="str">
        <f t="shared" si="226"/>
        <v/>
      </c>
      <c r="IO869" s="2141" t="str">
        <f t="shared" si="227"/>
        <v/>
      </c>
      <c r="IP869" s="2141" t="str">
        <f t="shared" si="228"/>
        <v/>
      </c>
      <c r="IQ869" s="2141" t="str">
        <f t="shared" si="229"/>
        <v/>
      </c>
      <c r="IR869" s="2141" t="str">
        <f t="shared" si="230"/>
        <v/>
      </c>
      <c r="IS869" s="2141" t="str">
        <f t="shared" si="231"/>
        <v/>
      </c>
      <c r="IT869" s="2141" t="str">
        <f t="shared" si="232"/>
        <v/>
      </c>
      <c r="IU869" s="2141" t="str">
        <f t="shared" si="233"/>
        <v/>
      </c>
      <c r="IV869" s="2141" t="str">
        <f t="shared" si="234"/>
        <v/>
      </c>
      <c r="IW869" s="2141" t="str">
        <f t="shared" si="235"/>
        <v/>
      </c>
      <c r="IX869" s="2141" t="str">
        <f t="shared" si="236"/>
        <v/>
      </c>
      <c r="IY869" s="2141" t="str">
        <f t="shared" si="237"/>
        <v/>
      </c>
      <c r="IZ869" s="2141" t="str">
        <f t="shared" si="238"/>
        <v/>
      </c>
      <c r="JA869" s="2141" t="str">
        <f t="shared" si="239"/>
        <v/>
      </c>
      <c r="JB869" s="2141" t="str">
        <f t="shared" si="240"/>
        <v/>
      </c>
      <c r="JC869" s="2141" t="str">
        <f t="shared" si="241"/>
        <v/>
      </c>
      <c r="JD869" s="2141" t="str">
        <f t="shared" si="242"/>
        <v/>
      </c>
      <c r="JE869" s="2141" t="str">
        <f t="shared" si="243"/>
        <v/>
      </c>
      <c r="JF869" s="2141" t="str">
        <f t="shared" si="244"/>
        <v/>
      </c>
      <c r="JG869" s="2141" t="str">
        <f t="shared" si="245"/>
        <v/>
      </c>
      <c r="JH869" s="2141" t="str">
        <f t="shared" si="246"/>
        <v/>
      </c>
      <c r="JI869" s="2141" t="str">
        <f t="shared" si="247"/>
        <v/>
      </c>
      <c r="JJ869" s="2141" t="str">
        <f t="shared" si="248"/>
        <v/>
      </c>
      <c r="JK869" s="2141" t="str">
        <f t="shared" si="249"/>
        <v/>
      </c>
      <c r="JL869" s="2141" t="str">
        <f t="shared" si="250"/>
        <v/>
      </c>
      <c r="JM869" s="2141" t="str">
        <f t="shared" si="251"/>
        <v/>
      </c>
      <c r="JN869" s="2141" t="str">
        <f t="shared" si="252"/>
        <v/>
      </c>
      <c r="JO869" s="2141" t="str">
        <f t="shared" si="253"/>
        <v/>
      </c>
      <c r="JP869" s="2141" t="str">
        <f t="shared" si="254"/>
        <v/>
      </c>
      <c r="JQ869" s="2141" t="str">
        <f t="shared" si="255"/>
        <v/>
      </c>
      <c r="JR869" s="2141" t="str">
        <f t="shared" si="256"/>
        <v/>
      </c>
      <c r="JS869" s="2141" t="str">
        <f t="shared" si="257"/>
        <v/>
      </c>
      <c r="JT869" s="2141" t="str">
        <f t="shared" si="258"/>
        <v/>
      </c>
      <c r="JU869" s="2141" t="str">
        <f t="shared" si="259"/>
        <v/>
      </c>
      <c r="JV869" s="2141" t="str">
        <f t="shared" si="260"/>
        <v/>
      </c>
      <c r="JW869" s="2141" t="str">
        <f t="shared" si="261"/>
        <v/>
      </c>
      <c r="JX869" s="2141" t="str">
        <f t="shared" si="262"/>
        <v/>
      </c>
      <c r="JY869" s="2141" t="str">
        <f t="shared" si="263"/>
        <v/>
      </c>
      <c r="JZ869" s="2141" t="str">
        <f t="shared" si="264"/>
        <v/>
      </c>
      <c r="KA869" s="2141" t="str">
        <f t="shared" si="265"/>
        <v/>
      </c>
      <c r="KB869" s="2141" t="str">
        <f t="shared" si="266"/>
        <v/>
      </c>
      <c r="KC869" s="2141" t="str">
        <f t="shared" si="267"/>
        <v/>
      </c>
      <c r="KD869" s="2141" t="str">
        <f t="shared" si="268"/>
        <v/>
      </c>
      <c r="KE869" s="2141" t="str">
        <f t="shared" si="269"/>
        <v/>
      </c>
      <c r="KF869" s="2141" t="str">
        <f t="shared" si="270"/>
        <v/>
      </c>
      <c r="KG869" s="2141" t="str">
        <f t="shared" si="271"/>
        <v/>
      </c>
      <c r="KH869" s="2141" t="str">
        <f t="shared" si="272"/>
        <v/>
      </c>
      <c r="KI869" s="2141" t="str">
        <f t="shared" si="273"/>
        <v/>
      </c>
      <c r="KJ869" s="2141" t="str">
        <f t="shared" si="274"/>
        <v/>
      </c>
      <c r="KK869" s="2141" t="str">
        <f t="shared" si="275"/>
        <v/>
      </c>
      <c r="KL869" s="2141" t="str">
        <f t="shared" si="276"/>
        <v/>
      </c>
      <c r="KM869" s="2141" t="str">
        <f t="shared" si="277"/>
        <v/>
      </c>
      <c r="KN869" s="2141" t="str">
        <f t="shared" si="278"/>
        <v/>
      </c>
      <c r="KO869" s="2141" t="str">
        <f t="shared" si="279"/>
        <v/>
      </c>
      <c r="KP869" s="2141" t="str">
        <f t="shared" si="280"/>
        <v/>
      </c>
      <c r="KQ869" s="2141" t="str">
        <f t="shared" si="281"/>
        <v/>
      </c>
      <c r="KR869" s="2141" t="str">
        <f t="shared" si="282"/>
        <v/>
      </c>
      <c r="KS869" s="2141" t="str">
        <f t="shared" si="283"/>
        <v/>
      </c>
      <c r="KT869" s="2141" t="str">
        <f t="shared" si="284"/>
        <v/>
      </c>
      <c r="KU869" s="2141" t="str">
        <f t="shared" si="285"/>
        <v/>
      </c>
      <c r="KV869" s="2141" t="str">
        <f t="shared" si="286"/>
        <v/>
      </c>
      <c r="KW869" s="2141" t="str">
        <f t="shared" si="287"/>
        <v/>
      </c>
      <c r="KX869" s="2141" t="str">
        <f t="shared" si="288"/>
        <v/>
      </c>
      <c r="KY869" s="2141" t="str">
        <f t="shared" si="289"/>
        <v/>
      </c>
      <c r="KZ869" s="2141" t="str">
        <f t="shared" si="290"/>
        <v/>
      </c>
      <c r="LA869" s="2141" t="str">
        <f t="shared" si="291"/>
        <v/>
      </c>
      <c r="LB869" s="2141" t="str">
        <f t="shared" si="292"/>
        <v/>
      </c>
      <c r="LC869" s="2141" t="str">
        <f t="shared" si="293"/>
        <v/>
      </c>
      <c r="LD869" s="2141" t="str">
        <f t="shared" si="294"/>
        <v/>
      </c>
      <c r="LE869" s="2141" t="str">
        <f t="shared" si="295"/>
        <v/>
      </c>
      <c r="LF869" s="2141" t="str">
        <f t="shared" si="296"/>
        <v/>
      </c>
      <c r="LG869" s="2052" t="str">
        <f t="shared" si="297"/>
        <v/>
      </c>
      <c r="LH869" s="2052" t="str">
        <f t="shared" si="298"/>
        <v/>
      </c>
      <c r="LI869" s="2052" t="str">
        <f t="shared" si="299"/>
        <v/>
      </c>
      <c r="LJ869" s="2052" t="str">
        <f t="shared" si="300"/>
        <v/>
      </c>
      <c r="LK869" s="2052" t="str">
        <f t="shared" si="301"/>
        <v/>
      </c>
      <c r="LL869" s="1853" t="str">
        <f t="shared" si="302"/>
        <v/>
      </c>
      <c r="LM869" s="1853" t="str">
        <f t="shared" si="303"/>
        <v/>
      </c>
      <c r="LN869" s="1853" t="str">
        <f t="shared" si="304"/>
        <v/>
      </c>
      <c r="LO869" s="1853" t="str">
        <f t="shared" si="305"/>
        <v/>
      </c>
      <c r="LP869" s="1853" t="str">
        <f t="shared" si="306"/>
        <v/>
      </c>
      <c r="LQ869" s="1853" t="str">
        <f t="shared" si="307"/>
        <v/>
      </c>
      <c r="LR869" s="1853" t="str">
        <f t="shared" si="308"/>
        <v/>
      </c>
      <c r="LS869" s="1853" t="str">
        <f t="shared" si="309"/>
        <v/>
      </c>
      <c r="LT869" s="1853" t="str">
        <f t="shared" si="310"/>
        <v/>
      </c>
      <c r="LU869" s="1853" t="str">
        <f t="shared" si="311"/>
        <v/>
      </c>
      <c r="LV869" s="1853" t="str">
        <f t="shared" si="312"/>
        <v/>
      </c>
      <c r="LW869" s="1853" t="str">
        <f t="shared" si="313"/>
        <v/>
      </c>
      <c r="LX869" s="1853" t="str">
        <f t="shared" si="314"/>
        <v/>
      </c>
      <c r="LY869" s="1853" t="str">
        <f t="shared" si="315"/>
        <v/>
      </c>
      <c r="LZ869" s="1853" t="str">
        <f t="shared" si="316"/>
        <v/>
      </c>
      <c r="MA869" s="1853" t="str">
        <f t="shared" si="317"/>
        <v/>
      </c>
      <c r="MB869" s="1853" t="str">
        <f t="shared" si="318"/>
        <v/>
      </c>
      <c r="MC869" s="1853" t="str">
        <f t="shared" si="319"/>
        <v/>
      </c>
      <c r="MD869" s="1853" t="str">
        <f t="shared" si="320"/>
        <v/>
      </c>
      <c r="ME869" s="1853" t="str">
        <f t="shared" si="321"/>
        <v/>
      </c>
      <c r="MF869" s="2052">
        <f t="shared" si="328"/>
        <v>0</v>
      </c>
      <c r="MG869" s="2052">
        <f t="shared" si="329"/>
        <v>0</v>
      </c>
      <c r="MH869" s="2052">
        <f t="shared" si="330"/>
        <v>0</v>
      </c>
      <c r="MI869" s="2052">
        <f t="shared" si="331"/>
        <v>0</v>
      </c>
      <c r="MJ869" s="2052">
        <f t="shared" si="332"/>
        <v>0</v>
      </c>
      <c r="MK869" s="2052">
        <f t="shared" si="333"/>
        <v>0</v>
      </c>
      <c r="ML869" s="2052">
        <f t="shared" si="334"/>
        <v>0</v>
      </c>
      <c r="MM869" s="2052">
        <f t="shared" si="335"/>
        <v>0</v>
      </c>
      <c r="MN869" s="2052">
        <f t="shared" si="336"/>
        <v>0</v>
      </c>
      <c r="MO869" s="2052">
        <f t="shared" si="337"/>
        <v>0</v>
      </c>
      <c r="MP869" s="2052">
        <f t="shared" si="322"/>
        <v>0</v>
      </c>
      <c r="MQ869" s="2052">
        <f t="shared" si="323"/>
        <v>0</v>
      </c>
      <c r="MR869" s="2052">
        <f t="shared" si="324"/>
        <v>0</v>
      </c>
      <c r="MS869" s="2052">
        <f t="shared" si="325"/>
        <v>0</v>
      </c>
      <c r="MT869" s="2052">
        <f t="shared" si="326"/>
        <v>0</v>
      </c>
      <c r="NP869" s="1925" t="s">
        <v>6735</v>
      </c>
    </row>
    <row r="870" spans="1:380" s="1853" customFormat="1" ht="13.9" customHeight="1">
      <c r="A870" s="2109" t="str">
        <f t="shared" si="327"/>
        <v/>
      </c>
      <c r="B870" s="2131">
        <f>'Part VI-Revenues &amp; Expenses'!B30</f>
        <v>0</v>
      </c>
      <c r="C870" s="2132">
        <f>'Part VI-Revenues &amp; Expenses'!C30</f>
        <v>0</v>
      </c>
      <c r="D870" s="2133">
        <f>'Part VI-Revenues &amp; Expenses'!D30</f>
        <v>0</v>
      </c>
      <c r="E870" s="2134">
        <f>'Part VI-Revenues &amp; Expenses'!E30</f>
        <v>0</v>
      </c>
      <c r="F870" s="2134">
        <f>'Part VI-Revenues &amp; Expenses'!F30</f>
        <v>0</v>
      </c>
      <c r="G870" s="2134">
        <f>'Part VI-Revenues &amp; Expenses'!G30</f>
        <v>0</v>
      </c>
      <c r="H870" s="2134">
        <f>'Part VI-Revenues &amp; Expenses'!H30</f>
        <v>0</v>
      </c>
      <c r="I870" s="2134">
        <f>'Part VI-Revenues &amp; Expenses'!I30</f>
        <v>0</v>
      </c>
      <c r="J870" s="2134">
        <f>'Part VI-Revenues &amp; Expenses'!J30</f>
        <v>0</v>
      </c>
      <c r="K870" s="2135">
        <f>'Part VI-Revenues &amp; Expenses'!K30</f>
        <v>0</v>
      </c>
      <c r="L870" s="2136">
        <f t="shared" si="0"/>
        <v>0</v>
      </c>
      <c r="M870" s="2136">
        <f t="shared" si="1"/>
        <v>0</v>
      </c>
      <c r="N870" s="1917">
        <f>'Part VI-Revenues &amp; Expenses'!N30</f>
        <v>0</v>
      </c>
      <c r="O870" s="2137">
        <f>'Part VI-Revenues &amp; Expenses'!O30</f>
        <v>0</v>
      </c>
      <c r="P870" s="1917">
        <f>'Part VI-Revenues &amp; Expenses'!P30</f>
        <v>0</v>
      </c>
      <c r="Q870" s="2138">
        <f>'Part VI-Revenues &amp; Expenses'!Q30</f>
        <v>0</v>
      </c>
      <c r="R870" s="2139"/>
      <c r="S870" s="2140"/>
      <c r="T870" s="2044"/>
      <c r="U870" s="2044"/>
      <c r="V870" s="2044"/>
      <c r="W870" s="2044"/>
      <c r="X870" s="1853" t="str">
        <f t="shared" si="2"/>
        <v/>
      </c>
      <c r="Y870" s="1853" t="str">
        <f t="shared" si="3"/>
        <v/>
      </c>
      <c r="Z870" s="1853" t="str">
        <f t="shared" si="4"/>
        <v/>
      </c>
      <c r="AA870" s="1853" t="str">
        <f t="shared" si="5"/>
        <v/>
      </c>
      <c r="AB870" s="1853" t="str">
        <f t="shared" si="6"/>
        <v/>
      </c>
      <c r="AC870" s="1853" t="str">
        <f t="shared" si="7"/>
        <v/>
      </c>
      <c r="AD870" s="1853" t="str">
        <f t="shared" si="8"/>
        <v/>
      </c>
      <c r="AE870" s="1853" t="str">
        <f t="shared" si="9"/>
        <v/>
      </c>
      <c r="AF870" s="1853" t="str">
        <f t="shared" si="10"/>
        <v/>
      </c>
      <c r="AG870" s="1853" t="str">
        <f t="shared" si="11"/>
        <v/>
      </c>
      <c r="AH870" s="1853" t="str">
        <f t="shared" si="12"/>
        <v/>
      </c>
      <c r="AI870" s="1853" t="str">
        <f t="shared" si="13"/>
        <v/>
      </c>
      <c r="AJ870" s="1853" t="str">
        <f t="shared" si="14"/>
        <v/>
      </c>
      <c r="AK870" s="1853" t="str">
        <f t="shared" si="15"/>
        <v/>
      </c>
      <c r="AL870" s="1853" t="str">
        <f t="shared" si="16"/>
        <v/>
      </c>
      <c r="AM870" s="1853" t="str">
        <f t="shared" si="17"/>
        <v/>
      </c>
      <c r="AN870" s="1853" t="str">
        <f t="shared" si="18"/>
        <v/>
      </c>
      <c r="AO870" s="1853" t="str">
        <f t="shared" si="19"/>
        <v/>
      </c>
      <c r="AP870" s="1853" t="str">
        <f t="shared" si="20"/>
        <v/>
      </c>
      <c r="AQ870" s="1853" t="str">
        <f t="shared" si="21"/>
        <v/>
      </c>
      <c r="AR870" s="1853" t="str">
        <f t="shared" si="22"/>
        <v/>
      </c>
      <c r="AS870" s="1853" t="str">
        <f t="shared" si="23"/>
        <v/>
      </c>
      <c r="AT870" s="1853" t="str">
        <f t="shared" si="24"/>
        <v/>
      </c>
      <c r="AU870" s="1853" t="str">
        <f t="shared" si="25"/>
        <v/>
      </c>
      <c r="AV870" s="1853" t="str">
        <f t="shared" si="26"/>
        <v/>
      </c>
      <c r="AW870" s="1853" t="str">
        <f t="shared" si="27"/>
        <v/>
      </c>
      <c r="AX870" s="1853" t="str">
        <f t="shared" si="28"/>
        <v/>
      </c>
      <c r="AY870" s="1853" t="str">
        <f t="shared" si="29"/>
        <v/>
      </c>
      <c r="AZ870" s="1853" t="str">
        <f t="shared" si="30"/>
        <v/>
      </c>
      <c r="BA870" s="1853" t="str">
        <f t="shared" si="31"/>
        <v/>
      </c>
      <c r="BB870" s="1853" t="str">
        <f t="shared" si="32"/>
        <v/>
      </c>
      <c r="BC870" s="1853" t="str">
        <f t="shared" si="33"/>
        <v/>
      </c>
      <c r="BD870" s="1853" t="str">
        <f t="shared" si="34"/>
        <v/>
      </c>
      <c r="BE870" s="1853" t="str">
        <f t="shared" si="35"/>
        <v/>
      </c>
      <c r="BF870" s="1853" t="str">
        <f t="shared" si="36"/>
        <v/>
      </c>
      <c r="BG870" s="1853" t="str">
        <f t="shared" si="37"/>
        <v/>
      </c>
      <c r="BH870" s="1853" t="str">
        <f t="shared" si="38"/>
        <v/>
      </c>
      <c r="BI870" s="1853" t="str">
        <f t="shared" si="39"/>
        <v/>
      </c>
      <c r="BJ870" s="1853" t="str">
        <f t="shared" si="40"/>
        <v/>
      </c>
      <c r="BK870" s="1853" t="str">
        <f t="shared" si="41"/>
        <v/>
      </c>
      <c r="BL870" s="1853" t="str">
        <f t="shared" si="42"/>
        <v/>
      </c>
      <c r="BM870" s="1853" t="str">
        <f t="shared" si="43"/>
        <v/>
      </c>
      <c r="BN870" s="1853" t="str">
        <f t="shared" si="44"/>
        <v/>
      </c>
      <c r="BO870" s="1853" t="str">
        <f t="shared" si="45"/>
        <v/>
      </c>
      <c r="BP870" s="1853" t="str">
        <f t="shared" si="46"/>
        <v/>
      </c>
      <c r="BQ870" s="1853" t="str">
        <f t="shared" si="47"/>
        <v/>
      </c>
      <c r="BR870" s="1853" t="str">
        <f t="shared" si="48"/>
        <v/>
      </c>
      <c r="BS870" s="1853" t="str">
        <f t="shared" si="49"/>
        <v/>
      </c>
      <c r="BT870" s="1853" t="str">
        <f t="shared" si="50"/>
        <v/>
      </c>
      <c r="BU870" s="1853" t="str">
        <f t="shared" si="51"/>
        <v/>
      </c>
      <c r="BV870" s="1853" t="str">
        <f t="shared" si="52"/>
        <v/>
      </c>
      <c r="BW870" s="1853" t="str">
        <f t="shared" si="53"/>
        <v/>
      </c>
      <c r="BX870" s="1853" t="str">
        <f t="shared" si="54"/>
        <v/>
      </c>
      <c r="BY870" s="1853" t="str">
        <f t="shared" si="55"/>
        <v/>
      </c>
      <c r="BZ870" s="1853" t="str">
        <f t="shared" si="56"/>
        <v/>
      </c>
      <c r="CA870" s="1853" t="str">
        <f t="shared" si="57"/>
        <v/>
      </c>
      <c r="CB870" s="1853" t="str">
        <f t="shared" si="58"/>
        <v/>
      </c>
      <c r="CC870" s="1853" t="str">
        <f t="shared" si="59"/>
        <v/>
      </c>
      <c r="CD870" s="1853" t="str">
        <f t="shared" si="60"/>
        <v/>
      </c>
      <c r="CE870" s="1853" t="str">
        <f t="shared" si="61"/>
        <v/>
      </c>
      <c r="CF870" s="1853" t="str">
        <f t="shared" si="62"/>
        <v/>
      </c>
      <c r="CG870" s="1853" t="str">
        <f t="shared" si="63"/>
        <v/>
      </c>
      <c r="CH870" s="1853" t="str">
        <f t="shared" si="64"/>
        <v/>
      </c>
      <c r="CI870" s="1853" t="str">
        <f t="shared" si="65"/>
        <v/>
      </c>
      <c r="CJ870" s="1853" t="str">
        <f t="shared" si="66"/>
        <v/>
      </c>
      <c r="CK870" s="1853" t="str">
        <f t="shared" si="67"/>
        <v/>
      </c>
      <c r="CL870" s="1853" t="str">
        <f t="shared" si="68"/>
        <v/>
      </c>
      <c r="CM870" s="1853" t="str">
        <f t="shared" si="69"/>
        <v/>
      </c>
      <c r="CN870" s="1853" t="str">
        <f t="shared" si="70"/>
        <v/>
      </c>
      <c r="CO870" s="1853" t="str">
        <f t="shared" si="71"/>
        <v/>
      </c>
      <c r="CP870" s="1853" t="str">
        <f t="shared" si="72"/>
        <v/>
      </c>
      <c r="CQ870" s="1853" t="str">
        <f t="shared" si="73"/>
        <v/>
      </c>
      <c r="CR870" s="1853" t="str">
        <f t="shared" si="74"/>
        <v/>
      </c>
      <c r="CS870" s="1853" t="str">
        <f t="shared" si="75"/>
        <v/>
      </c>
      <c r="CT870" s="1853" t="str">
        <f t="shared" si="76"/>
        <v/>
      </c>
      <c r="CU870" s="1853" t="str">
        <f t="shared" si="77"/>
        <v/>
      </c>
      <c r="CV870" s="1853" t="str">
        <f t="shared" si="78"/>
        <v/>
      </c>
      <c r="CW870" s="1853" t="str">
        <f t="shared" si="79"/>
        <v/>
      </c>
      <c r="CX870" s="1853" t="str">
        <f t="shared" si="80"/>
        <v/>
      </c>
      <c r="CY870" s="1853" t="str">
        <f t="shared" si="81"/>
        <v/>
      </c>
      <c r="CZ870" s="1853" t="str">
        <f t="shared" si="82"/>
        <v/>
      </c>
      <c r="DA870" s="1853" t="str">
        <f t="shared" si="83"/>
        <v/>
      </c>
      <c r="DB870" s="1853" t="str">
        <f t="shared" si="84"/>
        <v/>
      </c>
      <c r="DC870" s="1853" t="str">
        <f t="shared" si="85"/>
        <v/>
      </c>
      <c r="DD870" s="1853" t="str">
        <f t="shared" si="86"/>
        <v/>
      </c>
      <c r="DE870" s="1853" t="str">
        <f t="shared" si="87"/>
        <v/>
      </c>
      <c r="DF870" s="1853" t="str">
        <f t="shared" si="88"/>
        <v/>
      </c>
      <c r="DG870" s="1853" t="str">
        <f t="shared" si="89"/>
        <v/>
      </c>
      <c r="DH870" s="1853" t="str">
        <f t="shared" si="90"/>
        <v/>
      </c>
      <c r="DI870" s="1853" t="str">
        <f t="shared" si="91"/>
        <v/>
      </c>
      <c r="DJ870" s="1853" t="str">
        <f t="shared" si="92"/>
        <v/>
      </c>
      <c r="DK870" s="1853" t="str">
        <f t="shared" si="93"/>
        <v/>
      </c>
      <c r="DL870" s="1853" t="str">
        <f t="shared" si="94"/>
        <v/>
      </c>
      <c r="DM870" s="1853" t="str">
        <f t="shared" si="95"/>
        <v/>
      </c>
      <c r="DN870" s="1853" t="str">
        <f t="shared" si="96"/>
        <v/>
      </c>
      <c r="DO870" s="1853" t="str">
        <f t="shared" si="97"/>
        <v/>
      </c>
      <c r="DP870" s="1853" t="str">
        <f t="shared" si="98"/>
        <v/>
      </c>
      <c r="DQ870" s="1853" t="str">
        <f t="shared" si="99"/>
        <v/>
      </c>
      <c r="DR870" s="1853" t="str">
        <f t="shared" si="100"/>
        <v/>
      </c>
      <c r="DS870" s="1853" t="str">
        <f t="shared" si="101"/>
        <v/>
      </c>
      <c r="DT870" s="1853" t="str">
        <f t="shared" si="102"/>
        <v/>
      </c>
      <c r="DU870" s="1853" t="str">
        <f t="shared" si="103"/>
        <v/>
      </c>
      <c r="DV870" s="1853" t="str">
        <f t="shared" si="104"/>
        <v/>
      </c>
      <c r="DW870" s="1853" t="str">
        <f t="shared" si="105"/>
        <v/>
      </c>
      <c r="DX870" s="1853" t="str">
        <f t="shared" si="106"/>
        <v/>
      </c>
      <c r="DY870" s="1853" t="str">
        <f t="shared" si="107"/>
        <v/>
      </c>
      <c r="DZ870" s="1853" t="str">
        <f t="shared" si="108"/>
        <v/>
      </c>
      <c r="EA870" s="1853" t="str">
        <f t="shared" si="109"/>
        <v/>
      </c>
      <c r="EB870" s="1853" t="str">
        <f t="shared" si="110"/>
        <v/>
      </c>
      <c r="EC870" s="1853" t="str">
        <f t="shared" si="111"/>
        <v/>
      </c>
      <c r="ED870" s="1853" t="str">
        <f t="shared" si="112"/>
        <v/>
      </c>
      <c r="EE870" s="1853" t="str">
        <f t="shared" si="113"/>
        <v/>
      </c>
      <c r="EF870" s="1853" t="str">
        <f t="shared" si="114"/>
        <v/>
      </c>
      <c r="EG870" s="1853" t="str">
        <f t="shared" si="115"/>
        <v/>
      </c>
      <c r="EH870" s="1853" t="str">
        <f t="shared" si="116"/>
        <v/>
      </c>
      <c r="EI870" s="1853" t="str">
        <f t="shared" si="117"/>
        <v/>
      </c>
      <c r="EJ870" s="1853" t="str">
        <f t="shared" si="118"/>
        <v/>
      </c>
      <c r="EK870" s="1853" t="str">
        <f t="shared" si="119"/>
        <v/>
      </c>
      <c r="EL870" s="1853" t="str">
        <f t="shared" si="120"/>
        <v/>
      </c>
      <c r="EM870" s="1853" t="str">
        <f t="shared" si="121"/>
        <v/>
      </c>
      <c r="EN870" s="1853" t="str">
        <f t="shared" si="122"/>
        <v/>
      </c>
      <c r="EO870" s="1853" t="str">
        <f t="shared" si="123"/>
        <v/>
      </c>
      <c r="EP870" s="1853" t="str">
        <f t="shared" si="124"/>
        <v/>
      </c>
      <c r="EQ870" s="1853" t="str">
        <f t="shared" si="125"/>
        <v/>
      </c>
      <c r="ER870" s="1853" t="str">
        <f t="shared" si="126"/>
        <v/>
      </c>
      <c r="ES870" s="1853" t="str">
        <f t="shared" si="127"/>
        <v/>
      </c>
      <c r="ET870" s="1853" t="str">
        <f t="shared" si="128"/>
        <v/>
      </c>
      <c r="EU870" s="1853" t="str">
        <f t="shared" si="129"/>
        <v/>
      </c>
      <c r="EV870" s="1853" t="str">
        <f t="shared" si="130"/>
        <v/>
      </c>
      <c r="EW870" s="1853" t="str">
        <f t="shared" si="131"/>
        <v/>
      </c>
      <c r="EX870" s="1853" t="str">
        <f t="shared" si="132"/>
        <v/>
      </c>
      <c r="EY870" s="1853" t="str">
        <f t="shared" si="133"/>
        <v/>
      </c>
      <c r="EZ870" s="1853" t="str">
        <f t="shared" si="134"/>
        <v/>
      </c>
      <c r="FA870" s="1853" t="str">
        <f t="shared" si="135"/>
        <v/>
      </c>
      <c r="FB870" s="1853" t="str">
        <f t="shared" si="136"/>
        <v/>
      </c>
      <c r="FC870" s="1853" t="str">
        <f t="shared" si="137"/>
        <v/>
      </c>
      <c r="FD870" s="1853" t="str">
        <f t="shared" si="138"/>
        <v/>
      </c>
      <c r="FE870" s="1853" t="str">
        <f t="shared" si="139"/>
        <v/>
      </c>
      <c r="FF870" s="1853" t="str">
        <f t="shared" si="140"/>
        <v/>
      </c>
      <c r="FG870" s="1853" t="str">
        <f t="shared" si="141"/>
        <v/>
      </c>
      <c r="FH870" s="1853" t="str">
        <f t="shared" si="142"/>
        <v/>
      </c>
      <c r="FI870" s="1853" t="str">
        <f t="shared" si="143"/>
        <v/>
      </c>
      <c r="FJ870" s="1853" t="str">
        <f t="shared" si="144"/>
        <v/>
      </c>
      <c r="FK870" s="1853" t="str">
        <f t="shared" si="145"/>
        <v/>
      </c>
      <c r="FL870" s="1853" t="str">
        <f t="shared" si="146"/>
        <v/>
      </c>
      <c r="FM870" s="1853" t="str">
        <f t="shared" si="147"/>
        <v/>
      </c>
      <c r="FN870" s="1853" t="str">
        <f t="shared" si="148"/>
        <v/>
      </c>
      <c r="FO870" s="1853" t="str">
        <f t="shared" si="149"/>
        <v/>
      </c>
      <c r="FP870" s="1853" t="str">
        <f t="shared" si="150"/>
        <v/>
      </c>
      <c r="FQ870" s="1853" t="str">
        <f t="shared" si="151"/>
        <v/>
      </c>
      <c r="FR870" s="1853" t="str">
        <f t="shared" si="152"/>
        <v/>
      </c>
      <c r="FS870" s="1853" t="str">
        <f t="shared" si="153"/>
        <v/>
      </c>
      <c r="FT870" s="1853" t="str">
        <f t="shared" si="154"/>
        <v/>
      </c>
      <c r="FU870" s="1853" t="str">
        <f t="shared" si="155"/>
        <v/>
      </c>
      <c r="FV870" s="1853" t="str">
        <f t="shared" si="156"/>
        <v/>
      </c>
      <c r="FW870" s="1853" t="str">
        <f t="shared" si="157"/>
        <v/>
      </c>
      <c r="FX870" s="1853" t="str">
        <f t="shared" si="158"/>
        <v/>
      </c>
      <c r="FY870" s="1853" t="str">
        <f t="shared" si="159"/>
        <v/>
      </c>
      <c r="FZ870" s="1853" t="str">
        <f t="shared" si="160"/>
        <v/>
      </c>
      <c r="GA870" s="1853" t="str">
        <f t="shared" si="161"/>
        <v/>
      </c>
      <c r="GB870" s="1853" t="str">
        <f t="shared" si="162"/>
        <v/>
      </c>
      <c r="GC870" s="1853" t="str">
        <f t="shared" si="163"/>
        <v/>
      </c>
      <c r="GD870" s="1853" t="str">
        <f t="shared" si="164"/>
        <v/>
      </c>
      <c r="GE870" s="1853" t="str">
        <f t="shared" si="165"/>
        <v/>
      </c>
      <c r="GF870" s="1853" t="str">
        <f t="shared" si="166"/>
        <v/>
      </c>
      <c r="GG870" s="1853" t="str">
        <f t="shared" si="167"/>
        <v/>
      </c>
      <c r="GH870" s="1853" t="str">
        <f t="shared" si="168"/>
        <v/>
      </c>
      <c r="GI870" s="1853" t="str">
        <f t="shared" si="169"/>
        <v/>
      </c>
      <c r="GJ870" s="1853" t="str">
        <f t="shared" si="170"/>
        <v/>
      </c>
      <c r="GK870" s="1853" t="str">
        <f t="shared" si="171"/>
        <v/>
      </c>
      <c r="GL870" s="1853" t="str">
        <f t="shared" si="172"/>
        <v/>
      </c>
      <c r="GM870" s="1853" t="str">
        <f t="shared" si="173"/>
        <v/>
      </c>
      <c r="GN870" s="1853" t="str">
        <f t="shared" si="174"/>
        <v/>
      </c>
      <c r="GO870" s="1853" t="str">
        <f t="shared" si="175"/>
        <v/>
      </c>
      <c r="GP870" s="1853" t="str">
        <f t="shared" si="176"/>
        <v/>
      </c>
      <c r="GQ870" s="1853" t="str">
        <f t="shared" si="177"/>
        <v/>
      </c>
      <c r="GR870" s="1853" t="str">
        <f t="shared" si="178"/>
        <v/>
      </c>
      <c r="GS870" s="1853" t="str">
        <f t="shared" si="179"/>
        <v/>
      </c>
      <c r="GT870" s="1853" t="str">
        <f t="shared" si="180"/>
        <v/>
      </c>
      <c r="GU870" s="1853" t="str">
        <f t="shared" si="181"/>
        <v/>
      </c>
      <c r="GV870" s="1853" t="str">
        <f t="shared" si="182"/>
        <v/>
      </c>
      <c r="GW870" s="1853" t="str">
        <f t="shared" si="183"/>
        <v/>
      </c>
      <c r="GX870" s="1853" t="str">
        <f t="shared" si="184"/>
        <v/>
      </c>
      <c r="GY870" s="1853" t="str">
        <f t="shared" si="185"/>
        <v/>
      </c>
      <c r="GZ870" s="1853" t="str">
        <f t="shared" si="186"/>
        <v/>
      </c>
      <c r="HA870" s="1853" t="str">
        <f t="shared" si="187"/>
        <v/>
      </c>
      <c r="HB870" s="1853" t="str">
        <f t="shared" si="188"/>
        <v/>
      </c>
      <c r="HC870" s="1853" t="str">
        <f t="shared" si="189"/>
        <v/>
      </c>
      <c r="HD870" s="1853" t="str">
        <f t="shared" si="190"/>
        <v/>
      </c>
      <c r="HE870" s="1853" t="str">
        <f t="shared" si="191"/>
        <v/>
      </c>
      <c r="HF870" s="1853" t="str">
        <f t="shared" si="192"/>
        <v/>
      </c>
      <c r="HG870" s="1853" t="str">
        <f t="shared" si="193"/>
        <v/>
      </c>
      <c r="HH870" s="1853" t="str">
        <f t="shared" si="194"/>
        <v/>
      </c>
      <c r="HI870" s="1853" t="str">
        <f t="shared" si="195"/>
        <v/>
      </c>
      <c r="HJ870" s="1853" t="str">
        <f t="shared" si="196"/>
        <v/>
      </c>
      <c r="HK870" s="1853" t="str">
        <f t="shared" si="197"/>
        <v/>
      </c>
      <c r="HL870" s="1853" t="str">
        <f t="shared" si="198"/>
        <v/>
      </c>
      <c r="HM870" s="1853" t="str">
        <f t="shared" si="199"/>
        <v/>
      </c>
      <c r="HN870" s="1853" t="str">
        <f t="shared" si="200"/>
        <v/>
      </c>
      <c r="HO870" s="1853" t="str">
        <f t="shared" si="201"/>
        <v/>
      </c>
      <c r="HP870" s="1853" t="str">
        <f t="shared" si="202"/>
        <v/>
      </c>
      <c r="HQ870" s="1853" t="str">
        <f t="shared" si="203"/>
        <v/>
      </c>
      <c r="HR870" s="1853" t="str">
        <f t="shared" si="204"/>
        <v/>
      </c>
      <c r="HS870" s="1853" t="str">
        <f t="shared" si="205"/>
        <v/>
      </c>
      <c r="HT870" s="1853" t="str">
        <f t="shared" si="206"/>
        <v/>
      </c>
      <c r="HU870" s="1853" t="str">
        <f t="shared" si="207"/>
        <v/>
      </c>
      <c r="HV870" s="1853" t="str">
        <f t="shared" si="208"/>
        <v/>
      </c>
      <c r="HW870" s="1853" t="str">
        <f t="shared" si="209"/>
        <v/>
      </c>
      <c r="HX870" s="1853" t="str">
        <f t="shared" si="210"/>
        <v/>
      </c>
      <c r="HY870" s="1853" t="str">
        <f t="shared" si="211"/>
        <v/>
      </c>
      <c r="HZ870" s="2141" t="str">
        <f t="shared" si="212"/>
        <v/>
      </c>
      <c r="IA870" s="2141" t="str">
        <f t="shared" si="213"/>
        <v/>
      </c>
      <c r="IB870" s="2141" t="str">
        <f t="shared" si="214"/>
        <v/>
      </c>
      <c r="IC870" s="2141" t="str">
        <f t="shared" si="215"/>
        <v/>
      </c>
      <c r="ID870" s="2141" t="str">
        <f t="shared" si="216"/>
        <v/>
      </c>
      <c r="IE870" s="2141" t="str">
        <f t="shared" si="217"/>
        <v/>
      </c>
      <c r="IF870" s="2141" t="str">
        <f t="shared" si="218"/>
        <v/>
      </c>
      <c r="IG870" s="2141" t="str">
        <f t="shared" si="219"/>
        <v/>
      </c>
      <c r="IH870" s="2141" t="str">
        <f t="shared" si="220"/>
        <v/>
      </c>
      <c r="II870" s="2141" t="str">
        <f t="shared" si="221"/>
        <v/>
      </c>
      <c r="IJ870" s="2141" t="str">
        <f t="shared" si="222"/>
        <v/>
      </c>
      <c r="IK870" s="2141" t="str">
        <f t="shared" si="223"/>
        <v/>
      </c>
      <c r="IL870" s="2141" t="str">
        <f t="shared" si="224"/>
        <v/>
      </c>
      <c r="IM870" s="2141" t="str">
        <f t="shared" si="225"/>
        <v/>
      </c>
      <c r="IN870" s="2141" t="str">
        <f t="shared" si="226"/>
        <v/>
      </c>
      <c r="IO870" s="2141" t="str">
        <f t="shared" si="227"/>
        <v/>
      </c>
      <c r="IP870" s="2141" t="str">
        <f t="shared" si="228"/>
        <v/>
      </c>
      <c r="IQ870" s="2141" t="str">
        <f t="shared" si="229"/>
        <v/>
      </c>
      <c r="IR870" s="2141" t="str">
        <f t="shared" si="230"/>
        <v/>
      </c>
      <c r="IS870" s="2141" t="str">
        <f t="shared" si="231"/>
        <v/>
      </c>
      <c r="IT870" s="2141" t="str">
        <f t="shared" si="232"/>
        <v/>
      </c>
      <c r="IU870" s="2141" t="str">
        <f t="shared" si="233"/>
        <v/>
      </c>
      <c r="IV870" s="2141" t="str">
        <f t="shared" si="234"/>
        <v/>
      </c>
      <c r="IW870" s="2141" t="str">
        <f t="shared" si="235"/>
        <v/>
      </c>
      <c r="IX870" s="2141" t="str">
        <f t="shared" si="236"/>
        <v/>
      </c>
      <c r="IY870" s="2141" t="str">
        <f t="shared" si="237"/>
        <v/>
      </c>
      <c r="IZ870" s="2141" t="str">
        <f t="shared" si="238"/>
        <v/>
      </c>
      <c r="JA870" s="2141" t="str">
        <f t="shared" si="239"/>
        <v/>
      </c>
      <c r="JB870" s="2141" t="str">
        <f t="shared" si="240"/>
        <v/>
      </c>
      <c r="JC870" s="2141" t="str">
        <f t="shared" si="241"/>
        <v/>
      </c>
      <c r="JD870" s="2141" t="str">
        <f t="shared" si="242"/>
        <v/>
      </c>
      <c r="JE870" s="2141" t="str">
        <f t="shared" si="243"/>
        <v/>
      </c>
      <c r="JF870" s="2141" t="str">
        <f t="shared" si="244"/>
        <v/>
      </c>
      <c r="JG870" s="2141" t="str">
        <f t="shared" si="245"/>
        <v/>
      </c>
      <c r="JH870" s="2141" t="str">
        <f t="shared" si="246"/>
        <v/>
      </c>
      <c r="JI870" s="2141" t="str">
        <f t="shared" si="247"/>
        <v/>
      </c>
      <c r="JJ870" s="2141" t="str">
        <f t="shared" si="248"/>
        <v/>
      </c>
      <c r="JK870" s="2141" t="str">
        <f t="shared" si="249"/>
        <v/>
      </c>
      <c r="JL870" s="2141" t="str">
        <f t="shared" si="250"/>
        <v/>
      </c>
      <c r="JM870" s="2141" t="str">
        <f t="shared" si="251"/>
        <v/>
      </c>
      <c r="JN870" s="2141" t="str">
        <f t="shared" si="252"/>
        <v/>
      </c>
      <c r="JO870" s="2141" t="str">
        <f t="shared" si="253"/>
        <v/>
      </c>
      <c r="JP870" s="2141" t="str">
        <f t="shared" si="254"/>
        <v/>
      </c>
      <c r="JQ870" s="2141" t="str">
        <f t="shared" si="255"/>
        <v/>
      </c>
      <c r="JR870" s="2141" t="str">
        <f t="shared" si="256"/>
        <v/>
      </c>
      <c r="JS870" s="2141" t="str">
        <f t="shared" si="257"/>
        <v/>
      </c>
      <c r="JT870" s="2141" t="str">
        <f t="shared" si="258"/>
        <v/>
      </c>
      <c r="JU870" s="2141" t="str">
        <f t="shared" si="259"/>
        <v/>
      </c>
      <c r="JV870" s="2141" t="str">
        <f t="shared" si="260"/>
        <v/>
      </c>
      <c r="JW870" s="2141" t="str">
        <f t="shared" si="261"/>
        <v/>
      </c>
      <c r="JX870" s="2141" t="str">
        <f t="shared" si="262"/>
        <v/>
      </c>
      <c r="JY870" s="2141" t="str">
        <f t="shared" si="263"/>
        <v/>
      </c>
      <c r="JZ870" s="2141" t="str">
        <f t="shared" si="264"/>
        <v/>
      </c>
      <c r="KA870" s="2141" t="str">
        <f t="shared" si="265"/>
        <v/>
      </c>
      <c r="KB870" s="2141" t="str">
        <f t="shared" si="266"/>
        <v/>
      </c>
      <c r="KC870" s="2141" t="str">
        <f t="shared" si="267"/>
        <v/>
      </c>
      <c r="KD870" s="2141" t="str">
        <f t="shared" si="268"/>
        <v/>
      </c>
      <c r="KE870" s="2141" t="str">
        <f t="shared" si="269"/>
        <v/>
      </c>
      <c r="KF870" s="2141" t="str">
        <f t="shared" si="270"/>
        <v/>
      </c>
      <c r="KG870" s="2141" t="str">
        <f t="shared" si="271"/>
        <v/>
      </c>
      <c r="KH870" s="2141" t="str">
        <f t="shared" si="272"/>
        <v/>
      </c>
      <c r="KI870" s="2141" t="str">
        <f t="shared" si="273"/>
        <v/>
      </c>
      <c r="KJ870" s="2141" t="str">
        <f t="shared" si="274"/>
        <v/>
      </c>
      <c r="KK870" s="2141" t="str">
        <f t="shared" si="275"/>
        <v/>
      </c>
      <c r="KL870" s="2141" t="str">
        <f t="shared" si="276"/>
        <v/>
      </c>
      <c r="KM870" s="2141" t="str">
        <f t="shared" si="277"/>
        <v/>
      </c>
      <c r="KN870" s="2141" t="str">
        <f t="shared" si="278"/>
        <v/>
      </c>
      <c r="KO870" s="2141" t="str">
        <f t="shared" si="279"/>
        <v/>
      </c>
      <c r="KP870" s="2141" t="str">
        <f t="shared" si="280"/>
        <v/>
      </c>
      <c r="KQ870" s="2141" t="str">
        <f t="shared" si="281"/>
        <v/>
      </c>
      <c r="KR870" s="2141" t="str">
        <f t="shared" si="282"/>
        <v/>
      </c>
      <c r="KS870" s="2141" t="str">
        <f t="shared" si="283"/>
        <v/>
      </c>
      <c r="KT870" s="2141" t="str">
        <f t="shared" si="284"/>
        <v/>
      </c>
      <c r="KU870" s="2141" t="str">
        <f t="shared" si="285"/>
        <v/>
      </c>
      <c r="KV870" s="2141" t="str">
        <f t="shared" si="286"/>
        <v/>
      </c>
      <c r="KW870" s="2141" t="str">
        <f t="shared" si="287"/>
        <v/>
      </c>
      <c r="KX870" s="2141" t="str">
        <f t="shared" si="288"/>
        <v/>
      </c>
      <c r="KY870" s="2141" t="str">
        <f t="shared" si="289"/>
        <v/>
      </c>
      <c r="KZ870" s="2141" t="str">
        <f t="shared" si="290"/>
        <v/>
      </c>
      <c r="LA870" s="2141" t="str">
        <f t="shared" si="291"/>
        <v/>
      </c>
      <c r="LB870" s="2141" t="str">
        <f t="shared" si="292"/>
        <v/>
      </c>
      <c r="LC870" s="2141" t="str">
        <f t="shared" si="293"/>
        <v/>
      </c>
      <c r="LD870" s="2141" t="str">
        <f t="shared" si="294"/>
        <v/>
      </c>
      <c r="LE870" s="2141" t="str">
        <f t="shared" si="295"/>
        <v/>
      </c>
      <c r="LF870" s="2141" t="str">
        <f t="shared" si="296"/>
        <v/>
      </c>
      <c r="LG870" s="2052" t="str">
        <f t="shared" si="297"/>
        <v/>
      </c>
      <c r="LH870" s="2052" t="str">
        <f t="shared" si="298"/>
        <v/>
      </c>
      <c r="LI870" s="2052" t="str">
        <f t="shared" si="299"/>
        <v/>
      </c>
      <c r="LJ870" s="2052" t="str">
        <f t="shared" si="300"/>
        <v/>
      </c>
      <c r="LK870" s="2052" t="str">
        <f t="shared" si="301"/>
        <v/>
      </c>
      <c r="LL870" s="1853" t="str">
        <f t="shared" si="302"/>
        <v/>
      </c>
      <c r="LM870" s="1853" t="str">
        <f t="shared" si="303"/>
        <v/>
      </c>
      <c r="LN870" s="1853" t="str">
        <f t="shared" si="304"/>
        <v/>
      </c>
      <c r="LO870" s="1853" t="str">
        <f t="shared" si="305"/>
        <v/>
      </c>
      <c r="LP870" s="1853" t="str">
        <f t="shared" si="306"/>
        <v/>
      </c>
      <c r="LQ870" s="1853" t="str">
        <f t="shared" si="307"/>
        <v/>
      </c>
      <c r="LR870" s="1853" t="str">
        <f t="shared" si="308"/>
        <v/>
      </c>
      <c r="LS870" s="1853" t="str">
        <f t="shared" si="309"/>
        <v/>
      </c>
      <c r="LT870" s="1853" t="str">
        <f t="shared" si="310"/>
        <v/>
      </c>
      <c r="LU870" s="1853" t="str">
        <f t="shared" si="311"/>
        <v/>
      </c>
      <c r="LV870" s="1853" t="str">
        <f t="shared" si="312"/>
        <v/>
      </c>
      <c r="LW870" s="1853" t="str">
        <f t="shared" si="313"/>
        <v/>
      </c>
      <c r="LX870" s="1853" t="str">
        <f t="shared" si="314"/>
        <v/>
      </c>
      <c r="LY870" s="1853" t="str">
        <f t="shared" si="315"/>
        <v/>
      </c>
      <c r="LZ870" s="1853" t="str">
        <f t="shared" si="316"/>
        <v/>
      </c>
      <c r="MA870" s="1853" t="str">
        <f t="shared" si="317"/>
        <v/>
      </c>
      <c r="MB870" s="1853" t="str">
        <f t="shared" si="318"/>
        <v/>
      </c>
      <c r="MC870" s="1853" t="str">
        <f t="shared" si="319"/>
        <v/>
      </c>
      <c r="MD870" s="1853" t="str">
        <f t="shared" si="320"/>
        <v/>
      </c>
      <c r="ME870" s="1853" t="str">
        <f t="shared" si="321"/>
        <v/>
      </c>
      <c r="MF870" s="2052">
        <f t="shared" si="328"/>
        <v>0</v>
      </c>
      <c r="MG870" s="2052">
        <f t="shared" si="329"/>
        <v>0</v>
      </c>
      <c r="MH870" s="2052">
        <f t="shared" si="330"/>
        <v>0</v>
      </c>
      <c r="MI870" s="2052">
        <f t="shared" si="331"/>
        <v>0</v>
      </c>
      <c r="MJ870" s="2052">
        <f t="shared" si="332"/>
        <v>0</v>
      </c>
      <c r="MK870" s="2052">
        <f t="shared" si="333"/>
        <v>0</v>
      </c>
      <c r="ML870" s="2052">
        <f t="shared" si="334"/>
        <v>0</v>
      </c>
      <c r="MM870" s="2052">
        <f t="shared" si="335"/>
        <v>0</v>
      </c>
      <c r="MN870" s="2052">
        <f t="shared" si="336"/>
        <v>0</v>
      </c>
      <c r="MO870" s="2052">
        <f t="shared" si="337"/>
        <v>0</v>
      </c>
      <c r="MP870" s="2052">
        <f t="shared" si="322"/>
        <v>0</v>
      </c>
      <c r="MQ870" s="2052">
        <f t="shared" si="323"/>
        <v>0</v>
      </c>
      <c r="MR870" s="2052">
        <f t="shared" si="324"/>
        <v>0</v>
      </c>
      <c r="MS870" s="2052">
        <f t="shared" si="325"/>
        <v>0</v>
      </c>
      <c r="MT870" s="2052">
        <f t="shared" si="326"/>
        <v>0</v>
      </c>
      <c r="NP870" s="1925" t="s">
        <v>6736</v>
      </c>
    </row>
    <row r="871" spans="1:380" s="1853" customFormat="1" ht="13.9" customHeight="1">
      <c r="A871" s="2109" t="str">
        <f t="shared" si="327"/>
        <v/>
      </c>
      <c r="B871" s="2131">
        <f>'Part VI-Revenues &amp; Expenses'!B31</f>
        <v>0</v>
      </c>
      <c r="C871" s="2132">
        <f>'Part VI-Revenues &amp; Expenses'!C31</f>
        <v>0</v>
      </c>
      <c r="D871" s="2133">
        <f>'Part VI-Revenues &amp; Expenses'!D31</f>
        <v>0</v>
      </c>
      <c r="E871" s="2134">
        <f>'Part VI-Revenues &amp; Expenses'!E31</f>
        <v>0</v>
      </c>
      <c r="F871" s="2134">
        <f>'Part VI-Revenues &amp; Expenses'!F31</f>
        <v>0</v>
      </c>
      <c r="G871" s="2134">
        <f>'Part VI-Revenues &amp; Expenses'!G31</f>
        <v>0</v>
      </c>
      <c r="H871" s="2134">
        <f>'Part VI-Revenues &amp; Expenses'!H31</f>
        <v>0</v>
      </c>
      <c r="I871" s="2134">
        <f>'Part VI-Revenues &amp; Expenses'!I31</f>
        <v>0</v>
      </c>
      <c r="J871" s="2134">
        <f>'Part VI-Revenues &amp; Expenses'!J31</f>
        <v>0</v>
      </c>
      <c r="K871" s="2135">
        <f>'Part VI-Revenues &amp; Expenses'!K31</f>
        <v>0</v>
      </c>
      <c r="L871" s="2136">
        <f t="shared" si="0"/>
        <v>0</v>
      </c>
      <c r="M871" s="2136">
        <f t="shared" si="1"/>
        <v>0</v>
      </c>
      <c r="N871" s="1917">
        <f>'Part VI-Revenues &amp; Expenses'!N31</f>
        <v>0</v>
      </c>
      <c r="O871" s="2137">
        <f>'Part VI-Revenues &amp; Expenses'!O31</f>
        <v>0</v>
      </c>
      <c r="P871" s="1917">
        <f>'Part VI-Revenues &amp; Expenses'!P31</f>
        <v>0</v>
      </c>
      <c r="Q871" s="2138">
        <f>'Part VI-Revenues &amp; Expenses'!Q31</f>
        <v>0</v>
      </c>
      <c r="R871" s="2139"/>
      <c r="S871" s="2140"/>
      <c r="T871" s="2044"/>
      <c r="U871" s="2044"/>
      <c r="V871" s="2044"/>
      <c r="W871" s="2044"/>
      <c r="X871" s="1853" t="str">
        <f t="shared" si="2"/>
        <v/>
      </c>
      <c r="Y871" s="1853" t="str">
        <f t="shared" si="3"/>
        <v/>
      </c>
      <c r="Z871" s="1853" t="str">
        <f t="shared" si="4"/>
        <v/>
      </c>
      <c r="AA871" s="1853" t="str">
        <f t="shared" si="5"/>
        <v/>
      </c>
      <c r="AB871" s="1853" t="str">
        <f t="shared" si="6"/>
        <v/>
      </c>
      <c r="AC871" s="1853" t="str">
        <f t="shared" si="7"/>
        <v/>
      </c>
      <c r="AD871" s="1853" t="str">
        <f t="shared" si="8"/>
        <v/>
      </c>
      <c r="AE871" s="1853" t="str">
        <f t="shared" si="9"/>
        <v/>
      </c>
      <c r="AF871" s="1853" t="str">
        <f t="shared" si="10"/>
        <v/>
      </c>
      <c r="AG871" s="1853" t="str">
        <f t="shared" si="11"/>
        <v/>
      </c>
      <c r="AH871" s="1853" t="str">
        <f t="shared" si="12"/>
        <v/>
      </c>
      <c r="AI871" s="1853" t="str">
        <f t="shared" si="13"/>
        <v/>
      </c>
      <c r="AJ871" s="1853" t="str">
        <f t="shared" si="14"/>
        <v/>
      </c>
      <c r="AK871" s="1853" t="str">
        <f t="shared" si="15"/>
        <v/>
      </c>
      <c r="AL871" s="1853" t="str">
        <f t="shared" si="16"/>
        <v/>
      </c>
      <c r="AM871" s="1853" t="str">
        <f t="shared" si="17"/>
        <v/>
      </c>
      <c r="AN871" s="1853" t="str">
        <f t="shared" si="18"/>
        <v/>
      </c>
      <c r="AO871" s="1853" t="str">
        <f t="shared" si="19"/>
        <v/>
      </c>
      <c r="AP871" s="1853" t="str">
        <f t="shared" si="20"/>
        <v/>
      </c>
      <c r="AQ871" s="1853" t="str">
        <f t="shared" si="21"/>
        <v/>
      </c>
      <c r="AR871" s="1853" t="str">
        <f t="shared" si="22"/>
        <v/>
      </c>
      <c r="AS871" s="1853" t="str">
        <f t="shared" si="23"/>
        <v/>
      </c>
      <c r="AT871" s="1853" t="str">
        <f t="shared" si="24"/>
        <v/>
      </c>
      <c r="AU871" s="1853" t="str">
        <f t="shared" si="25"/>
        <v/>
      </c>
      <c r="AV871" s="1853" t="str">
        <f t="shared" si="26"/>
        <v/>
      </c>
      <c r="AW871" s="1853" t="str">
        <f t="shared" si="27"/>
        <v/>
      </c>
      <c r="AX871" s="1853" t="str">
        <f t="shared" si="28"/>
        <v/>
      </c>
      <c r="AY871" s="1853" t="str">
        <f t="shared" si="29"/>
        <v/>
      </c>
      <c r="AZ871" s="1853" t="str">
        <f t="shared" si="30"/>
        <v/>
      </c>
      <c r="BA871" s="1853" t="str">
        <f t="shared" si="31"/>
        <v/>
      </c>
      <c r="BB871" s="1853" t="str">
        <f t="shared" si="32"/>
        <v/>
      </c>
      <c r="BC871" s="1853" t="str">
        <f t="shared" si="33"/>
        <v/>
      </c>
      <c r="BD871" s="1853" t="str">
        <f t="shared" si="34"/>
        <v/>
      </c>
      <c r="BE871" s="1853" t="str">
        <f t="shared" si="35"/>
        <v/>
      </c>
      <c r="BF871" s="1853" t="str">
        <f t="shared" si="36"/>
        <v/>
      </c>
      <c r="BG871" s="1853" t="str">
        <f t="shared" si="37"/>
        <v/>
      </c>
      <c r="BH871" s="1853" t="str">
        <f t="shared" si="38"/>
        <v/>
      </c>
      <c r="BI871" s="1853" t="str">
        <f t="shared" si="39"/>
        <v/>
      </c>
      <c r="BJ871" s="1853" t="str">
        <f t="shared" si="40"/>
        <v/>
      </c>
      <c r="BK871" s="1853" t="str">
        <f t="shared" si="41"/>
        <v/>
      </c>
      <c r="BL871" s="1853" t="str">
        <f t="shared" si="42"/>
        <v/>
      </c>
      <c r="BM871" s="1853" t="str">
        <f t="shared" si="43"/>
        <v/>
      </c>
      <c r="BN871" s="1853" t="str">
        <f t="shared" si="44"/>
        <v/>
      </c>
      <c r="BO871" s="1853" t="str">
        <f t="shared" si="45"/>
        <v/>
      </c>
      <c r="BP871" s="1853" t="str">
        <f t="shared" si="46"/>
        <v/>
      </c>
      <c r="BQ871" s="1853" t="str">
        <f t="shared" si="47"/>
        <v/>
      </c>
      <c r="BR871" s="1853" t="str">
        <f t="shared" si="48"/>
        <v/>
      </c>
      <c r="BS871" s="1853" t="str">
        <f t="shared" si="49"/>
        <v/>
      </c>
      <c r="BT871" s="1853" t="str">
        <f t="shared" si="50"/>
        <v/>
      </c>
      <c r="BU871" s="1853" t="str">
        <f t="shared" si="51"/>
        <v/>
      </c>
      <c r="BV871" s="1853" t="str">
        <f t="shared" si="52"/>
        <v/>
      </c>
      <c r="BW871" s="1853" t="str">
        <f t="shared" si="53"/>
        <v/>
      </c>
      <c r="BX871" s="1853" t="str">
        <f t="shared" si="54"/>
        <v/>
      </c>
      <c r="BY871" s="1853" t="str">
        <f t="shared" si="55"/>
        <v/>
      </c>
      <c r="BZ871" s="1853" t="str">
        <f t="shared" si="56"/>
        <v/>
      </c>
      <c r="CA871" s="1853" t="str">
        <f t="shared" si="57"/>
        <v/>
      </c>
      <c r="CB871" s="1853" t="str">
        <f t="shared" si="58"/>
        <v/>
      </c>
      <c r="CC871" s="1853" t="str">
        <f t="shared" si="59"/>
        <v/>
      </c>
      <c r="CD871" s="1853" t="str">
        <f t="shared" si="60"/>
        <v/>
      </c>
      <c r="CE871" s="1853" t="str">
        <f t="shared" si="61"/>
        <v/>
      </c>
      <c r="CF871" s="1853" t="str">
        <f t="shared" si="62"/>
        <v/>
      </c>
      <c r="CG871" s="1853" t="str">
        <f t="shared" si="63"/>
        <v/>
      </c>
      <c r="CH871" s="1853" t="str">
        <f t="shared" si="64"/>
        <v/>
      </c>
      <c r="CI871" s="1853" t="str">
        <f t="shared" si="65"/>
        <v/>
      </c>
      <c r="CJ871" s="1853" t="str">
        <f t="shared" si="66"/>
        <v/>
      </c>
      <c r="CK871" s="1853" t="str">
        <f t="shared" si="67"/>
        <v/>
      </c>
      <c r="CL871" s="1853" t="str">
        <f t="shared" si="68"/>
        <v/>
      </c>
      <c r="CM871" s="1853" t="str">
        <f t="shared" si="69"/>
        <v/>
      </c>
      <c r="CN871" s="1853" t="str">
        <f t="shared" si="70"/>
        <v/>
      </c>
      <c r="CO871" s="1853" t="str">
        <f t="shared" si="71"/>
        <v/>
      </c>
      <c r="CP871" s="1853" t="str">
        <f t="shared" si="72"/>
        <v/>
      </c>
      <c r="CQ871" s="1853" t="str">
        <f t="shared" si="73"/>
        <v/>
      </c>
      <c r="CR871" s="1853" t="str">
        <f t="shared" si="74"/>
        <v/>
      </c>
      <c r="CS871" s="1853" t="str">
        <f t="shared" si="75"/>
        <v/>
      </c>
      <c r="CT871" s="1853" t="str">
        <f t="shared" si="76"/>
        <v/>
      </c>
      <c r="CU871" s="1853" t="str">
        <f t="shared" si="77"/>
        <v/>
      </c>
      <c r="CV871" s="1853" t="str">
        <f t="shared" si="78"/>
        <v/>
      </c>
      <c r="CW871" s="1853" t="str">
        <f t="shared" si="79"/>
        <v/>
      </c>
      <c r="CX871" s="1853" t="str">
        <f t="shared" si="80"/>
        <v/>
      </c>
      <c r="CY871" s="1853" t="str">
        <f t="shared" si="81"/>
        <v/>
      </c>
      <c r="CZ871" s="1853" t="str">
        <f t="shared" si="82"/>
        <v/>
      </c>
      <c r="DA871" s="1853" t="str">
        <f t="shared" si="83"/>
        <v/>
      </c>
      <c r="DB871" s="1853" t="str">
        <f t="shared" si="84"/>
        <v/>
      </c>
      <c r="DC871" s="1853" t="str">
        <f t="shared" si="85"/>
        <v/>
      </c>
      <c r="DD871" s="1853" t="str">
        <f t="shared" si="86"/>
        <v/>
      </c>
      <c r="DE871" s="1853" t="str">
        <f t="shared" si="87"/>
        <v/>
      </c>
      <c r="DF871" s="1853" t="str">
        <f t="shared" si="88"/>
        <v/>
      </c>
      <c r="DG871" s="1853" t="str">
        <f t="shared" si="89"/>
        <v/>
      </c>
      <c r="DH871" s="1853" t="str">
        <f t="shared" si="90"/>
        <v/>
      </c>
      <c r="DI871" s="1853" t="str">
        <f t="shared" si="91"/>
        <v/>
      </c>
      <c r="DJ871" s="1853" t="str">
        <f t="shared" si="92"/>
        <v/>
      </c>
      <c r="DK871" s="1853" t="str">
        <f t="shared" si="93"/>
        <v/>
      </c>
      <c r="DL871" s="1853" t="str">
        <f t="shared" si="94"/>
        <v/>
      </c>
      <c r="DM871" s="1853" t="str">
        <f t="shared" si="95"/>
        <v/>
      </c>
      <c r="DN871" s="1853" t="str">
        <f t="shared" si="96"/>
        <v/>
      </c>
      <c r="DO871" s="1853" t="str">
        <f t="shared" si="97"/>
        <v/>
      </c>
      <c r="DP871" s="1853" t="str">
        <f t="shared" si="98"/>
        <v/>
      </c>
      <c r="DQ871" s="1853" t="str">
        <f t="shared" si="99"/>
        <v/>
      </c>
      <c r="DR871" s="1853" t="str">
        <f t="shared" si="100"/>
        <v/>
      </c>
      <c r="DS871" s="1853" t="str">
        <f t="shared" si="101"/>
        <v/>
      </c>
      <c r="DT871" s="1853" t="str">
        <f t="shared" si="102"/>
        <v/>
      </c>
      <c r="DU871" s="1853" t="str">
        <f t="shared" si="103"/>
        <v/>
      </c>
      <c r="DV871" s="1853" t="str">
        <f t="shared" si="104"/>
        <v/>
      </c>
      <c r="DW871" s="1853" t="str">
        <f t="shared" si="105"/>
        <v/>
      </c>
      <c r="DX871" s="1853" t="str">
        <f t="shared" si="106"/>
        <v/>
      </c>
      <c r="DY871" s="1853" t="str">
        <f t="shared" si="107"/>
        <v/>
      </c>
      <c r="DZ871" s="1853" t="str">
        <f t="shared" si="108"/>
        <v/>
      </c>
      <c r="EA871" s="1853" t="str">
        <f t="shared" si="109"/>
        <v/>
      </c>
      <c r="EB871" s="1853" t="str">
        <f t="shared" si="110"/>
        <v/>
      </c>
      <c r="EC871" s="1853" t="str">
        <f t="shared" si="111"/>
        <v/>
      </c>
      <c r="ED871" s="1853" t="str">
        <f t="shared" si="112"/>
        <v/>
      </c>
      <c r="EE871" s="1853" t="str">
        <f t="shared" si="113"/>
        <v/>
      </c>
      <c r="EF871" s="1853" t="str">
        <f t="shared" si="114"/>
        <v/>
      </c>
      <c r="EG871" s="1853" t="str">
        <f t="shared" si="115"/>
        <v/>
      </c>
      <c r="EH871" s="1853" t="str">
        <f t="shared" si="116"/>
        <v/>
      </c>
      <c r="EI871" s="1853" t="str">
        <f t="shared" si="117"/>
        <v/>
      </c>
      <c r="EJ871" s="1853" t="str">
        <f t="shared" si="118"/>
        <v/>
      </c>
      <c r="EK871" s="1853" t="str">
        <f t="shared" si="119"/>
        <v/>
      </c>
      <c r="EL871" s="1853" t="str">
        <f t="shared" si="120"/>
        <v/>
      </c>
      <c r="EM871" s="1853" t="str">
        <f t="shared" si="121"/>
        <v/>
      </c>
      <c r="EN871" s="1853" t="str">
        <f t="shared" si="122"/>
        <v/>
      </c>
      <c r="EO871" s="1853" t="str">
        <f t="shared" si="123"/>
        <v/>
      </c>
      <c r="EP871" s="1853" t="str">
        <f t="shared" si="124"/>
        <v/>
      </c>
      <c r="EQ871" s="1853" t="str">
        <f t="shared" si="125"/>
        <v/>
      </c>
      <c r="ER871" s="1853" t="str">
        <f t="shared" si="126"/>
        <v/>
      </c>
      <c r="ES871" s="1853" t="str">
        <f t="shared" si="127"/>
        <v/>
      </c>
      <c r="ET871" s="1853" t="str">
        <f t="shared" si="128"/>
        <v/>
      </c>
      <c r="EU871" s="1853" t="str">
        <f t="shared" si="129"/>
        <v/>
      </c>
      <c r="EV871" s="1853" t="str">
        <f t="shared" si="130"/>
        <v/>
      </c>
      <c r="EW871" s="1853" t="str">
        <f t="shared" si="131"/>
        <v/>
      </c>
      <c r="EX871" s="1853" t="str">
        <f t="shared" si="132"/>
        <v/>
      </c>
      <c r="EY871" s="1853" t="str">
        <f t="shared" si="133"/>
        <v/>
      </c>
      <c r="EZ871" s="1853" t="str">
        <f t="shared" si="134"/>
        <v/>
      </c>
      <c r="FA871" s="1853" t="str">
        <f t="shared" si="135"/>
        <v/>
      </c>
      <c r="FB871" s="1853" t="str">
        <f t="shared" si="136"/>
        <v/>
      </c>
      <c r="FC871" s="1853" t="str">
        <f t="shared" si="137"/>
        <v/>
      </c>
      <c r="FD871" s="1853" t="str">
        <f t="shared" si="138"/>
        <v/>
      </c>
      <c r="FE871" s="1853" t="str">
        <f t="shared" si="139"/>
        <v/>
      </c>
      <c r="FF871" s="1853" t="str">
        <f t="shared" si="140"/>
        <v/>
      </c>
      <c r="FG871" s="1853" t="str">
        <f t="shared" si="141"/>
        <v/>
      </c>
      <c r="FH871" s="1853" t="str">
        <f t="shared" si="142"/>
        <v/>
      </c>
      <c r="FI871" s="1853" t="str">
        <f t="shared" si="143"/>
        <v/>
      </c>
      <c r="FJ871" s="1853" t="str">
        <f t="shared" si="144"/>
        <v/>
      </c>
      <c r="FK871" s="1853" t="str">
        <f t="shared" si="145"/>
        <v/>
      </c>
      <c r="FL871" s="1853" t="str">
        <f t="shared" si="146"/>
        <v/>
      </c>
      <c r="FM871" s="1853" t="str">
        <f t="shared" si="147"/>
        <v/>
      </c>
      <c r="FN871" s="1853" t="str">
        <f t="shared" si="148"/>
        <v/>
      </c>
      <c r="FO871" s="1853" t="str">
        <f t="shared" si="149"/>
        <v/>
      </c>
      <c r="FP871" s="1853" t="str">
        <f t="shared" si="150"/>
        <v/>
      </c>
      <c r="FQ871" s="1853" t="str">
        <f t="shared" si="151"/>
        <v/>
      </c>
      <c r="FR871" s="1853" t="str">
        <f t="shared" si="152"/>
        <v/>
      </c>
      <c r="FS871" s="1853" t="str">
        <f t="shared" si="153"/>
        <v/>
      </c>
      <c r="FT871" s="1853" t="str">
        <f t="shared" si="154"/>
        <v/>
      </c>
      <c r="FU871" s="1853" t="str">
        <f t="shared" si="155"/>
        <v/>
      </c>
      <c r="FV871" s="1853" t="str">
        <f t="shared" si="156"/>
        <v/>
      </c>
      <c r="FW871" s="1853" t="str">
        <f t="shared" si="157"/>
        <v/>
      </c>
      <c r="FX871" s="1853" t="str">
        <f t="shared" si="158"/>
        <v/>
      </c>
      <c r="FY871" s="1853" t="str">
        <f t="shared" si="159"/>
        <v/>
      </c>
      <c r="FZ871" s="1853" t="str">
        <f t="shared" si="160"/>
        <v/>
      </c>
      <c r="GA871" s="1853" t="str">
        <f t="shared" si="161"/>
        <v/>
      </c>
      <c r="GB871" s="1853" t="str">
        <f t="shared" si="162"/>
        <v/>
      </c>
      <c r="GC871" s="1853" t="str">
        <f t="shared" si="163"/>
        <v/>
      </c>
      <c r="GD871" s="1853" t="str">
        <f t="shared" si="164"/>
        <v/>
      </c>
      <c r="GE871" s="1853" t="str">
        <f t="shared" si="165"/>
        <v/>
      </c>
      <c r="GF871" s="1853" t="str">
        <f t="shared" si="166"/>
        <v/>
      </c>
      <c r="GG871" s="1853" t="str">
        <f t="shared" si="167"/>
        <v/>
      </c>
      <c r="GH871" s="1853" t="str">
        <f t="shared" si="168"/>
        <v/>
      </c>
      <c r="GI871" s="1853" t="str">
        <f t="shared" si="169"/>
        <v/>
      </c>
      <c r="GJ871" s="1853" t="str">
        <f t="shared" si="170"/>
        <v/>
      </c>
      <c r="GK871" s="1853" t="str">
        <f t="shared" si="171"/>
        <v/>
      </c>
      <c r="GL871" s="1853" t="str">
        <f t="shared" si="172"/>
        <v/>
      </c>
      <c r="GM871" s="1853" t="str">
        <f t="shared" si="173"/>
        <v/>
      </c>
      <c r="GN871" s="1853" t="str">
        <f t="shared" si="174"/>
        <v/>
      </c>
      <c r="GO871" s="1853" t="str">
        <f t="shared" si="175"/>
        <v/>
      </c>
      <c r="GP871" s="1853" t="str">
        <f t="shared" si="176"/>
        <v/>
      </c>
      <c r="GQ871" s="1853" t="str">
        <f t="shared" si="177"/>
        <v/>
      </c>
      <c r="GR871" s="1853" t="str">
        <f t="shared" si="178"/>
        <v/>
      </c>
      <c r="GS871" s="1853" t="str">
        <f t="shared" si="179"/>
        <v/>
      </c>
      <c r="GT871" s="1853" t="str">
        <f t="shared" si="180"/>
        <v/>
      </c>
      <c r="GU871" s="1853" t="str">
        <f t="shared" si="181"/>
        <v/>
      </c>
      <c r="GV871" s="1853" t="str">
        <f t="shared" si="182"/>
        <v/>
      </c>
      <c r="GW871" s="1853" t="str">
        <f t="shared" si="183"/>
        <v/>
      </c>
      <c r="GX871" s="1853" t="str">
        <f t="shared" si="184"/>
        <v/>
      </c>
      <c r="GY871" s="1853" t="str">
        <f t="shared" si="185"/>
        <v/>
      </c>
      <c r="GZ871" s="1853" t="str">
        <f t="shared" si="186"/>
        <v/>
      </c>
      <c r="HA871" s="1853" t="str">
        <f t="shared" si="187"/>
        <v/>
      </c>
      <c r="HB871" s="1853" t="str">
        <f t="shared" si="188"/>
        <v/>
      </c>
      <c r="HC871" s="1853" t="str">
        <f t="shared" si="189"/>
        <v/>
      </c>
      <c r="HD871" s="1853" t="str">
        <f t="shared" si="190"/>
        <v/>
      </c>
      <c r="HE871" s="1853" t="str">
        <f t="shared" si="191"/>
        <v/>
      </c>
      <c r="HF871" s="1853" t="str">
        <f t="shared" si="192"/>
        <v/>
      </c>
      <c r="HG871" s="1853" t="str">
        <f t="shared" si="193"/>
        <v/>
      </c>
      <c r="HH871" s="1853" t="str">
        <f t="shared" si="194"/>
        <v/>
      </c>
      <c r="HI871" s="1853" t="str">
        <f t="shared" si="195"/>
        <v/>
      </c>
      <c r="HJ871" s="1853" t="str">
        <f t="shared" si="196"/>
        <v/>
      </c>
      <c r="HK871" s="1853" t="str">
        <f t="shared" si="197"/>
        <v/>
      </c>
      <c r="HL871" s="1853" t="str">
        <f t="shared" si="198"/>
        <v/>
      </c>
      <c r="HM871" s="1853" t="str">
        <f t="shared" si="199"/>
        <v/>
      </c>
      <c r="HN871" s="1853" t="str">
        <f t="shared" si="200"/>
        <v/>
      </c>
      <c r="HO871" s="1853" t="str">
        <f t="shared" si="201"/>
        <v/>
      </c>
      <c r="HP871" s="1853" t="str">
        <f t="shared" si="202"/>
        <v/>
      </c>
      <c r="HQ871" s="1853" t="str">
        <f t="shared" si="203"/>
        <v/>
      </c>
      <c r="HR871" s="1853" t="str">
        <f t="shared" si="204"/>
        <v/>
      </c>
      <c r="HS871" s="1853" t="str">
        <f t="shared" si="205"/>
        <v/>
      </c>
      <c r="HT871" s="1853" t="str">
        <f t="shared" si="206"/>
        <v/>
      </c>
      <c r="HU871" s="1853" t="str">
        <f t="shared" si="207"/>
        <v/>
      </c>
      <c r="HV871" s="1853" t="str">
        <f t="shared" si="208"/>
        <v/>
      </c>
      <c r="HW871" s="1853" t="str">
        <f t="shared" si="209"/>
        <v/>
      </c>
      <c r="HX871" s="1853" t="str">
        <f t="shared" si="210"/>
        <v/>
      </c>
      <c r="HY871" s="1853" t="str">
        <f t="shared" si="211"/>
        <v/>
      </c>
      <c r="HZ871" s="2141" t="str">
        <f t="shared" si="212"/>
        <v/>
      </c>
      <c r="IA871" s="2141" t="str">
        <f t="shared" si="213"/>
        <v/>
      </c>
      <c r="IB871" s="2141" t="str">
        <f t="shared" si="214"/>
        <v/>
      </c>
      <c r="IC871" s="2141" t="str">
        <f t="shared" si="215"/>
        <v/>
      </c>
      <c r="ID871" s="2141" t="str">
        <f t="shared" si="216"/>
        <v/>
      </c>
      <c r="IE871" s="2141" t="str">
        <f t="shared" si="217"/>
        <v/>
      </c>
      <c r="IF871" s="2141" t="str">
        <f t="shared" si="218"/>
        <v/>
      </c>
      <c r="IG871" s="2141" t="str">
        <f t="shared" si="219"/>
        <v/>
      </c>
      <c r="IH871" s="2141" t="str">
        <f t="shared" si="220"/>
        <v/>
      </c>
      <c r="II871" s="2141" t="str">
        <f t="shared" si="221"/>
        <v/>
      </c>
      <c r="IJ871" s="2141" t="str">
        <f t="shared" si="222"/>
        <v/>
      </c>
      <c r="IK871" s="2141" t="str">
        <f t="shared" si="223"/>
        <v/>
      </c>
      <c r="IL871" s="2141" t="str">
        <f t="shared" si="224"/>
        <v/>
      </c>
      <c r="IM871" s="2141" t="str">
        <f t="shared" si="225"/>
        <v/>
      </c>
      <c r="IN871" s="2141" t="str">
        <f t="shared" si="226"/>
        <v/>
      </c>
      <c r="IO871" s="2141" t="str">
        <f t="shared" si="227"/>
        <v/>
      </c>
      <c r="IP871" s="2141" t="str">
        <f t="shared" si="228"/>
        <v/>
      </c>
      <c r="IQ871" s="2141" t="str">
        <f t="shared" si="229"/>
        <v/>
      </c>
      <c r="IR871" s="2141" t="str">
        <f t="shared" si="230"/>
        <v/>
      </c>
      <c r="IS871" s="2141" t="str">
        <f t="shared" si="231"/>
        <v/>
      </c>
      <c r="IT871" s="2141" t="str">
        <f t="shared" si="232"/>
        <v/>
      </c>
      <c r="IU871" s="2141" t="str">
        <f t="shared" si="233"/>
        <v/>
      </c>
      <c r="IV871" s="2141" t="str">
        <f t="shared" si="234"/>
        <v/>
      </c>
      <c r="IW871" s="2141" t="str">
        <f t="shared" si="235"/>
        <v/>
      </c>
      <c r="IX871" s="2141" t="str">
        <f t="shared" si="236"/>
        <v/>
      </c>
      <c r="IY871" s="2141" t="str">
        <f t="shared" si="237"/>
        <v/>
      </c>
      <c r="IZ871" s="2141" t="str">
        <f t="shared" si="238"/>
        <v/>
      </c>
      <c r="JA871" s="2141" t="str">
        <f t="shared" si="239"/>
        <v/>
      </c>
      <c r="JB871" s="2141" t="str">
        <f t="shared" si="240"/>
        <v/>
      </c>
      <c r="JC871" s="2141" t="str">
        <f t="shared" si="241"/>
        <v/>
      </c>
      <c r="JD871" s="2141" t="str">
        <f t="shared" si="242"/>
        <v/>
      </c>
      <c r="JE871" s="2141" t="str">
        <f t="shared" si="243"/>
        <v/>
      </c>
      <c r="JF871" s="2141" t="str">
        <f t="shared" si="244"/>
        <v/>
      </c>
      <c r="JG871" s="2141" t="str">
        <f t="shared" si="245"/>
        <v/>
      </c>
      <c r="JH871" s="2141" t="str">
        <f t="shared" si="246"/>
        <v/>
      </c>
      <c r="JI871" s="2141" t="str">
        <f t="shared" si="247"/>
        <v/>
      </c>
      <c r="JJ871" s="2141" t="str">
        <f t="shared" si="248"/>
        <v/>
      </c>
      <c r="JK871" s="2141" t="str">
        <f t="shared" si="249"/>
        <v/>
      </c>
      <c r="JL871" s="2141" t="str">
        <f t="shared" si="250"/>
        <v/>
      </c>
      <c r="JM871" s="2141" t="str">
        <f t="shared" si="251"/>
        <v/>
      </c>
      <c r="JN871" s="2141" t="str">
        <f t="shared" si="252"/>
        <v/>
      </c>
      <c r="JO871" s="2141" t="str">
        <f t="shared" si="253"/>
        <v/>
      </c>
      <c r="JP871" s="2141" t="str">
        <f t="shared" si="254"/>
        <v/>
      </c>
      <c r="JQ871" s="2141" t="str">
        <f t="shared" si="255"/>
        <v/>
      </c>
      <c r="JR871" s="2141" t="str">
        <f t="shared" si="256"/>
        <v/>
      </c>
      <c r="JS871" s="2141" t="str">
        <f t="shared" si="257"/>
        <v/>
      </c>
      <c r="JT871" s="2141" t="str">
        <f t="shared" si="258"/>
        <v/>
      </c>
      <c r="JU871" s="2141" t="str">
        <f t="shared" si="259"/>
        <v/>
      </c>
      <c r="JV871" s="2141" t="str">
        <f t="shared" si="260"/>
        <v/>
      </c>
      <c r="JW871" s="2141" t="str">
        <f t="shared" si="261"/>
        <v/>
      </c>
      <c r="JX871" s="2141" t="str">
        <f t="shared" si="262"/>
        <v/>
      </c>
      <c r="JY871" s="2141" t="str">
        <f t="shared" si="263"/>
        <v/>
      </c>
      <c r="JZ871" s="2141" t="str">
        <f t="shared" si="264"/>
        <v/>
      </c>
      <c r="KA871" s="2141" t="str">
        <f t="shared" si="265"/>
        <v/>
      </c>
      <c r="KB871" s="2141" t="str">
        <f t="shared" si="266"/>
        <v/>
      </c>
      <c r="KC871" s="2141" t="str">
        <f t="shared" si="267"/>
        <v/>
      </c>
      <c r="KD871" s="2141" t="str">
        <f t="shared" si="268"/>
        <v/>
      </c>
      <c r="KE871" s="2141" t="str">
        <f t="shared" si="269"/>
        <v/>
      </c>
      <c r="KF871" s="2141" t="str">
        <f t="shared" si="270"/>
        <v/>
      </c>
      <c r="KG871" s="2141" t="str">
        <f t="shared" si="271"/>
        <v/>
      </c>
      <c r="KH871" s="2141" t="str">
        <f t="shared" si="272"/>
        <v/>
      </c>
      <c r="KI871" s="2141" t="str">
        <f t="shared" si="273"/>
        <v/>
      </c>
      <c r="KJ871" s="2141" t="str">
        <f t="shared" si="274"/>
        <v/>
      </c>
      <c r="KK871" s="2141" t="str">
        <f t="shared" si="275"/>
        <v/>
      </c>
      <c r="KL871" s="2141" t="str">
        <f t="shared" si="276"/>
        <v/>
      </c>
      <c r="KM871" s="2141" t="str">
        <f t="shared" si="277"/>
        <v/>
      </c>
      <c r="KN871" s="2141" t="str">
        <f t="shared" si="278"/>
        <v/>
      </c>
      <c r="KO871" s="2141" t="str">
        <f t="shared" si="279"/>
        <v/>
      </c>
      <c r="KP871" s="2141" t="str">
        <f t="shared" si="280"/>
        <v/>
      </c>
      <c r="KQ871" s="2141" t="str">
        <f t="shared" si="281"/>
        <v/>
      </c>
      <c r="KR871" s="2141" t="str">
        <f t="shared" si="282"/>
        <v/>
      </c>
      <c r="KS871" s="2141" t="str">
        <f t="shared" si="283"/>
        <v/>
      </c>
      <c r="KT871" s="2141" t="str">
        <f t="shared" si="284"/>
        <v/>
      </c>
      <c r="KU871" s="2141" t="str">
        <f t="shared" si="285"/>
        <v/>
      </c>
      <c r="KV871" s="2141" t="str">
        <f t="shared" si="286"/>
        <v/>
      </c>
      <c r="KW871" s="2141" t="str">
        <f t="shared" si="287"/>
        <v/>
      </c>
      <c r="KX871" s="2141" t="str">
        <f t="shared" si="288"/>
        <v/>
      </c>
      <c r="KY871" s="2141" t="str">
        <f t="shared" si="289"/>
        <v/>
      </c>
      <c r="KZ871" s="2141" t="str">
        <f t="shared" si="290"/>
        <v/>
      </c>
      <c r="LA871" s="2141" t="str">
        <f t="shared" si="291"/>
        <v/>
      </c>
      <c r="LB871" s="2141" t="str">
        <f t="shared" si="292"/>
        <v/>
      </c>
      <c r="LC871" s="2141" t="str">
        <f t="shared" si="293"/>
        <v/>
      </c>
      <c r="LD871" s="2141" t="str">
        <f t="shared" si="294"/>
        <v/>
      </c>
      <c r="LE871" s="2141" t="str">
        <f t="shared" si="295"/>
        <v/>
      </c>
      <c r="LF871" s="2141" t="str">
        <f t="shared" si="296"/>
        <v/>
      </c>
      <c r="LG871" s="2052" t="str">
        <f t="shared" si="297"/>
        <v/>
      </c>
      <c r="LH871" s="2052" t="str">
        <f t="shared" si="298"/>
        <v/>
      </c>
      <c r="LI871" s="2052" t="str">
        <f t="shared" si="299"/>
        <v/>
      </c>
      <c r="LJ871" s="2052" t="str">
        <f t="shared" si="300"/>
        <v/>
      </c>
      <c r="LK871" s="2052" t="str">
        <f t="shared" si="301"/>
        <v/>
      </c>
      <c r="LL871" s="1853" t="str">
        <f t="shared" si="302"/>
        <v/>
      </c>
      <c r="LM871" s="1853" t="str">
        <f t="shared" si="303"/>
        <v/>
      </c>
      <c r="LN871" s="1853" t="str">
        <f t="shared" si="304"/>
        <v/>
      </c>
      <c r="LO871" s="1853" t="str">
        <f t="shared" si="305"/>
        <v/>
      </c>
      <c r="LP871" s="1853" t="str">
        <f t="shared" si="306"/>
        <v/>
      </c>
      <c r="LQ871" s="1853" t="str">
        <f t="shared" si="307"/>
        <v/>
      </c>
      <c r="LR871" s="1853" t="str">
        <f t="shared" si="308"/>
        <v/>
      </c>
      <c r="LS871" s="1853" t="str">
        <f t="shared" si="309"/>
        <v/>
      </c>
      <c r="LT871" s="1853" t="str">
        <f t="shared" si="310"/>
        <v/>
      </c>
      <c r="LU871" s="1853" t="str">
        <f t="shared" si="311"/>
        <v/>
      </c>
      <c r="LV871" s="1853" t="str">
        <f t="shared" si="312"/>
        <v/>
      </c>
      <c r="LW871" s="1853" t="str">
        <f t="shared" si="313"/>
        <v/>
      </c>
      <c r="LX871" s="1853" t="str">
        <f t="shared" si="314"/>
        <v/>
      </c>
      <c r="LY871" s="1853" t="str">
        <f t="shared" si="315"/>
        <v/>
      </c>
      <c r="LZ871" s="1853" t="str">
        <f t="shared" si="316"/>
        <v/>
      </c>
      <c r="MA871" s="1853" t="str">
        <f t="shared" si="317"/>
        <v/>
      </c>
      <c r="MB871" s="1853" t="str">
        <f t="shared" si="318"/>
        <v/>
      </c>
      <c r="MC871" s="1853" t="str">
        <f t="shared" si="319"/>
        <v/>
      </c>
      <c r="MD871" s="1853" t="str">
        <f t="shared" si="320"/>
        <v/>
      </c>
      <c r="ME871" s="1853" t="str">
        <f t="shared" si="321"/>
        <v/>
      </c>
      <c r="MF871" s="2052">
        <f t="shared" si="328"/>
        <v>0</v>
      </c>
      <c r="MG871" s="2052">
        <f t="shared" si="329"/>
        <v>0</v>
      </c>
      <c r="MH871" s="2052">
        <f t="shared" si="330"/>
        <v>0</v>
      </c>
      <c r="MI871" s="2052">
        <f t="shared" si="331"/>
        <v>0</v>
      </c>
      <c r="MJ871" s="2052">
        <f t="shared" si="332"/>
        <v>0</v>
      </c>
      <c r="MK871" s="2052">
        <f t="shared" si="333"/>
        <v>0</v>
      </c>
      <c r="ML871" s="2052">
        <f t="shared" si="334"/>
        <v>0</v>
      </c>
      <c r="MM871" s="2052">
        <f t="shared" si="335"/>
        <v>0</v>
      </c>
      <c r="MN871" s="2052">
        <f t="shared" si="336"/>
        <v>0</v>
      </c>
      <c r="MO871" s="2052">
        <f t="shared" si="337"/>
        <v>0</v>
      </c>
      <c r="MP871" s="2052">
        <f t="shared" si="322"/>
        <v>0</v>
      </c>
      <c r="MQ871" s="2052">
        <f t="shared" si="323"/>
        <v>0</v>
      </c>
      <c r="MR871" s="2052">
        <f t="shared" si="324"/>
        <v>0</v>
      </c>
      <c r="MS871" s="2052">
        <f t="shared" si="325"/>
        <v>0</v>
      </c>
      <c r="MT871" s="2052">
        <f t="shared" si="326"/>
        <v>0</v>
      </c>
      <c r="NP871" s="1925" t="s">
        <v>6737</v>
      </c>
    </row>
    <row r="872" spans="1:380" s="1853" customFormat="1" ht="13.9" customHeight="1">
      <c r="A872" s="2109" t="str">
        <f t="shared" si="327"/>
        <v/>
      </c>
      <c r="B872" s="2131">
        <f>'Part VI-Revenues &amp; Expenses'!B32</f>
        <v>0</v>
      </c>
      <c r="C872" s="2132">
        <f>'Part VI-Revenues &amp; Expenses'!C32</f>
        <v>0</v>
      </c>
      <c r="D872" s="2133">
        <f>'Part VI-Revenues &amp; Expenses'!D32</f>
        <v>0</v>
      </c>
      <c r="E872" s="2134">
        <f>'Part VI-Revenues &amp; Expenses'!E32</f>
        <v>0</v>
      </c>
      <c r="F872" s="2134">
        <f>'Part VI-Revenues &amp; Expenses'!F32</f>
        <v>0</v>
      </c>
      <c r="G872" s="2134">
        <f>'Part VI-Revenues &amp; Expenses'!G32</f>
        <v>0</v>
      </c>
      <c r="H872" s="2134">
        <f>'Part VI-Revenues &amp; Expenses'!H32</f>
        <v>0</v>
      </c>
      <c r="I872" s="2134">
        <f>'Part VI-Revenues &amp; Expenses'!I32</f>
        <v>0</v>
      </c>
      <c r="J872" s="2134">
        <f>'Part VI-Revenues &amp; Expenses'!J32</f>
        <v>0</v>
      </c>
      <c r="K872" s="2135">
        <f>'Part VI-Revenues &amp; Expenses'!K32</f>
        <v>0</v>
      </c>
      <c r="L872" s="2136">
        <f t="shared" si="0"/>
        <v>0</v>
      </c>
      <c r="M872" s="2136">
        <f t="shared" si="1"/>
        <v>0</v>
      </c>
      <c r="N872" s="1917">
        <f>'Part VI-Revenues &amp; Expenses'!N32</f>
        <v>0</v>
      </c>
      <c r="O872" s="2137">
        <f>'Part VI-Revenues &amp; Expenses'!O32</f>
        <v>0</v>
      </c>
      <c r="P872" s="1917">
        <f>'Part VI-Revenues &amp; Expenses'!P32</f>
        <v>0</v>
      </c>
      <c r="Q872" s="2138">
        <f>'Part VI-Revenues &amp; Expenses'!Q32</f>
        <v>0</v>
      </c>
      <c r="R872" s="2139"/>
      <c r="S872" s="2140"/>
      <c r="T872" s="2044"/>
      <c r="U872" s="2044"/>
      <c r="V872" s="2044"/>
      <c r="W872" s="2044"/>
      <c r="X872" s="1853" t="str">
        <f t="shared" si="2"/>
        <v/>
      </c>
      <c r="Y872" s="1853" t="str">
        <f t="shared" si="3"/>
        <v/>
      </c>
      <c r="Z872" s="1853" t="str">
        <f t="shared" si="4"/>
        <v/>
      </c>
      <c r="AA872" s="1853" t="str">
        <f t="shared" si="5"/>
        <v/>
      </c>
      <c r="AB872" s="1853" t="str">
        <f t="shared" si="6"/>
        <v/>
      </c>
      <c r="AC872" s="1853" t="str">
        <f t="shared" si="7"/>
        <v/>
      </c>
      <c r="AD872" s="1853" t="str">
        <f t="shared" si="8"/>
        <v/>
      </c>
      <c r="AE872" s="1853" t="str">
        <f t="shared" si="9"/>
        <v/>
      </c>
      <c r="AF872" s="1853" t="str">
        <f t="shared" si="10"/>
        <v/>
      </c>
      <c r="AG872" s="1853" t="str">
        <f t="shared" si="11"/>
        <v/>
      </c>
      <c r="AH872" s="1853" t="str">
        <f t="shared" si="12"/>
        <v/>
      </c>
      <c r="AI872" s="1853" t="str">
        <f t="shared" si="13"/>
        <v/>
      </c>
      <c r="AJ872" s="1853" t="str">
        <f t="shared" si="14"/>
        <v/>
      </c>
      <c r="AK872" s="1853" t="str">
        <f t="shared" si="15"/>
        <v/>
      </c>
      <c r="AL872" s="1853" t="str">
        <f t="shared" si="16"/>
        <v/>
      </c>
      <c r="AM872" s="1853" t="str">
        <f t="shared" si="17"/>
        <v/>
      </c>
      <c r="AN872" s="1853" t="str">
        <f t="shared" si="18"/>
        <v/>
      </c>
      <c r="AO872" s="1853" t="str">
        <f t="shared" si="19"/>
        <v/>
      </c>
      <c r="AP872" s="1853" t="str">
        <f t="shared" si="20"/>
        <v/>
      </c>
      <c r="AQ872" s="1853" t="str">
        <f t="shared" si="21"/>
        <v/>
      </c>
      <c r="AR872" s="1853" t="str">
        <f t="shared" si="22"/>
        <v/>
      </c>
      <c r="AS872" s="1853" t="str">
        <f t="shared" si="23"/>
        <v/>
      </c>
      <c r="AT872" s="1853" t="str">
        <f t="shared" si="24"/>
        <v/>
      </c>
      <c r="AU872" s="1853" t="str">
        <f t="shared" si="25"/>
        <v/>
      </c>
      <c r="AV872" s="1853" t="str">
        <f t="shared" si="26"/>
        <v/>
      </c>
      <c r="AW872" s="1853" t="str">
        <f t="shared" si="27"/>
        <v/>
      </c>
      <c r="AX872" s="1853" t="str">
        <f t="shared" si="28"/>
        <v/>
      </c>
      <c r="AY872" s="1853" t="str">
        <f t="shared" si="29"/>
        <v/>
      </c>
      <c r="AZ872" s="1853" t="str">
        <f t="shared" si="30"/>
        <v/>
      </c>
      <c r="BA872" s="1853" t="str">
        <f t="shared" si="31"/>
        <v/>
      </c>
      <c r="BB872" s="1853" t="str">
        <f t="shared" si="32"/>
        <v/>
      </c>
      <c r="BC872" s="1853" t="str">
        <f t="shared" si="33"/>
        <v/>
      </c>
      <c r="BD872" s="1853" t="str">
        <f t="shared" si="34"/>
        <v/>
      </c>
      <c r="BE872" s="1853" t="str">
        <f t="shared" si="35"/>
        <v/>
      </c>
      <c r="BF872" s="1853" t="str">
        <f t="shared" si="36"/>
        <v/>
      </c>
      <c r="BG872" s="1853" t="str">
        <f t="shared" si="37"/>
        <v/>
      </c>
      <c r="BH872" s="1853" t="str">
        <f t="shared" si="38"/>
        <v/>
      </c>
      <c r="BI872" s="1853" t="str">
        <f t="shared" si="39"/>
        <v/>
      </c>
      <c r="BJ872" s="1853" t="str">
        <f t="shared" si="40"/>
        <v/>
      </c>
      <c r="BK872" s="1853" t="str">
        <f t="shared" si="41"/>
        <v/>
      </c>
      <c r="BL872" s="1853" t="str">
        <f t="shared" si="42"/>
        <v/>
      </c>
      <c r="BM872" s="1853" t="str">
        <f t="shared" si="43"/>
        <v/>
      </c>
      <c r="BN872" s="1853" t="str">
        <f t="shared" si="44"/>
        <v/>
      </c>
      <c r="BO872" s="1853" t="str">
        <f t="shared" si="45"/>
        <v/>
      </c>
      <c r="BP872" s="1853" t="str">
        <f t="shared" si="46"/>
        <v/>
      </c>
      <c r="BQ872" s="1853" t="str">
        <f t="shared" si="47"/>
        <v/>
      </c>
      <c r="BR872" s="1853" t="str">
        <f t="shared" si="48"/>
        <v/>
      </c>
      <c r="BS872" s="1853" t="str">
        <f t="shared" si="49"/>
        <v/>
      </c>
      <c r="BT872" s="1853" t="str">
        <f t="shared" si="50"/>
        <v/>
      </c>
      <c r="BU872" s="1853" t="str">
        <f t="shared" si="51"/>
        <v/>
      </c>
      <c r="BV872" s="1853" t="str">
        <f t="shared" si="52"/>
        <v/>
      </c>
      <c r="BW872" s="1853" t="str">
        <f t="shared" si="53"/>
        <v/>
      </c>
      <c r="BX872" s="1853" t="str">
        <f t="shared" si="54"/>
        <v/>
      </c>
      <c r="BY872" s="1853" t="str">
        <f t="shared" si="55"/>
        <v/>
      </c>
      <c r="BZ872" s="1853" t="str">
        <f t="shared" si="56"/>
        <v/>
      </c>
      <c r="CA872" s="1853" t="str">
        <f t="shared" si="57"/>
        <v/>
      </c>
      <c r="CB872" s="1853" t="str">
        <f t="shared" si="58"/>
        <v/>
      </c>
      <c r="CC872" s="1853" t="str">
        <f t="shared" si="59"/>
        <v/>
      </c>
      <c r="CD872" s="1853" t="str">
        <f t="shared" si="60"/>
        <v/>
      </c>
      <c r="CE872" s="1853" t="str">
        <f t="shared" si="61"/>
        <v/>
      </c>
      <c r="CF872" s="1853" t="str">
        <f t="shared" si="62"/>
        <v/>
      </c>
      <c r="CG872" s="1853" t="str">
        <f t="shared" si="63"/>
        <v/>
      </c>
      <c r="CH872" s="1853" t="str">
        <f t="shared" si="64"/>
        <v/>
      </c>
      <c r="CI872" s="1853" t="str">
        <f t="shared" si="65"/>
        <v/>
      </c>
      <c r="CJ872" s="1853" t="str">
        <f t="shared" si="66"/>
        <v/>
      </c>
      <c r="CK872" s="1853" t="str">
        <f t="shared" si="67"/>
        <v/>
      </c>
      <c r="CL872" s="1853" t="str">
        <f t="shared" si="68"/>
        <v/>
      </c>
      <c r="CM872" s="1853" t="str">
        <f t="shared" si="69"/>
        <v/>
      </c>
      <c r="CN872" s="1853" t="str">
        <f t="shared" si="70"/>
        <v/>
      </c>
      <c r="CO872" s="1853" t="str">
        <f t="shared" si="71"/>
        <v/>
      </c>
      <c r="CP872" s="1853" t="str">
        <f t="shared" si="72"/>
        <v/>
      </c>
      <c r="CQ872" s="1853" t="str">
        <f t="shared" si="73"/>
        <v/>
      </c>
      <c r="CR872" s="1853" t="str">
        <f t="shared" si="74"/>
        <v/>
      </c>
      <c r="CS872" s="1853" t="str">
        <f t="shared" si="75"/>
        <v/>
      </c>
      <c r="CT872" s="1853" t="str">
        <f t="shared" si="76"/>
        <v/>
      </c>
      <c r="CU872" s="1853" t="str">
        <f t="shared" si="77"/>
        <v/>
      </c>
      <c r="CV872" s="1853" t="str">
        <f t="shared" si="78"/>
        <v/>
      </c>
      <c r="CW872" s="1853" t="str">
        <f t="shared" si="79"/>
        <v/>
      </c>
      <c r="CX872" s="1853" t="str">
        <f t="shared" si="80"/>
        <v/>
      </c>
      <c r="CY872" s="1853" t="str">
        <f t="shared" si="81"/>
        <v/>
      </c>
      <c r="CZ872" s="1853" t="str">
        <f t="shared" si="82"/>
        <v/>
      </c>
      <c r="DA872" s="1853" t="str">
        <f t="shared" si="83"/>
        <v/>
      </c>
      <c r="DB872" s="1853" t="str">
        <f t="shared" si="84"/>
        <v/>
      </c>
      <c r="DC872" s="1853" t="str">
        <f t="shared" si="85"/>
        <v/>
      </c>
      <c r="DD872" s="1853" t="str">
        <f t="shared" si="86"/>
        <v/>
      </c>
      <c r="DE872" s="1853" t="str">
        <f t="shared" si="87"/>
        <v/>
      </c>
      <c r="DF872" s="1853" t="str">
        <f t="shared" si="88"/>
        <v/>
      </c>
      <c r="DG872" s="1853" t="str">
        <f t="shared" si="89"/>
        <v/>
      </c>
      <c r="DH872" s="1853" t="str">
        <f t="shared" si="90"/>
        <v/>
      </c>
      <c r="DI872" s="1853" t="str">
        <f t="shared" si="91"/>
        <v/>
      </c>
      <c r="DJ872" s="1853" t="str">
        <f t="shared" si="92"/>
        <v/>
      </c>
      <c r="DK872" s="1853" t="str">
        <f t="shared" si="93"/>
        <v/>
      </c>
      <c r="DL872" s="1853" t="str">
        <f t="shared" si="94"/>
        <v/>
      </c>
      <c r="DM872" s="1853" t="str">
        <f t="shared" si="95"/>
        <v/>
      </c>
      <c r="DN872" s="1853" t="str">
        <f t="shared" si="96"/>
        <v/>
      </c>
      <c r="DO872" s="1853" t="str">
        <f t="shared" si="97"/>
        <v/>
      </c>
      <c r="DP872" s="1853" t="str">
        <f t="shared" si="98"/>
        <v/>
      </c>
      <c r="DQ872" s="1853" t="str">
        <f t="shared" si="99"/>
        <v/>
      </c>
      <c r="DR872" s="1853" t="str">
        <f t="shared" si="100"/>
        <v/>
      </c>
      <c r="DS872" s="1853" t="str">
        <f t="shared" si="101"/>
        <v/>
      </c>
      <c r="DT872" s="1853" t="str">
        <f t="shared" si="102"/>
        <v/>
      </c>
      <c r="DU872" s="1853" t="str">
        <f t="shared" si="103"/>
        <v/>
      </c>
      <c r="DV872" s="1853" t="str">
        <f t="shared" si="104"/>
        <v/>
      </c>
      <c r="DW872" s="1853" t="str">
        <f t="shared" si="105"/>
        <v/>
      </c>
      <c r="DX872" s="1853" t="str">
        <f t="shared" si="106"/>
        <v/>
      </c>
      <c r="DY872" s="1853" t="str">
        <f t="shared" si="107"/>
        <v/>
      </c>
      <c r="DZ872" s="1853" t="str">
        <f t="shared" si="108"/>
        <v/>
      </c>
      <c r="EA872" s="1853" t="str">
        <f t="shared" si="109"/>
        <v/>
      </c>
      <c r="EB872" s="1853" t="str">
        <f t="shared" si="110"/>
        <v/>
      </c>
      <c r="EC872" s="1853" t="str">
        <f t="shared" si="111"/>
        <v/>
      </c>
      <c r="ED872" s="1853" t="str">
        <f t="shared" si="112"/>
        <v/>
      </c>
      <c r="EE872" s="1853" t="str">
        <f t="shared" si="113"/>
        <v/>
      </c>
      <c r="EF872" s="1853" t="str">
        <f t="shared" si="114"/>
        <v/>
      </c>
      <c r="EG872" s="1853" t="str">
        <f t="shared" si="115"/>
        <v/>
      </c>
      <c r="EH872" s="1853" t="str">
        <f t="shared" si="116"/>
        <v/>
      </c>
      <c r="EI872" s="1853" t="str">
        <f t="shared" si="117"/>
        <v/>
      </c>
      <c r="EJ872" s="1853" t="str">
        <f t="shared" si="118"/>
        <v/>
      </c>
      <c r="EK872" s="1853" t="str">
        <f t="shared" si="119"/>
        <v/>
      </c>
      <c r="EL872" s="1853" t="str">
        <f t="shared" si="120"/>
        <v/>
      </c>
      <c r="EM872" s="1853" t="str">
        <f t="shared" si="121"/>
        <v/>
      </c>
      <c r="EN872" s="1853" t="str">
        <f t="shared" si="122"/>
        <v/>
      </c>
      <c r="EO872" s="1853" t="str">
        <f t="shared" si="123"/>
        <v/>
      </c>
      <c r="EP872" s="1853" t="str">
        <f t="shared" si="124"/>
        <v/>
      </c>
      <c r="EQ872" s="1853" t="str">
        <f t="shared" si="125"/>
        <v/>
      </c>
      <c r="ER872" s="1853" t="str">
        <f t="shared" si="126"/>
        <v/>
      </c>
      <c r="ES872" s="1853" t="str">
        <f t="shared" si="127"/>
        <v/>
      </c>
      <c r="ET872" s="1853" t="str">
        <f t="shared" si="128"/>
        <v/>
      </c>
      <c r="EU872" s="1853" t="str">
        <f t="shared" si="129"/>
        <v/>
      </c>
      <c r="EV872" s="1853" t="str">
        <f t="shared" si="130"/>
        <v/>
      </c>
      <c r="EW872" s="1853" t="str">
        <f t="shared" si="131"/>
        <v/>
      </c>
      <c r="EX872" s="1853" t="str">
        <f t="shared" si="132"/>
        <v/>
      </c>
      <c r="EY872" s="1853" t="str">
        <f t="shared" si="133"/>
        <v/>
      </c>
      <c r="EZ872" s="1853" t="str">
        <f t="shared" si="134"/>
        <v/>
      </c>
      <c r="FA872" s="1853" t="str">
        <f t="shared" si="135"/>
        <v/>
      </c>
      <c r="FB872" s="1853" t="str">
        <f t="shared" si="136"/>
        <v/>
      </c>
      <c r="FC872" s="1853" t="str">
        <f t="shared" si="137"/>
        <v/>
      </c>
      <c r="FD872" s="1853" t="str">
        <f t="shared" si="138"/>
        <v/>
      </c>
      <c r="FE872" s="1853" t="str">
        <f t="shared" si="139"/>
        <v/>
      </c>
      <c r="FF872" s="1853" t="str">
        <f t="shared" si="140"/>
        <v/>
      </c>
      <c r="FG872" s="1853" t="str">
        <f t="shared" si="141"/>
        <v/>
      </c>
      <c r="FH872" s="1853" t="str">
        <f t="shared" si="142"/>
        <v/>
      </c>
      <c r="FI872" s="1853" t="str">
        <f t="shared" si="143"/>
        <v/>
      </c>
      <c r="FJ872" s="1853" t="str">
        <f t="shared" si="144"/>
        <v/>
      </c>
      <c r="FK872" s="1853" t="str">
        <f t="shared" si="145"/>
        <v/>
      </c>
      <c r="FL872" s="1853" t="str">
        <f t="shared" si="146"/>
        <v/>
      </c>
      <c r="FM872" s="1853" t="str">
        <f t="shared" si="147"/>
        <v/>
      </c>
      <c r="FN872" s="1853" t="str">
        <f t="shared" si="148"/>
        <v/>
      </c>
      <c r="FO872" s="1853" t="str">
        <f t="shared" si="149"/>
        <v/>
      </c>
      <c r="FP872" s="1853" t="str">
        <f t="shared" si="150"/>
        <v/>
      </c>
      <c r="FQ872" s="1853" t="str">
        <f t="shared" si="151"/>
        <v/>
      </c>
      <c r="FR872" s="1853" t="str">
        <f t="shared" si="152"/>
        <v/>
      </c>
      <c r="FS872" s="1853" t="str">
        <f t="shared" si="153"/>
        <v/>
      </c>
      <c r="FT872" s="1853" t="str">
        <f t="shared" si="154"/>
        <v/>
      </c>
      <c r="FU872" s="1853" t="str">
        <f t="shared" si="155"/>
        <v/>
      </c>
      <c r="FV872" s="1853" t="str">
        <f t="shared" si="156"/>
        <v/>
      </c>
      <c r="FW872" s="1853" t="str">
        <f t="shared" si="157"/>
        <v/>
      </c>
      <c r="FX872" s="1853" t="str">
        <f t="shared" si="158"/>
        <v/>
      </c>
      <c r="FY872" s="1853" t="str">
        <f t="shared" si="159"/>
        <v/>
      </c>
      <c r="FZ872" s="1853" t="str">
        <f t="shared" si="160"/>
        <v/>
      </c>
      <c r="GA872" s="1853" t="str">
        <f t="shared" si="161"/>
        <v/>
      </c>
      <c r="GB872" s="1853" t="str">
        <f t="shared" si="162"/>
        <v/>
      </c>
      <c r="GC872" s="1853" t="str">
        <f t="shared" si="163"/>
        <v/>
      </c>
      <c r="GD872" s="1853" t="str">
        <f t="shared" si="164"/>
        <v/>
      </c>
      <c r="GE872" s="1853" t="str">
        <f t="shared" si="165"/>
        <v/>
      </c>
      <c r="GF872" s="1853" t="str">
        <f t="shared" si="166"/>
        <v/>
      </c>
      <c r="GG872" s="1853" t="str">
        <f t="shared" si="167"/>
        <v/>
      </c>
      <c r="GH872" s="1853" t="str">
        <f t="shared" si="168"/>
        <v/>
      </c>
      <c r="GI872" s="1853" t="str">
        <f t="shared" si="169"/>
        <v/>
      </c>
      <c r="GJ872" s="1853" t="str">
        <f t="shared" si="170"/>
        <v/>
      </c>
      <c r="GK872" s="1853" t="str">
        <f t="shared" si="171"/>
        <v/>
      </c>
      <c r="GL872" s="1853" t="str">
        <f t="shared" si="172"/>
        <v/>
      </c>
      <c r="GM872" s="1853" t="str">
        <f t="shared" si="173"/>
        <v/>
      </c>
      <c r="GN872" s="1853" t="str">
        <f t="shared" si="174"/>
        <v/>
      </c>
      <c r="GO872" s="1853" t="str">
        <f t="shared" si="175"/>
        <v/>
      </c>
      <c r="GP872" s="1853" t="str">
        <f t="shared" si="176"/>
        <v/>
      </c>
      <c r="GQ872" s="1853" t="str">
        <f t="shared" si="177"/>
        <v/>
      </c>
      <c r="GR872" s="1853" t="str">
        <f t="shared" si="178"/>
        <v/>
      </c>
      <c r="GS872" s="1853" t="str">
        <f t="shared" si="179"/>
        <v/>
      </c>
      <c r="GT872" s="1853" t="str">
        <f t="shared" si="180"/>
        <v/>
      </c>
      <c r="GU872" s="1853" t="str">
        <f t="shared" si="181"/>
        <v/>
      </c>
      <c r="GV872" s="1853" t="str">
        <f t="shared" si="182"/>
        <v/>
      </c>
      <c r="GW872" s="1853" t="str">
        <f t="shared" si="183"/>
        <v/>
      </c>
      <c r="GX872" s="1853" t="str">
        <f t="shared" si="184"/>
        <v/>
      </c>
      <c r="GY872" s="1853" t="str">
        <f t="shared" si="185"/>
        <v/>
      </c>
      <c r="GZ872" s="1853" t="str">
        <f t="shared" si="186"/>
        <v/>
      </c>
      <c r="HA872" s="1853" t="str">
        <f t="shared" si="187"/>
        <v/>
      </c>
      <c r="HB872" s="1853" t="str">
        <f t="shared" si="188"/>
        <v/>
      </c>
      <c r="HC872" s="1853" t="str">
        <f t="shared" si="189"/>
        <v/>
      </c>
      <c r="HD872" s="1853" t="str">
        <f t="shared" si="190"/>
        <v/>
      </c>
      <c r="HE872" s="1853" t="str">
        <f t="shared" si="191"/>
        <v/>
      </c>
      <c r="HF872" s="1853" t="str">
        <f t="shared" si="192"/>
        <v/>
      </c>
      <c r="HG872" s="1853" t="str">
        <f t="shared" si="193"/>
        <v/>
      </c>
      <c r="HH872" s="1853" t="str">
        <f t="shared" si="194"/>
        <v/>
      </c>
      <c r="HI872" s="1853" t="str">
        <f t="shared" si="195"/>
        <v/>
      </c>
      <c r="HJ872" s="1853" t="str">
        <f t="shared" si="196"/>
        <v/>
      </c>
      <c r="HK872" s="1853" t="str">
        <f t="shared" si="197"/>
        <v/>
      </c>
      <c r="HL872" s="1853" t="str">
        <f t="shared" si="198"/>
        <v/>
      </c>
      <c r="HM872" s="1853" t="str">
        <f t="shared" si="199"/>
        <v/>
      </c>
      <c r="HN872" s="1853" t="str">
        <f t="shared" si="200"/>
        <v/>
      </c>
      <c r="HO872" s="1853" t="str">
        <f t="shared" si="201"/>
        <v/>
      </c>
      <c r="HP872" s="1853" t="str">
        <f t="shared" si="202"/>
        <v/>
      </c>
      <c r="HQ872" s="1853" t="str">
        <f t="shared" si="203"/>
        <v/>
      </c>
      <c r="HR872" s="1853" t="str">
        <f t="shared" si="204"/>
        <v/>
      </c>
      <c r="HS872" s="1853" t="str">
        <f t="shared" si="205"/>
        <v/>
      </c>
      <c r="HT872" s="1853" t="str">
        <f t="shared" si="206"/>
        <v/>
      </c>
      <c r="HU872" s="1853" t="str">
        <f t="shared" si="207"/>
        <v/>
      </c>
      <c r="HV872" s="1853" t="str">
        <f t="shared" si="208"/>
        <v/>
      </c>
      <c r="HW872" s="1853" t="str">
        <f t="shared" si="209"/>
        <v/>
      </c>
      <c r="HX872" s="1853" t="str">
        <f t="shared" si="210"/>
        <v/>
      </c>
      <c r="HY872" s="1853" t="str">
        <f t="shared" si="211"/>
        <v/>
      </c>
      <c r="HZ872" s="2141" t="str">
        <f t="shared" si="212"/>
        <v/>
      </c>
      <c r="IA872" s="2141" t="str">
        <f t="shared" si="213"/>
        <v/>
      </c>
      <c r="IB872" s="2141" t="str">
        <f t="shared" si="214"/>
        <v/>
      </c>
      <c r="IC872" s="2141" t="str">
        <f t="shared" si="215"/>
        <v/>
      </c>
      <c r="ID872" s="2141" t="str">
        <f t="shared" si="216"/>
        <v/>
      </c>
      <c r="IE872" s="2141" t="str">
        <f t="shared" si="217"/>
        <v/>
      </c>
      <c r="IF872" s="2141" t="str">
        <f t="shared" si="218"/>
        <v/>
      </c>
      <c r="IG872" s="2141" t="str">
        <f t="shared" si="219"/>
        <v/>
      </c>
      <c r="IH872" s="2141" t="str">
        <f t="shared" si="220"/>
        <v/>
      </c>
      <c r="II872" s="2141" t="str">
        <f t="shared" si="221"/>
        <v/>
      </c>
      <c r="IJ872" s="2141" t="str">
        <f t="shared" si="222"/>
        <v/>
      </c>
      <c r="IK872" s="2141" t="str">
        <f t="shared" si="223"/>
        <v/>
      </c>
      <c r="IL872" s="2141" t="str">
        <f t="shared" si="224"/>
        <v/>
      </c>
      <c r="IM872" s="2141" t="str">
        <f t="shared" si="225"/>
        <v/>
      </c>
      <c r="IN872" s="2141" t="str">
        <f t="shared" si="226"/>
        <v/>
      </c>
      <c r="IO872" s="2141" t="str">
        <f t="shared" si="227"/>
        <v/>
      </c>
      <c r="IP872" s="2141" t="str">
        <f t="shared" si="228"/>
        <v/>
      </c>
      <c r="IQ872" s="2141" t="str">
        <f t="shared" si="229"/>
        <v/>
      </c>
      <c r="IR872" s="2141" t="str">
        <f t="shared" si="230"/>
        <v/>
      </c>
      <c r="IS872" s="2141" t="str">
        <f t="shared" si="231"/>
        <v/>
      </c>
      <c r="IT872" s="2141" t="str">
        <f t="shared" si="232"/>
        <v/>
      </c>
      <c r="IU872" s="2141" t="str">
        <f t="shared" si="233"/>
        <v/>
      </c>
      <c r="IV872" s="2141" t="str">
        <f t="shared" si="234"/>
        <v/>
      </c>
      <c r="IW872" s="2141" t="str">
        <f t="shared" si="235"/>
        <v/>
      </c>
      <c r="IX872" s="2141" t="str">
        <f t="shared" si="236"/>
        <v/>
      </c>
      <c r="IY872" s="2141" t="str">
        <f t="shared" si="237"/>
        <v/>
      </c>
      <c r="IZ872" s="2141" t="str">
        <f t="shared" si="238"/>
        <v/>
      </c>
      <c r="JA872" s="2141" t="str">
        <f t="shared" si="239"/>
        <v/>
      </c>
      <c r="JB872" s="2141" t="str">
        <f t="shared" si="240"/>
        <v/>
      </c>
      <c r="JC872" s="2141" t="str">
        <f t="shared" si="241"/>
        <v/>
      </c>
      <c r="JD872" s="2141" t="str">
        <f t="shared" si="242"/>
        <v/>
      </c>
      <c r="JE872" s="2141" t="str">
        <f t="shared" si="243"/>
        <v/>
      </c>
      <c r="JF872" s="2141" t="str">
        <f t="shared" si="244"/>
        <v/>
      </c>
      <c r="JG872" s="2141" t="str">
        <f t="shared" si="245"/>
        <v/>
      </c>
      <c r="JH872" s="2141" t="str">
        <f t="shared" si="246"/>
        <v/>
      </c>
      <c r="JI872" s="2141" t="str">
        <f t="shared" si="247"/>
        <v/>
      </c>
      <c r="JJ872" s="2141" t="str">
        <f t="shared" si="248"/>
        <v/>
      </c>
      <c r="JK872" s="2141" t="str">
        <f t="shared" si="249"/>
        <v/>
      </c>
      <c r="JL872" s="2141" t="str">
        <f t="shared" si="250"/>
        <v/>
      </c>
      <c r="JM872" s="2141" t="str">
        <f t="shared" si="251"/>
        <v/>
      </c>
      <c r="JN872" s="2141" t="str">
        <f t="shared" si="252"/>
        <v/>
      </c>
      <c r="JO872" s="2141" t="str">
        <f t="shared" si="253"/>
        <v/>
      </c>
      <c r="JP872" s="2141" t="str">
        <f t="shared" si="254"/>
        <v/>
      </c>
      <c r="JQ872" s="2141" t="str">
        <f t="shared" si="255"/>
        <v/>
      </c>
      <c r="JR872" s="2141" t="str">
        <f t="shared" si="256"/>
        <v/>
      </c>
      <c r="JS872" s="2141" t="str">
        <f t="shared" si="257"/>
        <v/>
      </c>
      <c r="JT872" s="2141" t="str">
        <f t="shared" si="258"/>
        <v/>
      </c>
      <c r="JU872" s="2141" t="str">
        <f t="shared" si="259"/>
        <v/>
      </c>
      <c r="JV872" s="2141" t="str">
        <f t="shared" si="260"/>
        <v/>
      </c>
      <c r="JW872" s="2141" t="str">
        <f t="shared" si="261"/>
        <v/>
      </c>
      <c r="JX872" s="2141" t="str">
        <f t="shared" si="262"/>
        <v/>
      </c>
      <c r="JY872" s="2141" t="str">
        <f t="shared" si="263"/>
        <v/>
      </c>
      <c r="JZ872" s="2141" t="str">
        <f t="shared" si="264"/>
        <v/>
      </c>
      <c r="KA872" s="2141" t="str">
        <f t="shared" si="265"/>
        <v/>
      </c>
      <c r="KB872" s="2141" t="str">
        <f t="shared" si="266"/>
        <v/>
      </c>
      <c r="KC872" s="2141" t="str">
        <f t="shared" si="267"/>
        <v/>
      </c>
      <c r="KD872" s="2141" t="str">
        <f t="shared" si="268"/>
        <v/>
      </c>
      <c r="KE872" s="2141" t="str">
        <f t="shared" si="269"/>
        <v/>
      </c>
      <c r="KF872" s="2141" t="str">
        <f t="shared" si="270"/>
        <v/>
      </c>
      <c r="KG872" s="2141" t="str">
        <f t="shared" si="271"/>
        <v/>
      </c>
      <c r="KH872" s="2141" t="str">
        <f t="shared" si="272"/>
        <v/>
      </c>
      <c r="KI872" s="2141" t="str">
        <f t="shared" si="273"/>
        <v/>
      </c>
      <c r="KJ872" s="2141" t="str">
        <f t="shared" si="274"/>
        <v/>
      </c>
      <c r="KK872" s="2141" t="str">
        <f t="shared" si="275"/>
        <v/>
      </c>
      <c r="KL872" s="2141" t="str">
        <f t="shared" si="276"/>
        <v/>
      </c>
      <c r="KM872" s="2141" t="str">
        <f t="shared" si="277"/>
        <v/>
      </c>
      <c r="KN872" s="2141" t="str">
        <f t="shared" si="278"/>
        <v/>
      </c>
      <c r="KO872" s="2141" t="str">
        <f t="shared" si="279"/>
        <v/>
      </c>
      <c r="KP872" s="2141" t="str">
        <f t="shared" si="280"/>
        <v/>
      </c>
      <c r="KQ872" s="2141" t="str">
        <f t="shared" si="281"/>
        <v/>
      </c>
      <c r="KR872" s="2141" t="str">
        <f t="shared" si="282"/>
        <v/>
      </c>
      <c r="KS872" s="2141" t="str">
        <f t="shared" si="283"/>
        <v/>
      </c>
      <c r="KT872" s="2141" t="str">
        <f t="shared" si="284"/>
        <v/>
      </c>
      <c r="KU872" s="2141" t="str">
        <f t="shared" si="285"/>
        <v/>
      </c>
      <c r="KV872" s="2141" t="str">
        <f t="shared" si="286"/>
        <v/>
      </c>
      <c r="KW872" s="2141" t="str">
        <f t="shared" si="287"/>
        <v/>
      </c>
      <c r="KX872" s="2141" t="str">
        <f t="shared" si="288"/>
        <v/>
      </c>
      <c r="KY872" s="2141" t="str">
        <f t="shared" si="289"/>
        <v/>
      </c>
      <c r="KZ872" s="2141" t="str">
        <f t="shared" si="290"/>
        <v/>
      </c>
      <c r="LA872" s="2141" t="str">
        <f t="shared" si="291"/>
        <v/>
      </c>
      <c r="LB872" s="2141" t="str">
        <f t="shared" si="292"/>
        <v/>
      </c>
      <c r="LC872" s="2141" t="str">
        <f t="shared" si="293"/>
        <v/>
      </c>
      <c r="LD872" s="2141" t="str">
        <f t="shared" si="294"/>
        <v/>
      </c>
      <c r="LE872" s="2141" t="str">
        <f t="shared" si="295"/>
        <v/>
      </c>
      <c r="LF872" s="2141" t="str">
        <f t="shared" si="296"/>
        <v/>
      </c>
      <c r="LG872" s="2052" t="str">
        <f t="shared" si="297"/>
        <v/>
      </c>
      <c r="LH872" s="2052" t="str">
        <f t="shared" si="298"/>
        <v/>
      </c>
      <c r="LI872" s="2052" t="str">
        <f t="shared" si="299"/>
        <v/>
      </c>
      <c r="LJ872" s="2052" t="str">
        <f t="shared" si="300"/>
        <v/>
      </c>
      <c r="LK872" s="2052" t="str">
        <f t="shared" si="301"/>
        <v/>
      </c>
      <c r="LL872" s="1853" t="str">
        <f t="shared" si="302"/>
        <v/>
      </c>
      <c r="LM872" s="1853" t="str">
        <f t="shared" si="303"/>
        <v/>
      </c>
      <c r="LN872" s="1853" t="str">
        <f t="shared" si="304"/>
        <v/>
      </c>
      <c r="LO872" s="1853" t="str">
        <f t="shared" si="305"/>
        <v/>
      </c>
      <c r="LP872" s="1853" t="str">
        <f t="shared" si="306"/>
        <v/>
      </c>
      <c r="LQ872" s="1853" t="str">
        <f t="shared" si="307"/>
        <v/>
      </c>
      <c r="LR872" s="1853" t="str">
        <f t="shared" si="308"/>
        <v/>
      </c>
      <c r="LS872" s="1853" t="str">
        <f t="shared" si="309"/>
        <v/>
      </c>
      <c r="LT872" s="1853" t="str">
        <f t="shared" si="310"/>
        <v/>
      </c>
      <c r="LU872" s="1853" t="str">
        <f t="shared" si="311"/>
        <v/>
      </c>
      <c r="LV872" s="1853" t="str">
        <f t="shared" si="312"/>
        <v/>
      </c>
      <c r="LW872" s="1853" t="str">
        <f t="shared" si="313"/>
        <v/>
      </c>
      <c r="LX872" s="1853" t="str">
        <f t="shared" si="314"/>
        <v/>
      </c>
      <c r="LY872" s="1853" t="str">
        <f t="shared" si="315"/>
        <v/>
      </c>
      <c r="LZ872" s="1853" t="str">
        <f t="shared" si="316"/>
        <v/>
      </c>
      <c r="MA872" s="1853" t="str">
        <f t="shared" si="317"/>
        <v/>
      </c>
      <c r="MB872" s="1853" t="str">
        <f t="shared" si="318"/>
        <v/>
      </c>
      <c r="MC872" s="1853" t="str">
        <f t="shared" si="319"/>
        <v/>
      </c>
      <c r="MD872" s="1853" t="str">
        <f t="shared" si="320"/>
        <v/>
      </c>
      <c r="ME872" s="1853" t="str">
        <f t="shared" si="321"/>
        <v/>
      </c>
      <c r="MF872" s="2052">
        <f t="shared" si="328"/>
        <v>0</v>
      </c>
      <c r="MG872" s="2052">
        <f t="shared" si="329"/>
        <v>0</v>
      </c>
      <c r="MH872" s="2052">
        <f t="shared" si="330"/>
        <v>0</v>
      </c>
      <c r="MI872" s="2052">
        <f t="shared" si="331"/>
        <v>0</v>
      </c>
      <c r="MJ872" s="2052">
        <f t="shared" si="332"/>
        <v>0</v>
      </c>
      <c r="MK872" s="2052">
        <f t="shared" si="333"/>
        <v>0</v>
      </c>
      <c r="ML872" s="2052">
        <f t="shared" si="334"/>
        <v>0</v>
      </c>
      <c r="MM872" s="2052">
        <f t="shared" si="335"/>
        <v>0</v>
      </c>
      <c r="MN872" s="2052">
        <f t="shared" si="336"/>
        <v>0</v>
      </c>
      <c r="MO872" s="2052">
        <f t="shared" si="337"/>
        <v>0</v>
      </c>
      <c r="MP872" s="2052">
        <f t="shared" si="322"/>
        <v>0</v>
      </c>
      <c r="MQ872" s="2052">
        <f t="shared" si="323"/>
        <v>0</v>
      </c>
      <c r="MR872" s="2052">
        <f t="shared" si="324"/>
        <v>0</v>
      </c>
      <c r="MS872" s="2052">
        <f t="shared" si="325"/>
        <v>0</v>
      </c>
      <c r="MT872" s="2052">
        <f t="shared" si="326"/>
        <v>0</v>
      </c>
      <c r="NP872" s="1925" t="s">
        <v>6738</v>
      </c>
    </row>
    <row r="873" spans="1:380" s="1853" customFormat="1" ht="13.9" customHeight="1">
      <c r="A873" s="2109" t="str">
        <f t="shared" si="327"/>
        <v/>
      </c>
      <c r="B873" s="2131">
        <f>'Part VI-Revenues &amp; Expenses'!B33</f>
        <v>0</v>
      </c>
      <c r="C873" s="2132">
        <f>'Part VI-Revenues &amp; Expenses'!C33</f>
        <v>0</v>
      </c>
      <c r="D873" s="2133">
        <f>'Part VI-Revenues &amp; Expenses'!D33</f>
        <v>0</v>
      </c>
      <c r="E873" s="2134">
        <f>'Part VI-Revenues &amp; Expenses'!E33</f>
        <v>0</v>
      </c>
      <c r="F873" s="2134">
        <f>'Part VI-Revenues &amp; Expenses'!F33</f>
        <v>0</v>
      </c>
      <c r="G873" s="2134">
        <f>'Part VI-Revenues &amp; Expenses'!G33</f>
        <v>0</v>
      </c>
      <c r="H873" s="2134">
        <f>'Part VI-Revenues &amp; Expenses'!H33</f>
        <v>0</v>
      </c>
      <c r="I873" s="2134">
        <f>'Part VI-Revenues &amp; Expenses'!I33</f>
        <v>0</v>
      </c>
      <c r="J873" s="2134">
        <f>'Part VI-Revenues &amp; Expenses'!J33</f>
        <v>0</v>
      </c>
      <c r="K873" s="2135">
        <f>'Part VI-Revenues &amp; Expenses'!K33</f>
        <v>0</v>
      </c>
      <c r="L873" s="2136">
        <f t="shared" si="0"/>
        <v>0</v>
      </c>
      <c r="M873" s="2136">
        <f t="shared" si="1"/>
        <v>0</v>
      </c>
      <c r="N873" s="1917">
        <f>'Part VI-Revenues &amp; Expenses'!N33</f>
        <v>0</v>
      </c>
      <c r="O873" s="2137">
        <f>'Part VI-Revenues &amp; Expenses'!O33</f>
        <v>0</v>
      </c>
      <c r="P873" s="1917">
        <f>'Part VI-Revenues &amp; Expenses'!P33</f>
        <v>0</v>
      </c>
      <c r="Q873" s="2138">
        <f>'Part VI-Revenues &amp; Expenses'!Q33</f>
        <v>0</v>
      </c>
      <c r="R873" s="2139"/>
      <c r="S873" s="2140"/>
      <c r="T873" s="2044"/>
      <c r="U873" s="2044"/>
      <c r="V873" s="2044"/>
      <c r="W873" s="2044"/>
      <c r="X873" s="1853" t="str">
        <f t="shared" si="2"/>
        <v/>
      </c>
      <c r="Y873" s="1853" t="str">
        <f t="shared" si="3"/>
        <v/>
      </c>
      <c r="Z873" s="1853" t="str">
        <f t="shared" si="4"/>
        <v/>
      </c>
      <c r="AA873" s="1853" t="str">
        <f t="shared" si="5"/>
        <v/>
      </c>
      <c r="AB873" s="1853" t="str">
        <f t="shared" si="6"/>
        <v/>
      </c>
      <c r="AC873" s="1853" t="str">
        <f t="shared" si="7"/>
        <v/>
      </c>
      <c r="AD873" s="1853" t="str">
        <f t="shared" si="8"/>
        <v/>
      </c>
      <c r="AE873" s="1853" t="str">
        <f t="shared" si="9"/>
        <v/>
      </c>
      <c r="AF873" s="1853" t="str">
        <f t="shared" si="10"/>
        <v/>
      </c>
      <c r="AG873" s="1853" t="str">
        <f t="shared" si="11"/>
        <v/>
      </c>
      <c r="AH873" s="1853" t="str">
        <f t="shared" si="12"/>
        <v/>
      </c>
      <c r="AI873" s="1853" t="str">
        <f t="shared" si="13"/>
        <v/>
      </c>
      <c r="AJ873" s="1853" t="str">
        <f t="shared" si="14"/>
        <v/>
      </c>
      <c r="AK873" s="1853" t="str">
        <f t="shared" si="15"/>
        <v/>
      </c>
      <c r="AL873" s="1853" t="str">
        <f t="shared" si="16"/>
        <v/>
      </c>
      <c r="AM873" s="1853" t="str">
        <f t="shared" si="17"/>
        <v/>
      </c>
      <c r="AN873" s="1853" t="str">
        <f t="shared" si="18"/>
        <v/>
      </c>
      <c r="AO873" s="1853" t="str">
        <f t="shared" si="19"/>
        <v/>
      </c>
      <c r="AP873" s="1853" t="str">
        <f t="shared" si="20"/>
        <v/>
      </c>
      <c r="AQ873" s="1853" t="str">
        <f t="shared" si="21"/>
        <v/>
      </c>
      <c r="AR873" s="1853" t="str">
        <f t="shared" si="22"/>
        <v/>
      </c>
      <c r="AS873" s="1853" t="str">
        <f t="shared" si="23"/>
        <v/>
      </c>
      <c r="AT873" s="1853" t="str">
        <f t="shared" si="24"/>
        <v/>
      </c>
      <c r="AU873" s="1853" t="str">
        <f t="shared" si="25"/>
        <v/>
      </c>
      <c r="AV873" s="1853" t="str">
        <f t="shared" si="26"/>
        <v/>
      </c>
      <c r="AW873" s="1853" t="str">
        <f t="shared" si="27"/>
        <v/>
      </c>
      <c r="AX873" s="1853" t="str">
        <f t="shared" si="28"/>
        <v/>
      </c>
      <c r="AY873" s="1853" t="str">
        <f t="shared" si="29"/>
        <v/>
      </c>
      <c r="AZ873" s="1853" t="str">
        <f t="shared" si="30"/>
        <v/>
      </c>
      <c r="BA873" s="1853" t="str">
        <f t="shared" si="31"/>
        <v/>
      </c>
      <c r="BB873" s="1853" t="str">
        <f t="shared" si="32"/>
        <v/>
      </c>
      <c r="BC873" s="1853" t="str">
        <f t="shared" si="33"/>
        <v/>
      </c>
      <c r="BD873" s="1853" t="str">
        <f t="shared" si="34"/>
        <v/>
      </c>
      <c r="BE873" s="1853" t="str">
        <f t="shared" si="35"/>
        <v/>
      </c>
      <c r="BF873" s="1853" t="str">
        <f t="shared" si="36"/>
        <v/>
      </c>
      <c r="BG873" s="1853" t="str">
        <f t="shared" si="37"/>
        <v/>
      </c>
      <c r="BH873" s="1853" t="str">
        <f t="shared" si="38"/>
        <v/>
      </c>
      <c r="BI873" s="1853" t="str">
        <f t="shared" si="39"/>
        <v/>
      </c>
      <c r="BJ873" s="1853" t="str">
        <f t="shared" si="40"/>
        <v/>
      </c>
      <c r="BK873" s="1853" t="str">
        <f t="shared" si="41"/>
        <v/>
      </c>
      <c r="BL873" s="1853" t="str">
        <f t="shared" si="42"/>
        <v/>
      </c>
      <c r="BM873" s="1853" t="str">
        <f t="shared" si="43"/>
        <v/>
      </c>
      <c r="BN873" s="1853" t="str">
        <f t="shared" si="44"/>
        <v/>
      </c>
      <c r="BO873" s="1853" t="str">
        <f t="shared" si="45"/>
        <v/>
      </c>
      <c r="BP873" s="1853" t="str">
        <f t="shared" si="46"/>
        <v/>
      </c>
      <c r="BQ873" s="1853" t="str">
        <f t="shared" si="47"/>
        <v/>
      </c>
      <c r="BR873" s="1853" t="str">
        <f t="shared" si="48"/>
        <v/>
      </c>
      <c r="BS873" s="1853" t="str">
        <f t="shared" si="49"/>
        <v/>
      </c>
      <c r="BT873" s="1853" t="str">
        <f t="shared" si="50"/>
        <v/>
      </c>
      <c r="BU873" s="1853" t="str">
        <f t="shared" si="51"/>
        <v/>
      </c>
      <c r="BV873" s="1853" t="str">
        <f t="shared" si="52"/>
        <v/>
      </c>
      <c r="BW873" s="1853" t="str">
        <f t="shared" si="53"/>
        <v/>
      </c>
      <c r="BX873" s="1853" t="str">
        <f t="shared" si="54"/>
        <v/>
      </c>
      <c r="BY873" s="1853" t="str">
        <f t="shared" si="55"/>
        <v/>
      </c>
      <c r="BZ873" s="1853" t="str">
        <f t="shared" si="56"/>
        <v/>
      </c>
      <c r="CA873" s="1853" t="str">
        <f t="shared" si="57"/>
        <v/>
      </c>
      <c r="CB873" s="1853" t="str">
        <f t="shared" si="58"/>
        <v/>
      </c>
      <c r="CC873" s="1853" t="str">
        <f t="shared" si="59"/>
        <v/>
      </c>
      <c r="CD873" s="1853" t="str">
        <f t="shared" si="60"/>
        <v/>
      </c>
      <c r="CE873" s="1853" t="str">
        <f t="shared" si="61"/>
        <v/>
      </c>
      <c r="CF873" s="1853" t="str">
        <f t="shared" si="62"/>
        <v/>
      </c>
      <c r="CG873" s="1853" t="str">
        <f t="shared" si="63"/>
        <v/>
      </c>
      <c r="CH873" s="1853" t="str">
        <f t="shared" si="64"/>
        <v/>
      </c>
      <c r="CI873" s="1853" t="str">
        <f t="shared" si="65"/>
        <v/>
      </c>
      <c r="CJ873" s="1853" t="str">
        <f t="shared" si="66"/>
        <v/>
      </c>
      <c r="CK873" s="1853" t="str">
        <f t="shared" si="67"/>
        <v/>
      </c>
      <c r="CL873" s="1853" t="str">
        <f t="shared" si="68"/>
        <v/>
      </c>
      <c r="CM873" s="1853" t="str">
        <f t="shared" si="69"/>
        <v/>
      </c>
      <c r="CN873" s="1853" t="str">
        <f t="shared" si="70"/>
        <v/>
      </c>
      <c r="CO873" s="1853" t="str">
        <f t="shared" si="71"/>
        <v/>
      </c>
      <c r="CP873" s="1853" t="str">
        <f t="shared" si="72"/>
        <v/>
      </c>
      <c r="CQ873" s="1853" t="str">
        <f t="shared" si="73"/>
        <v/>
      </c>
      <c r="CR873" s="1853" t="str">
        <f t="shared" si="74"/>
        <v/>
      </c>
      <c r="CS873" s="1853" t="str">
        <f t="shared" si="75"/>
        <v/>
      </c>
      <c r="CT873" s="1853" t="str">
        <f t="shared" si="76"/>
        <v/>
      </c>
      <c r="CU873" s="1853" t="str">
        <f t="shared" si="77"/>
        <v/>
      </c>
      <c r="CV873" s="1853" t="str">
        <f t="shared" si="78"/>
        <v/>
      </c>
      <c r="CW873" s="1853" t="str">
        <f t="shared" si="79"/>
        <v/>
      </c>
      <c r="CX873" s="1853" t="str">
        <f t="shared" si="80"/>
        <v/>
      </c>
      <c r="CY873" s="1853" t="str">
        <f t="shared" si="81"/>
        <v/>
      </c>
      <c r="CZ873" s="1853" t="str">
        <f t="shared" si="82"/>
        <v/>
      </c>
      <c r="DA873" s="1853" t="str">
        <f t="shared" si="83"/>
        <v/>
      </c>
      <c r="DB873" s="1853" t="str">
        <f t="shared" si="84"/>
        <v/>
      </c>
      <c r="DC873" s="1853" t="str">
        <f t="shared" si="85"/>
        <v/>
      </c>
      <c r="DD873" s="1853" t="str">
        <f t="shared" si="86"/>
        <v/>
      </c>
      <c r="DE873" s="1853" t="str">
        <f t="shared" si="87"/>
        <v/>
      </c>
      <c r="DF873" s="1853" t="str">
        <f t="shared" si="88"/>
        <v/>
      </c>
      <c r="DG873" s="1853" t="str">
        <f t="shared" si="89"/>
        <v/>
      </c>
      <c r="DH873" s="1853" t="str">
        <f t="shared" si="90"/>
        <v/>
      </c>
      <c r="DI873" s="1853" t="str">
        <f t="shared" si="91"/>
        <v/>
      </c>
      <c r="DJ873" s="1853" t="str">
        <f t="shared" si="92"/>
        <v/>
      </c>
      <c r="DK873" s="1853" t="str">
        <f t="shared" si="93"/>
        <v/>
      </c>
      <c r="DL873" s="1853" t="str">
        <f t="shared" si="94"/>
        <v/>
      </c>
      <c r="DM873" s="1853" t="str">
        <f t="shared" si="95"/>
        <v/>
      </c>
      <c r="DN873" s="1853" t="str">
        <f t="shared" si="96"/>
        <v/>
      </c>
      <c r="DO873" s="1853" t="str">
        <f t="shared" si="97"/>
        <v/>
      </c>
      <c r="DP873" s="1853" t="str">
        <f t="shared" si="98"/>
        <v/>
      </c>
      <c r="DQ873" s="1853" t="str">
        <f t="shared" si="99"/>
        <v/>
      </c>
      <c r="DR873" s="1853" t="str">
        <f t="shared" si="100"/>
        <v/>
      </c>
      <c r="DS873" s="1853" t="str">
        <f t="shared" si="101"/>
        <v/>
      </c>
      <c r="DT873" s="1853" t="str">
        <f t="shared" si="102"/>
        <v/>
      </c>
      <c r="DU873" s="1853" t="str">
        <f t="shared" si="103"/>
        <v/>
      </c>
      <c r="DV873" s="1853" t="str">
        <f t="shared" si="104"/>
        <v/>
      </c>
      <c r="DW873" s="1853" t="str">
        <f t="shared" si="105"/>
        <v/>
      </c>
      <c r="DX873" s="1853" t="str">
        <f t="shared" si="106"/>
        <v/>
      </c>
      <c r="DY873" s="1853" t="str">
        <f t="shared" si="107"/>
        <v/>
      </c>
      <c r="DZ873" s="1853" t="str">
        <f t="shared" si="108"/>
        <v/>
      </c>
      <c r="EA873" s="1853" t="str">
        <f t="shared" si="109"/>
        <v/>
      </c>
      <c r="EB873" s="1853" t="str">
        <f t="shared" si="110"/>
        <v/>
      </c>
      <c r="EC873" s="1853" t="str">
        <f t="shared" si="111"/>
        <v/>
      </c>
      <c r="ED873" s="1853" t="str">
        <f t="shared" si="112"/>
        <v/>
      </c>
      <c r="EE873" s="1853" t="str">
        <f t="shared" si="113"/>
        <v/>
      </c>
      <c r="EF873" s="1853" t="str">
        <f t="shared" si="114"/>
        <v/>
      </c>
      <c r="EG873" s="1853" t="str">
        <f t="shared" si="115"/>
        <v/>
      </c>
      <c r="EH873" s="1853" t="str">
        <f t="shared" si="116"/>
        <v/>
      </c>
      <c r="EI873" s="1853" t="str">
        <f t="shared" si="117"/>
        <v/>
      </c>
      <c r="EJ873" s="1853" t="str">
        <f t="shared" si="118"/>
        <v/>
      </c>
      <c r="EK873" s="1853" t="str">
        <f t="shared" si="119"/>
        <v/>
      </c>
      <c r="EL873" s="1853" t="str">
        <f t="shared" si="120"/>
        <v/>
      </c>
      <c r="EM873" s="1853" t="str">
        <f t="shared" si="121"/>
        <v/>
      </c>
      <c r="EN873" s="1853" t="str">
        <f t="shared" si="122"/>
        <v/>
      </c>
      <c r="EO873" s="1853" t="str">
        <f t="shared" si="123"/>
        <v/>
      </c>
      <c r="EP873" s="1853" t="str">
        <f t="shared" si="124"/>
        <v/>
      </c>
      <c r="EQ873" s="1853" t="str">
        <f t="shared" si="125"/>
        <v/>
      </c>
      <c r="ER873" s="1853" t="str">
        <f t="shared" si="126"/>
        <v/>
      </c>
      <c r="ES873" s="1853" t="str">
        <f t="shared" si="127"/>
        <v/>
      </c>
      <c r="ET873" s="1853" t="str">
        <f t="shared" si="128"/>
        <v/>
      </c>
      <c r="EU873" s="1853" t="str">
        <f t="shared" si="129"/>
        <v/>
      </c>
      <c r="EV873" s="1853" t="str">
        <f t="shared" si="130"/>
        <v/>
      </c>
      <c r="EW873" s="1853" t="str">
        <f t="shared" si="131"/>
        <v/>
      </c>
      <c r="EX873" s="1853" t="str">
        <f t="shared" si="132"/>
        <v/>
      </c>
      <c r="EY873" s="1853" t="str">
        <f t="shared" si="133"/>
        <v/>
      </c>
      <c r="EZ873" s="1853" t="str">
        <f t="shared" si="134"/>
        <v/>
      </c>
      <c r="FA873" s="1853" t="str">
        <f t="shared" si="135"/>
        <v/>
      </c>
      <c r="FB873" s="1853" t="str">
        <f t="shared" si="136"/>
        <v/>
      </c>
      <c r="FC873" s="1853" t="str">
        <f t="shared" si="137"/>
        <v/>
      </c>
      <c r="FD873" s="1853" t="str">
        <f t="shared" si="138"/>
        <v/>
      </c>
      <c r="FE873" s="1853" t="str">
        <f t="shared" si="139"/>
        <v/>
      </c>
      <c r="FF873" s="1853" t="str">
        <f t="shared" si="140"/>
        <v/>
      </c>
      <c r="FG873" s="1853" t="str">
        <f t="shared" si="141"/>
        <v/>
      </c>
      <c r="FH873" s="1853" t="str">
        <f t="shared" si="142"/>
        <v/>
      </c>
      <c r="FI873" s="1853" t="str">
        <f t="shared" si="143"/>
        <v/>
      </c>
      <c r="FJ873" s="1853" t="str">
        <f t="shared" si="144"/>
        <v/>
      </c>
      <c r="FK873" s="1853" t="str">
        <f t="shared" si="145"/>
        <v/>
      </c>
      <c r="FL873" s="1853" t="str">
        <f t="shared" si="146"/>
        <v/>
      </c>
      <c r="FM873" s="1853" t="str">
        <f t="shared" si="147"/>
        <v/>
      </c>
      <c r="FN873" s="1853" t="str">
        <f t="shared" si="148"/>
        <v/>
      </c>
      <c r="FO873" s="1853" t="str">
        <f t="shared" si="149"/>
        <v/>
      </c>
      <c r="FP873" s="1853" t="str">
        <f t="shared" si="150"/>
        <v/>
      </c>
      <c r="FQ873" s="1853" t="str">
        <f t="shared" si="151"/>
        <v/>
      </c>
      <c r="FR873" s="1853" t="str">
        <f t="shared" si="152"/>
        <v/>
      </c>
      <c r="FS873" s="1853" t="str">
        <f t="shared" si="153"/>
        <v/>
      </c>
      <c r="FT873" s="1853" t="str">
        <f t="shared" si="154"/>
        <v/>
      </c>
      <c r="FU873" s="1853" t="str">
        <f t="shared" si="155"/>
        <v/>
      </c>
      <c r="FV873" s="1853" t="str">
        <f t="shared" si="156"/>
        <v/>
      </c>
      <c r="FW873" s="1853" t="str">
        <f t="shared" si="157"/>
        <v/>
      </c>
      <c r="FX873" s="1853" t="str">
        <f t="shared" si="158"/>
        <v/>
      </c>
      <c r="FY873" s="1853" t="str">
        <f t="shared" si="159"/>
        <v/>
      </c>
      <c r="FZ873" s="1853" t="str">
        <f t="shared" si="160"/>
        <v/>
      </c>
      <c r="GA873" s="1853" t="str">
        <f t="shared" si="161"/>
        <v/>
      </c>
      <c r="GB873" s="1853" t="str">
        <f t="shared" si="162"/>
        <v/>
      </c>
      <c r="GC873" s="1853" t="str">
        <f t="shared" si="163"/>
        <v/>
      </c>
      <c r="GD873" s="1853" t="str">
        <f t="shared" si="164"/>
        <v/>
      </c>
      <c r="GE873" s="1853" t="str">
        <f t="shared" si="165"/>
        <v/>
      </c>
      <c r="GF873" s="1853" t="str">
        <f t="shared" si="166"/>
        <v/>
      </c>
      <c r="GG873" s="1853" t="str">
        <f t="shared" si="167"/>
        <v/>
      </c>
      <c r="GH873" s="1853" t="str">
        <f t="shared" si="168"/>
        <v/>
      </c>
      <c r="GI873" s="1853" t="str">
        <f t="shared" si="169"/>
        <v/>
      </c>
      <c r="GJ873" s="1853" t="str">
        <f t="shared" si="170"/>
        <v/>
      </c>
      <c r="GK873" s="1853" t="str">
        <f t="shared" si="171"/>
        <v/>
      </c>
      <c r="GL873" s="1853" t="str">
        <f t="shared" si="172"/>
        <v/>
      </c>
      <c r="GM873" s="1853" t="str">
        <f t="shared" si="173"/>
        <v/>
      </c>
      <c r="GN873" s="1853" t="str">
        <f t="shared" si="174"/>
        <v/>
      </c>
      <c r="GO873" s="1853" t="str">
        <f t="shared" si="175"/>
        <v/>
      </c>
      <c r="GP873" s="1853" t="str">
        <f t="shared" si="176"/>
        <v/>
      </c>
      <c r="GQ873" s="1853" t="str">
        <f t="shared" si="177"/>
        <v/>
      </c>
      <c r="GR873" s="1853" t="str">
        <f t="shared" si="178"/>
        <v/>
      </c>
      <c r="GS873" s="1853" t="str">
        <f t="shared" si="179"/>
        <v/>
      </c>
      <c r="GT873" s="1853" t="str">
        <f t="shared" si="180"/>
        <v/>
      </c>
      <c r="GU873" s="1853" t="str">
        <f t="shared" si="181"/>
        <v/>
      </c>
      <c r="GV873" s="1853" t="str">
        <f t="shared" si="182"/>
        <v/>
      </c>
      <c r="GW873" s="1853" t="str">
        <f t="shared" si="183"/>
        <v/>
      </c>
      <c r="GX873" s="1853" t="str">
        <f t="shared" si="184"/>
        <v/>
      </c>
      <c r="GY873" s="1853" t="str">
        <f t="shared" si="185"/>
        <v/>
      </c>
      <c r="GZ873" s="1853" t="str">
        <f t="shared" si="186"/>
        <v/>
      </c>
      <c r="HA873" s="1853" t="str">
        <f t="shared" si="187"/>
        <v/>
      </c>
      <c r="HB873" s="1853" t="str">
        <f t="shared" si="188"/>
        <v/>
      </c>
      <c r="HC873" s="1853" t="str">
        <f t="shared" si="189"/>
        <v/>
      </c>
      <c r="HD873" s="1853" t="str">
        <f t="shared" si="190"/>
        <v/>
      </c>
      <c r="HE873" s="1853" t="str">
        <f t="shared" si="191"/>
        <v/>
      </c>
      <c r="HF873" s="1853" t="str">
        <f t="shared" si="192"/>
        <v/>
      </c>
      <c r="HG873" s="1853" t="str">
        <f t="shared" si="193"/>
        <v/>
      </c>
      <c r="HH873" s="1853" t="str">
        <f t="shared" si="194"/>
        <v/>
      </c>
      <c r="HI873" s="1853" t="str">
        <f t="shared" si="195"/>
        <v/>
      </c>
      <c r="HJ873" s="1853" t="str">
        <f t="shared" si="196"/>
        <v/>
      </c>
      <c r="HK873" s="1853" t="str">
        <f t="shared" si="197"/>
        <v/>
      </c>
      <c r="HL873" s="1853" t="str">
        <f t="shared" si="198"/>
        <v/>
      </c>
      <c r="HM873" s="1853" t="str">
        <f t="shared" si="199"/>
        <v/>
      </c>
      <c r="HN873" s="1853" t="str">
        <f t="shared" si="200"/>
        <v/>
      </c>
      <c r="HO873" s="1853" t="str">
        <f t="shared" si="201"/>
        <v/>
      </c>
      <c r="HP873" s="1853" t="str">
        <f t="shared" si="202"/>
        <v/>
      </c>
      <c r="HQ873" s="1853" t="str">
        <f t="shared" si="203"/>
        <v/>
      </c>
      <c r="HR873" s="1853" t="str">
        <f t="shared" si="204"/>
        <v/>
      </c>
      <c r="HS873" s="1853" t="str">
        <f t="shared" si="205"/>
        <v/>
      </c>
      <c r="HT873" s="1853" t="str">
        <f t="shared" si="206"/>
        <v/>
      </c>
      <c r="HU873" s="1853" t="str">
        <f t="shared" si="207"/>
        <v/>
      </c>
      <c r="HV873" s="1853" t="str">
        <f t="shared" si="208"/>
        <v/>
      </c>
      <c r="HW873" s="1853" t="str">
        <f t="shared" si="209"/>
        <v/>
      </c>
      <c r="HX873" s="1853" t="str">
        <f t="shared" si="210"/>
        <v/>
      </c>
      <c r="HY873" s="1853" t="str">
        <f t="shared" si="211"/>
        <v/>
      </c>
      <c r="HZ873" s="2141" t="str">
        <f t="shared" si="212"/>
        <v/>
      </c>
      <c r="IA873" s="2141" t="str">
        <f t="shared" si="213"/>
        <v/>
      </c>
      <c r="IB873" s="2141" t="str">
        <f t="shared" si="214"/>
        <v/>
      </c>
      <c r="IC873" s="2141" t="str">
        <f t="shared" si="215"/>
        <v/>
      </c>
      <c r="ID873" s="2141" t="str">
        <f t="shared" si="216"/>
        <v/>
      </c>
      <c r="IE873" s="2141" t="str">
        <f t="shared" si="217"/>
        <v/>
      </c>
      <c r="IF873" s="2141" t="str">
        <f t="shared" si="218"/>
        <v/>
      </c>
      <c r="IG873" s="2141" t="str">
        <f t="shared" si="219"/>
        <v/>
      </c>
      <c r="IH873" s="2141" t="str">
        <f t="shared" si="220"/>
        <v/>
      </c>
      <c r="II873" s="2141" t="str">
        <f t="shared" si="221"/>
        <v/>
      </c>
      <c r="IJ873" s="2141" t="str">
        <f t="shared" si="222"/>
        <v/>
      </c>
      <c r="IK873" s="2141" t="str">
        <f t="shared" si="223"/>
        <v/>
      </c>
      <c r="IL873" s="2141" t="str">
        <f t="shared" si="224"/>
        <v/>
      </c>
      <c r="IM873" s="2141" t="str">
        <f t="shared" si="225"/>
        <v/>
      </c>
      <c r="IN873" s="2141" t="str">
        <f t="shared" si="226"/>
        <v/>
      </c>
      <c r="IO873" s="2141" t="str">
        <f t="shared" si="227"/>
        <v/>
      </c>
      <c r="IP873" s="2141" t="str">
        <f t="shared" si="228"/>
        <v/>
      </c>
      <c r="IQ873" s="2141" t="str">
        <f t="shared" si="229"/>
        <v/>
      </c>
      <c r="IR873" s="2141" t="str">
        <f t="shared" si="230"/>
        <v/>
      </c>
      <c r="IS873" s="2141" t="str">
        <f t="shared" si="231"/>
        <v/>
      </c>
      <c r="IT873" s="2141" t="str">
        <f t="shared" si="232"/>
        <v/>
      </c>
      <c r="IU873" s="2141" t="str">
        <f t="shared" si="233"/>
        <v/>
      </c>
      <c r="IV873" s="2141" t="str">
        <f t="shared" si="234"/>
        <v/>
      </c>
      <c r="IW873" s="2141" t="str">
        <f t="shared" si="235"/>
        <v/>
      </c>
      <c r="IX873" s="2141" t="str">
        <f t="shared" si="236"/>
        <v/>
      </c>
      <c r="IY873" s="2141" t="str">
        <f t="shared" si="237"/>
        <v/>
      </c>
      <c r="IZ873" s="2141" t="str">
        <f t="shared" si="238"/>
        <v/>
      </c>
      <c r="JA873" s="2141" t="str">
        <f t="shared" si="239"/>
        <v/>
      </c>
      <c r="JB873" s="2141" t="str">
        <f t="shared" si="240"/>
        <v/>
      </c>
      <c r="JC873" s="2141" t="str">
        <f t="shared" si="241"/>
        <v/>
      </c>
      <c r="JD873" s="2141" t="str">
        <f t="shared" si="242"/>
        <v/>
      </c>
      <c r="JE873" s="2141" t="str">
        <f t="shared" si="243"/>
        <v/>
      </c>
      <c r="JF873" s="2141" t="str">
        <f t="shared" si="244"/>
        <v/>
      </c>
      <c r="JG873" s="2141" t="str">
        <f t="shared" si="245"/>
        <v/>
      </c>
      <c r="JH873" s="2141" t="str">
        <f t="shared" si="246"/>
        <v/>
      </c>
      <c r="JI873" s="2141" t="str">
        <f t="shared" si="247"/>
        <v/>
      </c>
      <c r="JJ873" s="2141" t="str">
        <f t="shared" si="248"/>
        <v/>
      </c>
      <c r="JK873" s="2141" t="str">
        <f t="shared" si="249"/>
        <v/>
      </c>
      <c r="JL873" s="2141" t="str">
        <f t="shared" si="250"/>
        <v/>
      </c>
      <c r="JM873" s="2141" t="str">
        <f t="shared" si="251"/>
        <v/>
      </c>
      <c r="JN873" s="2141" t="str">
        <f t="shared" si="252"/>
        <v/>
      </c>
      <c r="JO873" s="2141" t="str">
        <f t="shared" si="253"/>
        <v/>
      </c>
      <c r="JP873" s="2141" t="str">
        <f t="shared" si="254"/>
        <v/>
      </c>
      <c r="JQ873" s="2141" t="str">
        <f t="shared" si="255"/>
        <v/>
      </c>
      <c r="JR873" s="2141" t="str">
        <f t="shared" si="256"/>
        <v/>
      </c>
      <c r="JS873" s="2141" t="str">
        <f t="shared" si="257"/>
        <v/>
      </c>
      <c r="JT873" s="2141" t="str">
        <f t="shared" si="258"/>
        <v/>
      </c>
      <c r="JU873" s="2141" t="str">
        <f t="shared" si="259"/>
        <v/>
      </c>
      <c r="JV873" s="2141" t="str">
        <f t="shared" si="260"/>
        <v/>
      </c>
      <c r="JW873" s="2141" t="str">
        <f t="shared" si="261"/>
        <v/>
      </c>
      <c r="JX873" s="2141" t="str">
        <f t="shared" si="262"/>
        <v/>
      </c>
      <c r="JY873" s="2141" t="str">
        <f t="shared" si="263"/>
        <v/>
      </c>
      <c r="JZ873" s="2141" t="str">
        <f t="shared" si="264"/>
        <v/>
      </c>
      <c r="KA873" s="2141" t="str">
        <f t="shared" si="265"/>
        <v/>
      </c>
      <c r="KB873" s="2141" t="str">
        <f t="shared" si="266"/>
        <v/>
      </c>
      <c r="KC873" s="2141" t="str">
        <f t="shared" si="267"/>
        <v/>
      </c>
      <c r="KD873" s="2141" t="str">
        <f t="shared" si="268"/>
        <v/>
      </c>
      <c r="KE873" s="2141" t="str">
        <f t="shared" si="269"/>
        <v/>
      </c>
      <c r="KF873" s="2141" t="str">
        <f t="shared" si="270"/>
        <v/>
      </c>
      <c r="KG873" s="2141" t="str">
        <f t="shared" si="271"/>
        <v/>
      </c>
      <c r="KH873" s="2141" t="str">
        <f t="shared" si="272"/>
        <v/>
      </c>
      <c r="KI873" s="2141" t="str">
        <f t="shared" si="273"/>
        <v/>
      </c>
      <c r="KJ873" s="2141" t="str">
        <f t="shared" si="274"/>
        <v/>
      </c>
      <c r="KK873" s="2141" t="str">
        <f t="shared" si="275"/>
        <v/>
      </c>
      <c r="KL873" s="2141" t="str">
        <f t="shared" si="276"/>
        <v/>
      </c>
      <c r="KM873" s="2141" t="str">
        <f t="shared" si="277"/>
        <v/>
      </c>
      <c r="KN873" s="2141" t="str">
        <f t="shared" si="278"/>
        <v/>
      </c>
      <c r="KO873" s="2141" t="str">
        <f t="shared" si="279"/>
        <v/>
      </c>
      <c r="KP873" s="2141" t="str">
        <f t="shared" si="280"/>
        <v/>
      </c>
      <c r="KQ873" s="2141" t="str">
        <f t="shared" si="281"/>
        <v/>
      </c>
      <c r="KR873" s="2141" t="str">
        <f t="shared" si="282"/>
        <v/>
      </c>
      <c r="KS873" s="2141" t="str">
        <f t="shared" si="283"/>
        <v/>
      </c>
      <c r="KT873" s="2141" t="str">
        <f t="shared" si="284"/>
        <v/>
      </c>
      <c r="KU873" s="2141" t="str">
        <f t="shared" si="285"/>
        <v/>
      </c>
      <c r="KV873" s="2141" t="str">
        <f t="shared" si="286"/>
        <v/>
      </c>
      <c r="KW873" s="2141" t="str">
        <f t="shared" si="287"/>
        <v/>
      </c>
      <c r="KX873" s="2141" t="str">
        <f t="shared" si="288"/>
        <v/>
      </c>
      <c r="KY873" s="2141" t="str">
        <f t="shared" si="289"/>
        <v/>
      </c>
      <c r="KZ873" s="2141" t="str">
        <f t="shared" si="290"/>
        <v/>
      </c>
      <c r="LA873" s="2141" t="str">
        <f t="shared" si="291"/>
        <v/>
      </c>
      <c r="LB873" s="2141" t="str">
        <f t="shared" si="292"/>
        <v/>
      </c>
      <c r="LC873" s="2141" t="str">
        <f t="shared" si="293"/>
        <v/>
      </c>
      <c r="LD873" s="2141" t="str">
        <f t="shared" si="294"/>
        <v/>
      </c>
      <c r="LE873" s="2141" t="str">
        <f t="shared" si="295"/>
        <v/>
      </c>
      <c r="LF873" s="2141" t="str">
        <f t="shared" si="296"/>
        <v/>
      </c>
      <c r="LG873" s="2052" t="str">
        <f t="shared" si="297"/>
        <v/>
      </c>
      <c r="LH873" s="2052" t="str">
        <f t="shared" si="298"/>
        <v/>
      </c>
      <c r="LI873" s="2052" t="str">
        <f t="shared" si="299"/>
        <v/>
      </c>
      <c r="LJ873" s="2052" t="str">
        <f t="shared" si="300"/>
        <v/>
      </c>
      <c r="LK873" s="2052" t="str">
        <f t="shared" si="301"/>
        <v/>
      </c>
      <c r="LL873" s="1853" t="str">
        <f t="shared" si="302"/>
        <v/>
      </c>
      <c r="LM873" s="1853" t="str">
        <f t="shared" si="303"/>
        <v/>
      </c>
      <c r="LN873" s="1853" t="str">
        <f t="shared" si="304"/>
        <v/>
      </c>
      <c r="LO873" s="1853" t="str">
        <f t="shared" si="305"/>
        <v/>
      </c>
      <c r="LP873" s="1853" t="str">
        <f t="shared" si="306"/>
        <v/>
      </c>
      <c r="LQ873" s="1853" t="str">
        <f t="shared" si="307"/>
        <v/>
      </c>
      <c r="LR873" s="1853" t="str">
        <f t="shared" si="308"/>
        <v/>
      </c>
      <c r="LS873" s="1853" t="str">
        <f t="shared" si="309"/>
        <v/>
      </c>
      <c r="LT873" s="1853" t="str">
        <f t="shared" si="310"/>
        <v/>
      </c>
      <c r="LU873" s="1853" t="str">
        <f t="shared" si="311"/>
        <v/>
      </c>
      <c r="LV873" s="1853" t="str">
        <f t="shared" si="312"/>
        <v/>
      </c>
      <c r="LW873" s="1853" t="str">
        <f t="shared" si="313"/>
        <v/>
      </c>
      <c r="LX873" s="1853" t="str">
        <f t="shared" si="314"/>
        <v/>
      </c>
      <c r="LY873" s="1853" t="str">
        <f t="shared" si="315"/>
        <v/>
      </c>
      <c r="LZ873" s="1853" t="str">
        <f t="shared" si="316"/>
        <v/>
      </c>
      <c r="MA873" s="1853" t="str">
        <f t="shared" si="317"/>
        <v/>
      </c>
      <c r="MB873" s="1853" t="str">
        <f t="shared" si="318"/>
        <v/>
      </c>
      <c r="MC873" s="1853" t="str">
        <f t="shared" si="319"/>
        <v/>
      </c>
      <c r="MD873" s="1853" t="str">
        <f t="shared" si="320"/>
        <v/>
      </c>
      <c r="ME873" s="1853" t="str">
        <f t="shared" si="321"/>
        <v/>
      </c>
      <c r="MF873" s="2052">
        <f t="shared" si="328"/>
        <v>0</v>
      </c>
      <c r="MG873" s="2052">
        <f t="shared" si="329"/>
        <v>0</v>
      </c>
      <c r="MH873" s="2052">
        <f t="shared" si="330"/>
        <v>0</v>
      </c>
      <c r="MI873" s="2052">
        <f t="shared" si="331"/>
        <v>0</v>
      </c>
      <c r="MJ873" s="2052">
        <f t="shared" si="332"/>
        <v>0</v>
      </c>
      <c r="MK873" s="2052">
        <f t="shared" si="333"/>
        <v>0</v>
      </c>
      <c r="ML873" s="2052">
        <f t="shared" si="334"/>
        <v>0</v>
      </c>
      <c r="MM873" s="2052">
        <f t="shared" si="335"/>
        <v>0</v>
      </c>
      <c r="MN873" s="2052">
        <f t="shared" si="336"/>
        <v>0</v>
      </c>
      <c r="MO873" s="2052">
        <f t="shared" si="337"/>
        <v>0</v>
      </c>
      <c r="MP873" s="2052">
        <f t="shared" si="322"/>
        <v>0</v>
      </c>
      <c r="MQ873" s="2052">
        <f t="shared" si="323"/>
        <v>0</v>
      </c>
      <c r="MR873" s="2052">
        <f t="shared" si="324"/>
        <v>0</v>
      </c>
      <c r="MS873" s="2052">
        <f t="shared" si="325"/>
        <v>0</v>
      </c>
      <c r="MT873" s="2052">
        <f t="shared" si="326"/>
        <v>0</v>
      </c>
      <c r="NP873" s="1925" t="s">
        <v>6739</v>
      </c>
    </row>
    <row r="874" spans="1:380" s="1853" customFormat="1" ht="13.9" customHeight="1">
      <c r="A874" s="2109" t="str">
        <f t="shared" si="327"/>
        <v/>
      </c>
      <c r="B874" s="2131">
        <f>'Part VI-Revenues &amp; Expenses'!B34</f>
        <v>0</v>
      </c>
      <c r="C874" s="2132">
        <f>'Part VI-Revenues &amp; Expenses'!C34</f>
        <v>0</v>
      </c>
      <c r="D874" s="2133">
        <f>'Part VI-Revenues &amp; Expenses'!D34</f>
        <v>0</v>
      </c>
      <c r="E874" s="2134">
        <f>'Part VI-Revenues &amp; Expenses'!E34</f>
        <v>0</v>
      </c>
      <c r="F874" s="2134">
        <f>'Part VI-Revenues &amp; Expenses'!F34</f>
        <v>0</v>
      </c>
      <c r="G874" s="2134">
        <f>'Part VI-Revenues &amp; Expenses'!G34</f>
        <v>0</v>
      </c>
      <c r="H874" s="2134">
        <f>'Part VI-Revenues &amp; Expenses'!H34</f>
        <v>0</v>
      </c>
      <c r="I874" s="2134">
        <f>'Part VI-Revenues &amp; Expenses'!I34</f>
        <v>0</v>
      </c>
      <c r="J874" s="2134">
        <f>'Part VI-Revenues &amp; Expenses'!J34</f>
        <v>0</v>
      </c>
      <c r="K874" s="2135">
        <f>'Part VI-Revenues &amp; Expenses'!K34</f>
        <v>0</v>
      </c>
      <c r="L874" s="2136">
        <f t="shared" si="0"/>
        <v>0</v>
      </c>
      <c r="M874" s="2136">
        <f t="shared" si="1"/>
        <v>0</v>
      </c>
      <c r="N874" s="1917">
        <f>'Part VI-Revenues &amp; Expenses'!N34</f>
        <v>0</v>
      </c>
      <c r="O874" s="2137">
        <f>'Part VI-Revenues &amp; Expenses'!O34</f>
        <v>0</v>
      </c>
      <c r="P874" s="1917">
        <f>'Part VI-Revenues &amp; Expenses'!P34</f>
        <v>0</v>
      </c>
      <c r="Q874" s="2138">
        <f>'Part VI-Revenues &amp; Expenses'!Q34</f>
        <v>0</v>
      </c>
      <c r="R874" s="2139"/>
      <c r="S874" s="2140"/>
      <c r="T874" s="2044"/>
      <c r="U874" s="2044"/>
      <c r="V874" s="2044"/>
      <c r="W874" s="2044"/>
      <c r="X874" s="1853" t="str">
        <f t="shared" si="2"/>
        <v/>
      </c>
      <c r="Y874" s="1853" t="str">
        <f t="shared" si="3"/>
        <v/>
      </c>
      <c r="Z874" s="1853" t="str">
        <f t="shared" si="4"/>
        <v/>
      </c>
      <c r="AA874" s="1853" t="str">
        <f t="shared" si="5"/>
        <v/>
      </c>
      <c r="AB874" s="1853" t="str">
        <f t="shared" si="6"/>
        <v/>
      </c>
      <c r="AC874" s="1853" t="str">
        <f t="shared" si="7"/>
        <v/>
      </c>
      <c r="AD874" s="1853" t="str">
        <f t="shared" si="8"/>
        <v/>
      </c>
      <c r="AE874" s="1853" t="str">
        <f t="shared" si="9"/>
        <v/>
      </c>
      <c r="AF874" s="1853" t="str">
        <f t="shared" si="10"/>
        <v/>
      </c>
      <c r="AG874" s="1853" t="str">
        <f t="shared" si="11"/>
        <v/>
      </c>
      <c r="AH874" s="1853" t="str">
        <f t="shared" si="12"/>
        <v/>
      </c>
      <c r="AI874" s="1853" t="str">
        <f t="shared" si="13"/>
        <v/>
      </c>
      <c r="AJ874" s="1853" t="str">
        <f t="shared" si="14"/>
        <v/>
      </c>
      <c r="AK874" s="1853" t="str">
        <f t="shared" si="15"/>
        <v/>
      </c>
      <c r="AL874" s="1853" t="str">
        <f t="shared" si="16"/>
        <v/>
      </c>
      <c r="AM874" s="1853" t="str">
        <f t="shared" si="17"/>
        <v/>
      </c>
      <c r="AN874" s="1853" t="str">
        <f t="shared" si="18"/>
        <v/>
      </c>
      <c r="AO874" s="1853" t="str">
        <f t="shared" si="19"/>
        <v/>
      </c>
      <c r="AP874" s="1853" t="str">
        <f t="shared" si="20"/>
        <v/>
      </c>
      <c r="AQ874" s="1853" t="str">
        <f t="shared" si="21"/>
        <v/>
      </c>
      <c r="AR874" s="1853" t="str">
        <f t="shared" si="22"/>
        <v/>
      </c>
      <c r="AS874" s="1853" t="str">
        <f t="shared" si="23"/>
        <v/>
      </c>
      <c r="AT874" s="1853" t="str">
        <f t="shared" si="24"/>
        <v/>
      </c>
      <c r="AU874" s="1853" t="str">
        <f t="shared" si="25"/>
        <v/>
      </c>
      <c r="AV874" s="1853" t="str">
        <f t="shared" si="26"/>
        <v/>
      </c>
      <c r="AW874" s="1853" t="str">
        <f t="shared" si="27"/>
        <v/>
      </c>
      <c r="AX874" s="1853" t="str">
        <f t="shared" si="28"/>
        <v/>
      </c>
      <c r="AY874" s="1853" t="str">
        <f t="shared" si="29"/>
        <v/>
      </c>
      <c r="AZ874" s="1853" t="str">
        <f t="shared" si="30"/>
        <v/>
      </c>
      <c r="BA874" s="1853" t="str">
        <f t="shared" si="31"/>
        <v/>
      </c>
      <c r="BB874" s="1853" t="str">
        <f t="shared" si="32"/>
        <v/>
      </c>
      <c r="BC874" s="1853" t="str">
        <f t="shared" si="33"/>
        <v/>
      </c>
      <c r="BD874" s="1853" t="str">
        <f t="shared" si="34"/>
        <v/>
      </c>
      <c r="BE874" s="1853" t="str">
        <f t="shared" si="35"/>
        <v/>
      </c>
      <c r="BF874" s="1853" t="str">
        <f t="shared" si="36"/>
        <v/>
      </c>
      <c r="BG874" s="1853" t="str">
        <f t="shared" si="37"/>
        <v/>
      </c>
      <c r="BH874" s="1853" t="str">
        <f t="shared" si="38"/>
        <v/>
      </c>
      <c r="BI874" s="1853" t="str">
        <f t="shared" si="39"/>
        <v/>
      </c>
      <c r="BJ874" s="1853" t="str">
        <f t="shared" si="40"/>
        <v/>
      </c>
      <c r="BK874" s="1853" t="str">
        <f t="shared" si="41"/>
        <v/>
      </c>
      <c r="BL874" s="1853" t="str">
        <f t="shared" si="42"/>
        <v/>
      </c>
      <c r="BM874" s="1853" t="str">
        <f t="shared" si="43"/>
        <v/>
      </c>
      <c r="BN874" s="1853" t="str">
        <f t="shared" si="44"/>
        <v/>
      </c>
      <c r="BO874" s="1853" t="str">
        <f t="shared" si="45"/>
        <v/>
      </c>
      <c r="BP874" s="1853" t="str">
        <f t="shared" si="46"/>
        <v/>
      </c>
      <c r="BQ874" s="1853" t="str">
        <f t="shared" si="47"/>
        <v/>
      </c>
      <c r="BR874" s="1853" t="str">
        <f t="shared" si="48"/>
        <v/>
      </c>
      <c r="BS874" s="1853" t="str">
        <f t="shared" si="49"/>
        <v/>
      </c>
      <c r="BT874" s="1853" t="str">
        <f t="shared" si="50"/>
        <v/>
      </c>
      <c r="BU874" s="1853" t="str">
        <f t="shared" si="51"/>
        <v/>
      </c>
      <c r="BV874" s="1853" t="str">
        <f t="shared" si="52"/>
        <v/>
      </c>
      <c r="BW874" s="1853" t="str">
        <f t="shared" si="53"/>
        <v/>
      </c>
      <c r="BX874" s="1853" t="str">
        <f t="shared" si="54"/>
        <v/>
      </c>
      <c r="BY874" s="1853" t="str">
        <f t="shared" si="55"/>
        <v/>
      </c>
      <c r="BZ874" s="1853" t="str">
        <f t="shared" si="56"/>
        <v/>
      </c>
      <c r="CA874" s="1853" t="str">
        <f t="shared" si="57"/>
        <v/>
      </c>
      <c r="CB874" s="1853" t="str">
        <f t="shared" si="58"/>
        <v/>
      </c>
      <c r="CC874" s="1853" t="str">
        <f t="shared" si="59"/>
        <v/>
      </c>
      <c r="CD874" s="1853" t="str">
        <f t="shared" si="60"/>
        <v/>
      </c>
      <c r="CE874" s="1853" t="str">
        <f t="shared" si="61"/>
        <v/>
      </c>
      <c r="CF874" s="1853" t="str">
        <f t="shared" si="62"/>
        <v/>
      </c>
      <c r="CG874" s="1853" t="str">
        <f t="shared" si="63"/>
        <v/>
      </c>
      <c r="CH874" s="1853" t="str">
        <f t="shared" si="64"/>
        <v/>
      </c>
      <c r="CI874" s="1853" t="str">
        <f t="shared" si="65"/>
        <v/>
      </c>
      <c r="CJ874" s="1853" t="str">
        <f t="shared" si="66"/>
        <v/>
      </c>
      <c r="CK874" s="1853" t="str">
        <f t="shared" si="67"/>
        <v/>
      </c>
      <c r="CL874" s="1853" t="str">
        <f t="shared" si="68"/>
        <v/>
      </c>
      <c r="CM874" s="1853" t="str">
        <f t="shared" si="69"/>
        <v/>
      </c>
      <c r="CN874" s="1853" t="str">
        <f t="shared" si="70"/>
        <v/>
      </c>
      <c r="CO874" s="1853" t="str">
        <f t="shared" si="71"/>
        <v/>
      </c>
      <c r="CP874" s="1853" t="str">
        <f t="shared" si="72"/>
        <v/>
      </c>
      <c r="CQ874" s="1853" t="str">
        <f t="shared" si="73"/>
        <v/>
      </c>
      <c r="CR874" s="1853" t="str">
        <f t="shared" si="74"/>
        <v/>
      </c>
      <c r="CS874" s="1853" t="str">
        <f t="shared" si="75"/>
        <v/>
      </c>
      <c r="CT874" s="1853" t="str">
        <f t="shared" si="76"/>
        <v/>
      </c>
      <c r="CU874" s="1853" t="str">
        <f t="shared" si="77"/>
        <v/>
      </c>
      <c r="CV874" s="1853" t="str">
        <f t="shared" si="78"/>
        <v/>
      </c>
      <c r="CW874" s="1853" t="str">
        <f t="shared" si="79"/>
        <v/>
      </c>
      <c r="CX874" s="1853" t="str">
        <f t="shared" si="80"/>
        <v/>
      </c>
      <c r="CY874" s="1853" t="str">
        <f t="shared" si="81"/>
        <v/>
      </c>
      <c r="CZ874" s="1853" t="str">
        <f t="shared" si="82"/>
        <v/>
      </c>
      <c r="DA874" s="1853" t="str">
        <f t="shared" si="83"/>
        <v/>
      </c>
      <c r="DB874" s="1853" t="str">
        <f t="shared" si="84"/>
        <v/>
      </c>
      <c r="DC874" s="1853" t="str">
        <f t="shared" si="85"/>
        <v/>
      </c>
      <c r="DD874" s="1853" t="str">
        <f t="shared" si="86"/>
        <v/>
      </c>
      <c r="DE874" s="1853" t="str">
        <f t="shared" si="87"/>
        <v/>
      </c>
      <c r="DF874" s="1853" t="str">
        <f t="shared" si="88"/>
        <v/>
      </c>
      <c r="DG874" s="1853" t="str">
        <f t="shared" si="89"/>
        <v/>
      </c>
      <c r="DH874" s="1853" t="str">
        <f t="shared" si="90"/>
        <v/>
      </c>
      <c r="DI874" s="1853" t="str">
        <f t="shared" si="91"/>
        <v/>
      </c>
      <c r="DJ874" s="1853" t="str">
        <f t="shared" si="92"/>
        <v/>
      </c>
      <c r="DK874" s="1853" t="str">
        <f t="shared" si="93"/>
        <v/>
      </c>
      <c r="DL874" s="1853" t="str">
        <f t="shared" si="94"/>
        <v/>
      </c>
      <c r="DM874" s="1853" t="str">
        <f t="shared" si="95"/>
        <v/>
      </c>
      <c r="DN874" s="1853" t="str">
        <f t="shared" si="96"/>
        <v/>
      </c>
      <c r="DO874" s="1853" t="str">
        <f t="shared" si="97"/>
        <v/>
      </c>
      <c r="DP874" s="1853" t="str">
        <f t="shared" si="98"/>
        <v/>
      </c>
      <c r="DQ874" s="1853" t="str">
        <f t="shared" si="99"/>
        <v/>
      </c>
      <c r="DR874" s="1853" t="str">
        <f t="shared" si="100"/>
        <v/>
      </c>
      <c r="DS874" s="1853" t="str">
        <f t="shared" si="101"/>
        <v/>
      </c>
      <c r="DT874" s="1853" t="str">
        <f t="shared" si="102"/>
        <v/>
      </c>
      <c r="DU874" s="1853" t="str">
        <f t="shared" si="103"/>
        <v/>
      </c>
      <c r="DV874" s="1853" t="str">
        <f t="shared" si="104"/>
        <v/>
      </c>
      <c r="DW874" s="1853" t="str">
        <f t="shared" si="105"/>
        <v/>
      </c>
      <c r="DX874" s="1853" t="str">
        <f t="shared" si="106"/>
        <v/>
      </c>
      <c r="DY874" s="1853" t="str">
        <f t="shared" si="107"/>
        <v/>
      </c>
      <c r="DZ874" s="1853" t="str">
        <f t="shared" si="108"/>
        <v/>
      </c>
      <c r="EA874" s="1853" t="str">
        <f t="shared" si="109"/>
        <v/>
      </c>
      <c r="EB874" s="1853" t="str">
        <f t="shared" si="110"/>
        <v/>
      </c>
      <c r="EC874" s="1853" t="str">
        <f t="shared" si="111"/>
        <v/>
      </c>
      <c r="ED874" s="1853" t="str">
        <f t="shared" si="112"/>
        <v/>
      </c>
      <c r="EE874" s="1853" t="str">
        <f t="shared" si="113"/>
        <v/>
      </c>
      <c r="EF874" s="1853" t="str">
        <f t="shared" si="114"/>
        <v/>
      </c>
      <c r="EG874" s="1853" t="str">
        <f t="shared" si="115"/>
        <v/>
      </c>
      <c r="EH874" s="1853" t="str">
        <f t="shared" si="116"/>
        <v/>
      </c>
      <c r="EI874" s="1853" t="str">
        <f t="shared" si="117"/>
        <v/>
      </c>
      <c r="EJ874" s="1853" t="str">
        <f t="shared" si="118"/>
        <v/>
      </c>
      <c r="EK874" s="1853" t="str">
        <f t="shared" si="119"/>
        <v/>
      </c>
      <c r="EL874" s="1853" t="str">
        <f t="shared" si="120"/>
        <v/>
      </c>
      <c r="EM874" s="1853" t="str">
        <f t="shared" si="121"/>
        <v/>
      </c>
      <c r="EN874" s="1853" t="str">
        <f t="shared" si="122"/>
        <v/>
      </c>
      <c r="EO874" s="1853" t="str">
        <f t="shared" si="123"/>
        <v/>
      </c>
      <c r="EP874" s="1853" t="str">
        <f t="shared" si="124"/>
        <v/>
      </c>
      <c r="EQ874" s="1853" t="str">
        <f t="shared" si="125"/>
        <v/>
      </c>
      <c r="ER874" s="1853" t="str">
        <f t="shared" si="126"/>
        <v/>
      </c>
      <c r="ES874" s="1853" t="str">
        <f t="shared" si="127"/>
        <v/>
      </c>
      <c r="ET874" s="1853" t="str">
        <f t="shared" si="128"/>
        <v/>
      </c>
      <c r="EU874" s="1853" t="str">
        <f t="shared" si="129"/>
        <v/>
      </c>
      <c r="EV874" s="1853" t="str">
        <f t="shared" si="130"/>
        <v/>
      </c>
      <c r="EW874" s="1853" t="str">
        <f t="shared" si="131"/>
        <v/>
      </c>
      <c r="EX874" s="1853" t="str">
        <f t="shared" si="132"/>
        <v/>
      </c>
      <c r="EY874" s="1853" t="str">
        <f t="shared" si="133"/>
        <v/>
      </c>
      <c r="EZ874" s="1853" t="str">
        <f t="shared" si="134"/>
        <v/>
      </c>
      <c r="FA874" s="1853" t="str">
        <f t="shared" si="135"/>
        <v/>
      </c>
      <c r="FB874" s="1853" t="str">
        <f t="shared" si="136"/>
        <v/>
      </c>
      <c r="FC874" s="1853" t="str">
        <f t="shared" si="137"/>
        <v/>
      </c>
      <c r="FD874" s="1853" t="str">
        <f t="shared" si="138"/>
        <v/>
      </c>
      <c r="FE874" s="1853" t="str">
        <f t="shared" si="139"/>
        <v/>
      </c>
      <c r="FF874" s="1853" t="str">
        <f t="shared" si="140"/>
        <v/>
      </c>
      <c r="FG874" s="1853" t="str">
        <f t="shared" si="141"/>
        <v/>
      </c>
      <c r="FH874" s="1853" t="str">
        <f t="shared" si="142"/>
        <v/>
      </c>
      <c r="FI874" s="1853" t="str">
        <f t="shared" si="143"/>
        <v/>
      </c>
      <c r="FJ874" s="1853" t="str">
        <f t="shared" si="144"/>
        <v/>
      </c>
      <c r="FK874" s="1853" t="str">
        <f t="shared" si="145"/>
        <v/>
      </c>
      <c r="FL874" s="1853" t="str">
        <f t="shared" si="146"/>
        <v/>
      </c>
      <c r="FM874" s="1853" t="str">
        <f t="shared" si="147"/>
        <v/>
      </c>
      <c r="FN874" s="1853" t="str">
        <f t="shared" si="148"/>
        <v/>
      </c>
      <c r="FO874" s="1853" t="str">
        <f t="shared" si="149"/>
        <v/>
      </c>
      <c r="FP874" s="1853" t="str">
        <f t="shared" si="150"/>
        <v/>
      </c>
      <c r="FQ874" s="1853" t="str">
        <f t="shared" si="151"/>
        <v/>
      </c>
      <c r="FR874" s="1853" t="str">
        <f t="shared" si="152"/>
        <v/>
      </c>
      <c r="FS874" s="1853" t="str">
        <f t="shared" si="153"/>
        <v/>
      </c>
      <c r="FT874" s="1853" t="str">
        <f t="shared" si="154"/>
        <v/>
      </c>
      <c r="FU874" s="1853" t="str">
        <f t="shared" si="155"/>
        <v/>
      </c>
      <c r="FV874" s="1853" t="str">
        <f t="shared" si="156"/>
        <v/>
      </c>
      <c r="FW874" s="1853" t="str">
        <f t="shared" si="157"/>
        <v/>
      </c>
      <c r="FX874" s="1853" t="str">
        <f t="shared" si="158"/>
        <v/>
      </c>
      <c r="FY874" s="1853" t="str">
        <f t="shared" si="159"/>
        <v/>
      </c>
      <c r="FZ874" s="1853" t="str">
        <f t="shared" si="160"/>
        <v/>
      </c>
      <c r="GA874" s="1853" t="str">
        <f t="shared" si="161"/>
        <v/>
      </c>
      <c r="GB874" s="1853" t="str">
        <f t="shared" si="162"/>
        <v/>
      </c>
      <c r="GC874" s="1853" t="str">
        <f t="shared" si="163"/>
        <v/>
      </c>
      <c r="GD874" s="1853" t="str">
        <f t="shared" si="164"/>
        <v/>
      </c>
      <c r="GE874" s="1853" t="str">
        <f t="shared" si="165"/>
        <v/>
      </c>
      <c r="GF874" s="1853" t="str">
        <f t="shared" si="166"/>
        <v/>
      </c>
      <c r="GG874" s="1853" t="str">
        <f t="shared" si="167"/>
        <v/>
      </c>
      <c r="GH874" s="1853" t="str">
        <f t="shared" si="168"/>
        <v/>
      </c>
      <c r="GI874" s="1853" t="str">
        <f t="shared" si="169"/>
        <v/>
      </c>
      <c r="GJ874" s="1853" t="str">
        <f t="shared" si="170"/>
        <v/>
      </c>
      <c r="GK874" s="1853" t="str">
        <f t="shared" si="171"/>
        <v/>
      </c>
      <c r="GL874" s="1853" t="str">
        <f t="shared" si="172"/>
        <v/>
      </c>
      <c r="GM874" s="1853" t="str">
        <f t="shared" si="173"/>
        <v/>
      </c>
      <c r="GN874" s="1853" t="str">
        <f t="shared" si="174"/>
        <v/>
      </c>
      <c r="GO874" s="1853" t="str">
        <f t="shared" si="175"/>
        <v/>
      </c>
      <c r="GP874" s="1853" t="str">
        <f t="shared" si="176"/>
        <v/>
      </c>
      <c r="GQ874" s="1853" t="str">
        <f t="shared" si="177"/>
        <v/>
      </c>
      <c r="GR874" s="1853" t="str">
        <f t="shared" si="178"/>
        <v/>
      </c>
      <c r="GS874" s="1853" t="str">
        <f t="shared" si="179"/>
        <v/>
      </c>
      <c r="GT874" s="1853" t="str">
        <f t="shared" si="180"/>
        <v/>
      </c>
      <c r="GU874" s="1853" t="str">
        <f t="shared" si="181"/>
        <v/>
      </c>
      <c r="GV874" s="1853" t="str">
        <f t="shared" si="182"/>
        <v/>
      </c>
      <c r="GW874" s="1853" t="str">
        <f t="shared" si="183"/>
        <v/>
      </c>
      <c r="GX874" s="1853" t="str">
        <f t="shared" si="184"/>
        <v/>
      </c>
      <c r="GY874" s="1853" t="str">
        <f t="shared" si="185"/>
        <v/>
      </c>
      <c r="GZ874" s="1853" t="str">
        <f t="shared" si="186"/>
        <v/>
      </c>
      <c r="HA874" s="1853" t="str">
        <f t="shared" si="187"/>
        <v/>
      </c>
      <c r="HB874" s="1853" t="str">
        <f t="shared" si="188"/>
        <v/>
      </c>
      <c r="HC874" s="1853" t="str">
        <f t="shared" si="189"/>
        <v/>
      </c>
      <c r="HD874" s="1853" t="str">
        <f t="shared" si="190"/>
        <v/>
      </c>
      <c r="HE874" s="1853" t="str">
        <f t="shared" si="191"/>
        <v/>
      </c>
      <c r="HF874" s="1853" t="str">
        <f t="shared" si="192"/>
        <v/>
      </c>
      <c r="HG874" s="1853" t="str">
        <f t="shared" si="193"/>
        <v/>
      </c>
      <c r="HH874" s="1853" t="str">
        <f t="shared" si="194"/>
        <v/>
      </c>
      <c r="HI874" s="1853" t="str">
        <f t="shared" si="195"/>
        <v/>
      </c>
      <c r="HJ874" s="1853" t="str">
        <f t="shared" si="196"/>
        <v/>
      </c>
      <c r="HK874" s="1853" t="str">
        <f t="shared" si="197"/>
        <v/>
      </c>
      <c r="HL874" s="1853" t="str">
        <f t="shared" si="198"/>
        <v/>
      </c>
      <c r="HM874" s="1853" t="str">
        <f t="shared" si="199"/>
        <v/>
      </c>
      <c r="HN874" s="1853" t="str">
        <f t="shared" si="200"/>
        <v/>
      </c>
      <c r="HO874" s="1853" t="str">
        <f t="shared" si="201"/>
        <v/>
      </c>
      <c r="HP874" s="1853" t="str">
        <f t="shared" si="202"/>
        <v/>
      </c>
      <c r="HQ874" s="1853" t="str">
        <f t="shared" si="203"/>
        <v/>
      </c>
      <c r="HR874" s="1853" t="str">
        <f t="shared" si="204"/>
        <v/>
      </c>
      <c r="HS874" s="1853" t="str">
        <f t="shared" si="205"/>
        <v/>
      </c>
      <c r="HT874" s="1853" t="str">
        <f t="shared" si="206"/>
        <v/>
      </c>
      <c r="HU874" s="1853" t="str">
        <f t="shared" si="207"/>
        <v/>
      </c>
      <c r="HV874" s="1853" t="str">
        <f t="shared" si="208"/>
        <v/>
      </c>
      <c r="HW874" s="1853" t="str">
        <f t="shared" si="209"/>
        <v/>
      </c>
      <c r="HX874" s="1853" t="str">
        <f t="shared" si="210"/>
        <v/>
      </c>
      <c r="HY874" s="1853" t="str">
        <f t="shared" si="211"/>
        <v/>
      </c>
      <c r="HZ874" s="2141" t="str">
        <f t="shared" si="212"/>
        <v/>
      </c>
      <c r="IA874" s="2141" t="str">
        <f t="shared" si="213"/>
        <v/>
      </c>
      <c r="IB874" s="2141" t="str">
        <f t="shared" si="214"/>
        <v/>
      </c>
      <c r="IC874" s="2141" t="str">
        <f t="shared" si="215"/>
        <v/>
      </c>
      <c r="ID874" s="2141" t="str">
        <f t="shared" si="216"/>
        <v/>
      </c>
      <c r="IE874" s="2141" t="str">
        <f t="shared" si="217"/>
        <v/>
      </c>
      <c r="IF874" s="2141" t="str">
        <f t="shared" si="218"/>
        <v/>
      </c>
      <c r="IG874" s="2141" t="str">
        <f t="shared" si="219"/>
        <v/>
      </c>
      <c r="IH874" s="2141" t="str">
        <f t="shared" si="220"/>
        <v/>
      </c>
      <c r="II874" s="2141" t="str">
        <f t="shared" si="221"/>
        <v/>
      </c>
      <c r="IJ874" s="2141" t="str">
        <f t="shared" si="222"/>
        <v/>
      </c>
      <c r="IK874" s="2141" t="str">
        <f t="shared" si="223"/>
        <v/>
      </c>
      <c r="IL874" s="2141" t="str">
        <f t="shared" si="224"/>
        <v/>
      </c>
      <c r="IM874" s="2141" t="str">
        <f t="shared" si="225"/>
        <v/>
      </c>
      <c r="IN874" s="2141" t="str">
        <f t="shared" si="226"/>
        <v/>
      </c>
      <c r="IO874" s="2141" t="str">
        <f t="shared" si="227"/>
        <v/>
      </c>
      <c r="IP874" s="2141" t="str">
        <f t="shared" si="228"/>
        <v/>
      </c>
      <c r="IQ874" s="2141" t="str">
        <f t="shared" si="229"/>
        <v/>
      </c>
      <c r="IR874" s="2141" t="str">
        <f t="shared" si="230"/>
        <v/>
      </c>
      <c r="IS874" s="2141" t="str">
        <f t="shared" si="231"/>
        <v/>
      </c>
      <c r="IT874" s="2141" t="str">
        <f t="shared" si="232"/>
        <v/>
      </c>
      <c r="IU874" s="2141" t="str">
        <f t="shared" si="233"/>
        <v/>
      </c>
      <c r="IV874" s="2141" t="str">
        <f t="shared" si="234"/>
        <v/>
      </c>
      <c r="IW874" s="2141" t="str">
        <f t="shared" si="235"/>
        <v/>
      </c>
      <c r="IX874" s="2141" t="str">
        <f t="shared" si="236"/>
        <v/>
      </c>
      <c r="IY874" s="2141" t="str">
        <f t="shared" si="237"/>
        <v/>
      </c>
      <c r="IZ874" s="2141" t="str">
        <f t="shared" si="238"/>
        <v/>
      </c>
      <c r="JA874" s="2141" t="str">
        <f t="shared" si="239"/>
        <v/>
      </c>
      <c r="JB874" s="2141" t="str">
        <f t="shared" si="240"/>
        <v/>
      </c>
      <c r="JC874" s="2141" t="str">
        <f t="shared" si="241"/>
        <v/>
      </c>
      <c r="JD874" s="2141" t="str">
        <f t="shared" si="242"/>
        <v/>
      </c>
      <c r="JE874" s="2141" t="str">
        <f t="shared" si="243"/>
        <v/>
      </c>
      <c r="JF874" s="2141" t="str">
        <f t="shared" si="244"/>
        <v/>
      </c>
      <c r="JG874" s="2141" t="str">
        <f t="shared" si="245"/>
        <v/>
      </c>
      <c r="JH874" s="2141" t="str">
        <f t="shared" si="246"/>
        <v/>
      </c>
      <c r="JI874" s="2141" t="str">
        <f t="shared" si="247"/>
        <v/>
      </c>
      <c r="JJ874" s="2141" t="str">
        <f t="shared" si="248"/>
        <v/>
      </c>
      <c r="JK874" s="2141" t="str">
        <f t="shared" si="249"/>
        <v/>
      </c>
      <c r="JL874" s="2141" t="str">
        <f t="shared" si="250"/>
        <v/>
      </c>
      <c r="JM874" s="2141" t="str">
        <f t="shared" si="251"/>
        <v/>
      </c>
      <c r="JN874" s="2141" t="str">
        <f t="shared" si="252"/>
        <v/>
      </c>
      <c r="JO874" s="2141" t="str">
        <f t="shared" si="253"/>
        <v/>
      </c>
      <c r="JP874" s="2141" t="str">
        <f t="shared" si="254"/>
        <v/>
      </c>
      <c r="JQ874" s="2141" t="str">
        <f t="shared" si="255"/>
        <v/>
      </c>
      <c r="JR874" s="2141" t="str">
        <f t="shared" si="256"/>
        <v/>
      </c>
      <c r="JS874" s="2141" t="str">
        <f t="shared" si="257"/>
        <v/>
      </c>
      <c r="JT874" s="2141" t="str">
        <f t="shared" si="258"/>
        <v/>
      </c>
      <c r="JU874" s="2141" t="str">
        <f t="shared" si="259"/>
        <v/>
      </c>
      <c r="JV874" s="2141" t="str">
        <f t="shared" si="260"/>
        <v/>
      </c>
      <c r="JW874" s="2141" t="str">
        <f t="shared" si="261"/>
        <v/>
      </c>
      <c r="JX874" s="2141" t="str">
        <f t="shared" si="262"/>
        <v/>
      </c>
      <c r="JY874" s="2141" t="str">
        <f t="shared" si="263"/>
        <v/>
      </c>
      <c r="JZ874" s="2141" t="str">
        <f t="shared" si="264"/>
        <v/>
      </c>
      <c r="KA874" s="2141" t="str">
        <f t="shared" si="265"/>
        <v/>
      </c>
      <c r="KB874" s="2141" t="str">
        <f t="shared" si="266"/>
        <v/>
      </c>
      <c r="KC874" s="2141" t="str">
        <f t="shared" si="267"/>
        <v/>
      </c>
      <c r="KD874" s="2141" t="str">
        <f t="shared" si="268"/>
        <v/>
      </c>
      <c r="KE874" s="2141" t="str">
        <f t="shared" si="269"/>
        <v/>
      </c>
      <c r="KF874" s="2141" t="str">
        <f t="shared" si="270"/>
        <v/>
      </c>
      <c r="KG874" s="2141" t="str">
        <f t="shared" si="271"/>
        <v/>
      </c>
      <c r="KH874" s="2141" t="str">
        <f t="shared" si="272"/>
        <v/>
      </c>
      <c r="KI874" s="2141" t="str">
        <f t="shared" si="273"/>
        <v/>
      </c>
      <c r="KJ874" s="2141" t="str">
        <f t="shared" si="274"/>
        <v/>
      </c>
      <c r="KK874" s="2141" t="str">
        <f t="shared" si="275"/>
        <v/>
      </c>
      <c r="KL874" s="2141" t="str">
        <f t="shared" si="276"/>
        <v/>
      </c>
      <c r="KM874" s="2141" t="str">
        <f t="shared" si="277"/>
        <v/>
      </c>
      <c r="KN874" s="2141" t="str">
        <f t="shared" si="278"/>
        <v/>
      </c>
      <c r="KO874" s="2141" t="str">
        <f t="shared" si="279"/>
        <v/>
      </c>
      <c r="KP874" s="2141" t="str">
        <f t="shared" si="280"/>
        <v/>
      </c>
      <c r="KQ874" s="2141" t="str">
        <f t="shared" si="281"/>
        <v/>
      </c>
      <c r="KR874" s="2141" t="str">
        <f t="shared" si="282"/>
        <v/>
      </c>
      <c r="KS874" s="2141" t="str">
        <f t="shared" si="283"/>
        <v/>
      </c>
      <c r="KT874" s="2141" t="str">
        <f t="shared" si="284"/>
        <v/>
      </c>
      <c r="KU874" s="2141" t="str">
        <f t="shared" si="285"/>
        <v/>
      </c>
      <c r="KV874" s="2141" t="str">
        <f t="shared" si="286"/>
        <v/>
      </c>
      <c r="KW874" s="2141" t="str">
        <f t="shared" si="287"/>
        <v/>
      </c>
      <c r="KX874" s="2141" t="str">
        <f t="shared" si="288"/>
        <v/>
      </c>
      <c r="KY874" s="2141" t="str">
        <f t="shared" si="289"/>
        <v/>
      </c>
      <c r="KZ874" s="2141" t="str">
        <f t="shared" si="290"/>
        <v/>
      </c>
      <c r="LA874" s="2141" t="str">
        <f t="shared" si="291"/>
        <v/>
      </c>
      <c r="LB874" s="2141" t="str">
        <f t="shared" si="292"/>
        <v/>
      </c>
      <c r="LC874" s="2141" t="str">
        <f t="shared" si="293"/>
        <v/>
      </c>
      <c r="LD874" s="2141" t="str">
        <f t="shared" si="294"/>
        <v/>
      </c>
      <c r="LE874" s="2141" t="str">
        <f t="shared" si="295"/>
        <v/>
      </c>
      <c r="LF874" s="2141" t="str">
        <f t="shared" si="296"/>
        <v/>
      </c>
      <c r="LG874" s="2052" t="str">
        <f t="shared" si="297"/>
        <v/>
      </c>
      <c r="LH874" s="2052" t="str">
        <f t="shared" si="298"/>
        <v/>
      </c>
      <c r="LI874" s="2052" t="str">
        <f t="shared" si="299"/>
        <v/>
      </c>
      <c r="LJ874" s="2052" t="str">
        <f t="shared" si="300"/>
        <v/>
      </c>
      <c r="LK874" s="2052" t="str">
        <f t="shared" si="301"/>
        <v/>
      </c>
      <c r="LL874" s="1853" t="str">
        <f t="shared" si="302"/>
        <v/>
      </c>
      <c r="LM874" s="1853" t="str">
        <f t="shared" si="303"/>
        <v/>
      </c>
      <c r="LN874" s="1853" t="str">
        <f t="shared" si="304"/>
        <v/>
      </c>
      <c r="LO874" s="1853" t="str">
        <f t="shared" si="305"/>
        <v/>
      </c>
      <c r="LP874" s="1853" t="str">
        <f t="shared" si="306"/>
        <v/>
      </c>
      <c r="LQ874" s="1853" t="str">
        <f t="shared" si="307"/>
        <v/>
      </c>
      <c r="LR874" s="1853" t="str">
        <f t="shared" si="308"/>
        <v/>
      </c>
      <c r="LS874" s="1853" t="str">
        <f t="shared" si="309"/>
        <v/>
      </c>
      <c r="LT874" s="1853" t="str">
        <f t="shared" si="310"/>
        <v/>
      </c>
      <c r="LU874" s="1853" t="str">
        <f t="shared" si="311"/>
        <v/>
      </c>
      <c r="LV874" s="1853" t="str">
        <f t="shared" si="312"/>
        <v/>
      </c>
      <c r="LW874" s="1853" t="str">
        <f t="shared" si="313"/>
        <v/>
      </c>
      <c r="LX874" s="1853" t="str">
        <f t="shared" si="314"/>
        <v/>
      </c>
      <c r="LY874" s="1853" t="str">
        <f t="shared" si="315"/>
        <v/>
      </c>
      <c r="LZ874" s="1853" t="str">
        <f t="shared" si="316"/>
        <v/>
      </c>
      <c r="MA874" s="1853" t="str">
        <f t="shared" si="317"/>
        <v/>
      </c>
      <c r="MB874" s="1853" t="str">
        <f t="shared" si="318"/>
        <v/>
      </c>
      <c r="MC874" s="1853" t="str">
        <f t="shared" si="319"/>
        <v/>
      </c>
      <c r="MD874" s="1853" t="str">
        <f t="shared" si="320"/>
        <v/>
      </c>
      <c r="ME874" s="1853" t="str">
        <f t="shared" si="321"/>
        <v/>
      </c>
      <c r="MF874" s="2052">
        <f t="shared" si="328"/>
        <v>0</v>
      </c>
      <c r="MG874" s="2052">
        <f t="shared" si="329"/>
        <v>0</v>
      </c>
      <c r="MH874" s="2052">
        <f t="shared" si="330"/>
        <v>0</v>
      </c>
      <c r="MI874" s="2052">
        <f t="shared" si="331"/>
        <v>0</v>
      </c>
      <c r="MJ874" s="2052">
        <f t="shared" si="332"/>
        <v>0</v>
      </c>
      <c r="MK874" s="2052">
        <f t="shared" si="333"/>
        <v>0</v>
      </c>
      <c r="ML874" s="2052">
        <f t="shared" si="334"/>
        <v>0</v>
      </c>
      <c r="MM874" s="2052">
        <f t="shared" si="335"/>
        <v>0</v>
      </c>
      <c r="MN874" s="2052">
        <f t="shared" si="336"/>
        <v>0</v>
      </c>
      <c r="MO874" s="2052">
        <f t="shared" si="337"/>
        <v>0</v>
      </c>
      <c r="MP874" s="2052">
        <f t="shared" si="322"/>
        <v>0</v>
      </c>
      <c r="MQ874" s="2052">
        <f t="shared" si="323"/>
        <v>0</v>
      </c>
      <c r="MR874" s="2052">
        <f t="shared" si="324"/>
        <v>0</v>
      </c>
      <c r="MS874" s="2052">
        <f t="shared" si="325"/>
        <v>0</v>
      </c>
      <c r="MT874" s="2052">
        <f t="shared" si="326"/>
        <v>0</v>
      </c>
      <c r="NP874" s="1925" t="s">
        <v>6740</v>
      </c>
    </row>
    <row r="875" spans="1:380" s="1853" customFormat="1" ht="13.9" customHeight="1">
      <c r="A875" s="2109" t="str">
        <f t="shared" si="327"/>
        <v/>
      </c>
      <c r="B875" s="2131">
        <f>'Part VI-Revenues &amp; Expenses'!B35</f>
        <v>0</v>
      </c>
      <c r="C875" s="2132">
        <f>'Part VI-Revenues &amp; Expenses'!C35</f>
        <v>0</v>
      </c>
      <c r="D875" s="2133">
        <f>'Part VI-Revenues &amp; Expenses'!D35</f>
        <v>0</v>
      </c>
      <c r="E875" s="2134">
        <f>'Part VI-Revenues &amp; Expenses'!E35</f>
        <v>0</v>
      </c>
      <c r="F875" s="2134">
        <f>'Part VI-Revenues &amp; Expenses'!F35</f>
        <v>0</v>
      </c>
      <c r="G875" s="2134">
        <f>'Part VI-Revenues &amp; Expenses'!G35</f>
        <v>0</v>
      </c>
      <c r="H875" s="2134">
        <f>'Part VI-Revenues &amp; Expenses'!H35</f>
        <v>0</v>
      </c>
      <c r="I875" s="2134">
        <f>'Part VI-Revenues &amp; Expenses'!I35</f>
        <v>0</v>
      </c>
      <c r="J875" s="2134">
        <f>'Part VI-Revenues &amp; Expenses'!J35</f>
        <v>0</v>
      </c>
      <c r="K875" s="2135">
        <f>'Part VI-Revenues &amp; Expenses'!K35</f>
        <v>0</v>
      </c>
      <c r="L875" s="2136">
        <f t="shared" si="0"/>
        <v>0</v>
      </c>
      <c r="M875" s="2136">
        <f t="shared" si="1"/>
        <v>0</v>
      </c>
      <c r="N875" s="1917">
        <f>'Part VI-Revenues &amp; Expenses'!N35</f>
        <v>0</v>
      </c>
      <c r="O875" s="2137">
        <f>'Part VI-Revenues &amp; Expenses'!O35</f>
        <v>0</v>
      </c>
      <c r="P875" s="1917">
        <f>'Part VI-Revenues &amp; Expenses'!P35</f>
        <v>0</v>
      </c>
      <c r="Q875" s="2138">
        <f>'Part VI-Revenues &amp; Expenses'!Q35</f>
        <v>0</v>
      </c>
      <c r="R875" s="2139"/>
      <c r="S875" s="2140"/>
      <c r="T875" s="2044"/>
      <c r="U875" s="2044"/>
      <c r="V875" s="2044"/>
      <c r="W875" s="2044"/>
      <c r="X875" s="1853" t="str">
        <f t="shared" si="2"/>
        <v/>
      </c>
      <c r="Y875" s="1853" t="str">
        <f t="shared" si="3"/>
        <v/>
      </c>
      <c r="Z875" s="1853" t="str">
        <f t="shared" si="4"/>
        <v/>
      </c>
      <c r="AA875" s="1853" t="str">
        <f t="shared" si="5"/>
        <v/>
      </c>
      <c r="AB875" s="1853" t="str">
        <f t="shared" si="6"/>
        <v/>
      </c>
      <c r="AC875" s="1853" t="str">
        <f t="shared" si="7"/>
        <v/>
      </c>
      <c r="AD875" s="1853" t="str">
        <f t="shared" si="8"/>
        <v/>
      </c>
      <c r="AE875" s="1853" t="str">
        <f t="shared" si="9"/>
        <v/>
      </c>
      <c r="AF875" s="1853" t="str">
        <f t="shared" si="10"/>
        <v/>
      </c>
      <c r="AG875" s="1853" t="str">
        <f t="shared" si="11"/>
        <v/>
      </c>
      <c r="AH875" s="1853" t="str">
        <f t="shared" si="12"/>
        <v/>
      </c>
      <c r="AI875" s="1853" t="str">
        <f t="shared" si="13"/>
        <v/>
      </c>
      <c r="AJ875" s="1853" t="str">
        <f t="shared" si="14"/>
        <v/>
      </c>
      <c r="AK875" s="1853" t="str">
        <f t="shared" si="15"/>
        <v/>
      </c>
      <c r="AL875" s="1853" t="str">
        <f t="shared" si="16"/>
        <v/>
      </c>
      <c r="AM875" s="1853" t="str">
        <f t="shared" si="17"/>
        <v/>
      </c>
      <c r="AN875" s="1853" t="str">
        <f t="shared" si="18"/>
        <v/>
      </c>
      <c r="AO875" s="1853" t="str">
        <f t="shared" si="19"/>
        <v/>
      </c>
      <c r="AP875" s="1853" t="str">
        <f t="shared" si="20"/>
        <v/>
      </c>
      <c r="AQ875" s="1853" t="str">
        <f t="shared" si="21"/>
        <v/>
      </c>
      <c r="AR875" s="1853" t="str">
        <f t="shared" si="22"/>
        <v/>
      </c>
      <c r="AS875" s="1853" t="str">
        <f t="shared" si="23"/>
        <v/>
      </c>
      <c r="AT875" s="1853" t="str">
        <f t="shared" si="24"/>
        <v/>
      </c>
      <c r="AU875" s="1853" t="str">
        <f t="shared" si="25"/>
        <v/>
      </c>
      <c r="AV875" s="1853" t="str">
        <f t="shared" si="26"/>
        <v/>
      </c>
      <c r="AW875" s="1853" t="str">
        <f t="shared" si="27"/>
        <v/>
      </c>
      <c r="AX875" s="1853" t="str">
        <f t="shared" si="28"/>
        <v/>
      </c>
      <c r="AY875" s="1853" t="str">
        <f t="shared" si="29"/>
        <v/>
      </c>
      <c r="AZ875" s="1853" t="str">
        <f t="shared" si="30"/>
        <v/>
      </c>
      <c r="BA875" s="1853" t="str">
        <f t="shared" si="31"/>
        <v/>
      </c>
      <c r="BB875" s="1853" t="str">
        <f t="shared" si="32"/>
        <v/>
      </c>
      <c r="BC875" s="1853" t="str">
        <f t="shared" si="33"/>
        <v/>
      </c>
      <c r="BD875" s="1853" t="str">
        <f t="shared" si="34"/>
        <v/>
      </c>
      <c r="BE875" s="1853" t="str">
        <f t="shared" si="35"/>
        <v/>
      </c>
      <c r="BF875" s="1853" t="str">
        <f t="shared" si="36"/>
        <v/>
      </c>
      <c r="BG875" s="1853" t="str">
        <f t="shared" si="37"/>
        <v/>
      </c>
      <c r="BH875" s="1853" t="str">
        <f t="shared" si="38"/>
        <v/>
      </c>
      <c r="BI875" s="1853" t="str">
        <f t="shared" si="39"/>
        <v/>
      </c>
      <c r="BJ875" s="1853" t="str">
        <f t="shared" si="40"/>
        <v/>
      </c>
      <c r="BK875" s="1853" t="str">
        <f t="shared" si="41"/>
        <v/>
      </c>
      <c r="BL875" s="1853" t="str">
        <f t="shared" si="42"/>
        <v/>
      </c>
      <c r="BM875" s="1853" t="str">
        <f t="shared" si="43"/>
        <v/>
      </c>
      <c r="BN875" s="1853" t="str">
        <f t="shared" si="44"/>
        <v/>
      </c>
      <c r="BO875" s="1853" t="str">
        <f t="shared" si="45"/>
        <v/>
      </c>
      <c r="BP875" s="1853" t="str">
        <f t="shared" si="46"/>
        <v/>
      </c>
      <c r="BQ875" s="1853" t="str">
        <f t="shared" si="47"/>
        <v/>
      </c>
      <c r="BR875" s="1853" t="str">
        <f t="shared" si="48"/>
        <v/>
      </c>
      <c r="BS875" s="1853" t="str">
        <f t="shared" si="49"/>
        <v/>
      </c>
      <c r="BT875" s="1853" t="str">
        <f t="shared" si="50"/>
        <v/>
      </c>
      <c r="BU875" s="1853" t="str">
        <f t="shared" si="51"/>
        <v/>
      </c>
      <c r="BV875" s="1853" t="str">
        <f t="shared" si="52"/>
        <v/>
      </c>
      <c r="BW875" s="1853" t="str">
        <f t="shared" si="53"/>
        <v/>
      </c>
      <c r="BX875" s="1853" t="str">
        <f t="shared" si="54"/>
        <v/>
      </c>
      <c r="BY875" s="1853" t="str">
        <f t="shared" si="55"/>
        <v/>
      </c>
      <c r="BZ875" s="1853" t="str">
        <f t="shared" si="56"/>
        <v/>
      </c>
      <c r="CA875" s="1853" t="str">
        <f t="shared" si="57"/>
        <v/>
      </c>
      <c r="CB875" s="1853" t="str">
        <f t="shared" si="58"/>
        <v/>
      </c>
      <c r="CC875" s="1853" t="str">
        <f t="shared" si="59"/>
        <v/>
      </c>
      <c r="CD875" s="1853" t="str">
        <f t="shared" si="60"/>
        <v/>
      </c>
      <c r="CE875" s="1853" t="str">
        <f t="shared" si="61"/>
        <v/>
      </c>
      <c r="CF875" s="1853" t="str">
        <f t="shared" si="62"/>
        <v/>
      </c>
      <c r="CG875" s="1853" t="str">
        <f t="shared" si="63"/>
        <v/>
      </c>
      <c r="CH875" s="1853" t="str">
        <f t="shared" si="64"/>
        <v/>
      </c>
      <c r="CI875" s="1853" t="str">
        <f t="shared" si="65"/>
        <v/>
      </c>
      <c r="CJ875" s="1853" t="str">
        <f t="shared" si="66"/>
        <v/>
      </c>
      <c r="CK875" s="1853" t="str">
        <f t="shared" si="67"/>
        <v/>
      </c>
      <c r="CL875" s="1853" t="str">
        <f t="shared" si="68"/>
        <v/>
      </c>
      <c r="CM875" s="1853" t="str">
        <f t="shared" si="69"/>
        <v/>
      </c>
      <c r="CN875" s="1853" t="str">
        <f t="shared" si="70"/>
        <v/>
      </c>
      <c r="CO875" s="1853" t="str">
        <f t="shared" si="71"/>
        <v/>
      </c>
      <c r="CP875" s="1853" t="str">
        <f t="shared" si="72"/>
        <v/>
      </c>
      <c r="CQ875" s="1853" t="str">
        <f t="shared" si="73"/>
        <v/>
      </c>
      <c r="CR875" s="1853" t="str">
        <f t="shared" si="74"/>
        <v/>
      </c>
      <c r="CS875" s="1853" t="str">
        <f t="shared" si="75"/>
        <v/>
      </c>
      <c r="CT875" s="1853" t="str">
        <f t="shared" si="76"/>
        <v/>
      </c>
      <c r="CU875" s="1853" t="str">
        <f t="shared" si="77"/>
        <v/>
      </c>
      <c r="CV875" s="1853" t="str">
        <f t="shared" si="78"/>
        <v/>
      </c>
      <c r="CW875" s="1853" t="str">
        <f t="shared" si="79"/>
        <v/>
      </c>
      <c r="CX875" s="1853" t="str">
        <f t="shared" si="80"/>
        <v/>
      </c>
      <c r="CY875" s="1853" t="str">
        <f t="shared" si="81"/>
        <v/>
      </c>
      <c r="CZ875" s="1853" t="str">
        <f t="shared" si="82"/>
        <v/>
      </c>
      <c r="DA875" s="1853" t="str">
        <f t="shared" si="83"/>
        <v/>
      </c>
      <c r="DB875" s="1853" t="str">
        <f t="shared" si="84"/>
        <v/>
      </c>
      <c r="DC875" s="1853" t="str">
        <f t="shared" si="85"/>
        <v/>
      </c>
      <c r="DD875" s="1853" t="str">
        <f t="shared" si="86"/>
        <v/>
      </c>
      <c r="DE875" s="1853" t="str">
        <f t="shared" si="87"/>
        <v/>
      </c>
      <c r="DF875" s="1853" t="str">
        <f t="shared" si="88"/>
        <v/>
      </c>
      <c r="DG875" s="1853" t="str">
        <f t="shared" si="89"/>
        <v/>
      </c>
      <c r="DH875" s="1853" t="str">
        <f t="shared" si="90"/>
        <v/>
      </c>
      <c r="DI875" s="1853" t="str">
        <f t="shared" si="91"/>
        <v/>
      </c>
      <c r="DJ875" s="1853" t="str">
        <f t="shared" si="92"/>
        <v/>
      </c>
      <c r="DK875" s="1853" t="str">
        <f t="shared" si="93"/>
        <v/>
      </c>
      <c r="DL875" s="1853" t="str">
        <f t="shared" si="94"/>
        <v/>
      </c>
      <c r="DM875" s="1853" t="str">
        <f t="shared" si="95"/>
        <v/>
      </c>
      <c r="DN875" s="1853" t="str">
        <f t="shared" si="96"/>
        <v/>
      </c>
      <c r="DO875" s="1853" t="str">
        <f t="shared" si="97"/>
        <v/>
      </c>
      <c r="DP875" s="1853" t="str">
        <f t="shared" si="98"/>
        <v/>
      </c>
      <c r="DQ875" s="1853" t="str">
        <f t="shared" si="99"/>
        <v/>
      </c>
      <c r="DR875" s="1853" t="str">
        <f t="shared" si="100"/>
        <v/>
      </c>
      <c r="DS875" s="1853" t="str">
        <f t="shared" si="101"/>
        <v/>
      </c>
      <c r="DT875" s="1853" t="str">
        <f t="shared" si="102"/>
        <v/>
      </c>
      <c r="DU875" s="1853" t="str">
        <f t="shared" si="103"/>
        <v/>
      </c>
      <c r="DV875" s="1853" t="str">
        <f t="shared" si="104"/>
        <v/>
      </c>
      <c r="DW875" s="1853" t="str">
        <f t="shared" si="105"/>
        <v/>
      </c>
      <c r="DX875" s="1853" t="str">
        <f t="shared" si="106"/>
        <v/>
      </c>
      <c r="DY875" s="1853" t="str">
        <f t="shared" si="107"/>
        <v/>
      </c>
      <c r="DZ875" s="1853" t="str">
        <f t="shared" si="108"/>
        <v/>
      </c>
      <c r="EA875" s="1853" t="str">
        <f t="shared" si="109"/>
        <v/>
      </c>
      <c r="EB875" s="1853" t="str">
        <f t="shared" si="110"/>
        <v/>
      </c>
      <c r="EC875" s="1853" t="str">
        <f t="shared" si="111"/>
        <v/>
      </c>
      <c r="ED875" s="1853" t="str">
        <f t="shared" si="112"/>
        <v/>
      </c>
      <c r="EE875" s="1853" t="str">
        <f t="shared" si="113"/>
        <v/>
      </c>
      <c r="EF875" s="1853" t="str">
        <f t="shared" si="114"/>
        <v/>
      </c>
      <c r="EG875" s="1853" t="str">
        <f t="shared" si="115"/>
        <v/>
      </c>
      <c r="EH875" s="1853" t="str">
        <f t="shared" si="116"/>
        <v/>
      </c>
      <c r="EI875" s="1853" t="str">
        <f t="shared" si="117"/>
        <v/>
      </c>
      <c r="EJ875" s="1853" t="str">
        <f t="shared" si="118"/>
        <v/>
      </c>
      <c r="EK875" s="1853" t="str">
        <f t="shared" si="119"/>
        <v/>
      </c>
      <c r="EL875" s="1853" t="str">
        <f t="shared" si="120"/>
        <v/>
      </c>
      <c r="EM875" s="1853" t="str">
        <f t="shared" si="121"/>
        <v/>
      </c>
      <c r="EN875" s="1853" t="str">
        <f t="shared" si="122"/>
        <v/>
      </c>
      <c r="EO875" s="1853" t="str">
        <f t="shared" si="123"/>
        <v/>
      </c>
      <c r="EP875" s="1853" t="str">
        <f t="shared" si="124"/>
        <v/>
      </c>
      <c r="EQ875" s="1853" t="str">
        <f t="shared" si="125"/>
        <v/>
      </c>
      <c r="ER875" s="1853" t="str">
        <f t="shared" si="126"/>
        <v/>
      </c>
      <c r="ES875" s="1853" t="str">
        <f t="shared" si="127"/>
        <v/>
      </c>
      <c r="ET875" s="1853" t="str">
        <f t="shared" si="128"/>
        <v/>
      </c>
      <c r="EU875" s="1853" t="str">
        <f t="shared" si="129"/>
        <v/>
      </c>
      <c r="EV875" s="1853" t="str">
        <f t="shared" si="130"/>
        <v/>
      </c>
      <c r="EW875" s="1853" t="str">
        <f t="shared" si="131"/>
        <v/>
      </c>
      <c r="EX875" s="1853" t="str">
        <f t="shared" si="132"/>
        <v/>
      </c>
      <c r="EY875" s="1853" t="str">
        <f t="shared" si="133"/>
        <v/>
      </c>
      <c r="EZ875" s="1853" t="str">
        <f t="shared" si="134"/>
        <v/>
      </c>
      <c r="FA875" s="1853" t="str">
        <f t="shared" si="135"/>
        <v/>
      </c>
      <c r="FB875" s="1853" t="str">
        <f t="shared" si="136"/>
        <v/>
      </c>
      <c r="FC875" s="1853" t="str">
        <f t="shared" si="137"/>
        <v/>
      </c>
      <c r="FD875" s="1853" t="str">
        <f t="shared" si="138"/>
        <v/>
      </c>
      <c r="FE875" s="1853" t="str">
        <f t="shared" si="139"/>
        <v/>
      </c>
      <c r="FF875" s="1853" t="str">
        <f t="shared" si="140"/>
        <v/>
      </c>
      <c r="FG875" s="1853" t="str">
        <f t="shared" si="141"/>
        <v/>
      </c>
      <c r="FH875" s="1853" t="str">
        <f t="shared" si="142"/>
        <v/>
      </c>
      <c r="FI875" s="1853" t="str">
        <f t="shared" si="143"/>
        <v/>
      </c>
      <c r="FJ875" s="1853" t="str">
        <f t="shared" si="144"/>
        <v/>
      </c>
      <c r="FK875" s="1853" t="str">
        <f t="shared" si="145"/>
        <v/>
      </c>
      <c r="FL875" s="1853" t="str">
        <f t="shared" si="146"/>
        <v/>
      </c>
      <c r="FM875" s="1853" t="str">
        <f t="shared" si="147"/>
        <v/>
      </c>
      <c r="FN875" s="1853" t="str">
        <f t="shared" si="148"/>
        <v/>
      </c>
      <c r="FO875" s="1853" t="str">
        <f t="shared" si="149"/>
        <v/>
      </c>
      <c r="FP875" s="1853" t="str">
        <f t="shared" si="150"/>
        <v/>
      </c>
      <c r="FQ875" s="1853" t="str">
        <f t="shared" si="151"/>
        <v/>
      </c>
      <c r="FR875" s="1853" t="str">
        <f t="shared" si="152"/>
        <v/>
      </c>
      <c r="FS875" s="1853" t="str">
        <f t="shared" si="153"/>
        <v/>
      </c>
      <c r="FT875" s="1853" t="str">
        <f t="shared" si="154"/>
        <v/>
      </c>
      <c r="FU875" s="1853" t="str">
        <f t="shared" si="155"/>
        <v/>
      </c>
      <c r="FV875" s="1853" t="str">
        <f t="shared" si="156"/>
        <v/>
      </c>
      <c r="FW875" s="1853" t="str">
        <f t="shared" si="157"/>
        <v/>
      </c>
      <c r="FX875" s="1853" t="str">
        <f t="shared" si="158"/>
        <v/>
      </c>
      <c r="FY875" s="1853" t="str">
        <f t="shared" si="159"/>
        <v/>
      </c>
      <c r="FZ875" s="1853" t="str">
        <f t="shared" si="160"/>
        <v/>
      </c>
      <c r="GA875" s="1853" t="str">
        <f t="shared" si="161"/>
        <v/>
      </c>
      <c r="GB875" s="1853" t="str">
        <f t="shared" si="162"/>
        <v/>
      </c>
      <c r="GC875" s="1853" t="str">
        <f t="shared" si="163"/>
        <v/>
      </c>
      <c r="GD875" s="1853" t="str">
        <f t="shared" si="164"/>
        <v/>
      </c>
      <c r="GE875" s="1853" t="str">
        <f t="shared" si="165"/>
        <v/>
      </c>
      <c r="GF875" s="1853" t="str">
        <f t="shared" si="166"/>
        <v/>
      </c>
      <c r="GG875" s="1853" t="str">
        <f t="shared" si="167"/>
        <v/>
      </c>
      <c r="GH875" s="1853" t="str">
        <f t="shared" si="168"/>
        <v/>
      </c>
      <c r="GI875" s="1853" t="str">
        <f t="shared" si="169"/>
        <v/>
      </c>
      <c r="GJ875" s="1853" t="str">
        <f t="shared" si="170"/>
        <v/>
      </c>
      <c r="GK875" s="1853" t="str">
        <f t="shared" si="171"/>
        <v/>
      </c>
      <c r="GL875" s="1853" t="str">
        <f t="shared" si="172"/>
        <v/>
      </c>
      <c r="GM875" s="1853" t="str">
        <f t="shared" si="173"/>
        <v/>
      </c>
      <c r="GN875" s="1853" t="str">
        <f t="shared" si="174"/>
        <v/>
      </c>
      <c r="GO875" s="1853" t="str">
        <f t="shared" si="175"/>
        <v/>
      </c>
      <c r="GP875" s="1853" t="str">
        <f t="shared" si="176"/>
        <v/>
      </c>
      <c r="GQ875" s="1853" t="str">
        <f t="shared" si="177"/>
        <v/>
      </c>
      <c r="GR875" s="1853" t="str">
        <f t="shared" si="178"/>
        <v/>
      </c>
      <c r="GS875" s="1853" t="str">
        <f t="shared" si="179"/>
        <v/>
      </c>
      <c r="GT875" s="1853" t="str">
        <f t="shared" si="180"/>
        <v/>
      </c>
      <c r="GU875" s="1853" t="str">
        <f t="shared" si="181"/>
        <v/>
      </c>
      <c r="GV875" s="1853" t="str">
        <f t="shared" si="182"/>
        <v/>
      </c>
      <c r="GW875" s="1853" t="str">
        <f t="shared" si="183"/>
        <v/>
      </c>
      <c r="GX875" s="1853" t="str">
        <f t="shared" si="184"/>
        <v/>
      </c>
      <c r="GY875" s="1853" t="str">
        <f t="shared" si="185"/>
        <v/>
      </c>
      <c r="GZ875" s="1853" t="str">
        <f t="shared" si="186"/>
        <v/>
      </c>
      <c r="HA875" s="1853" t="str">
        <f t="shared" si="187"/>
        <v/>
      </c>
      <c r="HB875" s="1853" t="str">
        <f t="shared" si="188"/>
        <v/>
      </c>
      <c r="HC875" s="1853" t="str">
        <f t="shared" si="189"/>
        <v/>
      </c>
      <c r="HD875" s="1853" t="str">
        <f t="shared" si="190"/>
        <v/>
      </c>
      <c r="HE875" s="1853" t="str">
        <f t="shared" si="191"/>
        <v/>
      </c>
      <c r="HF875" s="1853" t="str">
        <f t="shared" si="192"/>
        <v/>
      </c>
      <c r="HG875" s="1853" t="str">
        <f t="shared" si="193"/>
        <v/>
      </c>
      <c r="HH875" s="1853" t="str">
        <f t="shared" si="194"/>
        <v/>
      </c>
      <c r="HI875" s="1853" t="str">
        <f t="shared" si="195"/>
        <v/>
      </c>
      <c r="HJ875" s="1853" t="str">
        <f t="shared" si="196"/>
        <v/>
      </c>
      <c r="HK875" s="1853" t="str">
        <f t="shared" si="197"/>
        <v/>
      </c>
      <c r="HL875" s="1853" t="str">
        <f t="shared" si="198"/>
        <v/>
      </c>
      <c r="HM875" s="1853" t="str">
        <f t="shared" si="199"/>
        <v/>
      </c>
      <c r="HN875" s="1853" t="str">
        <f t="shared" si="200"/>
        <v/>
      </c>
      <c r="HO875" s="1853" t="str">
        <f t="shared" si="201"/>
        <v/>
      </c>
      <c r="HP875" s="1853" t="str">
        <f t="shared" si="202"/>
        <v/>
      </c>
      <c r="HQ875" s="1853" t="str">
        <f t="shared" si="203"/>
        <v/>
      </c>
      <c r="HR875" s="1853" t="str">
        <f t="shared" si="204"/>
        <v/>
      </c>
      <c r="HS875" s="1853" t="str">
        <f t="shared" si="205"/>
        <v/>
      </c>
      <c r="HT875" s="1853" t="str">
        <f t="shared" si="206"/>
        <v/>
      </c>
      <c r="HU875" s="1853" t="str">
        <f t="shared" si="207"/>
        <v/>
      </c>
      <c r="HV875" s="1853" t="str">
        <f t="shared" si="208"/>
        <v/>
      </c>
      <c r="HW875" s="1853" t="str">
        <f t="shared" si="209"/>
        <v/>
      </c>
      <c r="HX875" s="1853" t="str">
        <f t="shared" si="210"/>
        <v/>
      </c>
      <c r="HY875" s="1853" t="str">
        <f t="shared" si="211"/>
        <v/>
      </c>
      <c r="HZ875" s="2141" t="str">
        <f t="shared" si="212"/>
        <v/>
      </c>
      <c r="IA875" s="2141" t="str">
        <f t="shared" si="213"/>
        <v/>
      </c>
      <c r="IB875" s="2141" t="str">
        <f t="shared" si="214"/>
        <v/>
      </c>
      <c r="IC875" s="2141" t="str">
        <f t="shared" si="215"/>
        <v/>
      </c>
      <c r="ID875" s="2141" t="str">
        <f t="shared" si="216"/>
        <v/>
      </c>
      <c r="IE875" s="2141" t="str">
        <f t="shared" si="217"/>
        <v/>
      </c>
      <c r="IF875" s="2141" t="str">
        <f t="shared" si="218"/>
        <v/>
      </c>
      <c r="IG875" s="2141" t="str">
        <f t="shared" si="219"/>
        <v/>
      </c>
      <c r="IH875" s="2141" t="str">
        <f t="shared" si="220"/>
        <v/>
      </c>
      <c r="II875" s="2141" t="str">
        <f t="shared" si="221"/>
        <v/>
      </c>
      <c r="IJ875" s="2141" t="str">
        <f t="shared" si="222"/>
        <v/>
      </c>
      <c r="IK875" s="2141" t="str">
        <f t="shared" si="223"/>
        <v/>
      </c>
      <c r="IL875" s="2141" t="str">
        <f t="shared" si="224"/>
        <v/>
      </c>
      <c r="IM875" s="2141" t="str">
        <f t="shared" si="225"/>
        <v/>
      </c>
      <c r="IN875" s="2141" t="str">
        <f t="shared" si="226"/>
        <v/>
      </c>
      <c r="IO875" s="2141" t="str">
        <f t="shared" si="227"/>
        <v/>
      </c>
      <c r="IP875" s="2141" t="str">
        <f t="shared" si="228"/>
        <v/>
      </c>
      <c r="IQ875" s="2141" t="str">
        <f t="shared" si="229"/>
        <v/>
      </c>
      <c r="IR875" s="2141" t="str">
        <f t="shared" si="230"/>
        <v/>
      </c>
      <c r="IS875" s="2141" t="str">
        <f t="shared" si="231"/>
        <v/>
      </c>
      <c r="IT875" s="2141" t="str">
        <f t="shared" si="232"/>
        <v/>
      </c>
      <c r="IU875" s="2141" t="str">
        <f t="shared" si="233"/>
        <v/>
      </c>
      <c r="IV875" s="2141" t="str">
        <f t="shared" si="234"/>
        <v/>
      </c>
      <c r="IW875" s="2141" t="str">
        <f t="shared" si="235"/>
        <v/>
      </c>
      <c r="IX875" s="2141" t="str">
        <f t="shared" si="236"/>
        <v/>
      </c>
      <c r="IY875" s="2141" t="str">
        <f t="shared" si="237"/>
        <v/>
      </c>
      <c r="IZ875" s="2141" t="str">
        <f t="shared" si="238"/>
        <v/>
      </c>
      <c r="JA875" s="2141" t="str">
        <f t="shared" si="239"/>
        <v/>
      </c>
      <c r="JB875" s="2141" t="str">
        <f t="shared" si="240"/>
        <v/>
      </c>
      <c r="JC875" s="2141" t="str">
        <f t="shared" si="241"/>
        <v/>
      </c>
      <c r="JD875" s="2141" t="str">
        <f t="shared" si="242"/>
        <v/>
      </c>
      <c r="JE875" s="2141" t="str">
        <f t="shared" si="243"/>
        <v/>
      </c>
      <c r="JF875" s="2141" t="str">
        <f t="shared" si="244"/>
        <v/>
      </c>
      <c r="JG875" s="2141" t="str">
        <f t="shared" si="245"/>
        <v/>
      </c>
      <c r="JH875" s="2141" t="str">
        <f t="shared" si="246"/>
        <v/>
      </c>
      <c r="JI875" s="2141" t="str">
        <f t="shared" si="247"/>
        <v/>
      </c>
      <c r="JJ875" s="2141" t="str">
        <f t="shared" si="248"/>
        <v/>
      </c>
      <c r="JK875" s="2141" t="str">
        <f t="shared" si="249"/>
        <v/>
      </c>
      <c r="JL875" s="2141" t="str">
        <f t="shared" si="250"/>
        <v/>
      </c>
      <c r="JM875" s="2141" t="str">
        <f t="shared" si="251"/>
        <v/>
      </c>
      <c r="JN875" s="2141" t="str">
        <f t="shared" si="252"/>
        <v/>
      </c>
      <c r="JO875" s="2141" t="str">
        <f t="shared" si="253"/>
        <v/>
      </c>
      <c r="JP875" s="2141" t="str">
        <f t="shared" si="254"/>
        <v/>
      </c>
      <c r="JQ875" s="2141" t="str">
        <f t="shared" si="255"/>
        <v/>
      </c>
      <c r="JR875" s="2141" t="str">
        <f t="shared" si="256"/>
        <v/>
      </c>
      <c r="JS875" s="2141" t="str">
        <f t="shared" si="257"/>
        <v/>
      </c>
      <c r="JT875" s="2141" t="str">
        <f t="shared" si="258"/>
        <v/>
      </c>
      <c r="JU875" s="2141" t="str">
        <f t="shared" si="259"/>
        <v/>
      </c>
      <c r="JV875" s="2141" t="str">
        <f t="shared" si="260"/>
        <v/>
      </c>
      <c r="JW875" s="2141" t="str">
        <f t="shared" si="261"/>
        <v/>
      </c>
      <c r="JX875" s="2141" t="str">
        <f t="shared" si="262"/>
        <v/>
      </c>
      <c r="JY875" s="2141" t="str">
        <f t="shared" si="263"/>
        <v/>
      </c>
      <c r="JZ875" s="2141" t="str">
        <f t="shared" si="264"/>
        <v/>
      </c>
      <c r="KA875" s="2141" t="str">
        <f t="shared" si="265"/>
        <v/>
      </c>
      <c r="KB875" s="2141" t="str">
        <f t="shared" si="266"/>
        <v/>
      </c>
      <c r="KC875" s="2141" t="str">
        <f t="shared" si="267"/>
        <v/>
      </c>
      <c r="KD875" s="2141" t="str">
        <f t="shared" si="268"/>
        <v/>
      </c>
      <c r="KE875" s="2141" t="str">
        <f t="shared" si="269"/>
        <v/>
      </c>
      <c r="KF875" s="2141" t="str">
        <f t="shared" si="270"/>
        <v/>
      </c>
      <c r="KG875" s="2141" t="str">
        <f t="shared" si="271"/>
        <v/>
      </c>
      <c r="KH875" s="2141" t="str">
        <f t="shared" si="272"/>
        <v/>
      </c>
      <c r="KI875" s="2141" t="str">
        <f t="shared" si="273"/>
        <v/>
      </c>
      <c r="KJ875" s="2141" t="str">
        <f t="shared" si="274"/>
        <v/>
      </c>
      <c r="KK875" s="2141" t="str">
        <f t="shared" si="275"/>
        <v/>
      </c>
      <c r="KL875" s="2141" t="str">
        <f t="shared" si="276"/>
        <v/>
      </c>
      <c r="KM875" s="2141" t="str">
        <f t="shared" si="277"/>
        <v/>
      </c>
      <c r="KN875" s="2141" t="str">
        <f t="shared" si="278"/>
        <v/>
      </c>
      <c r="KO875" s="2141" t="str">
        <f t="shared" si="279"/>
        <v/>
      </c>
      <c r="KP875" s="2141" t="str">
        <f t="shared" si="280"/>
        <v/>
      </c>
      <c r="KQ875" s="2141" t="str">
        <f t="shared" si="281"/>
        <v/>
      </c>
      <c r="KR875" s="2141" t="str">
        <f t="shared" si="282"/>
        <v/>
      </c>
      <c r="KS875" s="2141" t="str">
        <f t="shared" si="283"/>
        <v/>
      </c>
      <c r="KT875" s="2141" t="str">
        <f t="shared" si="284"/>
        <v/>
      </c>
      <c r="KU875" s="2141" t="str">
        <f t="shared" si="285"/>
        <v/>
      </c>
      <c r="KV875" s="2141" t="str">
        <f t="shared" si="286"/>
        <v/>
      </c>
      <c r="KW875" s="2141" t="str">
        <f t="shared" si="287"/>
        <v/>
      </c>
      <c r="KX875" s="2141" t="str">
        <f t="shared" si="288"/>
        <v/>
      </c>
      <c r="KY875" s="2141" t="str">
        <f t="shared" si="289"/>
        <v/>
      </c>
      <c r="KZ875" s="2141" t="str">
        <f t="shared" si="290"/>
        <v/>
      </c>
      <c r="LA875" s="2141" t="str">
        <f t="shared" si="291"/>
        <v/>
      </c>
      <c r="LB875" s="2141" t="str">
        <f t="shared" si="292"/>
        <v/>
      </c>
      <c r="LC875" s="2141" t="str">
        <f t="shared" si="293"/>
        <v/>
      </c>
      <c r="LD875" s="2141" t="str">
        <f t="shared" si="294"/>
        <v/>
      </c>
      <c r="LE875" s="2141" t="str">
        <f t="shared" si="295"/>
        <v/>
      </c>
      <c r="LF875" s="2141" t="str">
        <f t="shared" si="296"/>
        <v/>
      </c>
      <c r="LG875" s="2052" t="str">
        <f t="shared" si="297"/>
        <v/>
      </c>
      <c r="LH875" s="2052" t="str">
        <f t="shared" si="298"/>
        <v/>
      </c>
      <c r="LI875" s="2052" t="str">
        <f t="shared" si="299"/>
        <v/>
      </c>
      <c r="LJ875" s="2052" t="str">
        <f t="shared" si="300"/>
        <v/>
      </c>
      <c r="LK875" s="2052" t="str">
        <f t="shared" si="301"/>
        <v/>
      </c>
      <c r="LL875" s="1853" t="str">
        <f t="shared" si="302"/>
        <v/>
      </c>
      <c r="LM875" s="1853" t="str">
        <f t="shared" si="303"/>
        <v/>
      </c>
      <c r="LN875" s="1853" t="str">
        <f t="shared" si="304"/>
        <v/>
      </c>
      <c r="LO875" s="1853" t="str">
        <f t="shared" si="305"/>
        <v/>
      </c>
      <c r="LP875" s="1853" t="str">
        <f t="shared" si="306"/>
        <v/>
      </c>
      <c r="LQ875" s="1853" t="str">
        <f t="shared" si="307"/>
        <v/>
      </c>
      <c r="LR875" s="1853" t="str">
        <f t="shared" si="308"/>
        <v/>
      </c>
      <c r="LS875" s="1853" t="str">
        <f t="shared" si="309"/>
        <v/>
      </c>
      <c r="LT875" s="1853" t="str">
        <f t="shared" si="310"/>
        <v/>
      </c>
      <c r="LU875" s="1853" t="str">
        <f t="shared" si="311"/>
        <v/>
      </c>
      <c r="LV875" s="1853" t="str">
        <f t="shared" si="312"/>
        <v/>
      </c>
      <c r="LW875" s="1853" t="str">
        <f t="shared" si="313"/>
        <v/>
      </c>
      <c r="LX875" s="1853" t="str">
        <f t="shared" si="314"/>
        <v/>
      </c>
      <c r="LY875" s="1853" t="str">
        <f t="shared" si="315"/>
        <v/>
      </c>
      <c r="LZ875" s="1853" t="str">
        <f t="shared" si="316"/>
        <v/>
      </c>
      <c r="MA875" s="1853" t="str">
        <f t="shared" si="317"/>
        <v/>
      </c>
      <c r="MB875" s="1853" t="str">
        <f t="shared" si="318"/>
        <v/>
      </c>
      <c r="MC875" s="1853" t="str">
        <f t="shared" si="319"/>
        <v/>
      </c>
      <c r="MD875" s="1853" t="str">
        <f t="shared" si="320"/>
        <v/>
      </c>
      <c r="ME875" s="1853" t="str">
        <f t="shared" si="321"/>
        <v/>
      </c>
      <c r="MF875" s="2052">
        <f t="shared" si="328"/>
        <v>0</v>
      </c>
      <c r="MG875" s="2052">
        <f t="shared" si="329"/>
        <v>0</v>
      </c>
      <c r="MH875" s="2052">
        <f t="shared" si="330"/>
        <v>0</v>
      </c>
      <c r="MI875" s="2052">
        <f t="shared" si="331"/>
        <v>0</v>
      </c>
      <c r="MJ875" s="2052">
        <f t="shared" si="332"/>
        <v>0</v>
      </c>
      <c r="MK875" s="2052">
        <f t="shared" si="333"/>
        <v>0</v>
      </c>
      <c r="ML875" s="2052">
        <f t="shared" si="334"/>
        <v>0</v>
      </c>
      <c r="MM875" s="2052">
        <f t="shared" si="335"/>
        <v>0</v>
      </c>
      <c r="MN875" s="2052">
        <f t="shared" si="336"/>
        <v>0</v>
      </c>
      <c r="MO875" s="2052">
        <f t="shared" si="337"/>
        <v>0</v>
      </c>
      <c r="MP875" s="2052">
        <f t="shared" si="322"/>
        <v>0</v>
      </c>
      <c r="MQ875" s="2052">
        <f t="shared" si="323"/>
        <v>0</v>
      </c>
      <c r="MR875" s="2052">
        <f t="shared" si="324"/>
        <v>0</v>
      </c>
      <c r="MS875" s="2052">
        <f t="shared" si="325"/>
        <v>0</v>
      </c>
      <c r="MT875" s="2052">
        <f t="shared" si="326"/>
        <v>0</v>
      </c>
      <c r="NP875" s="1925" t="s">
        <v>6741</v>
      </c>
    </row>
    <row r="876" spans="1:380" s="1853" customFormat="1" ht="13.9" customHeight="1">
      <c r="A876" s="2109" t="str">
        <f t="shared" si="327"/>
        <v/>
      </c>
      <c r="B876" s="2131">
        <f>'Part VI-Revenues &amp; Expenses'!B36</f>
        <v>0</v>
      </c>
      <c r="C876" s="2132">
        <f>'Part VI-Revenues &amp; Expenses'!C36</f>
        <v>0</v>
      </c>
      <c r="D876" s="2133">
        <f>'Part VI-Revenues &amp; Expenses'!D36</f>
        <v>0</v>
      </c>
      <c r="E876" s="2134">
        <f>'Part VI-Revenues &amp; Expenses'!E36</f>
        <v>0</v>
      </c>
      <c r="F876" s="2134">
        <f>'Part VI-Revenues &amp; Expenses'!F36</f>
        <v>0</v>
      </c>
      <c r="G876" s="2134">
        <f>'Part VI-Revenues &amp; Expenses'!G36</f>
        <v>0</v>
      </c>
      <c r="H876" s="2134">
        <f>'Part VI-Revenues &amp; Expenses'!H36</f>
        <v>0</v>
      </c>
      <c r="I876" s="2134">
        <f>'Part VI-Revenues &amp; Expenses'!I36</f>
        <v>0</v>
      </c>
      <c r="J876" s="2134">
        <f>'Part VI-Revenues &amp; Expenses'!J36</f>
        <v>0</v>
      </c>
      <c r="K876" s="2135">
        <f>'Part VI-Revenues &amp; Expenses'!K36</f>
        <v>0</v>
      </c>
      <c r="L876" s="2136">
        <f t="shared" si="0"/>
        <v>0</v>
      </c>
      <c r="M876" s="2136">
        <f t="shared" si="1"/>
        <v>0</v>
      </c>
      <c r="N876" s="1917">
        <f>'Part VI-Revenues &amp; Expenses'!N36</f>
        <v>0</v>
      </c>
      <c r="O876" s="2137">
        <f>'Part VI-Revenues &amp; Expenses'!O36</f>
        <v>0</v>
      </c>
      <c r="P876" s="1917">
        <f>'Part VI-Revenues &amp; Expenses'!P36</f>
        <v>0</v>
      </c>
      <c r="Q876" s="2138">
        <f>'Part VI-Revenues &amp; Expenses'!Q36</f>
        <v>0</v>
      </c>
      <c r="R876" s="2139"/>
      <c r="S876" s="2140"/>
      <c r="T876" s="2044"/>
      <c r="U876" s="2044"/>
      <c r="V876" s="2044"/>
      <c r="W876" s="2044"/>
      <c r="X876" s="1853" t="str">
        <f t="shared" si="2"/>
        <v/>
      </c>
      <c r="Y876" s="1853" t="str">
        <f t="shared" si="3"/>
        <v/>
      </c>
      <c r="Z876" s="1853" t="str">
        <f t="shared" si="4"/>
        <v/>
      </c>
      <c r="AA876" s="1853" t="str">
        <f t="shared" si="5"/>
        <v/>
      </c>
      <c r="AB876" s="1853" t="str">
        <f t="shared" si="6"/>
        <v/>
      </c>
      <c r="AC876" s="1853" t="str">
        <f t="shared" si="7"/>
        <v/>
      </c>
      <c r="AD876" s="1853" t="str">
        <f t="shared" si="8"/>
        <v/>
      </c>
      <c r="AE876" s="1853" t="str">
        <f t="shared" si="9"/>
        <v/>
      </c>
      <c r="AF876" s="1853" t="str">
        <f t="shared" si="10"/>
        <v/>
      </c>
      <c r="AG876" s="1853" t="str">
        <f t="shared" si="11"/>
        <v/>
      </c>
      <c r="AH876" s="1853" t="str">
        <f t="shared" si="12"/>
        <v/>
      </c>
      <c r="AI876" s="1853" t="str">
        <f t="shared" si="13"/>
        <v/>
      </c>
      <c r="AJ876" s="1853" t="str">
        <f t="shared" si="14"/>
        <v/>
      </c>
      <c r="AK876" s="1853" t="str">
        <f t="shared" si="15"/>
        <v/>
      </c>
      <c r="AL876" s="1853" t="str">
        <f t="shared" si="16"/>
        <v/>
      </c>
      <c r="AM876" s="1853" t="str">
        <f t="shared" si="17"/>
        <v/>
      </c>
      <c r="AN876" s="1853" t="str">
        <f t="shared" si="18"/>
        <v/>
      </c>
      <c r="AO876" s="1853" t="str">
        <f t="shared" si="19"/>
        <v/>
      </c>
      <c r="AP876" s="1853" t="str">
        <f t="shared" si="20"/>
        <v/>
      </c>
      <c r="AQ876" s="1853" t="str">
        <f t="shared" si="21"/>
        <v/>
      </c>
      <c r="AR876" s="1853" t="str">
        <f t="shared" si="22"/>
        <v/>
      </c>
      <c r="AS876" s="1853" t="str">
        <f t="shared" si="23"/>
        <v/>
      </c>
      <c r="AT876" s="1853" t="str">
        <f t="shared" si="24"/>
        <v/>
      </c>
      <c r="AU876" s="1853" t="str">
        <f t="shared" si="25"/>
        <v/>
      </c>
      <c r="AV876" s="1853" t="str">
        <f t="shared" si="26"/>
        <v/>
      </c>
      <c r="AW876" s="1853" t="str">
        <f t="shared" si="27"/>
        <v/>
      </c>
      <c r="AX876" s="1853" t="str">
        <f t="shared" si="28"/>
        <v/>
      </c>
      <c r="AY876" s="1853" t="str">
        <f t="shared" si="29"/>
        <v/>
      </c>
      <c r="AZ876" s="1853" t="str">
        <f t="shared" si="30"/>
        <v/>
      </c>
      <c r="BA876" s="1853" t="str">
        <f t="shared" si="31"/>
        <v/>
      </c>
      <c r="BB876" s="1853" t="str">
        <f t="shared" si="32"/>
        <v/>
      </c>
      <c r="BC876" s="1853" t="str">
        <f t="shared" si="33"/>
        <v/>
      </c>
      <c r="BD876" s="1853" t="str">
        <f t="shared" si="34"/>
        <v/>
      </c>
      <c r="BE876" s="1853" t="str">
        <f t="shared" si="35"/>
        <v/>
      </c>
      <c r="BF876" s="1853" t="str">
        <f t="shared" si="36"/>
        <v/>
      </c>
      <c r="BG876" s="1853" t="str">
        <f t="shared" si="37"/>
        <v/>
      </c>
      <c r="BH876" s="1853" t="str">
        <f t="shared" si="38"/>
        <v/>
      </c>
      <c r="BI876" s="1853" t="str">
        <f t="shared" si="39"/>
        <v/>
      </c>
      <c r="BJ876" s="1853" t="str">
        <f t="shared" si="40"/>
        <v/>
      </c>
      <c r="BK876" s="1853" t="str">
        <f t="shared" si="41"/>
        <v/>
      </c>
      <c r="BL876" s="1853" t="str">
        <f t="shared" si="42"/>
        <v/>
      </c>
      <c r="BM876" s="1853" t="str">
        <f t="shared" si="43"/>
        <v/>
      </c>
      <c r="BN876" s="1853" t="str">
        <f t="shared" si="44"/>
        <v/>
      </c>
      <c r="BO876" s="1853" t="str">
        <f t="shared" si="45"/>
        <v/>
      </c>
      <c r="BP876" s="1853" t="str">
        <f t="shared" si="46"/>
        <v/>
      </c>
      <c r="BQ876" s="1853" t="str">
        <f t="shared" si="47"/>
        <v/>
      </c>
      <c r="BR876" s="1853" t="str">
        <f t="shared" si="48"/>
        <v/>
      </c>
      <c r="BS876" s="1853" t="str">
        <f t="shared" si="49"/>
        <v/>
      </c>
      <c r="BT876" s="1853" t="str">
        <f t="shared" si="50"/>
        <v/>
      </c>
      <c r="BU876" s="1853" t="str">
        <f t="shared" si="51"/>
        <v/>
      </c>
      <c r="BV876" s="1853" t="str">
        <f t="shared" si="52"/>
        <v/>
      </c>
      <c r="BW876" s="1853" t="str">
        <f t="shared" si="53"/>
        <v/>
      </c>
      <c r="BX876" s="1853" t="str">
        <f t="shared" si="54"/>
        <v/>
      </c>
      <c r="BY876" s="1853" t="str">
        <f t="shared" si="55"/>
        <v/>
      </c>
      <c r="BZ876" s="1853" t="str">
        <f t="shared" si="56"/>
        <v/>
      </c>
      <c r="CA876" s="1853" t="str">
        <f t="shared" si="57"/>
        <v/>
      </c>
      <c r="CB876" s="1853" t="str">
        <f t="shared" si="58"/>
        <v/>
      </c>
      <c r="CC876" s="1853" t="str">
        <f t="shared" si="59"/>
        <v/>
      </c>
      <c r="CD876" s="1853" t="str">
        <f t="shared" si="60"/>
        <v/>
      </c>
      <c r="CE876" s="1853" t="str">
        <f t="shared" si="61"/>
        <v/>
      </c>
      <c r="CF876" s="1853" t="str">
        <f t="shared" si="62"/>
        <v/>
      </c>
      <c r="CG876" s="1853" t="str">
        <f t="shared" si="63"/>
        <v/>
      </c>
      <c r="CH876" s="1853" t="str">
        <f t="shared" si="64"/>
        <v/>
      </c>
      <c r="CI876" s="1853" t="str">
        <f t="shared" si="65"/>
        <v/>
      </c>
      <c r="CJ876" s="1853" t="str">
        <f t="shared" si="66"/>
        <v/>
      </c>
      <c r="CK876" s="1853" t="str">
        <f t="shared" si="67"/>
        <v/>
      </c>
      <c r="CL876" s="1853" t="str">
        <f t="shared" si="68"/>
        <v/>
      </c>
      <c r="CM876" s="1853" t="str">
        <f t="shared" si="69"/>
        <v/>
      </c>
      <c r="CN876" s="1853" t="str">
        <f t="shared" si="70"/>
        <v/>
      </c>
      <c r="CO876" s="1853" t="str">
        <f t="shared" si="71"/>
        <v/>
      </c>
      <c r="CP876" s="1853" t="str">
        <f t="shared" si="72"/>
        <v/>
      </c>
      <c r="CQ876" s="1853" t="str">
        <f t="shared" si="73"/>
        <v/>
      </c>
      <c r="CR876" s="1853" t="str">
        <f t="shared" si="74"/>
        <v/>
      </c>
      <c r="CS876" s="1853" t="str">
        <f t="shared" si="75"/>
        <v/>
      </c>
      <c r="CT876" s="1853" t="str">
        <f t="shared" si="76"/>
        <v/>
      </c>
      <c r="CU876" s="1853" t="str">
        <f t="shared" si="77"/>
        <v/>
      </c>
      <c r="CV876" s="1853" t="str">
        <f t="shared" si="78"/>
        <v/>
      </c>
      <c r="CW876" s="1853" t="str">
        <f t="shared" si="79"/>
        <v/>
      </c>
      <c r="CX876" s="1853" t="str">
        <f t="shared" si="80"/>
        <v/>
      </c>
      <c r="CY876" s="1853" t="str">
        <f t="shared" si="81"/>
        <v/>
      </c>
      <c r="CZ876" s="1853" t="str">
        <f t="shared" si="82"/>
        <v/>
      </c>
      <c r="DA876" s="1853" t="str">
        <f t="shared" si="83"/>
        <v/>
      </c>
      <c r="DB876" s="1853" t="str">
        <f t="shared" si="84"/>
        <v/>
      </c>
      <c r="DC876" s="1853" t="str">
        <f t="shared" si="85"/>
        <v/>
      </c>
      <c r="DD876" s="1853" t="str">
        <f t="shared" si="86"/>
        <v/>
      </c>
      <c r="DE876" s="1853" t="str">
        <f t="shared" si="87"/>
        <v/>
      </c>
      <c r="DF876" s="1853" t="str">
        <f t="shared" si="88"/>
        <v/>
      </c>
      <c r="DG876" s="1853" t="str">
        <f t="shared" si="89"/>
        <v/>
      </c>
      <c r="DH876" s="1853" t="str">
        <f t="shared" si="90"/>
        <v/>
      </c>
      <c r="DI876" s="1853" t="str">
        <f t="shared" si="91"/>
        <v/>
      </c>
      <c r="DJ876" s="1853" t="str">
        <f t="shared" si="92"/>
        <v/>
      </c>
      <c r="DK876" s="1853" t="str">
        <f t="shared" si="93"/>
        <v/>
      </c>
      <c r="DL876" s="1853" t="str">
        <f t="shared" si="94"/>
        <v/>
      </c>
      <c r="DM876" s="1853" t="str">
        <f t="shared" si="95"/>
        <v/>
      </c>
      <c r="DN876" s="1853" t="str">
        <f t="shared" si="96"/>
        <v/>
      </c>
      <c r="DO876" s="1853" t="str">
        <f t="shared" si="97"/>
        <v/>
      </c>
      <c r="DP876" s="1853" t="str">
        <f t="shared" si="98"/>
        <v/>
      </c>
      <c r="DQ876" s="1853" t="str">
        <f t="shared" si="99"/>
        <v/>
      </c>
      <c r="DR876" s="1853" t="str">
        <f t="shared" si="100"/>
        <v/>
      </c>
      <c r="DS876" s="1853" t="str">
        <f t="shared" si="101"/>
        <v/>
      </c>
      <c r="DT876" s="1853" t="str">
        <f t="shared" si="102"/>
        <v/>
      </c>
      <c r="DU876" s="1853" t="str">
        <f t="shared" si="103"/>
        <v/>
      </c>
      <c r="DV876" s="1853" t="str">
        <f t="shared" si="104"/>
        <v/>
      </c>
      <c r="DW876" s="1853" t="str">
        <f t="shared" si="105"/>
        <v/>
      </c>
      <c r="DX876" s="1853" t="str">
        <f t="shared" si="106"/>
        <v/>
      </c>
      <c r="DY876" s="1853" t="str">
        <f t="shared" si="107"/>
        <v/>
      </c>
      <c r="DZ876" s="1853" t="str">
        <f t="shared" si="108"/>
        <v/>
      </c>
      <c r="EA876" s="1853" t="str">
        <f t="shared" si="109"/>
        <v/>
      </c>
      <c r="EB876" s="1853" t="str">
        <f t="shared" si="110"/>
        <v/>
      </c>
      <c r="EC876" s="1853" t="str">
        <f t="shared" si="111"/>
        <v/>
      </c>
      <c r="ED876" s="1853" t="str">
        <f t="shared" si="112"/>
        <v/>
      </c>
      <c r="EE876" s="1853" t="str">
        <f t="shared" si="113"/>
        <v/>
      </c>
      <c r="EF876" s="1853" t="str">
        <f t="shared" si="114"/>
        <v/>
      </c>
      <c r="EG876" s="1853" t="str">
        <f t="shared" si="115"/>
        <v/>
      </c>
      <c r="EH876" s="1853" t="str">
        <f t="shared" si="116"/>
        <v/>
      </c>
      <c r="EI876" s="1853" t="str">
        <f t="shared" si="117"/>
        <v/>
      </c>
      <c r="EJ876" s="1853" t="str">
        <f t="shared" si="118"/>
        <v/>
      </c>
      <c r="EK876" s="1853" t="str">
        <f t="shared" si="119"/>
        <v/>
      </c>
      <c r="EL876" s="1853" t="str">
        <f t="shared" si="120"/>
        <v/>
      </c>
      <c r="EM876" s="1853" t="str">
        <f t="shared" si="121"/>
        <v/>
      </c>
      <c r="EN876" s="1853" t="str">
        <f t="shared" si="122"/>
        <v/>
      </c>
      <c r="EO876" s="1853" t="str">
        <f t="shared" si="123"/>
        <v/>
      </c>
      <c r="EP876" s="1853" t="str">
        <f t="shared" si="124"/>
        <v/>
      </c>
      <c r="EQ876" s="1853" t="str">
        <f t="shared" si="125"/>
        <v/>
      </c>
      <c r="ER876" s="1853" t="str">
        <f t="shared" si="126"/>
        <v/>
      </c>
      <c r="ES876" s="1853" t="str">
        <f t="shared" si="127"/>
        <v/>
      </c>
      <c r="ET876" s="1853" t="str">
        <f t="shared" si="128"/>
        <v/>
      </c>
      <c r="EU876" s="1853" t="str">
        <f t="shared" si="129"/>
        <v/>
      </c>
      <c r="EV876" s="1853" t="str">
        <f t="shared" si="130"/>
        <v/>
      </c>
      <c r="EW876" s="1853" t="str">
        <f t="shared" si="131"/>
        <v/>
      </c>
      <c r="EX876" s="1853" t="str">
        <f t="shared" si="132"/>
        <v/>
      </c>
      <c r="EY876" s="1853" t="str">
        <f t="shared" si="133"/>
        <v/>
      </c>
      <c r="EZ876" s="1853" t="str">
        <f t="shared" si="134"/>
        <v/>
      </c>
      <c r="FA876" s="1853" t="str">
        <f t="shared" si="135"/>
        <v/>
      </c>
      <c r="FB876" s="1853" t="str">
        <f t="shared" si="136"/>
        <v/>
      </c>
      <c r="FC876" s="1853" t="str">
        <f t="shared" si="137"/>
        <v/>
      </c>
      <c r="FD876" s="1853" t="str">
        <f t="shared" si="138"/>
        <v/>
      </c>
      <c r="FE876" s="1853" t="str">
        <f t="shared" si="139"/>
        <v/>
      </c>
      <c r="FF876" s="1853" t="str">
        <f t="shared" si="140"/>
        <v/>
      </c>
      <c r="FG876" s="1853" t="str">
        <f t="shared" si="141"/>
        <v/>
      </c>
      <c r="FH876" s="1853" t="str">
        <f t="shared" si="142"/>
        <v/>
      </c>
      <c r="FI876" s="1853" t="str">
        <f t="shared" si="143"/>
        <v/>
      </c>
      <c r="FJ876" s="1853" t="str">
        <f t="shared" si="144"/>
        <v/>
      </c>
      <c r="FK876" s="1853" t="str">
        <f t="shared" si="145"/>
        <v/>
      </c>
      <c r="FL876" s="1853" t="str">
        <f t="shared" si="146"/>
        <v/>
      </c>
      <c r="FM876" s="1853" t="str">
        <f t="shared" si="147"/>
        <v/>
      </c>
      <c r="FN876" s="1853" t="str">
        <f t="shared" si="148"/>
        <v/>
      </c>
      <c r="FO876" s="1853" t="str">
        <f t="shared" si="149"/>
        <v/>
      </c>
      <c r="FP876" s="1853" t="str">
        <f t="shared" si="150"/>
        <v/>
      </c>
      <c r="FQ876" s="1853" t="str">
        <f t="shared" si="151"/>
        <v/>
      </c>
      <c r="FR876" s="1853" t="str">
        <f t="shared" si="152"/>
        <v/>
      </c>
      <c r="FS876" s="1853" t="str">
        <f t="shared" si="153"/>
        <v/>
      </c>
      <c r="FT876" s="1853" t="str">
        <f t="shared" si="154"/>
        <v/>
      </c>
      <c r="FU876" s="1853" t="str">
        <f t="shared" si="155"/>
        <v/>
      </c>
      <c r="FV876" s="1853" t="str">
        <f t="shared" si="156"/>
        <v/>
      </c>
      <c r="FW876" s="1853" t="str">
        <f t="shared" si="157"/>
        <v/>
      </c>
      <c r="FX876" s="1853" t="str">
        <f t="shared" si="158"/>
        <v/>
      </c>
      <c r="FY876" s="1853" t="str">
        <f t="shared" si="159"/>
        <v/>
      </c>
      <c r="FZ876" s="1853" t="str">
        <f t="shared" si="160"/>
        <v/>
      </c>
      <c r="GA876" s="1853" t="str">
        <f t="shared" si="161"/>
        <v/>
      </c>
      <c r="GB876" s="1853" t="str">
        <f t="shared" si="162"/>
        <v/>
      </c>
      <c r="GC876" s="1853" t="str">
        <f t="shared" si="163"/>
        <v/>
      </c>
      <c r="GD876" s="1853" t="str">
        <f t="shared" si="164"/>
        <v/>
      </c>
      <c r="GE876" s="1853" t="str">
        <f t="shared" si="165"/>
        <v/>
      </c>
      <c r="GF876" s="1853" t="str">
        <f t="shared" si="166"/>
        <v/>
      </c>
      <c r="GG876" s="1853" t="str">
        <f t="shared" si="167"/>
        <v/>
      </c>
      <c r="GH876" s="1853" t="str">
        <f t="shared" si="168"/>
        <v/>
      </c>
      <c r="GI876" s="1853" t="str">
        <f t="shared" si="169"/>
        <v/>
      </c>
      <c r="GJ876" s="1853" t="str">
        <f t="shared" si="170"/>
        <v/>
      </c>
      <c r="GK876" s="1853" t="str">
        <f t="shared" si="171"/>
        <v/>
      </c>
      <c r="GL876" s="1853" t="str">
        <f t="shared" si="172"/>
        <v/>
      </c>
      <c r="GM876" s="1853" t="str">
        <f t="shared" si="173"/>
        <v/>
      </c>
      <c r="GN876" s="1853" t="str">
        <f t="shared" si="174"/>
        <v/>
      </c>
      <c r="GO876" s="1853" t="str">
        <f t="shared" si="175"/>
        <v/>
      </c>
      <c r="GP876" s="1853" t="str">
        <f t="shared" si="176"/>
        <v/>
      </c>
      <c r="GQ876" s="1853" t="str">
        <f t="shared" si="177"/>
        <v/>
      </c>
      <c r="GR876" s="1853" t="str">
        <f t="shared" si="178"/>
        <v/>
      </c>
      <c r="GS876" s="1853" t="str">
        <f t="shared" si="179"/>
        <v/>
      </c>
      <c r="GT876" s="1853" t="str">
        <f t="shared" si="180"/>
        <v/>
      </c>
      <c r="GU876" s="1853" t="str">
        <f t="shared" si="181"/>
        <v/>
      </c>
      <c r="GV876" s="1853" t="str">
        <f t="shared" si="182"/>
        <v/>
      </c>
      <c r="GW876" s="1853" t="str">
        <f t="shared" si="183"/>
        <v/>
      </c>
      <c r="GX876" s="1853" t="str">
        <f t="shared" si="184"/>
        <v/>
      </c>
      <c r="GY876" s="1853" t="str">
        <f t="shared" si="185"/>
        <v/>
      </c>
      <c r="GZ876" s="1853" t="str">
        <f t="shared" si="186"/>
        <v/>
      </c>
      <c r="HA876" s="1853" t="str">
        <f t="shared" si="187"/>
        <v/>
      </c>
      <c r="HB876" s="1853" t="str">
        <f t="shared" si="188"/>
        <v/>
      </c>
      <c r="HC876" s="1853" t="str">
        <f t="shared" si="189"/>
        <v/>
      </c>
      <c r="HD876" s="1853" t="str">
        <f t="shared" si="190"/>
        <v/>
      </c>
      <c r="HE876" s="1853" t="str">
        <f t="shared" si="191"/>
        <v/>
      </c>
      <c r="HF876" s="1853" t="str">
        <f t="shared" si="192"/>
        <v/>
      </c>
      <c r="HG876" s="1853" t="str">
        <f t="shared" si="193"/>
        <v/>
      </c>
      <c r="HH876" s="1853" t="str">
        <f t="shared" si="194"/>
        <v/>
      </c>
      <c r="HI876" s="1853" t="str">
        <f t="shared" si="195"/>
        <v/>
      </c>
      <c r="HJ876" s="1853" t="str">
        <f t="shared" si="196"/>
        <v/>
      </c>
      <c r="HK876" s="1853" t="str">
        <f t="shared" si="197"/>
        <v/>
      </c>
      <c r="HL876" s="1853" t="str">
        <f t="shared" si="198"/>
        <v/>
      </c>
      <c r="HM876" s="1853" t="str">
        <f t="shared" si="199"/>
        <v/>
      </c>
      <c r="HN876" s="1853" t="str">
        <f t="shared" si="200"/>
        <v/>
      </c>
      <c r="HO876" s="1853" t="str">
        <f t="shared" si="201"/>
        <v/>
      </c>
      <c r="HP876" s="1853" t="str">
        <f t="shared" si="202"/>
        <v/>
      </c>
      <c r="HQ876" s="1853" t="str">
        <f t="shared" si="203"/>
        <v/>
      </c>
      <c r="HR876" s="1853" t="str">
        <f t="shared" si="204"/>
        <v/>
      </c>
      <c r="HS876" s="1853" t="str">
        <f t="shared" si="205"/>
        <v/>
      </c>
      <c r="HT876" s="1853" t="str">
        <f t="shared" si="206"/>
        <v/>
      </c>
      <c r="HU876" s="1853" t="str">
        <f t="shared" si="207"/>
        <v/>
      </c>
      <c r="HV876" s="1853" t="str">
        <f t="shared" si="208"/>
        <v/>
      </c>
      <c r="HW876" s="1853" t="str">
        <f t="shared" si="209"/>
        <v/>
      </c>
      <c r="HX876" s="1853" t="str">
        <f t="shared" si="210"/>
        <v/>
      </c>
      <c r="HY876" s="1853" t="str">
        <f t="shared" si="211"/>
        <v/>
      </c>
      <c r="HZ876" s="2141" t="str">
        <f t="shared" si="212"/>
        <v/>
      </c>
      <c r="IA876" s="2141" t="str">
        <f t="shared" si="213"/>
        <v/>
      </c>
      <c r="IB876" s="2141" t="str">
        <f t="shared" si="214"/>
        <v/>
      </c>
      <c r="IC876" s="2141" t="str">
        <f t="shared" si="215"/>
        <v/>
      </c>
      <c r="ID876" s="2141" t="str">
        <f t="shared" si="216"/>
        <v/>
      </c>
      <c r="IE876" s="2141" t="str">
        <f t="shared" si="217"/>
        <v/>
      </c>
      <c r="IF876" s="2141" t="str">
        <f t="shared" si="218"/>
        <v/>
      </c>
      <c r="IG876" s="2141" t="str">
        <f t="shared" si="219"/>
        <v/>
      </c>
      <c r="IH876" s="2141" t="str">
        <f t="shared" si="220"/>
        <v/>
      </c>
      <c r="II876" s="2141" t="str">
        <f t="shared" si="221"/>
        <v/>
      </c>
      <c r="IJ876" s="2141" t="str">
        <f t="shared" si="222"/>
        <v/>
      </c>
      <c r="IK876" s="2141" t="str">
        <f t="shared" si="223"/>
        <v/>
      </c>
      <c r="IL876" s="2141" t="str">
        <f t="shared" si="224"/>
        <v/>
      </c>
      <c r="IM876" s="2141" t="str">
        <f t="shared" si="225"/>
        <v/>
      </c>
      <c r="IN876" s="2141" t="str">
        <f t="shared" si="226"/>
        <v/>
      </c>
      <c r="IO876" s="2141" t="str">
        <f t="shared" si="227"/>
        <v/>
      </c>
      <c r="IP876" s="2141" t="str">
        <f t="shared" si="228"/>
        <v/>
      </c>
      <c r="IQ876" s="2141" t="str">
        <f t="shared" si="229"/>
        <v/>
      </c>
      <c r="IR876" s="2141" t="str">
        <f t="shared" si="230"/>
        <v/>
      </c>
      <c r="IS876" s="2141" t="str">
        <f t="shared" si="231"/>
        <v/>
      </c>
      <c r="IT876" s="2141" t="str">
        <f t="shared" si="232"/>
        <v/>
      </c>
      <c r="IU876" s="2141" t="str">
        <f t="shared" si="233"/>
        <v/>
      </c>
      <c r="IV876" s="2141" t="str">
        <f t="shared" si="234"/>
        <v/>
      </c>
      <c r="IW876" s="2141" t="str">
        <f t="shared" si="235"/>
        <v/>
      </c>
      <c r="IX876" s="2141" t="str">
        <f t="shared" si="236"/>
        <v/>
      </c>
      <c r="IY876" s="2141" t="str">
        <f t="shared" si="237"/>
        <v/>
      </c>
      <c r="IZ876" s="2141" t="str">
        <f t="shared" si="238"/>
        <v/>
      </c>
      <c r="JA876" s="2141" t="str">
        <f t="shared" si="239"/>
        <v/>
      </c>
      <c r="JB876" s="2141" t="str">
        <f t="shared" si="240"/>
        <v/>
      </c>
      <c r="JC876" s="2141" t="str">
        <f t="shared" si="241"/>
        <v/>
      </c>
      <c r="JD876" s="2141" t="str">
        <f t="shared" si="242"/>
        <v/>
      </c>
      <c r="JE876" s="2141" t="str">
        <f t="shared" si="243"/>
        <v/>
      </c>
      <c r="JF876" s="2141" t="str">
        <f t="shared" si="244"/>
        <v/>
      </c>
      <c r="JG876" s="2141" t="str">
        <f t="shared" si="245"/>
        <v/>
      </c>
      <c r="JH876" s="2141" t="str">
        <f t="shared" si="246"/>
        <v/>
      </c>
      <c r="JI876" s="2141" t="str">
        <f t="shared" si="247"/>
        <v/>
      </c>
      <c r="JJ876" s="2141" t="str">
        <f t="shared" si="248"/>
        <v/>
      </c>
      <c r="JK876" s="2141" t="str">
        <f t="shared" si="249"/>
        <v/>
      </c>
      <c r="JL876" s="2141" t="str">
        <f t="shared" si="250"/>
        <v/>
      </c>
      <c r="JM876" s="2141" t="str">
        <f t="shared" si="251"/>
        <v/>
      </c>
      <c r="JN876" s="2141" t="str">
        <f t="shared" si="252"/>
        <v/>
      </c>
      <c r="JO876" s="2141" t="str">
        <f t="shared" si="253"/>
        <v/>
      </c>
      <c r="JP876" s="2141" t="str">
        <f t="shared" si="254"/>
        <v/>
      </c>
      <c r="JQ876" s="2141" t="str">
        <f t="shared" si="255"/>
        <v/>
      </c>
      <c r="JR876" s="2141" t="str">
        <f t="shared" si="256"/>
        <v/>
      </c>
      <c r="JS876" s="2141" t="str">
        <f t="shared" si="257"/>
        <v/>
      </c>
      <c r="JT876" s="2141" t="str">
        <f t="shared" si="258"/>
        <v/>
      </c>
      <c r="JU876" s="2141" t="str">
        <f t="shared" si="259"/>
        <v/>
      </c>
      <c r="JV876" s="2141" t="str">
        <f t="shared" si="260"/>
        <v/>
      </c>
      <c r="JW876" s="2141" t="str">
        <f t="shared" si="261"/>
        <v/>
      </c>
      <c r="JX876" s="2141" t="str">
        <f t="shared" si="262"/>
        <v/>
      </c>
      <c r="JY876" s="2141" t="str">
        <f t="shared" si="263"/>
        <v/>
      </c>
      <c r="JZ876" s="2141" t="str">
        <f t="shared" si="264"/>
        <v/>
      </c>
      <c r="KA876" s="2141" t="str">
        <f t="shared" si="265"/>
        <v/>
      </c>
      <c r="KB876" s="2141" t="str">
        <f t="shared" si="266"/>
        <v/>
      </c>
      <c r="KC876" s="2141" t="str">
        <f t="shared" si="267"/>
        <v/>
      </c>
      <c r="KD876" s="2141" t="str">
        <f t="shared" si="268"/>
        <v/>
      </c>
      <c r="KE876" s="2141" t="str">
        <f t="shared" si="269"/>
        <v/>
      </c>
      <c r="KF876" s="2141" t="str">
        <f t="shared" si="270"/>
        <v/>
      </c>
      <c r="KG876" s="2141" t="str">
        <f t="shared" si="271"/>
        <v/>
      </c>
      <c r="KH876" s="2141" t="str">
        <f t="shared" si="272"/>
        <v/>
      </c>
      <c r="KI876" s="2141" t="str">
        <f t="shared" si="273"/>
        <v/>
      </c>
      <c r="KJ876" s="2141" t="str">
        <f t="shared" si="274"/>
        <v/>
      </c>
      <c r="KK876" s="2141" t="str">
        <f t="shared" si="275"/>
        <v/>
      </c>
      <c r="KL876" s="2141" t="str">
        <f t="shared" si="276"/>
        <v/>
      </c>
      <c r="KM876" s="2141" t="str">
        <f t="shared" si="277"/>
        <v/>
      </c>
      <c r="KN876" s="2141" t="str">
        <f t="shared" si="278"/>
        <v/>
      </c>
      <c r="KO876" s="2141" t="str">
        <f t="shared" si="279"/>
        <v/>
      </c>
      <c r="KP876" s="2141" t="str">
        <f t="shared" si="280"/>
        <v/>
      </c>
      <c r="KQ876" s="2141" t="str">
        <f t="shared" si="281"/>
        <v/>
      </c>
      <c r="KR876" s="2141" t="str">
        <f t="shared" si="282"/>
        <v/>
      </c>
      <c r="KS876" s="2141" t="str">
        <f t="shared" si="283"/>
        <v/>
      </c>
      <c r="KT876" s="2141" t="str">
        <f t="shared" si="284"/>
        <v/>
      </c>
      <c r="KU876" s="2141" t="str">
        <f t="shared" si="285"/>
        <v/>
      </c>
      <c r="KV876" s="2141" t="str">
        <f t="shared" si="286"/>
        <v/>
      </c>
      <c r="KW876" s="2141" t="str">
        <f t="shared" si="287"/>
        <v/>
      </c>
      <c r="KX876" s="2141" t="str">
        <f t="shared" si="288"/>
        <v/>
      </c>
      <c r="KY876" s="2141" t="str">
        <f t="shared" si="289"/>
        <v/>
      </c>
      <c r="KZ876" s="2141" t="str">
        <f t="shared" si="290"/>
        <v/>
      </c>
      <c r="LA876" s="2141" t="str">
        <f t="shared" si="291"/>
        <v/>
      </c>
      <c r="LB876" s="2141" t="str">
        <f t="shared" si="292"/>
        <v/>
      </c>
      <c r="LC876" s="2141" t="str">
        <f t="shared" si="293"/>
        <v/>
      </c>
      <c r="LD876" s="2141" t="str">
        <f t="shared" si="294"/>
        <v/>
      </c>
      <c r="LE876" s="2141" t="str">
        <f t="shared" si="295"/>
        <v/>
      </c>
      <c r="LF876" s="2141" t="str">
        <f t="shared" si="296"/>
        <v/>
      </c>
      <c r="LG876" s="2052" t="str">
        <f t="shared" si="297"/>
        <v/>
      </c>
      <c r="LH876" s="2052" t="str">
        <f t="shared" si="298"/>
        <v/>
      </c>
      <c r="LI876" s="2052" t="str">
        <f t="shared" si="299"/>
        <v/>
      </c>
      <c r="LJ876" s="2052" t="str">
        <f t="shared" si="300"/>
        <v/>
      </c>
      <c r="LK876" s="2052" t="str">
        <f t="shared" si="301"/>
        <v/>
      </c>
      <c r="LL876" s="1853" t="str">
        <f t="shared" si="302"/>
        <v/>
      </c>
      <c r="LM876" s="1853" t="str">
        <f t="shared" si="303"/>
        <v/>
      </c>
      <c r="LN876" s="1853" t="str">
        <f t="shared" si="304"/>
        <v/>
      </c>
      <c r="LO876" s="1853" t="str">
        <f t="shared" si="305"/>
        <v/>
      </c>
      <c r="LP876" s="1853" t="str">
        <f t="shared" si="306"/>
        <v/>
      </c>
      <c r="LQ876" s="1853" t="str">
        <f t="shared" si="307"/>
        <v/>
      </c>
      <c r="LR876" s="1853" t="str">
        <f t="shared" si="308"/>
        <v/>
      </c>
      <c r="LS876" s="1853" t="str">
        <f t="shared" si="309"/>
        <v/>
      </c>
      <c r="LT876" s="1853" t="str">
        <f t="shared" si="310"/>
        <v/>
      </c>
      <c r="LU876" s="1853" t="str">
        <f t="shared" si="311"/>
        <v/>
      </c>
      <c r="LV876" s="1853" t="str">
        <f t="shared" si="312"/>
        <v/>
      </c>
      <c r="LW876" s="1853" t="str">
        <f t="shared" si="313"/>
        <v/>
      </c>
      <c r="LX876" s="1853" t="str">
        <f t="shared" si="314"/>
        <v/>
      </c>
      <c r="LY876" s="1853" t="str">
        <f t="shared" si="315"/>
        <v/>
      </c>
      <c r="LZ876" s="1853" t="str">
        <f t="shared" si="316"/>
        <v/>
      </c>
      <c r="MA876" s="1853" t="str">
        <f t="shared" si="317"/>
        <v/>
      </c>
      <c r="MB876" s="1853" t="str">
        <f t="shared" si="318"/>
        <v/>
      </c>
      <c r="MC876" s="1853" t="str">
        <f t="shared" si="319"/>
        <v/>
      </c>
      <c r="MD876" s="1853" t="str">
        <f t="shared" si="320"/>
        <v/>
      </c>
      <c r="ME876" s="1853" t="str">
        <f t="shared" si="321"/>
        <v/>
      </c>
      <c r="MF876" s="2052">
        <f t="shared" si="328"/>
        <v>0</v>
      </c>
      <c r="MG876" s="2052">
        <f t="shared" si="329"/>
        <v>0</v>
      </c>
      <c r="MH876" s="2052">
        <f t="shared" si="330"/>
        <v>0</v>
      </c>
      <c r="MI876" s="2052">
        <f t="shared" si="331"/>
        <v>0</v>
      </c>
      <c r="MJ876" s="2052">
        <f t="shared" si="332"/>
        <v>0</v>
      </c>
      <c r="MK876" s="2052">
        <f t="shared" si="333"/>
        <v>0</v>
      </c>
      <c r="ML876" s="2052">
        <f t="shared" si="334"/>
        <v>0</v>
      </c>
      <c r="MM876" s="2052">
        <f t="shared" si="335"/>
        <v>0</v>
      </c>
      <c r="MN876" s="2052">
        <f t="shared" si="336"/>
        <v>0</v>
      </c>
      <c r="MO876" s="2052">
        <f t="shared" si="337"/>
        <v>0</v>
      </c>
      <c r="MP876" s="2052">
        <f t="shared" si="322"/>
        <v>0</v>
      </c>
      <c r="MQ876" s="2052">
        <f t="shared" si="323"/>
        <v>0</v>
      </c>
      <c r="MR876" s="2052">
        <f t="shared" si="324"/>
        <v>0</v>
      </c>
      <c r="MS876" s="2052">
        <f t="shared" si="325"/>
        <v>0</v>
      </c>
      <c r="MT876" s="2052">
        <f t="shared" si="326"/>
        <v>0</v>
      </c>
      <c r="NP876" s="1925" t="s">
        <v>6742</v>
      </c>
    </row>
    <row r="877" spans="1:380" s="1853" customFormat="1" ht="13.9" customHeight="1">
      <c r="A877" s="2109" t="str">
        <f t="shared" si="327"/>
        <v/>
      </c>
      <c r="B877" s="2131">
        <f>'Part VI-Revenues &amp; Expenses'!B37</f>
        <v>0</v>
      </c>
      <c r="C877" s="2132">
        <f>'Part VI-Revenues &amp; Expenses'!C37</f>
        <v>0</v>
      </c>
      <c r="D877" s="2133">
        <f>'Part VI-Revenues &amp; Expenses'!D37</f>
        <v>0</v>
      </c>
      <c r="E877" s="2134">
        <f>'Part VI-Revenues &amp; Expenses'!E37</f>
        <v>0</v>
      </c>
      <c r="F877" s="2134">
        <f>'Part VI-Revenues &amp; Expenses'!F37</f>
        <v>0</v>
      </c>
      <c r="G877" s="2134">
        <f>'Part VI-Revenues &amp; Expenses'!G37</f>
        <v>0</v>
      </c>
      <c r="H877" s="2134">
        <f>'Part VI-Revenues &amp; Expenses'!H37</f>
        <v>0</v>
      </c>
      <c r="I877" s="2134">
        <f>'Part VI-Revenues &amp; Expenses'!I37</f>
        <v>0</v>
      </c>
      <c r="J877" s="2134">
        <f>'Part VI-Revenues &amp; Expenses'!J37</f>
        <v>0</v>
      </c>
      <c r="K877" s="2135">
        <f>'Part VI-Revenues &amp; Expenses'!K37</f>
        <v>0</v>
      </c>
      <c r="L877" s="2136">
        <f t="shared" si="0"/>
        <v>0</v>
      </c>
      <c r="M877" s="2136">
        <f t="shared" si="1"/>
        <v>0</v>
      </c>
      <c r="N877" s="1917">
        <f>'Part VI-Revenues &amp; Expenses'!N37</f>
        <v>0</v>
      </c>
      <c r="O877" s="2137">
        <f>'Part VI-Revenues &amp; Expenses'!O37</f>
        <v>0</v>
      </c>
      <c r="P877" s="1917">
        <f>'Part VI-Revenues &amp; Expenses'!P37</f>
        <v>0</v>
      </c>
      <c r="Q877" s="2138">
        <f>'Part VI-Revenues &amp; Expenses'!Q37</f>
        <v>0</v>
      </c>
      <c r="R877" s="2139"/>
      <c r="S877" s="2140"/>
      <c r="T877" s="2044"/>
      <c r="U877" s="2044"/>
      <c r="V877" s="2044"/>
      <c r="W877" s="2044"/>
      <c r="X877" s="1853" t="str">
        <f t="shared" si="2"/>
        <v/>
      </c>
      <c r="Y877" s="1853" t="str">
        <f t="shared" si="3"/>
        <v/>
      </c>
      <c r="Z877" s="1853" t="str">
        <f t="shared" si="4"/>
        <v/>
      </c>
      <c r="AA877" s="1853" t="str">
        <f t="shared" si="5"/>
        <v/>
      </c>
      <c r="AB877" s="1853" t="str">
        <f t="shared" si="6"/>
        <v/>
      </c>
      <c r="AC877" s="1853" t="str">
        <f t="shared" si="7"/>
        <v/>
      </c>
      <c r="AD877" s="1853" t="str">
        <f t="shared" si="8"/>
        <v/>
      </c>
      <c r="AE877" s="1853" t="str">
        <f t="shared" si="9"/>
        <v/>
      </c>
      <c r="AF877" s="1853" t="str">
        <f t="shared" si="10"/>
        <v/>
      </c>
      <c r="AG877" s="1853" t="str">
        <f t="shared" si="11"/>
        <v/>
      </c>
      <c r="AH877" s="1853" t="str">
        <f t="shared" si="12"/>
        <v/>
      </c>
      <c r="AI877" s="1853" t="str">
        <f t="shared" si="13"/>
        <v/>
      </c>
      <c r="AJ877" s="1853" t="str">
        <f t="shared" si="14"/>
        <v/>
      </c>
      <c r="AK877" s="1853" t="str">
        <f t="shared" si="15"/>
        <v/>
      </c>
      <c r="AL877" s="1853" t="str">
        <f t="shared" si="16"/>
        <v/>
      </c>
      <c r="AM877" s="1853" t="str">
        <f t="shared" si="17"/>
        <v/>
      </c>
      <c r="AN877" s="1853" t="str">
        <f t="shared" si="18"/>
        <v/>
      </c>
      <c r="AO877" s="1853" t="str">
        <f t="shared" si="19"/>
        <v/>
      </c>
      <c r="AP877" s="1853" t="str">
        <f t="shared" si="20"/>
        <v/>
      </c>
      <c r="AQ877" s="1853" t="str">
        <f t="shared" si="21"/>
        <v/>
      </c>
      <c r="AR877" s="1853" t="str">
        <f t="shared" si="22"/>
        <v/>
      </c>
      <c r="AS877" s="1853" t="str">
        <f t="shared" si="23"/>
        <v/>
      </c>
      <c r="AT877" s="1853" t="str">
        <f t="shared" si="24"/>
        <v/>
      </c>
      <c r="AU877" s="1853" t="str">
        <f t="shared" si="25"/>
        <v/>
      </c>
      <c r="AV877" s="1853" t="str">
        <f t="shared" si="26"/>
        <v/>
      </c>
      <c r="AW877" s="1853" t="str">
        <f t="shared" si="27"/>
        <v/>
      </c>
      <c r="AX877" s="1853" t="str">
        <f t="shared" si="28"/>
        <v/>
      </c>
      <c r="AY877" s="1853" t="str">
        <f t="shared" si="29"/>
        <v/>
      </c>
      <c r="AZ877" s="1853" t="str">
        <f t="shared" si="30"/>
        <v/>
      </c>
      <c r="BA877" s="1853" t="str">
        <f t="shared" si="31"/>
        <v/>
      </c>
      <c r="BB877" s="1853" t="str">
        <f t="shared" si="32"/>
        <v/>
      </c>
      <c r="BC877" s="1853" t="str">
        <f t="shared" si="33"/>
        <v/>
      </c>
      <c r="BD877" s="1853" t="str">
        <f t="shared" si="34"/>
        <v/>
      </c>
      <c r="BE877" s="1853" t="str">
        <f t="shared" si="35"/>
        <v/>
      </c>
      <c r="BF877" s="1853" t="str">
        <f t="shared" si="36"/>
        <v/>
      </c>
      <c r="BG877" s="1853" t="str">
        <f t="shared" si="37"/>
        <v/>
      </c>
      <c r="BH877" s="1853" t="str">
        <f t="shared" si="38"/>
        <v/>
      </c>
      <c r="BI877" s="1853" t="str">
        <f t="shared" si="39"/>
        <v/>
      </c>
      <c r="BJ877" s="1853" t="str">
        <f t="shared" si="40"/>
        <v/>
      </c>
      <c r="BK877" s="1853" t="str">
        <f t="shared" si="41"/>
        <v/>
      </c>
      <c r="BL877" s="1853" t="str">
        <f t="shared" si="42"/>
        <v/>
      </c>
      <c r="BM877" s="1853" t="str">
        <f t="shared" si="43"/>
        <v/>
      </c>
      <c r="BN877" s="1853" t="str">
        <f t="shared" si="44"/>
        <v/>
      </c>
      <c r="BO877" s="1853" t="str">
        <f t="shared" si="45"/>
        <v/>
      </c>
      <c r="BP877" s="1853" t="str">
        <f t="shared" si="46"/>
        <v/>
      </c>
      <c r="BQ877" s="1853" t="str">
        <f t="shared" si="47"/>
        <v/>
      </c>
      <c r="BR877" s="1853" t="str">
        <f t="shared" si="48"/>
        <v/>
      </c>
      <c r="BS877" s="1853" t="str">
        <f t="shared" si="49"/>
        <v/>
      </c>
      <c r="BT877" s="1853" t="str">
        <f t="shared" si="50"/>
        <v/>
      </c>
      <c r="BU877" s="1853" t="str">
        <f t="shared" si="51"/>
        <v/>
      </c>
      <c r="BV877" s="1853" t="str">
        <f t="shared" si="52"/>
        <v/>
      </c>
      <c r="BW877" s="1853" t="str">
        <f t="shared" si="53"/>
        <v/>
      </c>
      <c r="BX877" s="1853" t="str">
        <f t="shared" si="54"/>
        <v/>
      </c>
      <c r="BY877" s="1853" t="str">
        <f t="shared" si="55"/>
        <v/>
      </c>
      <c r="BZ877" s="1853" t="str">
        <f t="shared" si="56"/>
        <v/>
      </c>
      <c r="CA877" s="1853" t="str">
        <f t="shared" si="57"/>
        <v/>
      </c>
      <c r="CB877" s="1853" t="str">
        <f t="shared" si="58"/>
        <v/>
      </c>
      <c r="CC877" s="1853" t="str">
        <f t="shared" si="59"/>
        <v/>
      </c>
      <c r="CD877" s="1853" t="str">
        <f t="shared" si="60"/>
        <v/>
      </c>
      <c r="CE877" s="1853" t="str">
        <f t="shared" si="61"/>
        <v/>
      </c>
      <c r="CF877" s="1853" t="str">
        <f t="shared" si="62"/>
        <v/>
      </c>
      <c r="CG877" s="1853" t="str">
        <f t="shared" si="63"/>
        <v/>
      </c>
      <c r="CH877" s="1853" t="str">
        <f t="shared" si="64"/>
        <v/>
      </c>
      <c r="CI877" s="1853" t="str">
        <f t="shared" si="65"/>
        <v/>
      </c>
      <c r="CJ877" s="1853" t="str">
        <f t="shared" si="66"/>
        <v/>
      </c>
      <c r="CK877" s="1853" t="str">
        <f t="shared" si="67"/>
        <v/>
      </c>
      <c r="CL877" s="1853" t="str">
        <f t="shared" si="68"/>
        <v/>
      </c>
      <c r="CM877" s="1853" t="str">
        <f t="shared" si="69"/>
        <v/>
      </c>
      <c r="CN877" s="1853" t="str">
        <f t="shared" si="70"/>
        <v/>
      </c>
      <c r="CO877" s="1853" t="str">
        <f t="shared" si="71"/>
        <v/>
      </c>
      <c r="CP877" s="1853" t="str">
        <f t="shared" si="72"/>
        <v/>
      </c>
      <c r="CQ877" s="1853" t="str">
        <f t="shared" si="73"/>
        <v/>
      </c>
      <c r="CR877" s="1853" t="str">
        <f t="shared" si="74"/>
        <v/>
      </c>
      <c r="CS877" s="1853" t="str">
        <f t="shared" si="75"/>
        <v/>
      </c>
      <c r="CT877" s="1853" t="str">
        <f t="shared" si="76"/>
        <v/>
      </c>
      <c r="CU877" s="1853" t="str">
        <f t="shared" si="77"/>
        <v/>
      </c>
      <c r="CV877" s="1853" t="str">
        <f t="shared" si="78"/>
        <v/>
      </c>
      <c r="CW877" s="1853" t="str">
        <f t="shared" si="79"/>
        <v/>
      </c>
      <c r="CX877" s="1853" t="str">
        <f t="shared" si="80"/>
        <v/>
      </c>
      <c r="CY877" s="1853" t="str">
        <f t="shared" si="81"/>
        <v/>
      </c>
      <c r="CZ877" s="1853" t="str">
        <f t="shared" si="82"/>
        <v/>
      </c>
      <c r="DA877" s="1853" t="str">
        <f t="shared" si="83"/>
        <v/>
      </c>
      <c r="DB877" s="1853" t="str">
        <f t="shared" si="84"/>
        <v/>
      </c>
      <c r="DC877" s="1853" t="str">
        <f t="shared" si="85"/>
        <v/>
      </c>
      <c r="DD877" s="1853" t="str">
        <f t="shared" si="86"/>
        <v/>
      </c>
      <c r="DE877" s="1853" t="str">
        <f t="shared" si="87"/>
        <v/>
      </c>
      <c r="DF877" s="1853" t="str">
        <f t="shared" si="88"/>
        <v/>
      </c>
      <c r="DG877" s="1853" t="str">
        <f t="shared" si="89"/>
        <v/>
      </c>
      <c r="DH877" s="1853" t="str">
        <f t="shared" si="90"/>
        <v/>
      </c>
      <c r="DI877" s="1853" t="str">
        <f t="shared" si="91"/>
        <v/>
      </c>
      <c r="DJ877" s="1853" t="str">
        <f t="shared" si="92"/>
        <v/>
      </c>
      <c r="DK877" s="1853" t="str">
        <f t="shared" si="93"/>
        <v/>
      </c>
      <c r="DL877" s="1853" t="str">
        <f t="shared" si="94"/>
        <v/>
      </c>
      <c r="DM877" s="1853" t="str">
        <f t="shared" si="95"/>
        <v/>
      </c>
      <c r="DN877" s="1853" t="str">
        <f t="shared" si="96"/>
        <v/>
      </c>
      <c r="DO877" s="1853" t="str">
        <f t="shared" si="97"/>
        <v/>
      </c>
      <c r="DP877" s="1853" t="str">
        <f t="shared" si="98"/>
        <v/>
      </c>
      <c r="DQ877" s="1853" t="str">
        <f t="shared" si="99"/>
        <v/>
      </c>
      <c r="DR877" s="1853" t="str">
        <f t="shared" si="100"/>
        <v/>
      </c>
      <c r="DS877" s="1853" t="str">
        <f t="shared" si="101"/>
        <v/>
      </c>
      <c r="DT877" s="1853" t="str">
        <f t="shared" si="102"/>
        <v/>
      </c>
      <c r="DU877" s="1853" t="str">
        <f t="shared" si="103"/>
        <v/>
      </c>
      <c r="DV877" s="1853" t="str">
        <f t="shared" si="104"/>
        <v/>
      </c>
      <c r="DW877" s="1853" t="str">
        <f t="shared" si="105"/>
        <v/>
      </c>
      <c r="DX877" s="1853" t="str">
        <f t="shared" si="106"/>
        <v/>
      </c>
      <c r="DY877" s="1853" t="str">
        <f t="shared" si="107"/>
        <v/>
      </c>
      <c r="DZ877" s="1853" t="str">
        <f t="shared" si="108"/>
        <v/>
      </c>
      <c r="EA877" s="1853" t="str">
        <f t="shared" si="109"/>
        <v/>
      </c>
      <c r="EB877" s="1853" t="str">
        <f t="shared" si="110"/>
        <v/>
      </c>
      <c r="EC877" s="1853" t="str">
        <f t="shared" si="111"/>
        <v/>
      </c>
      <c r="ED877" s="1853" t="str">
        <f t="shared" si="112"/>
        <v/>
      </c>
      <c r="EE877" s="1853" t="str">
        <f t="shared" si="113"/>
        <v/>
      </c>
      <c r="EF877" s="1853" t="str">
        <f t="shared" si="114"/>
        <v/>
      </c>
      <c r="EG877" s="1853" t="str">
        <f t="shared" si="115"/>
        <v/>
      </c>
      <c r="EH877" s="1853" t="str">
        <f t="shared" si="116"/>
        <v/>
      </c>
      <c r="EI877" s="1853" t="str">
        <f t="shared" si="117"/>
        <v/>
      </c>
      <c r="EJ877" s="1853" t="str">
        <f t="shared" si="118"/>
        <v/>
      </c>
      <c r="EK877" s="1853" t="str">
        <f t="shared" si="119"/>
        <v/>
      </c>
      <c r="EL877" s="1853" t="str">
        <f t="shared" si="120"/>
        <v/>
      </c>
      <c r="EM877" s="1853" t="str">
        <f t="shared" si="121"/>
        <v/>
      </c>
      <c r="EN877" s="1853" t="str">
        <f t="shared" si="122"/>
        <v/>
      </c>
      <c r="EO877" s="1853" t="str">
        <f t="shared" si="123"/>
        <v/>
      </c>
      <c r="EP877" s="1853" t="str">
        <f t="shared" si="124"/>
        <v/>
      </c>
      <c r="EQ877" s="1853" t="str">
        <f t="shared" si="125"/>
        <v/>
      </c>
      <c r="ER877" s="1853" t="str">
        <f t="shared" si="126"/>
        <v/>
      </c>
      <c r="ES877" s="1853" t="str">
        <f t="shared" si="127"/>
        <v/>
      </c>
      <c r="ET877" s="1853" t="str">
        <f t="shared" si="128"/>
        <v/>
      </c>
      <c r="EU877" s="1853" t="str">
        <f t="shared" si="129"/>
        <v/>
      </c>
      <c r="EV877" s="1853" t="str">
        <f t="shared" si="130"/>
        <v/>
      </c>
      <c r="EW877" s="1853" t="str">
        <f t="shared" si="131"/>
        <v/>
      </c>
      <c r="EX877" s="1853" t="str">
        <f t="shared" si="132"/>
        <v/>
      </c>
      <c r="EY877" s="1853" t="str">
        <f t="shared" si="133"/>
        <v/>
      </c>
      <c r="EZ877" s="1853" t="str">
        <f t="shared" si="134"/>
        <v/>
      </c>
      <c r="FA877" s="1853" t="str">
        <f t="shared" si="135"/>
        <v/>
      </c>
      <c r="FB877" s="1853" t="str">
        <f t="shared" si="136"/>
        <v/>
      </c>
      <c r="FC877" s="1853" t="str">
        <f t="shared" si="137"/>
        <v/>
      </c>
      <c r="FD877" s="1853" t="str">
        <f t="shared" si="138"/>
        <v/>
      </c>
      <c r="FE877" s="1853" t="str">
        <f t="shared" si="139"/>
        <v/>
      </c>
      <c r="FF877" s="1853" t="str">
        <f t="shared" si="140"/>
        <v/>
      </c>
      <c r="FG877" s="1853" t="str">
        <f t="shared" si="141"/>
        <v/>
      </c>
      <c r="FH877" s="1853" t="str">
        <f t="shared" si="142"/>
        <v/>
      </c>
      <c r="FI877" s="1853" t="str">
        <f t="shared" si="143"/>
        <v/>
      </c>
      <c r="FJ877" s="1853" t="str">
        <f t="shared" si="144"/>
        <v/>
      </c>
      <c r="FK877" s="1853" t="str">
        <f t="shared" si="145"/>
        <v/>
      </c>
      <c r="FL877" s="1853" t="str">
        <f t="shared" si="146"/>
        <v/>
      </c>
      <c r="FM877" s="1853" t="str">
        <f t="shared" si="147"/>
        <v/>
      </c>
      <c r="FN877" s="1853" t="str">
        <f t="shared" si="148"/>
        <v/>
      </c>
      <c r="FO877" s="1853" t="str">
        <f t="shared" si="149"/>
        <v/>
      </c>
      <c r="FP877" s="1853" t="str">
        <f t="shared" si="150"/>
        <v/>
      </c>
      <c r="FQ877" s="1853" t="str">
        <f t="shared" si="151"/>
        <v/>
      </c>
      <c r="FR877" s="1853" t="str">
        <f t="shared" si="152"/>
        <v/>
      </c>
      <c r="FS877" s="1853" t="str">
        <f t="shared" si="153"/>
        <v/>
      </c>
      <c r="FT877" s="1853" t="str">
        <f t="shared" si="154"/>
        <v/>
      </c>
      <c r="FU877" s="1853" t="str">
        <f t="shared" si="155"/>
        <v/>
      </c>
      <c r="FV877" s="1853" t="str">
        <f t="shared" si="156"/>
        <v/>
      </c>
      <c r="FW877" s="1853" t="str">
        <f t="shared" si="157"/>
        <v/>
      </c>
      <c r="FX877" s="1853" t="str">
        <f t="shared" si="158"/>
        <v/>
      </c>
      <c r="FY877" s="1853" t="str">
        <f t="shared" si="159"/>
        <v/>
      </c>
      <c r="FZ877" s="1853" t="str">
        <f t="shared" si="160"/>
        <v/>
      </c>
      <c r="GA877" s="1853" t="str">
        <f t="shared" si="161"/>
        <v/>
      </c>
      <c r="GB877" s="1853" t="str">
        <f t="shared" si="162"/>
        <v/>
      </c>
      <c r="GC877" s="1853" t="str">
        <f t="shared" si="163"/>
        <v/>
      </c>
      <c r="GD877" s="1853" t="str">
        <f t="shared" si="164"/>
        <v/>
      </c>
      <c r="GE877" s="1853" t="str">
        <f t="shared" si="165"/>
        <v/>
      </c>
      <c r="GF877" s="1853" t="str">
        <f t="shared" si="166"/>
        <v/>
      </c>
      <c r="GG877" s="1853" t="str">
        <f t="shared" si="167"/>
        <v/>
      </c>
      <c r="GH877" s="1853" t="str">
        <f t="shared" si="168"/>
        <v/>
      </c>
      <c r="GI877" s="1853" t="str">
        <f t="shared" si="169"/>
        <v/>
      </c>
      <c r="GJ877" s="1853" t="str">
        <f t="shared" si="170"/>
        <v/>
      </c>
      <c r="GK877" s="1853" t="str">
        <f t="shared" si="171"/>
        <v/>
      </c>
      <c r="GL877" s="1853" t="str">
        <f t="shared" si="172"/>
        <v/>
      </c>
      <c r="GM877" s="1853" t="str">
        <f t="shared" si="173"/>
        <v/>
      </c>
      <c r="GN877" s="1853" t="str">
        <f t="shared" si="174"/>
        <v/>
      </c>
      <c r="GO877" s="1853" t="str">
        <f t="shared" si="175"/>
        <v/>
      </c>
      <c r="GP877" s="1853" t="str">
        <f t="shared" si="176"/>
        <v/>
      </c>
      <c r="GQ877" s="1853" t="str">
        <f t="shared" si="177"/>
        <v/>
      </c>
      <c r="GR877" s="1853" t="str">
        <f t="shared" si="178"/>
        <v/>
      </c>
      <c r="GS877" s="1853" t="str">
        <f t="shared" si="179"/>
        <v/>
      </c>
      <c r="GT877" s="1853" t="str">
        <f t="shared" si="180"/>
        <v/>
      </c>
      <c r="GU877" s="1853" t="str">
        <f t="shared" si="181"/>
        <v/>
      </c>
      <c r="GV877" s="1853" t="str">
        <f t="shared" si="182"/>
        <v/>
      </c>
      <c r="GW877" s="1853" t="str">
        <f t="shared" si="183"/>
        <v/>
      </c>
      <c r="GX877" s="1853" t="str">
        <f t="shared" si="184"/>
        <v/>
      </c>
      <c r="GY877" s="1853" t="str">
        <f t="shared" si="185"/>
        <v/>
      </c>
      <c r="GZ877" s="1853" t="str">
        <f t="shared" si="186"/>
        <v/>
      </c>
      <c r="HA877" s="1853" t="str">
        <f t="shared" si="187"/>
        <v/>
      </c>
      <c r="HB877" s="1853" t="str">
        <f t="shared" si="188"/>
        <v/>
      </c>
      <c r="HC877" s="1853" t="str">
        <f t="shared" si="189"/>
        <v/>
      </c>
      <c r="HD877" s="1853" t="str">
        <f t="shared" si="190"/>
        <v/>
      </c>
      <c r="HE877" s="1853" t="str">
        <f t="shared" si="191"/>
        <v/>
      </c>
      <c r="HF877" s="1853" t="str">
        <f t="shared" si="192"/>
        <v/>
      </c>
      <c r="HG877" s="1853" t="str">
        <f t="shared" si="193"/>
        <v/>
      </c>
      <c r="HH877" s="1853" t="str">
        <f t="shared" si="194"/>
        <v/>
      </c>
      <c r="HI877" s="1853" t="str">
        <f t="shared" si="195"/>
        <v/>
      </c>
      <c r="HJ877" s="1853" t="str">
        <f t="shared" si="196"/>
        <v/>
      </c>
      <c r="HK877" s="1853" t="str">
        <f t="shared" si="197"/>
        <v/>
      </c>
      <c r="HL877" s="1853" t="str">
        <f t="shared" si="198"/>
        <v/>
      </c>
      <c r="HM877" s="1853" t="str">
        <f t="shared" si="199"/>
        <v/>
      </c>
      <c r="HN877" s="1853" t="str">
        <f t="shared" si="200"/>
        <v/>
      </c>
      <c r="HO877" s="1853" t="str">
        <f t="shared" si="201"/>
        <v/>
      </c>
      <c r="HP877" s="1853" t="str">
        <f t="shared" si="202"/>
        <v/>
      </c>
      <c r="HQ877" s="1853" t="str">
        <f t="shared" si="203"/>
        <v/>
      </c>
      <c r="HR877" s="1853" t="str">
        <f t="shared" si="204"/>
        <v/>
      </c>
      <c r="HS877" s="1853" t="str">
        <f t="shared" si="205"/>
        <v/>
      </c>
      <c r="HT877" s="1853" t="str">
        <f t="shared" si="206"/>
        <v/>
      </c>
      <c r="HU877" s="1853" t="str">
        <f t="shared" si="207"/>
        <v/>
      </c>
      <c r="HV877" s="1853" t="str">
        <f t="shared" si="208"/>
        <v/>
      </c>
      <c r="HW877" s="1853" t="str">
        <f t="shared" si="209"/>
        <v/>
      </c>
      <c r="HX877" s="1853" t="str">
        <f t="shared" si="210"/>
        <v/>
      </c>
      <c r="HY877" s="1853" t="str">
        <f t="shared" si="211"/>
        <v/>
      </c>
      <c r="HZ877" s="2141" t="str">
        <f t="shared" si="212"/>
        <v/>
      </c>
      <c r="IA877" s="2141" t="str">
        <f t="shared" si="213"/>
        <v/>
      </c>
      <c r="IB877" s="2141" t="str">
        <f t="shared" si="214"/>
        <v/>
      </c>
      <c r="IC877" s="2141" t="str">
        <f t="shared" si="215"/>
        <v/>
      </c>
      <c r="ID877" s="2141" t="str">
        <f t="shared" si="216"/>
        <v/>
      </c>
      <c r="IE877" s="2141" t="str">
        <f t="shared" si="217"/>
        <v/>
      </c>
      <c r="IF877" s="2141" t="str">
        <f t="shared" si="218"/>
        <v/>
      </c>
      <c r="IG877" s="2141" t="str">
        <f t="shared" si="219"/>
        <v/>
      </c>
      <c r="IH877" s="2141" t="str">
        <f t="shared" si="220"/>
        <v/>
      </c>
      <c r="II877" s="2141" t="str">
        <f t="shared" si="221"/>
        <v/>
      </c>
      <c r="IJ877" s="2141" t="str">
        <f t="shared" si="222"/>
        <v/>
      </c>
      <c r="IK877" s="2141" t="str">
        <f t="shared" si="223"/>
        <v/>
      </c>
      <c r="IL877" s="2141" t="str">
        <f t="shared" si="224"/>
        <v/>
      </c>
      <c r="IM877" s="2141" t="str">
        <f t="shared" si="225"/>
        <v/>
      </c>
      <c r="IN877" s="2141" t="str">
        <f t="shared" si="226"/>
        <v/>
      </c>
      <c r="IO877" s="2141" t="str">
        <f t="shared" si="227"/>
        <v/>
      </c>
      <c r="IP877" s="2141" t="str">
        <f t="shared" si="228"/>
        <v/>
      </c>
      <c r="IQ877" s="2141" t="str">
        <f t="shared" si="229"/>
        <v/>
      </c>
      <c r="IR877" s="2141" t="str">
        <f t="shared" si="230"/>
        <v/>
      </c>
      <c r="IS877" s="2141" t="str">
        <f t="shared" si="231"/>
        <v/>
      </c>
      <c r="IT877" s="2141" t="str">
        <f t="shared" si="232"/>
        <v/>
      </c>
      <c r="IU877" s="2141" t="str">
        <f t="shared" si="233"/>
        <v/>
      </c>
      <c r="IV877" s="2141" t="str">
        <f t="shared" si="234"/>
        <v/>
      </c>
      <c r="IW877" s="2141" t="str">
        <f t="shared" si="235"/>
        <v/>
      </c>
      <c r="IX877" s="2141" t="str">
        <f t="shared" si="236"/>
        <v/>
      </c>
      <c r="IY877" s="2141" t="str">
        <f t="shared" si="237"/>
        <v/>
      </c>
      <c r="IZ877" s="2141" t="str">
        <f t="shared" si="238"/>
        <v/>
      </c>
      <c r="JA877" s="2141" t="str">
        <f t="shared" si="239"/>
        <v/>
      </c>
      <c r="JB877" s="2141" t="str">
        <f t="shared" si="240"/>
        <v/>
      </c>
      <c r="JC877" s="2141" t="str">
        <f t="shared" si="241"/>
        <v/>
      </c>
      <c r="JD877" s="2141" t="str">
        <f t="shared" si="242"/>
        <v/>
      </c>
      <c r="JE877" s="2141" t="str">
        <f t="shared" si="243"/>
        <v/>
      </c>
      <c r="JF877" s="2141" t="str">
        <f t="shared" si="244"/>
        <v/>
      </c>
      <c r="JG877" s="2141" t="str">
        <f t="shared" si="245"/>
        <v/>
      </c>
      <c r="JH877" s="2141" t="str">
        <f t="shared" si="246"/>
        <v/>
      </c>
      <c r="JI877" s="2141" t="str">
        <f t="shared" si="247"/>
        <v/>
      </c>
      <c r="JJ877" s="2141" t="str">
        <f t="shared" si="248"/>
        <v/>
      </c>
      <c r="JK877" s="2141" t="str">
        <f t="shared" si="249"/>
        <v/>
      </c>
      <c r="JL877" s="2141" t="str">
        <f t="shared" si="250"/>
        <v/>
      </c>
      <c r="JM877" s="2141" t="str">
        <f t="shared" si="251"/>
        <v/>
      </c>
      <c r="JN877" s="2141" t="str">
        <f t="shared" si="252"/>
        <v/>
      </c>
      <c r="JO877" s="2141" t="str">
        <f t="shared" si="253"/>
        <v/>
      </c>
      <c r="JP877" s="2141" t="str">
        <f t="shared" si="254"/>
        <v/>
      </c>
      <c r="JQ877" s="2141" t="str">
        <f t="shared" si="255"/>
        <v/>
      </c>
      <c r="JR877" s="2141" t="str">
        <f t="shared" si="256"/>
        <v/>
      </c>
      <c r="JS877" s="2141" t="str">
        <f t="shared" si="257"/>
        <v/>
      </c>
      <c r="JT877" s="2141" t="str">
        <f t="shared" si="258"/>
        <v/>
      </c>
      <c r="JU877" s="2141" t="str">
        <f t="shared" si="259"/>
        <v/>
      </c>
      <c r="JV877" s="2141" t="str">
        <f t="shared" si="260"/>
        <v/>
      </c>
      <c r="JW877" s="2141" t="str">
        <f t="shared" si="261"/>
        <v/>
      </c>
      <c r="JX877" s="2141" t="str">
        <f t="shared" si="262"/>
        <v/>
      </c>
      <c r="JY877" s="2141" t="str">
        <f t="shared" si="263"/>
        <v/>
      </c>
      <c r="JZ877" s="2141" t="str">
        <f t="shared" si="264"/>
        <v/>
      </c>
      <c r="KA877" s="2141" t="str">
        <f t="shared" si="265"/>
        <v/>
      </c>
      <c r="KB877" s="2141" t="str">
        <f t="shared" si="266"/>
        <v/>
      </c>
      <c r="KC877" s="2141" t="str">
        <f t="shared" si="267"/>
        <v/>
      </c>
      <c r="KD877" s="2141" t="str">
        <f t="shared" si="268"/>
        <v/>
      </c>
      <c r="KE877" s="2141" t="str">
        <f t="shared" si="269"/>
        <v/>
      </c>
      <c r="KF877" s="2141" t="str">
        <f t="shared" si="270"/>
        <v/>
      </c>
      <c r="KG877" s="2141" t="str">
        <f t="shared" si="271"/>
        <v/>
      </c>
      <c r="KH877" s="2141" t="str">
        <f t="shared" si="272"/>
        <v/>
      </c>
      <c r="KI877" s="2141" t="str">
        <f t="shared" si="273"/>
        <v/>
      </c>
      <c r="KJ877" s="2141" t="str">
        <f t="shared" si="274"/>
        <v/>
      </c>
      <c r="KK877" s="2141" t="str">
        <f t="shared" si="275"/>
        <v/>
      </c>
      <c r="KL877" s="2141" t="str">
        <f t="shared" si="276"/>
        <v/>
      </c>
      <c r="KM877" s="2141" t="str">
        <f t="shared" si="277"/>
        <v/>
      </c>
      <c r="KN877" s="2141" t="str">
        <f t="shared" si="278"/>
        <v/>
      </c>
      <c r="KO877" s="2141" t="str">
        <f t="shared" si="279"/>
        <v/>
      </c>
      <c r="KP877" s="2141" t="str">
        <f t="shared" si="280"/>
        <v/>
      </c>
      <c r="KQ877" s="2141" t="str">
        <f t="shared" si="281"/>
        <v/>
      </c>
      <c r="KR877" s="2141" t="str">
        <f t="shared" si="282"/>
        <v/>
      </c>
      <c r="KS877" s="2141" t="str">
        <f t="shared" si="283"/>
        <v/>
      </c>
      <c r="KT877" s="2141" t="str">
        <f t="shared" si="284"/>
        <v/>
      </c>
      <c r="KU877" s="2141" t="str">
        <f t="shared" si="285"/>
        <v/>
      </c>
      <c r="KV877" s="2141" t="str">
        <f t="shared" si="286"/>
        <v/>
      </c>
      <c r="KW877" s="2141" t="str">
        <f t="shared" si="287"/>
        <v/>
      </c>
      <c r="KX877" s="2141" t="str">
        <f t="shared" si="288"/>
        <v/>
      </c>
      <c r="KY877" s="2141" t="str">
        <f t="shared" si="289"/>
        <v/>
      </c>
      <c r="KZ877" s="2141" t="str">
        <f t="shared" si="290"/>
        <v/>
      </c>
      <c r="LA877" s="2141" t="str">
        <f t="shared" si="291"/>
        <v/>
      </c>
      <c r="LB877" s="2141" t="str">
        <f t="shared" si="292"/>
        <v/>
      </c>
      <c r="LC877" s="2141" t="str">
        <f t="shared" si="293"/>
        <v/>
      </c>
      <c r="LD877" s="2141" t="str">
        <f t="shared" si="294"/>
        <v/>
      </c>
      <c r="LE877" s="2141" t="str">
        <f t="shared" si="295"/>
        <v/>
      </c>
      <c r="LF877" s="2141" t="str">
        <f t="shared" si="296"/>
        <v/>
      </c>
      <c r="LG877" s="2052" t="str">
        <f t="shared" si="297"/>
        <v/>
      </c>
      <c r="LH877" s="2052" t="str">
        <f t="shared" si="298"/>
        <v/>
      </c>
      <c r="LI877" s="2052" t="str">
        <f t="shared" si="299"/>
        <v/>
      </c>
      <c r="LJ877" s="2052" t="str">
        <f t="shared" si="300"/>
        <v/>
      </c>
      <c r="LK877" s="2052" t="str">
        <f t="shared" si="301"/>
        <v/>
      </c>
      <c r="LL877" s="1853" t="str">
        <f t="shared" si="302"/>
        <v/>
      </c>
      <c r="LM877" s="1853" t="str">
        <f t="shared" si="303"/>
        <v/>
      </c>
      <c r="LN877" s="1853" t="str">
        <f t="shared" si="304"/>
        <v/>
      </c>
      <c r="LO877" s="1853" t="str">
        <f t="shared" si="305"/>
        <v/>
      </c>
      <c r="LP877" s="1853" t="str">
        <f t="shared" si="306"/>
        <v/>
      </c>
      <c r="LQ877" s="1853" t="str">
        <f t="shared" si="307"/>
        <v/>
      </c>
      <c r="LR877" s="1853" t="str">
        <f t="shared" si="308"/>
        <v/>
      </c>
      <c r="LS877" s="1853" t="str">
        <f t="shared" si="309"/>
        <v/>
      </c>
      <c r="LT877" s="1853" t="str">
        <f t="shared" si="310"/>
        <v/>
      </c>
      <c r="LU877" s="1853" t="str">
        <f t="shared" si="311"/>
        <v/>
      </c>
      <c r="LV877" s="1853" t="str">
        <f t="shared" si="312"/>
        <v/>
      </c>
      <c r="LW877" s="1853" t="str">
        <f t="shared" si="313"/>
        <v/>
      </c>
      <c r="LX877" s="1853" t="str">
        <f t="shared" si="314"/>
        <v/>
      </c>
      <c r="LY877" s="1853" t="str">
        <f t="shared" si="315"/>
        <v/>
      </c>
      <c r="LZ877" s="1853" t="str">
        <f t="shared" si="316"/>
        <v/>
      </c>
      <c r="MA877" s="1853" t="str">
        <f t="shared" si="317"/>
        <v/>
      </c>
      <c r="MB877" s="1853" t="str">
        <f t="shared" si="318"/>
        <v/>
      </c>
      <c r="MC877" s="1853" t="str">
        <f t="shared" si="319"/>
        <v/>
      </c>
      <c r="MD877" s="1853" t="str">
        <f t="shared" si="320"/>
        <v/>
      </c>
      <c r="ME877" s="1853" t="str">
        <f t="shared" si="321"/>
        <v/>
      </c>
      <c r="MF877" s="2052">
        <f t="shared" si="328"/>
        <v>0</v>
      </c>
      <c r="MG877" s="2052">
        <f t="shared" si="329"/>
        <v>0</v>
      </c>
      <c r="MH877" s="2052">
        <f t="shared" si="330"/>
        <v>0</v>
      </c>
      <c r="MI877" s="2052">
        <f t="shared" si="331"/>
        <v>0</v>
      </c>
      <c r="MJ877" s="2052">
        <f t="shared" si="332"/>
        <v>0</v>
      </c>
      <c r="MK877" s="2052">
        <f t="shared" si="333"/>
        <v>0</v>
      </c>
      <c r="ML877" s="2052">
        <f t="shared" si="334"/>
        <v>0</v>
      </c>
      <c r="MM877" s="2052">
        <f t="shared" si="335"/>
        <v>0</v>
      </c>
      <c r="MN877" s="2052">
        <f t="shared" si="336"/>
        <v>0</v>
      </c>
      <c r="MO877" s="2052">
        <f t="shared" si="337"/>
        <v>0</v>
      </c>
      <c r="MP877" s="2052">
        <f t="shared" si="322"/>
        <v>0</v>
      </c>
      <c r="MQ877" s="2052">
        <f t="shared" si="323"/>
        <v>0</v>
      </c>
      <c r="MR877" s="2052">
        <f t="shared" si="324"/>
        <v>0</v>
      </c>
      <c r="MS877" s="2052">
        <f t="shared" si="325"/>
        <v>0</v>
      </c>
      <c r="MT877" s="2052">
        <f t="shared" si="326"/>
        <v>0</v>
      </c>
      <c r="NP877" s="1925" t="s">
        <v>6743</v>
      </c>
    </row>
    <row r="878" spans="1:380" s="1853" customFormat="1" ht="13.9" customHeight="1">
      <c r="A878" s="2109" t="str">
        <f t="shared" si="327"/>
        <v/>
      </c>
      <c r="B878" s="2131">
        <f>'Part VI-Revenues &amp; Expenses'!B38</f>
        <v>0</v>
      </c>
      <c r="C878" s="2132">
        <f>'Part VI-Revenues &amp; Expenses'!C38</f>
        <v>0</v>
      </c>
      <c r="D878" s="2133">
        <f>'Part VI-Revenues &amp; Expenses'!D38</f>
        <v>0</v>
      </c>
      <c r="E878" s="2134">
        <f>'Part VI-Revenues &amp; Expenses'!E38</f>
        <v>0</v>
      </c>
      <c r="F878" s="2134">
        <f>'Part VI-Revenues &amp; Expenses'!F38</f>
        <v>0</v>
      </c>
      <c r="G878" s="2134">
        <f>'Part VI-Revenues &amp; Expenses'!G38</f>
        <v>0</v>
      </c>
      <c r="H878" s="2134">
        <f>'Part VI-Revenues &amp; Expenses'!H38</f>
        <v>0</v>
      </c>
      <c r="I878" s="2134">
        <f>'Part VI-Revenues &amp; Expenses'!I38</f>
        <v>0</v>
      </c>
      <c r="J878" s="2134">
        <f>'Part VI-Revenues &amp; Expenses'!J38</f>
        <v>0</v>
      </c>
      <c r="K878" s="2135">
        <f>'Part VI-Revenues &amp; Expenses'!K38</f>
        <v>0</v>
      </c>
      <c r="L878" s="2136">
        <f t="shared" si="0"/>
        <v>0</v>
      </c>
      <c r="M878" s="2136">
        <f t="shared" si="1"/>
        <v>0</v>
      </c>
      <c r="N878" s="1917">
        <f>'Part VI-Revenues &amp; Expenses'!N38</f>
        <v>0</v>
      </c>
      <c r="O878" s="2137">
        <f>'Part VI-Revenues &amp; Expenses'!O38</f>
        <v>0</v>
      </c>
      <c r="P878" s="1917">
        <f>'Part VI-Revenues &amp; Expenses'!P38</f>
        <v>0</v>
      </c>
      <c r="Q878" s="2138">
        <f>'Part VI-Revenues &amp; Expenses'!Q38</f>
        <v>0</v>
      </c>
      <c r="R878" s="2139"/>
      <c r="S878" s="2140"/>
      <c r="T878" s="2044"/>
      <c r="U878" s="2044"/>
      <c r="V878" s="2044"/>
      <c r="W878" s="2044"/>
      <c r="X878" s="1853" t="str">
        <f t="shared" si="2"/>
        <v/>
      </c>
      <c r="Y878" s="1853" t="str">
        <f t="shared" si="3"/>
        <v/>
      </c>
      <c r="Z878" s="1853" t="str">
        <f t="shared" si="4"/>
        <v/>
      </c>
      <c r="AA878" s="1853" t="str">
        <f t="shared" si="5"/>
        <v/>
      </c>
      <c r="AB878" s="1853" t="str">
        <f t="shared" si="6"/>
        <v/>
      </c>
      <c r="AC878" s="1853" t="str">
        <f t="shared" si="7"/>
        <v/>
      </c>
      <c r="AD878" s="1853" t="str">
        <f t="shared" si="8"/>
        <v/>
      </c>
      <c r="AE878" s="1853" t="str">
        <f t="shared" si="9"/>
        <v/>
      </c>
      <c r="AF878" s="1853" t="str">
        <f t="shared" si="10"/>
        <v/>
      </c>
      <c r="AG878" s="1853" t="str">
        <f t="shared" si="11"/>
        <v/>
      </c>
      <c r="AH878" s="1853" t="str">
        <f t="shared" si="12"/>
        <v/>
      </c>
      <c r="AI878" s="1853" t="str">
        <f t="shared" si="13"/>
        <v/>
      </c>
      <c r="AJ878" s="1853" t="str">
        <f t="shared" si="14"/>
        <v/>
      </c>
      <c r="AK878" s="1853" t="str">
        <f t="shared" si="15"/>
        <v/>
      </c>
      <c r="AL878" s="1853" t="str">
        <f t="shared" si="16"/>
        <v/>
      </c>
      <c r="AM878" s="1853" t="str">
        <f t="shared" si="17"/>
        <v/>
      </c>
      <c r="AN878" s="1853" t="str">
        <f t="shared" si="18"/>
        <v/>
      </c>
      <c r="AO878" s="1853" t="str">
        <f t="shared" si="19"/>
        <v/>
      </c>
      <c r="AP878" s="1853" t="str">
        <f t="shared" si="20"/>
        <v/>
      </c>
      <c r="AQ878" s="1853" t="str">
        <f t="shared" si="21"/>
        <v/>
      </c>
      <c r="AR878" s="1853" t="str">
        <f t="shared" si="22"/>
        <v/>
      </c>
      <c r="AS878" s="1853" t="str">
        <f t="shared" si="23"/>
        <v/>
      </c>
      <c r="AT878" s="1853" t="str">
        <f t="shared" si="24"/>
        <v/>
      </c>
      <c r="AU878" s="1853" t="str">
        <f t="shared" si="25"/>
        <v/>
      </c>
      <c r="AV878" s="1853" t="str">
        <f t="shared" si="26"/>
        <v/>
      </c>
      <c r="AW878" s="1853" t="str">
        <f t="shared" si="27"/>
        <v/>
      </c>
      <c r="AX878" s="1853" t="str">
        <f t="shared" si="28"/>
        <v/>
      </c>
      <c r="AY878" s="1853" t="str">
        <f t="shared" si="29"/>
        <v/>
      </c>
      <c r="AZ878" s="1853" t="str">
        <f t="shared" si="30"/>
        <v/>
      </c>
      <c r="BA878" s="1853" t="str">
        <f t="shared" si="31"/>
        <v/>
      </c>
      <c r="BB878" s="1853" t="str">
        <f t="shared" si="32"/>
        <v/>
      </c>
      <c r="BC878" s="1853" t="str">
        <f t="shared" si="33"/>
        <v/>
      </c>
      <c r="BD878" s="1853" t="str">
        <f t="shared" si="34"/>
        <v/>
      </c>
      <c r="BE878" s="1853" t="str">
        <f t="shared" si="35"/>
        <v/>
      </c>
      <c r="BF878" s="1853" t="str">
        <f t="shared" si="36"/>
        <v/>
      </c>
      <c r="BG878" s="1853" t="str">
        <f t="shared" si="37"/>
        <v/>
      </c>
      <c r="BH878" s="1853" t="str">
        <f t="shared" si="38"/>
        <v/>
      </c>
      <c r="BI878" s="1853" t="str">
        <f t="shared" si="39"/>
        <v/>
      </c>
      <c r="BJ878" s="1853" t="str">
        <f t="shared" si="40"/>
        <v/>
      </c>
      <c r="BK878" s="1853" t="str">
        <f t="shared" si="41"/>
        <v/>
      </c>
      <c r="BL878" s="1853" t="str">
        <f t="shared" si="42"/>
        <v/>
      </c>
      <c r="BM878" s="1853" t="str">
        <f t="shared" si="43"/>
        <v/>
      </c>
      <c r="BN878" s="1853" t="str">
        <f t="shared" si="44"/>
        <v/>
      </c>
      <c r="BO878" s="1853" t="str">
        <f t="shared" si="45"/>
        <v/>
      </c>
      <c r="BP878" s="1853" t="str">
        <f t="shared" si="46"/>
        <v/>
      </c>
      <c r="BQ878" s="1853" t="str">
        <f t="shared" si="47"/>
        <v/>
      </c>
      <c r="BR878" s="1853" t="str">
        <f t="shared" si="48"/>
        <v/>
      </c>
      <c r="BS878" s="1853" t="str">
        <f t="shared" si="49"/>
        <v/>
      </c>
      <c r="BT878" s="1853" t="str">
        <f t="shared" si="50"/>
        <v/>
      </c>
      <c r="BU878" s="1853" t="str">
        <f t="shared" si="51"/>
        <v/>
      </c>
      <c r="BV878" s="1853" t="str">
        <f t="shared" si="52"/>
        <v/>
      </c>
      <c r="BW878" s="1853" t="str">
        <f t="shared" si="53"/>
        <v/>
      </c>
      <c r="BX878" s="1853" t="str">
        <f t="shared" si="54"/>
        <v/>
      </c>
      <c r="BY878" s="1853" t="str">
        <f t="shared" si="55"/>
        <v/>
      </c>
      <c r="BZ878" s="1853" t="str">
        <f t="shared" si="56"/>
        <v/>
      </c>
      <c r="CA878" s="1853" t="str">
        <f t="shared" si="57"/>
        <v/>
      </c>
      <c r="CB878" s="1853" t="str">
        <f t="shared" si="58"/>
        <v/>
      </c>
      <c r="CC878" s="1853" t="str">
        <f t="shared" si="59"/>
        <v/>
      </c>
      <c r="CD878" s="1853" t="str">
        <f t="shared" si="60"/>
        <v/>
      </c>
      <c r="CE878" s="1853" t="str">
        <f t="shared" si="61"/>
        <v/>
      </c>
      <c r="CF878" s="1853" t="str">
        <f t="shared" si="62"/>
        <v/>
      </c>
      <c r="CG878" s="1853" t="str">
        <f t="shared" si="63"/>
        <v/>
      </c>
      <c r="CH878" s="1853" t="str">
        <f t="shared" si="64"/>
        <v/>
      </c>
      <c r="CI878" s="1853" t="str">
        <f t="shared" si="65"/>
        <v/>
      </c>
      <c r="CJ878" s="1853" t="str">
        <f t="shared" si="66"/>
        <v/>
      </c>
      <c r="CK878" s="1853" t="str">
        <f t="shared" si="67"/>
        <v/>
      </c>
      <c r="CL878" s="1853" t="str">
        <f t="shared" si="68"/>
        <v/>
      </c>
      <c r="CM878" s="1853" t="str">
        <f t="shared" si="69"/>
        <v/>
      </c>
      <c r="CN878" s="1853" t="str">
        <f t="shared" si="70"/>
        <v/>
      </c>
      <c r="CO878" s="1853" t="str">
        <f t="shared" si="71"/>
        <v/>
      </c>
      <c r="CP878" s="1853" t="str">
        <f t="shared" si="72"/>
        <v/>
      </c>
      <c r="CQ878" s="1853" t="str">
        <f t="shared" si="73"/>
        <v/>
      </c>
      <c r="CR878" s="1853" t="str">
        <f t="shared" si="74"/>
        <v/>
      </c>
      <c r="CS878" s="1853" t="str">
        <f t="shared" si="75"/>
        <v/>
      </c>
      <c r="CT878" s="1853" t="str">
        <f t="shared" si="76"/>
        <v/>
      </c>
      <c r="CU878" s="1853" t="str">
        <f t="shared" si="77"/>
        <v/>
      </c>
      <c r="CV878" s="1853" t="str">
        <f t="shared" si="78"/>
        <v/>
      </c>
      <c r="CW878" s="1853" t="str">
        <f t="shared" si="79"/>
        <v/>
      </c>
      <c r="CX878" s="1853" t="str">
        <f t="shared" si="80"/>
        <v/>
      </c>
      <c r="CY878" s="1853" t="str">
        <f t="shared" si="81"/>
        <v/>
      </c>
      <c r="CZ878" s="1853" t="str">
        <f t="shared" si="82"/>
        <v/>
      </c>
      <c r="DA878" s="1853" t="str">
        <f t="shared" si="83"/>
        <v/>
      </c>
      <c r="DB878" s="1853" t="str">
        <f t="shared" si="84"/>
        <v/>
      </c>
      <c r="DC878" s="1853" t="str">
        <f t="shared" si="85"/>
        <v/>
      </c>
      <c r="DD878" s="1853" t="str">
        <f t="shared" si="86"/>
        <v/>
      </c>
      <c r="DE878" s="1853" t="str">
        <f t="shared" si="87"/>
        <v/>
      </c>
      <c r="DF878" s="1853" t="str">
        <f t="shared" si="88"/>
        <v/>
      </c>
      <c r="DG878" s="1853" t="str">
        <f t="shared" si="89"/>
        <v/>
      </c>
      <c r="DH878" s="1853" t="str">
        <f t="shared" si="90"/>
        <v/>
      </c>
      <c r="DI878" s="1853" t="str">
        <f t="shared" si="91"/>
        <v/>
      </c>
      <c r="DJ878" s="1853" t="str">
        <f t="shared" si="92"/>
        <v/>
      </c>
      <c r="DK878" s="1853" t="str">
        <f t="shared" si="93"/>
        <v/>
      </c>
      <c r="DL878" s="1853" t="str">
        <f t="shared" si="94"/>
        <v/>
      </c>
      <c r="DM878" s="1853" t="str">
        <f t="shared" si="95"/>
        <v/>
      </c>
      <c r="DN878" s="1853" t="str">
        <f t="shared" si="96"/>
        <v/>
      </c>
      <c r="DO878" s="1853" t="str">
        <f t="shared" si="97"/>
        <v/>
      </c>
      <c r="DP878" s="1853" t="str">
        <f t="shared" si="98"/>
        <v/>
      </c>
      <c r="DQ878" s="1853" t="str">
        <f t="shared" si="99"/>
        <v/>
      </c>
      <c r="DR878" s="1853" t="str">
        <f t="shared" si="100"/>
        <v/>
      </c>
      <c r="DS878" s="1853" t="str">
        <f t="shared" si="101"/>
        <v/>
      </c>
      <c r="DT878" s="1853" t="str">
        <f t="shared" si="102"/>
        <v/>
      </c>
      <c r="DU878" s="1853" t="str">
        <f t="shared" si="103"/>
        <v/>
      </c>
      <c r="DV878" s="1853" t="str">
        <f t="shared" si="104"/>
        <v/>
      </c>
      <c r="DW878" s="1853" t="str">
        <f t="shared" si="105"/>
        <v/>
      </c>
      <c r="DX878" s="1853" t="str">
        <f t="shared" si="106"/>
        <v/>
      </c>
      <c r="DY878" s="1853" t="str">
        <f t="shared" si="107"/>
        <v/>
      </c>
      <c r="DZ878" s="1853" t="str">
        <f t="shared" si="108"/>
        <v/>
      </c>
      <c r="EA878" s="1853" t="str">
        <f t="shared" si="109"/>
        <v/>
      </c>
      <c r="EB878" s="1853" t="str">
        <f t="shared" si="110"/>
        <v/>
      </c>
      <c r="EC878" s="1853" t="str">
        <f t="shared" si="111"/>
        <v/>
      </c>
      <c r="ED878" s="1853" t="str">
        <f t="shared" si="112"/>
        <v/>
      </c>
      <c r="EE878" s="1853" t="str">
        <f t="shared" si="113"/>
        <v/>
      </c>
      <c r="EF878" s="1853" t="str">
        <f t="shared" si="114"/>
        <v/>
      </c>
      <c r="EG878" s="1853" t="str">
        <f t="shared" si="115"/>
        <v/>
      </c>
      <c r="EH878" s="1853" t="str">
        <f t="shared" si="116"/>
        <v/>
      </c>
      <c r="EI878" s="1853" t="str">
        <f t="shared" si="117"/>
        <v/>
      </c>
      <c r="EJ878" s="1853" t="str">
        <f t="shared" si="118"/>
        <v/>
      </c>
      <c r="EK878" s="1853" t="str">
        <f t="shared" si="119"/>
        <v/>
      </c>
      <c r="EL878" s="1853" t="str">
        <f t="shared" si="120"/>
        <v/>
      </c>
      <c r="EM878" s="1853" t="str">
        <f t="shared" si="121"/>
        <v/>
      </c>
      <c r="EN878" s="1853" t="str">
        <f t="shared" si="122"/>
        <v/>
      </c>
      <c r="EO878" s="1853" t="str">
        <f t="shared" si="123"/>
        <v/>
      </c>
      <c r="EP878" s="1853" t="str">
        <f t="shared" si="124"/>
        <v/>
      </c>
      <c r="EQ878" s="1853" t="str">
        <f t="shared" si="125"/>
        <v/>
      </c>
      <c r="ER878" s="1853" t="str">
        <f t="shared" si="126"/>
        <v/>
      </c>
      <c r="ES878" s="1853" t="str">
        <f t="shared" si="127"/>
        <v/>
      </c>
      <c r="ET878" s="1853" t="str">
        <f t="shared" si="128"/>
        <v/>
      </c>
      <c r="EU878" s="1853" t="str">
        <f t="shared" si="129"/>
        <v/>
      </c>
      <c r="EV878" s="1853" t="str">
        <f t="shared" si="130"/>
        <v/>
      </c>
      <c r="EW878" s="1853" t="str">
        <f t="shared" si="131"/>
        <v/>
      </c>
      <c r="EX878" s="1853" t="str">
        <f t="shared" si="132"/>
        <v/>
      </c>
      <c r="EY878" s="1853" t="str">
        <f t="shared" si="133"/>
        <v/>
      </c>
      <c r="EZ878" s="1853" t="str">
        <f t="shared" si="134"/>
        <v/>
      </c>
      <c r="FA878" s="1853" t="str">
        <f t="shared" si="135"/>
        <v/>
      </c>
      <c r="FB878" s="1853" t="str">
        <f t="shared" si="136"/>
        <v/>
      </c>
      <c r="FC878" s="1853" t="str">
        <f t="shared" si="137"/>
        <v/>
      </c>
      <c r="FD878" s="1853" t="str">
        <f t="shared" si="138"/>
        <v/>
      </c>
      <c r="FE878" s="1853" t="str">
        <f t="shared" si="139"/>
        <v/>
      </c>
      <c r="FF878" s="1853" t="str">
        <f t="shared" si="140"/>
        <v/>
      </c>
      <c r="FG878" s="1853" t="str">
        <f t="shared" si="141"/>
        <v/>
      </c>
      <c r="FH878" s="1853" t="str">
        <f t="shared" si="142"/>
        <v/>
      </c>
      <c r="FI878" s="1853" t="str">
        <f t="shared" si="143"/>
        <v/>
      </c>
      <c r="FJ878" s="1853" t="str">
        <f t="shared" si="144"/>
        <v/>
      </c>
      <c r="FK878" s="1853" t="str">
        <f t="shared" si="145"/>
        <v/>
      </c>
      <c r="FL878" s="1853" t="str">
        <f t="shared" si="146"/>
        <v/>
      </c>
      <c r="FM878" s="1853" t="str">
        <f t="shared" si="147"/>
        <v/>
      </c>
      <c r="FN878" s="1853" t="str">
        <f t="shared" si="148"/>
        <v/>
      </c>
      <c r="FO878" s="1853" t="str">
        <f t="shared" si="149"/>
        <v/>
      </c>
      <c r="FP878" s="1853" t="str">
        <f t="shared" si="150"/>
        <v/>
      </c>
      <c r="FQ878" s="1853" t="str">
        <f t="shared" si="151"/>
        <v/>
      </c>
      <c r="FR878" s="1853" t="str">
        <f t="shared" si="152"/>
        <v/>
      </c>
      <c r="FS878" s="1853" t="str">
        <f t="shared" si="153"/>
        <v/>
      </c>
      <c r="FT878" s="1853" t="str">
        <f t="shared" si="154"/>
        <v/>
      </c>
      <c r="FU878" s="1853" t="str">
        <f t="shared" si="155"/>
        <v/>
      </c>
      <c r="FV878" s="1853" t="str">
        <f t="shared" si="156"/>
        <v/>
      </c>
      <c r="FW878" s="1853" t="str">
        <f t="shared" si="157"/>
        <v/>
      </c>
      <c r="FX878" s="1853" t="str">
        <f t="shared" si="158"/>
        <v/>
      </c>
      <c r="FY878" s="1853" t="str">
        <f t="shared" si="159"/>
        <v/>
      </c>
      <c r="FZ878" s="1853" t="str">
        <f t="shared" si="160"/>
        <v/>
      </c>
      <c r="GA878" s="1853" t="str">
        <f t="shared" si="161"/>
        <v/>
      </c>
      <c r="GB878" s="1853" t="str">
        <f t="shared" si="162"/>
        <v/>
      </c>
      <c r="GC878" s="1853" t="str">
        <f t="shared" si="163"/>
        <v/>
      </c>
      <c r="GD878" s="1853" t="str">
        <f t="shared" si="164"/>
        <v/>
      </c>
      <c r="GE878" s="1853" t="str">
        <f t="shared" si="165"/>
        <v/>
      </c>
      <c r="GF878" s="1853" t="str">
        <f t="shared" si="166"/>
        <v/>
      </c>
      <c r="GG878" s="1853" t="str">
        <f t="shared" si="167"/>
        <v/>
      </c>
      <c r="GH878" s="1853" t="str">
        <f t="shared" si="168"/>
        <v/>
      </c>
      <c r="GI878" s="1853" t="str">
        <f t="shared" si="169"/>
        <v/>
      </c>
      <c r="GJ878" s="1853" t="str">
        <f t="shared" si="170"/>
        <v/>
      </c>
      <c r="GK878" s="1853" t="str">
        <f t="shared" si="171"/>
        <v/>
      </c>
      <c r="GL878" s="1853" t="str">
        <f t="shared" si="172"/>
        <v/>
      </c>
      <c r="GM878" s="1853" t="str">
        <f t="shared" si="173"/>
        <v/>
      </c>
      <c r="GN878" s="1853" t="str">
        <f t="shared" si="174"/>
        <v/>
      </c>
      <c r="GO878" s="1853" t="str">
        <f t="shared" si="175"/>
        <v/>
      </c>
      <c r="GP878" s="1853" t="str">
        <f t="shared" si="176"/>
        <v/>
      </c>
      <c r="GQ878" s="1853" t="str">
        <f t="shared" si="177"/>
        <v/>
      </c>
      <c r="GR878" s="1853" t="str">
        <f t="shared" si="178"/>
        <v/>
      </c>
      <c r="GS878" s="1853" t="str">
        <f t="shared" si="179"/>
        <v/>
      </c>
      <c r="GT878" s="1853" t="str">
        <f t="shared" si="180"/>
        <v/>
      </c>
      <c r="GU878" s="1853" t="str">
        <f t="shared" si="181"/>
        <v/>
      </c>
      <c r="GV878" s="1853" t="str">
        <f t="shared" si="182"/>
        <v/>
      </c>
      <c r="GW878" s="1853" t="str">
        <f t="shared" si="183"/>
        <v/>
      </c>
      <c r="GX878" s="1853" t="str">
        <f t="shared" si="184"/>
        <v/>
      </c>
      <c r="GY878" s="1853" t="str">
        <f t="shared" si="185"/>
        <v/>
      </c>
      <c r="GZ878" s="1853" t="str">
        <f t="shared" si="186"/>
        <v/>
      </c>
      <c r="HA878" s="1853" t="str">
        <f t="shared" si="187"/>
        <v/>
      </c>
      <c r="HB878" s="1853" t="str">
        <f t="shared" si="188"/>
        <v/>
      </c>
      <c r="HC878" s="1853" t="str">
        <f t="shared" si="189"/>
        <v/>
      </c>
      <c r="HD878" s="1853" t="str">
        <f t="shared" si="190"/>
        <v/>
      </c>
      <c r="HE878" s="1853" t="str">
        <f t="shared" si="191"/>
        <v/>
      </c>
      <c r="HF878" s="1853" t="str">
        <f t="shared" si="192"/>
        <v/>
      </c>
      <c r="HG878" s="1853" t="str">
        <f t="shared" si="193"/>
        <v/>
      </c>
      <c r="HH878" s="1853" t="str">
        <f t="shared" si="194"/>
        <v/>
      </c>
      <c r="HI878" s="1853" t="str">
        <f t="shared" si="195"/>
        <v/>
      </c>
      <c r="HJ878" s="1853" t="str">
        <f t="shared" si="196"/>
        <v/>
      </c>
      <c r="HK878" s="1853" t="str">
        <f t="shared" si="197"/>
        <v/>
      </c>
      <c r="HL878" s="1853" t="str">
        <f t="shared" si="198"/>
        <v/>
      </c>
      <c r="HM878" s="1853" t="str">
        <f t="shared" si="199"/>
        <v/>
      </c>
      <c r="HN878" s="1853" t="str">
        <f t="shared" si="200"/>
        <v/>
      </c>
      <c r="HO878" s="1853" t="str">
        <f t="shared" si="201"/>
        <v/>
      </c>
      <c r="HP878" s="1853" t="str">
        <f t="shared" si="202"/>
        <v/>
      </c>
      <c r="HQ878" s="1853" t="str">
        <f t="shared" si="203"/>
        <v/>
      </c>
      <c r="HR878" s="1853" t="str">
        <f t="shared" si="204"/>
        <v/>
      </c>
      <c r="HS878" s="1853" t="str">
        <f t="shared" si="205"/>
        <v/>
      </c>
      <c r="HT878" s="1853" t="str">
        <f t="shared" si="206"/>
        <v/>
      </c>
      <c r="HU878" s="1853" t="str">
        <f t="shared" si="207"/>
        <v/>
      </c>
      <c r="HV878" s="1853" t="str">
        <f t="shared" si="208"/>
        <v/>
      </c>
      <c r="HW878" s="1853" t="str">
        <f t="shared" si="209"/>
        <v/>
      </c>
      <c r="HX878" s="1853" t="str">
        <f t="shared" si="210"/>
        <v/>
      </c>
      <c r="HY878" s="1853" t="str">
        <f t="shared" si="211"/>
        <v/>
      </c>
      <c r="HZ878" s="2141" t="str">
        <f t="shared" si="212"/>
        <v/>
      </c>
      <c r="IA878" s="2141" t="str">
        <f t="shared" si="213"/>
        <v/>
      </c>
      <c r="IB878" s="2141" t="str">
        <f t="shared" si="214"/>
        <v/>
      </c>
      <c r="IC878" s="2141" t="str">
        <f t="shared" si="215"/>
        <v/>
      </c>
      <c r="ID878" s="2141" t="str">
        <f t="shared" si="216"/>
        <v/>
      </c>
      <c r="IE878" s="2141" t="str">
        <f t="shared" si="217"/>
        <v/>
      </c>
      <c r="IF878" s="2141" t="str">
        <f t="shared" si="218"/>
        <v/>
      </c>
      <c r="IG878" s="2141" t="str">
        <f t="shared" si="219"/>
        <v/>
      </c>
      <c r="IH878" s="2141" t="str">
        <f t="shared" si="220"/>
        <v/>
      </c>
      <c r="II878" s="2141" t="str">
        <f t="shared" si="221"/>
        <v/>
      </c>
      <c r="IJ878" s="2141" t="str">
        <f t="shared" si="222"/>
        <v/>
      </c>
      <c r="IK878" s="2141" t="str">
        <f t="shared" si="223"/>
        <v/>
      </c>
      <c r="IL878" s="2141" t="str">
        <f t="shared" si="224"/>
        <v/>
      </c>
      <c r="IM878" s="2141" t="str">
        <f t="shared" si="225"/>
        <v/>
      </c>
      <c r="IN878" s="2141" t="str">
        <f t="shared" si="226"/>
        <v/>
      </c>
      <c r="IO878" s="2141" t="str">
        <f t="shared" si="227"/>
        <v/>
      </c>
      <c r="IP878" s="2141" t="str">
        <f t="shared" si="228"/>
        <v/>
      </c>
      <c r="IQ878" s="2141" t="str">
        <f t="shared" si="229"/>
        <v/>
      </c>
      <c r="IR878" s="2141" t="str">
        <f t="shared" si="230"/>
        <v/>
      </c>
      <c r="IS878" s="2141" t="str">
        <f t="shared" si="231"/>
        <v/>
      </c>
      <c r="IT878" s="2141" t="str">
        <f t="shared" si="232"/>
        <v/>
      </c>
      <c r="IU878" s="2141" t="str">
        <f t="shared" si="233"/>
        <v/>
      </c>
      <c r="IV878" s="2141" t="str">
        <f t="shared" si="234"/>
        <v/>
      </c>
      <c r="IW878" s="2141" t="str">
        <f t="shared" si="235"/>
        <v/>
      </c>
      <c r="IX878" s="2141" t="str">
        <f t="shared" si="236"/>
        <v/>
      </c>
      <c r="IY878" s="2141" t="str">
        <f t="shared" si="237"/>
        <v/>
      </c>
      <c r="IZ878" s="2141" t="str">
        <f t="shared" si="238"/>
        <v/>
      </c>
      <c r="JA878" s="2141" t="str">
        <f t="shared" si="239"/>
        <v/>
      </c>
      <c r="JB878" s="2141" t="str">
        <f t="shared" si="240"/>
        <v/>
      </c>
      <c r="JC878" s="2141" t="str">
        <f t="shared" si="241"/>
        <v/>
      </c>
      <c r="JD878" s="2141" t="str">
        <f t="shared" si="242"/>
        <v/>
      </c>
      <c r="JE878" s="2141" t="str">
        <f t="shared" si="243"/>
        <v/>
      </c>
      <c r="JF878" s="2141" t="str">
        <f t="shared" si="244"/>
        <v/>
      </c>
      <c r="JG878" s="2141" t="str">
        <f t="shared" si="245"/>
        <v/>
      </c>
      <c r="JH878" s="2141" t="str">
        <f t="shared" si="246"/>
        <v/>
      </c>
      <c r="JI878" s="2141" t="str">
        <f t="shared" si="247"/>
        <v/>
      </c>
      <c r="JJ878" s="2141" t="str">
        <f t="shared" si="248"/>
        <v/>
      </c>
      <c r="JK878" s="2141" t="str">
        <f t="shared" si="249"/>
        <v/>
      </c>
      <c r="JL878" s="2141" t="str">
        <f t="shared" si="250"/>
        <v/>
      </c>
      <c r="JM878" s="2141" t="str">
        <f t="shared" si="251"/>
        <v/>
      </c>
      <c r="JN878" s="2141" t="str">
        <f t="shared" si="252"/>
        <v/>
      </c>
      <c r="JO878" s="2141" t="str">
        <f t="shared" si="253"/>
        <v/>
      </c>
      <c r="JP878" s="2141" t="str">
        <f t="shared" si="254"/>
        <v/>
      </c>
      <c r="JQ878" s="2141" t="str">
        <f t="shared" si="255"/>
        <v/>
      </c>
      <c r="JR878" s="2141" t="str">
        <f t="shared" si="256"/>
        <v/>
      </c>
      <c r="JS878" s="2141" t="str">
        <f t="shared" si="257"/>
        <v/>
      </c>
      <c r="JT878" s="2141" t="str">
        <f t="shared" si="258"/>
        <v/>
      </c>
      <c r="JU878" s="2141" t="str">
        <f t="shared" si="259"/>
        <v/>
      </c>
      <c r="JV878" s="2141" t="str">
        <f t="shared" si="260"/>
        <v/>
      </c>
      <c r="JW878" s="2141" t="str">
        <f t="shared" si="261"/>
        <v/>
      </c>
      <c r="JX878" s="2141" t="str">
        <f t="shared" si="262"/>
        <v/>
      </c>
      <c r="JY878" s="2141" t="str">
        <f t="shared" si="263"/>
        <v/>
      </c>
      <c r="JZ878" s="2141" t="str">
        <f t="shared" si="264"/>
        <v/>
      </c>
      <c r="KA878" s="2141" t="str">
        <f t="shared" si="265"/>
        <v/>
      </c>
      <c r="KB878" s="2141" t="str">
        <f t="shared" si="266"/>
        <v/>
      </c>
      <c r="KC878" s="2141" t="str">
        <f t="shared" si="267"/>
        <v/>
      </c>
      <c r="KD878" s="2141" t="str">
        <f t="shared" si="268"/>
        <v/>
      </c>
      <c r="KE878" s="2141" t="str">
        <f t="shared" si="269"/>
        <v/>
      </c>
      <c r="KF878" s="2141" t="str">
        <f t="shared" si="270"/>
        <v/>
      </c>
      <c r="KG878" s="2141" t="str">
        <f t="shared" si="271"/>
        <v/>
      </c>
      <c r="KH878" s="2141" t="str">
        <f t="shared" si="272"/>
        <v/>
      </c>
      <c r="KI878" s="2141" t="str">
        <f t="shared" si="273"/>
        <v/>
      </c>
      <c r="KJ878" s="2141" t="str">
        <f t="shared" si="274"/>
        <v/>
      </c>
      <c r="KK878" s="2141" t="str">
        <f t="shared" si="275"/>
        <v/>
      </c>
      <c r="KL878" s="2141" t="str">
        <f t="shared" si="276"/>
        <v/>
      </c>
      <c r="KM878" s="2141" t="str">
        <f t="shared" si="277"/>
        <v/>
      </c>
      <c r="KN878" s="2141" t="str">
        <f t="shared" si="278"/>
        <v/>
      </c>
      <c r="KO878" s="2141" t="str">
        <f t="shared" si="279"/>
        <v/>
      </c>
      <c r="KP878" s="2141" t="str">
        <f t="shared" si="280"/>
        <v/>
      </c>
      <c r="KQ878" s="2141" t="str">
        <f t="shared" si="281"/>
        <v/>
      </c>
      <c r="KR878" s="2141" t="str">
        <f t="shared" si="282"/>
        <v/>
      </c>
      <c r="KS878" s="2141" t="str">
        <f t="shared" si="283"/>
        <v/>
      </c>
      <c r="KT878" s="2141" t="str">
        <f t="shared" si="284"/>
        <v/>
      </c>
      <c r="KU878" s="2141" t="str">
        <f t="shared" si="285"/>
        <v/>
      </c>
      <c r="KV878" s="2141" t="str">
        <f t="shared" si="286"/>
        <v/>
      </c>
      <c r="KW878" s="2141" t="str">
        <f t="shared" si="287"/>
        <v/>
      </c>
      <c r="KX878" s="2141" t="str">
        <f t="shared" si="288"/>
        <v/>
      </c>
      <c r="KY878" s="2141" t="str">
        <f t="shared" si="289"/>
        <v/>
      </c>
      <c r="KZ878" s="2141" t="str">
        <f t="shared" si="290"/>
        <v/>
      </c>
      <c r="LA878" s="2141" t="str">
        <f t="shared" si="291"/>
        <v/>
      </c>
      <c r="LB878" s="2141" t="str">
        <f t="shared" si="292"/>
        <v/>
      </c>
      <c r="LC878" s="2141" t="str">
        <f t="shared" si="293"/>
        <v/>
      </c>
      <c r="LD878" s="2141" t="str">
        <f t="shared" si="294"/>
        <v/>
      </c>
      <c r="LE878" s="2141" t="str">
        <f t="shared" si="295"/>
        <v/>
      </c>
      <c r="LF878" s="2141" t="str">
        <f t="shared" si="296"/>
        <v/>
      </c>
      <c r="LG878" s="2052" t="str">
        <f t="shared" si="297"/>
        <v/>
      </c>
      <c r="LH878" s="2052" t="str">
        <f t="shared" si="298"/>
        <v/>
      </c>
      <c r="LI878" s="2052" t="str">
        <f t="shared" si="299"/>
        <v/>
      </c>
      <c r="LJ878" s="2052" t="str">
        <f t="shared" si="300"/>
        <v/>
      </c>
      <c r="LK878" s="2052" t="str">
        <f t="shared" si="301"/>
        <v/>
      </c>
      <c r="LL878" s="1853" t="str">
        <f t="shared" si="302"/>
        <v/>
      </c>
      <c r="LM878" s="1853" t="str">
        <f t="shared" si="303"/>
        <v/>
      </c>
      <c r="LN878" s="1853" t="str">
        <f t="shared" si="304"/>
        <v/>
      </c>
      <c r="LO878" s="1853" t="str">
        <f t="shared" si="305"/>
        <v/>
      </c>
      <c r="LP878" s="1853" t="str">
        <f t="shared" si="306"/>
        <v/>
      </c>
      <c r="LQ878" s="1853" t="str">
        <f t="shared" si="307"/>
        <v/>
      </c>
      <c r="LR878" s="1853" t="str">
        <f t="shared" si="308"/>
        <v/>
      </c>
      <c r="LS878" s="1853" t="str">
        <f t="shared" si="309"/>
        <v/>
      </c>
      <c r="LT878" s="1853" t="str">
        <f t="shared" si="310"/>
        <v/>
      </c>
      <c r="LU878" s="1853" t="str">
        <f t="shared" si="311"/>
        <v/>
      </c>
      <c r="LV878" s="1853" t="str">
        <f t="shared" si="312"/>
        <v/>
      </c>
      <c r="LW878" s="1853" t="str">
        <f t="shared" si="313"/>
        <v/>
      </c>
      <c r="LX878" s="1853" t="str">
        <f t="shared" si="314"/>
        <v/>
      </c>
      <c r="LY878" s="1853" t="str">
        <f t="shared" si="315"/>
        <v/>
      </c>
      <c r="LZ878" s="1853" t="str">
        <f t="shared" si="316"/>
        <v/>
      </c>
      <c r="MA878" s="1853" t="str">
        <f t="shared" si="317"/>
        <v/>
      </c>
      <c r="MB878" s="1853" t="str">
        <f t="shared" si="318"/>
        <v/>
      </c>
      <c r="MC878" s="1853" t="str">
        <f t="shared" si="319"/>
        <v/>
      </c>
      <c r="MD878" s="1853" t="str">
        <f t="shared" si="320"/>
        <v/>
      </c>
      <c r="ME878" s="1853" t="str">
        <f t="shared" si="321"/>
        <v/>
      </c>
      <c r="MF878" s="2052">
        <f t="shared" si="328"/>
        <v>0</v>
      </c>
      <c r="MG878" s="2052">
        <f t="shared" si="329"/>
        <v>0</v>
      </c>
      <c r="MH878" s="2052">
        <f t="shared" si="330"/>
        <v>0</v>
      </c>
      <c r="MI878" s="2052">
        <f t="shared" si="331"/>
        <v>0</v>
      </c>
      <c r="MJ878" s="2052">
        <f t="shared" si="332"/>
        <v>0</v>
      </c>
      <c r="MK878" s="2052">
        <f t="shared" si="333"/>
        <v>0</v>
      </c>
      <c r="ML878" s="2052">
        <f t="shared" si="334"/>
        <v>0</v>
      </c>
      <c r="MM878" s="2052">
        <f t="shared" si="335"/>
        <v>0</v>
      </c>
      <c r="MN878" s="2052">
        <f t="shared" si="336"/>
        <v>0</v>
      </c>
      <c r="MO878" s="2052">
        <f t="shared" si="337"/>
        <v>0</v>
      </c>
      <c r="MP878" s="2052">
        <f t="shared" si="322"/>
        <v>0</v>
      </c>
      <c r="MQ878" s="2052">
        <f t="shared" si="323"/>
        <v>0</v>
      </c>
      <c r="MR878" s="2052">
        <f t="shared" si="324"/>
        <v>0</v>
      </c>
      <c r="MS878" s="2052">
        <f t="shared" si="325"/>
        <v>0</v>
      </c>
      <c r="MT878" s="2052">
        <f t="shared" si="326"/>
        <v>0</v>
      </c>
      <c r="NP878" s="1925" t="s">
        <v>6744</v>
      </c>
    </row>
    <row r="879" spans="1:380" s="1853" customFormat="1" ht="13.9" customHeight="1">
      <c r="A879" s="2109" t="str">
        <f t="shared" si="327"/>
        <v/>
      </c>
      <c r="B879" s="2131">
        <f>'Part VI-Revenues &amp; Expenses'!B39</f>
        <v>0</v>
      </c>
      <c r="C879" s="2132">
        <f>'Part VI-Revenues &amp; Expenses'!C39</f>
        <v>0</v>
      </c>
      <c r="D879" s="2133">
        <f>'Part VI-Revenues &amp; Expenses'!D39</f>
        <v>0</v>
      </c>
      <c r="E879" s="2134">
        <f>'Part VI-Revenues &amp; Expenses'!E39</f>
        <v>0</v>
      </c>
      <c r="F879" s="2134">
        <f>'Part VI-Revenues &amp; Expenses'!F39</f>
        <v>0</v>
      </c>
      <c r="G879" s="2134">
        <f>'Part VI-Revenues &amp; Expenses'!G39</f>
        <v>0</v>
      </c>
      <c r="H879" s="2134">
        <f>'Part VI-Revenues &amp; Expenses'!H39</f>
        <v>0</v>
      </c>
      <c r="I879" s="2134">
        <f>'Part VI-Revenues &amp; Expenses'!I39</f>
        <v>0</v>
      </c>
      <c r="J879" s="2134">
        <f>'Part VI-Revenues &amp; Expenses'!J39</f>
        <v>0</v>
      </c>
      <c r="K879" s="2135">
        <f>'Part VI-Revenues &amp; Expenses'!K39</f>
        <v>0</v>
      </c>
      <c r="L879" s="2136">
        <f t="shared" si="0"/>
        <v>0</v>
      </c>
      <c r="M879" s="2136">
        <f t="shared" si="1"/>
        <v>0</v>
      </c>
      <c r="N879" s="1917">
        <f>'Part VI-Revenues &amp; Expenses'!N39</f>
        <v>0</v>
      </c>
      <c r="O879" s="2137">
        <f>'Part VI-Revenues &amp; Expenses'!O39</f>
        <v>0</v>
      </c>
      <c r="P879" s="1917">
        <f>'Part VI-Revenues &amp; Expenses'!P39</f>
        <v>0</v>
      </c>
      <c r="Q879" s="2138">
        <f>'Part VI-Revenues &amp; Expenses'!Q39</f>
        <v>0</v>
      </c>
      <c r="R879" s="2139"/>
      <c r="S879" s="2140"/>
      <c r="T879" s="2044"/>
      <c r="U879" s="2044"/>
      <c r="V879" s="2044"/>
      <c r="W879" s="2044"/>
      <c r="X879" s="1853" t="str">
        <f t="shared" si="2"/>
        <v/>
      </c>
      <c r="Y879" s="1853" t="str">
        <f t="shared" si="3"/>
        <v/>
      </c>
      <c r="Z879" s="1853" t="str">
        <f t="shared" si="4"/>
        <v/>
      </c>
      <c r="AA879" s="1853" t="str">
        <f t="shared" si="5"/>
        <v/>
      </c>
      <c r="AB879" s="1853" t="str">
        <f t="shared" si="6"/>
        <v/>
      </c>
      <c r="AC879" s="1853" t="str">
        <f t="shared" si="7"/>
        <v/>
      </c>
      <c r="AD879" s="1853" t="str">
        <f t="shared" si="8"/>
        <v/>
      </c>
      <c r="AE879" s="1853" t="str">
        <f t="shared" si="9"/>
        <v/>
      </c>
      <c r="AF879" s="1853" t="str">
        <f t="shared" si="10"/>
        <v/>
      </c>
      <c r="AG879" s="1853" t="str">
        <f t="shared" si="11"/>
        <v/>
      </c>
      <c r="AH879" s="1853" t="str">
        <f t="shared" si="12"/>
        <v/>
      </c>
      <c r="AI879" s="1853" t="str">
        <f t="shared" si="13"/>
        <v/>
      </c>
      <c r="AJ879" s="1853" t="str">
        <f t="shared" si="14"/>
        <v/>
      </c>
      <c r="AK879" s="1853" t="str">
        <f t="shared" si="15"/>
        <v/>
      </c>
      <c r="AL879" s="1853" t="str">
        <f t="shared" si="16"/>
        <v/>
      </c>
      <c r="AM879" s="1853" t="str">
        <f t="shared" si="17"/>
        <v/>
      </c>
      <c r="AN879" s="1853" t="str">
        <f t="shared" si="18"/>
        <v/>
      </c>
      <c r="AO879" s="1853" t="str">
        <f t="shared" si="19"/>
        <v/>
      </c>
      <c r="AP879" s="1853" t="str">
        <f t="shared" si="20"/>
        <v/>
      </c>
      <c r="AQ879" s="1853" t="str">
        <f t="shared" si="21"/>
        <v/>
      </c>
      <c r="AR879" s="1853" t="str">
        <f t="shared" si="22"/>
        <v/>
      </c>
      <c r="AS879" s="1853" t="str">
        <f t="shared" si="23"/>
        <v/>
      </c>
      <c r="AT879" s="1853" t="str">
        <f t="shared" si="24"/>
        <v/>
      </c>
      <c r="AU879" s="1853" t="str">
        <f t="shared" si="25"/>
        <v/>
      </c>
      <c r="AV879" s="1853" t="str">
        <f t="shared" si="26"/>
        <v/>
      </c>
      <c r="AW879" s="1853" t="str">
        <f t="shared" si="27"/>
        <v/>
      </c>
      <c r="AX879" s="1853" t="str">
        <f t="shared" si="28"/>
        <v/>
      </c>
      <c r="AY879" s="1853" t="str">
        <f t="shared" si="29"/>
        <v/>
      </c>
      <c r="AZ879" s="1853" t="str">
        <f t="shared" si="30"/>
        <v/>
      </c>
      <c r="BA879" s="1853" t="str">
        <f t="shared" si="31"/>
        <v/>
      </c>
      <c r="BB879" s="1853" t="str">
        <f t="shared" si="32"/>
        <v/>
      </c>
      <c r="BC879" s="1853" t="str">
        <f t="shared" si="33"/>
        <v/>
      </c>
      <c r="BD879" s="1853" t="str">
        <f t="shared" si="34"/>
        <v/>
      </c>
      <c r="BE879" s="1853" t="str">
        <f t="shared" si="35"/>
        <v/>
      </c>
      <c r="BF879" s="1853" t="str">
        <f t="shared" si="36"/>
        <v/>
      </c>
      <c r="BG879" s="1853" t="str">
        <f t="shared" si="37"/>
        <v/>
      </c>
      <c r="BH879" s="1853" t="str">
        <f t="shared" si="38"/>
        <v/>
      </c>
      <c r="BI879" s="1853" t="str">
        <f t="shared" si="39"/>
        <v/>
      </c>
      <c r="BJ879" s="1853" t="str">
        <f t="shared" si="40"/>
        <v/>
      </c>
      <c r="BK879" s="1853" t="str">
        <f t="shared" si="41"/>
        <v/>
      </c>
      <c r="BL879" s="1853" t="str">
        <f t="shared" si="42"/>
        <v/>
      </c>
      <c r="BM879" s="1853" t="str">
        <f t="shared" si="43"/>
        <v/>
      </c>
      <c r="BN879" s="1853" t="str">
        <f t="shared" si="44"/>
        <v/>
      </c>
      <c r="BO879" s="1853" t="str">
        <f t="shared" si="45"/>
        <v/>
      </c>
      <c r="BP879" s="1853" t="str">
        <f t="shared" si="46"/>
        <v/>
      </c>
      <c r="BQ879" s="1853" t="str">
        <f t="shared" si="47"/>
        <v/>
      </c>
      <c r="BR879" s="1853" t="str">
        <f t="shared" si="48"/>
        <v/>
      </c>
      <c r="BS879" s="1853" t="str">
        <f t="shared" si="49"/>
        <v/>
      </c>
      <c r="BT879" s="1853" t="str">
        <f t="shared" si="50"/>
        <v/>
      </c>
      <c r="BU879" s="1853" t="str">
        <f t="shared" si="51"/>
        <v/>
      </c>
      <c r="BV879" s="1853" t="str">
        <f t="shared" si="52"/>
        <v/>
      </c>
      <c r="BW879" s="1853" t="str">
        <f t="shared" si="53"/>
        <v/>
      </c>
      <c r="BX879" s="1853" t="str">
        <f t="shared" si="54"/>
        <v/>
      </c>
      <c r="BY879" s="1853" t="str">
        <f t="shared" si="55"/>
        <v/>
      </c>
      <c r="BZ879" s="1853" t="str">
        <f t="shared" si="56"/>
        <v/>
      </c>
      <c r="CA879" s="1853" t="str">
        <f t="shared" si="57"/>
        <v/>
      </c>
      <c r="CB879" s="1853" t="str">
        <f t="shared" si="58"/>
        <v/>
      </c>
      <c r="CC879" s="1853" t="str">
        <f t="shared" si="59"/>
        <v/>
      </c>
      <c r="CD879" s="1853" t="str">
        <f t="shared" si="60"/>
        <v/>
      </c>
      <c r="CE879" s="1853" t="str">
        <f t="shared" si="61"/>
        <v/>
      </c>
      <c r="CF879" s="1853" t="str">
        <f t="shared" si="62"/>
        <v/>
      </c>
      <c r="CG879" s="1853" t="str">
        <f t="shared" si="63"/>
        <v/>
      </c>
      <c r="CH879" s="1853" t="str">
        <f t="shared" si="64"/>
        <v/>
      </c>
      <c r="CI879" s="1853" t="str">
        <f t="shared" si="65"/>
        <v/>
      </c>
      <c r="CJ879" s="1853" t="str">
        <f t="shared" si="66"/>
        <v/>
      </c>
      <c r="CK879" s="1853" t="str">
        <f t="shared" si="67"/>
        <v/>
      </c>
      <c r="CL879" s="1853" t="str">
        <f t="shared" si="68"/>
        <v/>
      </c>
      <c r="CM879" s="1853" t="str">
        <f t="shared" si="69"/>
        <v/>
      </c>
      <c r="CN879" s="1853" t="str">
        <f t="shared" si="70"/>
        <v/>
      </c>
      <c r="CO879" s="1853" t="str">
        <f t="shared" si="71"/>
        <v/>
      </c>
      <c r="CP879" s="1853" t="str">
        <f t="shared" si="72"/>
        <v/>
      </c>
      <c r="CQ879" s="1853" t="str">
        <f t="shared" si="73"/>
        <v/>
      </c>
      <c r="CR879" s="1853" t="str">
        <f t="shared" si="74"/>
        <v/>
      </c>
      <c r="CS879" s="1853" t="str">
        <f t="shared" si="75"/>
        <v/>
      </c>
      <c r="CT879" s="1853" t="str">
        <f t="shared" si="76"/>
        <v/>
      </c>
      <c r="CU879" s="1853" t="str">
        <f t="shared" si="77"/>
        <v/>
      </c>
      <c r="CV879" s="1853" t="str">
        <f t="shared" si="78"/>
        <v/>
      </c>
      <c r="CW879" s="1853" t="str">
        <f t="shared" si="79"/>
        <v/>
      </c>
      <c r="CX879" s="1853" t="str">
        <f t="shared" si="80"/>
        <v/>
      </c>
      <c r="CY879" s="1853" t="str">
        <f t="shared" si="81"/>
        <v/>
      </c>
      <c r="CZ879" s="1853" t="str">
        <f t="shared" si="82"/>
        <v/>
      </c>
      <c r="DA879" s="1853" t="str">
        <f t="shared" si="83"/>
        <v/>
      </c>
      <c r="DB879" s="1853" t="str">
        <f t="shared" si="84"/>
        <v/>
      </c>
      <c r="DC879" s="1853" t="str">
        <f t="shared" si="85"/>
        <v/>
      </c>
      <c r="DD879" s="1853" t="str">
        <f t="shared" si="86"/>
        <v/>
      </c>
      <c r="DE879" s="1853" t="str">
        <f t="shared" si="87"/>
        <v/>
      </c>
      <c r="DF879" s="1853" t="str">
        <f t="shared" si="88"/>
        <v/>
      </c>
      <c r="DG879" s="1853" t="str">
        <f t="shared" si="89"/>
        <v/>
      </c>
      <c r="DH879" s="1853" t="str">
        <f t="shared" si="90"/>
        <v/>
      </c>
      <c r="DI879" s="1853" t="str">
        <f t="shared" si="91"/>
        <v/>
      </c>
      <c r="DJ879" s="1853" t="str">
        <f t="shared" si="92"/>
        <v/>
      </c>
      <c r="DK879" s="1853" t="str">
        <f t="shared" si="93"/>
        <v/>
      </c>
      <c r="DL879" s="1853" t="str">
        <f t="shared" si="94"/>
        <v/>
      </c>
      <c r="DM879" s="1853" t="str">
        <f t="shared" si="95"/>
        <v/>
      </c>
      <c r="DN879" s="1853" t="str">
        <f t="shared" si="96"/>
        <v/>
      </c>
      <c r="DO879" s="1853" t="str">
        <f t="shared" si="97"/>
        <v/>
      </c>
      <c r="DP879" s="1853" t="str">
        <f t="shared" si="98"/>
        <v/>
      </c>
      <c r="DQ879" s="1853" t="str">
        <f t="shared" si="99"/>
        <v/>
      </c>
      <c r="DR879" s="1853" t="str">
        <f t="shared" si="100"/>
        <v/>
      </c>
      <c r="DS879" s="1853" t="str">
        <f t="shared" si="101"/>
        <v/>
      </c>
      <c r="DT879" s="1853" t="str">
        <f t="shared" si="102"/>
        <v/>
      </c>
      <c r="DU879" s="1853" t="str">
        <f t="shared" si="103"/>
        <v/>
      </c>
      <c r="DV879" s="1853" t="str">
        <f t="shared" si="104"/>
        <v/>
      </c>
      <c r="DW879" s="1853" t="str">
        <f t="shared" si="105"/>
        <v/>
      </c>
      <c r="DX879" s="1853" t="str">
        <f t="shared" si="106"/>
        <v/>
      </c>
      <c r="DY879" s="1853" t="str">
        <f t="shared" si="107"/>
        <v/>
      </c>
      <c r="DZ879" s="1853" t="str">
        <f t="shared" si="108"/>
        <v/>
      </c>
      <c r="EA879" s="1853" t="str">
        <f t="shared" si="109"/>
        <v/>
      </c>
      <c r="EB879" s="1853" t="str">
        <f t="shared" si="110"/>
        <v/>
      </c>
      <c r="EC879" s="1853" t="str">
        <f t="shared" si="111"/>
        <v/>
      </c>
      <c r="ED879" s="1853" t="str">
        <f t="shared" si="112"/>
        <v/>
      </c>
      <c r="EE879" s="1853" t="str">
        <f t="shared" si="113"/>
        <v/>
      </c>
      <c r="EF879" s="1853" t="str">
        <f t="shared" si="114"/>
        <v/>
      </c>
      <c r="EG879" s="1853" t="str">
        <f t="shared" si="115"/>
        <v/>
      </c>
      <c r="EH879" s="1853" t="str">
        <f t="shared" si="116"/>
        <v/>
      </c>
      <c r="EI879" s="1853" t="str">
        <f t="shared" si="117"/>
        <v/>
      </c>
      <c r="EJ879" s="1853" t="str">
        <f t="shared" si="118"/>
        <v/>
      </c>
      <c r="EK879" s="1853" t="str">
        <f t="shared" si="119"/>
        <v/>
      </c>
      <c r="EL879" s="1853" t="str">
        <f t="shared" si="120"/>
        <v/>
      </c>
      <c r="EM879" s="1853" t="str">
        <f t="shared" si="121"/>
        <v/>
      </c>
      <c r="EN879" s="1853" t="str">
        <f t="shared" si="122"/>
        <v/>
      </c>
      <c r="EO879" s="1853" t="str">
        <f t="shared" si="123"/>
        <v/>
      </c>
      <c r="EP879" s="1853" t="str">
        <f t="shared" si="124"/>
        <v/>
      </c>
      <c r="EQ879" s="1853" t="str">
        <f t="shared" si="125"/>
        <v/>
      </c>
      <c r="ER879" s="1853" t="str">
        <f t="shared" si="126"/>
        <v/>
      </c>
      <c r="ES879" s="1853" t="str">
        <f t="shared" si="127"/>
        <v/>
      </c>
      <c r="ET879" s="1853" t="str">
        <f t="shared" si="128"/>
        <v/>
      </c>
      <c r="EU879" s="1853" t="str">
        <f t="shared" si="129"/>
        <v/>
      </c>
      <c r="EV879" s="1853" t="str">
        <f t="shared" si="130"/>
        <v/>
      </c>
      <c r="EW879" s="1853" t="str">
        <f t="shared" si="131"/>
        <v/>
      </c>
      <c r="EX879" s="1853" t="str">
        <f t="shared" si="132"/>
        <v/>
      </c>
      <c r="EY879" s="1853" t="str">
        <f t="shared" si="133"/>
        <v/>
      </c>
      <c r="EZ879" s="1853" t="str">
        <f t="shared" si="134"/>
        <v/>
      </c>
      <c r="FA879" s="1853" t="str">
        <f t="shared" si="135"/>
        <v/>
      </c>
      <c r="FB879" s="1853" t="str">
        <f t="shared" si="136"/>
        <v/>
      </c>
      <c r="FC879" s="1853" t="str">
        <f t="shared" si="137"/>
        <v/>
      </c>
      <c r="FD879" s="1853" t="str">
        <f t="shared" si="138"/>
        <v/>
      </c>
      <c r="FE879" s="1853" t="str">
        <f t="shared" si="139"/>
        <v/>
      </c>
      <c r="FF879" s="1853" t="str">
        <f t="shared" si="140"/>
        <v/>
      </c>
      <c r="FG879" s="1853" t="str">
        <f t="shared" si="141"/>
        <v/>
      </c>
      <c r="FH879" s="1853" t="str">
        <f t="shared" si="142"/>
        <v/>
      </c>
      <c r="FI879" s="1853" t="str">
        <f t="shared" si="143"/>
        <v/>
      </c>
      <c r="FJ879" s="1853" t="str">
        <f t="shared" si="144"/>
        <v/>
      </c>
      <c r="FK879" s="1853" t="str">
        <f t="shared" si="145"/>
        <v/>
      </c>
      <c r="FL879" s="1853" t="str">
        <f t="shared" si="146"/>
        <v/>
      </c>
      <c r="FM879" s="1853" t="str">
        <f t="shared" si="147"/>
        <v/>
      </c>
      <c r="FN879" s="1853" t="str">
        <f t="shared" si="148"/>
        <v/>
      </c>
      <c r="FO879" s="1853" t="str">
        <f t="shared" si="149"/>
        <v/>
      </c>
      <c r="FP879" s="1853" t="str">
        <f t="shared" si="150"/>
        <v/>
      </c>
      <c r="FQ879" s="1853" t="str">
        <f t="shared" si="151"/>
        <v/>
      </c>
      <c r="FR879" s="1853" t="str">
        <f t="shared" si="152"/>
        <v/>
      </c>
      <c r="FS879" s="1853" t="str">
        <f t="shared" si="153"/>
        <v/>
      </c>
      <c r="FT879" s="1853" t="str">
        <f t="shared" si="154"/>
        <v/>
      </c>
      <c r="FU879" s="1853" t="str">
        <f t="shared" si="155"/>
        <v/>
      </c>
      <c r="FV879" s="1853" t="str">
        <f t="shared" si="156"/>
        <v/>
      </c>
      <c r="FW879" s="1853" t="str">
        <f t="shared" si="157"/>
        <v/>
      </c>
      <c r="FX879" s="1853" t="str">
        <f t="shared" si="158"/>
        <v/>
      </c>
      <c r="FY879" s="1853" t="str">
        <f t="shared" si="159"/>
        <v/>
      </c>
      <c r="FZ879" s="1853" t="str">
        <f t="shared" si="160"/>
        <v/>
      </c>
      <c r="GA879" s="1853" t="str">
        <f t="shared" si="161"/>
        <v/>
      </c>
      <c r="GB879" s="1853" t="str">
        <f t="shared" si="162"/>
        <v/>
      </c>
      <c r="GC879" s="1853" t="str">
        <f t="shared" si="163"/>
        <v/>
      </c>
      <c r="GD879" s="1853" t="str">
        <f t="shared" si="164"/>
        <v/>
      </c>
      <c r="GE879" s="1853" t="str">
        <f t="shared" si="165"/>
        <v/>
      </c>
      <c r="GF879" s="1853" t="str">
        <f t="shared" si="166"/>
        <v/>
      </c>
      <c r="GG879" s="1853" t="str">
        <f t="shared" si="167"/>
        <v/>
      </c>
      <c r="GH879" s="1853" t="str">
        <f t="shared" si="168"/>
        <v/>
      </c>
      <c r="GI879" s="1853" t="str">
        <f t="shared" si="169"/>
        <v/>
      </c>
      <c r="GJ879" s="1853" t="str">
        <f t="shared" si="170"/>
        <v/>
      </c>
      <c r="GK879" s="1853" t="str">
        <f t="shared" si="171"/>
        <v/>
      </c>
      <c r="GL879" s="1853" t="str">
        <f t="shared" si="172"/>
        <v/>
      </c>
      <c r="GM879" s="1853" t="str">
        <f t="shared" si="173"/>
        <v/>
      </c>
      <c r="GN879" s="1853" t="str">
        <f t="shared" si="174"/>
        <v/>
      </c>
      <c r="GO879" s="1853" t="str">
        <f t="shared" si="175"/>
        <v/>
      </c>
      <c r="GP879" s="1853" t="str">
        <f t="shared" si="176"/>
        <v/>
      </c>
      <c r="GQ879" s="1853" t="str">
        <f t="shared" si="177"/>
        <v/>
      </c>
      <c r="GR879" s="1853" t="str">
        <f t="shared" si="178"/>
        <v/>
      </c>
      <c r="GS879" s="1853" t="str">
        <f t="shared" si="179"/>
        <v/>
      </c>
      <c r="GT879" s="1853" t="str">
        <f t="shared" si="180"/>
        <v/>
      </c>
      <c r="GU879" s="1853" t="str">
        <f t="shared" si="181"/>
        <v/>
      </c>
      <c r="GV879" s="1853" t="str">
        <f t="shared" si="182"/>
        <v/>
      </c>
      <c r="GW879" s="1853" t="str">
        <f t="shared" si="183"/>
        <v/>
      </c>
      <c r="GX879" s="1853" t="str">
        <f t="shared" si="184"/>
        <v/>
      </c>
      <c r="GY879" s="1853" t="str">
        <f t="shared" si="185"/>
        <v/>
      </c>
      <c r="GZ879" s="1853" t="str">
        <f t="shared" si="186"/>
        <v/>
      </c>
      <c r="HA879" s="1853" t="str">
        <f t="shared" si="187"/>
        <v/>
      </c>
      <c r="HB879" s="1853" t="str">
        <f t="shared" si="188"/>
        <v/>
      </c>
      <c r="HC879" s="1853" t="str">
        <f t="shared" si="189"/>
        <v/>
      </c>
      <c r="HD879" s="1853" t="str">
        <f t="shared" si="190"/>
        <v/>
      </c>
      <c r="HE879" s="1853" t="str">
        <f t="shared" si="191"/>
        <v/>
      </c>
      <c r="HF879" s="1853" t="str">
        <f t="shared" si="192"/>
        <v/>
      </c>
      <c r="HG879" s="1853" t="str">
        <f t="shared" si="193"/>
        <v/>
      </c>
      <c r="HH879" s="1853" t="str">
        <f t="shared" si="194"/>
        <v/>
      </c>
      <c r="HI879" s="1853" t="str">
        <f t="shared" si="195"/>
        <v/>
      </c>
      <c r="HJ879" s="1853" t="str">
        <f t="shared" si="196"/>
        <v/>
      </c>
      <c r="HK879" s="1853" t="str">
        <f t="shared" si="197"/>
        <v/>
      </c>
      <c r="HL879" s="1853" t="str">
        <f t="shared" si="198"/>
        <v/>
      </c>
      <c r="HM879" s="1853" t="str">
        <f t="shared" si="199"/>
        <v/>
      </c>
      <c r="HN879" s="1853" t="str">
        <f t="shared" si="200"/>
        <v/>
      </c>
      <c r="HO879" s="1853" t="str">
        <f t="shared" si="201"/>
        <v/>
      </c>
      <c r="HP879" s="1853" t="str">
        <f t="shared" si="202"/>
        <v/>
      </c>
      <c r="HQ879" s="1853" t="str">
        <f t="shared" si="203"/>
        <v/>
      </c>
      <c r="HR879" s="1853" t="str">
        <f t="shared" si="204"/>
        <v/>
      </c>
      <c r="HS879" s="1853" t="str">
        <f t="shared" si="205"/>
        <v/>
      </c>
      <c r="HT879" s="1853" t="str">
        <f t="shared" si="206"/>
        <v/>
      </c>
      <c r="HU879" s="1853" t="str">
        <f t="shared" si="207"/>
        <v/>
      </c>
      <c r="HV879" s="1853" t="str">
        <f t="shared" si="208"/>
        <v/>
      </c>
      <c r="HW879" s="1853" t="str">
        <f t="shared" si="209"/>
        <v/>
      </c>
      <c r="HX879" s="1853" t="str">
        <f t="shared" si="210"/>
        <v/>
      </c>
      <c r="HY879" s="1853" t="str">
        <f t="shared" si="211"/>
        <v/>
      </c>
      <c r="HZ879" s="2141" t="str">
        <f t="shared" si="212"/>
        <v/>
      </c>
      <c r="IA879" s="2141" t="str">
        <f t="shared" si="213"/>
        <v/>
      </c>
      <c r="IB879" s="2141" t="str">
        <f t="shared" si="214"/>
        <v/>
      </c>
      <c r="IC879" s="2141" t="str">
        <f t="shared" si="215"/>
        <v/>
      </c>
      <c r="ID879" s="2141" t="str">
        <f t="shared" si="216"/>
        <v/>
      </c>
      <c r="IE879" s="2141" t="str">
        <f t="shared" si="217"/>
        <v/>
      </c>
      <c r="IF879" s="2141" t="str">
        <f t="shared" si="218"/>
        <v/>
      </c>
      <c r="IG879" s="2141" t="str">
        <f t="shared" si="219"/>
        <v/>
      </c>
      <c r="IH879" s="2141" t="str">
        <f t="shared" si="220"/>
        <v/>
      </c>
      <c r="II879" s="2141" t="str">
        <f t="shared" si="221"/>
        <v/>
      </c>
      <c r="IJ879" s="2141" t="str">
        <f t="shared" si="222"/>
        <v/>
      </c>
      <c r="IK879" s="2141" t="str">
        <f t="shared" si="223"/>
        <v/>
      </c>
      <c r="IL879" s="2141" t="str">
        <f t="shared" si="224"/>
        <v/>
      </c>
      <c r="IM879" s="2141" t="str">
        <f t="shared" si="225"/>
        <v/>
      </c>
      <c r="IN879" s="2141" t="str">
        <f t="shared" si="226"/>
        <v/>
      </c>
      <c r="IO879" s="2141" t="str">
        <f t="shared" si="227"/>
        <v/>
      </c>
      <c r="IP879" s="2141" t="str">
        <f t="shared" si="228"/>
        <v/>
      </c>
      <c r="IQ879" s="2141" t="str">
        <f t="shared" si="229"/>
        <v/>
      </c>
      <c r="IR879" s="2141" t="str">
        <f t="shared" si="230"/>
        <v/>
      </c>
      <c r="IS879" s="2141" t="str">
        <f t="shared" si="231"/>
        <v/>
      </c>
      <c r="IT879" s="2141" t="str">
        <f t="shared" si="232"/>
        <v/>
      </c>
      <c r="IU879" s="2141" t="str">
        <f t="shared" si="233"/>
        <v/>
      </c>
      <c r="IV879" s="2141" t="str">
        <f t="shared" si="234"/>
        <v/>
      </c>
      <c r="IW879" s="2141" t="str">
        <f t="shared" si="235"/>
        <v/>
      </c>
      <c r="IX879" s="2141" t="str">
        <f t="shared" si="236"/>
        <v/>
      </c>
      <c r="IY879" s="2141" t="str">
        <f t="shared" si="237"/>
        <v/>
      </c>
      <c r="IZ879" s="2141" t="str">
        <f t="shared" si="238"/>
        <v/>
      </c>
      <c r="JA879" s="2141" t="str">
        <f t="shared" si="239"/>
        <v/>
      </c>
      <c r="JB879" s="2141" t="str">
        <f t="shared" si="240"/>
        <v/>
      </c>
      <c r="JC879" s="2141" t="str">
        <f t="shared" si="241"/>
        <v/>
      </c>
      <c r="JD879" s="2141" t="str">
        <f t="shared" si="242"/>
        <v/>
      </c>
      <c r="JE879" s="2141" t="str">
        <f t="shared" si="243"/>
        <v/>
      </c>
      <c r="JF879" s="2141" t="str">
        <f t="shared" si="244"/>
        <v/>
      </c>
      <c r="JG879" s="2141" t="str">
        <f t="shared" si="245"/>
        <v/>
      </c>
      <c r="JH879" s="2141" t="str">
        <f t="shared" si="246"/>
        <v/>
      </c>
      <c r="JI879" s="2141" t="str">
        <f t="shared" si="247"/>
        <v/>
      </c>
      <c r="JJ879" s="2141" t="str">
        <f t="shared" si="248"/>
        <v/>
      </c>
      <c r="JK879" s="2141" t="str">
        <f t="shared" si="249"/>
        <v/>
      </c>
      <c r="JL879" s="2141" t="str">
        <f t="shared" si="250"/>
        <v/>
      </c>
      <c r="JM879" s="2141" t="str">
        <f t="shared" si="251"/>
        <v/>
      </c>
      <c r="JN879" s="2141" t="str">
        <f t="shared" si="252"/>
        <v/>
      </c>
      <c r="JO879" s="2141" t="str">
        <f t="shared" si="253"/>
        <v/>
      </c>
      <c r="JP879" s="2141" t="str">
        <f t="shared" si="254"/>
        <v/>
      </c>
      <c r="JQ879" s="2141" t="str">
        <f t="shared" si="255"/>
        <v/>
      </c>
      <c r="JR879" s="2141" t="str">
        <f t="shared" si="256"/>
        <v/>
      </c>
      <c r="JS879" s="2141" t="str">
        <f t="shared" si="257"/>
        <v/>
      </c>
      <c r="JT879" s="2141" t="str">
        <f t="shared" si="258"/>
        <v/>
      </c>
      <c r="JU879" s="2141" t="str">
        <f t="shared" si="259"/>
        <v/>
      </c>
      <c r="JV879" s="2141" t="str">
        <f t="shared" si="260"/>
        <v/>
      </c>
      <c r="JW879" s="2141" t="str">
        <f t="shared" si="261"/>
        <v/>
      </c>
      <c r="JX879" s="2141" t="str">
        <f t="shared" si="262"/>
        <v/>
      </c>
      <c r="JY879" s="2141" t="str">
        <f t="shared" si="263"/>
        <v/>
      </c>
      <c r="JZ879" s="2141" t="str">
        <f t="shared" si="264"/>
        <v/>
      </c>
      <c r="KA879" s="2141" t="str">
        <f t="shared" si="265"/>
        <v/>
      </c>
      <c r="KB879" s="2141" t="str">
        <f t="shared" si="266"/>
        <v/>
      </c>
      <c r="KC879" s="2141" t="str">
        <f t="shared" si="267"/>
        <v/>
      </c>
      <c r="KD879" s="2141" t="str">
        <f t="shared" si="268"/>
        <v/>
      </c>
      <c r="KE879" s="2141" t="str">
        <f t="shared" si="269"/>
        <v/>
      </c>
      <c r="KF879" s="2141" t="str">
        <f t="shared" si="270"/>
        <v/>
      </c>
      <c r="KG879" s="2141" t="str">
        <f t="shared" si="271"/>
        <v/>
      </c>
      <c r="KH879" s="2141" t="str">
        <f t="shared" si="272"/>
        <v/>
      </c>
      <c r="KI879" s="2141" t="str">
        <f t="shared" si="273"/>
        <v/>
      </c>
      <c r="KJ879" s="2141" t="str">
        <f t="shared" si="274"/>
        <v/>
      </c>
      <c r="KK879" s="2141" t="str">
        <f t="shared" si="275"/>
        <v/>
      </c>
      <c r="KL879" s="2141" t="str">
        <f t="shared" si="276"/>
        <v/>
      </c>
      <c r="KM879" s="2141" t="str">
        <f t="shared" si="277"/>
        <v/>
      </c>
      <c r="KN879" s="2141" t="str">
        <f t="shared" si="278"/>
        <v/>
      </c>
      <c r="KO879" s="2141" t="str">
        <f t="shared" si="279"/>
        <v/>
      </c>
      <c r="KP879" s="2141" t="str">
        <f t="shared" si="280"/>
        <v/>
      </c>
      <c r="KQ879" s="2141" t="str">
        <f t="shared" si="281"/>
        <v/>
      </c>
      <c r="KR879" s="2141" t="str">
        <f t="shared" si="282"/>
        <v/>
      </c>
      <c r="KS879" s="2141" t="str">
        <f t="shared" si="283"/>
        <v/>
      </c>
      <c r="KT879" s="2141" t="str">
        <f t="shared" si="284"/>
        <v/>
      </c>
      <c r="KU879" s="2141" t="str">
        <f t="shared" si="285"/>
        <v/>
      </c>
      <c r="KV879" s="2141" t="str">
        <f t="shared" si="286"/>
        <v/>
      </c>
      <c r="KW879" s="2141" t="str">
        <f t="shared" si="287"/>
        <v/>
      </c>
      <c r="KX879" s="2141" t="str">
        <f t="shared" si="288"/>
        <v/>
      </c>
      <c r="KY879" s="2141" t="str">
        <f t="shared" si="289"/>
        <v/>
      </c>
      <c r="KZ879" s="2141" t="str">
        <f t="shared" si="290"/>
        <v/>
      </c>
      <c r="LA879" s="2141" t="str">
        <f t="shared" si="291"/>
        <v/>
      </c>
      <c r="LB879" s="2141" t="str">
        <f t="shared" si="292"/>
        <v/>
      </c>
      <c r="LC879" s="2141" t="str">
        <f t="shared" si="293"/>
        <v/>
      </c>
      <c r="LD879" s="2141" t="str">
        <f t="shared" si="294"/>
        <v/>
      </c>
      <c r="LE879" s="2141" t="str">
        <f t="shared" si="295"/>
        <v/>
      </c>
      <c r="LF879" s="2141" t="str">
        <f t="shared" si="296"/>
        <v/>
      </c>
      <c r="LG879" s="2052" t="str">
        <f t="shared" si="297"/>
        <v/>
      </c>
      <c r="LH879" s="2052" t="str">
        <f t="shared" si="298"/>
        <v/>
      </c>
      <c r="LI879" s="2052" t="str">
        <f t="shared" si="299"/>
        <v/>
      </c>
      <c r="LJ879" s="2052" t="str">
        <f t="shared" si="300"/>
        <v/>
      </c>
      <c r="LK879" s="2052" t="str">
        <f t="shared" si="301"/>
        <v/>
      </c>
      <c r="LL879" s="1853" t="str">
        <f t="shared" si="302"/>
        <v/>
      </c>
      <c r="LM879" s="1853" t="str">
        <f t="shared" si="303"/>
        <v/>
      </c>
      <c r="LN879" s="1853" t="str">
        <f t="shared" si="304"/>
        <v/>
      </c>
      <c r="LO879" s="1853" t="str">
        <f t="shared" si="305"/>
        <v/>
      </c>
      <c r="LP879" s="1853" t="str">
        <f t="shared" si="306"/>
        <v/>
      </c>
      <c r="LQ879" s="1853" t="str">
        <f t="shared" si="307"/>
        <v/>
      </c>
      <c r="LR879" s="1853" t="str">
        <f t="shared" si="308"/>
        <v/>
      </c>
      <c r="LS879" s="1853" t="str">
        <f t="shared" si="309"/>
        <v/>
      </c>
      <c r="LT879" s="1853" t="str">
        <f t="shared" si="310"/>
        <v/>
      </c>
      <c r="LU879" s="1853" t="str">
        <f t="shared" si="311"/>
        <v/>
      </c>
      <c r="LV879" s="1853" t="str">
        <f t="shared" si="312"/>
        <v/>
      </c>
      <c r="LW879" s="1853" t="str">
        <f t="shared" si="313"/>
        <v/>
      </c>
      <c r="LX879" s="1853" t="str">
        <f t="shared" si="314"/>
        <v/>
      </c>
      <c r="LY879" s="1853" t="str">
        <f t="shared" si="315"/>
        <v/>
      </c>
      <c r="LZ879" s="1853" t="str">
        <f t="shared" si="316"/>
        <v/>
      </c>
      <c r="MA879" s="1853" t="str">
        <f t="shared" si="317"/>
        <v/>
      </c>
      <c r="MB879" s="1853" t="str">
        <f t="shared" si="318"/>
        <v/>
      </c>
      <c r="MC879" s="1853" t="str">
        <f t="shared" si="319"/>
        <v/>
      </c>
      <c r="MD879" s="1853" t="str">
        <f t="shared" si="320"/>
        <v/>
      </c>
      <c r="ME879" s="1853" t="str">
        <f t="shared" si="321"/>
        <v/>
      </c>
      <c r="MF879" s="2052">
        <f t="shared" si="328"/>
        <v>0</v>
      </c>
      <c r="MG879" s="2052">
        <f t="shared" si="329"/>
        <v>0</v>
      </c>
      <c r="MH879" s="2052">
        <f t="shared" si="330"/>
        <v>0</v>
      </c>
      <c r="MI879" s="2052">
        <f t="shared" si="331"/>
        <v>0</v>
      </c>
      <c r="MJ879" s="2052">
        <f t="shared" si="332"/>
        <v>0</v>
      </c>
      <c r="MK879" s="2052">
        <f t="shared" si="333"/>
        <v>0</v>
      </c>
      <c r="ML879" s="2052">
        <f t="shared" si="334"/>
        <v>0</v>
      </c>
      <c r="MM879" s="2052">
        <f t="shared" si="335"/>
        <v>0</v>
      </c>
      <c r="MN879" s="2052">
        <f t="shared" si="336"/>
        <v>0</v>
      </c>
      <c r="MO879" s="2052">
        <f t="shared" si="337"/>
        <v>0</v>
      </c>
      <c r="MP879" s="2052">
        <f t="shared" si="322"/>
        <v>0</v>
      </c>
      <c r="MQ879" s="2052">
        <f t="shared" si="323"/>
        <v>0</v>
      </c>
      <c r="MR879" s="2052">
        <f t="shared" si="324"/>
        <v>0</v>
      </c>
      <c r="MS879" s="2052">
        <f t="shared" si="325"/>
        <v>0</v>
      </c>
      <c r="MT879" s="2052">
        <f t="shared" si="326"/>
        <v>0</v>
      </c>
      <c r="NP879" s="1925" t="s">
        <v>6745</v>
      </c>
    </row>
    <row r="880" spans="1:380" s="1853" customFormat="1" ht="13.9" customHeight="1">
      <c r="A880" s="2109" t="str">
        <f t="shared" si="327"/>
        <v/>
      </c>
      <c r="B880" s="2131">
        <f>'Part VI-Revenues &amp; Expenses'!B40</f>
        <v>0</v>
      </c>
      <c r="C880" s="2132">
        <f>'Part VI-Revenues &amp; Expenses'!C40</f>
        <v>0</v>
      </c>
      <c r="D880" s="2133">
        <f>'Part VI-Revenues &amp; Expenses'!D40</f>
        <v>0</v>
      </c>
      <c r="E880" s="2134">
        <f>'Part VI-Revenues &amp; Expenses'!E40</f>
        <v>0</v>
      </c>
      <c r="F880" s="2134">
        <f>'Part VI-Revenues &amp; Expenses'!F40</f>
        <v>0</v>
      </c>
      <c r="G880" s="2134">
        <f>'Part VI-Revenues &amp; Expenses'!G40</f>
        <v>0</v>
      </c>
      <c r="H880" s="2134">
        <f>'Part VI-Revenues &amp; Expenses'!H40</f>
        <v>0</v>
      </c>
      <c r="I880" s="2134">
        <f>'Part VI-Revenues &amp; Expenses'!I40</f>
        <v>0</v>
      </c>
      <c r="J880" s="2134">
        <f>'Part VI-Revenues &amp; Expenses'!J40</f>
        <v>0</v>
      </c>
      <c r="K880" s="2135">
        <f>'Part VI-Revenues &amp; Expenses'!K40</f>
        <v>0</v>
      </c>
      <c r="L880" s="2136">
        <f t="shared" si="0"/>
        <v>0</v>
      </c>
      <c r="M880" s="2136">
        <f t="shared" si="1"/>
        <v>0</v>
      </c>
      <c r="N880" s="1917">
        <f>'Part VI-Revenues &amp; Expenses'!N40</f>
        <v>0</v>
      </c>
      <c r="O880" s="2137">
        <f>'Part VI-Revenues &amp; Expenses'!O40</f>
        <v>0</v>
      </c>
      <c r="P880" s="1917">
        <f>'Part VI-Revenues &amp; Expenses'!P40</f>
        <v>0</v>
      </c>
      <c r="Q880" s="2138">
        <f>'Part VI-Revenues &amp; Expenses'!Q40</f>
        <v>0</v>
      </c>
      <c r="R880" s="2139"/>
      <c r="S880" s="2140"/>
      <c r="T880" s="2044"/>
      <c r="U880" s="2044"/>
      <c r="V880" s="2044"/>
      <c r="W880" s="2044"/>
      <c r="X880" s="1853" t="str">
        <f t="shared" si="2"/>
        <v/>
      </c>
      <c r="Y880" s="1853" t="str">
        <f t="shared" si="3"/>
        <v/>
      </c>
      <c r="Z880" s="1853" t="str">
        <f t="shared" si="4"/>
        <v/>
      </c>
      <c r="AA880" s="1853" t="str">
        <f t="shared" si="5"/>
        <v/>
      </c>
      <c r="AB880" s="1853" t="str">
        <f t="shared" si="6"/>
        <v/>
      </c>
      <c r="AC880" s="1853" t="str">
        <f t="shared" si="7"/>
        <v/>
      </c>
      <c r="AD880" s="1853" t="str">
        <f t="shared" si="8"/>
        <v/>
      </c>
      <c r="AE880" s="1853" t="str">
        <f t="shared" si="9"/>
        <v/>
      </c>
      <c r="AF880" s="1853" t="str">
        <f t="shared" si="10"/>
        <v/>
      </c>
      <c r="AG880" s="1853" t="str">
        <f t="shared" si="11"/>
        <v/>
      </c>
      <c r="AH880" s="1853" t="str">
        <f t="shared" si="12"/>
        <v/>
      </c>
      <c r="AI880" s="1853" t="str">
        <f t="shared" si="13"/>
        <v/>
      </c>
      <c r="AJ880" s="1853" t="str">
        <f t="shared" si="14"/>
        <v/>
      </c>
      <c r="AK880" s="1853" t="str">
        <f t="shared" si="15"/>
        <v/>
      </c>
      <c r="AL880" s="1853" t="str">
        <f t="shared" si="16"/>
        <v/>
      </c>
      <c r="AM880" s="1853" t="str">
        <f t="shared" si="17"/>
        <v/>
      </c>
      <c r="AN880" s="1853" t="str">
        <f t="shared" si="18"/>
        <v/>
      </c>
      <c r="AO880" s="1853" t="str">
        <f t="shared" si="19"/>
        <v/>
      </c>
      <c r="AP880" s="1853" t="str">
        <f t="shared" si="20"/>
        <v/>
      </c>
      <c r="AQ880" s="1853" t="str">
        <f t="shared" si="21"/>
        <v/>
      </c>
      <c r="AR880" s="1853" t="str">
        <f t="shared" si="22"/>
        <v/>
      </c>
      <c r="AS880" s="1853" t="str">
        <f t="shared" si="23"/>
        <v/>
      </c>
      <c r="AT880" s="1853" t="str">
        <f t="shared" si="24"/>
        <v/>
      </c>
      <c r="AU880" s="1853" t="str">
        <f t="shared" si="25"/>
        <v/>
      </c>
      <c r="AV880" s="1853" t="str">
        <f t="shared" si="26"/>
        <v/>
      </c>
      <c r="AW880" s="1853" t="str">
        <f t="shared" si="27"/>
        <v/>
      </c>
      <c r="AX880" s="1853" t="str">
        <f t="shared" si="28"/>
        <v/>
      </c>
      <c r="AY880" s="1853" t="str">
        <f t="shared" si="29"/>
        <v/>
      </c>
      <c r="AZ880" s="1853" t="str">
        <f t="shared" si="30"/>
        <v/>
      </c>
      <c r="BA880" s="1853" t="str">
        <f t="shared" si="31"/>
        <v/>
      </c>
      <c r="BB880" s="1853" t="str">
        <f t="shared" si="32"/>
        <v/>
      </c>
      <c r="BC880" s="1853" t="str">
        <f t="shared" si="33"/>
        <v/>
      </c>
      <c r="BD880" s="1853" t="str">
        <f t="shared" si="34"/>
        <v/>
      </c>
      <c r="BE880" s="1853" t="str">
        <f t="shared" si="35"/>
        <v/>
      </c>
      <c r="BF880" s="1853" t="str">
        <f t="shared" si="36"/>
        <v/>
      </c>
      <c r="BG880" s="1853" t="str">
        <f t="shared" si="37"/>
        <v/>
      </c>
      <c r="BH880" s="1853" t="str">
        <f t="shared" si="38"/>
        <v/>
      </c>
      <c r="BI880" s="1853" t="str">
        <f t="shared" si="39"/>
        <v/>
      </c>
      <c r="BJ880" s="1853" t="str">
        <f t="shared" si="40"/>
        <v/>
      </c>
      <c r="BK880" s="1853" t="str">
        <f t="shared" si="41"/>
        <v/>
      </c>
      <c r="BL880" s="1853" t="str">
        <f t="shared" si="42"/>
        <v/>
      </c>
      <c r="BM880" s="1853" t="str">
        <f t="shared" si="43"/>
        <v/>
      </c>
      <c r="BN880" s="1853" t="str">
        <f t="shared" si="44"/>
        <v/>
      </c>
      <c r="BO880" s="1853" t="str">
        <f t="shared" si="45"/>
        <v/>
      </c>
      <c r="BP880" s="1853" t="str">
        <f t="shared" si="46"/>
        <v/>
      </c>
      <c r="BQ880" s="1853" t="str">
        <f t="shared" si="47"/>
        <v/>
      </c>
      <c r="BR880" s="1853" t="str">
        <f t="shared" si="48"/>
        <v/>
      </c>
      <c r="BS880" s="1853" t="str">
        <f t="shared" si="49"/>
        <v/>
      </c>
      <c r="BT880" s="1853" t="str">
        <f t="shared" si="50"/>
        <v/>
      </c>
      <c r="BU880" s="1853" t="str">
        <f t="shared" si="51"/>
        <v/>
      </c>
      <c r="BV880" s="1853" t="str">
        <f t="shared" si="52"/>
        <v/>
      </c>
      <c r="BW880" s="1853" t="str">
        <f t="shared" si="53"/>
        <v/>
      </c>
      <c r="BX880" s="1853" t="str">
        <f t="shared" si="54"/>
        <v/>
      </c>
      <c r="BY880" s="1853" t="str">
        <f t="shared" si="55"/>
        <v/>
      </c>
      <c r="BZ880" s="1853" t="str">
        <f t="shared" si="56"/>
        <v/>
      </c>
      <c r="CA880" s="1853" t="str">
        <f t="shared" si="57"/>
        <v/>
      </c>
      <c r="CB880" s="1853" t="str">
        <f t="shared" si="58"/>
        <v/>
      </c>
      <c r="CC880" s="1853" t="str">
        <f t="shared" si="59"/>
        <v/>
      </c>
      <c r="CD880" s="1853" t="str">
        <f t="shared" si="60"/>
        <v/>
      </c>
      <c r="CE880" s="1853" t="str">
        <f t="shared" si="61"/>
        <v/>
      </c>
      <c r="CF880" s="1853" t="str">
        <f t="shared" si="62"/>
        <v/>
      </c>
      <c r="CG880" s="1853" t="str">
        <f t="shared" si="63"/>
        <v/>
      </c>
      <c r="CH880" s="1853" t="str">
        <f t="shared" si="64"/>
        <v/>
      </c>
      <c r="CI880" s="1853" t="str">
        <f t="shared" si="65"/>
        <v/>
      </c>
      <c r="CJ880" s="1853" t="str">
        <f t="shared" si="66"/>
        <v/>
      </c>
      <c r="CK880" s="1853" t="str">
        <f t="shared" si="67"/>
        <v/>
      </c>
      <c r="CL880" s="1853" t="str">
        <f t="shared" si="68"/>
        <v/>
      </c>
      <c r="CM880" s="1853" t="str">
        <f t="shared" si="69"/>
        <v/>
      </c>
      <c r="CN880" s="1853" t="str">
        <f t="shared" si="70"/>
        <v/>
      </c>
      <c r="CO880" s="1853" t="str">
        <f t="shared" si="71"/>
        <v/>
      </c>
      <c r="CP880" s="1853" t="str">
        <f t="shared" si="72"/>
        <v/>
      </c>
      <c r="CQ880" s="1853" t="str">
        <f t="shared" si="73"/>
        <v/>
      </c>
      <c r="CR880" s="1853" t="str">
        <f t="shared" si="74"/>
        <v/>
      </c>
      <c r="CS880" s="1853" t="str">
        <f t="shared" si="75"/>
        <v/>
      </c>
      <c r="CT880" s="1853" t="str">
        <f t="shared" si="76"/>
        <v/>
      </c>
      <c r="CU880" s="1853" t="str">
        <f t="shared" si="77"/>
        <v/>
      </c>
      <c r="CV880" s="1853" t="str">
        <f t="shared" si="78"/>
        <v/>
      </c>
      <c r="CW880" s="1853" t="str">
        <f t="shared" si="79"/>
        <v/>
      </c>
      <c r="CX880" s="1853" t="str">
        <f t="shared" si="80"/>
        <v/>
      </c>
      <c r="CY880" s="1853" t="str">
        <f t="shared" si="81"/>
        <v/>
      </c>
      <c r="CZ880" s="1853" t="str">
        <f t="shared" si="82"/>
        <v/>
      </c>
      <c r="DA880" s="1853" t="str">
        <f t="shared" si="83"/>
        <v/>
      </c>
      <c r="DB880" s="1853" t="str">
        <f t="shared" si="84"/>
        <v/>
      </c>
      <c r="DC880" s="1853" t="str">
        <f t="shared" si="85"/>
        <v/>
      </c>
      <c r="DD880" s="1853" t="str">
        <f t="shared" si="86"/>
        <v/>
      </c>
      <c r="DE880" s="1853" t="str">
        <f t="shared" si="87"/>
        <v/>
      </c>
      <c r="DF880" s="1853" t="str">
        <f t="shared" si="88"/>
        <v/>
      </c>
      <c r="DG880" s="1853" t="str">
        <f t="shared" si="89"/>
        <v/>
      </c>
      <c r="DH880" s="1853" t="str">
        <f t="shared" si="90"/>
        <v/>
      </c>
      <c r="DI880" s="1853" t="str">
        <f t="shared" si="91"/>
        <v/>
      </c>
      <c r="DJ880" s="1853" t="str">
        <f t="shared" si="92"/>
        <v/>
      </c>
      <c r="DK880" s="1853" t="str">
        <f t="shared" si="93"/>
        <v/>
      </c>
      <c r="DL880" s="1853" t="str">
        <f t="shared" si="94"/>
        <v/>
      </c>
      <c r="DM880" s="1853" t="str">
        <f t="shared" si="95"/>
        <v/>
      </c>
      <c r="DN880" s="1853" t="str">
        <f t="shared" si="96"/>
        <v/>
      </c>
      <c r="DO880" s="1853" t="str">
        <f t="shared" si="97"/>
        <v/>
      </c>
      <c r="DP880" s="1853" t="str">
        <f t="shared" si="98"/>
        <v/>
      </c>
      <c r="DQ880" s="1853" t="str">
        <f t="shared" si="99"/>
        <v/>
      </c>
      <c r="DR880" s="1853" t="str">
        <f t="shared" si="100"/>
        <v/>
      </c>
      <c r="DS880" s="1853" t="str">
        <f t="shared" si="101"/>
        <v/>
      </c>
      <c r="DT880" s="1853" t="str">
        <f t="shared" si="102"/>
        <v/>
      </c>
      <c r="DU880" s="1853" t="str">
        <f t="shared" si="103"/>
        <v/>
      </c>
      <c r="DV880" s="1853" t="str">
        <f t="shared" si="104"/>
        <v/>
      </c>
      <c r="DW880" s="1853" t="str">
        <f t="shared" si="105"/>
        <v/>
      </c>
      <c r="DX880" s="1853" t="str">
        <f t="shared" si="106"/>
        <v/>
      </c>
      <c r="DY880" s="1853" t="str">
        <f t="shared" si="107"/>
        <v/>
      </c>
      <c r="DZ880" s="1853" t="str">
        <f t="shared" si="108"/>
        <v/>
      </c>
      <c r="EA880" s="1853" t="str">
        <f t="shared" si="109"/>
        <v/>
      </c>
      <c r="EB880" s="1853" t="str">
        <f t="shared" si="110"/>
        <v/>
      </c>
      <c r="EC880" s="1853" t="str">
        <f t="shared" si="111"/>
        <v/>
      </c>
      <c r="ED880" s="1853" t="str">
        <f t="shared" si="112"/>
        <v/>
      </c>
      <c r="EE880" s="1853" t="str">
        <f t="shared" si="113"/>
        <v/>
      </c>
      <c r="EF880" s="1853" t="str">
        <f t="shared" si="114"/>
        <v/>
      </c>
      <c r="EG880" s="1853" t="str">
        <f t="shared" si="115"/>
        <v/>
      </c>
      <c r="EH880" s="1853" t="str">
        <f t="shared" si="116"/>
        <v/>
      </c>
      <c r="EI880" s="1853" t="str">
        <f t="shared" si="117"/>
        <v/>
      </c>
      <c r="EJ880" s="1853" t="str">
        <f t="shared" si="118"/>
        <v/>
      </c>
      <c r="EK880" s="1853" t="str">
        <f t="shared" si="119"/>
        <v/>
      </c>
      <c r="EL880" s="1853" t="str">
        <f t="shared" si="120"/>
        <v/>
      </c>
      <c r="EM880" s="1853" t="str">
        <f t="shared" si="121"/>
        <v/>
      </c>
      <c r="EN880" s="1853" t="str">
        <f t="shared" si="122"/>
        <v/>
      </c>
      <c r="EO880" s="1853" t="str">
        <f t="shared" si="123"/>
        <v/>
      </c>
      <c r="EP880" s="1853" t="str">
        <f t="shared" si="124"/>
        <v/>
      </c>
      <c r="EQ880" s="1853" t="str">
        <f t="shared" si="125"/>
        <v/>
      </c>
      <c r="ER880" s="1853" t="str">
        <f t="shared" si="126"/>
        <v/>
      </c>
      <c r="ES880" s="1853" t="str">
        <f t="shared" si="127"/>
        <v/>
      </c>
      <c r="ET880" s="1853" t="str">
        <f t="shared" si="128"/>
        <v/>
      </c>
      <c r="EU880" s="1853" t="str">
        <f t="shared" si="129"/>
        <v/>
      </c>
      <c r="EV880" s="1853" t="str">
        <f t="shared" si="130"/>
        <v/>
      </c>
      <c r="EW880" s="1853" t="str">
        <f t="shared" si="131"/>
        <v/>
      </c>
      <c r="EX880" s="1853" t="str">
        <f t="shared" si="132"/>
        <v/>
      </c>
      <c r="EY880" s="1853" t="str">
        <f t="shared" si="133"/>
        <v/>
      </c>
      <c r="EZ880" s="1853" t="str">
        <f t="shared" si="134"/>
        <v/>
      </c>
      <c r="FA880" s="1853" t="str">
        <f t="shared" si="135"/>
        <v/>
      </c>
      <c r="FB880" s="1853" t="str">
        <f t="shared" si="136"/>
        <v/>
      </c>
      <c r="FC880" s="1853" t="str">
        <f t="shared" si="137"/>
        <v/>
      </c>
      <c r="FD880" s="1853" t="str">
        <f t="shared" si="138"/>
        <v/>
      </c>
      <c r="FE880" s="1853" t="str">
        <f t="shared" si="139"/>
        <v/>
      </c>
      <c r="FF880" s="1853" t="str">
        <f t="shared" si="140"/>
        <v/>
      </c>
      <c r="FG880" s="1853" t="str">
        <f t="shared" si="141"/>
        <v/>
      </c>
      <c r="FH880" s="1853" t="str">
        <f t="shared" si="142"/>
        <v/>
      </c>
      <c r="FI880" s="1853" t="str">
        <f t="shared" si="143"/>
        <v/>
      </c>
      <c r="FJ880" s="1853" t="str">
        <f t="shared" si="144"/>
        <v/>
      </c>
      <c r="FK880" s="1853" t="str">
        <f t="shared" si="145"/>
        <v/>
      </c>
      <c r="FL880" s="1853" t="str">
        <f t="shared" si="146"/>
        <v/>
      </c>
      <c r="FM880" s="1853" t="str">
        <f t="shared" si="147"/>
        <v/>
      </c>
      <c r="FN880" s="1853" t="str">
        <f t="shared" si="148"/>
        <v/>
      </c>
      <c r="FO880" s="1853" t="str">
        <f t="shared" si="149"/>
        <v/>
      </c>
      <c r="FP880" s="1853" t="str">
        <f t="shared" si="150"/>
        <v/>
      </c>
      <c r="FQ880" s="1853" t="str">
        <f t="shared" si="151"/>
        <v/>
      </c>
      <c r="FR880" s="1853" t="str">
        <f t="shared" si="152"/>
        <v/>
      </c>
      <c r="FS880" s="1853" t="str">
        <f t="shared" si="153"/>
        <v/>
      </c>
      <c r="FT880" s="1853" t="str">
        <f t="shared" si="154"/>
        <v/>
      </c>
      <c r="FU880" s="1853" t="str">
        <f t="shared" si="155"/>
        <v/>
      </c>
      <c r="FV880" s="1853" t="str">
        <f t="shared" si="156"/>
        <v/>
      </c>
      <c r="FW880" s="1853" t="str">
        <f t="shared" si="157"/>
        <v/>
      </c>
      <c r="FX880" s="1853" t="str">
        <f t="shared" si="158"/>
        <v/>
      </c>
      <c r="FY880" s="1853" t="str">
        <f t="shared" si="159"/>
        <v/>
      </c>
      <c r="FZ880" s="1853" t="str">
        <f t="shared" si="160"/>
        <v/>
      </c>
      <c r="GA880" s="1853" t="str">
        <f t="shared" si="161"/>
        <v/>
      </c>
      <c r="GB880" s="1853" t="str">
        <f t="shared" si="162"/>
        <v/>
      </c>
      <c r="GC880" s="1853" t="str">
        <f t="shared" si="163"/>
        <v/>
      </c>
      <c r="GD880" s="1853" t="str">
        <f t="shared" si="164"/>
        <v/>
      </c>
      <c r="GE880" s="1853" t="str">
        <f t="shared" si="165"/>
        <v/>
      </c>
      <c r="GF880" s="1853" t="str">
        <f t="shared" si="166"/>
        <v/>
      </c>
      <c r="GG880" s="1853" t="str">
        <f t="shared" si="167"/>
        <v/>
      </c>
      <c r="GH880" s="1853" t="str">
        <f t="shared" si="168"/>
        <v/>
      </c>
      <c r="GI880" s="1853" t="str">
        <f t="shared" si="169"/>
        <v/>
      </c>
      <c r="GJ880" s="1853" t="str">
        <f t="shared" si="170"/>
        <v/>
      </c>
      <c r="GK880" s="1853" t="str">
        <f t="shared" si="171"/>
        <v/>
      </c>
      <c r="GL880" s="1853" t="str">
        <f t="shared" si="172"/>
        <v/>
      </c>
      <c r="GM880" s="1853" t="str">
        <f t="shared" si="173"/>
        <v/>
      </c>
      <c r="GN880" s="1853" t="str">
        <f t="shared" si="174"/>
        <v/>
      </c>
      <c r="GO880" s="1853" t="str">
        <f t="shared" si="175"/>
        <v/>
      </c>
      <c r="GP880" s="1853" t="str">
        <f t="shared" si="176"/>
        <v/>
      </c>
      <c r="GQ880" s="1853" t="str">
        <f t="shared" si="177"/>
        <v/>
      </c>
      <c r="GR880" s="1853" t="str">
        <f t="shared" si="178"/>
        <v/>
      </c>
      <c r="GS880" s="1853" t="str">
        <f t="shared" si="179"/>
        <v/>
      </c>
      <c r="GT880" s="1853" t="str">
        <f t="shared" si="180"/>
        <v/>
      </c>
      <c r="GU880" s="1853" t="str">
        <f t="shared" si="181"/>
        <v/>
      </c>
      <c r="GV880" s="1853" t="str">
        <f t="shared" si="182"/>
        <v/>
      </c>
      <c r="GW880" s="1853" t="str">
        <f t="shared" si="183"/>
        <v/>
      </c>
      <c r="GX880" s="1853" t="str">
        <f t="shared" si="184"/>
        <v/>
      </c>
      <c r="GY880" s="1853" t="str">
        <f t="shared" si="185"/>
        <v/>
      </c>
      <c r="GZ880" s="1853" t="str">
        <f t="shared" si="186"/>
        <v/>
      </c>
      <c r="HA880" s="1853" t="str">
        <f t="shared" si="187"/>
        <v/>
      </c>
      <c r="HB880" s="1853" t="str">
        <f t="shared" si="188"/>
        <v/>
      </c>
      <c r="HC880" s="1853" t="str">
        <f t="shared" si="189"/>
        <v/>
      </c>
      <c r="HD880" s="1853" t="str">
        <f t="shared" si="190"/>
        <v/>
      </c>
      <c r="HE880" s="1853" t="str">
        <f t="shared" si="191"/>
        <v/>
      </c>
      <c r="HF880" s="1853" t="str">
        <f t="shared" si="192"/>
        <v/>
      </c>
      <c r="HG880" s="1853" t="str">
        <f t="shared" si="193"/>
        <v/>
      </c>
      <c r="HH880" s="1853" t="str">
        <f t="shared" si="194"/>
        <v/>
      </c>
      <c r="HI880" s="1853" t="str">
        <f t="shared" si="195"/>
        <v/>
      </c>
      <c r="HJ880" s="1853" t="str">
        <f t="shared" si="196"/>
        <v/>
      </c>
      <c r="HK880" s="1853" t="str">
        <f t="shared" si="197"/>
        <v/>
      </c>
      <c r="HL880" s="1853" t="str">
        <f t="shared" si="198"/>
        <v/>
      </c>
      <c r="HM880" s="1853" t="str">
        <f t="shared" si="199"/>
        <v/>
      </c>
      <c r="HN880" s="1853" t="str">
        <f t="shared" si="200"/>
        <v/>
      </c>
      <c r="HO880" s="1853" t="str">
        <f t="shared" si="201"/>
        <v/>
      </c>
      <c r="HP880" s="1853" t="str">
        <f t="shared" si="202"/>
        <v/>
      </c>
      <c r="HQ880" s="1853" t="str">
        <f t="shared" si="203"/>
        <v/>
      </c>
      <c r="HR880" s="1853" t="str">
        <f t="shared" si="204"/>
        <v/>
      </c>
      <c r="HS880" s="1853" t="str">
        <f t="shared" si="205"/>
        <v/>
      </c>
      <c r="HT880" s="1853" t="str">
        <f t="shared" si="206"/>
        <v/>
      </c>
      <c r="HU880" s="1853" t="str">
        <f t="shared" si="207"/>
        <v/>
      </c>
      <c r="HV880" s="1853" t="str">
        <f t="shared" si="208"/>
        <v/>
      </c>
      <c r="HW880" s="1853" t="str">
        <f t="shared" si="209"/>
        <v/>
      </c>
      <c r="HX880" s="1853" t="str">
        <f t="shared" si="210"/>
        <v/>
      </c>
      <c r="HY880" s="1853" t="str">
        <f t="shared" si="211"/>
        <v/>
      </c>
      <c r="HZ880" s="2141" t="str">
        <f t="shared" si="212"/>
        <v/>
      </c>
      <c r="IA880" s="2141" t="str">
        <f t="shared" si="213"/>
        <v/>
      </c>
      <c r="IB880" s="2141" t="str">
        <f t="shared" si="214"/>
        <v/>
      </c>
      <c r="IC880" s="2141" t="str">
        <f t="shared" si="215"/>
        <v/>
      </c>
      <c r="ID880" s="2141" t="str">
        <f t="shared" si="216"/>
        <v/>
      </c>
      <c r="IE880" s="2141" t="str">
        <f t="shared" si="217"/>
        <v/>
      </c>
      <c r="IF880" s="2141" t="str">
        <f t="shared" si="218"/>
        <v/>
      </c>
      <c r="IG880" s="2141" t="str">
        <f t="shared" si="219"/>
        <v/>
      </c>
      <c r="IH880" s="2141" t="str">
        <f t="shared" si="220"/>
        <v/>
      </c>
      <c r="II880" s="2141" t="str">
        <f t="shared" si="221"/>
        <v/>
      </c>
      <c r="IJ880" s="2141" t="str">
        <f t="shared" si="222"/>
        <v/>
      </c>
      <c r="IK880" s="2141" t="str">
        <f t="shared" si="223"/>
        <v/>
      </c>
      <c r="IL880" s="2141" t="str">
        <f t="shared" si="224"/>
        <v/>
      </c>
      <c r="IM880" s="2141" t="str">
        <f t="shared" si="225"/>
        <v/>
      </c>
      <c r="IN880" s="2141" t="str">
        <f t="shared" si="226"/>
        <v/>
      </c>
      <c r="IO880" s="2141" t="str">
        <f t="shared" si="227"/>
        <v/>
      </c>
      <c r="IP880" s="2141" t="str">
        <f t="shared" si="228"/>
        <v/>
      </c>
      <c r="IQ880" s="2141" t="str">
        <f t="shared" si="229"/>
        <v/>
      </c>
      <c r="IR880" s="2141" t="str">
        <f t="shared" si="230"/>
        <v/>
      </c>
      <c r="IS880" s="2141" t="str">
        <f t="shared" si="231"/>
        <v/>
      </c>
      <c r="IT880" s="2141" t="str">
        <f t="shared" si="232"/>
        <v/>
      </c>
      <c r="IU880" s="2141" t="str">
        <f t="shared" si="233"/>
        <v/>
      </c>
      <c r="IV880" s="2141" t="str">
        <f t="shared" si="234"/>
        <v/>
      </c>
      <c r="IW880" s="2141" t="str">
        <f t="shared" si="235"/>
        <v/>
      </c>
      <c r="IX880" s="2141" t="str">
        <f t="shared" si="236"/>
        <v/>
      </c>
      <c r="IY880" s="2141" t="str">
        <f t="shared" si="237"/>
        <v/>
      </c>
      <c r="IZ880" s="2141" t="str">
        <f t="shared" si="238"/>
        <v/>
      </c>
      <c r="JA880" s="2141" t="str">
        <f t="shared" si="239"/>
        <v/>
      </c>
      <c r="JB880" s="2141" t="str">
        <f t="shared" si="240"/>
        <v/>
      </c>
      <c r="JC880" s="2141" t="str">
        <f t="shared" si="241"/>
        <v/>
      </c>
      <c r="JD880" s="2141" t="str">
        <f t="shared" si="242"/>
        <v/>
      </c>
      <c r="JE880" s="2141" t="str">
        <f t="shared" si="243"/>
        <v/>
      </c>
      <c r="JF880" s="2141" t="str">
        <f t="shared" si="244"/>
        <v/>
      </c>
      <c r="JG880" s="2141" t="str">
        <f t="shared" si="245"/>
        <v/>
      </c>
      <c r="JH880" s="2141" t="str">
        <f t="shared" si="246"/>
        <v/>
      </c>
      <c r="JI880" s="2141" t="str">
        <f t="shared" si="247"/>
        <v/>
      </c>
      <c r="JJ880" s="2141" t="str">
        <f t="shared" si="248"/>
        <v/>
      </c>
      <c r="JK880" s="2141" t="str">
        <f t="shared" si="249"/>
        <v/>
      </c>
      <c r="JL880" s="2141" t="str">
        <f t="shared" si="250"/>
        <v/>
      </c>
      <c r="JM880" s="2141" t="str">
        <f t="shared" si="251"/>
        <v/>
      </c>
      <c r="JN880" s="2141" t="str">
        <f t="shared" si="252"/>
        <v/>
      </c>
      <c r="JO880" s="2141" t="str">
        <f t="shared" si="253"/>
        <v/>
      </c>
      <c r="JP880" s="2141" t="str">
        <f t="shared" si="254"/>
        <v/>
      </c>
      <c r="JQ880" s="2141" t="str">
        <f t="shared" si="255"/>
        <v/>
      </c>
      <c r="JR880" s="2141" t="str">
        <f t="shared" si="256"/>
        <v/>
      </c>
      <c r="JS880" s="2141" t="str">
        <f t="shared" si="257"/>
        <v/>
      </c>
      <c r="JT880" s="2141" t="str">
        <f t="shared" si="258"/>
        <v/>
      </c>
      <c r="JU880" s="2141" t="str">
        <f t="shared" si="259"/>
        <v/>
      </c>
      <c r="JV880" s="2141" t="str">
        <f t="shared" si="260"/>
        <v/>
      </c>
      <c r="JW880" s="2141" t="str">
        <f t="shared" si="261"/>
        <v/>
      </c>
      <c r="JX880" s="2141" t="str">
        <f t="shared" si="262"/>
        <v/>
      </c>
      <c r="JY880" s="2141" t="str">
        <f t="shared" si="263"/>
        <v/>
      </c>
      <c r="JZ880" s="2141" t="str">
        <f t="shared" si="264"/>
        <v/>
      </c>
      <c r="KA880" s="2141" t="str">
        <f t="shared" si="265"/>
        <v/>
      </c>
      <c r="KB880" s="2141" t="str">
        <f t="shared" si="266"/>
        <v/>
      </c>
      <c r="KC880" s="2141" t="str">
        <f t="shared" si="267"/>
        <v/>
      </c>
      <c r="KD880" s="2141" t="str">
        <f t="shared" si="268"/>
        <v/>
      </c>
      <c r="KE880" s="2141" t="str">
        <f t="shared" si="269"/>
        <v/>
      </c>
      <c r="KF880" s="2141" t="str">
        <f t="shared" si="270"/>
        <v/>
      </c>
      <c r="KG880" s="2141" t="str">
        <f t="shared" si="271"/>
        <v/>
      </c>
      <c r="KH880" s="2141" t="str">
        <f t="shared" si="272"/>
        <v/>
      </c>
      <c r="KI880" s="2141" t="str">
        <f t="shared" si="273"/>
        <v/>
      </c>
      <c r="KJ880" s="2141" t="str">
        <f t="shared" si="274"/>
        <v/>
      </c>
      <c r="KK880" s="2141" t="str">
        <f t="shared" si="275"/>
        <v/>
      </c>
      <c r="KL880" s="2141" t="str">
        <f t="shared" si="276"/>
        <v/>
      </c>
      <c r="KM880" s="2141" t="str">
        <f t="shared" si="277"/>
        <v/>
      </c>
      <c r="KN880" s="2141" t="str">
        <f t="shared" si="278"/>
        <v/>
      </c>
      <c r="KO880" s="2141" t="str">
        <f t="shared" si="279"/>
        <v/>
      </c>
      <c r="KP880" s="2141" t="str">
        <f t="shared" si="280"/>
        <v/>
      </c>
      <c r="KQ880" s="2141" t="str">
        <f t="shared" si="281"/>
        <v/>
      </c>
      <c r="KR880" s="2141" t="str">
        <f t="shared" si="282"/>
        <v/>
      </c>
      <c r="KS880" s="2141" t="str">
        <f t="shared" si="283"/>
        <v/>
      </c>
      <c r="KT880" s="2141" t="str">
        <f t="shared" si="284"/>
        <v/>
      </c>
      <c r="KU880" s="2141" t="str">
        <f t="shared" si="285"/>
        <v/>
      </c>
      <c r="KV880" s="2141" t="str">
        <f t="shared" si="286"/>
        <v/>
      </c>
      <c r="KW880" s="2141" t="str">
        <f t="shared" si="287"/>
        <v/>
      </c>
      <c r="KX880" s="2141" t="str">
        <f t="shared" si="288"/>
        <v/>
      </c>
      <c r="KY880" s="2141" t="str">
        <f t="shared" si="289"/>
        <v/>
      </c>
      <c r="KZ880" s="2141" t="str">
        <f t="shared" si="290"/>
        <v/>
      </c>
      <c r="LA880" s="2141" t="str">
        <f t="shared" si="291"/>
        <v/>
      </c>
      <c r="LB880" s="2141" t="str">
        <f t="shared" si="292"/>
        <v/>
      </c>
      <c r="LC880" s="2141" t="str">
        <f t="shared" si="293"/>
        <v/>
      </c>
      <c r="LD880" s="2141" t="str">
        <f t="shared" si="294"/>
        <v/>
      </c>
      <c r="LE880" s="2141" t="str">
        <f t="shared" si="295"/>
        <v/>
      </c>
      <c r="LF880" s="2141" t="str">
        <f t="shared" si="296"/>
        <v/>
      </c>
      <c r="LG880" s="2052" t="str">
        <f t="shared" si="297"/>
        <v/>
      </c>
      <c r="LH880" s="2052" t="str">
        <f t="shared" si="298"/>
        <v/>
      </c>
      <c r="LI880" s="2052" t="str">
        <f t="shared" si="299"/>
        <v/>
      </c>
      <c r="LJ880" s="2052" t="str">
        <f t="shared" si="300"/>
        <v/>
      </c>
      <c r="LK880" s="2052" t="str">
        <f t="shared" si="301"/>
        <v/>
      </c>
      <c r="LL880" s="1853" t="str">
        <f t="shared" si="302"/>
        <v/>
      </c>
      <c r="LM880" s="1853" t="str">
        <f t="shared" si="303"/>
        <v/>
      </c>
      <c r="LN880" s="1853" t="str">
        <f t="shared" si="304"/>
        <v/>
      </c>
      <c r="LO880" s="1853" t="str">
        <f t="shared" si="305"/>
        <v/>
      </c>
      <c r="LP880" s="1853" t="str">
        <f t="shared" si="306"/>
        <v/>
      </c>
      <c r="LQ880" s="1853" t="str">
        <f t="shared" si="307"/>
        <v/>
      </c>
      <c r="LR880" s="1853" t="str">
        <f t="shared" si="308"/>
        <v/>
      </c>
      <c r="LS880" s="1853" t="str">
        <f t="shared" si="309"/>
        <v/>
      </c>
      <c r="LT880" s="1853" t="str">
        <f t="shared" si="310"/>
        <v/>
      </c>
      <c r="LU880" s="1853" t="str">
        <f t="shared" si="311"/>
        <v/>
      </c>
      <c r="LV880" s="1853" t="str">
        <f t="shared" si="312"/>
        <v/>
      </c>
      <c r="LW880" s="1853" t="str">
        <f t="shared" si="313"/>
        <v/>
      </c>
      <c r="LX880" s="1853" t="str">
        <f t="shared" si="314"/>
        <v/>
      </c>
      <c r="LY880" s="1853" t="str">
        <f t="shared" si="315"/>
        <v/>
      </c>
      <c r="LZ880" s="1853" t="str">
        <f t="shared" si="316"/>
        <v/>
      </c>
      <c r="MA880" s="1853" t="str">
        <f t="shared" si="317"/>
        <v/>
      </c>
      <c r="MB880" s="1853" t="str">
        <f t="shared" si="318"/>
        <v/>
      </c>
      <c r="MC880" s="1853" t="str">
        <f t="shared" si="319"/>
        <v/>
      </c>
      <c r="MD880" s="1853" t="str">
        <f t="shared" si="320"/>
        <v/>
      </c>
      <c r="ME880" s="1853" t="str">
        <f t="shared" si="321"/>
        <v/>
      </c>
      <c r="MF880" s="2052">
        <f t="shared" si="328"/>
        <v>0</v>
      </c>
      <c r="MG880" s="2052">
        <f t="shared" si="329"/>
        <v>0</v>
      </c>
      <c r="MH880" s="2052">
        <f t="shared" si="330"/>
        <v>0</v>
      </c>
      <c r="MI880" s="2052">
        <f t="shared" si="331"/>
        <v>0</v>
      </c>
      <c r="MJ880" s="2052">
        <f t="shared" si="332"/>
        <v>0</v>
      </c>
      <c r="MK880" s="2052">
        <f t="shared" si="333"/>
        <v>0</v>
      </c>
      <c r="ML880" s="2052">
        <f t="shared" si="334"/>
        <v>0</v>
      </c>
      <c r="MM880" s="2052">
        <f t="shared" si="335"/>
        <v>0</v>
      </c>
      <c r="MN880" s="2052">
        <f t="shared" si="336"/>
        <v>0</v>
      </c>
      <c r="MO880" s="2052">
        <f t="shared" si="337"/>
        <v>0</v>
      </c>
      <c r="MP880" s="2052">
        <f t="shared" si="322"/>
        <v>0</v>
      </c>
      <c r="MQ880" s="2052">
        <f t="shared" si="323"/>
        <v>0</v>
      </c>
      <c r="MR880" s="2052">
        <f t="shared" si="324"/>
        <v>0</v>
      </c>
      <c r="MS880" s="2052">
        <f t="shared" si="325"/>
        <v>0</v>
      </c>
      <c r="MT880" s="2052">
        <f t="shared" si="326"/>
        <v>0</v>
      </c>
      <c r="NP880" s="1925" t="s">
        <v>6746</v>
      </c>
    </row>
    <row r="881" spans="1:380" s="1853" customFormat="1" ht="13.9" customHeight="1">
      <c r="A881" s="2109" t="str">
        <f t="shared" si="327"/>
        <v/>
      </c>
      <c r="B881" s="2131">
        <f>'Part VI-Revenues &amp; Expenses'!B41</f>
        <v>0</v>
      </c>
      <c r="C881" s="2132">
        <f>'Part VI-Revenues &amp; Expenses'!C41</f>
        <v>0</v>
      </c>
      <c r="D881" s="2133">
        <f>'Part VI-Revenues &amp; Expenses'!D41</f>
        <v>0</v>
      </c>
      <c r="E881" s="2134">
        <f>'Part VI-Revenues &amp; Expenses'!E41</f>
        <v>0</v>
      </c>
      <c r="F881" s="2134">
        <f>'Part VI-Revenues &amp; Expenses'!F41</f>
        <v>0</v>
      </c>
      <c r="G881" s="2134">
        <f>'Part VI-Revenues &amp; Expenses'!G41</f>
        <v>0</v>
      </c>
      <c r="H881" s="2134">
        <f>'Part VI-Revenues &amp; Expenses'!H41</f>
        <v>0</v>
      </c>
      <c r="I881" s="2134">
        <f>'Part VI-Revenues &amp; Expenses'!I41</f>
        <v>0</v>
      </c>
      <c r="J881" s="2134">
        <f>'Part VI-Revenues &amp; Expenses'!J41</f>
        <v>0</v>
      </c>
      <c r="K881" s="2135">
        <f>'Part VI-Revenues &amp; Expenses'!K41</f>
        <v>0</v>
      </c>
      <c r="L881" s="2136">
        <f t="shared" si="0"/>
        <v>0</v>
      </c>
      <c r="M881" s="2136">
        <f t="shared" si="1"/>
        <v>0</v>
      </c>
      <c r="N881" s="1917">
        <f>'Part VI-Revenues &amp; Expenses'!N41</f>
        <v>0</v>
      </c>
      <c r="O881" s="2137">
        <f>'Part VI-Revenues &amp; Expenses'!O41</f>
        <v>0</v>
      </c>
      <c r="P881" s="1917">
        <f>'Part VI-Revenues &amp; Expenses'!P41</f>
        <v>0</v>
      </c>
      <c r="Q881" s="2138">
        <f>'Part VI-Revenues &amp; Expenses'!Q41</f>
        <v>0</v>
      </c>
      <c r="R881" s="2139"/>
      <c r="S881" s="2140"/>
      <c r="T881" s="2044"/>
      <c r="U881" s="2044"/>
      <c r="V881" s="2044"/>
      <c r="W881" s="2044"/>
      <c r="X881" s="1853" t="str">
        <f t="shared" si="2"/>
        <v/>
      </c>
      <c r="Y881" s="1853" t="str">
        <f t="shared" si="3"/>
        <v/>
      </c>
      <c r="Z881" s="1853" t="str">
        <f t="shared" si="4"/>
        <v/>
      </c>
      <c r="AA881" s="1853" t="str">
        <f t="shared" si="5"/>
        <v/>
      </c>
      <c r="AB881" s="1853" t="str">
        <f t="shared" si="6"/>
        <v/>
      </c>
      <c r="AC881" s="1853" t="str">
        <f t="shared" si="7"/>
        <v/>
      </c>
      <c r="AD881" s="1853" t="str">
        <f t="shared" si="8"/>
        <v/>
      </c>
      <c r="AE881" s="1853" t="str">
        <f t="shared" si="9"/>
        <v/>
      </c>
      <c r="AF881" s="1853" t="str">
        <f t="shared" si="10"/>
        <v/>
      </c>
      <c r="AG881" s="1853" t="str">
        <f t="shared" si="11"/>
        <v/>
      </c>
      <c r="AH881" s="1853" t="str">
        <f t="shared" si="12"/>
        <v/>
      </c>
      <c r="AI881" s="1853" t="str">
        <f t="shared" si="13"/>
        <v/>
      </c>
      <c r="AJ881" s="1853" t="str">
        <f t="shared" si="14"/>
        <v/>
      </c>
      <c r="AK881" s="1853" t="str">
        <f t="shared" si="15"/>
        <v/>
      </c>
      <c r="AL881" s="1853" t="str">
        <f t="shared" si="16"/>
        <v/>
      </c>
      <c r="AM881" s="1853" t="str">
        <f t="shared" si="17"/>
        <v/>
      </c>
      <c r="AN881" s="1853" t="str">
        <f t="shared" si="18"/>
        <v/>
      </c>
      <c r="AO881" s="1853" t="str">
        <f t="shared" si="19"/>
        <v/>
      </c>
      <c r="AP881" s="1853" t="str">
        <f t="shared" si="20"/>
        <v/>
      </c>
      <c r="AQ881" s="1853" t="str">
        <f t="shared" si="21"/>
        <v/>
      </c>
      <c r="AR881" s="1853" t="str">
        <f t="shared" si="22"/>
        <v/>
      </c>
      <c r="AS881" s="1853" t="str">
        <f t="shared" si="23"/>
        <v/>
      </c>
      <c r="AT881" s="1853" t="str">
        <f t="shared" si="24"/>
        <v/>
      </c>
      <c r="AU881" s="1853" t="str">
        <f t="shared" si="25"/>
        <v/>
      </c>
      <c r="AV881" s="1853" t="str">
        <f t="shared" si="26"/>
        <v/>
      </c>
      <c r="AW881" s="1853" t="str">
        <f t="shared" si="27"/>
        <v/>
      </c>
      <c r="AX881" s="1853" t="str">
        <f t="shared" si="28"/>
        <v/>
      </c>
      <c r="AY881" s="1853" t="str">
        <f t="shared" si="29"/>
        <v/>
      </c>
      <c r="AZ881" s="1853" t="str">
        <f t="shared" si="30"/>
        <v/>
      </c>
      <c r="BA881" s="1853" t="str">
        <f t="shared" si="31"/>
        <v/>
      </c>
      <c r="BB881" s="1853" t="str">
        <f t="shared" si="32"/>
        <v/>
      </c>
      <c r="BC881" s="1853" t="str">
        <f t="shared" si="33"/>
        <v/>
      </c>
      <c r="BD881" s="1853" t="str">
        <f t="shared" si="34"/>
        <v/>
      </c>
      <c r="BE881" s="1853" t="str">
        <f t="shared" si="35"/>
        <v/>
      </c>
      <c r="BF881" s="1853" t="str">
        <f t="shared" si="36"/>
        <v/>
      </c>
      <c r="BG881" s="1853" t="str">
        <f t="shared" si="37"/>
        <v/>
      </c>
      <c r="BH881" s="1853" t="str">
        <f t="shared" si="38"/>
        <v/>
      </c>
      <c r="BI881" s="1853" t="str">
        <f t="shared" si="39"/>
        <v/>
      </c>
      <c r="BJ881" s="1853" t="str">
        <f t="shared" si="40"/>
        <v/>
      </c>
      <c r="BK881" s="1853" t="str">
        <f t="shared" si="41"/>
        <v/>
      </c>
      <c r="BL881" s="1853" t="str">
        <f t="shared" si="42"/>
        <v/>
      </c>
      <c r="BM881" s="1853" t="str">
        <f t="shared" si="43"/>
        <v/>
      </c>
      <c r="BN881" s="1853" t="str">
        <f t="shared" si="44"/>
        <v/>
      </c>
      <c r="BO881" s="1853" t="str">
        <f t="shared" si="45"/>
        <v/>
      </c>
      <c r="BP881" s="1853" t="str">
        <f t="shared" si="46"/>
        <v/>
      </c>
      <c r="BQ881" s="1853" t="str">
        <f t="shared" si="47"/>
        <v/>
      </c>
      <c r="BR881" s="1853" t="str">
        <f t="shared" si="48"/>
        <v/>
      </c>
      <c r="BS881" s="1853" t="str">
        <f t="shared" si="49"/>
        <v/>
      </c>
      <c r="BT881" s="1853" t="str">
        <f t="shared" si="50"/>
        <v/>
      </c>
      <c r="BU881" s="1853" t="str">
        <f t="shared" si="51"/>
        <v/>
      </c>
      <c r="BV881" s="1853" t="str">
        <f t="shared" si="52"/>
        <v/>
      </c>
      <c r="BW881" s="1853" t="str">
        <f t="shared" si="53"/>
        <v/>
      </c>
      <c r="BX881" s="1853" t="str">
        <f t="shared" si="54"/>
        <v/>
      </c>
      <c r="BY881" s="1853" t="str">
        <f t="shared" si="55"/>
        <v/>
      </c>
      <c r="BZ881" s="1853" t="str">
        <f t="shared" si="56"/>
        <v/>
      </c>
      <c r="CA881" s="1853" t="str">
        <f t="shared" si="57"/>
        <v/>
      </c>
      <c r="CB881" s="1853" t="str">
        <f t="shared" si="58"/>
        <v/>
      </c>
      <c r="CC881" s="1853" t="str">
        <f t="shared" si="59"/>
        <v/>
      </c>
      <c r="CD881" s="1853" t="str">
        <f t="shared" si="60"/>
        <v/>
      </c>
      <c r="CE881" s="1853" t="str">
        <f t="shared" si="61"/>
        <v/>
      </c>
      <c r="CF881" s="1853" t="str">
        <f t="shared" si="62"/>
        <v/>
      </c>
      <c r="CG881" s="1853" t="str">
        <f t="shared" si="63"/>
        <v/>
      </c>
      <c r="CH881" s="1853" t="str">
        <f t="shared" si="64"/>
        <v/>
      </c>
      <c r="CI881" s="1853" t="str">
        <f t="shared" si="65"/>
        <v/>
      </c>
      <c r="CJ881" s="1853" t="str">
        <f t="shared" si="66"/>
        <v/>
      </c>
      <c r="CK881" s="1853" t="str">
        <f t="shared" si="67"/>
        <v/>
      </c>
      <c r="CL881" s="1853" t="str">
        <f t="shared" si="68"/>
        <v/>
      </c>
      <c r="CM881" s="1853" t="str">
        <f t="shared" si="69"/>
        <v/>
      </c>
      <c r="CN881" s="1853" t="str">
        <f t="shared" si="70"/>
        <v/>
      </c>
      <c r="CO881" s="1853" t="str">
        <f t="shared" si="71"/>
        <v/>
      </c>
      <c r="CP881" s="1853" t="str">
        <f t="shared" si="72"/>
        <v/>
      </c>
      <c r="CQ881" s="1853" t="str">
        <f t="shared" si="73"/>
        <v/>
      </c>
      <c r="CR881" s="1853" t="str">
        <f t="shared" si="74"/>
        <v/>
      </c>
      <c r="CS881" s="1853" t="str">
        <f t="shared" si="75"/>
        <v/>
      </c>
      <c r="CT881" s="1853" t="str">
        <f t="shared" si="76"/>
        <v/>
      </c>
      <c r="CU881" s="1853" t="str">
        <f t="shared" si="77"/>
        <v/>
      </c>
      <c r="CV881" s="1853" t="str">
        <f t="shared" si="78"/>
        <v/>
      </c>
      <c r="CW881" s="1853" t="str">
        <f t="shared" si="79"/>
        <v/>
      </c>
      <c r="CX881" s="1853" t="str">
        <f t="shared" si="80"/>
        <v/>
      </c>
      <c r="CY881" s="1853" t="str">
        <f t="shared" si="81"/>
        <v/>
      </c>
      <c r="CZ881" s="1853" t="str">
        <f t="shared" si="82"/>
        <v/>
      </c>
      <c r="DA881" s="1853" t="str">
        <f t="shared" si="83"/>
        <v/>
      </c>
      <c r="DB881" s="1853" t="str">
        <f t="shared" si="84"/>
        <v/>
      </c>
      <c r="DC881" s="1853" t="str">
        <f t="shared" si="85"/>
        <v/>
      </c>
      <c r="DD881" s="1853" t="str">
        <f t="shared" si="86"/>
        <v/>
      </c>
      <c r="DE881" s="1853" t="str">
        <f t="shared" si="87"/>
        <v/>
      </c>
      <c r="DF881" s="1853" t="str">
        <f t="shared" si="88"/>
        <v/>
      </c>
      <c r="DG881" s="1853" t="str">
        <f t="shared" si="89"/>
        <v/>
      </c>
      <c r="DH881" s="1853" t="str">
        <f t="shared" si="90"/>
        <v/>
      </c>
      <c r="DI881" s="1853" t="str">
        <f t="shared" si="91"/>
        <v/>
      </c>
      <c r="DJ881" s="1853" t="str">
        <f t="shared" si="92"/>
        <v/>
      </c>
      <c r="DK881" s="1853" t="str">
        <f t="shared" si="93"/>
        <v/>
      </c>
      <c r="DL881" s="1853" t="str">
        <f t="shared" si="94"/>
        <v/>
      </c>
      <c r="DM881" s="1853" t="str">
        <f t="shared" si="95"/>
        <v/>
      </c>
      <c r="DN881" s="1853" t="str">
        <f t="shared" si="96"/>
        <v/>
      </c>
      <c r="DO881" s="1853" t="str">
        <f t="shared" si="97"/>
        <v/>
      </c>
      <c r="DP881" s="1853" t="str">
        <f t="shared" si="98"/>
        <v/>
      </c>
      <c r="DQ881" s="1853" t="str">
        <f t="shared" si="99"/>
        <v/>
      </c>
      <c r="DR881" s="1853" t="str">
        <f t="shared" si="100"/>
        <v/>
      </c>
      <c r="DS881" s="1853" t="str">
        <f t="shared" si="101"/>
        <v/>
      </c>
      <c r="DT881" s="1853" t="str">
        <f t="shared" si="102"/>
        <v/>
      </c>
      <c r="DU881" s="1853" t="str">
        <f t="shared" si="103"/>
        <v/>
      </c>
      <c r="DV881" s="1853" t="str">
        <f t="shared" si="104"/>
        <v/>
      </c>
      <c r="DW881" s="1853" t="str">
        <f t="shared" si="105"/>
        <v/>
      </c>
      <c r="DX881" s="1853" t="str">
        <f t="shared" si="106"/>
        <v/>
      </c>
      <c r="DY881" s="1853" t="str">
        <f t="shared" si="107"/>
        <v/>
      </c>
      <c r="DZ881" s="1853" t="str">
        <f t="shared" si="108"/>
        <v/>
      </c>
      <c r="EA881" s="1853" t="str">
        <f t="shared" si="109"/>
        <v/>
      </c>
      <c r="EB881" s="1853" t="str">
        <f t="shared" si="110"/>
        <v/>
      </c>
      <c r="EC881" s="1853" t="str">
        <f t="shared" si="111"/>
        <v/>
      </c>
      <c r="ED881" s="1853" t="str">
        <f t="shared" si="112"/>
        <v/>
      </c>
      <c r="EE881" s="1853" t="str">
        <f t="shared" si="113"/>
        <v/>
      </c>
      <c r="EF881" s="1853" t="str">
        <f t="shared" si="114"/>
        <v/>
      </c>
      <c r="EG881" s="1853" t="str">
        <f t="shared" si="115"/>
        <v/>
      </c>
      <c r="EH881" s="1853" t="str">
        <f t="shared" si="116"/>
        <v/>
      </c>
      <c r="EI881" s="1853" t="str">
        <f t="shared" si="117"/>
        <v/>
      </c>
      <c r="EJ881" s="1853" t="str">
        <f t="shared" si="118"/>
        <v/>
      </c>
      <c r="EK881" s="1853" t="str">
        <f t="shared" si="119"/>
        <v/>
      </c>
      <c r="EL881" s="1853" t="str">
        <f t="shared" si="120"/>
        <v/>
      </c>
      <c r="EM881" s="1853" t="str">
        <f t="shared" si="121"/>
        <v/>
      </c>
      <c r="EN881" s="1853" t="str">
        <f t="shared" si="122"/>
        <v/>
      </c>
      <c r="EO881" s="1853" t="str">
        <f t="shared" si="123"/>
        <v/>
      </c>
      <c r="EP881" s="1853" t="str">
        <f t="shared" si="124"/>
        <v/>
      </c>
      <c r="EQ881" s="1853" t="str">
        <f t="shared" si="125"/>
        <v/>
      </c>
      <c r="ER881" s="1853" t="str">
        <f t="shared" si="126"/>
        <v/>
      </c>
      <c r="ES881" s="1853" t="str">
        <f t="shared" si="127"/>
        <v/>
      </c>
      <c r="ET881" s="1853" t="str">
        <f t="shared" si="128"/>
        <v/>
      </c>
      <c r="EU881" s="1853" t="str">
        <f t="shared" si="129"/>
        <v/>
      </c>
      <c r="EV881" s="1853" t="str">
        <f t="shared" si="130"/>
        <v/>
      </c>
      <c r="EW881" s="1853" t="str">
        <f t="shared" si="131"/>
        <v/>
      </c>
      <c r="EX881" s="1853" t="str">
        <f t="shared" si="132"/>
        <v/>
      </c>
      <c r="EY881" s="1853" t="str">
        <f t="shared" si="133"/>
        <v/>
      </c>
      <c r="EZ881" s="1853" t="str">
        <f t="shared" si="134"/>
        <v/>
      </c>
      <c r="FA881" s="1853" t="str">
        <f t="shared" si="135"/>
        <v/>
      </c>
      <c r="FB881" s="1853" t="str">
        <f t="shared" si="136"/>
        <v/>
      </c>
      <c r="FC881" s="1853" t="str">
        <f t="shared" si="137"/>
        <v/>
      </c>
      <c r="FD881" s="1853" t="str">
        <f t="shared" si="138"/>
        <v/>
      </c>
      <c r="FE881" s="1853" t="str">
        <f t="shared" si="139"/>
        <v/>
      </c>
      <c r="FF881" s="1853" t="str">
        <f t="shared" si="140"/>
        <v/>
      </c>
      <c r="FG881" s="1853" t="str">
        <f t="shared" si="141"/>
        <v/>
      </c>
      <c r="FH881" s="1853" t="str">
        <f t="shared" si="142"/>
        <v/>
      </c>
      <c r="FI881" s="1853" t="str">
        <f t="shared" si="143"/>
        <v/>
      </c>
      <c r="FJ881" s="1853" t="str">
        <f t="shared" si="144"/>
        <v/>
      </c>
      <c r="FK881" s="1853" t="str">
        <f t="shared" si="145"/>
        <v/>
      </c>
      <c r="FL881" s="1853" t="str">
        <f t="shared" si="146"/>
        <v/>
      </c>
      <c r="FM881" s="1853" t="str">
        <f t="shared" si="147"/>
        <v/>
      </c>
      <c r="FN881" s="1853" t="str">
        <f t="shared" si="148"/>
        <v/>
      </c>
      <c r="FO881" s="1853" t="str">
        <f t="shared" si="149"/>
        <v/>
      </c>
      <c r="FP881" s="1853" t="str">
        <f t="shared" si="150"/>
        <v/>
      </c>
      <c r="FQ881" s="1853" t="str">
        <f t="shared" si="151"/>
        <v/>
      </c>
      <c r="FR881" s="1853" t="str">
        <f t="shared" si="152"/>
        <v/>
      </c>
      <c r="FS881" s="1853" t="str">
        <f t="shared" si="153"/>
        <v/>
      </c>
      <c r="FT881" s="1853" t="str">
        <f t="shared" si="154"/>
        <v/>
      </c>
      <c r="FU881" s="1853" t="str">
        <f t="shared" si="155"/>
        <v/>
      </c>
      <c r="FV881" s="1853" t="str">
        <f t="shared" si="156"/>
        <v/>
      </c>
      <c r="FW881" s="1853" t="str">
        <f t="shared" si="157"/>
        <v/>
      </c>
      <c r="FX881" s="1853" t="str">
        <f t="shared" si="158"/>
        <v/>
      </c>
      <c r="FY881" s="1853" t="str">
        <f t="shared" si="159"/>
        <v/>
      </c>
      <c r="FZ881" s="1853" t="str">
        <f t="shared" si="160"/>
        <v/>
      </c>
      <c r="GA881" s="1853" t="str">
        <f t="shared" si="161"/>
        <v/>
      </c>
      <c r="GB881" s="1853" t="str">
        <f t="shared" si="162"/>
        <v/>
      </c>
      <c r="GC881" s="1853" t="str">
        <f t="shared" si="163"/>
        <v/>
      </c>
      <c r="GD881" s="1853" t="str">
        <f t="shared" si="164"/>
        <v/>
      </c>
      <c r="GE881" s="1853" t="str">
        <f t="shared" si="165"/>
        <v/>
      </c>
      <c r="GF881" s="1853" t="str">
        <f t="shared" si="166"/>
        <v/>
      </c>
      <c r="GG881" s="1853" t="str">
        <f t="shared" si="167"/>
        <v/>
      </c>
      <c r="GH881" s="1853" t="str">
        <f t="shared" si="168"/>
        <v/>
      </c>
      <c r="GI881" s="1853" t="str">
        <f t="shared" si="169"/>
        <v/>
      </c>
      <c r="GJ881" s="1853" t="str">
        <f t="shared" si="170"/>
        <v/>
      </c>
      <c r="GK881" s="1853" t="str">
        <f t="shared" si="171"/>
        <v/>
      </c>
      <c r="GL881" s="1853" t="str">
        <f t="shared" si="172"/>
        <v/>
      </c>
      <c r="GM881" s="1853" t="str">
        <f t="shared" si="173"/>
        <v/>
      </c>
      <c r="GN881" s="1853" t="str">
        <f t="shared" si="174"/>
        <v/>
      </c>
      <c r="GO881" s="1853" t="str">
        <f t="shared" si="175"/>
        <v/>
      </c>
      <c r="GP881" s="1853" t="str">
        <f t="shared" si="176"/>
        <v/>
      </c>
      <c r="GQ881" s="1853" t="str">
        <f t="shared" si="177"/>
        <v/>
      </c>
      <c r="GR881" s="1853" t="str">
        <f t="shared" si="178"/>
        <v/>
      </c>
      <c r="GS881" s="1853" t="str">
        <f t="shared" si="179"/>
        <v/>
      </c>
      <c r="GT881" s="1853" t="str">
        <f t="shared" si="180"/>
        <v/>
      </c>
      <c r="GU881" s="1853" t="str">
        <f t="shared" si="181"/>
        <v/>
      </c>
      <c r="GV881" s="1853" t="str">
        <f t="shared" si="182"/>
        <v/>
      </c>
      <c r="GW881" s="1853" t="str">
        <f t="shared" si="183"/>
        <v/>
      </c>
      <c r="GX881" s="1853" t="str">
        <f t="shared" si="184"/>
        <v/>
      </c>
      <c r="GY881" s="1853" t="str">
        <f t="shared" si="185"/>
        <v/>
      </c>
      <c r="GZ881" s="1853" t="str">
        <f t="shared" si="186"/>
        <v/>
      </c>
      <c r="HA881" s="1853" t="str">
        <f t="shared" si="187"/>
        <v/>
      </c>
      <c r="HB881" s="1853" t="str">
        <f t="shared" si="188"/>
        <v/>
      </c>
      <c r="HC881" s="1853" t="str">
        <f t="shared" si="189"/>
        <v/>
      </c>
      <c r="HD881" s="1853" t="str">
        <f t="shared" si="190"/>
        <v/>
      </c>
      <c r="HE881" s="1853" t="str">
        <f t="shared" si="191"/>
        <v/>
      </c>
      <c r="HF881" s="1853" t="str">
        <f t="shared" si="192"/>
        <v/>
      </c>
      <c r="HG881" s="1853" t="str">
        <f t="shared" si="193"/>
        <v/>
      </c>
      <c r="HH881" s="1853" t="str">
        <f t="shared" si="194"/>
        <v/>
      </c>
      <c r="HI881" s="1853" t="str">
        <f t="shared" si="195"/>
        <v/>
      </c>
      <c r="HJ881" s="1853" t="str">
        <f t="shared" si="196"/>
        <v/>
      </c>
      <c r="HK881" s="1853" t="str">
        <f t="shared" si="197"/>
        <v/>
      </c>
      <c r="HL881" s="1853" t="str">
        <f t="shared" si="198"/>
        <v/>
      </c>
      <c r="HM881" s="1853" t="str">
        <f t="shared" si="199"/>
        <v/>
      </c>
      <c r="HN881" s="1853" t="str">
        <f t="shared" si="200"/>
        <v/>
      </c>
      <c r="HO881" s="1853" t="str">
        <f t="shared" si="201"/>
        <v/>
      </c>
      <c r="HP881" s="1853" t="str">
        <f t="shared" si="202"/>
        <v/>
      </c>
      <c r="HQ881" s="1853" t="str">
        <f t="shared" si="203"/>
        <v/>
      </c>
      <c r="HR881" s="1853" t="str">
        <f t="shared" si="204"/>
        <v/>
      </c>
      <c r="HS881" s="1853" t="str">
        <f t="shared" si="205"/>
        <v/>
      </c>
      <c r="HT881" s="1853" t="str">
        <f t="shared" si="206"/>
        <v/>
      </c>
      <c r="HU881" s="1853" t="str">
        <f t="shared" si="207"/>
        <v/>
      </c>
      <c r="HV881" s="1853" t="str">
        <f t="shared" si="208"/>
        <v/>
      </c>
      <c r="HW881" s="1853" t="str">
        <f t="shared" si="209"/>
        <v/>
      </c>
      <c r="HX881" s="1853" t="str">
        <f t="shared" si="210"/>
        <v/>
      </c>
      <c r="HY881" s="1853" t="str">
        <f t="shared" si="211"/>
        <v/>
      </c>
      <c r="HZ881" s="2141" t="str">
        <f t="shared" si="212"/>
        <v/>
      </c>
      <c r="IA881" s="2141" t="str">
        <f t="shared" si="213"/>
        <v/>
      </c>
      <c r="IB881" s="2141" t="str">
        <f t="shared" si="214"/>
        <v/>
      </c>
      <c r="IC881" s="2141" t="str">
        <f t="shared" si="215"/>
        <v/>
      </c>
      <c r="ID881" s="2141" t="str">
        <f t="shared" si="216"/>
        <v/>
      </c>
      <c r="IE881" s="2141" t="str">
        <f t="shared" si="217"/>
        <v/>
      </c>
      <c r="IF881" s="2141" t="str">
        <f t="shared" si="218"/>
        <v/>
      </c>
      <c r="IG881" s="2141" t="str">
        <f t="shared" si="219"/>
        <v/>
      </c>
      <c r="IH881" s="2141" t="str">
        <f t="shared" si="220"/>
        <v/>
      </c>
      <c r="II881" s="2141" t="str">
        <f t="shared" si="221"/>
        <v/>
      </c>
      <c r="IJ881" s="2141" t="str">
        <f t="shared" si="222"/>
        <v/>
      </c>
      <c r="IK881" s="2141" t="str">
        <f t="shared" si="223"/>
        <v/>
      </c>
      <c r="IL881" s="2141" t="str">
        <f t="shared" si="224"/>
        <v/>
      </c>
      <c r="IM881" s="2141" t="str">
        <f t="shared" si="225"/>
        <v/>
      </c>
      <c r="IN881" s="2141" t="str">
        <f t="shared" si="226"/>
        <v/>
      </c>
      <c r="IO881" s="2141" t="str">
        <f t="shared" si="227"/>
        <v/>
      </c>
      <c r="IP881" s="2141" t="str">
        <f t="shared" si="228"/>
        <v/>
      </c>
      <c r="IQ881" s="2141" t="str">
        <f t="shared" si="229"/>
        <v/>
      </c>
      <c r="IR881" s="2141" t="str">
        <f t="shared" si="230"/>
        <v/>
      </c>
      <c r="IS881" s="2141" t="str">
        <f t="shared" si="231"/>
        <v/>
      </c>
      <c r="IT881" s="2141" t="str">
        <f t="shared" si="232"/>
        <v/>
      </c>
      <c r="IU881" s="2141" t="str">
        <f t="shared" si="233"/>
        <v/>
      </c>
      <c r="IV881" s="2141" t="str">
        <f t="shared" si="234"/>
        <v/>
      </c>
      <c r="IW881" s="2141" t="str">
        <f t="shared" si="235"/>
        <v/>
      </c>
      <c r="IX881" s="2141" t="str">
        <f t="shared" si="236"/>
        <v/>
      </c>
      <c r="IY881" s="2141" t="str">
        <f t="shared" si="237"/>
        <v/>
      </c>
      <c r="IZ881" s="2141" t="str">
        <f t="shared" si="238"/>
        <v/>
      </c>
      <c r="JA881" s="2141" t="str">
        <f t="shared" si="239"/>
        <v/>
      </c>
      <c r="JB881" s="2141" t="str">
        <f t="shared" si="240"/>
        <v/>
      </c>
      <c r="JC881" s="2141" t="str">
        <f t="shared" si="241"/>
        <v/>
      </c>
      <c r="JD881" s="2141" t="str">
        <f t="shared" si="242"/>
        <v/>
      </c>
      <c r="JE881" s="2141" t="str">
        <f t="shared" si="243"/>
        <v/>
      </c>
      <c r="JF881" s="2141" t="str">
        <f t="shared" si="244"/>
        <v/>
      </c>
      <c r="JG881" s="2141" t="str">
        <f t="shared" si="245"/>
        <v/>
      </c>
      <c r="JH881" s="2141" t="str">
        <f t="shared" si="246"/>
        <v/>
      </c>
      <c r="JI881" s="2141" t="str">
        <f t="shared" si="247"/>
        <v/>
      </c>
      <c r="JJ881" s="2141" t="str">
        <f t="shared" si="248"/>
        <v/>
      </c>
      <c r="JK881" s="2141" t="str">
        <f t="shared" si="249"/>
        <v/>
      </c>
      <c r="JL881" s="2141" t="str">
        <f t="shared" si="250"/>
        <v/>
      </c>
      <c r="JM881" s="2141" t="str">
        <f t="shared" si="251"/>
        <v/>
      </c>
      <c r="JN881" s="2141" t="str">
        <f t="shared" si="252"/>
        <v/>
      </c>
      <c r="JO881" s="2141" t="str">
        <f t="shared" si="253"/>
        <v/>
      </c>
      <c r="JP881" s="2141" t="str">
        <f t="shared" si="254"/>
        <v/>
      </c>
      <c r="JQ881" s="2141" t="str">
        <f t="shared" si="255"/>
        <v/>
      </c>
      <c r="JR881" s="2141" t="str">
        <f t="shared" si="256"/>
        <v/>
      </c>
      <c r="JS881" s="2141" t="str">
        <f t="shared" si="257"/>
        <v/>
      </c>
      <c r="JT881" s="2141" t="str">
        <f t="shared" si="258"/>
        <v/>
      </c>
      <c r="JU881" s="2141" t="str">
        <f t="shared" si="259"/>
        <v/>
      </c>
      <c r="JV881" s="2141" t="str">
        <f t="shared" si="260"/>
        <v/>
      </c>
      <c r="JW881" s="2141" t="str">
        <f t="shared" si="261"/>
        <v/>
      </c>
      <c r="JX881" s="2141" t="str">
        <f t="shared" si="262"/>
        <v/>
      </c>
      <c r="JY881" s="2141" t="str">
        <f t="shared" si="263"/>
        <v/>
      </c>
      <c r="JZ881" s="2141" t="str">
        <f t="shared" si="264"/>
        <v/>
      </c>
      <c r="KA881" s="2141" t="str">
        <f t="shared" si="265"/>
        <v/>
      </c>
      <c r="KB881" s="2141" t="str">
        <f t="shared" si="266"/>
        <v/>
      </c>
      <c r="KC881" s="2141" t="str">
        <f t="shared" si="267"/>
        <v/>
      </c>
      <c r="KD881" s="2141" t="str">
        <f t="shared" si="268"/>
        <v/>
      </c>
      <c r="KE881" s="2141" t="str">
        <f t="shared" si="269"/>
        <v/>
      </c>
      <c r="KF881" s="2141" t="str">
        <f t="shared" si="270"/>
        <v/>
      </c>
      <c r="KG881" s="2141" t="str">
        <f t="shared" si="271"/>
        <v/>
      </c>
      <c r="KH881" s="2141" t="str">
        <f t="shared" si="272"/>
        <v/>
      </c>
      <c r="KI881" s="2141" t="str">
        <f t="shared" si="273"/>
        <v/>
      </c>
      <c r="KJ881" s="2141" t="str">
        <f t="shared" si="274"/>
        <v/>
      </c>
      <c r="KK881" s="2141" t="str">
        <f t="shared" si="275"/>
        <v/>
      </c>
      <c r="KL881" s="2141" t="str">
        <f t="shared" si="276"/>
        <v/>
      </c>
      <c r="KM881" s="2141" t="str">
        <f t="shared" si="277"/>
        <v/>
      </c>
      <c r="KN881" s="2141" t="str">
        <f t="shared" si="278"/>
        <v/>
      </c>
      <c r="KO881" s="2141" t="str">
        <f t="shared" si="279"/>
        <v/>
      </c>
      <c r="KP881" s="2141" t="str">
        <f t="shared" si="280"/>
        <v/>
      </c>
      <c r="KQ881" s="2141" t="str">
        <f t="shared" si="281"/>
        <v/>
      </c>
      <c r="KR881" s="2141" t="str">
        <f t="shared" si="282"/>
        <v/>
      </c>
      <c r="KS881" s="2141" t="str">
        <f t="shared" si="283"/>
        <v/>
      </c>
      <c r="KT881" s="2141" t="str">
        <f t="shared" si="284"/>
        <v/>
      </c>
      <c r="KU881" s="2141" t="str">
        <f t="shared" si="285"/>
        <v/>
      </c>
      <c r="KV881" s="2141" t="str">
        <f t="shared" si="286"/>
        <v/>
      </c>
      <c r="KW881" s="2141" t="str">
        <f t="shared" si="287"/>
        <v/>
      </c>
      <c r="KX881" s="2141" t="str">
        <f t="shared" si="288"/>
        <v/>
      </c>
      <c r="KY881" s="2141" t="str">
        <f t="shared" si="289"/>
        <v/>
      </c>
      <c r="KZ881" s="2141" t="str">
        <f t="shared" si="290"/>
        <v/>
      </c>
      <c r="LA881" s="2141" t="str">
        <f t="shared" si="291"/>
        <v/>
      </c>
      <c r="LB881" s="2141" t="str">
        <f t="shared" si="292"/>
        <v/>
      </c>
      <c r="LC881" s="2141" t="str">
        <f t="shared" si="293"/>
        <v/>
      </c>
      <c r="LD881" s="2141" t="str">
        <f t="shared" si="294"/>
        <v/>
      </c>
      <c r="LE881" s="2141" t="str">
        <f t="shared" si="295"/>
        <v/>
      </c>
      <c r="LF881" s="2141" t="str">
        <f t="shared" si="296"/>
        <v/>
      </c>
      <c r="LG881" s="2052" t="str">
        <f t="shared" si="297"/>
        <v/>
      </c>
      <c r="LH881" s="2052" t="str">
        <f t="shared" si="298"/>
        <v/>
      </c>
      <c r="LI881" s="2052" t="str">
        <f t="shared" si="299"/>
        <v/>
      </c>
      <c r="LJ881" s="2052" t="str">
        <f t="shared" si="300"/>
        <v/>
      </c>
      <c r="LK881" s="2052" t="str">
        <f t="shared" si="301"/>
        <v/>
      </c>
      <c r="LL881" s="1853" t="str">
        <f t="shared" si="302"/>
        <v/>
      </c>
      <c r="LM881" s="1853" t="str">
        <f t="shared" si="303"/>
        <v/>
      </c>
      <c r="LN881" s="1853" t="str">
        <f t="shared" si="304"/>
        <v/>
      </c>
      <c r="LO881" s="1853" t="str">
        <f t="shared" si="305"/>
        <v/>
      </c>
      <c r="LP881" s="1853" t="str">
        <f t="shared" si="306"/>
        <v/>
      </c>
      <c r="LQ881" s="1853" t="str">
        <f t="shared" si="307"/>
        <v/>
      </c>
      <c r="LR881" s="1853" t="str">
        <f t="shared" si="308"/>
        <v/>
      </c>
      <c r="LS881" s="1853" t="str">
        <f t="shared" si="309"/>
        <v/>
      </c>
      <c r="LT881" s="1853" t="str">
        <f t="shared" si="310"/>
        <v/>
      </c>
      <c r="LU881" s="1853" t="str">
        <f t="shared" si="311"/>
        <v/>
      </c>
      <c r="LV881" s="1853" t="str">
        <f t="shared" si="312"/>
        <v/>
      </c>
      <c r="LW881" s="1853" t="str">
        <f t="shared" si="313"/>
        <v/>
      </c>
      <c r="LX881" s="1853" t="str">
        <f t="shared" si="314"/>
        <v/>
      </c>
      <c r="LY881" s="1853" t="str">
        <f t="shared" si="315"/>
        <v/>
      </c>
      <c r="LZ881" s="1853" t="str">
        <f t="shared" si="316"/>
        <v/>
      </c>
      <c r="MA881" s="1853" t="str">
        <f t="shared" si="317"/>
        <v/>
      </c>
      <c r="MB881" s="1853" t="str">
        <f t="shared" si="318"/>
        <v/>
      </c>
      <c r="MC881" s="1853" t="str">
        <f t="shared" si="319"/>
        <v/>
      </c>
      <c r="MD881" s="1853" t="str">
        <f t="shared" si="320"/>
        <v/>
      </c>
      <c r="ME881" s="1853" t="str">
        <f t="shared" si="321"/>
        <v/>
      </c>
      <c r="MF881" s="2052">
        <f t="shared" si="328"/>
        <v>0</v>
      </c>
      <c r="MG881" s="2052">
        <f t="shared" si="329"/>
        <v>0</v>
      </c>
      <c r="MH881" s="2052">
        <f t="shared" si="330"/>
        <v>0</v>
      </c>
      <c r="MI881" s="2052">
        <f t="shared" si="331"/>
        <v>0</v>
      </c>
      <c r="MJ881" s="2052">
        <f t="shared" si="332"/>
        <v>0</v>
      </c>
      <c r="MK881" s="2052">
        <f t="shared" si="333"/>
        <v>0</v>
      </c>
      <c r="ML881" s="2052">
        <f t="shared" si="334"/>
        <v>0</v>
      </c>
      <c r="MM881" s="2052">
        <f t="shared" si="335"/>
        <v>0</v>
      </c>
      <c r="MN881" s="2052">
        <f t="shared" si="336"/>
        <v>0</v>
      </c>
      <c r="MO881" s="2052">
        <f t="shared" si="337"/>
        <v>0</v>
      </c>
      <c r="MP881" s="2052">
        <f t="shared" si="322"/>
        <v>0</v>
      </c>
      <c r="MQ881" s="2052">
        <f t="shared" si="323"/>
        <v>0</v>
      </c>
      <c r="MR881" s="2052">
        <f t="shared" si="324"/>
        <v>0</v>
      </c>
      <c r="MS881" s="2052">
        <f t="shared" si="325"/>
        <v>0</v>
      </c>
      <c r="MT881" s="2052">
        <f t="shared" si="326"/>
        <v>0</v>
      </c>
      <c r="NP881" s="1925" t="s">
        <v>6747</v>
      </c>
    </row>
    <row r="882" spans="1:380" s="1853" customFormat="1" ht="13.9" customHeight="1">
      <c r="A882" s="2109" t="str">
        <f t="shared" si="327"/>
        <v/>
      </c>
      <c r="B882" s="2131">
        <f>'Part VI-Revenues &amp; Expenses'!B42</f>
        <v>0</v>
      </c>
      <c r="C882" s="2132">
        <f>'Part VI-Revenues &amp; Expenses'!C42</f>
        <v>0</v>
      </c>
      <c r="D882" s="2133">
        <f>'Part VI-Revenues &amp; Expenses'!D42</f>
        <v>0</v>
      </c>
      <c r="E882" s="2134">
        <f>'Part VI-Revenues &amp; Expenses'!E42</f>
        <v>0</v>
      </c>
      <c r="F882" s="2134">
        <f>'Part VI-Revenues &amp; Expenses'!F42</f>
        <v>0</v>
      </c>
      <c r="G882" s="2134">
        <f>'Part VI-Revenues &amp; Expenses'!G42</f>
        <v>0</v>
      </c>
      <c r="H882" s="2134">
        <f>'Part VI-Revenues &amp; Expenses'!H42</f>
        <v>0</v>
      </c>
      <c r="I882" s="2134">
        <f>'Part VI-Revenues &amp; Expenses'!I42</f>
        <v>0</v>
      </c>
      <c r="J882" s="2134">
        <f>'Part VI-Revenues &amp; Expenses'!J42</f>
        <v>0</v>
      </c>
      <c r="K882" s="2135">
        <f>'Part VI-Revenues &amp; Expenses'!K42</f>
        <v>0</v>
      </c>
      <c r="L882" s="2136">
        <f t="shared" si="0"/>
        <v>0</v>
      </c>
      <c r="M882" s="2136">
        <f t="shared" si="1"/>
        <v>0</v>
      </c>
      <c r="N882" s="1917">
        <f>'Part VI-Revenues &amp; Expenses'!N42</f>
        <v>0</v>
      </c>
      <c r="O882" s="2137">
        <f>'Part VI-Revenues &amp; Expenses'!O42</f>
        <v>0</v>
      </c>
      <c r="P882" s="1917">
        <f>'Part VI-Revenues &amp; Expenses'!P42</f>
        <v>0</v>
      </c>
      <c r="Q882" s="2138">
        <f>'Part VI-Revenues &amp; Expenses'!Q42</f>
        <v>0</v>
      </c>
      <c r="R882" s="2139"/>
      <c r="S882" s="2140"/>
      <c r="T882" s="2044"/>
      <c r="U882" s="2044"/>
      <c r="V882" s="2044"/>
      <c r="W882" s="2044"/>
      <c r="X882" s="1853" t="str">
        <f t="shared" si="2"/>
        <v/>
      </c>
      <c r="Y882" s="1853" t="str">
        <f t="shared" si="3"/>
        <v/>
      </c>
      <c r="Z882" s="1853" t="str">
        <f t="shared" si="4"/>
        <v/>
      </c>
      <c r="AA882" s="1853" t="str">
        <f t="shared" si="5"/>
        <v/>
      </c>
      <c r="AB882" s="1853" t="str">
        <f t="shared" si="6"/>
        <v/>
      </c>
      <c r="AC882" s="1853" t="str">
        <f t="shared" si="7"/>
        <v/>
      </c>
      <c r="AD882" s="1853" t="str">
        <f t="shared" si="8"/>
        <v/>
      </c>
      <c r="AE882" s="1853" t="str">
        <f t="shared" si="9"/>
        <v/>
      </c>
      <c r="AF882" s="1853" t="str">
        <f t="shared" si="10"/>
        <v/>
      </c>
      <c r="AG882" s="1853" t="str">
        <f t="shared" si="11"/>
        <v/>
      </c>
      <c r="AH882" s="1853" t="str">
        <f t="shared" si="12"/>
        <v/>
      </c>
      <c r="AI882" s="1853" t="str">
        <f t="shared" si="13"/>
        <v/>
      </c>
      <c r="AJ882" s="1853" t="str">
        <f t="shared" si="14"/>
        <v/>
      </c>
      <c r="AK882" s="1853" t="str">
        <f t="shared" si="15"/>
        <v/>
      </c>
      <c r="AL882" s="1853" t="str">
        <f t="shared" si="16"/>
        <v/>
      </c>
      <c r="AM882" s="1853" t="str">
        <f t="shared" si="17"/>
        <v/>
      </c>
      <c r="AN882" s="1853" t="str">
        <f t="shared" si="18"/>
        <v/>
      </c>
      <c r="AO882" s="1853" t="str">
        <f t="shared" si="19"/>
        <v/>
      </c>
      <c r="AP882" s="1853" t="str">
        <f t="shared" si="20"/>
        <v/>
      </c>
      <c r="AQ882" s="1853" t="str">
        <f t="shared" si="21"/>
        <v/>
      </c>
      <c r="AR882" s="1853" t="str">
        <f t="shared" si="22"/>
        <v/>
      </c>
      <c r="AS882" s="1853" t="str">
        <f t="shared" si="23"/>
        <v/>
      </c>
      <c r="AT882" s="1853" t="str">
        <f t="shared" si="24"/>
        <v/>
      </c>
      <c r="AU882" s="1853" t="str">
        <f t="shared" si="25"/>
        <v/>
      </c>
      <c r="AV882" s="1853" t="str">
        <f t="shared" si="26"/>
        <v/>
      </c>
      <c r="AW882" s="1853" t="str">
        <f t="shared" si="27"/>
        <v/>
      </c>
      <c r="AX882" s="1853" t="str">
        <f t="shared" si="28"/>
        <v/>
      </c>
      <c r="AY882" s="1853" t="str">
        <f t="shared" si="29"/>
        <v/>
      </c>
      <c r="AZ882" s="1853" t="str">
        <f t="shared" si="30"/>
        <v/>
      </c>
      <c r="BA882" s="1853" t="str">
        <f t="shared" si="31"/>
        <v/>
      </c>
      <c r="BB882" s="1853" t="str">
        <f t="shared" si="32"/>
        <v/>
      </c>
      <c r="BC882" s="1853" t="str">
        <f t="shared" si="33"/>
        <v/>
      </c>
      <c r="BD882" s="1853" t="str">
        <f t="shared" si="34"/>
        <v/>
      </c>
      <c r="BE882" s="1853" t="str">
        <f t="shared" si="35"/>
        <v/>
      </c>
      <c r="BF882" s="1853" t="str">
        <f t="shared" si="36"/>
        <v/>
      </c>
      <c r="BG882" s="1853" t="str">
        <f t="shared" si="37"/>
        <v/>
      </c>
      <c r="BH882" s="1853" t="str">
        <f t="shared" si="38"/>
        <v/>
      </c>
      <c r="BI882" s="1853" t="str">
        <f t="shared" si="39"/>
        <v/>
      </c>
      <c r="BJ882" s="1853" t="str">
        <f t="shared" si="40"/>
        <v/>
      </c>
      <c r="BK882" s="1853" t="str">
        <f t="shared" si="41"/>
        <v/>
      </c>
      <c r="BL882" s="1853" t="str">
        <f t="shared" si="42"/>
        <v/>
      </c>
      <c r="BM882" s="1853" t="str">
        <f t="shared" si="43"/>
        <v/>
      </c>
      <c r="BN882" s="1853" t="str">
        <f t="shared" si="44"/>
        <v/>
      </c>
      <c r="BO882" s="1853" t="str">
        <f t="shared" si="45"/>
        <v/>
      </c>
      <c r="BP882" s="1853" t="str">
        <f t="shared" si="46"/>
        <v/>
      </c>
      <c r="BQ882" s="1853" t="str">
        <f t="shared" si="47"/>
        <v/>
      </c>
      <c r="BR882" s="1853" t="str">
        <f t="shared" si="48"/>
        <v/>
      </c>
      <c r="BS882" s="1853" t="str">
        <f t="shared" si="49"/>
        <v/>
      </c>
      <c r="BT882" s="1853" t="str">
        <f t="shared" si="50"/>
        <v/>
      </c>
      <c r="BU882" s="1853" t="str">
        <f t="shared" si="51"/>
        <v/>
      </c>
      <c r="BV882" s="1853" t="str">
        <f t="shared" si="52"/>
        <v/>
      </c>
      <c r="BW882" s="1853" t="str">
        <f t="shared" si="53"/>
        <v/>
      </c>
      <c r="BX882" s="1853" t="str">
        <f t="shared" si="54"/>
        <v/>
      </c>
      <c r="BY882" s="1853" t="str">
        <f t="shared" si="55"/>
        <v/>
      </c>
      <c r="BZ882" s="1853" t="str">
        <f t="shared" si="56"/>
        <v/>
      </c>
      <c r="CA882" s="1853" t="str">
        <f t="shared" si="57"/>
        <v/>
      </c>
      <c r="CB882" s="1853" t="str">
        <f t="shared" si="58"/>
        <v/>
      </c>
      <c r="CC882" s="1853" t="str">
        <f t="shared" si="59"/>
        <v/>
      </c>
      <c r="CD882" s="1853" t="str">
        <f t="shared" si="60"/>
        <v/>
      </c>
      <c r="CE882" s="1853" t="str">
        <f t="shared" si="61"/>
        <v/>
      </c>
      <c r="CF882" s="1853" t="str">
        <f t="shared" si="62"/>
        <v/>
      </c>
      <c r="CG882" s="1853" t="str">
        <f t="shared" si="63"/>
        <v/>
      </c>
      <c r="CH882" s="1853" t="str">
        <f t="shared" si="64"/>
        <v/>
      </c>
      <c r="CI882" s="1853" t="str">
        <f t="shared" si="65"/>
        <v/>
      </c>
      <c r="CJ882" s="1853" t="str">
        <f t="shared" si="66"/>
        <v/>
      </c>
      <c r="CK882" s="1853" t="str">
        <f t="shared" si="67"/>
        <v/>
      </c>
      <c r="CL882" s="1853" t="str">
        <f t="shared" si="68"/>
        <v/>
      </c>
      <c r="CM882" s="1853" t="str">
        <f t="shared" si="69"/>
        <v/>
      </c>
      <c r="CN882" s="1853" t="str">
        <f t="shared" si="70"/>
        <v/>
      </c>
      <c r="CO882" s="1853" t="str">
        <f t="shared" si="71"/>
        <v/>
      </c>
      <c r="CP882" s="1853" t="str">
        <f t="shared" si="72"/>
        <v/>
      </c>
      <c r="CQ882" s="1853" t="str">
        <f t="shared" si="73"/>
        <v/>
      </c>
      <c r="CR882" s="1853" t="str">
        <f t="shared" si="74"/>
        <v/>
      </c>
      <c r="CS882" s="1853" t="str">
        <f t="shared" si="75"/>
        <v/>
      </c>
      <c r="CT882" s="1853" t="str">
        <f t="shared" si="76"/>
        <v/>
      </c>
      <c r="CU882" s="1853" t="str">
        <f t="shared" si="77"/>
        <v/>
      </c>
      <c r="CV882" s="1853" t="str">
        <f t="shared" si="78"/>
        <v/>
      </c>
      <c r="CW882" s="1853" t="str">
        <f t="shared" si="79"/>
        <v/>
      </c>
      <c r="CX882" s="1853" t="str">
        <f t="shared" si="80"/>
        <v/>
      </c>
      <c r="CY882" s="1853" t="str">
        <f t="shared" si="81"/>
        <v/>
      </c>
      <c r="CZ882" s="1853" t="str">
        <f t="shared" si="82"/>
        <v/>
      </c>
      <c r="DA882" s="1853" t="str">
        <f t="shared" si="83"/>
        <v/>
      </c>
      <c r="DB882" s="1853" t="str">
        <f t="shared" si="84"/>
        <v/>
      </c>
      <c r="DC882" s="1853" t="str">
        <f t="shared" si="85"/>
        <v/>
      </c>
      <c r="DD882" s="1853" t="str">
        <f t="shared" si="86"/>
        <v/>
      </c>
      <c r="DE882" s="1853" t="str">
        <f t="shared" si="87"/>
        <v/>
      </c>
      <c r="DF882" s="1853" t="str">
        <f t="shared" si="88"/>
        <v/>
      </c>
      <c r="DG882" s="1853" t="str">
        <f t="shared" si="89"/>
        <v/>
      </c>
      <c r="DH882" s="1853" t="str">
        <f t="shared" si="90"/>
        <v/>
      </c>
      <c r="DI882" s="1853" t="str">
        <f t="shared" si="91"/>
        <v/>
      </c>
      <c r="DJ882" s="1853" t="str">
        <f t="shared" si="92"/>
        <v/>
      </c>
      <c r="DK882" s="1853" t="str">
        <f t="shared" si="93"/>
        <v/>
      </c>
      <c r="DL882" s="1853" t="str">
        <f t="shared" si="94"/>
        <v/>
      </c>
      <c r="DM882" s="1853" t="str">
        <f t="shared" si="95"/>
        <v/>
      </c>
      <c r="DN882" s="1853" t="str">
        <f t="shared" si="96"/>
        <v/>
      </c>
      <c r="DO882" s="1853" t="str">
        <f t="shared" si="97"/>
        <v/>
      </c>
      <c r="DP882" s="1853" t="str">
        <f t="shared" si="98"/>
        <v/>
      </c>
      <c r="DQ882" s="1853" t="str">
        <f t="shared" si="99"/>
        <v/>
      </c>
      <c r="DR882" s="1853" t="str">
        <f t="shared" si="100"/>
        <v/>
      </c>
      <c r="DS882" s="1853" t="str">
        <f t="shared" si="101"/>
        <v/>
      </c>
      <c r="DT882" s="1853" t="str">
        <f t="shared" si="102"/>
        <v/>
      </c>
      <c r="DU882" s="1853" t="str">
        <f t="shared" si="103"/>
        <v/>
      </c>
      <c r="DV882" s="1853" t="str">
        <f t="shared" si="104"/>
        <v/>
      </c>
      <c r="DW882" s="1853" t="str">
        <f t="shared" si="105"/>
        <v/>
      </c>
      <c r="DX882" s="1853" t="str">
        <f t="shared" si="106"/>
        <v/>
      </c>
      <c r="DY882" s="1853" t="str">
        <f t="shared" si="107"/>
        <v/>
      </c>
      <c r="DZ882" s="1853" t="str">
        <f t="shared" si="108"/>
        <v/>
      </c>
      <c r="EA882" s="1853" t="str">
        <f t="shared" si="109"/>
        <v/>
      </c>
      <c r="EB882" s="1853" t="str">
        <f t="shared" si="110"/>
        <v/>
      </c>
      <c r="EC882" s="1853" t="str">
        <f t="shared" si="111"/>
        <v/>
      </c>
      <c r="ED882" s="1853" t="str">
        <f t="shared" si="112"/>
        <v/>
      </c>
      <c r="EE882" s="1853" t="str">
        <f t="shared" si="113"/>
        <v/>
      </c>
      <c r="EF882" s="1853" t="str">
        <f t="shared" si="114"/>
        <v/>
      </c>
      <c r="EG882" s="1853" t="str">
        <f t="shared" si="115"/>
        <v/>
      </c>
      <c r="EH882" s="1853" t="str">
        <f t="shared" si="116"/>
        <v/>
      </c>
      <c r="EI882" s="1853" t="str">
        <f t="shared" si="117"/>
        <v/>
      </c>
      <c r="EJ882" s="1853" t="str">
        <f t="shared" si="118"/>
        <v/>
      </c>
      <c r="EK882" s="1853" t="str">
        <f t="shared" si="119"/>
        <v/>
      </c>
      <c r="EL882" s="1853" t="str">
        <f t="shared" si="120"/>
        <v/>
      </c>
      <c r="EM882" s="1853" t="str">
        <f t="shared" si="121"/>
        <v/>
      </c>
      <c r="EN882" s="1853" t="str">
        <f t="shared" si="122"/>
        <v/>
      </c>
      <c r="EO882" s="1853" t="str">
        <f t="shared" si="123"/>
        <v/>
      </c>
      <c r="EP882" s="1853" t="str">
        <f t="shared" si="124"/>
        <v/>
      </c>
      <c r="EQ882" s="1853" t="str">
        <f t="shared" si="125"/>
        <v/>
      </c>
      <c r="ER882" s="1853" t="str">
        <f t="shared" si="126"/>
        <v/>
      </c>
      <c r="ES882" s="1853" t="str">
        <f t="shared" si="127"/>
        <v/>
      </c>
      <c r="ET882" s="1853" t="str">
        <f t="shared" si="128"/>
        <v/>
      </c>
      <c r="EU882" s="1853" t="str">
        <f t="shared" si="129"/>
        <v/>
      </c>
      <c r="EV882" s="1853" t="str">
        <f t="shared" si="130"/>
        <v/>
      </c>
      <c r="EW882" s="1853" t="str">
        <f t="shared" si="131"/>
        <v/>
      </c>
      <c r="EX882" s="1853" t="str">
        <f t="shared" si="132"/>
        <v/>
      </c>
      <c r="EY882" s="1853" t="str">
        <f t="shared" si="133"/>
        <v/>
      </c>
      <c r="EZ882" s="1853" t="str">
        <f t="shared" si="134"/>
        <v/>
      </c>
      <c r="FA882" s="1853" t="str">
        <f t="shared" si="135"/>
        <v/>
      </c>
      <c r="FB882" s="1853" t="str">
        <f t="shared" si="136"/>
        <v/>
      </c>
      <c r="FC882" s="1853" t="str">
        <f t="shared" si="137"/>
        <v/>
      </c>
      <c r="FD882" s="1853" t="str">
        <f t="shared" si="138"/>
        <v/>
      </c>
      <c r="FE882" s="1853" t="str">
        <f t="shared" si="139"/>
        <v/>
      </c>
      <c r="FF882" s="1853" t="str">
        <f t="shared" si="140"/>
        <v/>
      </c>
      <c r="FG882" s="1853" t="str">
        <f t="shared" si="141"/>
        <v/>
      </c>
      <c r="FH882" s="1853" t="str">
        <f t="shared" si="142"/>
        <v/>
      </c>
      <c r="FI882" s="1853" t="str">
        <f t="shared" si="143"/>
        <v/>
      </c>
      <c r="FJ882" s="1853" t="str">
        <f t="shared" si="144"/>
        <v/>
      </c>
      <c r="FK882" s="1853" t="str">
        <f t="shared" si="145"/>
        <v/>
      </c>
      <c r="FL882" s="1853" t="str">
        <f t="shared" si="146"/>
        <v/>
      </c>
      <c r="FM882" s="1853" t="str">
        <f t="shared" si="147"/>
        <v/>
      </c>
      <c r="FN882" s="1853" t="str">
        <f t="shared" si="148"/>
        <v/>
      </c>
      <c r="FO882" s="1853" t="str">
        <f t="shared" si="149"/>
        <v/>
      </c>
      <c r="FP882" s="1853" t="str">
        <f t="shared" si="150"/>
        <v/>
      </c>
      <c r="FQ882" s="1853" t="str">
        <f t="shared" si="151"/>
        <v/>
      </c>
      <c r="FR882" s="1853" t="str">
        <f t="shared" si="152"/>
        <v/>
      </c>
      <c r="FS882" s="1853" t="str">
        <f t="shared" si="153"/>
        <v/>
      </c>
      <c r="FT882" s="1853" t="str">
        <f t="shared" si="154"/>
        <v/>
      </c>
      <c r="FU882" s="1853" t="str">
        <f t="shared" si="155"/>
        <v/>
      </c>
      <c r="FV882" s="1853" t="str">
        <f t="shared" si="156"/>
        <v/>
      </c>
      <c r="FW882" s="1853" t="str">
        <f t="shared" si="157"/>
        <v/>
      </c>
      <c r="FX882" s="1853" t="str">
        <f t="shared" si="158"/>
        <v/>
      </c>
      <c r="FY882" s="1853" t="str">
        <f t="shared" si="159"/>
        <v/>
      </c>
      <c r="FZ882" s="1853" t="str">
        <f t="shared" si="160"/>
        <v/>
      </c>
      <c r="GA882" s="1853" t="str">
        <f t="shared" si="161"/>
        <v/>
      </c>
      <c r="GB882" s="1853" t="str">
        <f t="shared" si="162"/>
        <v/>
      </c>
      <c r="GC882" s="1853" t="str">
        <f t="shared" si="163"/>
        <v/>
      </c>
      <c r="GD882" s="1853" t="str">
        <f t="shared" si="164"/>
        <v/>
      </c>
      <c r="GE882" s="1853" t="str">
        <f t="shared" si="165"/>
        <v/>
      </c>
      <c r="GF882" s="1853" t="str">
        <f t="shared" si="166"/>
        <v/>
      </c>
      <c r="GG882" s="1853" t="str">
        <f t="shared" si="167"/>
        <v/>
      </c>
      <c r="GH882" s="1853" t="str">
        <f t="shared" si="168"/>
        <v/>
      </c>
      <c r="GI882" s="1853" t="str">
        <f t="shared" si="169"/>
        <v/>
      </c>
      <c r="GJ882" s="1853" t="str">
        <f t="shared" si="170"/>
        <v/>
      </c>
      <c r="GK882" s="1853" t="str">
        <f t="shared" si="171"/>
        <v/>
      </c>
      <c r="GL882" s="1853" t="str">
        <f t="shared" si="172"/>
        <v/>
      </c>
      <c r="GM882" s="1853" t="str">
        <f t="shared" si="173"/>
        <v/>
      </c>
      <c r="GN882" s="1853" t="str">
        <f t="shared" si="174"/>
        <v/>
      </c>
      <c r="GO882" s="1853" t="str">
        <f t="shared" si="175"/>
        <v/>
      </c>
      <c r="GP882" s="1853" t="str">
        <f t="shared" si="176"/>
        <v/>
      </c>
      <c r="GQ882" s="1853" t="str">
        <f t="shared" si="177"/>
        <v/>
      </c>
      <c r="GR882" s="1853" t="str">
        <f t="shared" si="178"/>
        <v/>
      </c>
      <c r="GS882" s="1853" t="str">
        <f t="shared" si="179"/>
        <v/>
      </c>
      <c r="GT882" s="1853" t="str">
        <f t="shared" si="180"/>
        <v/>
      </c>
      <c r="GU882" s="1853" t="str">
        <f t="shared" si="181"/>
        <v/>
      </c>
      <c r="GV882" s="1853" t="str">
        <f t="shared" si="182"/>
        <v/>
      </c>
      <c r="GW882" s="1853" t="str">
        <f t="shared" si="183"/>
        <v/>
      </c>
      <c r="GX882" s="1853" t="str">
        <f t="shared" si="184"/>
        <v/>
      </c>
      <c r="GY882" s="1853" t="str">
        <f t="shared" si="185"/>
        <v/>
      </c>
      <c r="GZ882" s="1853" t="str">
        <f t="shared" si="186"/>
        <v/>
      </c>
      <c r="HA882" s="1853" t="str">
        <f t="shared" si="187"/>
        <v/>
      </c>
      <c r="HB882" s="1853" t="str">
        <f t="shared" si="188"/>
        <v/>
      </c>
      <c r="HC882" s="1853" t="str">
        <f t="shared" si="189"/>
        <v/>
      </c>
      <c r="HD882" s="1853" t="str">
        <f t="shared" si="190"/>
        <v/>
      </c>
      <c r="HE882" s="1853" t="str">
        <f t="shared" si="191"/>
        <v/>
      </c>
      <c r="HF882" s="1853" t="str">
        <f t="shared" si="192"/>
        <v/>
      </c>
      <c r="HG882" s="1853" t="str">
        <f t="shared" si="193"/>
        <v/>
      </c>
      <c r="HH882" s="1853" t="str">
        <f t="shared" si="194"/>
        <v/>
      </c>
      <c r="HI882" s="1853" t="str">
        <f t="shared" si="195"/>
        <v/>
      </c>
      <c r="HJ882" s="1853" t="str">
        <f t="shared" si="196"/>
        <v/>
      </c>
      <c r="HK882" s="1853" t="str">
        <f t="shared" si="197"/>
        <v/>
      </c>
      <c r="HL882" s="1853" t="str">
        <f t="shared" si="198"/>
        <v/>
      </c>
      <c r="HM882" s="1853" t="str">
        <f t="shared" si="199"/>
        <v/>
      </c>
      <c r="HN882" s="1853" t="str">
        <f t="shared" si="200"/>
        <v/>
      </c>
      <c r="HO882" s="1853" t="str">
        <f t="shared" si="201"/>
        <v/>
      </c>
      <c r="HP882" s="1853" t="str">
        <f t="shared" si="202"/>
        <v/>
      </c>
      <c r="HQ882" s="1853" t="str">
        <f t="shared" si="203"/>
        <v/>
      </c>
      <c r="HR882" s="1853" t="str">
        <f t="shared" si="204"/>
        <v/>
      </c>
      <c r="HS882" s="1853" t="str">
        <f t="shared" si="205"/>
        <v/>
      </c>
      <c r="HT882" s="1853" t="str">
        <f t="shared" si="206"/>
        <v/>
      </c>
      <c r="HU882" s="1853" t="str">
        <f t="shared" si="207"/>
        <v/>
      </c>
      <c r="HV882" s="1853" t="str">
        <f t="shared" si="208"/>
        <v/>
      </c>
      <c r="HW882" s="1853" t="str">
        <f t="shared" si="209"/>
        <v/>
      </c>
      <c r="HX882" s="1853" t="str">
        <f t="shared" si="210"/>
        <v/>
      </c>
      <c r="HY882" s="1853" t="str">
        <f t="shared" si="211"/>
        <v/>
      </c>
      <c r="HZ882" s="2141" t="str">
        <f t="shared" si="212"/>
        <v/>
      </c>
      <c r="IA882" s="2141" t="str">
        <f t="shared" si="213"/>
        <v/>
      </c>
      <c r="IB882" s="2141" t="str">
        <f t="shared" si="214"/>
        <v/>
      </c>
      <c r="IC882" s="2141" t="str">
        <f t="shared" si="215"/>
        <v/>
      </c>
      <c r="ID882" s="2141" t="str">
        <f t="shared" si="216"/>
        <v/>
      </c>
      <c r="IE882" s="2141" t="str">
        <f t="shared" si="217"/>
        <v/>
      </c>
      <c r="IF882" s="2141" t="str">
        <f t="shared" si="218"/>
        <v/>
      </c>
      <c r="IG882" s="2141" t="str">
        <f t="shared" si="219"/>
        <v/>
      </c>
      <c r="IH882" s="2141" t="str">
        <f t="shared" si="220"/>
        <v/>
      </c>
      <c r="II882" s="2141" t="str">
        <f t="shared" si="221"/>
        <v/>
      </c>
      <c r="IJ882" s="2141" t="str">
        <f t="shared" si="222"/>
        <v/>
      </c>
      <c r="IK882" s="2141" t="str">
        <f t="shared" si="223"/>
        <v/>
      </c>
      <c r="IL882" s="2141" t="str">
        <f t="shared" si="224"/>
        <v/>
      </c>
      <c r="IM882" s="2141" t="str">
        <f t="shared" si="225"/>
        <v/>
      </c>
      <c r="IN882" s="2141" t="str">
        <f t="shared" si="226"/>
        <v/>
      </c>
      <c r="IO882" s="2141" t="str">
        <f t="shared" si="227"/>
        <v/>
      </c>
      <c r="IP882" s="2141" t="str">
        <f t="shared" si="228"/>
        <v/>
      </c>
      <c r="IQ882" s="2141" t="str">
        <f t="shared" si="229"/>
        <v/>
      </c>
      <c r="IR882" s="2141" t="str">
        <f t="shared" si="230"/>
        <v/>
      </c>
      <c r="IS882" s="2141" t="str">
        <f t="shared" si="231"/>
        <v/>
      </c>
      <c r="IT882" s="2141" t="str">
        <f t="shared" si="232"/>
        <v/>
      </c>
      <c r="IU882" s="2141" t="str">
        <f t="shared" si="233"/>
        <v/>
      </c>
      <c r="IV882" s="2141" t="str">
        <f t="shared" si="234"/>
        <v/>
      </c>
      <c r="IW882" s="2141" t="str">
        <f t="shared" si="235"/>
        <v/>
      </c>
      <c r="IX882" s="2141" t="str">
        <f t="shared" si="236"/>
        <v/>
      </c>
      <c r="IY882" s="2141" t="str">
        <f t="shared" si="237"/>
        <v/>
      </c>
      <c r="IZ882" s="2141" t="str">
        <f t="shared" si="238"/>
        <v/>
      </c>
      <c r="JA882" s="2141" t="str">
        <f t="shared" si="239"/>
        <v/>
      </c>
      <c r="JB882" s="2141" t="str">
        <f t="shared" si="240"/>
        <v/>
      </c>
      <c r="JC882" s="2141" t="str">
        <f t="shared" si="241"/>
        <v/>
      </c>
      <c r="JD882" s="2141" t="str">
        <f t="shared" si="242"/>
        <v/>
      </c>
      <c r="JE882" s="2141" t="str">
        <f t="shared" si="243"/>
        <v/>
      </c>
      <c r="JF882" s="2141" t="str">
        <f t="shared" si="244"/>
        <v/>
      </c>
      <c r="JG882" s="2141" t="str">
        <f t="shared" si="245"/>
        <v/>
      </c>
      <c r="JH882" s="2141" t="str">
        <f t="shared" si="246"/>
        <v/>
      </c>
      <c r="JI882" s="2141" t="str">
        <f t="shared" si="247"/>
        <v/>
      </c>
      <c r="JJ882" s="2141" t="str">
        <f t="shared" si="248"/>
        <v/>
      </c>
      <c r="JK882" s="2141" t="str">
        <f t="shared" si="249"/>
        <v/>
      </c>
      <c r="JL882" s="2141" t="str">
        <f t="shared" si="250"/>
        <v/>
      </c>
      <c r="JM882" s="2141" t="str">
        <f t="shared" si="251"/>
        <v/>
      </c>
      <c r="JN882" s="2141" t="str">
        <f t="shared" si="252"/>
        <v/>
      </c>
      <c r="JO882" s="2141" t="str">
        <f t="shared" si="253"/>
        <v/>
      </c>
      <c r="JP882" s="2141" t="str">
        <f t="shared" si="254"/>
        <v/>
      </c>
      <c r="JQ882" s="2141" t="str">
        <f t="shared" si="255"/>
        <v/>
      </c>
      <c r="JR882" s="2141" t="str">
        <f t="shared" si="256"/>
        <v/>
      </c>
      <c r="JS882" s="2141" t="str">
        <f t="shared" si="257"/>
        <v/>
      </c>
      <c r="JT882" s="2141" t="str">
        <f t="shared" si="258"/>
        <v/>
      </c>
      <c r="JU882" s="2141" t="str">
        <f t="shared" si="259"/>
        <v/>
      </c>
      <c r="JV882" s="2141" t="str">
        <f t="shared" si="260"/>
        <v/>
      </c>
      <c r="JW882" s="2141" t="str">
        <f t="shared" si="261"/>
        <v/>
      </c>
      <c r="JX882" s="2141" t="str">
        <f t="shared" si="262"/>
        <v/>
      </c>
      <c r="JY882" s="2141" t="str">
        <f t="shared" si="263"/>
        <v/>
      </c>
      <c r="JZ882" s="2141" t="str">
        <f t="shared" si="264"/>
        <v/>
      </c>
      <c r="KA882" s="2141" t="str">
        <f t="shared" si="265"/>
        <v/>
      </c>
      <c r="KB882" s="2141" t="str">
        <f t="shared" si="266"/>
        <v/>
      </c>
      <c r="KC882" s="2141" t="str">
        <f t="shared" si="267"/>
        <v/>
      </c>
      <c r="KD882" s="2141" t="str">
        <f t="shared" si="268"/>
        <v/>
      </c>
      <c r="KE882" s="2141" t="str">
        <f t="shared" si="269"/>
        <v/>
      </c>
      <c r="KF882" s="2141" t="str">
        <f t="shared" si="270"/>
        <v/>
      </c>
      <c r="KG882" s="2141" t="str">
        <f t="shared" si="271"/>
        <v/>
      </c>
      <c r="KH882" s="2141" t="str">
        <f t="shared" si="272"/>
        <v/>
      </c>
      <c r="KI882" s="2141" t="str">
        <f t="shared" si="273"/>
        <v/>
      </c>
      <c r="KJ882" s="2141" t="str">
        <f t="shared" si="274"/>
        <v/>
      </c>
      <c r="KK882" s="2141" t="str">
        <f t="shared" si="275"/>
        <v/>
      </c>
      <c r="KL882" s="2141" t="str">
        <f t="shared" si="276"/>
        <v/>
      </c>
      <c r="KM882" s="2141" t="str">
        <f t="shared" si="277"/>
        <v/>
      </c>
      <c r="KN882" s="2141" t="str">
        <f t="shared" si="278"/>
        <v/>
      </c>
      <c r="KO882" s="2141" t="str">
        <f t="shared" si="279"/>
        <v/>
      </c>
      <c r="KP882" s="2141" t="str">
        <f t="shared" si="280"/>
        <v/>
      </c>
      <c r="KQ882" s="2141" t="str">
        <f t="shared" si="281"/>
        <v/>
      </c>
      <c r="KR882" s="2141" t="str">
        <f t="shared" si="282"/>
        <v/>
      </c>
      <c r="KS882" s="2141" t="str">
        <f t="shared" si="283"/>
        <v/>
      </c>
      <c r="KT882" s="2141" t="str">
        <f t="shared" si="284"/>
        <v/>
      </c>
      <c r="KU882" s="2141" t="str">
        <f t="shared" si="285"/>
        <v/>
      </c>
      <c r="KV882" s="2141" t="str">
        <f t="shared" si="286"/>
        <v/>
      </c>
      <c r="KW882" s="2141" t="str">
        <f t="shared" si="287"/>
        <v/>
      </c>
      <c r="KX882" s="2141" t="str">
        <f t="shared" si="288"/>
        <v/>
      </c>
      <c r="KY882" s="2141" t="str">
        <f t="shared" si="289"/>
        <v/>
      </c>
      <c r="KZ882" s="2141" t="str">
        <f t="shared" si="290"/>
        <v/>
      </c>
      <c r="LA882" s="2141" t="str">
        <f t="shared" si="291"/>
        <v/>
      </c>
      <c r="LB882" s="2141" t="str">
        <f t="shared" si="292"/>
        <v/>
      </c>
      <c r="LC882" s="2141" t="str">
        <f t="shared" si="293"/>
        <v/>
      </c>
      <c r="LD882" s="2141" t="str">
        <f t="shared" si="294"/>
        <v/>
      </c>
      <c r="LE882" s="2141" t="str">
        <f t="shared" si="295"/>
        <v/>
      </c>
      <c r="LF882" s="2141" t="str">
        <f t="shared" si="296"/>
        <v/>
      </c>
      <c r="LG882" s="2052" t="str">
        <f t="shared" si="297"/>
        <v/>
      </c>
      <c r="LH882" s="2052" t="str">
        <f t="shared" si="298"/>
        <v/>
      </c>
      <c r="LI882" s="2052" t="str">
        <f t="shared" si="299"/>
        <v/>
      </c>
      <c r="LJ882" s="2052" t="str">
        <f t="shared" si="300"/>
        <v/>
      </c>
      <c r="LK882" s="2052" t="str">
        <f t="shared" si="301"/>
        <v/>
      </c>
      <c r="LL882" s="1853" t="str">
        <f t="shared" si="302"/>
        <v/>
      </c>
      <c r="LM882" s="1853" t="str">
        <f t="shared" si="303"/>
        <v/>
      </c>
      <c r="LN882" s="1853" t="str">
        <f t="shared" si="304"/>
        <v/>
      </c>
      <c r="LO882" s="1853" t="str">
        <f t="shared" si="305"/>
        <v/>
      </c>
      <c r="LP882" s="1853" t="str">
        <f t="shared" si="306"/>
        <v/>
      </c>
      <c r="LQ882" s="1853" t="str">
        <f t="shared" si="307"/>
        <v/>
      </c>
      <c r="LR882" s="1853" t="str">
        <f t="shared" si="308"/>
        <v/>
      </c>
      <c r="LS882" s="1853" t="str">
        <f t="shared" si="309"/>
        <v/>
      </c>
      <c r="LT882" s="1853" t="str">
        <f t="shared" si="310"/>
        <v/>
      </c>
      <c r="LU882" s="1853" t="str">
        <f t="shared" si="311"/>
        <v/>
      </c>
      <c r="LV882" s="1853" t="str">
        <f t="shared" si="312"/>
        <v/>
      </c>
      <c r="LW882" s="1853" t="str">
        <f t="shared" si="313"/>
        <v/>
      </c>
      <c r="LX882" s="1853" t="str">
        <f t="shared" si="314"/>
        <v/>
      </c>
      <c r="LY882" s="1853" t="str">
        <f t="shared" si="315"/>
        <v/>
      </c>
      <c r="LZ882" s="1853" t="str">
        <f t="shared" si="316"/>
        <v/>
      </c>
      <c r="MA882" s="1853" t="str">
        <f t="shared" si="317"/>
        <v/>
      </c>
      <c r="MB882" s="1853" t="str">
        <f t="shared" si="318"/>
        <v/>
      </c>
      <c r="MC882" s="1853" t="str">
        <f t="shared" si="319"/>
        <v/>
      </c>
      <c r="MD882" s="1853" t="str">
        <f t="shared" si="320"/>
        <v/>
      </c>
      <c r="ME882" s="1853" t="str">
        <f t="shared" si="321"/>
        <v/>
      </c>
      <c r="MF882" s="2052">
        <f t="shared" si="328"/>
        <v>0</v>
      </c>
      <c r="MG882" s="2052">
        <f t="shared" si="329"/>
        <v>0</v>
      </c>
      <c r="MH882" s="2052">
        <f t="shared" si="330"/>
        <v>0</v>
      </c>
      <c r="MI882" s="2052">
        <f t="shared" si="331"/>
        <v>0</v>
      </c>
      <c r="MJ882" s="2052">
        <f t="shared" si="332"/>
        <v>0</v>
      </c>
      <c r="MK882" s="2052">
        <f t="shared" si="333"/>
        <v>0</v>
      </c>
      <c r="ML882" s="2052">
        <f t="shared" si="334"/>
        <v>0</v>
      </c>
      <c r="MM882" s="2052">
        <f t="shared" si="335"/>
        <v>0</v>
      </c>
      <c r="MN882" s="2052">
        <f t="shared" si="336"/>
        <v>0</v>
      </c>
      <c r="MO882" s="2052">
        <f t="shared" si="337"/>
        <v>0</v>
      </c>
      <c r="MP882" s="2052">
        <f t="shared" si="322"/>
        <v>0</v>
      </c>
      <c r="MQ882" s="2052">
        <f t="shared" si="323"/>
        <v>0</v>
      </c>
      <c r="MR882" s="2052">
        <f t="shared" si="324"/>
        <v>0</v>
      </c>
      <c r="MS882" s="2052">
        <f t="shared" si="325"/>
        <v>0</v>
      </c>
      <c r="MT882" s="2052">
        <f t="shared" si="326"/>
        <v>0</v>
      </c>
      <c r="NP882" s="1925" t="s">
        <v>6748</v>
      </c>
    </row>
    <row r="883" spans="1:380" s="1853" customFormat="1" ht="13.9" customHeight="1">
      <c r="A883" s="2109" t="str">
        <f t="shared" si="327"/>
        <v/>
      </c>
      <c r="B883" s="2131">
        <f>'Part VI-Revenues &amp; Expenses'!B43</f>
        <v>0</v>
      </c>
      <c r="C883" s="2132">
        <f>'Part VI-Revenues &amp; Expenses'!C43</f>
        <v>0</v>
      </c>
      <c r="D883" s="2133">
        <f>'Part VI-Revenues &amp; Expenses'!D43</f>
        <v>0</v>
      </c>
      <c r="E883" s="2134">
        <f>'Part VI-Revenues &amp; Expenses'!E43</f>
        <v>0</v>
      </c>
      <c r="F883" s="2134">
        <f>'Part VI-Revenues &amp; Expenses'!F43</f>
        <v>0</v>
      </c>
      <c r="G883" s="2134">
        <f>'Part VI-Revenues &amp; Expenses'!G43</f>
        <v>0</v>
      </c>
      <c r="H883" s="2134">
        <f>'Part VI-Revenues &amp; Expenses'!H43</f>
        <v>0</v>
      </c>
      <c r="I883" s="2134">
        <f>'Part VI-Revenues &amp; Expenses'!I43</f>
        <v>0</v>
      </c>
      <c r="J883" s="2134">
        <f>'Part VI-Revenues &amp; Expenses'!J43</f>
        <v>0</v>
      </c>
      <c r="K883" s="2135">
        <f>'Part VI-Revenues &amp; Expenses'!K43</f>
        <v>0</v>
      </c>
      <c r="L883" s="2136">
        <f t="shared" si="0"/>
        <v>0</v>
      </c>
      <c r="M883" s="2136">
        <f t="shared" si="1"/>
        <v>0</v>
      </c>
      <c r="N883" s="1917">
        <f>'Part VI-Revenues &amp; Expenses'!N43</f>
        <v>0</v>
      </c>
      <c r="O883" s="2137">
        <f>'Part VI-Revenues &amp; Expenses'!O43</f>
        <v>0</v>
      </c>
      <c r="P883" s="1917">
        <f>'Part VI-Revenues &amp; Expenses'!P43</f>
        <v>0</v>
      </c>
      <c r="Q883" s="2138">
        <f>'Part VI-Revenues &amp; Expenses'!Q43</f>
        <v>0</v>
      </c>
      <c r="R883" s="2139"/>
      <c r="S883" s="2140"/>
      <c r="T883" s="2044"/>
      <c r="U883" s="2044"/>
      <c r="V883" s="2044"/>
      <c r="W883" s="2044"/>
      <c r="X883" s="1853" t="str">
        <f t="shared" si="2"/>
        <v/>
      </c>
      <c r="Y883" s="1853" t="str">
        <f t="shared" si="3"/>
        <v/>
      </c>
      <c r="Z883" s="1853" t="str">
        <f t="shared" si="4"/>
        <v/>
      </c>
      <c r="AA883" s="1853" t="str">
        <f t="shared" si="5"/>
        <v/>
      </c>
      <c r="AB883" s="1853" t="str">
        <f t="shared" si="6"/>
        <v/>
      </c>
      <c r="AC883" s="1853" t="str">
        <f t="shared" si="7"/>
        <v/>
      </c>
      <c r="AD883" s="1853" t="str">
        <f t="shared" si="8"/>
        <v/>
      </c>
      <c r="AE883" s="1853" t="str">
        <f t="shared" si="9"/>
        <v/>
      </c>
      <c r="AF883" s="1853" t="str">
        <f t="shared" si="10"/>
        <v/>
      </c>
      <c r="AG883" s="1853" t="str">
        <f t="shared" si="11"/>
        <v/>
      </c>
      <c r="AH883" s="1853" t="str">
        <f t="shared" si="12"/>
        <v/>
      </c>
      <c r="AI883" s="1853" t="str">
        <f t="shared" si="13"/>
        <v/>
      </c>
      <c r="AJ883" s="1853" t="str">
        <f t="shared" si="14"/>
        <v/>
      </c>
      <c r="AK883" s="1853" t="str">
        <f t="shared" si="15"/>
        <v/>
      </c>
      <c r="AL883" s="1853" t="str">
        <f t="shared" si="16"/>
        <v/>
      </c>
      <c r="AM883" s="1853" t="str">
        <f t="shared" si="17"/>
        <v/>
      </c>
      <c r="AN883" s="1853" t="str">
        <f t="shared" si="18"/>
        <v/>
      </c>
      <c r="AO883" s="1853" t="str">
        <f t="shared" si="19"/>
        <v/>
      </c>
      <c r="AP883" s="1853" t="str">
        <f t="shared" si="20"/>
        <v/>
      </c>
      <c r="AQ883" s="1853" t="str">
        <f t="shared" si="21"/>
        <v/>
      </c>
      <c r="AR883" s="1853" t="str">
        <f t="shared" si="22"/>
        <v/>
      </c>
      <c r="AS883" s="1853" t="str">
        <f t="shared" si="23"/>
        <v/>
      </c>
      <c r="AT883" s="1853" t="str">
        <f t="shared" si="24"/>
        <v/>
      </c>
      <c r="AU883" s="1853" t="str">
        <f t="shared" si="25"/>
        <v/>
      </c>
      <c r="AV883" s="1853" t="str">
        <f t="shared" si="26"/>
        <v/>
      </c>
      <c r="AW883" s="1853" t="str">
        <f t="shared" si="27"/>
        <v/>
      </c>
      <c r="AX883" s="1853" t="str">
        <f t="shared" si="28"/>
        <v/>
      </c>
      <c r="AY883" s="1853" t="str">
        <f t="shared" si="29"/>
        <v/>
      </c>
      <c r="AZ883" s="1853" t="str">
        <f t="shared" si="30"/>
        <v/>
      </c>
      <c r="BA883" s="1853" t="str">
        <f t="shared" si="31"/>
        <v/>
      </c>
      <c r="BB883" s="1853" t="str">
        <f t="shared" si="32"/>
        <v/>
      </c>
      <c r="BC883" s="1853" t="str">
        <f t="shared" si="33"/>
        <v/>
      </c>
      <c r="BD883" s="1853" t="str">
        <f t="shared" si="34"/>
        <v/>
      </c>
      <c r="BE883" s="1853" t="str">
        <f t="shared" si="35"/>
        <v/>
      </c>
      <c r="BF883" s="1853" t="str">
        <f t="shared" si="36"/>
        <v/>
      </c>
      <c r="BG883" s="1853" t="str">
        <f t="shared" si="37"/>
        <v/>
      </c>
      <c r="BH883" s="1853" t="str">
        <f t="shared" si="38"/>
        <v/>
      </c>
      <c r="BI883" s="1853" t="str">
        <f t="shared" si="39"/>
        <v/>
      </c>
      <c r="BJ883" s="1853" t="str">
        <f t="shared" si="40"/>
        <v/>
      </c>
      <c r="BK883" s="1853" t="str">
        <f t="shared" si="41"/>
        <v/>
      </c>
      <c r="BL883" s="1853" t="str">
        <f t="shared" si="42"/>
        <v/>
      </c>
      <c r="BM883" s="1853" t="str">
        <f t="shared" si="43"/>
        <v/>
      </c>
      <c r="BN883" s="1853" t="str">
        <f t="shared" si="44"/>
        <v/>
      </c>
      <c r="BO883" s="1853" t="str">
        <f t="shared" si="45"/>
        <v/>
      </c>
      <c r="BP883" s="1853" t="str">
        <f t="shared" si="46"/>
        <v/>
      </c>
      <c r="BQ883" s="1853" t="str">
        <f t="shared" si="47"/>
        <v/>
      </c>
      <c r="BR883" s="1853" t="str">
        <f t="shared" si="48"/>
        <v/>
      </c>
      <c r="BS883" s="1853" t="str">
        <f t="shared" si="49"/>
        <v/>
      </c>
      <c r="BT883" s="1853" t="str">
        <f t="shared" si="50"/>
        <v/>
      </c>
      <c r="BU883" s="1853" t="str">
        <f t="shared" si="51"/>
        <v/>
      </c>
      <c r="BV883" s="1853" t="str">
        <f t="shared" si="52"/>
        <v/>
      </c>
      <c r="BW883" s="1853" t="str">
        <f t="shared" si="53"/>
        <v/>
      </c>
      <c r="BX883" s="1853" t="str">
        <f t="shared" si="54"/>
        <v/>
      </c>
      <c r="BY883" s="1853" t="str">
        <f t="shared" si="55"/>
        <v/>
      </c>
      <c r="BZ883" s="1853" t="str">
        <f t="shared" si="56"/>
        <v/>
      </c>
      <c r="CA883" s="1853" t="str">
        <f t="shared" si="57"/>
        <v/>
      </c>
      <c r="CB883" s="1853" t="str">
        <f t="shared" si="58"/>
        <v/>
      </c>
      <c r="CC883" s="1853" t="str">
        <f t="shared" si="59"/>
        <v/>
      </c>
      <c r="CD883" s="1853" t="str">
        <f t="shared" si="60"/>
        <v/>
      </c>
      <c r="CE883" s="1853" t="str">
        <f t="shared" si="61"/>
        <v/>
      </c>
      <c r="CF883" s="1853" t="str">
        <f t="shared" si="62"/>
        <v/>
      </c>
      <c r="CG883" s="1853" t="str">
        <f t="shared" si="63"/>
        <v/>
      </c>
      <c r="CH883" s="1853" t="str">
        <f t="shared" si="64"/>
        <v/>
      </c>
      <c r="CI883" s="1853" t="str">
        <f t="shared" si="65"/>
        <v/>
      </c>
      <c r="CJ883" s="1853" t="str">
        <f t="shared" si="66"/>
        <v/>
      </c>
      <c r="CK883" s="1853" t="str">
        <f t="shared" si="67"/>
        <v/>
      </c>
      <c r="CL883" s="1853" t="str">
        <f t="shared" si="68"/>
        <v/>
      </c>
      <c r="CM883" s="1853" t="str">
        <f t="shared" si="69"/>
        <v/>
      </c>
      <c r="CN883" s="1853" t="str">
        <f t="shared" si="70"/>
        <v/>
      </c>
      <c r="CO883" s="1853" t="str">
        <f t="shared" si="71"/>
        <v/>
      </c>
      <c r="CP883" s="1853" t="str">
        <f t="shared" si="72"/>
        <v/>
      </c>
      <c r="CQ883" s="1853" t="str">
        <f t="shared" si="73"/>
        <v/>
      </c>
      <c r="CR883" s="1853" t="str">
        <f t="shared" si="74"/>
        <v/>
      </c>
      <c r="CS883" s="1853" t="str">
        <f t="shared" si="75"/>
        <v/>
      </c>
      <c r="CT883" s="1853" t="str">
        <f t="shared" si="76"/>
        <v/>
      </c>
      <c r="CU883" s="1853" t="str">
        <f t="shared" si="77"/>
        <v/>
      </c>
      <c r="CV883" s="1853" t="str">
        <f t="shared" si="78"/>
        <v/>
      </c>
      <c r="CW883" s="1853" t="str">
        <f t="shared" si="79"/>
        <v/>
      </c>
      <c r="CX883" s="1853" t="str">
        <f t="shared" si="80"/>
        <v/>
      </c>
      <c r="CY883" s="1853" t="str">
        <f t="shared" si="81"/>
        <v/>
      </c>
      <c r="CZ883" s="1853" t="str">
        <f t="shared" si="82"/>
        <v/>
      </c>
      <c r="DA883" s="1853" t="str">
        <f t="shared" si="83"/>
        <v/>
      </c>
      <c r="DB883" s="1853" t="str">
        <f t="shared" si="84"/>
        <v/>
      </c>
      <c r="DC883" s="1853" t="str">
        <f t="shared" si="85"/>
        <v/>
      </c>
      <c r="DD883" s="1853" t="str">
        <f t="shared" si="86"/>
        <v/>
      </c>
      <c r="DE883" s="1853" t="str">
        <f t="shared" si="87"/>
        <v/>
      </c>
      <c r="DF883" s="1853" t="str">
        <f t="shared" si="88"/>
        <v/>
      </c>
      <c r="DG883" s="1853" t="str">
        <f t="shared" si="89"/>
        <v/>
      </c>
      <c r="DH883" s="1853" t="str">
        <f t="shared" si="90"/>
        <v/>
      </c>
      <c r="DI883" s="1853" t="str">
        <f t="shared" si="91"/>
        <v/>
      </c>
      <c r="DJ883" s="1853" t="str">
        <f t="shared" si="92"/>
        <v/>
      </c>
      <c r="DK883" s="1853" t="str">
        <f t="shared" si="93"/>
        <v/>
      </c>
      <c r="DL883" s="1853" t="str">
        <f t="shared" si="94"/>
        <v/>
      </c>
      <c r="DM883" s="1853" t="str">
        <f t="shared" si="95"/>
        <v/>
      </c>
      <c r="DN883" s="1853" t="str">
        <f t="shared" si="96"/>
        <v/>
      </c>
      <c r="DO883" s="1853" t="str">
        <f t="shared" si="97"/>
        <v/>
      </c>
      <c r="DP883" s="1853" t="str">
        <f t="shared" si="98"/>
        <v/>
      </c>
      <c r="DQ883" s="1853" t="str">
        <f t="shared" si="99"/>
        <v/>
      </c>
      <c r="DR883" s="1853" t="str">
        <f t="shared" si="100"/>
        <v/>
      </c>
      <c r="DS883" s="1853" t="str">
        <f t="shared" si="101"/>
        <v/>
      </c>
      <c r="DT883" s="1853" t="str">
        <f t="shared" si="102"/>
        <v/>
      </c>
      <c r="DU883" s="1853" t="str">
        <f t="shared" si="103"/>
        <v/>
      </c>
      <c r="DV883" s="1853" t="str">
        <f t="shared" si="104"/>
        <v/>
      </c>
      <c r="DW883" s="1853" t="str">
        <f t="shared" si="105"/>
        <v/>
      </c>
      <c r="DX883" s="1853" t="str">
        <f t="shared" si="106"/>
        <v/>
      </c>
      <c r="DY883" s="1853" t="str">
        <f t="shared" si="107"/>
        <v/>
      </c>
      <c r="DZ883" s="1853" t="str">
        <f t="shared" si="108"/>
        <v/>
      </c>
      <c r="EA883" s="1853" t="str">
        <f t="shared" si="109"/>
        <v/>
      </c>
      <c r="EB883" s="1853" t="str">
        <f t="shared" si="110"/>
        <v/>
      </c>
      <c r="EC883" s="1853" t="str">
        <f t="shared" si="111"/>
        <v/>
      </c>
      <c r="ED883" s="1853" t="str">
        <f t="shared" si="112"/>
        <v/>
      </c>
      <c r="EE883" s="1853" t="str">
        <f t="shared" si="113"/>
        <v/>
      </c>
      <c r="EF883" s="1853" t="str">
        <f t="shared" si="114"/>
        <v/>
      </c>
      <c r="EG883" s="1853" t="str">
        <f t="shared" si="115"/>
        <v/>
      </c>
      <c r="EH883" s="1853" t="str">
        <f t="shared" si="116"/>
        <v/>
      </c>
      <c r="EI883" s="1853" t="str">
        <f t="shared" si="117"/>
        <v/>
      </c>
      <c r="EJ883" s="1853" t="str">
        <f t="shared" si="118"/>
        <v/>
      </c>
      <c r="EK883" s="1853" t="str">
        <f t="shared" si="119"/>
        <v/>
      </c>
      <c r="EL883" s="1853" t="str">
        <f t="shared" si="120"/>
        <v/>
      </c>
      <c r="EM883" s="1853" t="str">
        <f t="shared" si="121"/>
        <v/>
      </c>
      <c r="EN883" s="1853" t="str">
        <f t="shared" si="122"/>
        <v/>
      </c>
      <c r="EO883" s="1853" t="str">
        <f t="shared" si="123"/>
        <v/>
      </c>
      <c r="EP883" s="1853" t="str">
        <f t="shared" si="124"/>
        <v/>
      </c>
      <c r="EQ883" s="1853" t="str">
        <f t="shared" si="125"/>
        <v/>
      </c>
      <c r="ER883" s="1853" t="str">
        <f t="shared" si="126"/>
        <v/>
      </c>
      <c r="ES883" s="1853" t="str">
        <f t="shared" si="127"/>
        <v/>
      </c>
      <c r="ET883" s="1853" t="str">
        <f t="shared" si="128"/>
        <v/>
      </c>
      <c r="EU883" s="1853" t="str">
        <f t="shared" si="129"/>
        <v/>
      </c>
      <c r="EV883" s="1853" t="str">
        <f t="shared" si="130"/>
        <v/>
      </c>
      <c r="EW883" s="1853" t="str">
        <f t="shared" si="131"/>
        <v/>
      </c>
      <c r="EX883" s="1853" t="str">
        <f t="shared" si="132"/>
        <v/>
      </c>
      <c r="EY883" s="1853" t="str">
        <f t="shared" si="133"/>
        <v/>
      </c>
      <c r="EZ883" s="1853" t="str">
        <f t="shared" si="134"/>
        <v/>
      </c>
      <c r="FA883" s="1853" t="str">
        <f t="shared" si="135"/>
        <v/>
      </c>
      <c r="FB883" s="1853" t="str">
        <f t="shared" si="136"/>
        <v/>
      </c>
      <c r="FC883" s="1853" t="str">
        <f t="shared" si="137"/>
        <v/>
      </c>
      <c r="FD883" s="1853" t="str">
        <f t="shared" si="138"/>
        <v/>
      </c>
      <c r="FE883" s="1853" t="str">
        <f t="shared" si="139"/>
        <v/>
      </c>
      <c r="FF883" s="1853" t="str">
        <f t="shared" si="140"/>
        <v/>
      </c>
      <c r="FG883" s="1853" t="str">
        <f t="shared" si="141"/>
        <v/>
      </c>
      <c r="FH883" s="1853" t="str">
        <f t="shared" si="142"/>
        <v/>
      </c>
      <c r="FI883" s="1853" t="str">
        <f t="shared" si="143"/>
        <v/>
      </c>
      <c r="FJ883" s="1853" t="str">
        <f t="shared" si="144"/>
        <v/>
      </c>
      <c r="FK883" s="1853" t="str">
        <f t="shared" si="145"/>
        <v/>
      </c>
      <c r="FL883" s="1853" t="str">
        <f t="shared" si="146"/>
        <v/>
      </c>
      <c r="FM883" s="1853" t="str">
        <f t="shared" si="147"/>
        <v/>
      </c>
      <c r="FN883" s="1853" t="str">
        <f t="shared" si="148"/>
        <v/>
      </c>
      <c r="FO883" s="1853" t="str">
        <f t="shared" si="149"/>
        <v/>
      </c>
      <c r="FP883" s="1853" t="str">
        <f t="shared" si="150"/>
        <v/>
      </c>
      <c r="FQ883" s="1853" t="str">
        <f t="shared" si="151"/>
        <v/>
      </c>
      <c r="FR883" s="1853" t="str">
        <f t="shared" si="152"/>
        <v/>
      </c>
      <c r="FS883" s="1853" t="str">
        <f t="shared" si="153"/>
        <v/>
      </c>
      <c r="FT883" s="1853" t="str">
        <f t="shared" si="154"/>
        <v/>
      </c>
      <c r="FU883" s="1853" t="str">
        <f t="shared" si="155"/>
        <v/>
      </c>
      <c r="FV883" s="1853" t="str">
        <f t="shared" si="156"/>
        <v/>
      </c>
      <c r="FW883" s="1853" t="str">
        <f t="shared" si="157"/>
        <v/>
      </c>
      <c r="FX883" s="1853" t="str">
        <f t="shared" si="158"/>
        <v/>
      </c>
      <c r="FY883" s="1853" t="str">
        <f t="shared" si="159"/>
        <v/>
      </c>
      <c r="FZ883" s="1853" t="str">
        <f t="shared" si="160"/>
        <v/>
      </c>
      <c r="GA883" s="1853" t="str">
        <f t="shared" si="161"/>
        <v/>
      </c>
      <c r="GB883" s="1853" t="str">
        <f t="shared" si="162"/>
        <v/>
      </c>
      <c r="GC883" s="1853" t="str">
        <f t="shared" si="163"/>
        <v/>
      </c>
      <c r="GD883" s="1853" t="str">
        <f t="shared" si="164"/>
        <v/>
      </c>
      <c r="GE883" s="1853" t="str">
        <f t="shared" si="165"/>
        <v/>
      </c>
      <c r="GF883" s="1853" t="str">
        <f t="shared" si="166"/>
        <v/>
      </c>
      <c r="GG883" s="1853" t="str">
        <f t="shared" si="167"/>
        <v/>
      </c>
      <c r="GH883" s="1853" t="str">
        <f t="shared" si="168"/>
        <v/>
      </c>
      <c r="GI883" s="1853" t="str">
        <f t="shared" si="169"/>
        <v/>
      </c>
      <c r="GJ883" s="1853" t="str">
        <f t="shared" si="170"/>
        <v/>
      </c>
      <c r="GK883" s="1853" t="str">
        <f t="shared" si="171"/>
        <v/>
      </c>
      <c r="GL883" s="1853" t="str">
        <f t="shared" si="172"/>
        <v/>
      </c>
      <c r="GM883" s="1853" t="str">
        <f t="shared" si="173"/>
        <v/>
      </c>
      <c r="GN883" s="1853" t="str">
        <f t="shared" si="174"/>
        <v/>
      </c>
      <c r="GO883" s="1853" t="str">
        <f t="shared" si="175"/>
        <v/>
      </c>
      <c r="GP883" s="1853" t="str">
        <f t="shared" si="176"/>
        <v/>
      </c>
      <c r="GQ883" s="1853" t="str">
        <f t="shared" si="177"/>
        <v/>
      </c>
      <c r="GR883" s="1853" t="str">
        <f t="shared" si="178"/>
        <v/>
      </c>
      <c r="GS883" s="1853" t="str">
        <f t="shared" si="179"/>
        <v/>
      </c>
      <c r="GT883" s="1853" t="str">
        <f t="shared" si="180"/>
        <v/>
      </c>
      <c r="GU883" s="1853" t="str">
        <f t="shared" si="181"/>
        <v/>
      </c>
      <c r="GV883" s="1853" t="str">
        <f t="shared" si="182"/>
        <v/>
      </c>
      <c r="GW883" s="1853" t="str">
        <f t="shared" si="183"/>
        <v/>
      </c>
      <c r="GX883" s="1853" t="str">
        <f t="shared" si="184"/>
        <v/>
      </c>
      <c r="GY883" s="1853" t="str">
        <f t="shared" si="185"/>
        <v/>
      </c>
      <c r="GZ883" s="1853" t="str">
        <f t="shared" si="186"/>
        <v/>
      </c>
      <c r="HA883" s="1853" t="str">
        <f t="shared" si="187"/>
        <v/>
      </c>
      <c r="HB883" s="1853" t="str">
        <f t="shared" si="188"/>
        <v/>
      </c>
      <c r="HC883" s="1853" t="str">
        <f t="shared" si="189"/>
        <v/>
      </c>
      <c r="HD883" s="1853" t="str">
        <f t="shared" si="190"/>
        <v/>
      </c>
      <c r="HE883" s="1853" t="str">
        <f t="shared" si="191"/>
        <v/>
      </c>
      <c r="HF883" s="1853" t="str">
        <f t="shared" si="192"/>
        <v/>
      </c>
      <c r="HG883" s="1853" t="str">
        <f t="shared" si="193"/>
        <v/>
      </c>
      <c r="HH883" s="1853" t="str">
        <f t="shared" si="194"/>
        <v/>
      </c>
      <c r="HI883" s="1853" t="str">
        <f t="shared" si="195"/>
        <v/>
      </c>
      <c r="HJ883" s="1853" t="str">
        <f t="shared" si="196"/>
        <v/>
      </c>
      <c r="HK883" s="1853" t="str">
        <f t="shared" si="197"/>
        <v/>
      </c>
      <c r="HL883" s="1853" t="str">
        <f t="shared" si="198"/>
        <v/>
      </c>
      <c r="HM883" s="1853" t="str">
        <f t="shared" si="199"/>
        <v/>
      </c>
      <c r="HN883" s="1853" t="str">
        <f t="shared" si="200"/>
        <v/>
      </c>
      <c r="HO883" s="1853" t="str">
        <f t="shared" si="201"/>
        <v/>
      </c>
      <c r="HP883" s="1853" t="str">
        <f t="shared" si="202"/>
        <v/>
      </c>
      <c r="HQ883" s="1853" t="str">
        <f t="shared" si="203"/>
        <v/>
      </c>
      <c r="HR883" s="1853" t="str">
        <f t="shared" si="204"/>
        <v/>
      </c>
      <c r="HS883" s="1853" t="str">
        <f t="shared" si="205"/>
        <v/>
      </c>
      <c r="HT883" s="1853" t="str">
        <f t="shared" si="206"/>
        <v/>
      </c>
      <c r="HU883" s="1853" t="str">
        <f t="shared" si="207"/>
        <v/>
      </c>
      <c r="HV883" s="1853" t="str">
        <f t="shared" si="208"/>
        <v/>
      </c>
      <c r="HW883" s="1853" t="str">
        <f t="shared" si="209"/>
        <v/>
      </c>
      <c r="HX883" s="1853" t="str">
        <f t="shared" si="210"/>
        <v/>
      </c>
      <c r="HY883" s="1853" t="str">
        <f t="shared" si="211"/>
        <v/>
      </c>
      <c r="HZ883" s="2141" t="str">
        <f t="shared" si="212"/>
        <v/>
      </c>
      <c r="IA883" s="2141" t="str">
        <f t="shared" si="213"/>
        <v/>
      </c>
      <c r="IB883" s="2141" t="str">
        <f t="shared" si="214"/>
        <v/>
      </c>
      <c r="IC883" s="2141" t="str">
        <f t="shared" si="215"/>
        <v/>
      </c>
      <c r="ID883" s="2141" t="str">
        <f t="shared" si="216"/>
        <v/>
      </c>
      <c r="IE883" s="2141" t="str">
        <f t="shared" si="217"/>
        <v/>
      </c>
      <c r="IF883" s="2141" t="str">
        <f t="shared" si="218"/>
        <v/>
      </c>
      <c r="IG883" s="2141" t="str">
        <f t="shared" si="219"/>
        <v/>
      </c>
      <c r="IH883" s="2141" t="str">
        <f t="shared" si="220"/>
        <v/>
      </c>
      <c r="II883" s="2141" t="str">
        <f t="shared" si="221"/>
        <v/>
      </c>
      <c r="IJ883" s="2141" t="str">
        <f t="shared" si="222"/>
        <v/>
      </c>
      <c r="IK883" s="2141" t="str">
        <f t="shared" si="223"/>
        <v/>
      </c>
      <c r="IL883" s="2141" t="str">
        <f t="shared" si="224"/>
        <v/>
      </c>
      <c r="IM883" s="2141" t="str">
        <f t="shared" si="225"/>
        <v/>
      </c>
      <c r="IN883" s="2141" t="str">
        <f t="shared" si="226"/>
        <v/>
      </c>
      <c r="IO883" s="2141" t="str">
        <f t="shared" si="227"/>
        <v/>
      </c>
      <c r="IP883" s="2141" t="str">
        <f t="shared" si="228"/>
        <v/>
      </c>
      <c r="IQ883" s="2141" t="str">
        <f t="shared" si="229"/>
        <v/>
      </c>
      <c r="IR883" s="2141" t="str">
        <f t="shared" si="230"/>
        <v/>
      </c>
      <c r="IS883" s="2141" t="str">
        <f t="shared" si="231"/>
        <v/>
      </c>
      <c r="IT883" s="2141" t="str">
        <f t="shared" si="232"/>
        <v/>
      </c>
      <c r="IU883" s="2141" t="str">
        <f t="shared" si="233"/>
        <v/>
      </c>
      <c r="IV883" s="2141" t="str">
        <f t="shared" si="234"/>
        <v/>
      </c>
      <c r="IW883" s="2141" t="str">
        <f t="shared" si="235"/>
        <v/>
      </c>
      <c r="IX883" s="2141" t="str">
        <f t="shared" si="236"/>
        <v/>
      </c>
      <c r="IY883" s="2141" t="str">
        <f t="shared" si="237"/>
        <v/>
      </c>
      <c r="IZ883" s="2141" t="str">
        <f t="shared" si="238"/>
        <v/>
      </c>
      <c r="JA883" s="2141" t="str">
        <f t="shared" si="239"/>
        <v/>
      </c>
      <c r="JB883" s="2141" t="str">
        <f t="shared" si="240"/>
        <v/>
      </c>
      <c r="JC883" s="2141" t="str">
        <f t="shared" si="241"/>
        <v/>
      </c>
      <c r="JD883" s="2141" t="str">
        <f t="shared" si="242"/>
        <v/>
      </c>
      <c r="JE883" s="2141" t="str">
        <f t="shared" si="243"/>
        <v/>
      </c>
      <c r="JF883" s="2141" t="str">
        <f t="shared" si="244"/>
        <v/>
      </c>
      <c r="JG883" s="2141" t="str">
        <f t="shared" si="245"/>
        <v/>
      </c>
      <c r="JH883" s="2141" t="str">
        <f t="shared" si="246"/>
        <v/>
      </c>
      <c r="JI883" s="2141" t="str">
        <f t="shared" si="247"/>
        <v/>
      </c>
      <c r="JJ883" s="2141" t="str">
        <f t="shared" si="248"/>
        <v/>
      </c>
      <c r="JK883" s="2141" t="str">
        <f t="shared" si="249"/>
        <v/>
      </c>
      <c r="JL883" s="2141" t="str">
        <f t="shared" si="250"/>
        <v/>
      </c>
      <c r="JM883" s="2141" t="str">
        <f t="shared" si="251"/>
        <v/>
      </c>
      <c r="JN883" s="2141" t="str">
        <f t="shared" si="252"/>
        <v/>
      </c>
      <c r="JO883" s="2141" t="str">
        <f t="shared" si="253"/>
        <v/>
      </c>
      <c r="JP883" s="2141" t="str">
        <f t="shared" si="254"/>
        <v/>
      </c>
      <c r="JQ883" s="2141" t="str">
        <f t="shared" si="255"/>
        <v/>
      </c>
      <c r="JR883" s="2141" t="str">
        <f t="shared" si="256"/>
        <v/>
      </c>
      <c r="JS883" s="2141" t="str">
        <f t="shared" si="257"/>
        <v/>
      </c>
      <c r="JT883" s="2141" t="str">
        <f t="shared" si="258"/>
        <v/>
      </c>
      <c r="JU883" s="2141" t="str">
        <f t="shared" si="259"/>
        <v/>
      </c>
      <c r="JV883" s="2141" t="str">
        <f t="shared" si="260"/>
        <v/>
      </c>
      <c r="JW883" s="2141" t="str">
        <f t="shared" si="261"/>
        <v/>
      </c>
      <c r="JX883" s="2141" t="str">
        <f t="shared" si="262"/>
        <v/>
      </c>
      <c r="JY883" s="2141" t="str">
        <f t="shared" si="263"/>
        <v/>
      </c>
      <c r="JZ883" s="2141" t="str">
        <f t="shared" si="264"/>
        <v/>
      </c>
      <c r="KA883" s="2141" t="str">
        <f t="shared" si="265"/>
        <v/>
      </c>
      <c r="KB883" s="2141" t="str">
        <f t="shared" si="266"/>
        <v/>
      </c>
      <c r="KC883" s="2141" t="str">
        <f t="shared" si="267"/>
        <v/>
      </c>
      <c r="KD883" s="2141" t="str">
        <f t="shared" si="268"/>
        <v/>
      </c>
      <c r="KE883" s="2141" t="str">
        <f t="shared" si="269"/>
        <v/>
      </c>
      <c r="KF883" s="2141" t="str">
        <f t="shared" si="270"/>
        <v/>
      </c>
      <c r="KG883" s="2141" t="str">
        <f t="shared" si="271"/>
        <v/>
      </c>
      <c r="KH883" s="2141" t="str">
        <f t="shared" si="272"/>
        <v/>
      </c>
      <c r="KI883" s="2141" t="str">
        <f t="shared" si="273"/>
        <v/>
      </c>
      <c r="KJ883" s="2141" t="str">
        <f t="shared" si="274"/>
        <v/>
      </c>
      <c r="KK883" s="2141" t="str">
        <f t="shared" si="275"/>
        <v/>
      </c>
      <c r="KL883" s="2141" t="str">
        <f t="shared" si="276"/>
        <v/>
      </c>
      <c r="KM883" s="2141" t="str">
        <f t="shared" si="277"/>
        <v/>
      </c>
      <c r="KN883" s="2141" t="str">
        <f t="shared" si="278"/>
        <v/>
      </c>
      <c r="KO883" s="2141" t="str">
        <f t="shared" si="279"/>
        <v/>
      </c>
      <c r="KP883" s="2141" t="str">
        <f t="shared" si="280"/>
        <v/>
      </c>
      <c r="KQ883" s="2141" t="str">
        <f t="shared" si="281"/>
        <v/>
      </c>
      <c r="KR883" s="2141" t="str">
        <f t="shared" si="282"/>
        <v/>
      </c>
      <c r="KS883" s="2141" t="str">
        <f t="shared" si="283"/>
        <v/>
      </c>
      <c r="KT883" s="2141" t="str">
        <f t="shared" si="284"/>
        <v/>
      </c>
      <c r="KU883" s="2141" t="str">
        <f t="shared" si="285"/>
        <v/>
      </c>
      <c r="KV883" s="2141" t="str">
        <f t="shared" si="286"/>
        <v/>
      </c>
      <c r="KW883" s="2141" t="str">
        <f t="shared" si="287"/>
        <v/>
      </c>
      <c r="KX883" s="2141" t="str">
        <f t="shared" si="288"/>
        <v/>
      </c>
      <c r="KY883" s="2141" t="str">
        <f t="shared" si="289"/>
        <v/>
      </c>
      <c r="KZ883" s="2141" t="str">
        <f t="shared" si="290"/>
        <v/>
      </c>
      <c r="LA883" s="2141" t="str">
        <f t="shared" si="291"/>
        <v/>
      </c>
      <c r="LB883" s="2141" t="str">
        <f t="shared" si="292"/>
        <v/>
      </c>
      <c r="LC883" s="2141" t="str">
        <f t="shared" si="293"/>
        <v/>
      </c>
      <c r="LD883" s="2141" t="str">
        <f t="shared" si="294"/>
        <v/>
      </c>
      <c r="LE883" s="2141" t="str">
        <f t="shared" si="295"/>
        <v/>
      </c>
      <c r="LF883" s="2141" t="str">
        <f t="shared" si="296"/>
        <v/>
      </c>
      <c r="LG883" s="2052" t="str">
        <f t="shared" si="297"/>
        <v/>
      </c>
      <c r="LH883" s="2052" t="str">
        <f t="shared" si="298"/>
        <v/>
      </c>
      <c r="LI883" s="2052" t="str">
        <f t="shared" si="299"/>
        <v/>
      </c>
      <c r="LJ883" s="2052" t="str">
        <f t="shared" si="300"/>
        <v/>
      </c>
      <c r="LK883" s="2052" t="str">
        <f t="shared" si="301"/>
        <v/>
      </c>
      <c r="LL883" s="1853" t="str">
        <f t="shared" si="302"/>
        <v/>
      </c>
      <c r="LM883" s="1853" t="str">
        <f t="shared" si="303"/>
        <v/>
      </c>
      <c r="LN883" s="1853" t="str">
        <f t="shared" si="304"/>
        <v/>
      </c>
      <c r="LO883" s="1853" t="str">
        <f t="shared" si="305"/>
        <v/>
      </c>
      <c r="LP883" s="1853" t="str">
        <f t="shared" si="306"/>
        <v/>
      </c>
      <c r="LQ883" s="1853" t="str">
        <f t="shared" si="307"/>
        <v/>
      </c>
      <c r="LR883" s="1853" t="str">
        <f t="shared" si="308"/>
        <v/>
      </c>
      <c r="LS883" s="1853" t="str">
        <f t="shared" si="309"/>
        <v/>
      </c>
      <c r="LT883" s="1853" t="str">
        <f t="shared" si="310"/>
        <v/>
      </c>
      <c r="LU883" s="1853" t="str">
        <f t="shared" si="311"/>
        <v/>
      </c>
      <c r="LV883" s="1853" t="str">
        <f t="shared" si="312"/>
        <v/>
      </c>
      <c r="LW883" s="1853" t="str">
        <f t="shared" si="313"/>
        <v/>
      </c>
      <c r="LX883" s="1853" t="str">
        <f t="shared" si="314"/>
        <v/>
      </c>
      <c r="LY883" s="1853" t="str">
        <f t="shared" si="315"/>
        <v/>
      </c>
      <c r="LZ883" s="1853" t="str">
        <f t="shared" si="316"/>
        <v/>
      </c>
      <c r="MA883" s="1853" t="str">
        <f t="shared" si="317"/>
        <v/>
      </c>
      <c r="MB883" s="1853" t="str">
        <f t="shared" si="318"/>
        <v/>
      </c>
      <c r="MC883" s="1853" t="str">
        <f t="shared" si="319"/>
        <v/>
      </c>
      <c r="MD883" s="1853" t="str">
        <f t="shared" si="320"/>
        <v/>
      </c>
      <c r="ME883" s="1853" t="str">
        <f t="shared" si="321"/>
        <v/>
      </c>
      <c r="MF883" s="2052">
        <f t="shared" si="328"/>
        <v>0</v>
      </c>
      <c r="MG883" s="2052">
        <f t="shared" si="329"/>
        <v>0</v>
      </c>
      <c r="MH883" s="2052">
        <f t="shared" si="330"/>
        <v>0</v>
      </c>
      <c r="MI883" s="2052">
        <f t="shared" si="331"/>
        <v>0</v>
      </c>
      <c r="MJ883" s="2052">
        <f t="shared" si="332"/>
        <v>0</v>
      </c>
      <c r="MK883" s="2052">
        <f t="shared" si="333"/>
        <v>0</v>
      </c>
      <c r="ML883" s="2052">
        <f t="shared" si="334"/>
        <v>0</v>
      </c>
      <c r="MM883" s="2052">
        <f t="shared" si="335"/>
        <v>0</v>
      </c>
      <c r="MN883" s="2052">
        <f t="shared" si="336"/>
        <v>0</v>
      </c>
      <c r="MO883" s="2052">
        <f t="shared" si="337"/>
        <v>0</v>
      </c>
      <c r="MP883" s="2052">
        <f t="shared" si="322"/>
        <v>0</v>
      </c>
      <c r="MQ883" s="2052">
        <f t="shared" si="323"/>
        <v>0</v>
      </c>
      <c r="MR883" s="2052">
        <f t="shared" si="324"/>
        <v>0</v>
      </c>
      <c r="MS883" s="2052">
        <f t="shared" si="325"/>
        <v>0</v>
      </c>
      <c r="MT883" s="2052">
        <f t="shared" si="326"/>
        <v>0</v>
      </c>
      <c r="NP883" s="1925" t="s">
        <v>6749</v>
      </c>
    </row>
    <row r="884" spans="1:380" s="1853" customFormat="1" ht="13.9" customHeight="1">
      <c r="A884" s="2109" t="str">
        <f t="shared" si="327"/>
        <v/>
      </c>
      <c r="B884" s="2131">
        <f>'Part VI-Revenues &amp; Expenses'!B44</f>
        <v>0</v>
      </c>
      <c r="C884" s="2132">
        <f>'Part VI-Revenues &amp; Expenses'!C44</f>
        <v>0</v>
      </c>
      <c r="D884" s="2133">
        <f>'Part VI-Revenues &amp; Expenses'!D44</f>
        <v>0</v>
      </c>
      <c r="E884" s="2134">
        <f>'Part VI-Revenues &amp; Expenses'!E44</f>
        <v>0</v>
      </c>
      <c r="F884" s="2134">
        <f>'Part VI-Revenues &amp; Expenses'!F44</f>
        <v>0</v>
      </c>
      <c r="G884" s="2134">
        <f>'Part VI-Revenues &amp; Expenses'!G44</f>
        <v>0</v>
      </c>
      <c r="H884" s="2134">
        <f>'Part VI-Revenues &amp; Expenses'!H44</f>
        <v>0</v>
      </c>
      <c r="I884" s="2134">
        <f>'Part VI-Revenues &amp; Expenses'!I44</f>
        <v>0</v>
      </c>
      <c r="J884" s="2134">
        <f>'Part VI-Revenues &amp; Expenses'!J44</f>
        <v>0</v>
      </c>
      <c r="K884" s="2135">
        <f>'Part VI-Revenues &amp; Expenses'!K44</f>
        <v>0</v>
      </c>
      <c r="L884" s="2136">
        <f t="shared" si="0"/>
        <v>0</v>
      </c>
      <c r="M884" s="2136">
        <f t="shared" si="1"/>
        <v>0</v>
      </c>
      <c r="N884" s="1917">
        <f>'Part VI-Revenues &amp; Expenses'!N44</f>
        <v>0</v>
      </c>
      <c r="O884" s="2137">
        <f>'Part VI-Revenues &amp; Expenses'!O44</f>
        <v>0</v>
      </c>
      <c r="P884" s="1917">
        <f>'Part VI-Revenues &amp; Expenses'!P44</f>
        <v>0</v>
      </c>
      <c r="Q884" s="2138">
        <f>'Part VI-Revenues &amp; Expenses'!Q44</f>
        <v>0</v>
      </c>
      <c r="R884" s="2139"/>
      <c r="S884" s="2140"/>
      <c r="T884" s="2044"/>
      <c r="U884" s="2044"/>
      <c r="V884" s="2044"/>
      <c r="W884" s="2044"/>
      <c r="X884" s="1853" t="str">
        <f t="shared" si="2"/>
        <v/>
      </c>
      <c r="Y884" s="1853" t="str">
        <f t="shared" si="3"/>
        <v/>
      </c>
      <c r="Z884" s="1853" t="str">
        <f t="shared" si="4"/>
        <v/>
      </c>
      <c r="AA884" s="1853" t="str">
        <f t="shared" si="5"/>
        <v/>
      </c>
      <c r="AB884" s="1853" t="str">
        <f t="shared" si="6"/>
        <v/>
      </c>
      <c r="AC884" s="1853" t="str">
        <f t="shared" si="7"/>
        <v/>
      </c>
      <c r="AD884" s="1853" t="str">
        <f t="shared" si="8"/>
        <v/>
      </c>
      <c r="AE884" s="1853" t="str">
        <f t="shared" si="9"/>
        <v/>
      </c>
      <c r="AF884" s="1853" t="str">
        <f t="shared" si="10"/>
        <v/>
      </c>
      <c r="AG884" s="1853" t="str">
        <f t="shared" si="11"/>
        <v/>
      </c>
      <c r="AH884" s="1853" t="str">
        <f t="shared" si="12"/>
        <v/>
      </c>
      <c r="AI884" s="1853" t="str">
        <f t="shared" si="13"/>
        <v/>
      </c>
      <c r="AJ884" s="1853" t="str">
        <f t="shared" si="14"/>
        <v/>
      </c>
      <c r="AK884" s="1853" t="str">
        <f t="shared" si="15"/>
        <v/>
      </c>
      <c r="AL884" s="1853" t="str">
        <f t="shared" si="16"/>
        <v/>
      </c>
      <c r="AM884" s="1853" t="str">
        <f t="shared" si="17"/>
        <v/>
      </c>
      <c r="AN884" s="1853" t="str">
        <f t="shared" si="18"/>
        <v/>
      </c>
      <c r="AO884" s="1853" t="str">
        <f t="shared" si="19"/>
        <v/>
      </c>
      <c r="AP884" s="1853" t="str">
        <f t="shared" si="20"/>
        <v/>
      </c>
      <c r="AQ884" s="1853" t="str">
        <f t="shared" si="21"/>
        <v/>
      </c>
      <c r="AR884" s="1853" t="str">
        <f t="shared" si="22"/>
        <v/>
      </c>
      <c r="AS884" s="1853" t="str">
        <f t="shared" si="23"/>
        <v/>
      </c>
      <c r="AT884" s="1853" t="str">
        <f t="shared" si="24"/>
        <v/>
      </c>
      <c r="AU884" s="1853" t="str">
        <f t="shared" si="25"/>
        <v/>
      </c>
      <c r="AV884" s="1853" t="str">
        <f t="shared" si="26"/>
        <v/>
      </c>
      <c r="AW884" s="1853" t="str">
        <f t="shared" si="27"/>
        <v/>
      </c>
      <c r="AX884" s="1853" t="str">
        <f t="shared" si="28"/>
        <v/>
      </c>
      <c r="AY884" s="1853" t="str">
        <f t="shared" si="29"/>
        <v/>
      </c>
      <c r="AZ884" s="1853" t="str">
        <f t="shared" si="30"/>
        <v/>
      </c>
      <c r="BA884" s="1853" t="str">
        <f t="shared" si="31"/>
        <v/>
      </c>
      <c r="BB884" s="1853" t="str">
        <f t="shared" si="32"/>
        <v/>
      </c>
      <c r="BC884" s="1853" t="str">
        <f t="shared" si="33"/>
        <v/>
      </c>
      <c r="BD884" s="1853" t="str">
        <f t="shared" si="34"/>
        <v/>
      </c>
      <c r="BE884" s="1853" t="str">
        <f t="shared" si="35"/>
        <v/>
      </c>
      <c r="BF884" s="1853" t="str">
        <f t="shared" si="36"/>
        <v/>
      </c>
      <c r="BG884" s="1853" t="str">
        <f t="shared" si="37"/>
        <v/>
      </c>
      <c r="BH884" s="1853" t="str">
        <f t="shared" si="38"/>
        <v/>
      </c>
      <c r="BI884" s="1853" t="str">
        <f t="shared" si="39"/>
        <v/>
      </c>
      <c r="BJ884" s="1853" t="str">
        <f t="shared" si="40"/>
        <v/>
      </c>
      <c r="BK884" s="1853" t="str">
        <f t="shared" si="41"/>
        <v/>
      </c>
      <c r="BL884" s="1853" t="str">
        <f t="shared" si="42"/>
        <v/>
      </c>
      <c r="BM884" s="1853" t="str">
        <f t="shared" si="43"/>
        <v/>
      </c>
      <c r="BN884" s="1853" t="str">
        <f t="shared" si="44"/>
        <v/>
      </c>
      <c r="BO884" s="1853" t="str">
        <f t="shared" si="45"/>
        <v/>
      </c>
      <c r="BP884" s="1853" t="str">
        <f t="shared" si="46"/>
        <v/>
      </c>
      <c r="BQ884" s="1853" t="str">
        <f t="shared" si="47"/>
        <v/>
      </c>
      <c r="BR884" s="1853" t="str">
        <f t="shared" si="48"/>
        <v/>
      </c>
      <c r="BS884" s="1853" t="str">
        <f t="shared" si="49"/>
        <v/>
      </c>
      <c r="BT884" s="1853" t="str">
        <f t="shared" si="50"/>
        <v/>
      </c>
      <c r="BU884" s="1853" t="str">
        <f t="shared" si="51"/>
        <v/>
      </c>
      <c r="BV884" s="1853" t="str">
        <f t="shared" si="52"/>
        <v/>
      </c>
      <c r="BW884" s="1853" t="str">
        <f t="shared" si="53"/>
        <v/>
      </c>
      <c r="BX884" s="1853" t="str">
        <f t="shared" si="54"/>
        <v/>
      </c>
      <c r="BY884" s="1853" t="str">
        <f t="shared" si="55"/>
        <v/>
      </c>
      <c r="BZ884" s="1853" t="str">
        <f t="shared" si="56"/>
        <v/>
      </c>
      <c r="CA884" s="1853" t="str">
        <f t="shared" si="57"/>
        <v/>
      </c>
      <c r="CB884" s="1853" t="str">
        <f t="shared" si="58"/>
        <v/>
      </c>
      <c r="CC884" s="1853" t="str">
        <f t="shared" si="59"/>
        <v/>
      </c>
      <c r="CD884" s="1853" t="str">
        <f t="shared" si="60"/>
        <v/>
      </c>
      <c r="CE884" s="1853" t="str">
        <f t="shared" si="61"/>
        <v/>
      </c>
      <c r="CF884" s="1853" t="str">
        <f t="shared" si="62"/>
        <v/>
      </c>
      <c r="CG884" s="1853" t="str">
        <f t="shared" si="63"/>
        <v/>
      </c>
      <c r="CH884" s="1853" t="str">
        <f t="shared" si="64"/>
        <v/>
      </c>
      <c r="CI884" s="1853" t="str">
        <f t="shared" si="65"/>
        <v/>
      </c>
      <c r="CJ884" s="1853" t="str">
        <f t="shared" si="66"/>
        <v/>
      </c>
      <c r="CK884" s="1853" t="str">
        <f t="shared" si="67"/>
        <v/>
      </c>
      <c r="CL884" s="1853" t="str">
        <f t="shared" si="68"/>
        <v/>
      </c>
      <c r="CM884" s="1853" t="str">
        <f t="shared" si="69"/>
        <v/>
      </c>
      <c r="CN884" s="1853" t="str">
        <f t="shared" si="70"/>
        <v/>
      </c>
      <c r="CO884" s="1853" t="str">
        <f t="shared" si="71"/>
        <v/>
      </c>
      <c r="CP884" s="1853" t="str">
        <f t="shared" si="72"/>
        <v/>
      </c>
      <c r="CQ884" s="1853" t="str">
        <f t="shared" si="73"/>
        <v/>
      </c>
      <c r="CR884" s="1853" t="str">
        <f t="shared" si="74"/>
        <v/>
      </c>
      <c r="CS884" s="1853" t="str">
        <f t="shared" si="75"/>
        <v/>
      </c>
      <c r="CT884" s="1853" t="str">
        <f t="shared" si="76"/>
        <v/>
      </c>
      <c r="CU884" s="1853" t="str">
        <f t="shared" si="77"/>
        <v/>
      </c>
      <c r="CV884" s="1853" t="str">
        <f t="shared" si="78"/>
        <v/>
      </c>
      <c r="CW884" s="1853" t="str">
        <f t="shared" si="79"/>
        <v/>
      </c>
      <c r="CX884" s="1853" t="str">
        <f t="shared" si="80"/>
        <v/>
      </c>
      <c r="CY884" s="1853" t="str">
        <f t="shared" si="81"/>
        <v/>
      </c>
      <c r="CZ884" s="1853" t="str">
        <f t="shared" si="82"/>
        <v/>
      </c>
      <c r="DA884" s="1853" t="str">
        <f t="shared" si="83"/>
        <v/>
      </c>
      <c r="DB884" s="1853" t="str">
        <f t="shared" si="84"/>
        <v/>
      </c>
      <c r="DC884" s="1853" t="str">
        <f t="shared" si="85"/>
        <v/>
      </c>
      <c r="DD884" s="1853" t="str">
        <f t="shared" si="86"/>
        <v/>
      </c>
      <c r="DE884" s="1853" t="str">
        <f t="shared" si="87"/>
        <v/>
      </c>
      <c r="DF884" s="1853" t="str">
        <f t="shared" si="88"/>
        <v/>
      </c>
      <c r="DG884" s="1853" t="str">
        <f t="shared" si="89"/>
        <v/>
      </c>
      <c r="DH884" s="1853" t="str">
        <f t="shared" si="90"/>
        <v/>
      </c>
      <c r="DI884" s="1853" t="str">
        <f t="shared" si="91"/>
        <v/>
      </c>
      <c r="DJ884" s="1853" t="str">
        <f t="shared" si="92"/>
        <v/>
      </c>
      <c r="DK884" s="1853" t="str">
        <f t="shared" si="93"/>
        <v/>
      </c>
      <c r="DL884" s="1853" t="str">
        <f t="shared" si="94"/>
        <v/>
      </c>
      <c r="DM884" s="1853" t="str">
        <f t="shared" si="95"/>
        <v/>
      </c>
      <c r="DN884" s="1853" t="str">
        <f t="shared" si="96"/>
        <v/>
      </c>
      <c r="DO884" s="1853" t="str">
        <f t="shared" si="97"/>
        <v/>
      </c>
      <c r="DP884" s="1853" t="str">
        <f t="shared" si="98"/>
        <v/>
      </c>
      <c r="DQ884" s="1853" t="str">
        <f t="shared" si="99"/>
        <v/>
      </c>
      <c r="DR884" s="1853" t="str">
        <f t="shared" si="100"/>
        <v/>
      </c>
      <c r="DS884" s="1853" t="str">
        <f t="shared" si="101"/>
        <v/>
      </c>
      <c r="DT884" s="1853" t="str">
        <f t="shared" si="102"/>
        <v/>
      </c>
      <c r="DU884" s="1853" t="str">
        <f t="shared" si="103"/>
        <v/>
      </c>
      <c r="DV884" s="1853" t="str">
        <f t="shared" si="104"/>
        <v/>
      </c>
      <c r="DW884" s="1853" t="str">
        <f t="shared" si="105"/>
        <v/>
      </c>
      <c r="DX884" s="1853" t="str">
        <f t="shared" si="106"/>
        <v/>
      </c>
      <c r="DY884" s="1853" t="str">
        <f t="shared" si="107"/>
        <v/>
      </c>
      <c r="DZ884" s="1853" t="str">
        <f t="shared" si="108"/>
        <v/>
      </c>
      <c r="EA884" s="1853" t="str">
        <f t="shared" si="109"/>
        <v/>
      </c>
      <c r="EB884" s="1853" t="str">
        <f t="shared" si="110"/>
        <v/>
      </c>
      <c r="EC884" s="1853" t="str">
        <f t="shared" si="111"/>
        <v/>
      </c>
      <c r="ED884" s="1853" t="str">
        <f t="shared" si="112"/>
        <v/>
      </c>
      <c r="EE884" s="1853" t="str">
        <f t="shared" si="113"/>
        <v/>
      </c>
      <c r="EF884" s="1853" t="str">
        <f t="shared" si="114"/>
        <v/>
      </c>
      <c r="EG884" s="1853" t="str">
        <f t="shared" si="115"/>
        <v/>
      </c>
      <c r="EH884" s="1853" t="str">
        <f t="shared" si="116"/>
        <v/>
      </c>
      <c r="EI884" s="1853" t="str">
        <f t="shared" si="117"/>
        <v/>
      </c>
      <c r="EJ884" s="1853" t="str">
        <f t="shared" si="118"/>
        <v/>
      </c>
      <c r="EK884" s="1853" t="str">
        <f t="shared" si="119"/>
        <v/>
      </c>
      <c r="EL884" s="1853" t="str">
        <f t="shared" si="120"/>
        <v/>
      </c>
      <c r="EM884" s="1853" t="str">
        <f t="shared" si="121"/>
        <v/>
      </c>
      <c r="EN884" s="1853" t="str">
        <f t="shared" si="122"/>
        <v/>
      </c>
      <c r="EO884" s="1853" t="str">
        <f t="shared" si="123"/>
        <v/>
      </c>
      <c r="EP884" s="1853" t="str">
        <f t="shared" si="124"/>
        <v/>
      </c>
      <c r="EQ884" s="1853" t="str">
        <f t="shared" si="125"/>
        <v/>
      </c>
      <c r="ER884" s="1853" t="str">
        <f t="shared" si="126"/>
        <v/>
      </c>
      <c r="ES884" s="1853" t="str">
        <f t="shared" si="127"/>
        <v/>
      </c>
      <c r="ET884" s="1853" t="str">
        <f t="shared" si="128"/>
        <v/>
      </c>
      <c r="EU884" s="1853" t="str">
        <f t="shared" si="129"/>
        <v/>
      </c>
      <c r="EV884" s="1853" t="str">
        <f t="shared" si="130"/>
        <v/>
      </c>
      <c r="EW884" s="1853" t="str">
        <f t="shared" si="131"/>
        <v/>
      </c>
      <c r="EX884" s="1853" t="str">
        <f t="shared" si="132"/>
        <v/>
      </c>
      <c r="EY884" s="1853" t="str">
        <f t="shared" si="133"/>
        <v/>
      </c>
      <c r="EZ884" s="1853" t="str">
        <f t="shared" si="134"/>
        <v/>
      </c>
      <c r="FA884" s="1853" t="str">
        <f t="shared" si="135"/>
        <v/>
      </c>
      <c r="FB884" s="1853" t="str">
        <f t="shared" si="136"/>
        <v/>
      </c>
      <c r="FC884" s="1853" t="str">
        <f t="shared" si="137"/>
        <v/>
      </c>
      <c r="FD884" s="1853" t="str">
        <f t="shared" si="138"/>
        <v/>
      </c>
      <c r="FE884" s="1853" t="str">
        <f t="shared" si="139"/>
        <v/>
      </c>
      <c r="FF884" s="1853" t="str">
        <f t="shared" si="140"/>
        <v/>
      </c>
      <c r="FG884" s="1853" t="str">
        <f t="shared" si="141"/>
        <v/>
      </c>
      <c r="FH884" s="1853" t="str">
        <f t="shared" si="142"/>
        <v/>
      </c>
      <c r="FI884" s="1853" t="str">
        <f t="shared" si="143"/>
        <v/>
      </c>
      <c r="FJ884" s="1853" t="str">
        <f t="shared" si="144"/>
        <v/>
      </c>
      <c r="FK884" s="1853" t="str">
        <f t="shared" si="145"/>
        <v/>
      </c>
      <c r="FL884" s="1853" t="str">
        <f t="shared" si="146"/>
        <v/>
      </c>
      <c r="FM884" s="1853" t="str">
        <f t="shared" si="147"/>
        <v/>
      </c>
      <c r="FN884" s="1853" t="str">
        <f t="shared" si="148"/>
        <v/>
      </c>
      <c r="FO884" s="1853" t="str">
        <f t="shared" si="149"/>
        <v/>
      </c>
      <c r="FP884" s="1853" t="str">
        <f t="shared" si="150"/>
        <v/>
      </c>
      <c r="FQ884" s="1853" t="str">
        <f t="shared" si="151"/>
        <v/>
      </c>
      <c r="FR884" s="1853" t="str">
        <f t="shared" si="152"/>
        <v/>
      </c>
      <c r="FS884" s="1853" t="str">
        <f t="shared" si="153"/>
        <v/>
      </c>
      <c r="FT884" s="1853" t="str">
        <f t="shared" si="154"/>
        <v/>
      </c>
      <c r="FU884" s="1853" t="str">
        <f t="shared" si="155"/>
        <v/>
      </c>
      <c r="FV884" s="1853" t="str">
        <f t="shared" si="156"/>
        <v/>
      </c>
      <c r="FW884" s="1853" t="str">
        <f t="shared" si="157"/>
        <v/>
      </c>
      <c r="FX884" s="1853" t="str">
        <f t="shared" si="158"/>
        <v/>
      </c>
      <c r="FY884" s="1853" t="str">
        <f t="shared" si="159"/>
        <v/>
      </c>
      <c r="FZ884" s="1853" t="str">
        <f t="shared" si="160"/>
        <v/>
      </c>
      <c r="GA884" s="1853" t="str">
        <f t="shared" si="161"/>
        <v/>
      </c>
      <c r="GB884" s="1853" t="str">
        <f t="shared" si="162"/>
        <v/>
      </c>
      <c r="GC884" s="1853" t="str">
        <f t="shared" si="163"/>
        <v/>
      </c>
      <c r="GD884" s="1853" t="str">
        <f t="shared" si="164"/>
        <v/>
      </c>
      <c r="GE884" s="1853" t="str">
        <f t="shared" si="165"/>
        <v/>
      </c>
      <c r="GF884" s="1853" t="str">
        <f t="shared" si="166"/>
        <v/>
      </c>
      <c r="GG884" s="1853" t="str">
        <f t="shared" si="167"/>
        <v/>
      </c>
      <c r="GH884" s="1853" t="str">
        <f t="shared" si="168"/>
        <v/>
      </c>
      <c r="GI884" s="1853" t="str">
        <f t="shared" si="169"/>
        <v/>
      </c>
      <c r="GJ884" s="1853" t="str">
        <f t="shared" si="170"/>
        <v/>
      </c>
      <c r="GK884" s="1853" t="str">
        <f t="shared" si="171"/>
        <v/>
      </c>
      <c r="GL884" s="1853" t="str">
        <f t="shared" si="172"/>
        <v/>
      </c>
      <c r="GM884" s="1853" t="str">
        <f t="shared" si="173"/>
        <v/>
      </c>
      <c r="GN884" s="1853" t="str">
        <f t="shared" si="174"/>
        <v/>
      </c>
      <c r="GO884" s="1853" t="str">
        <f t="shared" si="175"/>
        <v/>
      </c>
      <c r="GP884" s="1853" t="str">
        <f t="shared" si="176"/>
        <v/>
      </c>
      <c r="GQ884" s="1853" t="str">
        <f t="shared" si="177"/>
        <v/>
      </c>
      <c r="GR884" s="1853" t="str">
        <f t="shared" si="178"/>
        <v/>
      </c>
      <c r="GS884" s="1853" t="str">
        <f t="shared" si="179"/>
        <v/>
      </c>
      <c r="GT884" s="1853" t="str">
        <f t="shared" si="180"/>
        <v/>
      </c>
      <c r="GU884" s="1853" t="str">
        <f t="shared" si="181"/>
        <v/>
      </c>
      <c r="GV884" s="1853" t="str">
        <f t="shared" si="182"/>
        <v/>
      </c>
      <c r="GW884" s="1853" t="str">
        <f t="shared" si="183"/>
        <v/>
      </c>
      <c r="GX884" s="1853" t="str">
        <f t="shared" si="184"/>
        <v/>
      </c>
      <c r="GY884" s="1853" t="str">
        <f t="shared" si="185"/>
        <v/>
      </c>
      <c r="GZ884" s="1853" t="str">
        <f t="shared" si="186"/>
        <v/>
      </c>
      <c r="HA884" s="1853" t="str">
        <f t="shared" si="187"/>
        <v/>
      </c>
      <c r="HB884" s="1853" t="str">
        <f t="shared" si="188"/>
        <v/>
      </c>
      <c r="HC884" s="1853" t="str">
        <f t="shared" si="189"/>
        <v/>
      </c>
      <c r="HD884" s="1853" t="str">
        <f t="shared" si="190"/>
        <v/>
      </c>
      <c r="HE884" s="1853" t="str">
        <f t="shared" si="191"/>
        <v/>
      </c>
      <c r="HF884" s="1853" t="str">
        <f t="shared" si="192"/>
        <v/>
      </c>
      <c r="HG884" s="1853" t="str">
        <f t="shared" si="193"/>
        <v/>
      </c>
      <c r="HH884" s="1853" t="str">
        <f t="shared" si="194"/>
        <v/>
      </c>
      <c r="HI884" s="1853" t="str">
        <f t="shared" si="195"/>
        <v/>
      </c>
      <c r="HJ884" s="1853" t="str">
        <f t="shared" si="196"/>
        <v/>
      </c>
      <c r="HK884" s="1853" t="str">
        <f t="shared" si="197"/>
        <v/>
      </c>
      <c r="HL884" s="1853" t="str">
        <f t="shared" si="198"/>
        <v/>
      </c>
      <c r="HM884" s="1853" t="str">
        <f t="shared" si="199"/>
        <v/>
      </c>
      <c r="HN884" s="1853" t="str">
        <f t="shared" si="200"/>
        <v/>
      </c>
      <c r="HO884" s="1853" t="str">
        <f t="shared" si="201"/>
        <v/>
      </c>
      <c r="HP884" s="1853" t="str">
        <f t="shared" si="202"/>
        <v/>
      </c>
      <c r="HQ884" s="1853" t="str">
        <f t="shared" si="203"/>
        <v/>
      </c>
      <c r="HR884" s="1853" t="str">
        <f t="shared" si="204"/>
        <v/>
      </c>
      <c r="HS884" s="1853" t="str">
        <f t="shared" si="205"/>
        <v/>
      </c>
      <c r="HT884" s="1853" t="str">
        <f t="shared" si="206"/>
        <v/>
      </c>
      <c r="HU884" s="1853" t="str">
        <f t="shared" si="207"/>
        <v/>
      </c>
      <c r="HV884" s="1853" t="str">
        <f t="shared" si="208"/>
        <v/>
      </c>
      <c r="HW884" s="1853" t="str">
        <f t="shared" si="209"/>
        <v/>
      </c>
      <c r="HX884" s="1853" t="str">
        <f t="shared" si="210"/>
        <v/>
      </c>
      <c r="HY884" s="1853" t="str">
        <f t="shared" si="211"/>
        <v/>
      </c>
      <c r="HZ884" s="2141" t="str">
        <f t="shared" si="212"/>
        <v/>
      </c>
      <c r="IA884" s="2141" t="str">
        <f t="shared" si="213"/>
        <v/>
      </c>
      <c r="IB884" s="2141" t="str">
        <f t="shared" si="214"/>
        <v/>
      </c>
      <c r="IC884" s="2141" t="str">
        <f t="shared" si="215"/>
        <v/>
      </c>
      <c r="ID884" s="2141" t="str">
        <f t="shared" si="216"/>
        <v/>
      </c>
      <c r="IE884" s="2141" t="str">
        <f t="shared" si="217"/>
        <v/>
      </c>
      <c r="IF884" s="2141" t="str">
        <f t="shared" si="218"/>
        <v/>
      </c>
      <c r="IG884" s="2141" t="str">
        <f t="shared" si="219"/>
        <v/>
      </c>
      <c r="IH884" s="2141" t="str">
        <f t="shared" si="220"/>
        <v/>
      </c>
      <c r="II884" s="2141" t="str">
        <f t="shared" si="221"/>
        <v/>
      </c>
      <c r="IJ884" s="2141" t="str">
        <f t="shared" si="222"/>
        <v/>
      </c>
      <c r="IK884" s="2141" t="str">
        <f t="shared" si="223"/>
        <v/>
      </c>
      <c r="IL884" s="2141" t="str">
        <f t="shared" si="224"/>
        <v/>
      </c>
      <c r="IM884" s="2141" t="str">
        <f t="shared" si="225"/>
        <v/>
      </c>
      <c r="IN884" s="2141" t="str">
        <f t="shared" si="226"/>
        <v/>
      </c>
      <c r="IO884" s="2141" t="str">
        <f t="shared" si="227"/>
        <v/>
      </c>
      <c r="IP884" s="2141" t="str">
        <f t="shared" si="228"/>
        <v/>
      </c>
      <c r="IQ884" s="2141" t="str">
        <f t="shared" si="229"/>
        <v/>
      </c>
      <c r="IR884" s="2141" t="str">
        <f t="shared" si="230"/>
        <v/>
      </c>
      <c r="IS884" s="2141" t="str">
        <f t="shared" si="231"/>
        <v/>
      </c>
      <c r="IT884" s="2141" t="str">
        <f t="shared" si="232"/>
        <v/>
      </c>
      <c r="IU884" s="2141" t="str">
        <f t="shared" si="233"/>
        <v/>
      </c>
      <c r="IV884" s="2141" t="str">
        <f t="shared" si="234"/>
        <v/>
      </c>
      <c r="IW884" s="2141" t="str">
        <f t="shared" si="235"/>
        <v/>
      </c>
      <c r="IX884" s="2141" t="str">
        <f t="shared" si="236"/>
        <v/>
      </c>
      <c r="IY884" s="2141" t="str">
        <f t="shared" si="237"/>
        <v/>
      </c>
      <c r="IZ884" s="2141" t="str">
        <f t="shared" si="238"/>
        <v/>
      </c>
      <c r="JA884" s="2141" t="str">
        <f t="shared" si="239"/>
        <v/>
      </c>
      <c r="JB884" s="2141" t="str">
        <f t="shared" si="240"/>
        <v/>
      </c>
      <c r="JC884" s="2141" t="str">
        <f t="shared" si="241"/>
        <v/>
      </c>
      <c r="JD884" s="2141" t="str">
        <f t="shared" si="242"/>
        <v/>
      </c>
      <c r="JE884" s="2141" t="str">
        <f t="shared" si="243"/>
        <v/>
      </c>
      <c r="JF884" s="2141" t="str">
        <f t="shared" si="244"/>
        <v/>
      </c>
      <c r="JG884" s="2141" t="str">
        <f t="shared" si="245"/>
        <v/>
      </c>
      <c r="JH884" s="2141" t="str">
        <f t="shared" si="246"/>
        <v/>
      </c>
      <c r="JI884" s="2141" t="str">
        <f t="shared" si="247"/>
        <v/>
      </c>
      <c r="JJ884" s="2141" t="str">
        <f t="shared" si="248"/>
        <v/>
      </c>
      <c r="JK884" s="2141" t="str">
        <f t="shared" si="249"/>
        <v/>
      </c>
      <c r="JL884" s="2141" t="str">
        <f t="shared" si="250"/>
        <v/>
      </c>
      <c r="JM884" s="2141" t="str">
        <f t="shared" si="251"/>
        <v/>
      </c>
      <c r="JN884" s="2141" t="str">
        <f t="shared" si="252"/>
        <v/>
      </c>
      <c r="JO884" s="2141" t="str">
        <f t="shared" si="253"/>
        <v/>
      </c>
      <c r="JP884" s="2141" t="str">
        <f t="shared" si="254"/>
        <v/>
      </c>
      <c r="JQ884" s="2141" t="str">
        <f t="shared" si="255"/>
        <v/>
      </c>
      <c r="JR884" s="2141" t="str">
        <f t="shared" si="256"/>
        <v/>
      </c>
      <c r="JS884" s="2141" t="str">
        <f t="shared" si="257"/>
        <v/>
      </c>
      <c r="JT884" s="2141" t="str">
        <f t="shared" si="258"/>
        <v/>
      </c>
      <c r="JU884" s="2141" t="str">
        <f t="shared" si="259"/>
        <v/>
      </c>
      <c r="JV884" s="2141" t="str">
        <f t="shared" si="260"/>
        <v/>
      </c>
      <c r="JW884" s="2141" t="str">
        <f t="shared" si="261"/>
        <v/>
      </c>
      <c r="JX884" s="2141" t="str">
        <f t="shared" si="262"/>
        <v/>
      </c>
      <c r="JY884" s="2141" t="str">
        <f t="shared" si="263"/>
        <v/>
      </c>
      <c r="JZ884" s="2141" t="str">
        <f t="shared" si="264"/>
        <v/>
      </c>
      <c r="KA884" s="2141" t="str">
        <f t="shared" si="265"/>
        <v/>
      </c>
      <c r="KB884" s="2141" t="str">
        <f t="shared" si="266"/>
        <v/>
      </c>
      <c r="KC884" s="2141" t="str">
        <f t="shared" si="267"/>
        <v/>
      </c>
      <c r="KD884" s="2141" t="str">
        <f t="shared" si="268"/>
        <v/>
      </c>
      <c r="KE884" s="2141" t="str">
        <f t="shared" si="269"/>
        <v/>
      </c>
      <c r="KF884" s="2141" t="str">
        <f t="shared" si="270"/>
        <v/>
      </c>
      <c r="KG884" s="2141" t="str">
        <f t="shared" si="271"/>
        <v/>
      </c>
      <c r="KH884" s="2141" t="str">
        <f t="shared" si="272"/>
        <v/>
      </c>
      <c r="KI884" s="2141" t="str">
        <f t="shared" si="273"/>
        <v/>
      </c>
      <c r="KJ884" s="2141" t="str">
        <f t="shared" si="274"/>
        <v/>
      </c>
      <c r="KK884" s="2141" t="str">
        <f t="shared" si="275"/>
        <v/>
      </c>
      <c r="KL884" s="2141" t="str">
        <f t="shared" si="276"/>
        <v/>
      </c>
      <c r="KM884" s="2141" t="str">
        <f t="shared" si="277"/>
        <v/>
      </c>
      <c r="KN884" s="2141" t="str">
        <f t="shared" si="278"/>
        <v/>
      </c>
      <c r="KO884" s="2141" t="str">
        <f t="shared" si="279"/>
        <v/>
      </c>
      <c r="KP884" s="2141" t="str">
        <f t="shared" si="280"/>
        <v/>
      </c>
      <c r="KQ884" s="2141" t="str">
        <f t="shared" si="281"/>
        <v/>
      </c>
      <c r="KR884" s="2141" t="str">
        <f t="shared" si="282"/>
        <v/>
      </c>
      <c r="KS884" s="2141" t="str">
        <f t="shared" si="283"/>
        <v/>
      </c>
      <c r="KT884" s="2141" t="str">
        <f t="shared" si="284"/>
        <v/>
      </c>
      <c r="KU884" s="2141" t="str">
        <f t="shared" si="285"/>
        <v/>
      </c>
      <c r="KV884" s="2141" t="str">
        <f t="shared" si="286"/>
        <v/>
      </c>
      <c r="KW884" s="2141" t="str">
        <f t="shared" si="287"/>
        <v/>
      </c>
      <c r="KX884" s="2141" t="str">
        <f t="shared" si="288"/>
        <v/>
      </c>
      <c r="KY884" s="2141" t="str">
        <f t="shared" si="289"/>
        <v/>
      </c>
      <c r="KZ884" s="2141" t="str">
        <f t="shared" si="290"/>
        <v/>
      </c>
      <c r="LA884" s="2141" t="str">
        <f t="shared" si="291"/>
        <v/>
      </c>
      <c r="LB884" s="2141" t="str">
        <f t="shared" si="292"/>
        <v/>
      </c>
      <c r="LC884" s="2141" t="str">
        <f t="shared" si="293"/>
        <v/>
      </c>
      <c r="LD884" s="2141" t="str">
        <f t="shared" si="294"/>
        <v/>
      </c>
      <c r="LE884" s="2141" t="str">
        <f t="shared" si="295"/>
        <v/>
      </c>
      <c r="LF884" s="2141" t="str">
        <f t="shared" si="296"/>
        <v/>
      </c>
      <c r="LG884" s="2052" t="str">
        <f t="shared" si="297"/>
        <v/>
      </c>
      <c r="LH884" s="2052" t="str">
        <f t="shared" si="298"/>
        <v/>
      </c>
      <c r="LI884" s="2052" t="str">
        <f t="shared" si="299"/>
        <v/>
      </c>
      <c r="LJ884" s="2052" t="str">
        <f t="shared" si="300"/>
        <v/>
      </c>
      <c r="LK884" s="2052" t="str">
        <f t="shared" si="301"/>
        <v/>
      </c>
      <c r="LL884" s="1853" t="str">
        <f t="shared" si="302"/>
        <v/>
      </c>
      <c r="LM884" s="1853" t="str">
        <f t="shared" si="303"/>
        <v/>
      </c>
      <c r="LN884" s="1853" t="str">
        <f t="shared" si="304"/>
        <v/>
      </c>
      <c r="LO884" s="1853" t="str">
        <f t="shared" si="305"/>
        <v/>
      </c>
      <c r="LP884" s="1853" t="str">
        <f t="shared" si="306"/>
        <v/>
      </c>
      <c r="LQ884" s="1853" t="str">
        <f t="shared" si="307"/>
        <v/>
      </c>
      <c r="LR884" s="1853" t="str">
        <f t="shared" si="308"/>
        <v/>
      </c>
      <c r="LS884" s="1853" t="str">
        <f t="shared" si="309"/>
        <v/>
      </c>
      <c r="LT884" s="1853" t="str">
        <f t="shared" si="310"/>
        <v/>
      </c>
      <c r="LU884" s="1853" t="str">
        <f t="shared" si="311"/>
        <v/>
      </c>
      <c r="LV884" s="1853" t="str">
        <f t="shared" si="312"/>
        <v/>
      </c>
      <c r="LW884" s="1853" t="str">
        <f t="shared" si="313"/>
        <v/>
      </c>
      <c r="LX884" s="1853" t="str">
        <f t="shared" si="314"/>
        <v/>
      </c>
      <c r="LY884" s="1853" t="str">
        <f t="shared" si="315"/>
        <v/>
      </c>
      <c r="LZ884" s="1853" t="str">
        <f t="shared" si="316"/>
        <v/>
      </c>
      <c r="MA884" s="1853" t="str">
        <f t="shared" si="317"/>
        <v/>
      </c>
      <c r="MB884" s="1853" t="str">
        <f t="shared" si="318"/>
        <v/>
      </c>
      <c r="MC884" s="1853" t="str">
        <f t="shared" si="319"/>
        <v/>
      </c>
      <c r="MD884" s="1853" t="str">
        <f t="shared" si="320"/>
        <v/>
      </c>
      <c r="ME884" s="1853" t="str">
        <f t="shared" si="321"/>
        <v/>
      </c>
      <c r="MF884" s="2052">
        <f t="shared" si="328"/>
        <v>0</v>
      </c>
      <c r="MG884" s="2052">
        <f t="shared" si="329"/>
        <v>0</v>
      </c>
      <c r="MH884" s="2052">
        <f t="shared" si="330"/>
        <v>0</v>
      </c>
      <c r="MI884" s="2052">
        <f t="shared" si="331"/>
        <v>0</v>
      </c>
      <c r="MJ884" s="2052">
        <f t="shared" si="332"/>
        <v>0</v>
      </c>
      <c r="MK884" s="2052">
        <f t="shared" si="333"/>
        <v>0</v>
      </c>
      <c r="ML884" s="2052">
        <f t="shared" si="334"/>
        <v>0</v>
      </c>
      <c r="MM884" s="2052">
        <f t="shared" si="335"/>
        <v>0</v>
      </c>
      <c r="MN884" s="2052">
        <f t="shared" si="336"/>
        <v>0</v>
      </c>
      <c r="MO884" s="2052">
        <f t="shared" si="337"/>
        <v>0</v>
      </c>
      <c r="MP884" s="2052">
        <f t="shared" si="322"/>
        <v>0</v>
      </c>
      <c r="MQ884" s="2052">
        <f t="shared" si="323"/>
        <v>0</v>
      </c>
      <c r="MR884" s="2052">
        <f t="shared" si="324"/>
        <v>0</v>
      </c>
      <c r="MS884" s="2052">
        <f t="shared" si="325"/>
        <v>0</v>
      </c>
      <c r="MT884" s="2052">
        <f t="shared" si="326"/>
        <v>0</v>
      </c>
      <c r="NP884" s="1925" t="s">
        <v>6750</v>
      </c>
    </row>
    <row r="885" spans="1:380" s="1853" customFormat="1" ht="13.9" customHeight="1">
      <c r="A885" s="2109" t="str">
        <f t="shared" si="327"/>
        <v/>
      </c>
      <c r="B885" s="2131">
        <f>'Part VI-Revenues &amp; Expenses'!B45</f>
        <v>0</v>
      </c>
      <c r="C885" s="2132">
        <f>'Part VI-Revenues &amp; Expenses'!C45</f>
        <v>0</v>
      </c>
      <c r="D885" s="2133">
        <f>'Part VI-Revenues &amp; Expenses'!D45</f>
        <v>0</v>
      </c>
      <c r="E885" s="2134">
        <f>'Part VI-Revenues &amp; Expenses'!E45</f>
        <v>0</v>
      </c>
      <c r="F885" s="2134">
        <f>'Part VI-Revenues &amp; Expenses'!F45</f>
        <v>0</v>
      </c>
      <c r="G885" s="2134">
        <f>'Part VI-Revenues &amp; Expenses'!G45</f>
        <v>0</v>
      </c>
      <c r="H885" s="2134">
        <f>'Part VI-Revenues &amp; Expenses'!H45</f>
        <v>0</v>
      </c>
      <c r="I885" s="2134">
        <f>'Part VI-Revenues &amp; Expenses'!I45</f>
        <v>0</v>
      </c>
      <c r="J885" s="2134">
        <f>'Part VI-Revenues &amp; Expenses'!J45</f>
        <v>0</v>
      </c>
      <c r="K885" s="2135">
        <f>'Part VI-Revenues &amp; Expenses'!K45</f>
        <v>0</v>
      </c>
      <c r="L885" s="2136">
        <f t="shared" si="0"/>
        <v>0</v>
      </c>
      <c r="M885" s="2136">
        <f t="shared" si="1"/>
        <v>0</v>
      </c>
      <c r="N885" s="1917">
        <f>'Part VI-Revenues &amp; Expenses'!N45</f>
        <v>0</v>
      </c>
      <c r="O885" s="2137">
        <f>'Part VI-Revenues &amp; Expenses'!O45</f>
        <v>0</v>
      </c>
      <c r="P885" s="1917">
        <f>'Part VI-Revenues &amp; Expenses'!P45</f>
        <v>0</v>
      </c>
      <c r="Q885" s="2138">
        <f>'Part VI-Revenues &amp; Expenses'!Q45</f>
        <v>0</v>
      </c>
      <c r="R885" s="2139"/>
      <c r="S885" s="2140"/>
      <c r="T885" s="2044"/>
      <c r="U885" s="2044"/>
      <c r="V885" s="2044"/>
      <c r="W885" s="2044"/>
      <c r="X885" s="1853" t="str">
        <f t="shared" si="2"/>
        <v/>
      </c>
      <c r="Y885" s="1853" t="str">
        <f t="shared" si="3"/>
        <v/>
      </c>
      <c r="Z885" s="1853" t="str">
        <f t="shared" si="4"/>
        <v/>
      </c>
      <c r="AA885" s="1853" t="str">
        <f t="shared" si="5"/>
        <v/>
      </c>
      <c r="AB885" s="1853" t="str">
        <f t="shared" si="6"/>
        <v/>
      </c>
      <c r="AC885" s="1853" t="str">
        <f t="shared" si="7"/>
        <v/>
      </c>
      <c r="AD885" s="1853" t="str">
        <f t="shared" si="8"/>
        <v/>
      </c>
      <c r="AE885" s="1853" t="str">
        <f t="shared" si="9"/>
        <v/>
      </c>
      <c r="AF885" s="1853" t="str">
        <f t="shared" si="10"/>
        <v/>
      </c>
      <c r="AG885" s="1853" t="str">
        <f t="shared" si="11"/>
        <v/>
      </c>
      <c r="AH885" s="1853" t="str">
        <f t="shared" si="12"/>
        <v/>
      </c>
      <c r="AI885" s="1853" t="str">
        <f t="shared" si="13"/>
        <v/>
      </c>
      <c r="AJ885" s="1853" t="str">
        <f t="shared" si="14"/>
        <v/>
      </c>
      <c r="AK885" s="1853" t="str">
        <f t="shared" si="15"/>
        <v/>
      </c>
      <c r="AL885" s="1853" t="str">
        <f t="shared" si="16"/>
        <v/>
      </c>
      <c r="AM885" s="1853" t="str">
        <f t="shared" si="17"/>
        <v/>
      </c>
      <c r="AN885" s="1853" t="str">
        <f t="shared" si="18"/>
        <v/>
      </c>
      <c r="AO885" s="1853" t="str">
        <f t="shared" si="19"/>
        <v/>
      </c>
      <c r="AP885" s="1853" t="str">
        <f t="shared" si="20"/>
        <v/>
      </c>
      <c r="AQ885" s="1853" t="str">
        <f t="shared" si="21"/>
        <v/>
      </c>
      <c r="AR885" s="1853" t="str">
        <f t="shared" si="22"/>
        <v/>
      </c>
      <c r="AS885" s="1853" t="str">
        <f t="shared" si="23"/>
        <v/>
      </c>
      <c r="AT885" s="1853" t="str">
        <f t="shared" si="24"/>
        <v/>
      </c>
      <c r="AU885" s="1853" t="str">
        <f t="shared" si="25"/>
        <v/>
      </c>
      <c r="AV885" s="1853" t="str">
        <f t="shared" si="26"/>
        <v/>
      </c>
      <c r="AW885" s="1853" t="str">
        <f t="shared" si="27"/>
        <v/>
      </c>
      <c r="AX885" s="1853" t="str">
        <f t="shared" si="28"/>
        <v/>
      </c>
      <c r="AY885" s="1853" t="str">
        <f t="shared" si="29"/>
        <v/>
      </c>
      <c r="AZ885" s="1853" t="str">
        <f t="shared" si="30"/>
        <v/>
      </c>
      <c r="BA885" s="1853" t="str">
        <f t="shared" si="31"/>
        <v/>
      </c>
      <c r="BB885" s="1853" t="str">
        <f t="shared" si="32"/>
        <v/>
      </c>
      <c r="BC885" s="1853" t="str">
        <f t="shared" si="33"/>
        <v/>
      </c>
      <c r="BD885" s="1853" t="str">
        <f t="shared" si="34"/>
        <v/>
      </c>
      <c r="BE885" s="1853" t="str">
        <f t="shared" si="35"/>
        <v/>
      </c>
      <c r="BF885" s="1853" t="str">
        <f t="shared" si="36"/>
        <v/>
      </c>
      <c r="BG885" s="1853" t="str">
        <f t="shared" si="37"/>
        <v/>
      </c>
      <c r="BH885" s="1853" t="str">
        <f t="shared" si="38"/>
        <v/>
      </c>
      <c r="BI885" s="1853" t="str">
        <f t="shared" si="39"/>
        <v/>
      </c>
      <c r="BJ885" s="1853" t="str">
        <f t="shared" si="40"/>
        <v/>
      </c>
      <c r="BK885" s="1853" t="str">
        <f t="shared" si="41"/>
        <v/>
      </c>
      <c r="BL885" s="1853" t="str">
        <f t="shared" si="42"/>
        <v/>
      </c>
      <c r="BM885" s="1853" t="str">
        <f t="shared" si="43"/>
        <v/>
      </c>
      <c r="BN885" s="1853" t="str">
        <f t="shared" si="44"/>
        <v/>
      </c>
      <c r="BO885" s="1853" t="str">
        <f t="shared" si="45"/>
        <v/>
      </c>
      <c r="BP885" s="1853" t="str">
        <f t="shared" si="46"/>
        <v/>
      </c>
      <c r="BQ885" s="1853" t="str">
        <f t="shared" si="47"/>
        <v/>
      </c>
      <c r="BR885" s="1853" t="str">
        <f t="shared" si="48"/>
        <v/>
      </c>
      <c r="BS885" s="1853" t="str">
        <f t="shared" si="49"/>
        <v/>
      </c>
      <c r="BT885" s="1853" t="str">
        <f t="shared" si="50"/>
        <v/>
      </c>
      <c r="BU885" s="1853" t="str">
        <f t="shared" si="51"/>
        <v/>
      </c>
      <c r="BV885" s="1853" t="str">
        <f t="shared" si="52"/>
        <v/>
      </c>
      <c r="BW885" s="1853" t="str">
        <f t="shared" si="53"/>
        <v/>
      </c>
      <c r="BX885" s="1853" t="str">
        <f t="shared" si="54"/>
        <v/>
      </c>
      <c r="BY885" s="1853" t="str">
        <f t="shared" si="55"/>
        <v/>
      </c>
      <c r="BZ885" s="1853" t="str">
        <f t="shared" si="56"/>
        <v/>
      </c>
      <c r="CA885" s="1853" t="str">
        <f t="shared" si="57"/>
        <v/>
      </c>
      <c r="CB885" s="1853" t="str">
        <f t="shared" si="58"/>
        <v/>
      </c>
      <c r="CC885" s="1853" t="str">
        <f t="shared" si="59"/>
        <v/>
      </c>
      <c r="CD885" s="1853" t="str">
        <f t="shared" si="60"/>
        <v/>
      </c>
      <c r="CE885" s="1853" t="str">
        <f t="shared" si="61"/>
        <v/>
      </c>
      <c r="CF885" s="1853" t="str">
        <f t="shared" si="62"/>
        <v/>
      </c>
      <c r="CG885" s="1853" t="str">
        <f t="shared" si="63"/>
        <v/>
      </c>
      <c r="CH885" s="1853" t="str">
        <f t="shared" si="64"/>
        <v/>
      </c>
      <c r="CI885" s="1853" t="str">
        <f t="shared" si="65"/>
        <v/>
      </c>
      <c r="CJ885" s="1853" t="str">
        <f t="shared" si="66"/>
        <v/>
      </c>
      <c r="CK885" s="1853" t="str">
        <f t="shared" si="67"/>
        <v/>
      </c>
      <c r="CL885" s="1853" t="str">
        <f t="shared" si="68"/>
        <v/>
      </c>
      <c r="CM885" s="1853" t="str">
        <f t="shared" si="69"/>
        <v/>
      </c>
      <c r="CN885" s="1853" t="str">
        <f t="shared" si="70"/>
        <v/>
      </c>
      <c r="CO885" s="1853" t="str">
        <f t="shared" si="71"/>
        <v/>
      </c>
      <c r="CP885" s="1853" t="str">
        <f t="shared" si="72"/>
        <v/>
      </c>
      <c r="CQ885" s="1853" t="str">
        <f t="shared" si="73"/>
        <v/>
      </c>
      <c r="CR885" s="1853" t="str">
        <f t="shared" si="74"/>
        <v/>
      </c>
      <c r="CS885" s="1853" t="str">
        <f t="shared" si="75"/>
        <v/>
      </c>
      <c r="CT885" s="1853" t="str">
        <f t="shared" si="76"/>
        <v/>
      </c>
      <c r="CU885" s="1853" t="str">
        <f t="shared" si="77"/>
        <v/>
      </c>
      <c r="CV885" s="1853" t="str">
        <f t="shared" si="78"/>
        <v/>
      </c>
      <c r="CW885" s="1853" t="str">
        <f t="shared" si="79"/>
        <v/>
      </c>
      <c r="CX885" s="1853" t="str">
        <f t="shared" si="80"/>
        <v/>
      </c>
      <c r="CY885" s="1853" t="str">
        <f t="shared" si="81"/>
        <v/>
      </c>
      <c r="CZ885" s="1853" t="str">
        <f t="shared" si="82"/>
        <v/>
      </c>
      <c r="DA885" s="1853" t="str">
        <f t="shared" si="83"/>
        <v/>
      </c>
      <c r="DB885" s="1853" t="str">
        <f t="shared" si="84"/>
        <v/>
      </c>
      <c r="DC885" s="1853" t="str">
        <f t="shared" si="85"/>
        <v/>
      </c>
      <c r="DD885" s="1853" t="str">
        <f t="shared" si="86"/>
        <v/>
      </c>
      <c r="DE885" s="1853" t="str">
        <f t="shared" si="87"/>
        <v/>
      </c>
      <c r="DF885" s="1853" t="str">
        <f t="shared" si="88"/>
        <v/>
      </c>
      <c r="DG885" s="1853" t="str">
        <f t="shared" si="89"/>
        <v/>
      </c>
      <c r="DH885" s="1853" t="str">
        <f t="shared" si="90"/>
        <v/>
      </c>
      <c r="DI885" s="1853" t="str">
        <f t="shared" si="91"/>
        <v/>
      </c>
      <c r="DJ885" s="1853" t="str">
        <f t="shared" si="92"/>
        <v/>
      </c>
      <c r="DK885" s="1853" t="str">
        <f t="shared" si="93"/>
        <v/>
      </c>
      <c r="DL885" s="1853" t="str">
        <f t="shared" si="94"/>
        <v/>
      </c>
      <c r="DM885" s="1853" t="str">
        <f t="shared" si="95"/>
        <v/>
      </c>
      <c r="DN885" s="1853" t="str">
        <f t="shared" si="96"/>
        <v/>
      </c>
      <c r="DO885" s="1853" t="str">
        <f t="shared" si="97"/>
        <v/>
      </c>
      <c r="DP885" s="1853" t="str">
        <f t="shared" si="98"/>
        <v/>
      </c>
      <c r="DQ885" s="1853" t="str">
        <f t="shared" si="99"/>
        <v/>
      </c>
      <c r="DR885" s="1853" t="str">
        <f t="shared" si="100"/>
        <v/>
      </c>
      <c r="DS885" s="1853" t="str">
        <f t="shared" si="101"/>
        <v/>
      </c>
      <c r="DT885" s="1853" t="str">
        <f t="shared" si="102"/>
        <v/>
      </c>
      <c r="DU885" s="1853" t="str">
        <f t="shared" si="103"/>
        <v/>
      </c>
      <c r="DV885" s="1853" t="str">
        <f t="shared" si="104"/>
        <v/>
      </c>
      <c r="DW885" s="1853" t="str">
        <f t="shared" si="105"/>
        <v/>
      </c>
      <c r="DX885" s="1853" t="str">
        <f t="shared" si="106"/>
        <v/>
      </c>
      <c r="DY885" s="1853" t="str">
        <f t="shared" si="107"/>
        <v/>
      </c>
      <c r="DZ885" s="1853" t="str">
        <f t="shared" si="108"/>
        <v/>
      </c>
      <c r="EA885" s="1853" t="str">
        <f t="shared" si="109"/>
        <v/>
      </c>
      <c r="EB885" s="1853" t="str">
        <f t="shared" si="110"/>
        <v/>
      </c>
      <c r="EC885" s="1853" t="str">
        <f t="shared" si="111"/>
        <v/>
      </c>
      <c r="ED885" s="1853" t="str">
        <f t="shared" si="112"/>
        <v/>
      </c>
      <c r="EE885" s="1853" t="str">
        <f t="shared" si="113"/>
        <v/>
      </c>
      <c r="EF885" s="1853" t="str">
        <f t="shared" si="114"/>
        <v/>
      </c>
      <c r="EG885" s="1853" t="str">
        <f t="shared" si="115"/>
        <v/>
      </c>
      <c r="EH885" s="1853" t="str">
        <f t="shared" si="116"/>
        <v/>
      </c>
      <c r="EI885" s="1853" t="str">
        <f t="shared" si="117"/>
        <v/>
      </c>
      <c r="EJ885" s="1853" t="str">
        <f t="shared" si="118"/>
        <v/>
      </c>
      <c r="EK885" s="1853" t="str">
        <f t="shared" si="119"/>
        <v/>
      </c>
      <c r="EL885" s="1853" t="str">
        <f t="shared" si="120"/>
        <v/>
      </c>
      <c r="EM885" s="1853" t="str">
        <f t="shared" si="121"/>
        <v/>
      </c>
      <c r="EN885" s="1853" t="str">
        <f t="shared" si="122"/>
        <v/>
      </c>
      <c r="EO885" s="1853" t="str">
        <f t="shared" si="123"/>
        <v/>
      </c>
      <c r="EP885" s="1853" t="str">
        <f t="shared" si="124"/>
        <v/>
      </c>
      <c r="EQ885" s="1853" t="str">
        <f t="shared" si="125"/>
        <v/>
      </c>
      <c r="ER885" s="1853" t="str">
        <f t="shared" si="126"/>
        <v/>
      </c>
      <c r="ES885" s="1853" t="str">
        <f t="shared" si="127"/>
        <v/>
      </c>
      <c r="ET885" s="1853" t="str">
        <f t="shared" si="128"/>
        <v/>
      </c>
      <c r="EU885" s="1853" t="str">
        <f t="shared" si="129"/>
        <v/>
      </c>
      <c r="EV885" s="1853" t="str">
        <f t="shared" si="130"/>
        <v/>
      </c>
      <c r="EW885" s="1853" t="str">
        <f t="shared" si="131"/>
        <v/>
      </c>
      <c r="EX885" s="1853" t="str">
        <f t="shared" si="132"/>
        <v/>
      </c>
      <c r="EY885" s="1853" t="str">
        <f t="shared" si="133"/>
        <v/>
      </c>
      <c r="EZ885" s="1853" t="str">
        <f t="shared" si="134"/>
        <v/>
      </c>
      <c r="FA885" s="1853" t="str">
        <f t="shared" si="135"/>
        <v/>
      </c>
      <c r="FB885" s="1853" t="str">
        <f t="shared" si="136"/>
        <v/>
      </c>
      <c r="FC885" s="1853" t="str">
        <f t="shared" si="137"/>
        <v/>
      </c>
      <c r="FD885" s="1853" t="str">
        <f t="shared" si="138"/>
        <v/>
      </c>
      <c r="FE885" s="1853" t="str">
        <f t="shared" si="139"/>
        <v/>
      </c>
      <c r="FF885" s="1853" t="str">
        <f t="shared" si="140"/>
        <v/>
      </c>
      <c r="FG885" s="1853" t="str">
        <f t="shared" si="141"/>
        <v/>
      </c>
      <c r="FH885" s="1853" t="str">
        <f t="shared" si="142"/>
        <v/>
      </c>
      <c r="FI885" s="1853" t="str">
        <f t="shared" si="143"/>
        <v/>
      </c>
      <c r="FJ885" s="1853" t="str">
        <f t="shared" si="144"/>
        <v/>
      </c>
      <c r="FK885" s="1853" t="str">
        <f t="shared" si="145"/>
        <v/>
      </c>
      <c r="FL885" s="1853" t="str">
        <f t="shared" si="146"/>
        <v/>
      </c>
      <c r="FM885" s="1853" t="str">
        <f t="shared" si="147"/>
        <v/>
      </c>
      <c r="FN885" s="1853" t="str">
        <f t="shared" si="148"/>
        <v/>
      </c>
      <c r="FO885" s="1853" t="str">
        <f t="shared" si="149"/>
        <v/>
      </c>
      <c r="FP885" s="1853" t="str">
        <f t="shared" si="150"/>
        <v/>
      </c>
      <c r="FQ885" s="1853" t="str">
        <f t="shared" si="151"/>
        <v/>
      </c>
      <c r="FR885" s="1853" t="str">
        <f t="shared" si="152"/>
        <v/>
      </c>
      <c r="FS885" s="1853" t="str">
        <f t="shared" si="153"/>
        <v/>
      </c>
      <c r="FT885" s="1853" t="str">
        <f t="shared" si="154"/>
        <v/>
      </c>
      <c r="FU885" s="1853" t="str">
        <f t="shared" si="155"/>
        <v/>
      </c>
      <c r="FV885" s="1853" t="str">
        <f t="shared" si="156"/>
        <v/>
      </c>
      <c r="FW885" s="1853" t="str">
        <f t="shared" si="157"/>
        <v/>
      </c>
      <c r="FX885" s="1853" t="str">
        <f t="shared" si="158"/>
        <v/>
      </c>
      <c r="FY885" s="1853" t="str">
        <f t="shared" si="159"/>
        <v/>
      </c>
      <c r="FZ885" s="1853" t="str">
        <f t="shared" si="160"/>
        <v/>
      </c>
      <c r="GA885" s="1853" t="str">
        <f t="shared" si="161"/>
        <v/>
      </c>
      <c r="GB885" s="1853" t="str">
        <f t="shared" si="162"/>
        <v/>
      </c>
      <c r="GC885" s="1853" t="str">
        <f t="shared" si="163"/>
        <v/>
      </c>
      <c r="GD885" s="1853" t="str">
        <f t="shared" si="164"/>
        <v/>
      </c>
      <c r="GE885" s="1853" t="str">
        <f t="shared" si="165"/>
        <v/>
      </c>
      <c r="GF885" s="1853" t="str">
        <f t="shared" si="166"/>
        <v/>
      </c>
      <c r="GG885" s="1853" t="str">
        <f t="shared" si="167"/>
        <v/>
      </c>
      <c r="GH885" s="1853" t="str">
        <f t="shared" si="168"/>
        <v/>
      </c>
      <c r="GI885" s="1853" t="str">
        <f t="shared" si="169"/>
        <v/>
      </c>
      <c r="GJ885" s="1853" t="str">
        <f t="shared" si="170"/>
        <v/>
      </c>
      <c r="GK885" s="1853" t="str">
        <f t="shared" si="171"/>
        <v/>
      </c>
      <c r="GL885" s="1853" t="str">
        <f t="shared" si="172"/>
        <v/>
      </c>
      <c r="GM885" s="1853" t="str">
        <f t="shared" si="173"/>
        <v/>
      </c>
      <c r="GN885" s="1853" t="str">
        <f t="shared" si="174"/>
        <v/>
      </c>
      <c r="GO885" s="1853" t="str">
        <f t="shared" si="175"/>
        <v/>
      </c>
      <c r="GP885" s="1853" t="str">
        <f t="shared" si="176"/>
        <v/>
      </c>
      <c r="GQ885" s="1853" t="str">
        <f t="shared" si="177"/>
        <v/>
      </c>
      <c r="GR885" s="1853" t="str">
        <f t="shared" si="178"/>
        <v/>
      </c>
      <c r="GS885" s="1853" t="str">
        <f t="shared" si="179"/>
        <v/>
      </c>
      <c r="GT885" s="1853" t="str">
        <f t="shared" si="180"/>
        <v/>
      </c>
      <c r="GU885" s="1853" t="str">
        <f t="shared" si="181"/>
        <v/>
      </c>
      <c r="GV885" s="1853" t="str">
        <f t="shared" si="182"/>
        <v/>
      </c>
      <c r="GW885" s="1853" t="str">
        <f t="shared" si="183"/>
        <v/>
      </c>
      <c r="GX885" s="1853" t="str">
        <f t="shared" si="184"/>
        <v/>
      </c>
      <c r="GY885" s="1853" t="str">
        <f t="shared" si="185"/>
        <v/>
      </c>
      <c r="GZ885" s="1853" t="str">
        <f t="shared" si="186"/>
        <v/>
      </c>
      <c r="HA885" s="1853" t="str">
        <f t="shared" si="187"/>
        <v/>
      </c>
      <c r="HB885" s="1853" t="str">
        <f t="shared" si="188"/>
        <v/>
      </c>
      <c r="HC885" s="1853" t="str">
        <f t="shared" si="189"/>
        <v/>
      </c>
      <c r="HD885" s="1853" t="str">
        <f t="shared" si="190"/>
        <v/>
      </c>
      <c r="HE885" s="1853" t="str">
        <f t="shared" si="191"/>
        <v/>
      </c>
      <c r="HF885" s="1853" t="str">
        <f t="shared" si="192"/>
        <v/>
      </c>
      <c r="HG885" s="1853" t="str">
        <f t="shared" si="193"/>
        <v/>
      </c>
      <c r="HH885" s="1853" t="str">
        <f t="shared" si="194"/>
        <v/>
      </c>
      <c r="HI885" s="1853" t="str">
        <f t="shared" si="195"/>
        <v/>
      </c>
      <c r="HJ885" s="1853" t="str">
        <f t="shared" si="196"/>
        <v/>
      </c>
      <c r="HK885" s="1853" t="str">
        <f t="shared" si="197"/>
        <v/>
      </c>
      <c r="HL885" s="1853" t="str">
        <f t="shared" si="198"/>
        <v/>
      </c>
      <c r="HM885" s="1853" t="str">
        <f t="shared" si="199"/>
        <v/>
      </c>
      <c r="HN885" s="1853" t="str">
        <f t="shared" si="200"/>
        <v/>
      </c>
      <c r="HO885" s="1853" t="str">
        <f t="shared" si="201"/>
        <v/>
      </c>
      <c r="HP885" s="1853" t="str">
        <f t="shared" si="202"/>
        <v/>
      </c>
      <c r="HQ885" s="1853" t="str">
        <f t="shared" si="203"/>
        <v/>
      </c>
      <c r="HR885" s="1853" t="str">
        <f t="shared" si="204"/>
        <v/>
      </c>
      <c r="HS885" s="1853" t="str">
        <f t="shared" si="205"/>
        <v/>
      </c>
      <c r="HT885" s="1853" t="str">
        <f t="shared" si="206"/>
        <v/>
      </c>
      <c r="HU885" s="1853" t="str">
        <f t="shared" si="207"/>
        <v/>
      </c>
      <c r="HV885" s="1853" t="str">
        <f t="shared" si="208"/>
        <v/>
      </c>
      <c r="HW885" s="1853" t="str">
        <f t="shared" si="209"/>
        <v/>
      </c>
      <c r="HX885" s="1853" t="str">
        <f t="shared" si="210"/>
        <v/>
      </c>
      <c r="HY885" s="1853" t="str">
        <f t="shared" si="211"/>
        <v/>
      </c>
      <c r="HZ885" s="2141" t="str">
        <f t="shared" si="212"/>
        <v/>
      </c>
      <c r="IA885" s="2141" t="str">
        <f t="shared" si="213"/>
        <v/>
      </c>
      <c r="IB885" s="2141" t="str">
        <f t="shared" si="214"/>
        <v/>
      </c>
      <c r="IC885" s="2141" t="str">
        <f t="shared" si="215"/>
        <v/>
      </c>
      <c r="ID885" s="2141" t="str">
        <f t="shared" si="216"/>
        <v/>
      </c>
      <c r="IE885" s="2141" t="str">
        <f t="shared" si="217"/>
        <v/>
      </c>
      <c r="IF885" s="2141" t="str">
        <f t="shared" si="218"/>
        <v/>
      </c>
      <c r="IG885" s="2141" t="str">
        <f t="shared" si="219"/>
        <v/>
      </c>
      <c r="IH885" s="2141" t="str">
        <f t="shared" si="220"/>
        <v/>
      </c>
      <c r="II885" s="2141" t="str">
        <f t="shared" si="221"/>
        <v/>
      </c>
      <c r="IJ885" s="2141" t="str">
        <f t="shared" si="222"/>
        <v/>
      </c>
      <c r="IK885" s="2141" t="str">
        <f t="shared" si="223"/>
        <v/>
      </c>
      <c r="IL885" s="2141" t="str">
        <f t="shared" si="224"/>
        <v/>
      </c>
      <c r="IM885" s="2141" t="str">
        <f t="shared" si="225"/>
        <v/>
      </c>
      <c r="IN885" s="2141" t="str">
        <f t="shared" si="226"/>
        <v/>
      </c>
      <c r="IO885" s="2141" t="str">
        <f t="shared" si="227"/>
        <v/>
      </c>
      <c r="IP885" s="2141" t="str">
        <f t="shared" si="228"/>
        <v/>
      </c>
      <c r="IQ885" s="2141" t="str">
        <f t="shared" si="229"/>
        <v/>
      </c>
      <c r="IR885" s="2141" t="str">
        <f t="shared" si="230"/>
        <v/>
      </c>
      <c r="IS885" s="2141" t="str">
        <f t="shared" si="231"/>
        <v/>
      </c>
      <c r="IT885" s="2141" t="str">
        <f t="shared" si="232"/>
        <v/>
      </c>
      <c r="IU885" s="2141" t="str">
        <f t="shared" si="233"/>
        <v/>
      </c>
      <c r="IV885" s="2141" t="str">
        <f t="shared" si="234"/>
        <v/>
      </c>
      <c r="IW885" s="2141" t="str">
        <f t="shared" si="235"/>
        <v/>
      </c>
      <c r="IX885" s="2141" t="str">
        <f t="shared" si="236"/>
        <v/>
      </c>
      <c r="IY885" s="2141" t="str">
        <f t="shared" si="237"/>
        <v/>
      </c>
      <c r="IZ885" s="2141" t="str">
        <f t="shared" si="238"/>
        <v/>
      </c>
      <c r="JA885" s="2141" t="str">
        <f t="shared" si="239"/>
        <v/>
      </c>
      <c r="JB885" s="2141" t="str">
        <f t="shared" si="240"/>
        <v/>
      </c>
      <c r="JC885" s="2141" t="str">
        <f t="shared" si="241"/>
        <v/>
      </c>
      <c r="JD885" s="2141" t="str">
        <f t="shared" si="242"/>
        <v/>
      </c>
      <c r="JE885" s="2141" t="str">
        <f t="shared" si="243"/>
        <v/>
      </c>
      <c r="JF885" s="2141" t="str">
        <f t="shared" si="244"/>
        <v/>
      </c>
      <c r="JG885" s="2141" t="str">
        <f t="shared" si="245"/>
        <v/>
      </c>
      <c r="JH885" s="2141" t="str">
        <f t="shared" si="246"/>
        <v/>
      </c>
      <c r="JI885" s="2141" t="str">
        <f t="shared" si="247"/>
        <v/>
      </c>
      <c r="JJ885" s="2141" t="str">
        <f t="shared" si="248"/>
        <v/>
      </c>
      <c r="JK885" s="2141" t="str">
        <f t="shared" si="249"/>
        <v/>
      </c>
      <c r="JL885" s="2141" t="str">
        <f t="shared" si="250"/>
        <v/>
      </c>
      <c r="JM885" s="2141" t="str">
        <f t="shared" si="251"/>
        <v/>
      </c>
      <c r="JN885" s="2141" t="str">
        <f t="shared" si="252"/>
        <v/>
      </c>
      <c r="JO885" s="2141" t="str">
        <f t="shared" si="253"/>
        <v/>
      </c>
      <c r="JP885" s="2141" t="str">
        <f t="shared" si="254"/>
        <v/>
      </c>
      <c r="JQ885" s="2141" t="str">
        <f t="shared" si="255"/>
        <v/>
      </c>
      <c r="JR885" s="2141" t="str">
        <f t="shared" si="256"/>
        <v/>
      </c>
      <c r="JS885" s="2141" t="str">
        <f t="shared" si="257"/>
        <v/>
      </c>
      <c r="JT885" s="2141" t="str">
        <f t="shared" si="258"/>
        <v/>
      </c>
      <c r="JU885" s="2141" t="str">
        <f t="shared" si="259"/>
        <v/>
      </c>
      <c r="JV885" s="2141" t="str">
        <f t="shared" si="260"/>
        <v/>
      </c>
      <c r="JW885" s="2141" t="str">
        <f t="shared" si="261"/>
        <v/>
      </c>
      <c r="JX885" s="2141" t="str">
        <f t="shared" si="262"/>
        <v/>
      </c>
      <c r="JY885" s="2141" t="str">
        <f t="shared" si="263"/>
        <v/>
      </c>
      <c r="JZ885" s="2141" t="str">
        <f t="shared" si="264"/>
        <v/>
      </c>
      <c r="KA885" s="2141" t="str">
        <f t="shared" si="265"/>
        <v/>
      </c>
      <c r="KB885" s="2141" t="str">
        <f t="shared" si="266"/>
        <v/>
      </c>
      <c r="KC885" s="2141" t="str">
        <f t="shared" si="267"/>
        <v/>
      </c>
      <c r="KD885" s="2141" t="str">
        <f t="shared" si="268"/>
        <v/>
      </c>
      <c r="KE885" s="2141" t="str">
        <f t="shared" si="269"/>
        <v/>
      </c>
      <c r="KF885" s="2141" t="str">
        <f t="shared" si="270"/>
        <v/>
      </c>
      <c r="KG885" s="2141" t="str">
        <f t="shared" si="271"/>
        <v/>
      </c>
      <c r="KH885" s="2141" t="str">
        <f t="shared" si="272"/>
        <v/>
      </c>
      <c r="KI885" s="2141" t="str">
        <f t="shared" si="273"/>
        <v/>
      </c>
      <c r="KJ885" s="2141" t="str">
        <f t="shared" si="274"/>
        <v/>
      </c>
      <c r="KK885" s="2141" t="str">
        <f t="shared" si="275"/>
        <v/>
      </c>
      <c r="KL885" s="2141" t="str">
        <f t="shared" si="276"/>
        <v/>
      </c>
      <c r="KM885" s="2141" t="str">
        <f t="shared" si="277"/>
        <v/>
      </c>
      <c r="KN885" s="2141" t="str">
        <f t="shared" si="278"/>
        <v/>
      </c>
      <c r="KO885" s="2141" t="str">
        <f t="shared" si="279"/>
        <v/>
      </c>
      <c r="KP885" s="2141" t="str">
        <f t="shared" si="280"/>
        <v/>
      </c>
      <c r="KQ885" s="2141" t="str">
        <f t="shared" si="281"/>
        <v/>
      </c>
      <c r="KR885" s="2141" t="str">
        <f t="shared" si="282"/>
        <v/>
      </c>
      <c r="KS885" s="2141" t="str">
        <f t="shared" si="283"/>
        <v/>
      </c>
      <c r="KT885" s="2141" t="str">
        <f t="shared" si="284"/>
        <v/>
      </c>
      <c r="KU885" s="2141" t="str">
        <f t="shared" si="285"/>
        <v/>
      </c>
      <c r="KV885" s="2141" t="str">
        <f t="shared" si="286"/>
        <v/>
      </c>
      <c r="KW885" s="2141" t="str">
        <f t="shared" si="287"/>
        <v/>
      </c>
      <c r="KX885" s="2141" t="str">
        <f t="shared" si="288"/>
        <v/>
      </c>
      <c r="KY885" s="2141" t="str">
        <f t="shared" si="289"/>
        <v/>
      </c>
      <c r="KZ885" s="2141" t="str">
        <f t="shared" si="290"/>
        <v/>
      </c>
      <c r="LA885" s="2141" t="str">
        <f t="shared" si="291"/>
        <v/>
      </c>
      <c r="LB885" s="2141" t="str">
        <f t="shared" si="292"/>
        <v/>
      </c>
      <c r="LC885" s="2141" t="str">
        <f t="shared" si="293"/>
        <v/>
      </c>
      <c r="LD885" s="2141" t="str">
        <f t="shared" si="294"/>
        <v/>
      </c>
      <c r="LE885" s="2141" t="str">
        <f t="shared" si="295"/>
        <v/>
      </c>
      <c r="LF885" s="2141" t="str">
        <f t="shared" si="296"/>
        <v/>
      </c>
      <c r="LG885" s="2052" t="str">
        <f t="shared" si="297"/>
        <v/>
      </c>
      <c r="LH885" s="2052" t="str">
        <f t="shared" si="298"/>
        <v/>
      </c>
      <c r="LI885" s="2052" t="str">
        <f t="shared" si="299"/>
        <v/>
      </c>
      <c r="LJ885" s="2052" t="str">
        <f t="shared" si="300"/>
        <v/>
      </c>
      <c r="LK885" s="2052" t="str">
        <f t="shared" si="301"/>
        <v/>
      </c>
      <c r="LL885" s="1853" t="str">
        <f t="shared" si="302"/>
        <v/>
      </c>
      <c r="LM885" s="1853" t="str">
        <f t="shared" si="303"/>
        <v/>
      </c>
      <c r="LN885" s="1853" t="str">
        <f t="shared" si="304"/>
        <v/>
      </c>
      <c r="LO885" s="1853" t="str">
        <f t="shared" si="305"/>
        <v/>
      </c>
      <c r="LP885" s="1853" t="str">
        <f t="shared" si="306"/>
        <v/>
      </c>
      <c r="LQ885" s="1853" t="str">
        <f t="shared" si="307"/>
        <v/>
      </c>
      <c r="LR885" s="1853" t="str">
        <f t="shared" si="308"/>
        <v/>
      </c>
      <c r="LS885" s="1853" t="str">
        <f t="shared" si="309"/>
        <v/>
      </c>
      <c r="LT885" s="1853" t="str">
        <f t="shared" si="310"/>
        <v/>
      </c>
      <c r="LU885" s="1853" t="str">
        <f t="shared" si="311"/>
        <v/>
      </c>
      <c r="LV885" s="1853" t="str">
        <f t="shared" si="312"/>
        <v/>
      </c>
      <c r="LW885" s="1853" t="str">
        <f t="shared" si="313"/>
        <v/>
      </c>
      <c r="LX885" s="1853" t="str">
        <f t="shared" si="314"/>
        <v/>
      </c>
      <c r="LY885" s="1853" t="str">
        <f t="shared" si="315"/>
        <v/>
      </c>
      <c r="LZ885" s="1853" t="str">
        <f t="shared" si="316"/>
        <v/>
      </c>
      <c r="MA885" s="1853" t="str">
        <f t="shared" si="317"/>
        <v/>
      </c>
      <c r="MB885" s="1853" t="str">
        <f t="shared" si="318"/>
        <v/>
      </c>
      <c r="MC885" s="1853" t="str">
        <f t="shared" si="319"/>
        <v/>
      </c>
      <c r="MD885" s="1853" t="str">
        <f t="shared" si="320"/>
        <v/>
      </c>
      <c r="ME885" s="1853" t="str">
        <f t="shared" si="321"/>
        <v/>
      </c>
      <c r="MF885" s="2052">
        <f t="shared" si="328"/>
        <v>0</v>
      </c>
      <c r="MG885" s="2052">
        <f t="shared" si="329"/>
        <v>0</v>
      </c>
      <c r="MH885" s="2052">
        <f t="shared" si="330"/>
        <v>0</v>
      </c>
      <c r="MI885" s="2052">
        <f t="shared" si="331"/>
        <v>0</v>
      </c>
      <c r="MJ885" s="2052">
        <f t="shared" si="332"/>
        <v>0</v>
      </c>
      <c r="MK885" s="2052">
        <f t="shared" si="333"/>
        <v>0</v>
      </c>
      <c r="ML885" s="2052">
        <f t="shared" si="334"/>
        <v>0</v>
      </c>
      <c r="MM885" s="2052">
        <f t="shared" si="335"/>
        <v>0</v>
      </c>
      <c r="MN885" s="2052">
        <f t="shared" si="336"/>
        <v>0</v>
      </c>
      <c r="MO885" s="2052">
        <f t="shared" si="337"/>
        <v>0</v>
      </c>
      <c r="MP885" s="2052">
        <f t="shared" si="322"/>
        <v>0</v>
      </c>
      <c r="MQ885" s="2052">
        <f t="shared" si="323"/>
        <v>0</v>
      </c>
      <c r="MR885" s="2052">
        <f t="shared" si="324"/>
        <v>0</v>
      </c>
      <c r="MS885" s="2052">
        <f t="shared" si="325"/>
        <v>0</v>
      </c>
      <c r="MT885" s="2052">
        <f t="shared" si="326"/>
        <v>0</v>
      </c>
      <c r="NP885" s="1925" t="s">
        <v>6751</v>
      </c>
    </row>
    <row r="886" spans="1:380" s="1853" customFormat="1" ht="13.9" customHeight="1">
      <c r="A886" s="2109" t="str">
        <f t="shared" si="327"/>
        <v/>
      </c>
      <c r="B886" s="2131">
        <f>'Part VI-Revenues &amp; Expenses'!B46</f>
        <v>0</v>
      </c>
      <c r="C886" s="2132">
        <f>'Part VI-Revenues &amp; Expenses'!C46</f>
        <v>0</v>
      </c>
      <c r="D886" s="2133">
        <f>'Part VI-Revenues &amp; Expenses'!D46</f>
        <v>0</v>
      </c>
      <c r="E886" s="2134">
        <f>'Part VI-Revenues &amp; Expenses'!E46</f>
        <v>0</v>
      </c>
      <c r="F886" s="2134">
        <f>'Part VI-Revenues &amp; Expenses'!F46</f>
        <v>0</v>
      </c>
      <c r="G886" s="2134">
        <f>'Part VI-Revenues &amp; Expenses'!G46</f>
        <v>0</v>
      </c>
      <c r="H886" s="2134">
        <f>'Part VI-Revenues &amp; Expenses'!H46</f>
        <v>0</v>
      </c>
      <c r="I886" s="2134">
        <f>'Part VI-Revenues &amp; Expenses'!I46</f>
        <v>0</v>
      </c>
      <c r="J886" s="2134">
        <f>'Part VI-Revenues &amp; Expenses'!J46</f>
        <v>0</v>
      </c>
      <c r="K886" s="2135">
        <f>'Part VI-Revenues &amp; Expenses'!K46</f>
        <v>0</v>
      </c>
      <c r="L886" s="2136">
        <f t="shared" si="0"/>
        <v>0</v>
      </c>
      <c r="M886" s="2136">
        <f t="shared" si="1"/>
        <v>0</v>
      </c>
      <c r="N886" s="1917">
        <f>'Part VI-Revenues &amp; Expenses'!N46</f>
        <v>0</v>
      </c>
      <c r="O886" s="2137">
        <f>'Part VI-Revenues &amp; Expenses'!O46</f>
        <v>0</v>
      </c>
      <c r="P886" s="1917">
        <f>'Part VI-Revenues &amp; Expenses'!P46</f>
        <v>0</v>
      </c>
      <c r="Q886" s="2138">
        <f>'Part VI-Revenues &amp; Expenses'!Q46</f>
        <v>0</v>
      </c>
      <c r="R886" s="2139"/>
      <c r="S886" s="2140"/>
      <c r="T886" s="2044"/>
      <c r="U886" s="2044"/>
      <c r="V886" s="2044"/>
      <c r="W886" s="2044"/>
      <c r="X886" s="1853" t="str">
        <f t="shared" si="2"/>
        <v/>
      </c>
      <c r="Y886" s="1853" t="str">
        <f t="shared" si="3"/>
        <v/>
      </c>
      <c r="Z886" s="1853" t="str">
        <f t="shared" si="4"/>
        <v/>
      </c>
      <c r="AA886" s="1853" t="str">
        <f t="shared" si="5"/>
        <v/>
      </c>
      <c r="AB886" s="1853" t="str">
        <f t="shared" si="6"/>
        <v/>
      </c>
      <c r="AC886" s="1853" t="str">
        <f t="shared" si="7"/>
        <v/>
      </c>
      <c r="AD886" s="1853" t="str">
        <f t="shared" si="8"/>
        <v/>
      </c>
      <c r="AE886" s="1853" t="str">
        <f t="shared" si="9"/>
        <v/>
      </c>
      <c r="AF886" s="1853" t="str">
        <f t="shared" si="10"/>
        <v/>
      </c>
      <c r="AG886" s="1853" t="str">
        <f t="shared" si="11"/>
        <v/>
      </c>
      <c r="AH886" s="1853" t="str">
        <f t="shared" si="12"/>
        <v/>
      </c>
      <c r="AI886" s="1853" t="str">
        <f t="shared" si="13"/>
        <v/>
      </c>
      <c r="AJ886" s="1853" t="str">
        <f t="shared" si="14"/>
        <v/>
      </c>
      <c r="AK886" s="1853" t="str">
        <f t="shared" si="15"/>
        <v/>
      </c>
      <c r="AL886" s="1853" t="str">
        <f t="shared" si="16"/>
        <v/>
      </c>
      <c r="AM886" s="1853" t="str">
        <f t="shared" si="17"/>
        <v/>
      </c>
      <c r="AN886" s="1853" t="str">
        <f t="shared" si="18"/>
        <v/>
      </c>
      <c r="AO886" s="1853" t="str">
        <f t="shared" si="19"/>
        <v/>
      </c>
      <c r="AP886" s="1853" t="str">
        <f t="shared" si="20"/>
        <v/>
      </c>
      <c r="AQ886" s="1853" t="str">
        <f t="shared" si="21"/>
        <v/>
      </c>
      <c r="AR886" s="1853" t="str">
        <f t="shared" si="22"/>
        <v/>
      </c>
      <c r="AS886" s="1853" t="str">
        <f t="shared" si="23"/>
        <v/>
      </c>
      <c r="AT886" s="1853" t="str">
        <f t="shared" si="24"/>
        <v/>
      </c>
      <c r="AU886" s="1853" t="str">
        <f t="shared" si="25"/>
        <v/>
      </c>
      <c r="AV886" s="1853" t="str">
        <f t="shared" si="26"/>
        <v/>
      </c>
      <c r="AW886" s="1853" t="str">
        <f t="shared" si="27"/>
        <v/>
      </c>
      <c r="AX886" s="1853" t="str">
        <f t="shared" si="28"/>
        <v/>
      </c>
      <c r="AY886" s="1853" t="str">
        <f t="shared" si="29"/>
        <v/>
      </c>
      <c r="AZ886" s="1853" t="str">
        <f t="shared" si="30"/>
        <v/>
      </c>
      <c r="BA886" s="1853" t="str">
        <f t="shared" si="31"/>
        <v/>
      </c>
      <c r="BB886" s="1853" t="str">
        <f t="shared" si="32"/>
        <v/>
      </c>
      <c r="BC886" s="1853" t="str">
        <f t="shared" si="33"/>
        <v/>
      </c>
      <c r="BD886" s="1853" t="str">
        <f t="shared" si="34"/>
        <v/>
      </c>
      <c r="BE886" s="1853" t="str">
        <f t="shared" si="35"/>
        <v/>
      </c>
      <c r="BF886" s="1853" t="str">
        <f t="shared" si="36"/>
        <v/>
      </c>
      <c r="BG886" s="1853" t="str">
        <f t="shared" si="37"/>
        <v/>
      </c>
      <c r="BH886" s="1853" t="str">
        <f t="shared" si="38"/>
        <v/>
      </c>
      <c r="BI886" s="1853" t="str">
        <f t="shared" si="39"/>
        <v/>
      </c>
      <c r="BJ886" s="1853" t="str">
        <f t="shared" si="40"/>
        <v/>
      </c>
      <c r="BK886" s="1853" t="str">
        <f t="shared" si="41"/>
        <v/>
      </c>
      <c r="BL886" s="1853" t="str">
        <f t="shared" si="42"/>
        <v/>
      </c>
      <c r="BM886" s="1853" t="str">
        <f t="shared" si="43"/>
        <v/>
      </c>
      <c r="BN886" s="1853" t="str">
        <f t="shared" si="44"/>
        <v/>
      </c>
      <c r="BO886" s="1853" t="str">
        <f t="shared" si="45"/>
        <v/>
      </c>
      <c r="BP886" s="1853" t="str">
        <f t="shared" si="46"/>
        <v/>
      </c>
      <c r="BQ886" s="1853" t="str">
        <f t="shared" si="47"/>
        <v/>
      </c>
      <c r="BR886" s="1853" t="str">
        <f t="shared" si="48"/>
        <v/>
      </c>
      <c r="BS886" s="1853" t="str">
        <f t="shared" si="49"/>
        <v/>
      </c>
      <c r="BT886" s="1853" t="str">
        <f t="shared" si="50"/>
        <v/>
      </c>
      <c r="BU886" s="1853" t="str">
        <f t="shared" si="51"/>
        <v/>
      </c>
      <c r="BV886" s="1853" t="str">
        <f t="shared" si="52"/>
        <v/>
      </c>
      <c r="BW886" s="1853" t="str">
        <f t="shared" si="53"/>
        <v/>
      </c>
      <c r="BX886" s="1853" t="str">
        <f t="shared" si="54"/>
        <v/>
      </c>
      <c r="BY886" s="1853" t="str">
        <f t="shared" si="55"/>
        <v/>
      </c>
      <c r="BZ886" s="1853" t="str">
        <f t="shared" si="56"/>
        <v/>
      </c>
      <c r="CA886" s="1853" t="str">
        <f t="shared" si="57"/>
        <v/>
      </c>
      <c r="CB886" s="1853" t="str">
        <f t="shared" si="58"/>
        <v/>
      </c>
      <c r="CC886" s="1853" t="str">
        <f t="shared" si="59"/>
        <v/>
      </c>
      <c r="CD886" s="1853" t="str">
        <f t="shared" si="60"/>
        <v/>
      </c>
      <c r="CE886" s="1853" t="str">
        <f t="shared" si="61"/>
        <v/>
      </c>
      <c r="CF886" s="1853" t="str">
        <f t="shared" si="62"/>
        <v/>
      </c>
      <c r="CG886" s="1853" t="str">
        <f t="shared" si="63"/>
        <v/>
      </c>
      <c r="CH886" s="1853" t="str">
        <f t="shared" si="64"/>
        <v/>
      </c>
      <c r="CI886" s="1853" t="str">
        <f t="shared" si="65"/>
        <v/>
      </c>
      <c r="CJ886" s="1853" t="str">
        <f t="shared" si="66"/>
        <v/>
      </c>
      <c r="CK886" s="1853" t="str">
        <f t="shared" si="67"/>
        <v/>
      </c>
      <c r="CL886" s="1853" t="str">
        <f t="shared" si="68"/>
        <v/>
      </c>
      <c r="CM886" s="1853" t="str">
        <f t="shared" si="69"/>
        <v/>
      </c>
      <c r="CN886" s="1853" t="str">
        <f t="shared" si="70"/>
        <v/>
      </c>
      <c r="CO886" s="1853" t="str">
        <f t="shared" si="71"/>
        <v/>
      </c>
      <c r="CP886" s="1853" t="str">
        <f t="shared" si="72"/>
        <v/>
      </c>
      <c r="CQ886" s="1853" t="str">
        <f t="shared" si="73"/>
        <v/>
      </c>
      <c r="CR886" s="1853" t="str">
        <f t="shared" si="74"/>
        <v/>
      </c>
      <c r="CS886" s="1853" t="str">
        <f t="shared" si="75"/>
        <v/>
      </c>
      <c r="CT886" s="1853" t="str">
        <f t="shared" si="76"/>
        <v/>
      </c>
      <c r="CU886" s="1853" t="str">
        <f t="shared" si="77"/>
        <v/>
      </c>
      <c r="CV886" s="1853" t="str">
        <f t="shared" si="78"/>
        <v/>
      </c>
      <c r="CW886" s="1853" t="str">
        <f t="shared" si="79"/>
        <v/>
      </c>
      <c r="CX886" s="1853" t="str">
        <f t="shared" si="80"/>
        <v/>
      </c>
      <c r="CY886" s="1853" t="str">
        <f t="shared" si="81"/>
        <v/>
      </c>
      <c r="CZ886" s="1853" t="str">
        <f t="shared" si="82"/>
        <v/>
      </c>
      <c r="DA886" s="1853" t="str">
        <f t="shared" si="83"/>
        <v/>
      </c>
      <c r="DB886" s="1853" t="str">
        <f t="shared" si="84"/>
        <v/>
      </c>
      <c r="DC886" s="1853" t="str">
        <f t="shared" si="85"/>
        <v/>
      </c>
      <c r="DD886" s="1853" t="str">
        <f t="shared" si="86"/>
        <v/>
      </c>
      <c r="DE886" s="1853" t="str">
        <f t="shared" si="87"/>
        <v/>
      </c>
      <c r="DF886" s="1853" t="str">
        <f t="shared" si="88"/>
        <v/>
      </c>
      <c r="DG886" s="1853" t="str">
        <f t="shared" si="89"/>
        <v/>
      </c>
      <c r="DH886" s="1853" t="str">
        <f t="shared" si="90"/>
        <v/>
      </c>
      <c r="DI886" s="1853" t="str">
        <f t="shared" si="91"/>
        <v/>
      </c>
      <c r="DJ886" s="1853" t="str">
        <f t="shared" si="92"/>
        <v/>
      </c>
      <c r="DK886" s="1853" t="str">
        <f t="shared" si="93"/>
        <v/>
      </c>
      <c r="DL886" s="1853" t="str">
        <f t="shared" si="94"/>
        <v/>
      </c>
      <c r="DM886" s="1853" t="str">
        <f t="shared" si="95"/>
        <v/>
      </c>
      <c r="DN886" s="1853" t="str">
        <f t="shared" si="96"/>
        <v/>
      </c>
      <c r="DO886" s="1853" t="str">
        <f t="shared" si="97"/>
        <v/>
      </c>
      <c r="DP886" s="1853" t="str">
        <f t="shared" si="98"/>
        <v/>
      </c>
      <c r="DQ886" s="1853" t="str">
        <f t="shared" si="99"/>
        <v/>
      </c>
      <c r="DR886" s="1853" t="str">
        <f t="shared" si="100"/>
        <v/>
      </c>
      <c r="DS886" s="1853" t="str">
        <f t="shared" si="101"/>
        <v/>
      </c>
      <c r="DT886" s="1853" t="str">
        <f t="shared" si="102"/>
        <v/>
      </c>
      <c r="DU886" s="1853" t="str">
        <f t="shared" si="103"/>
        <v/>
      </c>
      <c r="DV886" s="1853" t="str">
        <f t="shared" si="104"/>
        <v/>
      </c>
      <c r="DW886" s="1853" t="str">
        <f t="shared" si="105"/>
        <v/>
      </c>
      <c r="DX886" s="1853" t="str">
        <f t="shared" si="106"/>
        <v/>
      </c>
      <c r="DY886" s="1853" t="str">
        <f t="shared" si="107"/>
        <v/>
      </c>
      <c r="DZ886" s="1853" t="str">
        <f t="shared" si="108"/>
        <v/>
      </c>
      <c r="EA886" s="1853" t="str">
        <f t="shared" si="109"/>
        <v/>
      </c>
      <c r="EB886" s="1853" t="str">
        <f t="shared" si="110"/>
        <v/>
      </c>
      <c r="EC886" s="1853" t="str">
        <f t="shared" si="111"/>
        <v/>
      </c>
      <c r="ED886" s="1853" t="str">
        <f t="shared" si="112"/>
        <v/>
      </c>
      <c r="EE886" s="1853" t="str">
        <f t="shared" si="113"/>
        <v/>
      </c>
      <c r="EF886" s="1853" t="str">
        <f t="shared" si="114"/>
        <v/>
      </c>
      <c r="EG886" s="1853" t="str">
        <f t="shared" si="115"/>
        <v/>
      </c>
      <c r="EH886" s="1853" t="str">
        <f t="shared" si="116"/>
        <v/>
      </c>
      <c r="EI886" s="1853" t="str">
        <f t="shared" si="117"/>
        <v/>
      </c>
      <c r="EJ886" s="1853" t="str">
        <f t="shared" si="118"/>
        <v/>
      </c>
      <c r="EK886" s="1853" t="str">
        <f t="shared" si="119"/>
        <v/>
      </c>
      <c r="EL886" s="1853" t="str">
        <f t="shared" si="120"/>
        <v/>
      </c>
      <c r="EM886" s="1853" t="str">
        <f t="shared" si="121"/>
        <v/>
      </c>
      <c r="EN886" s="1853" t="str">
        <f t="shared" si="122"/>
        <v/>
      </c>
      <c r="EO886" s="1853" t="str">
        <f t="shared" si="123"/>
        <v/>
      </c>
      <c r="EP886" s="1853" t="str">
        <f t="shared" si="124"/>
        <v/>
      </c>
      <c r="EQ886" s="1853" t="str">
        <f t="shared" si="125"/>
        <v/>
      </c>
      <c r="ER886" s="1853" t="str">
        <f t="shared" si="126"/>
        <v/>
      </c>
      <c r="ES886" s="1853" t="str">
        <f t="shared" si="127"/>
        <v/>
      </c>
      <c r="ET886" s="1853" t="str">
        <f t="shared" si="128"/>
        <v/>
      </c>
      <c r="EU886" s="1853" t="str">
        <f t="shared" si="129"/>
        <v/>
      </c>
      <c r="EV886" s="1853" t="str">
        <f t="shared" si="130"/>
        <v/>
      </c>
      <c r="EW886" s="1853" t="str">
        <f t="shared" si="131"/>
        <v/>
      </c>
      <c r="EX886" s="1853" t="str">
        <f t="shared" si="132"/>
        <v/>
      </c>
      <c r="EY886" s="1853" t="str">
        <f t="shared" si="133"/>
        <v/>
      </c>
      <c r="EZ886" s="1853" t="str">
        <f t="shared" si="134"/>
        <v/>
      </c>
      <c r="FA886" s="1853" t="str">
        <f t="shared" si="135"/>
        <v/>
      </c>
      <c r="FB886" s="1853" t="str">
        <f t="shared" si="136"/>
        <v/>
      </c>
      <c r="FC886" s="1853" t="str">
        <f t="shared" si="137"/>
        <v/>
      </c>
      <c r="FD886" s="1853" t="str">
        <f t="shared" si="138"/>
        <v/>
      </c>
      <c r="FE886" s="1853" t="str">
        <f t="shared" si="139"/>
        <v/>
      </c>
      <c r="FF886" s="1853" t="str">
        <f t="shared" si="140"/>
        <v/>
      </c>
      <c r="FG886" s="1853" t="str">
        <f t="shared" si="141"/>
        <v/>
      </c>
      <c r="FH886" s="1853" t="str">
        <f t="shared" si="142"/>
        <v/>
      </c>
      <c r="FI886" s="1853" t="str">
        <f t="shared" si="143"/>
        <v/>
      </c>
      <c r="FJ886" s="1853" t="str">
        <f t="shared" si="144"/>
        <v/>
      </c>
      <c r="FK886" s="1853" t="str">
        <f t="shared" si="145"/>
        <v/>
      </c>
      <c r="FL886" s="1853" t="str">
        <f t="shared" si="146"/>
        <v/>
      </c>
      <c r="FM886" s="1853" t="str">
        <f t="shared" si="147"/>
        <v/>
      </c>
      <c r="FN886" s="1853" t="str">
        <f t="shared" si="148"/>
        <v/>
      </c>
      <c r="FO886" s="1853" t="str">
        <f t="shared" si="149"/>
        <v/>
      </c>
      <c r="FP886" s="1853" t="str">
        <f t="shared" si="150"/>
        <v/>
      </c>
      <c r="FQ886" s="1853" t="str">
        <f t="shared" si="151"/>
        <v/>
      </c>
      <c r="FR886" s="1853" t="str">
        <f t="shared" si="152"/>
        <v/>
      </c>
      <c r="FS886" s="1853" t="str">
        <f t="shared" si="153"/>
        <v/>
      </c>
      <c r="FT886" s="1853" t="str">
        <f t="shared" si="154"/>
        <v/>
      </c>
      <c r="FU886" s="1853" t="str">
        <f t="shared" si="155"/>
        <v/>
      </c>
      <c r="FV886" s="1853" t="str">
        <f t="shared" si="156"/>
        <v/>
      </c>
      <c r="FW886" s="1853" t="str">
        <f t="shared" si="157"/>
        <v/>
      </c>
      <c r="FX886" s="1853" t="str">
        <f t="shared" si="158"/>
        <v/>
      </c>
      <c r="FY886" s="1853" t="str">
        <f t="shared" si="159"/>
        <v/>
      </c>
      <c r="FZ886" s="1853" t="str">
        <f t="shared" si="160"/>
        <v/>
      </c>
      <c r="GA886" s="1853" t="str">
        <f t="shared" si="161"/>
        <v/>
      </c>
      <c r="GB886" s="1853" t="str">
        <f t="shared" si="162"/>
        <v/>
      </c>
      <c r="GC886" s="1853" t="str">
        <f t="shared" si="163"/>
        <v/>
      </c>
      <c r="GD886" s="1853" t="str">
        <f t="shared" si="164"/>
        <v/>
      </c>
      <c r="GE886" s="1853" t="str">
        <f t="shared" si="165"/>
        <v/>
      </c>
      <c r="GF886" s="1853" t="str">
        <f t="shared" si="166"/>
        <v/>
      </c>
      <c r="GG886" s="1853" t="str">
        <f t="shared" si="167"/>
        <v/>
      </c>
      <c r="GH886" s="1853" t="str">
        <f t="shared" si="168"/>
        <v/>
      </c>
      <c r="GI886" s="1853" t="str">
        <f t="shared" si="169"/>
        <v/>
      </c>
      <c r="GJ886" s="1853" t="str">
        <f t="shared" si="170"/>
        <v/>
      </c>
      <c r="GK886" s="1853" t="str">
        <f t="shared" si="171"/>
        <v/>
      </c>
      <c r="GL886" s="1853" t="str">
        <f t="shared" si="172"/>
        <v/>
      </c>
      <c r="GM886" s="1853" t="str">
        <f t="shared" si="173"/>
        <v/>
      </c>
      <c r="GN886" s="1853" t="str">
        <f t="shared" si="174"/>
        <v/>
      </c>
      <c r="GO886" s="1853" t="str">
        <f t="shared" si="175"/>
        <v/>
      </c>
      <c r="GP886" s="1853" t="str">
        <f t="shared" si="176"/>
        <v/>
      </c>
      <c r="GQ886" s="1853" t="str">
        <f t="shared" si="177"/>
        <v/>
      </c>
      <c r="GR886" s="1853" t="str">
        <f t="shared" si="178"/>
        <v/>
      </c>
      <c r="GS886" s="1853" t="str">
        <f t="shared" si="179"/>
        <v/>
      </c>
      <c r="GT886" s="1853" t="str">
        <f t="shared" si="180"/>
        <v/>
      </c>
      <c r="GU886" s="1853" t="str">
        <f t="shared" si="181"/>
        <v/>
      </c>
      <c r="GV886" s="1853" t="str">
        <f t="shared" si="182"/>
        <v/>
      </c>
      <c r="GW886" s="1853" t="str">
        <f t="shared" si="183"/>
        <v/>
      </c>
      <c r="GX886" s="1853" t="str">
        <f t="shared" si="184"/>
        <v/>
      </c>
      <c r="GY886" s="1853" t="str">
        <f t="shared" si="185"/>
        <v/>
      </c>
      <c r="GZ886" s="1853" t="str">
        <f t="shared" si="186"/>
        <v/>
      </c>
      <c r="HA886" s="1853" t="str">
        <f t="shared" si="187"/>
        <v/>
      </c>
      <c r="HB886" s="1853" t="str">
        <f t="shared" si="188"/>
        <v/>
      </c>
      <c r="HC886" s="1853" t="str">
        <f t="shared" si="189"/>
        <v/>
      </c>
      <c r="HD886" s="1853" t="str">
        <f t="shared" si="190"/>
        <v/>
      </c>
      <c r="HE886" s="1853" t="str">
        <f t="shared" si="191"/>
        <v/>
      </c>
      <c r="HF886" s="1853" t="str">
        <f t="shared" si="192"/>
        <v/>
      </c>
      <c r="HG886" s="1853" t="str">
        <f t="shared" si="193"/>
        <v/>
      </c>
      <c r="HH886" s="1853" t="str">
        <f t="shared" si="194"/>
        <v/>
      </c>
      <c r="HI886" s="1853" t="str">
        <f t="shared" si="195"/>
        <v/>
      </c>
      <c r="HJ886" s="1853" t="str">
        <f t="shared" si="196"/>
        <v/>
      </c>
      <c r="HK886" s="1853" t="str">
        <f t="shared" si="197"/>
        <v/>
      </c>
      <c r="HL886" s="1853" t="str">
        <f t="shared" si="198"/>
        <v/>
      </c>
      <c r="HM886" s="1853" t="str">
        <f t="shared" si="199"/>
        <v/>
      </c>
      <c r="HN886" s="1853" t="str">
        <f t="shared" si="200"/>
        <v/>
      </c>
      <c r="HO886" s="1853" t="str">
        <f t="shared" si="201"/>
        <v/>
      </c>
      <c r="HP886" s="1853" t="str">
        <f t="shared" si="202"/>
        <v/>
      </c>
      <c r="HQ886" s="1853" t="str">
        <f t="shared" si="203"/>
        <v/>
      </c>
      <c r="HR886" s="1853" t="str">
        <f t="shared" si="204"/>
        <v/>
      </c>
      <c r="HS886" s="1853" t="str">
        <f t="shared" si="205"/>
        <v/>
      </c>
      <c r="HT886" s="1853" t="str">
        <f t="shared" si="206"/>
        <v/>
      </c>
      <c r="HU886" s="1853" t="str">
        <f t="shared" si="207"/>
        <v/>
      </c>
      <c r="HV886" s="1853" t="str">
        <f t="shared" si="208"/>
        <v/>
      </c>
      <c r="HW886" s="1853" t="str">
        <f t="shared" si="209"/>
        <v/>
      </c>
      <c r="HX886" s="1853" t="str">
        <f t="shared" si="210"/>
        <v/>
      </c>
      <c r="HY886" s="1853" t="str">
        <f t="shared" si="211"/>
        <v/>
      </c>
      <c r="HZ886" s="2141" t="str">
        <f t="shared" si="212"/>
        <v/>
      </c>
      <c r="IA886" s="2141" t="str">
        <f t="shared" si="213"/>
        <v/>
      </c>
      <c r="IB886" s="2141" t="str">
        <f t="shared" si="214"/>
        <v/>
      </c>
      <c r="IC886" s="2141" t="str">
        <f t="shared" si="215"/>
        <v/>
      </c>
      <c r="ID886" s="2141" t="str">
        <f t="shared" si="216"/>
        <v/>
      </c>
      <c r="IE886" s="2141" t="str">
        <f t="shared" si="217"/>
        <v/>
      </c>
      <c r="IF886" s="2141" t="str">
        <f t="shared" si="218"/>
        <v/>
      </c>
      <c r="IG886" s="2141" t="str">
        <f t="shared" si="219"/>
        <v/>
      </c>
      <c r="IH886" s="2141" t="str">
        <f t="shared" si="220"/>
        <v/>
      </c>
      <c r="II886" s="2141" t="str">
        <f t="shared" si="221"/>
        <v/>
      </c>
      <c r="IJ886" s="2141" t="str">
        <f t="shared" si="222"/>
        <v/>
      </c>
      <c r="IK886" s="2141" t="str">
        <f t="shared" si="223"/>
        <v/>
      </c>
      <c r="IL886" s="2141" t="str">
        <f t="shared" si="224"/>
        <v/>
      </c>
      <c r="IM886" s="2141" t="str">
        <f t="shared" si="225"/>
        <v/>
      </c>
      <c r="IN886" s="2141" t="str">
        <f t="shared" si="226"/>
        <v/>
      </c>
      <c r="IO886" s="2141" t="str">
        <f t="shared" si="227"/>
        <v/>
      </c>
      <c r="IP886" s="2141" t="str">
        <f t="shared" si="228"/>
        <v/>
      </c>
      <c r="IQ886" s="2141" t="str">
        <f t="shared" si="229"/>
        <v/>
      </c>
      <c r="IR886" s="2141" t="str">
        <f t="shared" si="230"/>
        <v/>
      </c>
      <c r="IS886" s="2141" t="str">
        <f t="shared" si="231"/>
        <v/>
      </c>
      <c r="IT886" s="2141" t="str">
        <f t="shared" si="232"/>
        <v/>
      </c>
      <c r="IU886" s="2141" t="str">
        <f t="shared" si="233"/>
        <v/>
      </c>
      <c r="IV886" s="2141" t="str">
        <f t="shared" si="234"/>
        <v/>
      </c>
      <c r="IW886" s="2141" t="str">
        <f t="shared" si="235"/>
        <v/>
      </c>
      <c r="IX886" s="2141" t="str">
        <f t="shared" si="236"/>
        <v/>
      </c>
      <c r="IY886" s="2141" t="str">
        <f t="shared" si="237"/>
        <v/>
      </c>
      <c r="IZ886" s="2141" t="str">
        <f t="shared" si="238"/>
        <v/>
      </c>
      <c r="JA886" s="2141" t="str">
        <f t="shared" si="239"/>
        <v/>
      </c>
      <c r="JB886" s="2141" t="str">
        <f t="shared" si="240"/>
        <v/>
      </c>
      <c r="JC886" s="2141" t="str">
        <f t="shared" si="241"/>
        <v/>
      </c>
      <c r="JD886" s="2141" t="str">
        <f t="shared" si="242"/>
        <v/>
      </c>
      <c r="JE886" s="2141" t="str">
        <f t="shared" si="243"/>
        <v/>
      </c>
      <c r="JF886" s="2141" t="str">
        <f t="shared" si="244"/>
        <v/>
      </c>
      <c r="JG886" s="2141" t="str">
        <f t="shared" si="245"/>
        <v/>
      </c>
      <c r="JH886" s="2141" t="str">
        <f t="shared" si="246"/>
        <v/>
      </c>
      <c r="JI886" s="2141" t="str">
        <f t="shared" si="247"/>
        <v/>
      </c>
      <c r="JJ886" s="2141" t="str">
        <f t="shared" si="248"/>
        <v/>
      </c>
      <c r="JK886" s="2141" t="str">
        <f t="shared" si="249"/>
        <v/>
      </c>
      <c r="JL886" s="2141" t="str">
        <f t="shared" si="250"/>
        <v/>
      </c>
      <c r="JM886" s="2141" t="str">
        <f t="shared" si="251"/>
        <v/>
      </c>
      <c r="JN886" s="2141" t="str">
        <f t="shared" si="252"/>
        <v/>
      </c>
      <c r="JO886" s="2141" t="str">
        <f t="shared" si="253"/>
        <v/>
      </c>
      <c r="JP886" s="2141" t="str">
        <f t="shared" si="254"/>
        <v/>
      </c>
      <c r="JQ886" s="2141" t="str">
        <f t="shared" si="255"/>
        <v/>
      </c>
      <c r="JR886" s="2141" t="str">
        <f t="shared" si="256"/>
        <v/>
      </c>
      <c r="JS886" s="2141" t="str">
        <f t="shared" si="257"/>
        <v/>
      </c>
      <c r="JT886" s="2141" t="str">
        <f t="shared" si="258"/>
        <v/>
      </c>
      <c r="JU886" s="2141" t="str">
        <f t="shared" si="259"/>
        <v/>
      </c>
      <c r="JV886" s="2141" t="str">
        <f t="shared" si="260"/>
        <v/>
      </c>
      <c r="JW886" s="2141" t="str">
        <f t="shared" si="261"/>
        <v/>
      </c>
      <c r="JX886" s="2141" t="str">
        <f t="shared" si="262"/>
        <v/>
      </c>
      <c r="JY886" s="2141" t="str">
        <f t="shared" si="263"/>
        <v/>
      </c>
      <c r="JZ886" s="2141" t="str">
        <f t="shared" si="264"/>
        <v/>
      </c>
      <c r="KA886" s="2141" t="str">
        <f t="shared" si="265"/>
        <v/>
      </c>
      <c r="KB886" s="2141" t="str">
        <f t="shared" si="266"/>
        <v/>
      </c>
      <c r="KC886" s="2141" t="str">
        <f t="shared" si="267"/>
        <v/>
      </c>
      <c r="KD886" s="2141" t="str">
        <f t="shared" si="268"/>
        <v/>
      </c>
      <c r="KE886" s="2141" t="str">
        <f t="shared" si="269"/>
        <v/>
      </c>
      <c r="KF886" s="2141" t="str">
        <f t="shared" si="270"/>
        <v/>
      </c>
      <c r="KG886" s="2141" t="str">
        <f t="shared" si="271"/>
        <v/>
      </c>
      <c r="KH886" s="2141" t="str">
        <f t="shared" si="272"/>
        <v/>
      </c>
      <c r="KI886" s="2141" t="str">
        <f t="shared" si="273"/>
        <v/>
      </c>
      <c r="KJ886" s="2141" t="str">
        <f t="shared" si="274"/>
        <v/>
      </c>
      <c r="KK886" s="2141" t="str">
        <f t="shared" si="275"/>
        <v/>
      </c>
      <c r="KL886" s="2141" t="str">
        <f t="shared" si="276"/>
        <v/>
      </c>
      <c r="KM886" s="2141" t="str">
        <f t="shared" si="277"/>
        <v/>
      </c>
      <c r="KN886" s="2141" t="str">
        <f t="shared" si="278"/>
        <v/>
      </c>
      <c r="KO886" s="2141" t="str">
        <f t="shared" si="279"/>
        <v/>
      </c>
      <c r="KP886" s="2141" t="str">
        <f t="shared" si="280"/>
        <v/>
      </c>
      <c r="KQ886" s="2141" t="str">
        <f t="shared" si="281"/>
        <v/>
      </c>
      <c r="KR886" s="2141" t="str">
        <f t="shared" si="282"/>
        <v/>
      </c>
      <c r="KS886" s="2141" t="str">
        <f t="shared" si="283"/>
        <v/>
      </c>
      <c r="KT886" s="2141" t="str">
        <f t="shared" si="284"/>
        <v/>
      </c>
      <c r="KU886" s="2141" t="str">
        <f t="shared" si="285"/>
        <v/>
      </c>
      <c r="KV886" s="2141" t="str">
        <f t="shared" si="286"/>
        <v/>
      </c>
      <c r="KW886" s="2141" t="str">
        <f t="shared" si="287"/>
        <v/>
      </c>
      <c r="KX886" s="2141" t="str">
        <f t="shared" si="288"/>
        <v/>
      </c>
      <c r="KY886" s="2141" t="str">
        <f t="shared" si="289"/>
        <v/>
      </c>
      <c r="KZ886" s="2141" t="str">
        <f t="shared" si="290"/>
        <v/>
      </c>
      <c r="LA886" s="2141" t="str">
        <f t="shared" si="291"/>
        <v/>
      </c>
      <c r="LB886" s="2141" t="str">
        <f t="shared" si="292"/>
        <v/>
      </c>
      <c r="LC886" s="2141" t="str">
        <f t="shared" si="293"/>
        <v/>
      </c>
      <c r="LD886" s="2141" t="str">
        <f t="shared" si="294"/>
        <v/>
      </c>
      <c r="LE886" s="2141" t="str">
        <f t="shared" si="295"/>
        <v/>
      </c>
      <c r="LF886" s="2141" t="str">
        <f t="shared" si="296"/>
        <v/>
      </c>
      <c r="LG886" s="2052" t="str">
        <f t="shared" si="297"/>
        <v/>
      </c>
      <c r="LH886" s="2052" t="str">
        <f t="shared" si="298"/>
        <v/>
      </c>
      <c r="LI886" s="2052" t="str">
        <f t="shared" si="299"/>
        <v/>
      </c>
      <c r="LJ886" s="2052" t="str">
        <f t="shared" si="300"/>
        <v/>
      </c>
      <c r="LK886" s="2052" t="str">
        <f t="shared" si="301"/>
        <v/>
      </c>
      <c r="LL886" s="1853" t="str">
        <f t="shared" si="302"/>
        <v/>
      </c>
      <c r="LM886" s="1853" t="str">
        <f t="shared" si="303"/>
        <v/>
      </c>
      <c r="LN886" s="1853" t="str">
        <f t="shared" si="304"/>
        <v/>
      </c>
      <c r="LO886" s="1853" t="str">
        <f t="shared" si="305"/>
        <v/>
      </c>
      <c r="LP886" s="1853" t="str">
        <f t="shared" si="306"/>
        <v/>
      </c>
      <c r="LQ886" s="1853" t="str">
        <f t="shared" si="307"/>
        <v/>
      </c>
      <c r="LR886" s="1853" t="str">
        <f t="shared" si="308"/>
        <v/>
      </c>
      <c r="LS886" s="1853" t="str">
        <f t="shared" si="309"/>
        <v/>
      </c>
      <c r="LT886" s="1853" t="str">
        <f t="shared" si="310"/>
        <v/>
      </c>
      <c r="LU886" s="1853" t="str">
        <f t="shared" si="311"/>
        <v/>
      </c>
      <c r="LV886" s="1853" t="str">
        <f t="shared" si="312"/>
        <v/>
      </c>
      <c r="LW886" s="1853" t="str">
        <f t="shared" si="313"/>
        <v/>
      </c>
      <c r="LX886" s="1853" t="str">
        <f t="shared" si="314"/>
        <v/>
      </c>
      <c r="LY886" s="1853" t="str">
        <f t="shared" si="315"/>
        <v/>
      </c>
      <c r="LZ886" s="1853" t="str">
        <f t="shared" si="316"/>
        <v/>
      </c>
      <c r="MA886" s="1853" t="str">
        <f t="shared" si="317"/>
        <v/>
      </c>
      <c r="MB886" s="1853" t="str">
        <f t="shared" si="318"/>
        <v/>
      </c>
      <c r="MC886" s="1853" t="str">
        <f t="shared" si="319"/>
        <v/>
      </c>
      <c r="MD886" s="1853" t="str">
        <f t="shared" si="320"/>
        <v/>
      </c>
      <c r="ME886" s="1853" t="str">
        <f t="shared" si="321"/>
        <v/>
      </c>
      <c r="MF886" s="2052">
        <f t="shared" si="328"/>
        <v>0</v>
      </c>
      <c r="MG886" s="2052">
        <f t="shared" si="329"/>
        <v>0</v>
      </c>
      <c r="MH886" s="2052">
        <f t="shared" si="330"/>
        <v>0</v>
      </c>
      <c r="MI886" s="2052">
        <f t="shared" si="331"/>
        <v>0</v>
      </c>
      <c r="MJ886" s="2052">
        <f t="shared" si="332"/>
        <v>0</v>
      </c>
      <c r="MK886" s="2052">
        <f t="shared" si="333"/>
        <v>0</v>
      </c>
      <c r="ML886" s="2052">
        <f t="shared" si="334"/>
        <v>0</v>
      </c>
      <c r="MM886" s="2052">
        <f t="shared" si="335"/>
        <v>0</v>
      </c>
      <c r="MN886" s="2052">
        <f t="shared" si="336"/>
        <v>0</v>
      </c>
      <c r="MO886" s="2052">
        <f t="shared" si="337"/>
        <v>0</v>
      </c>
      <c r="MP886" s="2052">
        <f t="shared" si="322"/>
        <v>0</v>
      </c>
      <c r="MQ886" s="2052">
        <f t="shared" si="323"/>
        <v>0</v>
      </c>
      <c r="MR886" s="2052">
        <f t="shared" si="324"/>
        <v>0</v>
      </c>
      <c r="MS886" s="2052">
        <f t="shared" si="325"/>
        <v>0</v>
      </c>
      <c r="MT886" s="2052">
        <f t="shared" si="326"/>
        <v>0</v>
      </c>
      <c r="NP886" s="1925" t="s">
        <v>6752</v>
      </c>
    </row>
    <row r="887" spans="1:380" s="1853" customFormat="1" ht="13.9" customHeight="1">
      <c r="A887" s="2109" t="str">
        <f t="shared" si="327"/>
        <v/>
      </c>
      <c r="B887" s="2131">
        <f>'Part VI-Revenues &amp; Expenses'!B47</f>
        <v>0</v>
      </c>
      <c r="C887" s="2132">
        <f>'Part VI-Revenues &amp; Expenses'!C47</f>
        <v>0</v>
      </c>
      <c r="D887" s="2133">
        <f>'Part VI-Revenues &amp; Expenses'!D47</f>
        <v>0</v>
      </c>
      <c r="E887" s="2134">
        <f>'Part VI-Revenues &amp; Expenses'!E47</f>
        <v>0</v>
      </c>
      <c r="F887" s="2134">
        <f>'Part VI-Revenues &amp; Expenses'!F47</f>
        <v>0</v>
      </c>
      <c r="G887" s="2134">
        <f>'Part VI-Revenues &amp; Expenses'!G47</f>
        <v>0</v>
      </c>
      <c r="H887" s="2134">
        <f>'Part VI-Revenues &amp; Expenses'!H47</f>
        <v>0</v>
      </c>
      <c r="I887" s="2134">
        <f>'Part VI-Revenues &amp; Expenses'!I47</f>
        <v>0</v>
      </c>
      <c r="J887" s="2134">
        <f>'Part VI-Revenues &amp; Expenses'!J47</f>
        <v>0</v>
      </c>
      <c r="K887" s="2135">
        <f>'Part VI-Revenues &amp; Expenses'!K47</f>
        <v>0</v>
      </c>
      <c r="L887" s="2136">
        <f t="shared" si="0"/>
        <v>0</v>
      </c>
      <c r="M887" s="2136">
        <f t="shared" si="1"/>
        <v>0</v>
      </c>
      <c r="N887" s="1917">
        <f>'Part VI-Revenues &amp; Expenses'!N47</f>
        <v>0</v>
      </c>
      <c r="O887" s="2137">
        <f>'Part VI-Revenues &amp; Expenses'!O47</f>
        <v>0</v>
      </c>
      <c r="P887" s="1917">
        <f>'Part VI-Revenues &amp; Expenses'!P47</f>
        <v>0</v>
      </c>
      <c r="Q887" s="2138">
        <f>'Part VI-Revenues &amp; Expenses'!Q47</f>
        <v>0</v>
      </c>
      <c r="R887" s="2139"/>
      <c r="S887" s="2140"/>
      <c r="T887" s="2044"/>
      <c r="U887" s="2044"/>
      <c r="V887" s="2044"/>
      <c r="W887" s="2044"/>
      <c r="X887" s="1853" t="str">
        <f t="shared" si="2"/>
        <v/>
      </c>
      <c r="Y887" s="1853" t="str">
        <f t="shared" si="3"/>
        <v/>
      </c>
      <c r="Z887" s="1853" t="str">
        <f t="shared" si="4"/>
        <v/>
      </c>
      <c r="AA887" s="1853" t="str">
        <f t="shared" si="5"/>
        <v/>
      </c>
      <c r="AB887" s="1853" t="str">
        <f t="shared" si="6"/>
        <v/>
      </c>
      <c r="AC887" s="1853" t="str">
        <f t="shared" si="7"/>
        <v/>
      </c>
      <c r="AD887" s="1853" t="str">
        <f t="shared" si="8"/>
        <v/>
      </c>
      <c r="AE887" s="1853" t="str">
        <f t="shared" si="9"/>
        <v/>
      </c>
      <c r="AF887" s="1853" t="str">
        <f t="shared" si="10"/>
        <v/>
      </c>
      <c r="AG887" s="1853" t="str">
        <f t="shared" si="11"/>
        <v/>
      </c>
      <c r="AH887" s="1853" t="str">
        <f t="shared" si="12"/>
        <v/>
      </c>
      <c r="AI887" s="1853" t="str">
        <f t="shared" si="13"/>
        <v/>
      </c>
      <c r="AJ887" s="1853" t="str">
        <f t="shared" si="14"/>
        <v/>
      </c>
      <c r="AK887" s="1853" t="str">
        <f t="shared" si="15"/>
        <v/>
      </c>
      <c r="AL887" s="1853" t="str">
        <f t="shared" si="16"/>
        <v/>
      </c>
      <c r="AM887" s="1853" t="str">
        <f t="shared" si="17"/>
        <v/>
      </c>
      <c r="AN887" s="1853" t="str">
        <f t="shared" si="18"/>
        <v/>
      </c>
      <c r="AO887" s="1853" t="str">
        <f t="shared" si="19"/>
        <v/>
      </c>
      <c r="AP887" s="1853" t="str">
        <f t="shared" si="20"/>
        <v/>
      </c>
      <c r="AQ887" s="1853" t="str">
        <f t="shared" si="21"/>
        <v/>
      </c>
      <c r="AR887" s="1853" t="str">
        <f t="shared" si="22"/>
        <v/>
      </c>
      <c r="AS887" s="1853" t="str">
        <f t="shared" si="23"/>
        <v/>
      </c>
      <c r="AT887" s="1853" t="str">
        <f t="shared" si="24"/>
        <v/>
      </c>
      <c r="AU887" s="1853" t="str">
        <f t="shared" si="25"/>
        <v/>
      </c>
      <c r="AV887" s="1853" t="str">
        <f t="shared" si="26"/>
        <v/>
      </c>
      <c r="AW887" s="1853" t="str">
        <f t="shared" si="27"/>
        <v/>
      </c>
      <c r="AX887" s="1853" t="str">
        <f t="shared" si="28"/>
        <v/>
      </c>
      <c r="AY887" s="1853" t="str">
        <f t="shared" si="29"/>
        <v/>
      </c>
      <c r="AZ887" s="1853" t="str">
        <f t="shared" si="30"/>
        <v/>
      </c>
      <c r="BA887" s="1853" t="str">
        <f t="shared" si="31"/>
        <v/>
      </c>
      <c r="BB887" s="1853" t="str">
        <f t="shared" si="32"/>
        <v/>
      </c>
      <c r="BC887" s="1853" t="str">
        <f t="shared" si="33"/>
        <v/>
      </c>
      <c r="BD887" s="1853" t="str">
        <f t="shared" si="34"/>
        <v/>
      </c>
      <c r="BE887" s="1853" t="str">
        <f t="shared" si="35"/>
        <v/>
      </c>
      <c r="BF887" s="1853" t="str">
        <f t="shared" si="36"/>
        <v/>
      </c>
      <c r="BG887" s="1853" t="str">
        <f t="shared" si="37"/>
        <v/>
      </c>
      <c r="BH887" s="1853" t="str">
        <f t="shared" si="38"/>
        <v/>
      </c>
      <c r="BI887" s="1853" t="str">
        <f t="shared" si="39"/>
        <v/>
      </c>
      <c r="BJ887" s="1853" t="str">
        <f t="shared" si="40"/>
        <v/>
      </c>
      <c r="BK887" s="1853" t="str">
        <f t="shared" si="41"/>
        <v/>
      </c>
      <c r="BL887" s="1853" t="str">
        <f t="shared" si="42"/>
        <v/>
      </c>
      <c r="BM887" s="1853" t="str">
        <f t="shared" si="43"/>
        <v/>
      </c>
      <c r="BN887" s="1853" t="str">
        <f t="shared" si="44"/>
        <v/>
      </c>
      <c r="BO887" s="1853" t="str">
        <f t="shared" si="45"/>
        <v/>
      </c>
      <c r="BP887" s="1853" t="str">
        <f t="shared" si="46"/>
        <v/>
      </c>
      <c r="BQ887" s="1853" t="str">
        <f t="shared" si="47"/>
        <v/>
      </c>
      <c r="BR887" s="1853" t="str">
        <f t="shared" si="48"/>
        <v/>
      </c>
      <c r="BS887" s="1853" t="str">
        <f t="shared" si="49"/>
        <v/>
      </c>
      <c r="BT887" s="1853" t="str">
        <f t="shared" si="50"/>
        <v/>
      </c>
      <c r="BU887" s="1853" t="str">
        <f t="shared" si="51"/>
        <v/>
      </c>
      <c r="BV887" s="1853" t="str">
        <f t="shared" si="52"/>
        <v/>
      </c>
      <c r="BW887" s="1853" t="str">
        <f t="shared" si="53"/>
        <v/>
      </c>
      <c r="BX887" s="1853" t="str">
        <f t="shared" si="54"/>
        <v/>
      </c>
      <c r="BY887" s="1853" t="str">
        <f t="shared" si="55"/>
        <v/>
      </c>
      <c r="BZ887" s="1853" t="str">
        <f t="shared" si="56"/>
        <v/>
      </c>
      <c r="CA887" s="1853" t="str">
        <f t="shared" si="57"/>
        <v/>
      </c>
      <c r="CB887" s="1853" t="str">
        <f t="shared" si="58"/>
        <v/>
      </c>
      <c r="CC887" s="1853" t="str">
        <f t="shared" si="59"/>
        <v/>
      </c>
      <c r="CD887" s="1853" t="str">
        <f t="shared" si="60"/>
        <v/>
      </c>
      <c r="CE887" s="1853" t="str">
        <f t="shared" si="61"/>
        <v/>
      </c>
      <c r="CF887" s="1853" t="str">
        <f t="shared" si="62"/>
        <v/>
      </c>
      <c r="CG887" s="1853" t="str">
        <f t="shared" si="63"/>
        <v/>
      </c>
      <c r="CH887" s="1853" t="str">
        <f t="shared" si="64"/>
        <v/>
      </c>
      <c r="CI887" s="1853" t="str">
        <f t="shared" si="65"/>
        <v/>
      </c>
      <c r="CJ887" s="1853" t="str">
        <f t="shared" si="66"/>
        <v/>
      </c>
      <c r="CK887" s="1853" t="str">
        <f t="shared" si="67"/>
        <v/>
      </c>
      <c r="CL887" s="1853" t="str">
        <f t="shared" si="68"/>
        <v/>
      </c>
      <c r="CM887" s="1853" t="str">
        <f t="shared" si="69"/>
        <v/>
      </c>
      <c r="CN887" s="1853" t="str">
        <f t="shared" si="70"/>
        <v/>
      </c>
      <c r="CO887" s="1853" t="str">
        <f t="shared" si="71"/>
        <v/>
      </c>
      <c r="CP887" s="1853" t="str">
        <f t="shared" si="72"/>
        <v/>
      </c>
      <c r="CQ887" s="1853" t="str">
        <f t="shared" si="73"/>
        <v/>
      </c>
      <c r="CR887" s="1853" t="str">
        <f t="shared" si="74"/>
        <v/>
      </c>
      <c r="CS887" s="1853" t="str">
        <f t="shared" si="75"/>
        <v/>
      </c>
      <c r="CT887" s="1853" t="str">
        <f t="shared" si="76"/>
        <v/>
      </c>
      <c r="CU887" s="1853" t="str">
        <f t="shared" si="77"/>
        <v/>
      </c>
      <c r="CV887" s="1853" t="str">
        <f t="shared" si="78"/>
        <v/>
      </c>
      <c r="CW887" s="1853" t="str">
        <f t="shared" si="79"/>
        <v/>
      </c>
      <c r="CX887" s="1853" t="str">
        <f t="shared" si="80"/>
        <v/>
      </c>
      <c r="CY887" s="1853" t="str">
        <f t="shared" si="81"/>
        <v/>
      </c>
      <c r="CZ887" s="1853" t="str">
        <f t="shared" si="82"/>
        <v/>
      </c>
      <c r="DA887" s="1853" t="str">
        <f t="shared" si="83"/>
        <v/>
      </c>
      <c r="DB887" s="1853" t="str">
        <f t="shared" si="84"/>
        <v/>
      </c>
      <c r="DC887" s="1853" t="str">
        <f t="shared" si="85"/>
        <v/>
      </c>
      <c r="DD887" s="1853" t="str">
        <f t="shared" si="86"/>
        <v/>
      </c>
      <c r="DE887" s="1853" t="str">
        <f t="shared" si="87"/>
        <v/>
      </c>
      <c r="DF887" s="1853" t="str">
        <f t="shared" si="88"/>
        <v/>
      </c>
      <c r="DG887" s="1853" t="str">
        <f t="shared" si="89"/>
        <v/>
      </c>
      <c r="DH887" s="1853" t="str">
        <f t="shared" si="90"/>
        <v/>
      </c>
      <c r="DI887" s="1853" t="str">
        <f t="shared" si="91"/>
        <v/>
      </c>
      <c r="DJ887" s="1853" t="str">
        <f t="shared" si="92"/>
        <v/>
      </c>
      <c r="DK887" s="1853" t="str">
        <f t="shared" si="93"/>
        <v/>
      </c>
      <c r="DL887" s="1853" t="str">
        <f t="shared" si="94"/>
        <v/>
      </c>
      <c r="DM887" s="1853" t="str">
        <f t="shared" si="95"/>
        <v/>
      </c>
      <c r="DN887" s="1853" t="str">
        <f t="shared" si="96"/>
        <v/>
      </c>
      <c r="DO887" s="1853" t="str">
        <f t="shared" si="97"/>
        <v/>
      </c>
      <c r="DP887" s="1853" t="str">
        <f t="shared" si="98"/>
        <v/>
      </c>
      <c r="DQ887" s="1853" t="str">
        <f t="shared" si="99"/>
        <v/>
      </c>
      <c r="DR887" s="1853" t="str">
        <f t="shared" si="100"/>
        <v/>
      </c>
      <c r="DS887" s="1853" t="str">
        <f t="shared" si="101"/>
        <v/>
      </c>
      <c r="DT887" s="1853" t="str">
        <f t="shared" si="102"/>
        <v/>
      </c>
      <c r="DU887" s="1853" t="str">
        <f t="shared" si="103"/>
        <v/>
      </c>
      <c r="DV887" s="1853" t="str">
        <f t="shared" si="104"/>
        <v/>
      </c>
      <c r="DW887" s="1853" t="str">
        <f t="shared" si="105"/>
        <v/>
      </c>
      <c r="DX887" s="1853" t="str">
        <f t="shared" si="106"/>
        <v/>
      </c>
      <c r="DY887" s="1853" t="str">
        <f t="shared" si="107"/>
        <v/>
      </c>
      <c r="DZ887" s="1853" t="str">
        <f t="shared" si="108"/>
        <v/>
      </c>
      <c r="EA887" s="1853" t="str">
        <f t="shared" si="109"/>
        <v/>
      </c>
      <c r="EB887" s="1853" t="str">
        <f t="shared" si="110"/>
        <v/>
      </c>
      <c r="EC887" s="1853" t="str">
        <f t="shared" si="111"/>
        <v/>
      </c>
      <c r="ED887" s="1853" t="str">
        <f t="shared" si="112"/>
        <v/>
      </c>
      <c r="EE887" s="1853" t="str">
        <f t="shared" si="113"/>
        <v/>
      </c>
      <c r="EF887" s="1853" t="str">
        <f t="shared" si="114"/>
        <v/>
      </c>
      <c r="EG887" s="1853" t="str">
        <f t="shared" si="115"/>
        <v/>
      </c>
      <c r="EH887" s="1853" t="str">
        <f t="shared" si="116"/>
        <v/>
      </c>
      <c r="EI887" s="1853" t="str">
        <f t="shared" si="117"/>
        <v/>
      </c>
      <c r="EJ887" s="1853" t="str">
        <f t="shared" si="118"/>
        <v/>
      </c>
      <c r="EK887" s="1853" t="str">
        <f t="shared" si="119"/>
        <v/>
      </c>
      <c r="EL887" s="1853" t="str">
        <f t="shared" si="120"/>
        <v/>
      </c>
      <c r="EM887" s="1853" t="str">
        <f t="shared" si="121"/>
        <v/>
      </c>
      <c r="EN887" s="1853" t="str">
        <f t="shared" si="122"/>
        <v/>
      </c>
      <c r="EO887" s="1853" t="str">
        <f t="shared" si="123"/>
        <v/>
      </c>
      <c r="EP887" s="1853" t="str">
        <f t="shared" si="124"/>
        <v/>
      </c>
      <c r="EQ887" s="1853" t="str">
        <f t="shared" si="125"/>
        <v/>
      </c>
      <c r="ER887" s="1853" t="str">
        <f t="shared" si="126"/>
        <v/>
      </c>
      <c r="ES887" s="1853" t="str">
        <f t="shared" si="127"/>
        <v/>
      </c>
      <c r="ET887" s="1853" t="str">
        <f t="shared" si="128"/>
        <v/>
      </c>
      <c r="EU887" s="1853" t="str">
        <f t="shared" si="129"/>
        <v/>
      </c>
      <c r="EV887" s="1853" t="str">
        <f t="shared" si="130"/>
        <v/>
      </c>
      <c r="EW887" s="1853" t="str">
        <f t="shared" si="131"/>
        <v/>
      </c>
      <c r="EX887" s="1853" t="str">
        <f t="shared" si="132"/>
        <v/>
      </c>
      <c r="EY887" s="1853" t="str">
        <f t="shared" si="133"/>
        <v/>
      </c>
      <c r="EZ887" s="1853" t="str">
        <f t="shared" si="134"/>
        <v/>
      </c>
      <c r="FA887" s="1853" t="str">
        <f t="shared" si="135"/>
        <v/>
      </c>
      <c r="FB887" s="1853" t="str">
        <f t="shared" si="136"/>
        <v/>
      </c>
      <c r="FC887" s="1853" t="str">
        <f t="shared" si="137"/>
        <v/>
      </c>
      <c r="FD887" s="1853" t="str">
        <f t="shared" si="138"/>
        <v/>
      </c>
      <c r="FE887" s="1853" t="str">
        <f t="shared" si="139"/>
        <v/>
      </c>
      <c r="FF887" s="1853" t="str">
        <f t="shared" si="140"/>
        <v/>
      </c>
      <c r="FG887" s="1853" t="str">
        <f t="shared" si="141"/>
        <v/>
      </c>
      <c r="FH887" s="1853" t="str">
        <f t="shared" si="142"/>
        <v/>
      </c>
      <c r="FI887" s="1853" t="str">
        <f t="shared" si="143"/>
        <v/>
      </c>
      <c r="FJ887" s="1853" t="str">
        <f t="shared" si="144"/>
        <v/>
      </c>
      <c r="FK887" s="1853" t="str">
        <f t="shared" si="145"/>
        <v/>
      </c>
      <c r="FL887" s="1853" t="str">
        <f t="shared" si="146"/>
        <v/>
      </c>
      <c r="FM887" s="1853" t="str">
        <f t="shared" si="147"/>
        <v/>
      </c>
      <c r="FN887" s="1853" t="str">
        <f t="shared" si="148"/>
        <v/>
      </c>
      <c r="FO887" s="1853" t="str">
        <f t="shared" si="149"/>
        <v/>
      </c>
      <c r="FP887" s="1853" t="str">
        <f t="shared" si="150"/>
        <v/>
      </c>
      <c r="FQ887" s="1853" t="str">
        <f t="shared" si="151"/>
        <v/>
      </c>
      <c r="FR887" s="1853" t="str">
        <f t="shared" si="152"/>
        <v/>
      </c>
      <c r="FS887" s="1853" t="str">
        <f t="shared" si="153"/>
        <v/>
      </c>
      <c r="FT887" s="1853" t="str">
        <f t="shared" si="154"/>
        <v/>
      </c>
      <c r="FU887" s="1853" t="str">
        <f t="shared" si="155"/>
        <v/>
      </c>
      <c r="FV887" s="1853" t="str">
        <f t="shared" si="156"/>
        <v/>
      </c>
      <c r="FW887" s="1853" t="str">
        <f t="shared" si="157"/>
        <v/>
      </c>
      <c r="FX887" s="1853" t="str">
        <f t="shared" si="158"/>
        <v/>
      </c>
      <c r="FY887" s="1853" t="str">
        <f t="shared" si="159"/>
        <v/>
      </c>
      <c r="FZ887" s="1853" t="str">
        <f t="shared" si="160"/>
        <v/>
      </c>
      <c r="GA887" s="1853" t="str">
        <f t="shared" si="161"/>
        <v/>
      </c>
      <c r="GB887" s="1853" t="str">
        <f t="shared" si="162"/>
        <v/>
      </c>
      <c r="GC887" s="1853" t="str">
        <f t="shared" si="163"/>
        <v/>
      </c>
      <c r="GD887" s="1853" t="str">
        <f t="shared" si="164"/>
        <v/>
      </c>
      <c r="GE887" s="1853" t="str">
        <f t="shared" si="165"/>
        <v/>
      </c>
      <c r="GF887" s="1853" t="str">
        <f t="shared" si="166"/>
        <v/>
      </c>
      <c r="GG887" s="1853" t="str">
        <f t="shared" si="167"/>
        <v/>
      </c>
      <c r="GH887" s="1853" t="str">
        <f t="shared" si="168"/>
        <v/>
      </c>
      <c r="GI887" s="1853" t="str">
        <f t="shared" si="169"/>
        <v/>
      </c>
      <c r="GJ887" s="1853" t="str">
        <f t="shared" si="170"/>
        <v/>
      </c>
      <c r="GK887" s="1853" t="str">
        <f t="shared" si="171"/>
        <v/>
      </c>
      <c r="GL887" s="1853" t="str">
        <f t="shared" si="172"/>
        <v/>
      </c>
      <c r="GM887" s="1853" t="str">
        <f t="shared" si="173"/>
        <v/>
      </c>
      <c r="GN887" s="1853" t="str">
        <f t="shared" si="174"/>
        <v/>
      </c>
      <c r="GO887" s="1853" t="str">
        <f t="shared" si="175"/>
        <v/>
      </c>
      <c r="GP887" s="1853" t="str">
        <f t="shared" si="176"/>
        <v/>
      </c>
      <c r="GQ887" s="1853" t="str">
        <f t="shared" si="177"/>
        <v/>
      </c>
      <c r="GR887" s="1853" t="str">
        <f t="shared" si="178"/>
        <v/>
      </c>
      <c r="GS887" s="1853" t="str">
        <f t="shared" si="179"/>
        <v/>
      </c>
      <c r="GT887" s="1853" t="str">
        <f t="shared" si="180"/>
        <v/>
      </c>
      <c r="GU887" s="1853" t="str">
        <f t="shared" si="181"/>
        <v/>
      </c>
      <c r="GV887" s="1853" t="str">
        <f t="shared" si="182"/>
        <v/>
      </c>
      <c r="GW887" s="1853" t="str">
        <f t="shared" si="183"/>
        <v/>
      </c>
      <c r="GX887" s="1853" t="str">
        <f t="shared" si="184"/>
        <v/>
      </c>
      <c r="GY887" s="1853" t="str">
        <f t="shared" si="185"/>
        <v/>
      </c>
      <c r="GZ887" s="1853" t="str">
        <f t="shared" si="186"/>
        <v/>
      </c>
      <c r="HA887" s="1853" t="str">
        <f t="shared" si="187"/>
        <v/>
      </c>
      <c r="HB887" s="1853" t="str">
        <f t="shared" si="188"/>
        <v/>
      </c>
      <c r="HC887" s="1853" t="str">
        <f t="shared" si="189"/>
        <v/>
      </c>
      <c r="HD887" s="1853" t="str">
        <f t="shared" si="190"/>
        <v/>
      </c>
      <c r="HE887" s="1853" t="str">
        <f t="shared" si="191"/>
        <v/>
      </c>
      <c r="HF887" s="1853" t="str">
        <f t="shared" si="192"/>
        <v/>
      </c>
      <c r="HG887" s="1853" t="str">
        <f t="shared" si="193"/>
        <v/>
      </c>
      <c r="HH887" s="1853" t="str">
        <f t="shared" si="194"/>
        <v/>
      </c>
      <c r="HI887" s="1853" t="str">
        <f t="shared" si="195"/>
        <v/>
      </c>
      <c r="HJ887" s="1853" t="str">
        <f t="shared" si="196"/>
        <v/>
      </c>
      <c r="HK887" s="1853" t="str">
        <f t="shared" si="197"/>
        <v/>
      </c>
      <c r="HL887" s="1853" t="str">
        <f t="shared" si="198"/>
        <v/>
      </c>
      <c r="HM887" s="1853" t="str">
        <f t="shared" si="199"/>
        <v/>
      </c>
      <c r="HN887" s="1853" t="str">
        <f t="shared" si="200"/>
        <v/>
      </c>
      <c r="HO887" s="1853" t="str">
        <f t="shared" si="201"/>
        <v/>
      </c>
      <c r="HP887" s="1853" t="str">
        <f t="shared" si="202"/>
        <v/>
      </c>
      <c r="HQ887" s="1853" t="str">
        <f t="shared" si="203"/>
        <v/>
      </c>
      <c r="HR887" s="1853" t="str">
        <f t="shared" si="204"/>
        <v/>
      </c>
      <c r="HS887" s="1853" t="str">
        <f t="shared" si="205"/>
        <v/>
      </c>
      <c r="HT887" s="1853" t="str">
        <f t="shared" si="206"/>
        <v/>
      </c>
      <c r="HU887" s="1853" t="str">
        <f t="shared" si="207"/>
        <v/>
      </c>
      <c r="HV887" s="1853" t="str">
        <f t="shared" si="208"/>
        <v/>
      </c>
      <c r="HW887" s="1853" t="str">
        <f t="shared" si="209"/>
        <v/>
      </c>
      <c r="HX887" s="1853" t="str">
        <f t="shared" si="210"/>
        <v/>
      </c>
      <c r="HY887" s="1853" t="str">
        <f t="shared" si="211"/>
        <v/>
      </c>
      <c r="HZ887" s="2141" t="str">
        <f t="shared" si="212"/>
        <v/>
      </c>
      <c r="IA887" s="2141" t="str">
        <f t="shared" si="213"/>
        <v/>
      </c>
      <c r="IB887" s="2141" t="str">
        <f t="shared" si="214"/>
        <v/>
      </c>
      <c r="IC887" s="2141" t="str">
        <f t="shared" si="215"/>
        <v/>
      </c>
      <c r="ID887" s="2141" t="str">
        <f t="shared" si="216"/>
        <v/>
      </c>
      <c r="IE887" s="2141" t="str">
        <f t="shared" si="217"/>
        <v/>
      </c>
      <c r="IF887" s="2141" t="str">
        <f t="shared" si="218"/>
        <v/>
      </c>
      <c r="IG887" s="2141" t="str">
        <f t="shared" si="219"/>
        <v/>
      </c>
      <c r="IH887" s="2141" t="str">
        <f t="shared" si="220"/>
        <v/>
      </c>
      <c r="II887" s="2141" t="str">
        <f t="shared" si="221"/>
        <v/>
      </c>
      <c r="IJ887" s="2141" t="str">
        <f t="shared" si="222"/>
        <v/>
      </c>
      <c r="IK887" s="2141" t="str">
        <f t="shared" si="223"/>
        <v/>
      </c>
      <c r="IL887" s="2141" t="str">
        <f t="shared" si="224"/>
        <v/>
      </c>
      <c r="IM887" s="2141" t="str">
        <f t="shared" si="225"/>
        <v/>
      </c>
      <c r="IN887" s="2141" t="str">
        <f t="shared" si="226"/>
        <v/>
      </c>
      <c r="IO887" s="2141" t="str">
        <f t="shared" si="227"/>
        <v/>
      </c>
      <c r="IP887" s="2141" t="str">
        <f t="shared" si="228"/>
        <v/>
      </c>
      <c r="IQ887" s="2141" t="str">
        <f t="shared" si="229"/>
        <v/>
      </c>
      <c r="IR887" s="2141" t="str">
        <f t="shared" si="230"/>
        <v/>
      </c>
      <c r="IS887" s="2141" t="str">
        <f t="shared" si="231"/>
        <v/>
      </c>
      <c r="IT887" s="2141" t="str">
        <f t="shared" si="232"/>
        <v/>
      </c>
      <c r="IU887" s="2141" t="str">
        <f t="shared" si="233"/>
        <v/>
      </c>
      <c r="IV887" s="2141" t="str">
        <f t="shared" si="234"/>
        <v/>
      </c>
      <c r="IW887" s="2141" t="str">
        <f t="shared" si="235"/>
        <v/>
      </c>
      <c r="IX887" s="2141" t="str">
        <f t="shared" si="236"/>
        <v/>
      </c>
      <c r="IY887" s="2141" t="str">
        <f t="shared" si="237"/>
        <v/>
      </c>
      <c r="IZ887" s="2141" t="str">
        <f t="shared" si="238"/>
        <v/>
      </c>
      <c r="JA887" s="2141" t="str">
        <f t="shared" si="239"/>
        <v/>
      </c>
      <c r="JB887" s="2141" t="str">
        <f t="shared" si="240"/>
        <v/>
      </c>
      <c r="JC887" s="2141" t="str">
        <f t="shared" si="241"/>
        <v/>
      </c>
      <c r="JD887" s="2141" t="str">
        <f t="shared" si="242"/>
        <v/>
      </c>
      <c r="JE887" s="2141" t="str">
        <f t="shared" si="243"/>
        <v/>
      </c>
      <c r="JF887" s="2141" t="str">
        <f t="shared" si="244"/>
        <v/>
      </c>
      <c r="JG887" s="2141" t="str">
        <f t="shared" si="245"/>
        <v/>
      </c>
      <c r="JH887" s="2141" t="str">
        <f t="shared" si="246"/>
        <v/>
      </c>
      <c r="JI887" s="2141" t="str">
        <f t="shared" si="247"/>
        <v/>
      </c>
      <c r="JJ887" s="2141" t="str">
        <f t="shared" si="248"/>
        <v/>
      </c>
      <c r="JK887" s="2141" t="str">
        <f t="shared" si="249"/>
        <v/>
      </c>
      <c r="JL887" s="2141" t="str">
        <f t="shared" si="250"/>
        <v/>
      </c>
      <c r="JM887" s="2141" t="str">
        <f t="shared" si="251"/>
        <v/>
      </c>
      <c r="JN887" s="2141" t="str">
        <f t="shared" si="252"/>
        <v/>
      </c>
      <c r="JO887" s="2141" t="str">
        <f t="shared" si="253"/>
        <v/>
      </c>
      <c r="JP887" s="2141" t="str">
        <f t="shared" si="254"/>
        <v/>
      </c>
      <c r="JQ887" s="2141" t="str">
        <f t="shared" si="255"/>
        <v/>
      </c>
      <c r="JR887" s="2141" t="str">
        <f t="shared" si="256"/>
        <v/>
      </c>
      <c r="JS887" s="2141" t="str">
        <f t="shared" si="257"/>
        <v/>
      </c>
      <c r="JT887" s="2141" t="str">
        <f t="shared" si="258"/>
        <v/>
      </c>
      <c r="JU887" s="2141" t="str">
        <f t="shared" si="259"/>
        <v/>
      </c>
      <c r="JV887" s="2141" t="str">
        <f t="shared" si="260"/>
        <v/>
      </c>
      <c r="JW887" s="2141" t="str">
        <f t="shared" si="261"/>
        <v/>
      </c>
      <c r="JX887" s="2141" t="str">
        <f t="shared" si="262"/>
        <v/>
      </c>
      <c r="JY887" s="2141" t="str">
        <f t="shared" si="263"/>
        <v/>
      </c>
      <c r="JZ887" s="2141" t="str">
        <f t="shared" si="264"/>
        <v/>
      </c>
      <c r="KA887" s="2141" t="str">
        <f t="shared" si="265"/>
        <v/>
      </c>
      <c r="KB887" s="2141" t="str">
        <f t="shared" si="266"/>
        <v/>
      </c>
      <c r="KC887" s="2141" t="str">
        <f t="shared" si="267"/>
        <v/>
      </c>
      <c r="KD887" s="2141" t="str">
        <f t="shared" si="268"/>
        <v/>
      </c>
      <c r="KE887" s="2141" t="str">
        <f t="shared" si="269"/>
        <v/>
      </c>
      <c r="KF887" s="2141" t="str">
        <f t="shared" si="270"/>
        <v/>
      </c>
      <c r="KG887" s="2141" t="str">
        <f t="shared" si="271"/>
        <v/>
      </c>
      <c r="KH887" s="2141" t="str">
        <f t="shared" si="272"/>
        <v/>
      </c>
      <c r="KI887" s="2141" t="str">
        <f t="shared" si="273"/>
        <v/>
      </c>
      <c r="KJ887" s="2141" t="str">
        <f t="shared" si="274"/>
        <v/>
      </c>
      <c r="KK887" s="2141" t="str">
        <f t="shared" si="275"/>
        <v/>
      </c>
      <c r="KL887" s="2141" t="str">
        <f t="shared" si="276"/>
        <v/>
      </c>
      <c r="KM887" s="2141" t="str">
        <f t="shared" si="277"/>
        <v/>
      </c>
      <c r="KN887" s="2141" t="str">
        <f t="shared" si="278"/>
        <v/>
      </c>
      <c r="KO887" s="2141" t="str">
        <f t="shared" si="279"/>
        <v/>
      </c>
      <c r="KP887" s="2141" t="str">
        <f t="shared" si="280"/>
        <v/>
      </c>
      <c r="KQ887" s="2141" t="str">
        <f t="shared" si="281"/>
        <v/>
      </c>
      <c r="KR887" s="2141" t="str">
        <f t="shared" si="282"/>
        <v/>
      </c>
      <c r="KS887" s="2141" t="str">
        <f t="shared" si="283"/>
        <v/>
      </c>
      <c r="KT887" s="2141" t="str">
        <f t="shared" si="284"/>
        <v/>
      </c>
      <c r="KU887" s="2141" t="str">
        <f t="shared" si="285"/>
        <v/>
      </c>
      <c r="KV887" s="2141" t="str">
        <f t="shared" si="286"/>
        <v/>
      </c>
      <c r="KW887" s="2141" t="str">
        <f t="shared" si="287"/>
        <v/>
      </c>
      <c r="KX887" s="2141" t="str">
        <f t="shared" si="288"/>
        <v/>
      </c>
      <c r="KY887" s="2141" t="str">
        <f t="shared" si="289"/>
        <v/>
      </c>
      <c r="KZ887" s="2141" t="str">
        <f t="shared" si="290"/>
        <v/>
      </c>
      <c r="LA887" s="2141" t="str">
        <f t="shared" si="291"/>
        <v/>
      </c>
      <c r="LB887" s="2141" t="str">
        <f t="shared" si="292"/>
        <v/>
      </c>
      <c r="LC887" s="2141" t="str">
        <f t="shared" si="293"/>
        <v/>
      </c>
      <c r="LD887" s="2141" t="str">
        <f t="shared" si="294"/>
        <v/>
      </c>
      <c r="LE887" s="2141" t="str">
        <f t="shared" si="295"/>
        <v/>
      </c>
      <c r="LF887" s="2141" t="str">
        <f t="shared" si="296"/>
        <v/>
      </c>
      <c r="LG887" s="2052" t="str">
        <f t="shared" si="297"/>
        <v/>
      </c>
      <c r="LH887" s="2052" t="str">
        <f t="shared" si="298"/>
        <v/>
      </c>
      <c r="LI887" s="2052" t="str">
        <f t="shared" si="299"/>
        <v/>
      </c>
      <c r="LJ887" s="2052" t="str">
        <f t="shared" si="300"/>
        <v/>
      </c>
      <c r="LK887" s="2052" t="str">
        <f t="shared" si="301"/>
        <v/>
      </c>
      <c r="LL887" s="1853" t="str">
        <f t="shared" si="302"/>
        <v/>
      </c>
      <c r="LM887" s="1853" t="str">
        <f t="shared" si="303"/>
        <v/>
      </c>
      <c r="LN887" s="1853" t="str">
        <f t="shared" si="304"/>
        <v/>
      </c>
      <c r="LO887" s="1853" t="str">
        <f t="shared" si="305"/>
        <v/>
      </c>
      <c r="LP887" s="1853" t="str">
        <f t="shared" si="306"/>
        <v/>
      </c>
      <c r="LQ887" s="1853" t="str">
        <f t="shared" si="307"/>
        <v/>
      </c>
      <c r="LR887" s="1853" t="str">
        <f t="shared" si="308"/>
        <v/>
      </c>
      <c r="LS887" s="1853" t="str">
        <f t="shared" si="309"/>
        <v/>
      </c>
      <c r="LT887" s="1853" t="str">
        <f t="shared" si="310"/>
        <v/>
      </c>
      <c r="LU887" s="1853" t="str">
        <f t="shared" si="311"/>
        <v/>
      </c>
      <c r="LV887" s="1853" t="str">
        <f t="shared" si="312"/>
        <v/>
      </c>
      <c r="LW887" s="1853" t="str">
        <f t="shared" si="313"/>
        <v/>
      </c>
      <c r="LX887" s="1853" t="str">
        <f t="shared" si="314"/>
        <v/>
      </c>
      <c r="LY887" s="1853" t="str">
        <f t="shared" si="315"/>
        <v/>
      </c>
      <c r="LZ887" s="1853" t="str">
        <f t="shared" si="316"/>
        <v/>
      </c>
      <c r="MA887" s="1853" t="str">
        <f t="shared" si="317"/>
        <v/>
      </c>
      <c r="MB887" s="1853" t="str">
        <f t="shared" si="318"/>
        <v/>
      </c>
      <c r="MC887" s="1853" t="str">
        <f t="shared" si="319"/>
        <v/>
      </c>
      <c r="MD887" s="1853" t="str">
        <f t="shared" si="320"/>
        <v/>
      </c>
      <c r="ME887" s="1853" t="str">
        <f t="shared" si="321"/>
        <v/>
      </c>
      <c r="MF887" s="2052">
        <f t="shared" si="328"/>
        <v>0</v>
      </c>
      <c r="MG887" s="2052">
        <f t="shared" si="329"/>
        <v>0</v>
      </c>
      <c r="MH887" s="2052">
        <f t="shared" si="330"/>
        <v>0</v>
      </c>
      <c r="MI887" s="2052">
        <f t="shared" si="331"/>
        <v>0</v>
      </c>
      <c r="MJ887" s="2052">
        <f t="shared" si="332"/>
        <v>0</v>
      </c>
      <c r="MK887" s="2052">
        <f t="shared" si="333"/>
        <v>0</v>
      </c>
      <c r="ML887" s="2052">
        <f t="shared" si="334"/>
        <v>0</v>
      </c>
      <c r="MM887" s="2052">
        <f t="shared" si="335"/>
        <v>0</v>
      </c>
      <c r="MN887" s="2052">
        <f t="shared" si="336"/>
        <v>0</v>
      </c>
      <c r="MO887" s="2052">
        <f t="shared" si="337"/>
        <v>0</v>
      </c>
      <c r="MP887" s="2052">
        <f t="shared" si="322"/>
        <v>0</v>
      </c>
      <c r="MQ887" s="2052">
        <f t="shared" si="323"/>
        <v>0</v>
      </c>
      <c r="MR887" s="2052">
        <f t="shared" si="324"/>
        <v>0</v>
      </c>
      <c r="MS887" s="2052">
        <f t="shared" si="325"/>
        <v>0</v>
      </c>
      <c r="MT887" s="2052">
        <f t="shared" si="326"/>
        <v>0</v>
      </c>
      <c r="NP887" s="1925" t="s">
        <v>6753</v>
      </c>
    </row>
    <row r="888" spans="1:380" s="1853" customFormat="1" ht="13.9" customHeight="1">
      <c r="A888" s="2109" t="str">
        <f t="shared" si="327"/>
        <v/>
      </c>
      <c r="B888" s="2131">
        <f>'Part VI-Revenues &amp; Expenses'!B48</f>
        <v>0</v>
      </c>
      <c r="C888" s="2132">
        <f>'Part VI-Revenues &amp; Expenses'!C48</f>
        <v>0</v>
      </c>
      <c r="D888" s="2133">
        <f>'Part VI-Revenues &amp; Expenses'!D48</f>
        <v>0</v>
      </c>
      <c r="E888" s="2134">
        <f>'Part VI-Revenues &amp; Expenses'!E48</f>
        <v>0</v>
      </c>
      <c r="F888" s="2134">
        <f>'Part VI-Revenues &amp; Expenses'!F48</f>
        <v>0</v>
      </c>
      <c r="G888" s="2134">
        <f>'Part VI-Revenues &amp; Expenses'!G48</f>
        <v>0</v>
      </c>
      <c r="H888" s="2134">
        <f>'Part VI-Revenues &amp; Expenses'!H48</f>
        <v>0</v>
      </c>
      <c r="I888" s="2134">
        <f>'Part VI-Revenues &amp; Expenses'!I48</f>
        <v>0</v>
      </c>
      <c r="J888" s="2134">
        <f>'Part VI-Revenues &amp; Expenses'!J48</f>
        <v>0</v>
      </c>
      <c r="K888" s="2135">
        <f>'Part VI-Revenues &amp; Expenses'!K48</f>
        <v>0</v>
      </c>
      <c r="L888" s="2136">
        <f t="shared" si="0"/>
        <v>0</v>
      </c>
      <c r="M888" s="2136">
        <f t="shared" si="1"/>
        <v>0</v>
      </c>
      <c r="N888" s="1917">
        <f>'Part VI-Revenues &amp; Expenses'!N48</f>
        <v>0</v>
      </c>
      <c r="O888" s="2137">
        <f>'Part VI-Revenues &amp; Expenses'!O48</f>
        <v>0</v>
      </c>
      <c r="P888" s="1917">
        <f>'Part VI-Revenues &amp; Expenses'!P48</f>
        <v>0</v>
      </c>
      <c r="Q888" s="2138">
        <f>'Part VI-Revenues &amp; Expenses'!Q48</f>
        <v>0</v>
      </c>
      <c r="R888" s="2139"/>
      <c r="S888" s="2140"/>
      <c r="T888" s="2044"/>
      <c r="U888" s="2044"/>
      <c r="V888" s="2044"/>
      <c r="W888" s="2044"/>
      <c r="X888" s="1853" t="str">
        <f t="shared" si="2"/>
        <v/>
      </c>
      <c r="Y888" s="1853" t="str">
        <f t="shared" si="3"/>
        <v/>
      </c>
      <c r="Z888" s="1853" t="str">
        <f t="shared" si="4"/>
        <v/>
      </c>
      <c r="AA888" s="1853" t="str">
        <f t="shared" si="5"/>
        <v/>
      </c>
      <c r="AB888" s="1853" t="str">
        <f t="shared" si="6"/>
        <v/>
      </c>
      <c r="AC888" s="1853" t="str">
        <f t="shared" si="7"/>
        <v/>
      </c>
      <c r="AD888" s="1853" t="str">
        <f t="shared" si="8"/>
        <v/>
      </c>
      <c r="AE888" s="1853" t="str">
        <f t="shared" si="9"/>
        <v/>
      </c>
      <c r="AF888" s="1853" t="str">
        <f t="shared" si="10"/>
        <v/>
      </c>
      <c r="AG888" s="1853" t="str">
        <f t="shared" si="11"/>
        <v/>
      </c>
      <c r="AH888" s="1853" t="str">
        <f t="shared" si="12"/>
        <v/>
      </c>
      <c r="AI888" s="1853" t="str">
        <f t="shared" si="13"/>
        <v/>
      </c>
      <c r="AJ888" s="1853" t="str">
        <f t="shared" si="14"/>
        <v/>
      </c>
      <c r="AK888" s="1853" t="str">
        <f t="shared" si="15"/>
        <v/>
      </c>
      <c r="AL888" s="1853" t="str">
        <f t="shared" si="16"/>
        <v/>
      </c>
      <c r="AM888" s="1853" t="str">
        <f t="shared" si="17"/>
        <v/>
      </c>
      <c r="AN888" s="1853" t="str">
        <f t="shared" si="18"/>
        <v/>
      </c>
      <c r="AO888" s="1853" t="str">
        <f t="shared" si="19"/>
        <v/>
      </c>
      <c r="AP888" s="1853" t="str">
        <f t="shared" si="20"/>
        <v/>
      </c>
      <c r="AQ888" s="1853" t="str">
        <f t="shared" si="21"/>
        <v/>
      </c>
      <c r="AR888" s="1853" t="str">
        <f t="shared" si="22"/>
        <v/>
      </c>
      <c r="AS888" s="1853" t="str">
        <f t="shared" si="23"/>
        <v/>
      </c>
      <c r="AT888" s="1853" t="str">
        <f t="shared" si="24"/>
        <v/>
      </c>
      <c r="AU888" s="1853" t="str">
        <f t="shared" si="25"/>
        <v/>
      </c>
      <c r="AV888" s="1853" t="str">
        <f t="shared" si="26"/>
        <v/>
      </c>
      <c r="AW888" s="1853" t="str">
        <f t="shared" si="27"/>
        <v/>
      </c>
      <c r="AX888" s="1853" t="str">
        <f t="shared" si="28"/>
        <v/>
      </c>
      <c r="AY888" s="1853" t="str">
        <f t="shared" si="29"/>
        <v/>
      </c>
      <c r="AZ888" s="1853" t="str">
        <f t="shared" si="30"/>
        <v/>
      </c>
      <c r="BA888" s="1853" t="str">
        <f t="shared" si="31"/>
        <v/>
      </c>
      <c r="BB888" s="1853" t="str">
        <f t="shared" si="32"/>
        <v/>
      </c>
      <c r="BC888" s="1853" t="str">
        <f t="shared" si="33"/>
        <v/>
      </c>
      <c r="BD888" s="1853" t="str">
        <f t="shared" si="34"/>
        <v/>
      </c>
      <c r="BE888" s="1853" t="str">
        <f t="shared" si="35"/>
        <v/>
      </c>
      <c r="BF888" s="1853" t="str">
        <f t="shared" si="36"/>
        <v/>
      </c>
      <c r="BG888" s="1853" t="str">
        <f t="shared" si="37"/>
        <v/>
      </c>
      <c r="BH888" s="1853" t="str">
        <f t="shared" si="38"/>
        <v/>
      </c>
      <c r="BI888" s="1853" t="str">
        <f t="shared" si="39"/>
        <v/>
      </c>
      <c r="BJ888" s="1853" t="str">
        <f t="shared" si="40"/>
        <v/>
      </c>
      <c r="BK888" s="1853" t="str">
        <f t="shared" si="41"/>
        <v/>
      </c>
      <c r="BL888" s="1853" t="str">
        <f t="shared" si="42"/>
        <v/>
      </c>
      <c r="BM888" s="1853" t="str">
        <f t="shared" si="43"/>
        <v/>
      </c>
      <c r="BN888" s="1853" t="str">
        <f t="shared" si="44"/>
        <v/>
      </c>
      <c r="BO888" s="1853" t="str">
        <f t="shared" si="45"/>
        <v/>
      </c>
      <c r="BP888" s="1853" t="str">
        <f t="shared" si="46"/>
        <v/>
      </c>
      <c r="BQ888" s="1853" t="str">
        <f t="shared" si="47"/>
        <v/>
      </c>
      <c r="BR888" s="1853" t="str">
        <f t="shared" si="48"/>
        <v/>
      </c>
      <c r="BS888" s="1853" t="str">
        <f t="shared" si="49"/>
        <v/>
      </c>
      <c r="BT888" s="1853" t="str">
        <f t="shared" si="50"/>
        <v/>
      </c>
      <c r="BU888" s="1853" t="str">
        <f t="shared" si="51"/>
        <v/>
      </c>
      <c r="BV888" s="1853" t="str">
        <f t="shared" si="52"/>
        <v/>
      </c>
      <c r="BW888" s="1853" t="str">
        <f t="shared" si="53"/>
        <v/>
      </c>
      <c r="BX888" s="1853" t="str">
        <f t="shared" si="54"/>
        <v/>
      </c>
      <c r="BY888" s="1853" t="str">
        <f t="shared" si="55"/>
        <v/>
      </c>
      <c r="BZ888" s="1853" t="str">
        <f t="shared" si="56"/>
        <v/>
      </c>
      <c r="CA888" s="1853" t="str">
        <f t="shared" si="57"/>
        <v/>
      </c>
      <c r="CB888" s="1853" t="str">
        <f t="shared" si="58"/>
        <v/>
      </c>
      <c r="CC888" s="1853" t="str">
        <f t="shared" si="59"/>
        <v/>
      </c>
      <c r="CD888" s="1853" t="str">
        <f t="shared" si="60"/>
        <v/>
      </c>
      <c r="CE888" s="1853" t="str">
        <f t="shared" si="61"/>
        <v/>
      </c>
      <c r="CF888" s="1853" t="str">
        <f t="shared" si="62"/>
        <v/>
      </c>
      <c r="CG888" s="1853" t="str">
        <f t="shared" si="63"/>
        <v/>
      </c>
      <c r="CH888" s="1853" t="str">
        <f t="shared" si="64"/>
        <v/>
      </c>
      <c r="CI888" s="1853" t="str">
        <f t="shared" si="65"/>
        <v/>
      </c>
      <c r="CJ888" s="1853" t="str">
        <f t="shared" si="66"/>
        <v/>
      </c>
      <c r="CK888" s="1853" t="str">
        <f t="shared" si="67"/>
        <v/>
      </c>
      <c r="CL888" s="1853" t="str">
        <f t="shared" si="68"/>
        <v/>
      </c>
      <c r="CM888" s="1853" t="str">
        <f t="shared" si="69"/>
        <v/>
      </c>
      <c r="CN888" s="1853" t="str">
        <f t="shared" si="70"/>
        <v/>
      </c>
      <c r="CO888" s="1853" t="str">
        <f t="shared" si="71"/>
        <v/>
      </c>
      <c r="CP888" s="1853" t="str">
        <f t="shared" si="72"/>
        <v/>
      </c>
      <c r="CQ888" s="1853" t="str">
        <f t="shared" si="73"/>
        <v/>
      </c>
      <c r="CR888" s="1853" t="str">
        <f t="shared" si="74"/>
        <v/>
      </c>
      <c r="CS888" s="1853" t="str">
        <f t="shared" si="75"/>
        <v/>
      </c>
      <c r="CT888" s="1853" t="str">
        <f t="shared" si="76"/>
        <v/>
      </c>
      <c r="CU888" s="1853" t="str">
        <f t="shared" si="77"/>
        <v/>
      </c>
      <c r="CV888" s="1853" t="str">
        <f t="shared" si="78"/>
        <v/>
      </c>
      <c r="CW888" s="1853" t="str">
        <f t="shared" si="79"/>
        <v/>
      </c>
      <c r="CX888" s="1853" t="str">
        <f t="shared" si="80"/>
        <v/>
      </c>
      <c r="CY888" s="1853" t="str">
        <f t="shared" si="81"/>
        <v/>
      </c>
      <c r="CZ888" s="1853" t="str">
        <f t="shared" si="82"/>
        <v/>
      </c>
      <c r="DA888" s="1853" t="str">
        <f t="shared" si="83"/>
        <v/>
      </c>
      <c r="DB888" s="1853" t="str">
        <f t="shared" si="84"/>
        <v/>
      </c>
      <c r="DC888" s="1853" t="str">
        <f t="shared" si="85"/>
        <v/>
      </c>
      <c r="DD888" s="1853" t="str">
        <f t="shared" si="86"/>
        <v/>
      </c>
      <c r="DE888" s="1853" t="str">
        <f t="shared" si="87"/>
        <v/>
      </c>
      <c r="DF888" s="1853" t="str">
        <f t="shared" si="88"/>
        <v/>
      </c>
      <c r="DG888" s="1853" t="str">
        <f t="shared" si="89"/>
        <v/>
      </c>
      <c r="DH888" s="1853" t="str">
        <f t="shared" si="90"/>
        <v/>
      </c>
      <c r="DI888" s="1853" t="str">
        <f t="shared" si="91"/>
        <v/>
      </c>
      <c r="DJ888" s="1853" t="str">
        <f t="shared" si="92"/>
        <v/>
      </c>
      <c r="DK888" s="1853" t="str">
        <f t="shared" si="93"/>
        <v/>
      </c>
      <c r="DL888" s="1853" t="str">
        <f t="shared" si="94"/>
        <v/>
      </c>
      <c r="DM888" s="1853" t="str">
        <f t="shared" si="95"/>
        <v/>
      </c>
      <c r="DN888" s="1853" t="str">
        <f t="shared" si="96"/>
        <v/>
      </c>
      <c r="DO888" s="1853" t="str">
        <f t="shared" si="97"/>
        <v/>
      </c>
      <c r="DP888" s="1853" t="str">
        <f t="shared" si="98"/>
        <v/>
      </c>
      <c r="DQ888" s="1853" t="str">
        <f t="shared" si="99"/>
        <v/>
      </c>
      <c r="DR888" s="1853" t="str">
        <f t="shared" si="100"/>
        <v/>
      </c>
      <c r="DS888" s="1853" t="str">
        <f t="shared" si="101"/>
        <v/>
      </c>
      <c r="DT888" s="1853" t="str">
        <f t="shared" si="102"/>
        <v/>
      </c>
      <c r="DU888" s="1853" t="str">
        <f t="shared" si="103"/>
        <v/>
      </c>
      <c r="DV888" s="1853" t="str">
        <f t="shared" si="104"/>
        <v/>
      </c>
      <c r="DW888" s="1853" t="str">
        <f t="shared" si="105"/>
        <v/>
      </c>
      <c r="DX888" s="1853" t="str">
        <f t="shared" si="106"/>
        <v/>
      </c>
      <c r="DY888" s="1853" t="str">
        <f t="shared" si="107"/>
        <v/>
      </c>
      <c r="DZ888" s="1853" t="str">
        <f t="shared" si="108"/>
        <v/>
      </c>
      <c r="EA888" s="1853" t="str">
        <f t="shared" si="109"/>
        <v/>
      </c>
      <c r="EB888" s="1853" t="str">
        <f t="shared" si="110"/>
        <v/>
      </c>
      <c r="EC888" s="1853" t="str">
        <f t="shared" si="111"/>
        <v/>
      </c>
      <c r="ED888" s="1853" t="str">
        <f t="shared" si="112"/>
        <v/>
      </c>
      <c r="EE888" s="1853" t="str">
        <f t="shared" si="113"/>
        <v/>
      </c>
      <c r="EF888" s="1853" t="str">
        <f t="shared" si="114"/>
        <v/>
      </c>
      <c r="EG888" s="1853" t="str">
        <f t="shared" si="115"/>
        <v/>
      </c>
      <c r="EH888" s="1853" t="str">
        <f t="shared" si="116"/>
        <v/>
      </c>
      <c r="EI888" s="1853" t="str">
        <f t="shared" si="117"/>
        <v/>
      </c>
      <c r="EJ888" s="1853" t="str">
        <f t="shared" si="118"/>
        <v/>
      </c>
      <c r="EK888" s="1853" t="str">
        <f t="shared" si="119"/>
        <v/>
      </c>
      <c r="EL888" s="1853" t="str">
        <f t="shared" si="120"/>
        <v/>
      </c>
      <c r="EM888" s="1853" t="str">
        <f t="shared" si="121"/>
        <v/>
      </c>
      <c r="EN888" s="1853" t="str">
        <f t="shared" si="122"/>
        <v/>
      </c>
      <c r="EO888" s="1853" t="str">
        <f t="shared" si="123"/>
        <v/>
      </c>
      <c r="EP888" s="1853" t="str">
        <f t="shared" si="124"/>
        <v/>
      </c>
      <c r="EQ888" s="1853" t="str">
        <f t="shared" si="125"/>
        <v/>
      </c>
      <c r="ER888" s="1853" t="str">
        <f t="shared" si="126"/>
        <v/>
      </c>
      <c r="ES888" s="1853" t="str">
        <f t="shared" si="127"/>
        <v/>
      </c>
      <c r="ET888" s="1853" t="str">
        <f t="shared" si="128"/>
        <v/>
      </c>
      <c r="EU888" s="1853" t="str">
        <f t="shared" si="129"/>
        <v/>
      </c>
      <c r="EV888" s="1853" t="str">
        <f t="shared" si="130"/>
        <v/>
      </c>
      <c r="EW888" s="1853" t="str">
        <f t="shared" si="131"/>
        <v/>
      </c>
      <c r="EX888" s="1853" t="str">
        <f t="shared" si="132"/>
        <v/>
      </c>
      <c r="EY888" s="1853" t="str">
        <f t="shared" si="133"/>
        <v/>
      </c>
      <c r="EZ888" s="1853" t="str">
        <f t="shared" si="134"/>
        <v/>
      </c>
      <c r="FA888" s="1853" t="str">
        <f t="shared" si="135"/>
        <v/>
      </c>
      <c r="FB888" s="1853" t="str">
        <f t="shared" si="136"/>
        <v/>
      </c>
      <c r="FC888" s="1853" t="str">
        <f t="shared" si="137"/>
        <v/>
      </c>
      <c r="FD888" s="1853" t="str">
        <f t="shared" si="138"/>
        <v/>
      </c>
      <c r="FE888" s="1853" t="str">
        <f t="shared" si="139"/>
        <v/>
      </c>
      <c r="FF888" s="1853" t="str">
        <f t="shared" si="140"/>
        <v/>
      </c>
      <c r="FG888" s="1853" t="str">
        <f t="shared" si="141"/>
        <v/>
      </c>
      <c r="FH888" s="1853" t="str">
        <f t="shared" si="142"/>
        <v/>
      </c>
      <c r="FI888" s="1853" t="str">
        <f t="shared" si="143"/>
        <v/>
      </c>
      <c r="FJ888" s="1853" t="str">
        <f t="shared" si="144"/>
        <v/>
      </c>
      <c r="FK888" s="1853" t="str">
        <f t="shared" si="145"/>
        <v/>
      </c>
      <c r="FL888" s="1853" t="str">
        <f t="shared" si="146"/>
        <v/>
      </c>
      <c r="FM888" s="1853" t="str">
        <f t="shared" si="147"/>
        <v/>
      </c>
      <c r="FN888" s="1853" t="str">
        <f t="shared" si="148"/>
        <v/>
      </c>
      <c r="FO888" s="1853" t="str">
        <f t="shared" si="149"/>
        <v/>
      </c>
      <c r="FP888" s="1853" t="str">
        <f t="shared" si="150"/>
        <v/>
      </c>
      <c r="FQ888" s="1853" t="str">
        <f t="shared" si="151"/>
        <v/>
      </c>
      <c r="FR888" s="1853" t="str">
        <f t="shared" si="152"/>
        <v/>
      </c>
      <c r="FS888" s="1853" t="str">
        <f t="shared" si="153"/>
        <v/>
      </c>
      <c r="FT888" s="1853" t="str">
        <f t="shared" si="154"/>
        <v/>
      </c>
      <c r="FU888" s="1853" t="str">
        <f t="shared" si="155"/>
        <v/>
      </c>
      <c r="FV888" s="1853" t="str">
        <f t="shared" si="156"/>
        <v/>
      </c>
      <c r="FW888" s="1853" t="str">
        <f t="shared" si="157"/>
        <v/>
      </c>
      <c r="FX888" s="1853" t="str">
        <f t="shared" si="158"/>
        <v/>
      </c>
      <c r="FY888" s="1853" t="str">
        <f t="shared" si="159"/>
        <v/>
      </c>
      <c r="FZ888" s="1853" t="str">
        <f t="shared" si="160"/>
        <v/>
      </c>
      <c r="GA888" s="1853" t="str">
        <f t="shared" si="161"/>
        <v/>
      </c>
      <c r="GB888" s="1853" t="str">
        <f t="shared" si="162"/>
        <v/>
      </c>
      <c r="GC888" s="1853" t="str">
        <f t="shared" si="163"/>
        <v/>
      </c>
      <c r="GD888" s="1853" t="str">
        <f t="shared" si="164"/>
        <v/>
      </c>
      <c r="GE888" s="1853" t="str">
        <f t="shared" si="165"/>
        <v/>
      </c>
      <c r="GF888" s="1853" t="str">
        <f t="shared" si="166"/>
        <v/>
      </c>
      <c r="GG888" s="1853" t="str">
        <f t="shared" si="167"/>
        <v/>
      </c>
      <c r="GH888" s="1853" t="str">
        <f t="shared" si="168"/>
        <v/>
      </c>
      <c r="GI888" s="1853" t="str">
        <f t="shared" si="169"/>
        <v/>
      </c>
      <c r="GJ888" s="1853" t="str">
        <f t="shared" si="170"/>
        <v/>
      </c>
      <c r="GK888" s="1853" t="str">
        <f t="shared" si="171"/>
        <v/>
      </c>
      <c r="GL888" s="1853" t="str">
        <f t="shared" si="172"/>
        <v/>
      </c>
      <c r="GM888" s="1853" t="str">
        <f t="shared" si="173"/>
        <v/>
      </c>
      <c r="GN888" s="1853" t="str">
        <f t="shared" si="174"/>
        <v/>
      </c>
      <c r="GO888" s="1853" t="str">
        <f t="shared" si="175"/>
        <v/>
      </c>
      <c r="GP888" s="1853" t="str">
        <f t="shared" si="176"/>
        <v/>
      </c>
      <c r="GQ888" s="1853" t="str">
        <f t="shared" si="177"/>
        <v/>
      </c>
      <c r="GR888" s="1853" t="str">
        <f t="shared" si="178"/>
        <v/>
      </c>
      <c r="GS888" s="1853" t="str">
        <f t="shared" si="179"/>
        <v/>
      </c>
      <c r="GT888" s="1853" t="str">
        <f t="shared" si="180"/>
        <v/>
      </c>
      <c r="GU888" s="1853" t="str">
        <f t="shared" si="181"/>
        <v/>
      </c>
      <c r="GV888" s="1853" t="str">
        <f t="shared" si="182"/>
        <v/>
      </c>
      <c r="GW888" s="1853" t="str">
        <f t="shared" si="183"/>
        <v/>
      </c>
      <c r="GX888" s="1853" t="str">
        <f t="shared" si="184"/>
        <v/>
      </c>
      <c r="GY888" s="1853" t="str">
        <f t="shared" si="185"/>
        <v/>
      </c>
      <c r="GZ888" s="1853" t="str">
        <f t="shared" si="186"/>
        <v/>
      </c>
      <c r="HA888" s="1853" t="str">
        <f t="shared" si="187"/>
        <v/>
      </c>
      <c r="HB888" s="1853" t="str">
        <f t="shared" si="188"/>
        <v/>
      </c>
      <c r="HC888" s="1853" t="str">
        <f t="shared" si="189"/>
        <v/>
      </c>
      <c r="HD888" s="1853" t="str">
        <f t="shared" si="190"/>
        <v/>
      </c>
      <c r="HE888" s="1853" t="str">
        <f t="shared" si="191"/>
        <v/>
      </c>
      <c r="HF888" s="1853" t="str">
        <f t="shared" si="192"/>
        <v/>
      </c>
      <c r="HG888" s="1853" t="str">
        <f t="shared" si="193"/>
        <v/>
      </c>
      <c r="HH888" s="1853" t="str">
        <f t="shared" si="194"/>
        <v/>
      </c>
      <c r="HI888" s="1853" t="str">
        <f t="shared" si="195"/>
        <v/>
      </c>
      <c r="HJ888" s="1853" t="str">
        <f t="shared" si="196"/>
        <v/>
      </c>
      <c r="HK888" s="1853" t="str">
        <f t="shared" si="197"/>
        <v/>
      </c>
      <c r="HL888" s="1853" t="str">
        <f t="shared" si="198"/>
        <v/>
      </c>
      <c r="HM888" s="1853" t="str">
        <f t="shared" si="199"/>
        <v/>
      </c>
      <c r="HN888" s="1853" t="str">
        <f t="shared" si="200"/>
        <v/>
      </c>
      <c r="HO888" s="1853" t="str">
        <f t="shared" si="201"/>
        <v/>
      </c>
      <c r="HP888" s="1853" t="str">
        <f t="shared" si="202"/>
        <v/>
      </c>
      <c r="HQ888" s="1853" t="str">
        <f t="shared" si="203"/>
        <v/>
      </c>
      <c r="HR888" s="1853" t="str">
        <f t="shared" si="204"/>
        <v/>
      </c>
      <c r="HS888" s="1853" t="str">
        <f t="shared" si="205"/>
        <v/>
      </c>
      <c r="HT888" s="1853" t="str">
        <f t="shared" si="206"/>
        <v/>
      </c>
      <c r="HU888" s="1853" t="str">
        <f t="shared" si="207"/>
        <v/>
      </c>
      <c r="HV888" s="1853" t="str">
        <f t="shared" si="208"/>
        <v/>
      </c>
      <c r="HW888" s="1853" t="str">
        <f t="shared" si="209"/>
        <v/>
      </c>
      <c r="HX888" s="1853" t="str">
        <f t="shared" si="210"/>
        <v/>
      </c>
      <c r="HY888" s="1853" t="str">
        <f t="shared" si="211"/>
        <v/>
      </c>
      <c r="HZ888" s="2141" t="str">
        <f t="shared" si="212"/>
        <v/>
      </c>
      <c r="IA888" s="2141" t="str">
        <f t="shared" si="213"/>
        <v/>
      </c>
      <c r="IB888" s="2141" t="str">
        <f t="shared" si="214"/>
        <v/>
      </c>
      <c r="IC888" s="2141" t="str">
        <f t="shared" si="215"/>
        <v/>
      </c>
      <c r="ID888" s="2141" t="str">
        <f t="shared" si="216"/>
        <v/>
      </c>
      <c r="IE888" s="2141" t="str">
        <f t="shared" si="217"/>
        <v/>
      </c>
      <c r="IF888" s="2141" t="str">
        <f t="shared" si="218"/>
        <v/>
      </c>
      <c r="IG888" s="2141" t="str">
        <f t="shared" si="219"/>
        <v/>
      </c>
      <c r="IH888" s="2141" t="str">
        <f t="shared" si="220"/>
        <v/>
      </c>
      <c r="II888" s="2141" t="str">
        <f t="shared" si="221"/>
        <v/>
      </c>
      <c r="IJ888" s="2141" t="str">
        <f t="shared" si="222"/>
        <v/>
      </c>
      <c r="IK888" s="2141" t="str">
        <f t="shared" si="223"/>
        <v/>
      </c>
      <c r="IL888" s="2141" t="str">
        <f t="shared" si="224"/>
        <v/>
      </c>
      <c r="IM888" s="2141" t="str">
        <f t="shared" si="225"/>
        <v/>
      </c>
      <c r="IN888" s="2141" t="str">
        <f t="shared" si="226"/>
        <v/>
      </c>
      <c r="IO888" s="2141" t="str">
        <f t="shared" si="227"/>
        <v/>
      </c>
      <c r="IP888" s="2141" t="str">
        <f t="shared" si="228"/>
        <v/>
      </c>
      <c r="IQ888" s="2141" t="str">
        <f t="shared" si="229"/>
        <v/>
      </c>
      <c r="IR888" s="2141" t="str">
        <f t="shared" si="230"/>
        <v/>
      </c>
      <c r="IS888" s="2141" t="str">
        <f t="shared" si="231"/>
        <v/>
      </c>
      <c r="IT888" s="2141" t="str">
        <f t="shared" si="232"/>
        <v/>
      </c>
      <c r="IU888" s="2141" t="str">
        <f t="shared" si="233"/>
        <v/>
      </c>
      <c r="IV888" s="2141" t="str">
        <f t="shared" si="234"/>
        <v/>
      </c>
      <c r="IW888" s="2141" t="str">
        <f t="shared" si="235"/>
        <v/>
      </c>
      <c r="IX888" s="2141" t="str">
        <f t="shared" si="236"/>
        <v/>
      </c>
      <c r="IY888" s="2141" t="str">
        <f t="shared" si="237"/>
        <v/>
      </c>
      <c r="IZ888" s="2141" t="str">
        <f t="shared" si="238"/>
        <v/>
      </c>
      <c r="JA888" s="2141" t="str">
        <f t="shared" si="239"/>
        <v/>
      </c>
      <c r="JB888" s="2141" t="str">
        <f t="shared" si="240"/>
        <v/>
      </c>
      <c r="JC888" s="2141" t="str">
        <f t="shared" si="241"/>
        <v/>
      </c>
      <c r="JD888" s="2141" t="str">
        <f t="shared" si="242"/>
        <v/>
      </c>
      <c r="JE888" s="2141" t="str">
        <f t="shared" si="243"/>
        <v/>
      </c>
      <c r="JF888" s="2141" t="str">
        <f t="shared" si="244"/>
        <v/>
      </c>
      <c r="JG888" s="2141" t="str">
        <f t="shared" si="245"/>
        <v/>
      </c>
      <c r="JH888" s="2141" t="str">
        <f t="shared" si="246"/>
        <v/>
      </c>
      <c r="JI888" s="2141" t="str">
        <f t="shared" si="247"/>
        <v/>
      </c>
      <c r="JJ888" s="2141" t="str">
        <f t="shared" si="248"/>
        <v/>
      </c>
      <c r="JK888" s="2141" t="str">
        <f t="shared" si="249"/>
        <v/>
      </c>
      <c r="JL888" s="2141" t="str">
        <f t="shared" si="250"/>
        <v/>
      </c>
      <c r="JM888" s="2141" t="str">
        <f t="shared" si="251"/>
        <v/>
      </c>
      <c r="JN888" s="2141" t="str">
        <f t="shared" si="252"/>
        <v/>
      </c>
      <c r="JO888" s="2141" t="str">
        <f t="shared" si="253"/>
        <v/>
      </c>
      <c r="JP888" s="2141" t="str">
        <f t="shared" si="254"/>
        <v/>
      </c>
      <c r="JQ888" s="2141" t="str">
        <f t="shared" si="255"/>
        <v/>
      </c>
      <c r="JR888" s="2141" t="str">
        <f t="shared" si="256"/>
        <v/>
      </c>
      <c r="JS888" s="2141" t="str">
        <f t="shared" si="257"/>
        <v/>
      </c>
      <c r="JT888" s="2141" t="str">
        <f t="shared" si="258"/>
        <v/>
      </c>
      <c r="JU888" s="2141" t="str">
        <f t="shared" si="259"/>
        <v/>
      </c>
      <c r="JV888" s="2141" t="str">
        <f t="shared" si="260"/>
        <v/>
      </c>
      <c r="JW888" s="2141" t="str">
        <f t="shared" si="261"/>
        <v/>
      </c>
      <c r="JX888" s="2141" t="str">
        <f t="shared" si="262"/>
        <v/>
      </c>
      <c r="JY888" s="2141" t="str">
        <f t="shared" si="263"/>
        <v/>
      </c>
      <c r="JZ888" s="2141" t="str">
        <f t="shared" si="264"/>
        <v/>
      </c>
      <c r="KA888" s="2141" t="str">
        <f t="shared" si="265"/>
        <v/>
      </c>
      <c r="KB888" s="2141" t="str">
        <f t="shared" si="266"/>
        <v/>
      </c>
      <c r="KC888" s="2141" t="str">
        <f t="shared" si="267"/>
        <v/>
      </c>
      <c r="KD888" s="2141" t="str">
        <f t="shared" si="268"/>
        <v/>
      </c>
      <c r="KE888" s="2141" t="str">
        <f t="shared" si="269"/>
        <v/>
      </c>
      <c r="KF888" s="2141" t="str">
        <f t="shared" si="270"/>
        <v/>
      </c>
      <c r="KG888" s="2141" t="str">
        <f t="shared" si="271"/>
        <v/>
      </c>
      <c r="KH888" s="2141" t="str">
        <f t="shared" si="272"/>
        <v/>
      </c>
      <c r="KI888" s="2141" t="str">
        <f t="shared" si="273"/>
        <v/>
      </c>
      <c r="KJ888" s="2141" t="str">
        <f t="shared" si="274"/>
        <v/>
      </c>
      <c r="KK888" s="2141" t="str">
        <f t="shared" si="275"/>
        <v/>
      </c>
      <c r="KL888" s="2141" t="str">
        <f t="shared" si="276"/>
        <v/>
      </c>
      <c r="KM888" s="2141" t="str">
        <f t="shared" si="277"/>
        <v/>
      </c>
      <c r="KN888" s="2141" t="str">
        <f t="shared" si="278"/>
        <v/>
      </c>
      <c r="KO888" s="2141" t="str">
        <f t="shared" si="279"/>
        <v/>
      </c>
      <c r="KP888" s="2141" t="str">
        <f t="shared" si="280"/>
        <v/>
      </c>
      <c r="KQ888" s="2141" t="str">
        <f t="shared" si="281"/>
        <v/>
      </c>
      <c r="KR888" s="2141" t="str">
        <f t="shared" si="282"/>
        <v/>
      </c>
      <c r="KS888" s="2141" t="str">
        <f t="shared" si="283"/>
        <v/>
      </c>
      <c r="KT888" s="2141" t="str">
        <f t="shared" si="284"/>
        <v/>
      </c>
      <c r="KU888" s="2141" t="str">
        <f t="shared" si="285"/>
        <v/>
      </c>
      <c r="KV888" s="2141" t="str">
        <f t="shared" si="286"/>
        <v/>
      </c>
      <c r="KW888" s="2141" t="str">
        <f t="shared" si="287"/>
        <v/>
      </c>
      <c r="KX888" s="2141" t="str">
        <f t="shared" si="288"/>
        <v/>
      </c>
      <c r="KY888" s="2141" t="str">
        <f t="shared" si="289"/>
        <v/>
      </c>
      <c r="KZ888" s="2141" t="str">
        <f t="shared" si="290"/>
        <v/>
      </c>
      <c r="LA888" s="2141" t="str">
        <f t="shared" si="291"/>
        <v/>
      </c>
      <c r="LB888" s="2141" t="str">
        <f t="shared" si="292"/>
        <v/>
      </c>
      <c r="LC888" s="2141" t="str">
        <f t="shared" si="293"/>
        <v/>
      </c>
      <c r="LD888" s="2141" t="str">
        <f t="shared" si="294"/>
        <v/>
      </c>
      <c r="LE888" s="2141" t="str">
        <f t="shared" si="295"/>
        <v/>
      </c>
      <c r="LF888" s="2141" t="str">
        <f t="shared" si="296"/>
        <v/>
      </c>
      <c r="LG888" s="2052" t="str">
        <f t="shared" si="297"/>
        <v/>
      </c>
      <c r="LH888" s="2052" t="str">
        <f t="shared" si="298"/>
        <v/>
      </c>
      <c r="LI888" s="2052" t="str">
        <f t="shared" si="299"/>
        <v/>
      </c>
      <c r="LJ888" s="2052" t="str">
        <f t="shared" si="300"/>
        <v/>
      </c>
      <c r="LK888" s="2052" t="str">
        <f t="shared" si="301"/>
        <v/>
      </c>
      <c r="LL888" s="1853" t="str">
        <f t="shared" si="302"/>
        <v/>
      </c>
      <c r="LM888" s="1853" t="str">
        <f t="shared" si="303"/>
        <v/>
      </c>
      <c r="LN888" s="1853" t="str">
        <f t="shared" si="304"/>
        <v/>
      </c>
      <c r="LO888" s="1853" t="str">
        <f t="shared" si="305"/>
        <v/>
      </c>
      <c r="LP888" s="1853" t="str">
        <f t="shared" si="306"/>
        <v/>
      </c>
      <c r="LQ888" s="1853" t="str">
        <f t="shared" si="307"/>
        <v/>
      </c>
      <c r="LR888" s="1853" t="str">
        <f t="shared" si="308"/>
        <v/>
      </c>
      <c r="LS888" s="1853" t="str">
        <f t="shared" si="309"/>
        <v/>
      </c>
      <c r="LT888" s="1853" t="str">
        <f t="shared" si="310"/>
        <v/>
      </c>
      <c r="LU888" s="1853" t="str">
        <f t="shared" si="311"/>
        <v/>
      </c>
      <c r="LV888" s="1853" t="str">
        <f t="shared" si="312"/>
        <v/>
      </c>
      <c r="LW888" s="1853" t="str">
        <f t="shared" si="313"/>
        <v/>
      </c>
      <c r="LX888" s="1853" t="str">
        <f t="shared" si="314"/>
        <v/>
      </c>
      <c r="LY888" s="1853" t="str">
        <f t="shared" si="315"/>
        <v/>
      </c>
      <c r="LZ888" s="1853" t="str">
        <f t="shared" si="316"/>
        <v/>
      </c>
      <c r="MA888" s="1853" t="str">
        <f t="shared" si="317"/>
        <v/>
      </c>
      <c r="MB888" s="1853" t="str">
        <f t="shared" si="318"/>
        <v/>
      </c>
      <c r="MC888" s="1853" t="str">
        <f t="shared" si="319"/>
        <v/>
      </c>
      <c r="MD888" s="1853" t="str">
        <f t="shared" si="320"/>
        <v/>
      </c>
      <c r="ME888" s="1853" t="str">
        <f t="shared" si="321"/>
        <v/>
      </c>
      <c r="MF888" s="2052">
        <f t="shared" si="328"/>
        <v>0</v>
      </c>
      <c r="MG888" s="2052">
        <f t="shared" si="329"/>
        <v>0</v>
      </c>
      <c r="MH888" s="2052">
        <f t="shared" si="330"/>
        <v>0</v>
      </c>
      <c r="MI888" s="2052">
        <f t="shared" si="331"/>
        <v>0</v>
      </c>
      <c r="MJ888" s="2052">
        <f t="shared" si="332"/>
        <v>0</v>
      </c>
      <c r="MK888" s="2052">
        <f t="shared" si="333"/>
        <v>0</v>
      </c>
      <c r="ML888" s="2052">
        <f t="shared" si="334"/>
        <v>0</v>
      </c>
      <c r="MM888" s="2052">
        <f t="shared" si="335"/>
        <v>0</v>
      </c>
      <c r="MN888" s="2052">
        <f t="shared" si="336"/>
        <v>0</v>
      </c>
      <c r="MO888" s="2052">
        <f t="shared" si="337"/>
        <v>0</v>
      </c>
      <c r="MP888" s="2052">
        <f t="shared" si="322"/>
        <v>0</v>
      </c>
      <c r="MQ888" s="2052">
        <f t="shared" si="323"/>
        <v>0</v>
      </c>
      <c r="MR888" s="2052">
        <f t="shared" si="324"/>
        <v>0</v>
      </c>
      <c r="MS888" s="2052">
        <f t="shared" si="325"/>
        <v>0</v>
      </c>
      <c r="MT888" s="2052">
        <f t="shared" si="326"/>
        <v>0</v>
      </c>
      <c r="NP888" s="1925" t="s">
        <v>6754</v>
      </c>
    </row>
    <row r="889" spans="1:380" s="1853" customFormat="1" ht="13.9" customHeight="1">
      <c r="A889" s="2109">
        <f>COUNT(A851,A852,A853,A854,A855,A856,A857,A858,A859,A860,A861,A862,A863,A864,A865,A866,A867,A868,A869,A870,A871,A872,A873,A874,A875,A876,A877,A878,A879,A880)</f>
        <v>0</v>
      </c>
      <c r="B889" s="435" t="s">
        <v>3921</v>
      </c>
      <c r="C889" s="435"/>
      <c r="D889" s="2142" t="s">
        <v>979</v>
      </c>
      <c r="E889" s="2143">
        <f>SUM(E851:E888)</f>
        <v>72</v>
      </c>
      <c r="F889" s="2144">
        <f>(E851*F851+E852*F852+E853*F853+E854*F854+E855*F855+E856*F856+E857*F857+E858*F858+E859*F859+E860*F860+E861*F861+E862*F862+E863*F863+E864*F864+E865*F865+E866*F866+E867*F867+E868*F868+E869*F869+E870*F870+E871*F871+E872*F872+E873*F873+E874*F874+E875*F875+E876*F876+E877*F877+E878*F878+E879*F879+E880*F880+E881*F881+E882*F882+E883*F883+E884*F884+E885*F885+E886*F886+E887*F887+E888*F888)</f>
        <v>66160</v>
      </c>
      <c r="H889" s="2145" t="s">
        <v>3918</v>
      </c>
      <c r="I889" s="2146" t="s">
        <v>3919</v>
      </c>
      <c r="J889" s="2147" t="str">
        <f>IF(P907=0,"",IF(SUM(P898:P902)/P907&gt;=0.4,"Pass","Fail"))</f>
        <v>Pass</v>
      </c>
      <c r="K889" s="436"/>
      <c r="L889" s="2142" t="s">
        <v>1254</v>
      </c>
      <c r="M889" s="2148">
        <f>SUM(M851:M888)</f>
        <v>51259</v>
      </c>
      <c r="N889" s="1818"/>
      <c r="O889" s="1818"/>
      <c r="P889" s="1818"/>
      <c r="Q889" s="1818"/>
      <c r="R889" s="1818"/>
      <c r="S889" s="1818"/>
      <c r="T889" s="1818"/>
      <c r="U889" s="1818"/>
      <c r="V889" s="2118"/>
      <c r="W889" s="2141"/>
      <c r="X889" s="2141">
        <f t="shared" ref="X889:FA889" si="338">SUM(X851:X888)</f>
        <v>0</v>
      </c>
      <c r="Y889" s="2141">
        <f t="shared" si="338"/>
        <v>0</v>
      </c>
      <c r="Z889" s="2141">
        <f t="shared" si="338"/>
        <v>0</v>
      </c>
      <c r="AA889" s="2141">
        <f t="shared" si="338"/>
        <v>0</v>
      </c>
      <c r="AB889" s="2141">
        <f t="shared" si="338"/>
        <v>0</v>
      </c>
      <c r="AC889" s="2141">
        <f t="shared" si="338"/>
        <v>0</v>
      </c>
      <c r="AD889" s="2141">
        <f t="shared" si="338"/>
        <v>0</v>
      </c>
      <c r="AE889" s="2141">
        <f t="shared" si="338"/>
        <v>0</v>
      </c>
      <c r="AF889" s="2141">
        <f t="shared" si="338"/>
        <v>0</v>
      </c>
      <c r="AG889" s="2141">
        <f t="shared" si="338"/>
        <v>0</v>
      </c>
      <c r="AH889" s="2141">
        <f t="shared" si="338"/>
        <v>0</v>
      </c>
      <c r="AI889" s="2141">
        <f t="shared" si="338"/>
        <v>13</v>
      </c>
      <c r="AJ889" s="2141">
        <f t="shared" si="338"/>
        <v>34</v>
      </c>
      <c r="AK889" s="2141">
        <f t="shared" si="338"/>
        <v>17</v>
      </c>
      <c r="AL889" s="2141">
        <f t="shared" si="338"/>
        <v>0</v>
      </c>
      <c r="AM889" s="2141">
        <f>SUM(AM851:AM888)</f>
        <v>0</v>
      </c>
      <c r="AN889" s="2141">
        <f>SUM(AN851:AN888)</f>
        <v>0</v>
      </c>
      <c r="AO889" s="2141">
        <f>SUM(AO851:AO888)</f>
        <v>0</v>
      </c>
      <c r="AP889" s="2141">
        <f>SUM(AP851:AP888)</f>
        <v>0</v>
      </c>
      <c r="AQ889" s="2141">
        <f>SUM(AQ851:AQ888)</f>
        <v>0</v>
      </c>
      <c r="AR889" s="2141">
        <f t="shared" si="338"/>
        <v>0</v>
      </c>
      <c r="AS889" s="2141">
        <f t="shared" si="338"/>
        <v>0</v>
      </c>
      <c r="AT889" s="2141">
        <f t="shared" si="338"/>
        <v>0</v>
      </c>
      <c r="AU889" s="2141">
        <f t="shared" si="338"/>
        <v>0</v>
      </c>
      <c r="AV889" s="2141">
        <f t="shared" si="338"/>
        <v>0</v>
      </c>
      <c r="AW889" s="2141">
        <f t="shared" si="338"/>
        <v>0</v>
      </c>
      <c r="AX889" s="2141">
        <f t="shared" si="338"/>
        <v>0</v>
      </c>
      <c r="AY889" s="2141">
        <f t="shared" si="338"/>
        <v>0</v>
      </c>
      <c r="AZ889" s="2141">
        <f t="shared" si="338"/>
        <v>0</v>
      </c>
      <c r="BA889" s="2141">
        <f t="shared" si="338"/>
        <v>0</v>
      </c>
      <c r="BB889" s="2141">
        <f>SUM(BB851:BB888)</f>
        <v>0</v>
      </c>
      <c r="BC889" s="2141">
        <f>SUM(BC851:BC888)</f>
        <v>0</v>
      </c>
      <c r="BD889" s="2141">
        <f>SUM(BD851:BD888)</f>
        <v>0</v>
      </c>
      <c r="BE889" s="2141">
        <f>SUM(BE851:BE888)</f>
        <v>0</v>
      </c>
      <c r="BF889" s="2141">
        <f>SUM(BF851:BF888)</f>
        <v>0</v>
      </c>
      <c r="BG889" s="2141">
        <f t="shared" si="338"/>
        <v>0</v>
      </c>
      <c r="BH889" s="2141">
        <f t="shared" si="338"/>
        <v>3</v>
      </c>
      <c r="BI889" s="2141">
        <f t="shared" si="338"/>
        <v>2</v>
      </c>
      <c r="BJ889" s="2141">
        <f t="shared" si="338"/>
        <v>3</v>
      </c>
      <c r="BK889" s="2141">
        <f t="shared" si="338"/>
        <v>0</v>
      </c>
      <c r="BL889" s="2141">
        <f>SUM(BL851:BL888)</f>
        <v>0</v>
      </c>
      <c r="BM889" s="2141">
        <f>SUM(BM851:BM888)</f>
        <v>0</v>
      </c>
      <c r="BN889" s="2141">
        <f>SUM(BN851:BN888)</f>
        <v>0</v>
      </c>
      <c r="BO889" s="2141">
        <f>SUM(BO851:BO888)</f>
        <v>0</v>
      </c>
      <c r="BP889" s="2141">
        <f>SUM(BP851:BP888)</f>
        <v>0</v>
      </c>
      <c r="BQ889" s="2141">
        <f t="shared" si="338"/>
        <v>0</v>
      </c>
      <c r="BR889" s="2141">
        <f t="shared" si="338"/>
        <v>0</v>
      </c>
      <c r="BS889" s="2141">
        <f t="shared" si="338"/>
        <v>0</v>
      </c>
      <c r="BT889" s="2141">
        <f t="shared" si="338"/>
        <v>0</v>
      </c>
      <c r="BU889" s="2141">
        <f t="shared" si="338"/>
        <v>0</v>
      </c>
      <c r="BV889" s="2141">
        <f>SUM(BV851:BV888)</f>
        <v>0</v>
      </c>
      <c r="BW889" s="2141">
        <f>SUM(BW851:BW888)</f>
        <v>0</v>
      </c>
      <c r="BX889" s="2141">
        <f>SUM(BX851:BX888)</f>
        <v>0</v>
      </c>
      <c r="BY889" s="2141">
        <f>SUM(BY851:BY888)</f>
        <v>0</v>
      </c>
      <c r="BZ889" s="2141">
        <f>SUM(BZ851:BZ888)</f>
        <v>0</v>
      </c>
      <c r="CA889" s="2141">
        <f t="shared" si="338"/>
        <v>0</v>
      </c>
      <c r="CB889" s="2141">
        <f t="shared" si="338"/>
        <v>0</v>
      </c>
      <c r="CC889" s="2141">
        <f t="shared" si="338"/>
        <v>0</v>
      </c>
      <c r="CD889" s="2141">
        <f t="shared" si="338"/>
        <v>0</v>
      </c>
      <c r="CE889" s="2141">
        <f t="shared" si="338"/>
        <v>0</v>
      </c>
      <c r="CF889" s="2141">
        <f t="shared" si="338"/>
        <v>0</v>
      </c>
      <c r="CG889" s="2141">
        <f t="shared" si="338"/>
        <v>0</v>
      </c>
      <c r="CH889" s="2141">
        <f t="shared" si="338"/>
        <v>25</v>
      </c>
      <c r="CI889" s="2141">
        <f t="shared" si="338"/>
        <v>7</v>
      </c>
      <c r="CJ889" s="2141">
        <f t="shared" si="338"/>
        <v>0</v>
      </c>
      <c r="CK889" s="2141">
        <f>SUM(CK851:CK888)</f>
        <v>0</v>
      </c>
      <c r="CL889" s="2141">
        <f>SUM(CL851:CL888)</f>
        <v>0</v>
      </c>
      <c r="CM889" s="2141">
        <f>SUM(CM851:CM888)</f>
        <v>0</v>
      </c>
      <c r="CN889" s="2141">
        <f>SUM(CN851:CN888)</f>
        <v>0</v>
      </c>
      <c r="CO889" s="2141">
        <f>SUM(CO851:CO888)</f>
        <v>0</v>
      </c>
      <c r="CP889" s="2141">
        <f t="shared" ref="CP889:CY889" si="339">SUM(CP851:CP888)</f>
        <v>0</v>
      </c>
      <c r="CQ889" s="2141">
        <f t="shared" si="339"/>
        <v>0</v>
      </c>
      <c r="CR889" s="2141">
        <f t="shared" si="339"/>
        <v>0</v>
      </c>
      <c r="CS889" s="2141">
        <f t="shared" si="339"/>
        <v>0</v>
      </c>
      <c r="CT889" s="2141">
        <f t="shared" si="339"/>
        <v>0</v>
      </c>
      <c r="CU889" s="2141">
        <f t="shared" si="339"/>
        <v>0</v>
      </c>
      <c r="CV889" s="2141">
        <f t="shared" si="339"/>
        <v>0</v>
      </c>
      <c r="CW889" s="2141">
        <f t="shared" si="339"/>
        <v>0</v>
      </c>
      <c r="CX889" s="2141">
        <f t="shared" si="339"/>
        <v>0</v>
      </c>
      <c r="CY889" s="2141">
        <f t="shared" si="339"/>
        <v>0</v>
      </c>
      <c r="CZ889" s="2141">
        <f t="shared" si="338"/>
        <v>0</v>
      </c>
      <c r="DA889" s="2141">
        <f t="shared" si="338"/>
        <v>0</v>
      </c>
      <c r="DB889" s="2141">
        <f t="shared" si="338"/>
        <v>0</v>
      </c>
      <c r="DC889" s="2141">
        <f t="shared" si="338"/>
        <v>0</v>
      </c>
      <c r="DD889" s="2141">
        <f t="shared" si="338"/>
        <v>0</v>
      </c>
      <c r="DE889" s="2141">
        <f t="shared" si="338"/>
        <v>0</v>
      </c>
      <c r="DF889" s="2141">
        <f t="shared" si="338"/>
        <v>0</v>
      </c>
      <c r="DG889" s="2141">
        <f t="shared" si="338"/>
        <v>0</v>
      </c>
      <c r="DH889" s="2141">
        <f t="shared" si="338"/>
        <v>0</v>
      </c>
      <c r="DI889" s="2141">
        <f t="shared" si="338"/>
        <v>0</v>
      </c>
      <c r="DJ889" s="2141">
        <f t="shared" si="338"/>
        <v>0</v>
      </c>
      <c r="DK889" s="2141">
        <f t="shared" si="338"/>
        <v>0</v>
      </c>
      <c r="DL889" s="2141">
        <f t="shared" si="338"/>
        <v>0</v>
      </c>
      <c r="DM889" s="2141">
        <f t="shared" si="338"/>
        <v>0</v>
      </c>
      <c r="DN889" s="2141">
        <f t="shared" si="338"/>
        <v>0</v>
      </c>
      <c r="DO889" s="2141">
        <f t="shared" si="338"/>
        <v>0</v>
      </c>
      <c r="DP889" s="2141">
        <f t="shared" si="338"/>
        <v>0</v>
      </c>
      <c r="DQ889" s="2141">
        <f t="shared" si="338"/>
        <v>0</v>
      </c>
      <c r="DR889" s="2141">
        <f t="shared" si="338"/>
        <v>0</v>
      </c>
      <c r="DS889" s="2141">
        <f t="shared" si="338"/>
        <v>0</v>
      </c>
      <c r="DT889" s="2141">
        <f t="shared" si="338"/>
        <v>0</v>
      </c>
      <c r="DU889" s="2141">
        <f t="shared" si="338"/>
        <v>0</v>
      </c>
      <c r="DV889" s="2141">
        <f t="shared" si="338"/>
        <v>0</v>
      </c>
      <c r="DW889" s="2141">
        <f t="shared" si="338"/>
        <v>0</v>
      </c>
      <c r="DX889" s="2141">
        <f t="shared" si="338"/>
        <v>0</v>
      </c>
      <c r="DY889" s="2141">
        <f t="shared" si="338"/>
        <v>0</v>
      </c>
      <c r="DZ889" s="2141">
        <f t="shared" si="338"/>
        <v>0</v>
      </c>
      <c r="EA889" s="2141">
        <f t="shared" si="338"/>
        <v>0</v>
      </c>
      <c r="EB889" s="2141">
        <f t="shared" si="338"/>
        <v>0</v>
      </c>
      <c r="EC889" s="2141">
        <f t="shared" si="338"/>
        <v>0</v>
      </c>
      <c r="ED889" s="2141">
        <f t="shared" si="338"/>
        <v>0</v>
      </c>
      <c r="EE889" s="2141">
        <f t="shared" si="338"/>
        <v>0</v>
      </c>
      <c r="EF889" s="2141">
        <f t="shared" si="338"/>
        <v>0</v>
      </c>
      <c r="EG889" s="2141">
        <f t="shared" si="338"/>
        <v>0</v>
      </c>
      <c r="EH889" s="2141">
        <f t="shared" si="338"/>
        <v>0</v>
      </c>
      <c r="EI889" s="2141">
        <f t="shared" si="338"/>
        <v>0</v>
      </c>
      <c r="EJ889" s="2141">
        <f t="shared" si="338"/>
        <v>0</v>
      </c>
      <c r="EK889" s="2141">
        <f t="shared" si="338"/>
        <v>0</v>
      </c>
      <c r="EL889" s="2141">
        <f t="shared" si="338"/>
        <v>0</v>
      </c>
      <c r="EM889" s="2141">
        <f t="shared" si="338"/>
        <v>0</v>
      </c>
      <c r="EN889" s="2141">
        <f t="shared" si="338"/>
        <v>0</v>
      </c>
      <c r="EO889" s="2141">
        <f t="shared" si="338"/>
        <v>0</v>
      </c>
      <c r="EP889" s="2141">
        <f t="shared" si="338"/>
        <v>0</v>
      </c>
      <c r="EQ889" s="2141">
        <f t="shared" si="338"/>
        <v>0</v>
      </c>
      <c r="ER889" s="2141">
        <f t="shared" si="338"/>
        <v>0</v>
      </c>
      <c r="ES889" s="2141">
        <f t="shared" si="338"/>
        <v>0</v>
      </c>
      <c r="ET889" s="2141">
        <f t="shared" si="338"/>
        <v>8840</v>
      </c>
      <c r="EU889" s="2141">
        <f t="shared" si="338"/>
        <v>29920</v>
      </c>
      <c r="EV889" s="2141">
        <f t="shared" si="338"/>
        <v>20060</v>
      </c>
      <c r="EW889" s="2141">
        <f t="shared" si="338"/>
        <v>0</v>
      </c>
      <c r="EX889" s="2141">
        <f t="shared" si="338"/>
        <v>0</v>
      </c>
      <c r="EY889" s="2141">
        <f t="shared" si="338"/>
        <v>0</v>
      </c>
      <c r="EZ889" s="2141">
        <f t="shared" si="338"/>
        <v>0</v>
      </c>
      <c r="FA889" s="2141">
        <f t="shared" si="338"/>
        <v>0</v>
      </c>
      <c r="FB889" s="2141">
        <f t="shared" ref="FB889:HW889" si="340">SUM(FB851:FB888)</f>
        <v>0</v>
      </c>
      <c r="FC889" s="2141">
        <f>SUM(FC851:FC888)</f>
        <v>0</v>
      </c>
      <c r="FD889" s="2141">
        <f>SUM(FD851:FD888)</f>
        <v>0</v>
      </c>
      <c r="FE889" s="2141">
        <f>SUM(FE851:FE888)</f>
        <v>0</v>
      </c>
      <c r="FF889" s="2141">
        <f>SUM(FF851:FF888)</f>
        <v>0</v>
      </c>
      <c r="FG889" s="2141">
        <f>SUM(FG851:FG888)</f>
        <v>0</v>
      </c>
      <c r="FH889" s="2141">
        <f t="shared" si="340"/>
        <v>0</v>
      </c>
      <c r="FI889" s="2141">
        <f t="shared" si="340"/>
        <v>0</v>
      </c>
      <c r="FJ889" s="2141">
        <f t="shared" si="340"/>
        <v>0</v>
      </c>
      <c r="FK889" s="2141">
        <f t="shared" si="340"/>
        <v>0</v>
      </c>
      <c r="FL889" s="2141">
        <f t="shared" si="340"/>
        <v>0</v>
      </c>
      <c r="FM889" s="2141">
        <f>SUM(FM851:FM888)</f>
        <v>0</v>
      </c>
      <c r="FN889" s="2141">
        <f>SUM(FN851:FN888)</f>
        <v>0</v>
      </c>
      <c r="FO889" s="2141">
        <f>SUM(FO851:FO888)</f>
        <v>0</v>
      </c>
      <c r="FP889" s="2141">
        <f>SUM(FP851:FP888)</f>
        <v>0</v>
      </c>
      <c r="FQ889" s="2141">
        <f>SUM(FQ851:FQ888)</f>
        <v>0</v>
      </c>
      <c r="FR889" s="2141">
        <f t="shared" si="340"/>
        <v>0</v>
      </c>
      <c r="FS889" s="2141">
        <f t="shared" si="340"/>
        <v>2040</v>
      </c>
      <c r="FT889" s="2141">
        <f t="shared" si="340"/>
        <v>1760</v>
      </c>
      <c r="FU889" s="2141">
        <f t="shared" si="340"/>
        <v>3540</v>
      </c>
      <c r="FV889" s="2141">
        <f t="shared" si="340"/>
        <v>0</v>
      </c>
      <c r="FW889" s="2141">
        <f t="shared" si="340"/>
        <v>0</v>
      </c>
      <c r="FX889" s="2141">
        <f t="shared" si="340"/>
        <v>0</v>
      </c>
      <c r="FY889" s="2141">
        <f t="shared" si="340"/>
        <v>22000</v>
      </c>
      <c r="FZ889" s="2141">
        <f t="shared" si="340"/>
        <v>8260</v>
      </c>
      <c r="GA889" s="2141">
        <f t="shared" si="340"/>
        <v>0</v>
      </c>
      <c r="GB889" s="2141">
        <f t="shared" si="340"/>
        <v>0</v>
      </c>
      <c r="GC889" s="2141">
        <f t="shared" si="340"/>
        <v>0</v>
      </c>
      <c r="GD889" s="2141">
        <f t="shared" si="340"/>
        <v>0</v>
      </c>
      <c r="GE889" s="2141">
        <f t="shared" si="340"/>
        <v>0</v>
      </c>
      <c r="GF889" s="2141">
        <f t="shared" si="340"/>
        <v>0</v>
      </c>
      <c r="GG889" s="2141">
        <f t="shared" si="340"/>
        <v>0</v>
      </c>
      <c r="GH889" s="2141">
        <f t="shared" si="340"/>
        <v>13</v>
      </c>
      <c r="GI889" s="2141">
        <f t="shared" si="340"/>
        <v>34</v>
      </c>
      <c r="GJ889" s="2141">
        <f t="shared" si="340"/>
        <v>17</v>
      </c>
      <c r="GK889" s="2141">
        <f t="shared" si="340"/>
        <v>0</v>
      </c>
      <c r="GL889" s="2141">
        <f t="shared" si="340"/>
        <v>0</v>
      </c>
      <c r="GM889" s="2141">
        <f t="shared" si="340"/>
        <v>3</v>
      </c>
      <c r="GN889" s="2141">
        <f t="shared" si="340"/>
        <v>2</v>
      </c>
      <c r="GO889" s="2141">
        <f t="shared" si="340"/>
        <v>3</v>
      </c>
      <c r="GP889" s="2141">
        <f t="shared" si="340"/>
        <v>0</v>
      </c>
      <c r="GQ889" s="2141">
        <f t="shared" si="340"/>
        <v>0</v>
      </c>
      <c r="GR889" s="2141">
        <f t="shared" si="340"/>
        <v>0</v>
      </c>
      <c r="GS889" s="2141">
        <f t="shared" si="340"/>
        <v>0</v>
      </c>
      <c r="GT889" s="2141">
        <f t="shared" si="340"/>
        <v>0</v>
      </c>
      <c r="GU889" s="2141">
        <f t="shared" si="340"/>
        <v>0</v>
      </c>
      <c r="GV889" s="2141">
        <f t="shared" si="340"/>
        <v>0</v>
      </c>
      <c r="GW889" s="2141">
        <f t="shared" si="340"/>
        <v>0</v>
      </c>
      <c r="GX889" s="2141">
        <f t="shared" si="340"/>
        <v>0</v>
      </c>
      <c r="GY889" s="2141">
        <f t="shared" si="340"/>
        <v>0</v>
      </c>
      <c r="GZ889" s="2141">
        <f t="shared" si="340"/>
        <v>0</v>
      </c>
      <c r="HA889" s="2141">
        <f t="shared" si="340"/>
        <v>0</v>
      </c>
      <c r="HB889" s="2141">
        <f t="shared" si="340"/>
        <v>0</v>
      </c>
      <c r="HC889" s="2141">
        <f t="shared" si="340"/>
        <v>0</v>
      </c>
      <c r="HD889" s="2141">
        <f t="shared" si="340"/>
        <v>0</v>
      </c>
      <c r="HE889" s="2141">
        <f t="shared" si="340"/>
        <v>0</v>
      </c>
      <c r="HF889" s="2141">
        <f t="shared" si="340"/>
        <v>0</v>
      </c>
      <c r="HG889" s="2141">
        <f t="shared" si="340"/>
        <v>0</v>
      </c>
      <c r="HH889" s="2141">
        <f t="shared" si="340"/>
        <v>0</v>
      </c>
      <c r="HI889" s="2141">
        <f t="shared" si="340"/>
        <v>0</v>
      </c>
      <c r="HJ889" s="2141">
        <f t="shared" si="340"/>
        <v>0</v>
      </c>
      <c r="HK889" s="2141">
        <f t="shared" si="340"/>
        <v>0</v>
      </c>
      <c r="HL889" s="2141">
        <f t="shared" si="340"/>
        <v>0</v>
      </c>
      <c r="HM889" s="2141">
        <f t="shared" si="340"/>
        <v>0</v>
      </c>
      <c r="HN889" s="2141">
        <f t="shared" si="340"/>
        <v>0</v>
      </c>
      <c r="HO889" s="2141">
        <f t="shared" si="340"/>
        <v>0</v>
      </c>
      <c r="HP889" s="2141">
        <f t="shared" si="340"/>
        <v>0</v>
      </c>
      <c r="HQ889" s="2141">
        <f t="shared" si="340"/>
        <v>0</v>
      </c>
      <c r="HR889" s="2141">
        <f t="shared" si="340"/>
        <v>0</v>
      </c>
      <c r="HS889" s="2141">
        <f t="shared" si="340"/>
        <v>0</v>
      </c>
      <c r="HT889" s="2141">
        <f t="shared" si="340"/>
        <v>0</v>
      </c>
      <c r="HU889" s="2141">
        <f t="shared" si="340"/>
        <v>0</v>
      </c>
      <c r="HV889" s="2141">
        <f t="shared" si="340"/>
        <v>0</v>
      </c>
      <c r="HW889" s="2141">
        <f t="shared" si="340"/>
        <v>0</v>
      </c>
      <c r="HX889" s="2141">
        <f t="shared" ref="HX889:KI889" si="341">SUM(HX851:HX888)</f>
        <v>0</v>
      </c>
      <c r="HY889" s="2141">
        <f t="shared" si="341"/>
        <v>0</v>
      </c>
      <c r="HZ889" s="2141">
        <f t="shared" si="341"/>
        <v>0</v>
      </c>
      <c r="IA889" s="2141">
        <f t="shared" si="341"/>
        <v>16</v>
      </c>
      <c r="IB889" s="2141">
        <f t="shared" si="341"/>
        <v>36</v>
      </c>
      <c r="IC889" s="2141">
        <f t="shared" si="341"/>
        <v>20</v>
      </c>
      <c r="ID889" s="2141">
        <f t="shared" si="341"/>
        <v>0</v>
      </c>
      <c r="IE889" s="2141">
        <f t="shared" si="341"/>
        <v>0</v>
      </c>
      <c r="IF889" s="2141">
        <f t="shared" si="341"/>
        <v>0</v>
      </c>
      <c r="IG889" s="2141">
        <f t="shared" si="341"/>
        <v>0</v>
      </c>
      <c r="IH889" s="2141">
        <f t="shared" si="341"/>
        <v>0</v>
      </c>
      <c r="II889" s="2141">
        <f t="shared" si="341"/>
        <v>0</v>
      </c>
      <c r="IJ889" s="2141">
        <f t="shared" si="341"/>
        <v>0</v>
      </c>
      <c r="IK889" s="2141">
        <f t="shared" si="341"/>
        <v>0</v>
      </c>
      <c r="IL889" s="2141">
        <f t="shared" si="341"/>
        <v>0</v>
      </c>
      <c r="IM889" s="2141">
        <f t="shared" si="341"/>
        <v>0</v>
      </c>
      <c r="IN889" s="2141">
        <f t="shared" si="341"/>
        <v>0</v>
      </c>
      <c r="IO889" s="2141">
        <f t="shared" si="341"/>
        <v>0</v>
      </c>
      <c r="IP889" s="2141">
        <f t="shared" si="341"/>
        <v>0</v>
      </c>
      <c r="IQ889" s="2141">
        <f t="shared" si="341"/>
        <v>0</v>
      </c>
      <c r="IR889" s="2141">
        <f t="shared" si="341"/>
        <v>0</v>
      </c>
      <c r="IS889" s="2141">
        <f t="shared" si="341"/>
        <v>0</v>
      </c>
      <c r="IT889" s="2141">
        <f t="shared" si="341"/>
        <v>0</v>
      </c>
      <c r="IU889" s="2141">
        <f t="shared" si="341"/>
        <v>0</v>
      </c>
      <c r="IV889" s="2141">
        <f t="shared" si="341"/>
        <v>0</v>
      </c>
      <c r="IW889" s="2141">
        <f t="shared" si="341"/>
        <v>0</v>
      </c>
      <c r="IX889" s="2141">
        <f t="shared" si="341"/>
        <v>0</v>
      </c>
      <c r="IY889" s="2141">
        <f t="shared" si="341"/>
        <v>0</v>
      </c>
      <c r="IZ889" s="2141">
        <f t="shared" si="341"/>
        <v>0</v>
      </c>
      <c r="JA889" s="2141">
        <f t="shared" si="341"/>
        <v>0</v>
      </c>
      <c r="JB889" s="2141">
        <f t="shared" si="341"/>
        <v>0</v>
      </c>
      <c r="JC889" s="2141">
        <f t="shared" si="341"/>
        <v>0</v>
      </c>
      <c r="JD889" s="2141">
        <f t="shared" si="341"/>
        <v>0</v>
      </c>
      <c r="JE889" s="2141">
        <f t="shared" si="341"/>
        <v>0</v>
      </c>
      <c r="JF889" s="2141">
        <f t="shared" si="341"/>
        <v>0</v>
      </c>
      <c r="JG889" s="2141">
        <f t="shared" si="341"/>
        <v>0</v>
      </c>
      <c r="JH889" s="2141">
        <f t="shared" si="341"/>
        <v>0</v>
      </c>
      <c r="JI889" s="2141">
        <f t="shared" si="341"/>
        <v>0</v>
      </c>
      <c r="JJ889" s="2141">
        <f t="shared" si="341"/>
        <v>0</v>
      </c>
      <c r="JK889" s="2141">
        <f t="shared" si="341"/>
        <v>0</v>
      </c>
      <c r="JL889" s="2141">
        <f t="shared" si="341"/>
        <v>0</v>
      </c>
      <c r="JM889" s="2141">
        <f t="shared" si="341"/>
        <v>0</v>
      </c>
      <c r="JN889" s="2141">
        <f t="shared" si="341"/>
        <v>0</v>
      </c>
      <c r="JO889" s="2141">
        <f t="shared" si="341"/>
        <v>0</v>
      </c>
      <c r="JP889" s="2141">
        <f t="shared" si="341"/>
        <v>0</v>
      </c>
      <c r="JQ889" s="2141">
        <f t="shared" si="341"/>
        <v>0</v>
      </c>
      <c r="JR889" s="2141">
        <f t="shared" si="341"/>
        <v>0</v>
      </c>
      <c r="JS889" s="2141">
        <f t="shared" si="341"/>
        <v>0</v>
      </c>
      <c r="JT889" s="2141">
        <f t="shared" si="341"/>
        <v>16</v>
      </c>
      <c r="JU889" s="2141">
        <f t="shared" si="341"/>
        <v>36</v>
      </c>
      <c r="JV889" s="2141">
        <f t="shared" si="341"/>
        <v>20</v>
      </c>
      <c r="JW889" s="2141">
        <f t="shared" si="341"/>
        <v>0</v>
      </c>
      <c r="JX889" s="2141">
        <f t="shared" si="341"/>
        <v>0</v>
      </c>
      <c r="JY889" s="2141">
        <f t="shared" si="341"/>
        <v>0</v>
      </c>
      <c r="JZ889" s="2141">
        <f t="shared" si="341"/>
        <v>0</v>
      </c>
      <c r="KA889" s="2141">
        <f t="shared" si="341"/>
        <v>0</v>
      </c>
      <c r="KB889" s="2141">
        <f t="shared" si="341"/>
        <v>0</v>
      </c>
      <c r="KC889" s="2141">
        <f t="shared" si="341"/>
        <v>0</v>
      </c>
      <c r="KD889" s="2141">
        <f t="shared" si="341"/>
        <v>0</v>
      </c>
      <c r="KE889" s="2141">
        <f t="shared" si="341"/>
        <v>0</v>
      </c>
      <c r="KF889" s="2141">
        <f t="shared" si="341"/>
        <v>0</v>
      </c>
      <c r="KG889" s="2141">
        <f t="shared" si="341"/>
        <v>0</v>
      </c>
      <c r="KH889" s="2141">
        <f t="shared" si="341"/>
        <v>0</v>
      </c>
      <c r="KI889" s="2141">
        <f t="shared" si="341"/>
        <v>0</v>
      </c>
      <c r="KJ889" s="2141">
        <f t="shared" ref="KJ889:MU889" si="342">SUM(KJ851:KJ888)</f>
        <v>0</v>
      </c>
      <c r="KK889" s="2141">
        <f t="shared" si="342"/>
        <v>0</v>
      </c>
      <c r="KL889" s="2141">
        <f t="shared" si="342"/>
        <v>0</v>
      </c>
      <c r="KM889" s="2141">
        <f t="shared" si="342"/>
        <v>0</v>
      </c>
      <c r="KN889" s="2141">
        <f t="shared" si="342"/>
        <v>0</v>
      </c>
      <c r="KO889" s="2141">
        <f t="shared" si="342"/>
        <v>0</v>
      </c>
      <c r="KP889" s="2141">
        <f t="shared" si="342"/>
        <v>0</v>
      </c>
      <c r="KQ889" s="2141">
        <f t="shared" si="342"/>
        <v>0</v>
      </c>
      <c r="KR889" s="2141">
        <f t="shared" si="342"/>
        <v>0</v>
      </c>
      <c r="KS889" s="2141">
        <f t="shared" si="342"/>
        <v>0</v>
      </c>
      <c r="KT889" s="2141">
        <f t="shared" si="342"/>
        <v>0</v>
      </c>
      <c r="KU889" s="2141">
        <f t="shared" si="342"/>
        <v>0</v>
      </c>
      <c r="KV889" s="2141">
        <f t="shared" si="342"/>
        <v>0</v>
      </c>
      <c r="KW889" s="2141">
        <f t="shared" si="342"/>
        <v>0</v>
      </c>
      <c r="KX889" s="2141">
        <f t="shared" si="342"/>
        <v>0</v>
      </c>
      <c r="KY889" s="2141">
        <f t="shared" si="342"/>
        <v>0</v>
      </c>
      <c r="KZ889" s="2141">
        <f t="shared" si="342"/>
        <v>0</v>
      </c>
      <c r="LA889" s="2141">
        <f t="shared" si="342"/>
        <v>0</v>
      </c>
      <c r="LB889" s="2141">
        <f t="shared" si="342"/>
        <v>0</v>
      </c>
      <c r="LC889" s="2141">
        <f t="shared" si="342"/>
        <v>0</v>
      </c>
      <c r="LD889" s="2141">
        <f t="shared" si="342"/>
        <v>0</v>
      </c>
      <c r="LE889" s="2141">
        <f t="shared" si="342"/>
        <v>0</v>
      </c>
      <c r="LF889" s="2141">
        <f t="shared" si="342"/>
        <v>0</v>
      </c>
      <c r="LG889" s="2141">
        <f t="shared" si="342"/>
        <v>0</v>
      </c>
      <c r="LH889" s="2141">
        <f t="shared" si="342"/>
        <v>0</v>
      </c>
      <c r="LI889" s="2141">
        <f t="shared" si="342"/>
        <v>0</v>
      </c>
      <c r="LJ889" s="2141">
        <f t="shared" si="342"/>
        <v>0</v>
      </c>
      <c r="LK889" s="2141">
        <f t="shared" si="342"/>
        <v>0</v>
      </c>
      <c r="LL889" s="2141">
        <f t="shared" si="342"/>
        <v>0</v>
      </c>
      <c r="LM889" s="2141">
        <f t="shared" si="342"/>
        <v>0</v>
      </c>
      <c r="LN889" s="2141">
        <f t="shared" si="342"/>
        <v>0</v>
      </c>
      <c r="LO889" s="2141">
        <f t="shared" si="342"/>
        <v>0</v>
      </c>
      <c r="LP889" s="2141">
        <f t="shared" si="342"/>
        <v>0</v>
      </c>
      <c r="LQ889" s="2141">
        <f t="shared" si="342"/>
        <v>0</v>
      </c>
      <c r="LR889" s="2141">
        <f t="shared" si="342"/>
        <v>0</v>
      </c>
      <c r="LS889" s="2141">
        <f t="shared" si="342"/>
        <v>0</v>
      </c>
      <c r="LT889" s="2141">
        <f t="shared" si="342"/>
        <v>0</v>
      </c>
      <c r="LU889" s="2141">
        <f t="shared" si="342"/>
        <v>0</v>
      </c>
      <c r="LV889" s="2141">
        <f t="shared" si="342"/>
        <v>0</v>
      </c>
      <c r="LW889" s="2141">
        <f t="shared" si="342"/>
        <v>0</v>
      </c>
      <c r="LX889" s="2141">
        <f t="shared" si="342"/>
        <v>0</v>
      </c>
      <c r="LY889" s="2141">
        <f t="shared" si="342"/>
        <v>0</v>
      </c>
      <c r="LZ889" s="2141">
        <f t="shared" si="342"/>
        <v>0</v>
      </c>
      <c r="MA889" s="2141">
        <f t="shared" si="342"/>
        <v>0</v>
      </c>
      <c r="MB889" s="2141">
        <f t="shared" si="342"/>
        <v>0</v>
      </c>
      <c r="MC889" s="2141">
        <f t="shared" si="342"/>
        <v>0</v>
      </c>
      <c r="MD889" s="2141">
        <f t="shared" si="342"/>
        <v>0</v>
      </c>
      <c r="ME889" s="2141">
        <f t="shared" si="342"/>
        <v>0</v>
      </c>
      <c r="MF889" s="2141">
        <f t="shared" si="342"/>
        <v>0</v>
      </c>
      <c r="MG889" s="2141">
        <f t="shared" si="342"/>
        <v>0</v>
      </c>
      <c r="MH889" s="2141">
        <f t="shared" si="342"/>
        <v>0</v>
      </c>
      <c r="MI889" s="2141">
        <f t="shared" si="342"/>
        <v>0</v>
      </c>
      <c r="MJ889" s="2141">
        <f t="shared" si="342"/>
        <v>0</v>
      </c>
      <c r="MK889" s="2141">
        <f t="shared" si="342"/>
        <v>0</v>
      </c>
      <c r="ML889" s="2141">
        <f t="shared" si="342"/>
        <v>16</v>
      </c>
      <c r="MM889" s="2141">
        <f t="shared" si="342"/>
        <v>36</v>
      </c>
      <c r="MN889" s="2141">
        <f t="shared" si="342"/>
        <v>20</v>
      </c>
      <c r="MO889" s="2141">
        <f t="shared" si="342"/>
        <v>0</v>
      </c>
      <c r="MP889" s="2141">
        <f t="shared" si="342"/>
        <v>0</v>
      </c>
      <c r="MQ889" s="2141">
        <f t="shared" si="342"/>
        <v>0</v>
      </c>
      <c r="MR889" s="2141">
        <f t="shared" si="342"/>
        <v>0</v>
      </c>
      <c r="MS889" s="2141">
        <f t="shared" si="342"/>
        <v>0</v>
      </c>
      <c r="MT889" s="2141">
        <f t="shared" si="342"/>
        <v>0</v>
      </c>
      <c r="MU889" s="2141">
        <f t="shared" si="342"/>
        <v>0</v>
      </c>
      <c r="NP889" s="1925" t="s">
        <v>6755</v>
      </c>
    </row>
    <row r="890" spans="1:380" s="1853" customFormat="1" ht="13.9" customHeight="1">
      <c r="B890" s="2149">
        <f>IF(SUM(E858:E888)=0,"",(B858*E858+B859*E859+B860*E860+B861*E861+B862*E862+B863*E863+B864*E864+B865*E865+B866*E866+B867*E867+B868*E868+B869*E869+B870*E870+B871*E871+B872*E872+B873*E873+B874*E874+B875*E875+B876*E876+B877*E877+B878*E878+B879*E879+B880*E880+B881*E881+B882*E882+B883*E883+B884*E884+B885*E885+B886*E886+B887*E887+B888*E888)/SUM(E858:E888))</f>
        <v>60</v>
      </c>
      <c r="C890" s="2149"/>
      <c r="D890" s="2109" t="s">
        <v>3828</v>
      </c>
      <c r="E890" s="2143">
        <f>SUM(E858:E888)</f>
        <v>64</v>
      </c>
      <c r="F890" s="2144">
        <f>(E858*F858+E859*F859+E860*F860+E861*F861+E862*F862+E863*F863+E864*F864+E865*F865+E866*F866+E867*F867+E868*F868+E869*F869+E870*F870+E871*F871+E872*F872+E873*F873+E874*F874+E875*F875+E876*F876+E877*F877+E878*F878+E879*F879+E880*F880+E881*F881+E882*F882+E883*F883+E884*F884+E885*F885+E886*F886+E887*F887+E888*F888)</f>
        <v>58820</v>
      </c>
      <c r="H890" s="2145"/>
      <c r="I890" s="2146" t="s">
        <v>3920</v>
      </c>
      <c r="J890" s="2147" t="str">
        <f>IF(P907=0,"",IF(SUM(P899:P902)/P907&gt;=0.2,"Pass","Fail"))</f>
        <v>Fail</v>
      </c>
      <c r="K890" s="436"/>
      <c r="L890" s="2142" t="s">
        <v>781</v>
      </c>
      <c r="M890" s="2148">
        <f>M889*12</f>
        <v>615108</v>
      </c>
      <c r="N890" s="1818"/>
      <c r="O890" s="1818"/>
      <c r="P890" s="1818"/>
      <c r="Q890" s="1818"/>
      <c r="R890" s="1818"/>
      <c r="S890" s="1818"/>
      <c r="T890" s="1818"/>
      <c r="U890" s="1818"/>
      <c r="V890" s="1818"/>
      <c r="W890" s="2141"/>
      <c r="X890" s="2141"/>
      <c r="Y890" s="2141"/>
      <c r="Z890" s="2141"/>
      <c r="AA890" s="2141"/>
      <c r="AB890" s="2141"/>
      <c r="AC890" s="2141"/>
      <c r="AD890" s="2141"/>
      <c r="AE890" s="2141"/>
      <c r="AF890" s="2141"/>
      <c r="AG890" s="2141"/>
      <c r="AH890" s="2141"/>
      <c r="AI890" s="2141"/>
      <c r="AJ890" s="2141"/>
      <c r="AK890" s="2141"/>
      <c r="AL890" s="2141"/>
      <c r="AM890" s="2141"/>
      <c r="AN890" s="2141"/>
      <c r="AO890" s="2141"/>
      <c r="AP890" s="2141"/>
      <c r="AQ890" s="2141"/>
      <c r="AR890" s="2141"/>
      <c r="AS890" s="2141"/>
      <c r="AT890" s="2141"/>
      <c r="AU890" s="2141"/>
      <c r="AV890" s="2141"/>
      <c r="AW890" s="2141"/>
      <c r="AX890" s="2141"/>
      <c r="AY890" s="2141"/>
      <c r="AZ890" s="2141"/>
      <c r="BA890" s="2141"/>
      <c r="BB890" s="2141"/>
      <c r="BC890" s="2141"/>
      <c r="BD890" s="2141"/>
      <c r="BE890" s="2141"/>
      <c r="BF890" s="2141"/>
      <c r="BG890" s="2141"/>
      <c r="BH890" s="2141"/>
      <c r="BI890" s="2141"/>
      <c r="BJ890" s="2141"/>
      <c r="BK890" s="2141"/>
      <c r="BL890" s="2141"/>
      <c r="BM890" s="2141"/>
      <c r="BN890" s="2141"/>
      <c r="BO890" s="2141"/>
      <c r="BP890" s="2141"/>
      <c r="BQ890" s="2141"/>
      <c r="BR890" s="2141"/>
      <c r="BS890" s="2141"/>
      <c r="BT890" s="2141"/>
      <c r="BU890" s="2141"/>
      <c r="BV890" s="2141"/>
      <c r="BW890" s="2141"/>
      <c r="BX890" s="2141"/>
      <c r="BY890" s="2141"/>
      <c r="BZ890" s="2141"/>
      <c r="CA890" s="2141"/>
      <c r="CB890" s="2141"/>
      <c r="CC890" s="2141"/>
      <c r="CD890" s="2141"/>
      <c r="CE890" s="2141"/>
      <c r="CF890" s="2141"/>
      <c r="CG890" s="2141"/>
      <c r="CH890" s="2141"/>
      <c r="CI890" s="2141"/>
      <c r="CJ890" s="2141"/>
      <c r="CK890" s="2141"/>
      <c r="CL890" s="2141"/>
      <c r="CM890" s="2141"/>
      <c r="CN890" s="2141"/>
      <c r="CO890" s="2141"/>
      <c r="CP890" s="2141"/>
      <c r="CQ890" s="2141"/>
      <c r="CR890" s="2141"/>
      <c r="CS890" s="2141"/>
      <c r="CT890" s="2141"/>
      <c r="CU890" s="2141"/>
      <c r="CV890" s="2141"/>
      <c r="CW890" s="2141"/>
      <c r="CX890" s="2141"/>
      <c r="CY890" s="2141"/>
      <c r="CZ890" s="2141"/>
      <c r="DA890" s="2141"/>
      <c r="DB890" s="2141"/>
      <c r="DC890" s="2141"/>
      <c r="DD890" s="2141"/>
      <c r="DE890" s="2141"/>
      <c r="DF890" s="2141"/>
      <c r="DG890" s="2141"/>
      <c r="DH890" s="2141"/>
      <c r="DI890" s="2141"/>
      <c r="DJ890" s="2141"/>
      <c r="DK890" s="2141"/>
      <c r="DL890" s="2141"/>
      <c r="DM890" s="2141"/>
      <c r="DN890" s="2141"/>
      <c r="DO890" s="2141"/>
      <c r="DP890" s="2141"/>
      <c r="DQ890" s="2141"/>
      <c r="DR890" s="2141"/>
      <c r="DS890" s="2141"/>
      <c r="DT890" s="2141"/>
      <c r="DU890" s="2141"/>
      <c r="DV890" s="2141"/>
      <c r="DW890" s="2141"/>
      <c r="DX890" s="2141"/>
      <c r="DY890" s="2141"/>
      <c r="DZ890" s="2141"/>
      <c r="EA890" s="2141"/>
      <c r="EB890" s="2141"/>
      <c r="EC890" s="2141"/>
      <c r="ED890" s="2141"/>
      <c r="EE890" s="2141"/>
      <c r="EF890" s="2141"/>
      <c r="EG890" s="2141"/>
      <c r="EH890" s="2141"/>
      <c r="EI890" s="2141"/>
      <c r="EJ890" s="2141"/>
      <c r="EK890" s="2141"/>
      <c r="EL890" s="2141"/>
      <c r="EM890" s="2141"/>
      <c r="EN890" s="2141"/>
      <c r="EO890" s="2141"/>
      <c r="EP890" s="2141"/>
      <c r="EQ890" s="2141"/>
      <c r="ER890" s="2141"/>
      <c r="ES890" s="2141"/>
      <c r="ET890" s="2141"/>
      <c r="EU890" s="2141"/>
      <c r="EV890" s="2141"/>
      <c r="EW890" s="2141"/>
      <c r="EX890" s="2141"/>
      <c r="EY890" s="2141"/>
      <c r="EZ890" s="2141"/>
      <c r="FA890" s="2141"/>
      <c r="FB890" s="2141"/>
      <c r="FC890" s="2141"/>
      <c r="FD890" s="2141"/>
      <c r="FE890" s="2141"/>
      <c r="FF890" s="2141"/>
      <c r="FG890" s="2141"/>
      <c r="FH890" s="2141"/>
      <c r="FI890" s="2141"/>
      <c r="FJ890" s="2141"/>
      <c r="FK890" s="2141"/>
      <c r="FL890" s="2141"/>
      <c r="FM890" s="2141"/>
      <c r="FN890" s="2141"/>
      <c r="FO890" s="2141"/>
      <c r="FP890" s="2141"/>
      <c r="FQ890" s="2141"/>
      <c r="FR890" s="2141"/>
      <c r="FS890" s="2141"/>
      <c r="FT890" s="2141"/>
      <c r="FU890" s="2141"/>
      <c r="FV890" s="2141"/>
      <c r="FW890" s="2141"/>
      <c r="FX890" s="2141"/>
      <c r="FY890" s="2141"/>
      <c r="FZ890" s="2141"/>
      <c r="GA890" s="2141"/>
      <c r="GB890" s="2141"/>
      <c r="GC890" s="2141"/>
      <c r="GD890" s="2141"/>
      <c r="GE890" s="2141"/>
      <c r="GF890" s="2141"/>
      <c r="GG890" s="2141"/>
      <c r="GH890" s="2141"/>
      <c r="GI890" s="2141"/>
      <c r="GJ890" s="2141"/>
      <c r="GK890" s="2141"/>
      <c r="GL890" s="2141"/>
      <c r="GM890" s="2141"/>
      <c r="GN890" s="2141"/>
      <c r="GO890" s="2141"/>
      <c r="GP890" s="2141"/>
      <c r="GQ890" s="2141"/>
      <c r="GR890" s="2141"/>
      <c r="GS890" s="2141"/>
      <c r="GT890" s="2141"/>
      <c r="GU890" s="2141"/>
      <c r="GV890" s="2141"/>
      <c r="GW890" s="2141"/>
      <c r="GX890" s="2141"/>
      <c r="GY890" s="2141"/>
      <c r="GZ890" s="2141"/>
      <c r="HA890" s="2141"/>
      <c r="HB890" s="2141"/>
      <c r="HC890" s="2141"/>
      <c r="HD890" s="2141"/>
      <c r="HE890" s="2141"/>
      <c r="HF890" s="2141"/>
      <c r="HG890" s="2141"/>
      <c r="HH890" s="2141"/>
      <c r="HI890" s="2141"/>
      <c r="HJ890" s="2141"/>
      <c r="HK890" s="2141"/>
      <c r="HL890" s="2141"/>
      <c r="HM890" s="2141"/>
      <c r="HN890" s="2141"/>
      <c r="HO890" s="2141"/>
      <c r="HP890" s="2141"/>
      <c r="HQ890" s="2141"/>
      <c r="HR890" s="2141"/>
      <c r="HS890" s="2141"/>
      <c r="HT890" s="2141"/>
      <c r="HU890" s="2141"/>
      <c r="HV890" s="2141"/>
      <c r="HW890" s="2141"/>
      <c r="HX890" s="2141"/>
      <c r="HY890" s="2141"/>
      <c r="HZ890" s="2141"/>
      <c r="IA890" s="2141"/>
      <c r="IB890" s="2141"/>
      <c r="IC890" s="2141"/>
      <c r="ID890" s="2141"/>
      <c r="IE890" s="2141"/>
      <c r="IF890" s="2141"/>
      <c r="IG890" s="2141"/>
      <c r="IH890" s="2141"/>
      <c r="II890" s="2141"/>
      <c r="IJ890" s="2141"/>
      <c r="IK890" s="2141"/>
      <c r="IL890" s="2141"/>
      <c r="IM890" s="2141"/>
      <c r="IN890" s="2141"/>
      <c r="IO890" s="2141"/>
      <c r="IP890" s="2141"/>
      <c r="IQ890" s="2141"/>
      <c r="IR890" s="2141"/>
      <c r="IS890" s="2141"/>
      <c r="IT890" s="2141"/>
      <c r="IU890" s="2141"/>
      <c r="IV890" s="2141"/>
      <c r="IW890" s="2141"/>
      <c r="IX890" s="2141"/>
      <c r="IY890" s="2141"/>
      <c r="IZ890" s="2141"/>
      <c r="JA890" s="2141"/>
      <c r="JB890" s="2141"/>
      <c r="JC890" s="2141"/>
      <c r="JD890" s="2141"/>
      <c r="JE890" s="2141"/>
      <c r="JF890" s="2141"/>
      <c r="JG890" s="2141"/>
      <c r="JH890" s="2141"/>
      <c r="JI890" s="2141"/>
      <c r="JJ890" s="2141"/>
      <c r="JK890" s="2141"/>
      <c r="JL890" s="2141"/>
      <c r="JM890" s="2141"/>
      <c r="JN890" s="2141"/>
      <c r="JO890" s="2141"/>
      <c r="JP890" s="2141"/>
      <c r="JQ890" s="2141"/>
      <c r="JR890" s="2141"/>
      <c r="JS890" s="2141"/>
      <c r="JT890" s="2141"/>
      <c r="JU890" s="2141"/>
      <c r="JV890" s="2141"/>
      <c r="JW890" s="2141"/>
      <c r="JX890" s="2141"/>
      <c r="JY890" s="2141"/>
      <c r="JZ890" s="2141"/>
      <c r="KA890" s="2141"/>
      <c r="KB890" s="2141"/>
      <c r="KC890" s="2141"/>
      <c r="KD890" s="2141"/>
      <c r="KE890" s="2141"/>
      <c r="KF890" s="2141"/>
      <c r="KG890" s="2141"/>
      <c r="KH890" s="2141"/>
      <c r="KI890" s="2141"/>
      <c r="KJ890" s="2141"/>
      <c r="KK890" s="2141"/>
      <c r="KL890" s="2141"/>
      <c r="KM890" s="2141"/>
      <c r="KN890" s="2141"/>
      <c r="KO890" s="2141"/>
      <c r="KP890" s="2141"/>
      <c r="KQ890" s="2141"/>
      <c r="KR890" s="2141"/>
      <c r="KS890" s="2141"/>
      <c r="KT890" s="2141"/>
      <c r="KU890" s="2141"/>
      <c r="KV890" s="2141"/>
      <c r="KW890" s="2141"/>
      <c r="KX890" s="2141"/>
      <c r="KY890" s="2141"/>
      <c r="KZ890" s="2141"/>
      <c r="LA890" s="2141"/>
      <c r="LB890" s="2141"/>
      <c r="LC890" s="2141"/>
      <c r="LD890" s="2141"/>
      <c r="LE890" s="2141"/>
      <c r="LF890" s="2141"/>
      <c r="LG890" s="2141"/>
      <c r="LH890" s="2141"/>
      <c r="LI890" s="2141"/>
      <c r="LJ890" s="2141"/>
      <c r="LK890" s="2141"/>
      <c r="LL890" s="2141"/>
      <c r="LM890" s="2141"/>
      <c r="LN890" s="2141"/>
      <c r="LO890" s="2141"/>
      <c r="LP890" s="2141"/>
      <c r="LQ890" s="2141"/>
      <c r="LR890" s="2141"/>
      <c r="LS890" s="2141"/>
      <c r="LT890" s="2141"/>
      <c r="LU890" s="2141"/>
      <c r="LV890" s="2141"/>
      <c r="LW890" s="2141"/>
      <c r="LX890" s="2141"/>
      <c r="LY890" s="2141"/>
      <c r="LZ890" s="2141"/>
      <c r="MA890" s="2141"/>
      <c r="MB890" s="2141"/>
      <c r="MC890" s="2141"/>
      <c r="MD890" s="2141"/>
      <c r="ME890" s="2141"/>
      <c r="NP890" s="1925" t="s">
        <v>6756</v>
      </c>
    </row>
    <row r="891" spans="1:380" s="1853" customFormat="1" ht="12" customHeight="1">
      <c r="A891" s="1865" t="s">
        <v>7143</v>
      </c>
      <c r="B891" s="2085"/>
      <c r="C891" s="2085"/>
      <c r="D891" s="2085"/>
      <c r="E891" s="2085"/>
      <c r="F891" s="2085"/>
      <c r="G891" s="2085"/>
      <c r="H891" s="2085"/>
      <c r="I891" s="2085"/>
      <c r="J891" s="2085"/>
      <c r="K891" s="2085"/>
      <c r="L891" s="2085"/>
      <c r="M891" s="2085"/>
      <c r="N891" s="2085"/>
      <c r="O891" s="2085"/>
      <c r="P891" s="2085"/>
      <c r="Q891" s="2085"/>
      <c r="R891" s="1945"/>
      <c r="S891" s="1818"/>
      <c r="T891" s="1818"/>
      <c r="U891" s="1818"/>
      <c r="V891" s="1818"/>
      <c r="W891" s="2141"/>
      <c r="X891" s="2141"/>
      <c r="Y891" s="2141"/>
      <c r="Z891" s="2141"/>
      <c r="AA891" s="2141"/>
      <c r="AB891" s="2141"/>
      <c r="AC891" s="2141"/>
      <c r="AD891" s="2141"/>
      <c r="AE891" s="2141"/>
      <c r="AF891" s="2141"/>
      <c r="AG891" s="2141"/>
      <c r="AH891" s="2141"/>
      <c r="AI891" s="2141"/>
      <c r="AJ891" s="2141"/>
      <c r="AK891" s="2141"/>
      <c r="AL891" s="2141"/>
      <c r="AM891" s="2141"/>
      <c r="AN891" s="2141"/>
      <c r="AO891" s="2141"/>
      <c r="AP891" s="2141"/>
      <c r="AQ891" s="2141"/>
      <c r="AR891" s="2141"/>
      <c r="AS891" s="2141"/>
      <c r="AT891" s="2141"/>
      <c r="AU891" s="2141"/>
      <c r="AV891" s="2141"/>
      <c r="AW891" s="2141"/>
      <c r="AX891" s="2141"/>
      <c r="AY891" s="2141"/>
      <c r="AZ891" s="2141"/>
      <c r="BA891" s="2141"/>
      <c r="BB891" s="2141"/>
      <c r="BC891" s="2141"/>
      <c r="BD891" s="2141"/>
      <c r="BE891" s="2141"/>
      <c r="BF891" s="2141"/>
      <c r="BG891" s="2141"/>
      <c r="BH891" s="2141"/>
      <c r="BI891" s="2141"/>
      <c r="BJ891" s="2141"/>
      <c r="BK891" s="2141"/>
      <c r="BL891" s="2141"/>
      <c r="BM891" s="2141"/>
      <c r="BN891" s="2141"/>
      <c r="BO891" s="2141"/>
      <c r="BP891" s="2141"/>
      <c r="BQ891" s="2141"/>
      <c r="BR891" s="2141"/>
      <c r="BS891" s="2141"/>
      <c r="BT891" s="2141"/>
      <c r="BU891" s="2141"/>
      <c r="BV891" s="2141"/>
      <c r="BW891" s="2141"/>
      <c r="BX891" s="2141"/>
      <c r="BY891" s="2141"/>
      <c r="BZ891" s="2141"/>
      <c r="CA891" s="2141"/>
      <c r="CB891" s="2141"/>
      <c r="CC891" s="2141"/>
      <c r="CD891" s="2141"/>
      <c r="CE891" s="2141"/>
      <c r="CF891" s="2141"/>
      <c r="CG891" s="2141"/>
      <c r="CH891" s="2141"/>
      <c r="CI891" s="2141"/>
      <c r="CJ891" s="2141"/>
      <c r="CK891" s="2141"/>
      <c r="CL891" s="2141"/>
      <c r="CM891" s="2141"/>
      <c r="CN891" s="2141"/>
      <c r="CO891" s="2141"/>
      <c r="CP891" s="2141"/>
      <c r="CQ891" s="2141"/>
      <c r="CR891" s="2141"/>
      <c r="CS891" s="2141"/>
      <c r="CT891" s="2141"/>
      <c r="CU891" s="2141"/>
      <c r="CV891" s="2141"/>
      <c r="CW891" s="2141"/>
      <c r="CX891" s="2141"/>
      <c r="CY891" s="2141"/>
      <c r="CZ891" s="2141"/>
      <c r="DA891" s="2141"/>
      <c r="DB891" s="2141"/>
      <c r="DC891" s="2141"/>
      <c r="DD891" s="2141"/>
      <c r="DE891" s="2141"/>
      <c r="DF891" s="2141"/>
      <c r="DG891" s="2141"/>
      <c r="DH891" s="2141"/>
      <c r="DI891" s="2141"/>
      <c r="DJ891" s="2141"/>
      <c r="DK891" s="2141"/>
      <c r="DL891" s="2141"/>
      <c r="DM891" s="2141"/>
      <c r="DN891" s="2141"/>
      <c r="DO891" s="2141"/>
      <c r="DP891" s="2141"/>
      <c r="DQ891" s="2141"/>
      <c r="DR891" s="2141"/>
      <c r="DS891" s="2141"/>
      <c r="DT891" s="2141"/>
      <c r="DU891" s="2141"/>
      <c r="DV891" s="2141"/>
      <c r="DW891" s="2141"/>
      <c r="DX891" s="2141"/>
      <c r="DY891" s="2141"/>
      <c r="DZ891" s="2141"/>
      <c r="EA891" s="2141"/>
      <c r="EB891" s="2141"/>
      <c r="EC891" s="2141"/>
      <c r="ED891" s="2141"/>
      <c r="EE891" s="2141"/>
      <c r="EF891" s="2141"/>
      <c r="EG891" s="2141"/>
      <c r="EH891" s="2141"/>
      <c r="EI891" s="2141"/>
      <c r="EJ891" s="2141"/>
      <c r="EK891" s="2141"/>
      <c r="EL891" s="2141"/>
      <c r="EM891" s="2141"/>
      <c r="EN891" s="2141"/>
      <c r="EO891" s="2141"/>
      <c r="EP891" s="2141"/>
      <c r="EQ891" s="2141"/>
      <c r="ER891" s="2141"/>
      <c r="ES891" s="2141"/>
      <c r="ET891" s="2141"/>
      <c r="EU891" s="2141"/>
      <c r="EV891" s="2141"/>
      <c r="EW891" s="2141"/>
      <c r="EX891" s="2141"/>
      <c r="EY891" s="2141"/>
      <c r="EZ891" s="2141"/>
      <c r="FA891" s="2141"/>
      <c r="FB891" s="2141"/>
      <c r="FC891" s="2141"/>
      <c r="FD891" s="2141"/>
      <c r="FE891" s="2141"/>
      <c r="FF891" s="2141"/>
      <c r="FG891" s="2141"/>
      <c r="FH891" s="2141"/>
      <c r="FI891" s="2141"/>
      <c r="FJ891" s="2141"/>
      <c r="FK891" s="2141"/>
      <c r="FL891" s="2141"/>
      <c r="FM891" s="2141"/>
      <c r="FN891" s="2141"/>
      <c r="FO891" s="2141"/>
      <c r="FP891" s="2141"/>
      <c r="FQ891" s="2141"/>
      <c r="FR891" s="2141"/>
      <c r="FS891" s="2141"/>
      <c r="FT891" s="2141"/>
      <c r="FU891" s="2141"/>
      <c r="FV891" s="2141"/>
      <c r="FW891" s="2141"/>
      <c r="FX891" s="2141"/>
      <c r="FY891" s="2141"/>
      <c r="FZ891" s="2141"/>
      <c r="GA891" s="2141"/>
      <c r="GB891" s="2141"/>
      <c r="GC891" s="2141"/>
      <c r="GD891" s="2141"/>
      <c r="GE891" s="2141"/>
      <c r="GF891" s="2141"/>
      <c r="GG891" s="2141"/>
      <c r="GH891" s="2141"/>
      <c r="GI891" s="2141"/>
      <c r="GJ891" s="2141"/>
      <c r="GK891" s="2141"/>
      <c r="GL891" s="2141"/>
      <c r="GM891" s="2141"/>
      <c r="GN891" s="2141"/>
      <c r="GO891" s="2141"/>
      <c r="GP891" s="2141"/>
      <c r="GQ891" s="2141"/>
      <c r="GR891" s="2141"/>
      <c r="GS891" s="2141"/>
      <c r="GT891" s="2141"/>
      <c r="GU891" s="2141"/>
      <c r="GV891" s="2141"/>
      <c r="GW891" s="2141"/>
      <c r="GX891" s="2141"/>
      <c r="GY891" s="2141"/>
      <c r="GZ891" s="2141"/>
      <c r="HA891" s="2141"/>
      <c r="HB891" s="2141"/>
      <c r="HC891" s="2141"/>
      <c r="HD891" s="2141"/>
      <c r="HE891" s="2141"/>
      <c r="HF891" s="2141"/>
      <c r="HG891" s="2141"/>
      <c r="HH891" s="2141"/>
      <c r="HI891" s="2141"/>
      <c r="HJ891" s="2141"/>
      <c r="HK891" s="2141"/>
      <c r="HL891" s="2141"/>
      <c r="HM891" s="2141"/>
      <c r="HN891" s="2141"/>
      <c r="HO891" s="2141"/>
      <c r="HP891" s="2141"/>
      <c r="HQ891" s="2141"/>
      <c r="HR891" s="2141"/>
      <c r="HS891" s="2141"/>
      <c r="HT891" s="2141"/>
      <c r="HU891" s="2141"/>
      <c r="HV891" s="2141"/>
      <c r="HW891" s="2141"/>
      <c r="HX891" s="2141"/>
      <c r="HY891" s="2141"/>
      <c r="HZ891" s="2141"/>
      <c r="IA891" s="2141"/>
      <c r="IB891" s="2141"/>
      <c r="IC891" s="2141"/>
      <c r="ID891" s="2141"/>
      <c r="IE891" s="2141"/>
      <c r="IF891" s="2141"/>
      <c r="IG891" s="2141"/>
      <c r="IH891" s="2141"/>
      <c r="II891" s="2141"/>
      <c r="IJ891" s="2141"/>
      <c r="IK891" s="2141"/>
      <c r="IL891" s="2141"/>
      <c r="IM891" s="2141"/>
      <c r="IN891" s="2141"/>
      <c r="IO891" s="2141"/>
      <c r="IP891" s="2141"/>
      <c r="IQ891" s="2141"/>
      <c r="IR891" s="2141"/>
      <c r="IS891" s="2141"/>
      <c r="IT891" s="2141"/>
      <c r="IU891" s="2141"/>
      <c r="IV891" s="2141"/>
      <c r="IW891" s="2141"/>
      <c r="IX891" s="2141"/>
      <c r="IY891" s="2141"/>
      <c r="IZ891" s="2141"/>
      <c r="JA891" s="2141"/>
      <c r="JB891" s="2141"/>
      <c r="JC891" s="2141"/>
      <c r="JD891" s="2141"/>
      <c r="JE891" s="2141"/>
      <c r="JF891" s="2141"/>
      <c r="JG891" s="2141"/>
      <c r="JH891" s="2141"/>
      <c r="JI891" s="2141"/>
      <c r="JJ891" s="2141"/>
      <c r="JK891" s="2141"/>
      <c r="JL891" s="2141"/>
      <c r="JM891" s="2141"/>
      <c r="JN891" s="2141"/>
      <c r="JO891" s="2141"/>
      <c r="JP891" s="2141"/>
      <c r="JQ891" s="2141"/>
      <c r="JR891" s="2141"/>
      <c r="JS891" s="2141"/>
      <c r="JT891" s="2141"/>
      <c r="JU891" s="2141"/>
      <c r="JV891" s="2141"/>
      <c r="JW891" s="2141"/>
      <c r="JX891" s="2141"/>
      <c r="JY891" s="2141"/>
      <c r="JZ891" s="2141"/>
      <c r="KA891" s="2141"/>
      <c r="KB891" s="2141"/>
      <c r="KC891" s="2141"/>
      <c r="KD891" s="2141"/>
      <c r="KE891" s="2141"/>
      <c r="KF891" s="2141"/>
      <c r="KG891" s="2141"/>
      <c r="KH891" s="2141"/>
      <c r="KI891" s="2141"/>
      <c r="KJ891" s="2141"/>
      <c r="KK891" s="2141"/>
      <c r="KL891" s="2141"/>
      <c r="KM891" s="2141"/>
      <c r="KN891" s="2141"/>
      <c r="KO891" s="2141"/>
      <c r="KP891" s="2141"/>
      <c r="KQ891" s="2141"/>
      <c r="KR891" s="2141"/>
      <c r="KS891" s="2141"/>
      <c r="KT891" s="2141"/>
      <c r="KU891" s="2141"/>
      <c r="KV891" s="2141"/>
      <c r="KW891" s="2141"/>
      <c r="KX891" s="2141"/>
      <c r="KY891" s="2141"/>
      <c r="KZ891" s="2141"/>
      <c r="LA891" s="2141"/>
      <c r="LB891" s="2141"/>
      <c r="LC891" s="2141"/>
      <c r="LD891" s="2141"/>
      <c r="LE891" s="2141"/>
      <c r="LF891" s="2141"/>
      <c r="LG891" s="2141"/>
      <c r="LH891" s="2141"/>
      <c r="LI891" s="2141"/>
      <c r="LJ891" s="2141"/>
      <c r="LK891" s="2141"/>
      <c r="LL891" s="2141"/>
      <c r="LM891" s="2141"/>
      <c r="LN891" s="2141"/>
      <c r="LO891" s="2141"/>
      <c r="LP891" s="2141"/>
      <c r="LQ891" s="2141"/>
      <c r="LR891" s="2141"/>
      <c r="LS891" s="2141"/>
      <c r="LT891" s="2141"/>
      <c r="LU891" s="2141"/>
      <c r="LV891" s="2141"/>
      <c r="LW891" s="2141"/>
      <c r="LX891" s="2141"/>
      <c r="LY891" s="2141"/>
      <c r="LZ891" s="2141"/>
      <c r="MA891" s="2141"/>
      <c r="MB891" s="2141"/>
      <c r="MC891" s="2141"/>
      <c r="MD891" s="2141"/>
      <c r="ME891" s="2141"/>
      <c r="NP891" s="1925"/>
    </row>
    <row r="892" spans="1:380" s="1853" customFormat="1" ht="12" customHeight="1">
      <c r="A892" s="2085"/>
      <c r="B892" s="2085"/>
      <c r="C892" s="2085"/>
      <c r="D892" s="2085"/>
      <c r="E892" s="2085"/>
      <c r="F892" s="2085"/>
      <c r="G892" s="2085"/>
      <c r="H892" s="2085"/>
      <c r="I892" s="2085"/>
      <c r="J892" s="2085"/>
      <c r="K892" s="2085"/>
      <c r="L892" s="2085"/>
      <c r="M892" s="2085"/>
      <c r="N892" s="2085"/>
      <c r="O892" s="2085"/>
      <c r="P892" s="2085"/>
      <c r="Q892" s="2085"/>
      <c r="R892" s="1945"/>
      <c r="S892" s="1818"/>
      <c r="T892" s="1818"/>
      <c r="U892" s="1818"/>
      <c r="V892" s="1818"/>
      <c r="W892" s="2141"/>
      <c r="X892" s="2141"/>
      <c r="Y892" s="2141"/>
      <c r="Z892" s="2141"/>
      <c r="AA892" s="2141"/>
      <c r="AB892" s="2141"/>
      <c r="AC892" s="2141"/>
      <c r="AD892" s="2141"/>
      <c r="AE892" s="2141"/>
      <c r="AF892" s="2141"/>
      <c r="AG892" s="2141"/>
      <c r="AH892" s="2141"/>
      <c r="AI892" s="2141"/>
      <c r="AJ892" s="2141"/>
      <c r="AK892" s="2141"/>
      <c r="AL892" s="2141"/>
      <c r="AM892" s="2141"/>
      <c r="AN892" s="2141"/>
      <c r="AO892" s="2141"/>
      <c r="AP892" s="2141"/>
      <c r="AQ892" s="2141"/>
      <c r="AR892" s="2141"/>
      <c r="AS892" s="2141"/>
      <c r="AT892" s="2141"/>
      <c r="AU892" s="2141"/>
      <c r="AV892" s="2141"/>
      <c r="AW892" s="2141"/>
      <c r="AX892" s="2141"/>
      <c r="AY892" s="2141"/>
      <c r="AZ892" s="2141"/>
      <c r="BA892" s="2141"/>
      <c r="BB892" s="2141"/>
      <c r="BC892" s="2141"/>
      <c r="BD892" s="2141"/>
      <c r="BE892" s="2141"/>
      <c r="BF892" s="2141"/>
      <c r="BG892" s="2141"/>
      <c r="BH892" s="2141"/>
      <c r="BI892" s="2141"/>
      <c r="BJ892" s="2141"/>
      <c r="BK892" s="2141"/>
      <c r="BL892" s="2141"/>
      <c r="BM892" s="2141"/>
      <c r="BN892" s="2141"/>
      <c r="BO892" s="2141"/>
      <c r="BP892" s="2141"/>
      <c r="BQ892" s="2141"/>
      <c r="BR892" s="2141"/>
      <c r="BS892" s="2141"/>
      <c r="BT892" s="2141"/>
      <c r="BU892" s="2141"/>
      <c r="BV892" s="2141"/>
      <c r="BW892" s="2141"/>
      <c r="BX892" s="2141"/>
      <c r="BY892" s="2141"/>
      <c r="BZ892" s="2141"/>
      <c r="CA892" s="2141"/>
      <c r="CB892" s="2141"/>
      <c r="CC892" s="2141"/>
      <c r="CD892" s="2141"/>
      <c r="CE892" s="2141"/>
      <c r="CF892" s="2141"/>
      <c r="CG892" s="2141"/>
      <c r="CH892" s="2141"/>
      <c r="CI892" s="2141"/>
      <c r="CJ892" s="2141"/>
      <c r="CK892" s="2141"/>
      <c r="CL892" s="2141"/>
      <c r="CM892" s="2141"/>
      <c r="CN892" s="2141"/>
      <c r="CO892" s="2141"/>
      <c r="CP892" s="2141"/>
      <c r="CQ892" s="2141"/>
      <c r="CR892" s="2141"/>
      <c r="CS892" s="2141"/>
      <c r="CT892" s="2141"/>
      <c r="CU892" s="2141"/>
      <c r="CV892" s="2141"/>
      <c r="CW892" s="2141"/>
      <c r="CX892" s="2141"/>
      <c r="CY892" s="2141"/>
      <c r="CZ892" s="2141"/>
      <c r="DA892" s="2141"/>
      <c r="DB892" s="2141"/>
      <c r="DC892" s="2141"/>
      <c r="DD892" s="2141"/>
      <c r="DE892" s="2141"/>
      <c r="DF892" s="2141"/>
      <c r="DG892" s="2141"/>
      <c r="DH892" s="2141"/>
      <c r="DI892" s="2141"/>
      <c r="DJ892" s="2141"/>
      <c r="DK892" s="2141"/>
      <c r="DL892" s="2141"/>
      <c r="DM892" s="2141"/>
      <c r="DN892" s="2141"/>
      <c r="DO892" s="2141"/>
      <c r="DP892" s="2141"/>
      <c r="DQ892" s="2141"/>
      <c r="DR892" s="2141"/>
      <c r="DS892" s="2141"/>
      <c r="DT892" s="2141"/>
      <c r="DU892" s="2141"/>
      <c r="DV892" s="2141"/>
      <c r="DW892" s="2141"/>
      <c r="DX892" s="2141"/>
      <c r="DY892" s="2141"/>
      <c r="DZ892" s="2141"/>
      <c r="EA892" s="2141"/>
      <c r="EB892" s="2141"/>
      <c r="EC892" s="2141"/>
      <c r="ED892" s="2141"/>
      <c r="EE892" s="2141"/>
      <c r="EF892" s="2141"/>
      <c r="EG892" s="2141"/>
      <c r="EH892" s="2141"/>
      <c r="EI892" s="2141"/>
      <c r="EJ892" s="2141"/>
      <c r="EK892" s="2141"/>
      <c r="EL892" s="2141"/>
      <c r="EM892" s="2141"/>
      <c r="EN892" s="2141"/>
      <c r="EO892" s="2141"/>
      <c r="EP892" s="2141"/>
      <c r="EQ892" s="2141"/>
      <c r="ER892" s="2141"/>
      <c r="ES892" s="2141"/>
      <c r="ET892" s="2141"/>
      <c r="EU892" s="2141"/>
      <c r="EV892" s="2141"/>
      <c r="EW892" s="2141"/>
      <c r="EX892" s="2141"/>
      <c r="EY892" s="2141"/>
      <c r="EZ892" s="2141"/>
      <c r="FA892" s="2141"/>
      <c r="FB892" s="2141"/>
      <c r="FC892" s="2141"/>
      <c r="FD892" s="2141"/>
      <c r="FE892" s="2141"/>
      <c r="FF892" s="2141"/>
      <c r="FG892" s="2141"/>
      <c r="FH892" s="2141"/>
      <c r="FI892" s="2141"/>
      <c r="FJ892" s="2141"/>
      <c r="FK892" s="2141"/>
      <c r="FL892" s="2141"/>
      <c r="FM892" s="2141"/>
      <c r="FN892" s="2141"/>
      <c r="FO892" s="2141"/>
      <c r="FP892" s="2141"/>
      <c r="FQ892" s="2141"/>
      <c r="FR892" s="2141"/>
      <c r="FS892" s="2141"/>
      <c r="FT892" s="2141"/>
      <c r="FU892" s="2141"/>
      <c r="FV892" s="2141"/>
      <c r="FW892" s="2141"/>
      <c r="FX892" s="2141"/>
      <c r="FY892" s="2141"/>
      <c r="FZ892" s="2141"/>
      <c r="GA892" s="2141"/>
      <c r="GB892" s="2141"/>
      <c r="GC892" s="2141"/>
      <c r="GD892" s="2141"/>
      <c r="GE892" s="2141"/>
      <c r="GF892" s="2141"/>
      <c r="GG892" s="2141"/>
      <c r="GH892" s="2141"/>
      <c r="GI892" s="2141"/>
      <c r="GJ892" s="2141"/>
      <c r="GK892" s="2141"/>
      <c r="GL892" s="2141"/>
      <c r="GM892" s="2141"/>
      <c r="GN892" s="2141"/>
      <c r="GO892" s="2141"/>
      <c r="GP892" s="2141"/>
      <c r="GQ892" s="2141"/>
      <c r="GR892" s="2141"/>
      <c r="GS892" s="2141"/>
      <c r="GT892" s="2141"/>
      <c r="GU892" s="2141"/>
      <c r="GV892" s="2141"/>
      <c r="GW892" s="2141"/>
      <c r="GX892" s="2141"/>
      <c r="GY892" s="2141"/>
      <c r="GZ892" s="2141"/>
      <c r="HA892" s="2141"/>
      <c r="HB892" s="2141"/>
      <c r="HC892" s="2141"/>
      <c r="HD892" s="2141"/>
      <c r="HE892" s="2141"/>
      <c r="HF892" s="2141"/>
      <c r="HG892" s="2141"/>
      <c r="HH892" s="2141"/>
      <c r="HI892" s="2141"/>
      <c r="HJ892" s="2141"/>
      <c r="HK892" s="2141"/>
      <c r="HL892" s="2141"/>
      <c r="HM892" s="2141"/>
      <c r="HN892" s="2141"/>
      <c r="HO892" s="2141"/>
      <c r="HP892" s="2141"/>
      <c r="HQ892" s="2141"/>
      <c r="HR892" s="2141"/>
      <c r="HS892" s="2141"/>
      <c r="HT892" s="2141"/>
      <c r="HU892" s="2141"/>
      <c r="HV892" s="2141"/>
      <c r="HW892" s="2141"/>
      <c r="HX892" s="2141"/>
      <c r="HY892" s="2141"/>
      <c r="HZ892" s="2141"/>
      <c r="IA892" s="2141"/>
      <c r="IB892" s="2141"/>
      <c r="IC892" s="2141"/>
      <c r="ID892" s="2141"/>
      <c r="IE892" s="2141"/>
      <c r="IF892" s="2141"/>
      <c r="IG892" s="2141"/>
      <c r="IH892" s="2141"/>
      <c r="II892" s="2141"/>
      <c r="IJ892" s="2141"/>
      <c r="IK892" s="2141"/>
      <c r="IL892" s="2141"/>
      <c r="IM892" s="2141"/>
      <c r="IN892" s="2141"/>
      <c r="IO892" s="2141"/>
      <c r="IP892" s="2141"/>
      <c r="IQ892" s="2141"/>
      <c r="IR892" s="2141"/>
      <c r="IS892" s="2141"/>
      <c r="IT892" s="2141"/>
      <c r="IU892" s="2141"/>
      <c r="IV892" s="2141"/>
      <c r="IW892" s="2141"/>
      <c r="IX892" s="2141"/>
      <c r="IY892" s="2141"/>
      <c r="IZ892" s="2141"/>
      <c r="JA892" s="2141"/>
      <c r="JB892" s="2141"/>
      <c r="JC892" s="2141"/>
      <c r="JD892" s="2141"/>
      <c r="JE892" s="2141"/>
      <c r="JF892" s="2141"/>
      <c r="JG892" s="2141"/>
      <c r="JH892" s="2141"/>
      <c r="JI892" s="2141"/>
      <c r="JJ892" s="2141"/>
      <c r="JK892" s="2141"/>
      <c r="JL892" s="2141"/>
      <c r="JM892" s="2141"/>
      <c r="JN892" s="2141"/>
      <c r="JO892" s="2141"/>
      <c r="JP892" s="2141"/>
      <c r="JQ892" s="2141"/>
      <c r="JR892" s="2141"/>
      <c r="JS892" s="2141"/>
      <c r="JT892" s="2141"/>
      <c r="JU892" s="2141"/>
      <c r="JV892" s="2141"/>
      <c r="JW892" s="2141"/>
      <c r="JX892" s="2141"/>
      <c r="JY892" s="2141"/>
      <c r="JZ892" s="2141"/>
      <c r="KA892" s="2141"/>
      <c r="KB892" s="2141"/>
      <c r="KC892" s="2141"/>
      <c r="KD892" s="2141"/>
      <c r="KE892" s="2141"/>
      <c r="KF892" s="2141"/>
      <c r="KG892" s="2141"/>
      <c r="KH892" s="2141"/>
      <c r="KI892" s="2141"/>
      <c r="KJ892" s="2141"/>
      <c r="KK892" s="2141"/>
      <c r="KL892" s="2141"/>
      <c r="KM892" s="2141"/>
      <c r="KN892" s="2141"/>
      <c r="KO892" s="2141"/>
      <c r="KP892" s="2141"/>
      <c r="KQ892" s="2141"/>
      <c r="KR892" s="2141"/>
      <c r="KS892" s="2141"/>
      <c r="KT892" s="2141"/>
      <c r="KU892" s="2141"/>
      <c r="KV892" s="2141"/>
      <c r="KW892" s="2141"/>
      <c r="KX892" s="2141"/>
      <c r="KY892" s="2141"/>
      <c r="KZ892" s="2141"/>
      <c r="LA892" s="2141"/>
      <c r="LB892" s="2141"/>
      <c r="LC892" s="2141"/>
      <c r="LD892" s="2141"/>
      <c r="LE892" s="2141"/>
      <c r="LF892" s="2141"/>
      <c r="LG892" s="2141"/>
      <c r="LH892" s="2141"/>
      <c r="LI892" s="2141"/>
      <c r="LJ892" s="2141"/>
      <c r="LK892" s="2141"/>
      <c r="LL892" s="2141"/>
      <c r="LM892" s="2141"/>
      <c r="LN892" s="2141"/>
      <c r="LO892" s="2141"/>
      <c r="LP892" s="2141"/>
      <c r="LQ892" s="2141"/>
      <c r="LR892" s="2141"/>
      <c r="LS892" s="2141"/>
      <c r="LT892" s="2141"/>
      <c r="LU892" s="2141"/>
      <c r="LV892" s="2141"/>
      <c r="LW892" s="2141"/>
      <c r="LX892" s="2141"/>
      <c r="LY892" s="2141"/>
      <c r="LZ892" s="2141"/>
      <c r="MA892" s="2141"/>
      <c r="MB892" s="2141"/>
      <c r="MC892" s="2141"/>
      <c r="MD892" s="2141"/>
      <c r="ME892" s="2141"/>
      <c r="NP892" s="1925"/>
    </row>
    <row r="893" spans="1:380" s="1853" customFormat="1" ht="14.45" customHeight="1">
      <c r="A893" s="1853" t="s">
        <v>710</v>
      </c>
      <c r="B893" s="1853" t="s">
        <v>508</v>
      </c>
      <c r="L893" s="2150" t="str">
        <f>'Part I-Project Information'!$K$94</f>
        <v>40% of Units at 60% of AMI</v>
      </c>
      <c r="M893" s="2150"/>
      <c r="N893" s="2150"/>
      <c r="O893" s="2150"/>
      <c r="S893" s="1818" t="str">
        <f>B893</f>
        <v>UNIT SUMMARY</v>
      </c>
      <c r="T893" s="1818"/>
      <c r="U893" s="1818"/>
      <c r="V893" s="1818"/>
      <c r="AY893" s="1818"/>
      <c r="BD893" s="1818"/>
      <c r="JW893" s="2052"/>
      <c r="KB893" s="2052"/>
      <c r="KG893" s="2052"/>
      <c r="KL893" s="2052"/>
      <c r="KM893" s="2052"/>
      <c r="KN893" s="2052"/>
      <c r="KO893" s="2052"/>
      <c r="KP893" s="2052"/>
      <c r="KQ893" s="2052"/>
      <c r="KR893" s="2052"/>
      <c r="KS893" s="2052"/>
      <c r="KT893" s="2052"/>
      <c r="KU893" s="2052"/>
      <c r="KV893" s="2052"/>
      <c r="KW893" s="2052"/>
      <c r="KX893" s="2052"/>
      <c r="KY893" s="2052"/>
      <c r="KZ893" s="2052"/>
      <c r="LA893" s="2052"/>
      <c r="LB893" s="2052"/>
      <c r="LC893" s="2052"/>
      <c r="LD893" s="2052"/>
      <c r="LE893" s="2052"/>
      <c r="LF893" s="2052"/>
      <c r="LG893" s="2052"/>
      <c r="NP893" s="1925"/>
    </row>
    <row r="894" spans="1:380" s="1853" customFormat="1" ht="6" customHeight="1">
      <c r="U894" s="2151"/>
      <c r="AY894" s="1818"/>
      <c r="BD894" s="1818"/>
      <c r="JW894" s="2052"/>
      <c r="KB894" s="2052"/>
      <c r="KG894" s="2052"/>
      <c r="KL894" s="2052"/>
      <c r="KM894" s="2052"/>
      <c r="KN894" s="2052"/>
      <c r="KO894" s="2052"/>
      <c r="KP894" s="2052"/>
      <c r="KQ894" s="2052"/>
      <c r="KR894" s="2052"/>
      <c r="KS894" s="2052"/>
      <c r="KT894" s="2052"/>
      <c r="KU894" s="2052"/>
      <c r="KV894" s="2052"/>
      <c r="KW894" s="2052"/>
      <c r="KX894" s="2052"/>
      <c r="KY894" s="2052"/>
      <c r="KZ894" s="2052"/>
      <c r="LA894" s="2052"/>
      <c r="LB894" s="2052"/>
      <c r="LC894" s="2052"/>
      <c r="LD894" s="2052"/>
      <c r="LE894" s="2052"/>
      <c r="LF894" s="2052"/>
      <c r="LG894" s="2052"/>
      <c r="NP894" s="1925"/>
    </row>
    <row r="895" spans="1:380" s="1853" customFormat="1" ht="14.45" customHeight="1">
      <c r="B895" s="1853" t="s">
        <v>6821</v>
      </c>
      <c r="H895" s="1853" t="s">
        <v>1000</v>
      </c>
      <c r="K895" s="2152" t="s">
        <v>539</v>
      </c>
      <c r="L895" s="2152" t="s">
        <v>509</v>
      </c>
      <c r="M895" s="2152" t="s">
        <v>510</v>
      </c>
      <c r="N895" s="2152" t="s">
        <v>511</v>
      </c>
      <c r="O895" s="2152" t="s">
        <v>512</v>
      </c>
      <c r="P895" s="2152" t="s">
        <v>513</v>
      </c>
      <c r="S895" s="1853" t="s">
        <v>1759</v>
      </c>
      <c r="U895" s="2151"/>
      <c r="AR895" s="2152"/>
      <c r="AS895" s="2152"/>
      <c r="AT895" s="2152"/>
      <c r="AU895" s="2152"/>
      <c r="AV895" s="2152"/>
      <c r="AW895" s="2152"/>
      <c r="AY895" s="1818"/>
      <c r="BB895" s="2152"/>
      <c r="BD895" s="1818"/>
      <c r="JW895" s="2052"/>
      <c r="KB895" s="2052"/>
      <c r="KG895" s="2052"/>
      <c r="KL895" s="2052"/>
      <c r="KM895" s="2052"/>
      <c r="KN895" s="2052"/>
      <c r="KO895" s="2052"/>
      <c r="KP895" s="2052"/>
      <c r="KQ895" s="2052"/>
      <c r="KR895" s="2052"/>
      <c r="KS895" s="2052"/>
      <c r="KT895" s="2052"/>
      <c r="KU895" s="2052"/>
      <c r="KV895" s="2052"/>
      <c r="KW895" s="2052"/>
      <c r="KX895" s="2052"/>
      <c r="KY895" s="2052"/>
      <c r="KZ895" s="2052"/>
      <c r="LA895" s="2052"/>
      <c r="LB895" s="2052"/>
      <c r="LC895" s="2052"/>
      <c r="LD895" s="2052"/>
      <c r="LE895" s="2052"/>
      <c r="LF895" s="2052"/>
      <c r="LG895" s="2052"/>
      <c r="NP895" s="1925"/>
    </row>
    <row r="896" spans="1:380" s="1853" customFormat="1" ht="15" customHeight="1">
      <c r="A896" s="1843" t="s">
        <v>4283</v>
      </c>
      <c r="B896" s="1843"/>
      <c r="C896" s="1818" t="s">
        <v>1095</v>
      </c>
      <c r="D896" s="1818"/>
      <c r="E896" s="1818"/>
      <c r="F896" s="1818"/>
      <c r="H896" s="1719" t="s">
        <v>3829</v>
      </c>
      <c r="I896" s="435"/>
      <c r="K896" s="2153">
        <f>X889</f>
        <v>0</v>
      </c>
      <c r="L896" s="2153">
        <f>Y889</f>
        <v>0</v>
      </c>
      <c r="M896" s="2153">
        <f>Z889</f>
        <v>0</v>
      </c>
      <c r="N896" s="2153">
        <f>AA889</f>
        <v>0</v>
      </c>
      <c r="O896" s="2153">
        <f>AB889</f>
        <v>0</v>
      </c>
      <c r="P896" s="2153">
        <f t="shared" ref="P896:P907" si="343">SUM(K896:O896)</f>
        <v>0</v>
      </c>
      <c r="Q896" s="1865" t="s">
        <v>3308</v>
      </c>
      <c r="R896" s="2122"/>
      <c r="S896" s="2044"/>
      <c r="T896" s="2044"/>
      <c r="U896" s="2044"/>
      <c r="V896" s="2044"/>
      <c r="W896" s="2044"/>
      <c r="X896" s="1818"/>
      <c r="AA896" s="1818"/>
      <c r="AB896" s="435"/>
      <c r="AC896" s="1818"/>
      <c r="AF896" s="1818"/>
      <c r="AG896" s="435"/>
      <c r="AH896" s="1818"/>
      <c r="AK896" s="1818"/>
      <c r="AL896" s="435"/>
      <c r="AM896" s="1818"/>
      <c r="AP896" s="1818"/>
      <c r="AQ896" s="435"/>
      <c r="AR896" s="436"/>
      <c r="AS896" s="436"/>
      <c r="AT896" s="436"/>
      <c r="AU896" s="436"/>
      <c r="AV896" s="436"/>
      <c r="AW896" s="436"/>
      <c r="AX896" s="435"/>
      <c r="AY896" s="1818"/>
      <c r="BB896" s="436"/>
      <c r="BC896" s="435"/>
      <c r="BD896" s="1818"/>
      <c r="JW896" s="2052"/>
      <c r="KB896" s="2052"/>
      <c r="KG896" s="2052"/>
      <c r="KL896" s="2052"/>
      <c r="KM896" s="2052"/>
      <c r="KN896" s="2052"/>
      <c r="KO896" s="2052"/>
      <c r="KP896" s="2052"/>
      <c r="KQ896" s="2052"/>
      <c r="KR896" s="2052"/>
      <c r="KS896" s="2052"/>
      <c r="KT896" s="2052"/>
      <c r="KU896" s="2052"/>
      <c r="KV896" s="2052"/>
      <c r="KW896" s="2052"/>
      <c r="KX896" s="2052"/>
      <c r="KY896" s="2052"/>
      <c r="KZ896" s="2052"/>
      <c r="LA896" s="2052"/>
      <c r="LB896" s="2052"/>
      <c r="LC896" s="2052"/>
      <c r="LD896" s="2052"/>
      <c r="LE896" s="2052"/>
      <c r="LF896" s="2052"/>
      <c r="LG896" s="2052"/>
      <c r="NP896" s="1925"/>
    </row>
    <row r="897" spans="1:380" s="1853" customFormat="1" ht="15" customHeight="1">
      <c r="A897" s="1843"/>
      <c r="B897" s="1843"/>
      <c r="C897" s="1818"/>
      <c r="D897" s="1818"/>
      <c r="E897" s="1818"/>
      <c r="F897" s="1818"/>
      <c r="H897" s="1719" t="s">
        <v>3830</v>
      </c>
      <c r="I897" s="435"/>
      <c r="K897" s="2153">
        <f>AC889</f>
        <v>0</v>
      </c>
      <c r="L897" s="2153">
        <f>AD889</f>
        <v>0</v>
      </c>
      <c r="M897" s="2153">
        <f>AE889</f>
        <v>0</v>
      </c>
      <c r="N897" s="2153">
        <f>AF889</f>
        <v>0</v>
      </c>
      <c r="O897" s="2153">
        <f>AG889</f>
        <v>0</v>
      </c>
      <c r="P897" s="2153">
        <f t="shared" si="343"/>
        <v>0</v>
      </c>
      <c r="Q897" s="1865"/>
      <c r="R897" s="2122"/>
      <c r="S897" s="2044"/>
      <c r="T897" s="2044"/>
      <c r="U897" s="2044"/>
      <c r="V897" s="2044"/>
      <c r="W897" s="2044"/>
      <c r="X897" s="1818"/>
      <c r="AA897" s="1818"/>
      <c r="AB897" s="435"/>
      <c r="AC897" s="1818"/>
      <c r="AF897" s="1818"/>
      <c r="AG897" s="435"/>
      <c r="AH897" s="1818"/>
      <c r="AK897" s="1818"/>
      <c r="AL897" s="435"/>
      <c r="AM897" s="1818"/>
      <c r="AP897" s="1818"/>
      <c r="AQ897" s="435"/>
      <c r="AR897" s="436"/>
      <c r="AS897" s="436"/>
      <c r="AT897" s="436"/>
      <c r="AU897" s="436"/>
      <c r="AV897" s="436"/>
      <c r="AW897" s="436"/>
      <c r="AX897" s="435"/>
      <c r="AY897" s="1818"/>
      <c r="BB897" s="436"/>
      <c r="BC897" s="435"/>
      <c r="BD897" s="1818"/>
      <c r="JW897" s="2052"/>
      <c r="KB897" s="2052"/>
      <c r="KG897" s="2052"/>
      <c r="KL897" s="2052"/>
      <c r="KM897" s="2052"/>
      <c r="KN897" s="2052"/>
      <c r="KO897" s="2052"/>
      <c r="KP897" s="2052"/>
      <c r="KQ897" s="2052"/>
      <c r="KR897" s="2052"/>
      <c r="KS897" s="2052"/>
      <c r="KT897" s="2052"/>
      <c r="KU897" s="2052"/>
      <c r="KV897" s="2052"/>
      <c r="KW897" s="2052"/>
      <c r="KX897" s="2052"/>
      <c r="KY897" s="2052"/>
      <c r="KZ897" s="2052"/>
      <c r="LA897" s="2052"/>
      <c r="LB897" s="2052"/>
      <c r="LC897" s="2052"/>
      <c r="LD897" s="2052"/>
      <c r="LE897" s="2052"/>
      <c r="LF897" s="2052"/>
      <c r="LG897" s="2052"/>
      <c r="NP897" s="1925"/>
    </row>
    <row r="898" spans="1:380" s="1853" customFormat="1" ht="15" customHeight="1">
      <c r="A898" s="1843"/>
      <c r="B898" s="1843"/>
      <c r="C898" s="1818"/>
      <c r="D898" s="1818"/>
      <c r="E898" s="1818"/>
      <c r="F898" s="1818"/>
      <c r="H898" s="1719" t="s">
        <v>1107</v>
      </c>
      <c r="I898" s="435"/>
      <c r="K898" s="2153">
        <f>AH889</f>
        <v>0</v>
      </c>
      <c r="L898" s="2153">
        <f>AI889</f>
        <v>13</v>
      </c>
      <c r="M898" s="2153">
        <f>AJ889</f>
        <v>34</v>
      </c>
      <c r="N898" s="2153">
        <f>AK889</f>
        <v>17</v>
      </c>
      <c r="O898" s="2153">
        <f>AL889</f>
        <v>0</v>
      </c>
      <c r="P898" s="2153">
        <f t="shared" si="343"/>
        <v>64</v>
      </c>
      <c r="Q898" s="1865"/>
      <c r="R898" s="2122"/>
      <c r="S898" s="2044"/>
      <c r="T898" s="2044"/>
      <c r="U898" s="2044"/>
      <c r="V898" s="2044"/>
      <c r="W898" s="2044"/>
      <c r="X898" s="1818"/>
      <c r="AA898" s="1818"/>
      <c r="AB898" s="435"/>
      <c r="AC898" s="1818"/>
      <c r="AF898" s="1818"/>
      <c r="AG898" s="435"/>
      <c r="AH898" s="1818"/>
      <c r="AK898" s="1818"/>
      <c r="AL898" s="435"/>
      <c r="AM898" s="1818"/>
      <c r="AP898" s="1818"/>
      <c r="AQ898" s="435"/>
      <c r="AR898" s="436"/>
      <c r="AS898" s="436"/>
      <c r="AT898" s="436"/>
      <c r="AU898" s="436"/>
      <c r="AV898" s="436"/>
      <c r="AW898" s="436"/>
      <c r="AX898" s="435"/>
      <c r="AY898" s="1818"/>
      <c r="BB898" s="436"/>
      <c r="BC898" s="435"/>
      <c r="BD898" s="1818"/>
      <c r="JW898" s="2052"/>
      <c r="KB898" s="2052"/>
      <c r="KG898" s="2052"/>
      <c r="KL898" s="2052"/>
      <c r="KM898" s="2052"/>
      <c r="KN898" s="2052"/>
      <c r="KO898" s="2052"/>
      <c r="KP898" s="2052"/>
      <c r="KQ898" s="2052"/>
      <c r="KR898" s="2052"/>
      <c r="KS898" s="2052"/>
      <c r="KT898" s="2052"/>
      <c r="KU898" s="2052"/>
      <c r="KV898" s="2052"/>
      <c r="KW898" s="2052"/>
      <c r="KX898" s="2052"/>
      <c r="KY898" s="2052"/>
      <c r="KZ898" s="2052"/>
      <c r="LA898" s="2052"/>
      <c r="LB898" s="2052"/>
      <c r="LC898" s="2052"/>
      <c r="LD898" s="2052"/>
      <c r="LE898" s="2052"/>
      <c r="LF898" s="2052"/>
      <c r="LG898" s="2052"/>
      <c r="NP898" s="1925"/>
    </row>
    <row r="899" spans="1:380" s="1853" customFormat="1" ht="15" customHeight="1">
      <c r="A899" s="1843"/>
      <c r="B899" s="1843"/>
      <c r="C899" s="1818"/>
      <c r="D899" s="1818"/>
      <c r="E899" s="1818"/>
      <c r="F899" s="1818"/>
      <c r="H899" s="1719" t="s">
        <v>111</v>
      </c>
      <c r="I899" s="435"/>
      <c r="K899" s="2153">
        <f>AM889</f>
        <v>0</v>
      </c>
      <c r="L899" s="2153">
        <f>AN889</f>
        <v>0</v>
      </c>
      <c r="M899" s="2153">
        <f>AO889</f>
        <v>0</v>
      </c>
      <c r="N899" s="2153">
        <f>AP889</f>
        <v>0</v>
      </c>
      <c r="O899" s="2153">
        <f>AQ889</f>
        <v>0</v>
      </c>
      <c r="P899" s="2153">
        <f t="shared" si="343"/>
        <v>0</v>
      </c>
      <c r="Q899" s="1865"/>
      <c r="R899" s="2122"/>
      <c r="S899" s="2044"/>
      <c r="T899" s="2044"/>
      <c r="U899" s="2044"/>
      <c r="V899" s="2044"/>
      <c r="W899" s="2044"/>
      <c r="X899" s="1818"/>
      <c r="AA899" s="1818"/>
      <c r="AB899" s="435"/>
      <c r="AC899" s="1818"/>
      <c r="AF899" s="1818"/>
      <c r="AG899" s="435"/>
      <c r="AH899" s="1818"/>
      <c r="AK899" s="1818"/>
      <c r="AL899" s="435"/>
      <c r="AM899" s="1818"/>
      <c r="AP899" s="1818"/>
      <c r="AQ899" s="435"/>
      <c r="AR899" s="436"/>
      <c r="AS899" s="436"/>
      <c r="AT899" s="436"/>
      <c r="AU899" s="436"/>
      <c r="AV899" s="436"/>
      <c r="AW899" s="436"/>
      <c r="AX899" s="435"/>
      <c r="AY899" s="1818"/>
      <c r="BB899" s="436"/>
      <c r="BC899" s="435"/>
      <c r="BD899" s="1818"/>
      <c r="JW899" s="2052"/>
      <c r="KB899" s="2052"/>
      <c r="KG899" s="2052"/>
      <c r="KL899" s="2052"/>
      <c r="KM899" s="2052"/>
      <c r="KN899" s="2052"/>
      <c r="KO899" s="2052"/>
      <c r="KP899" s="2052"/>
      <c r="KQ899" s="2052"/>
      <c r="KR899" s="2052"/>
      <c r="KS899" s="2052"/>
      <c r="KT899" s="2052"/>
      <c r="KU899" s="2052"/>
      <c r="KV899" s="2052"/>
      <c r="KW899" s="2052"/>
      <c r="KX899" s="2052"/>
      <c r="KY899" s="2052"/>
      <c r="KZ899" s="2052"/>
      <c r="LA899" s="2052"/>
      <c r="LB899" s="2052"/>
      <c r="LC899" s="2052"/>
      <c r="LD899" s="2052"/>
      <c r="LE899" s="2052"/>
      <c r="LF899" s="2052"/>
      <c r="LG899" s="2052"/>
      <c r="NP899" s="1925"/>
    </row>
    <row r="900" spans="1:380" s="1853" customFormat="1" ht="15" customHeight="1">
      <c r="A900" s="1843"/>
      <c r="B900" s="1843"/>
      <c r="C900" s="1818"/>
      <c r="D900" s="1818"/>
      <c r="E900" s="1818"/>
      <c r="F900" s="1818"/>
      <c r="H900" s="1719" t="s">
        <v>3831</v>
      </c>
      <c r="I900" s="435"/>
      <c r="K900" s="2153">
        <f>AR889</f>
        <v>0</v>
      </c>
      <c r="L900" s="2153">
        <f>AS889</f>
        <v>0</v>
      </c>
      <c r="M900" s="2153">
        <f>AT889</f>
        <v>0</v>
      </c>
      <c r="N900" s="2153">
        <f>AU889</f>
        <v>0</v>
      </c>
      <c r="O900" s="2153">
        <f>AV889</f>
        <v>0</v>
      </c>
      <c r="P900" s="2153">
        <f t="shared" si="343"/>
        <v>0</v>
      </c>
      <c r="Q900" s="1865"/>
      <c r="R900" s="2122"/>
      <c r="S900" s="2044"/>
      <c r="T900" s="2044"/>
      <c r="U900" s="2044"/>
      <c r="V900" s="2044"/>
      <c r="W900" s="2044"/>
      <c r="X900" s="1818"/>
      <c r="AA900" s="1818"/>
      <c r="AB900" s="435"/>
      <c r="AC900" s="1818"/>
      <c r="AF900" s="1818"/>
      <c r="AG900" s="435"/>
      <c r="AH900" s="1818"/>
      <c r="AK900" s="1818"/>
      <c r="AL900" s="435"/>
      <c r="AM900" s="1818"/>
      <c r="AP900" s="1818"/>
      <c r="AQ900" s="435"/>
      <c r="AR900" s="436"/>
      <c r="AS900" s="436"/>
      <c r="AT900" s="436"/>
      <c r="AU900" s="436"/>
      <c r="AV900" s="436"/>
      <c r="AW900" s="436"/>
      <c r="AX900" s="435"/>
      <c r="AY900" s="1818"/>
      <c r="BB900" s="436"/>
      <c r="BC900" s="435"/>
      <c r="BD900" s="1818"/>
      <c r="JW900" s="2052"/>
      <c r="KB900" s="2052"/>
      <c r="KG900" s="2052"/>
      <c r="KL900" s="2052"/>
      <c r="KM900" s="2052"/>
      <c r="KN900" s="2052"/>
      <c r="KO900" s="2052"/>
      <c r="KP900" s="2052"/>
      <c r="KQ900" s="2052"/>
      <c r="KR900" s="2052"/>
      <c r="KS900" s="2052"/>
      <c r="KT900" s="2052"/>
      <c r="KU900" s="2052"/>
      <c r="KV900" s="2052"/>
      <c r="KW900" s="2052"/>
      <c r="KX900" s="2052"/>
      <c r="KY900" s="2052"/>
      <c r="KZ900" s="2052"/>
      <c r="LA900" s="2052"/>
      <c r="LB900" s="2052"/>
      <c r="LC900" s="2052"/>
      <c r="LD900" s="2052"/>
      <c r="LE900" s="2052"/>
      <c r="LF900" s="2052"/>
      <c r="LG900" s="2052"/>
      <c r="NP900" s="1925"/>
    </row>
    <row r="901" spans="1:380" s="1853" customFormat="1" ht="15" customHeight="1">
      <c r="A901" s="1843"/>
      <c r="B901" s="1843"/>
      <c r="C901" s="1818"/>
      <c r="D901" s="1818"/>
      <c r="E901" s="1818"/>
      <c r="F901" s="1818"/>
      <c r="H901" s="1719" t="s">
        <v>3832</v>
      </c>
      <c r="I901" s="435"/>
      <c r="K901" s="2153">
        <f>AW889</f>
        <v>0</v>
      </c>
      <c r="L901" s="2153">
        <f>AX889</f>
        <v>0</v>
      </c>
      <c r="M901" s="2153">
        <f>AY889</f>
        <v>0</v>
      </c>
      <c r="N901" s="2153">
        <f>AZ889</f>
        <v>0</v>
      </c>
      <c r="O901" s="2153">
        <f>BA889</f>
        <v>0</v>
      </c>
      <c r="P901" s="2153">
        <f t="shared" si="343"/>
        <v>0</v>
      </c>
      <c r="Q901" s="1865"/>
      <c r="R901" s="2122"/>
      <c r="S901" s="2044"/>
      <c r="T901" s="2044"/>
      <c r="U901" s="2044"/>
      <c r="V901" s="2044"/>
      <c r="W901" s="2044"/>
      <c r="X901" s="1818"/>
      <c r="AA901" s="1818"/>
      <c r="AB901" s="435"/>
      <c r="AC901" s="1818"/>
      <c r="AF901" s="1818"/>
      <c r="AG901" s="435"/>
      <c r="AH901" s="1818"/>
      <c r="AK901" s="1818"/>
      <c r="AL901" s="435"/>
      <c r="AM901" s="1818"/>
      <c r="AP901" s="1818"/>
      <c r="AQ901" s="435"/>
      <c r="AR901" s="436"/>
      <c r="AS901" s="436"/>
      <c r="AT901" s="436"/>
      <c r="AU901" s="436"/>
      <c r="AV901" s="436"/>
      <c r="AW901" s="436"/>
      <c r="AX901" s="435"/>
      <c r="AY901" s="1818"/>
      <c r="BB901" s="436"/>
      <c r="BC901" s="435"/>
      <c r="BD901" s="1818"/>
      <c r="JW901" s="2052"/>
      <c r="KB901" s="2052"/>
      <c r="KG901" s="2052"/>
      <c r="KL901" s="2052"/>
      <c r="KM901" s="2052"/>
      <c r="KN901" s="2052"/>
      <c r="KO901" s="2052"/>
      <c r="KP901" s="2052"/>
      <c r="KQ901" s="2052"/>
      <c r="KR901" s="2052"/>
      <c r="KS901" s="2052"/>
      <c r="KT901" s="2052"/>
      <c r="KU901" s="2052"/>
      <c r="KV901" s="2052"/>
      <c r="KW901" s="2052"/>
      <c r="KX901" s="2052"/>
      <c r="KY901" s="2052"/>
      <c r="KZ901" s="2052"/>
      <c r="LA901" s="2052"/>
      <c r="LB901" s="2052"/>
      <c r="LC901" s="2052"/>
      <c r="LD901" s="2052"/>
      <c r="LE901" s="2052"/>
      <c r="LF901" s="2052"/>
      <c r="LG901" s="2052"/>
      <c r="NP901" s="1925"/>
    </row>
    <row r="902" spans="1:380" s="1853" customFormat="1" ht="15" customHeight="1">
      <c r="A902" s="1843"/>
      <c r="B902" s="1843"/>
      <c r="C902" s="1818"/>
      <c r="D902" s="1818"/>
      <c r="E902" s="1818"/>
      <c r="F902" s="1818"/>
      <c r="H902" s="1719" t="s">
        <v>3833</v>
      </c>
      <c r="I902" s="435"/>
      <c r="K902" s="2153">
        <f>BB889</f>
        <v>0</v>
      </c>
      <c r="L902" s="2153">
        <f>BC889</f>
        <v>0</v>
      </c>
      <c r="M902" s="2153">
        <f>BD889</f>
        <v>0</v>
      </c>
      <c r="N902" s="2153">
        <f>BE889</f>
        <v>0</v>
      </c>
      <c r="O902" s="2153">
        <f>BF889</f>
        <v>0</v>
      </c>
      <c r="P902" s="2153">
        <f t="shared" si="343"/>
        <v>0</v>
      </c>
      <c r="Q902" s="1865"/>
      <c r="R902" s="2122"/>
      <c r="S902" s="2044"/>
      <c r="T902" s="2044"/>
      <c r="U902" s="2044"/>
      <c r="V902" s="2044"/>
      <c r="W902" s="2044"/>
      <c r="X902" s="1818"/>
      <c r="AA902" s="1818"/>
      <c r="AB902" s="435"/>
      <c r="AC902" s="1818"/>
      <c r="AF902" s="1818"/>
      <c r="AG902" s="435"/>
      <c r="AH902" s="1818"/>
      <c r="AK902" s="1818"/>
      <c r="AL902" s="435"/>
      <c r="AM902" s="1818"/>
      <c r="AP902" s="1818"/>
      <c r="AQ902" s="435"/>
      <c r="AR902" s="436"/>
      <c r="AS902" s="436"/>
      <c r="AT902" s="436"/>
      <c r="AU902" s="436"/>
      <c r="AV902" s="436"/>
      <c r="AW902" s="436"/>
      <c r="AX902" s="435"/>
      <c r="AY902" s="1818"/>
      <c r="BB902" s="436"/>
      <c r="BC902" s="435"/>
      <c r="BD902" s="1818"/>
      <c r="JW902" s="2052"/>
      <c r="KB902" s="2052"/>
      <c r="KG902" s="2052"/>
      <c r="KL902" s="2052"/>
      <c r="KM902" s="2052"/>
      <c r="KN902" s="2052"/>
      <c r="KO902" s="2052"/>
      <c r="KP902" s="2052"/>
      <c r="KQ902" s="2052"/>
      <c r="KR902" s="2052"/>
      <c r="KS902" s="2052"/>
      <c r="KT902" s="2052"/>
      <c r="KU902" s="2052"/>
      <c r="KV902" s="2052"/>
      <c r="KW902" s="2052"/>
      <c r="KX902" s="2052"/>
      <c r="KY902" s="2052"/>
      <c r="KZ902" s="2052"/>
      <c r="LA902" s="2052"/>
      <c r="LB902" s="2052"/>
      <c r="LC902" s="2052"/>
      <c r="LD902" s="2052"/>
      <c r="LE902" s="2052"/>
      <c r="LF902" s="2052"/>
      <c r="LG902" s="2052"/>
      <c r="NP902" s="1925"/>
    </row>
    <row r="903" spans="1:380" s="1853" customFormat="1" ht="15" customHeight="1">
      <c r="A903" s="1843"/>
      <c r="B903" s="1843"/>
      <c r="C903" s="1719" t="s">
        <v>3915</v>
      </c>
      <c r="D903" s="1818"/>
      <c r="E903" s="1818"/>
      <c r="F903" s="1818"/>
      <c r="H903" s="2115"/>
      <c r="I903" s="2113"/>
      <c r="K903" s="2153">
        <f>SUM(K896:K902)</f>
        <v>0</v>
      </c>
      <c r="L903" s="2153">
        <f>SUM(L896:L902)</f>
        <v>13</v>
      </c>
      <c r="M903" s="2153">
        <f>SUM(M896:M902)</f>
        <v>34</v>
      </c>
      <c r="N903" s="2153">
        <f>SUM(N896:N902)</f>
        <v>17</v>
      </c>
      <c r="O903" s="2153">
        <f>SUM(O896:O902)</f>
        <v>0</v>
      </c>
      <c r="P903" s="2153">
        <f t="shared" si="343"/>
        <v>64</v>
      </c>
      <c r="Q903" s="1865"/>
      <c r="S903" s="2044"/>
      <c r="T903" s="2044"/>
      <c r="U903" s="2044"/>
      <c r="V903" s="2044"/>
      <c r="W903" s="2044"/>
      <c r="X903" s="1818"/>
      <c r="AA903" s="1818"/>
      <c r="AB903" s="435"/>
      <c r="AC903" s="1818"/>
      <c r="AF903" s="1818"/>
      <c r="AG903" s="435"/>
      <c r="AH903" s="1818"/>
      <c r="AK903" s="1818"/>
      <c r="AL903" s="435"/>
      <c r="AM903" s="1818"/>
      <c r="AP903" s="1818"/>
      <c r="AQ903" s="435"/>
      <c r="AR903" s="436"/>
      <c r="AS903" s="436"/>
      <c r="AT903" s="436"/>
      <c r="AU903" s="436"/>
      <c r="AV903" s="436"/>
      <c r="AW903" s="436"/>
      <c r="AX903" s="435"/>
      <c r="AY903" s="1818"/>
      <c r="BB903" s="436"/>
      <c r="BC903" s="435"/>
      <c r="BD903" s="1818"/>
      <c r="JW903" s="2052"/>
      <c r="KB903" s="2052"/>
      <c r="KG903" s="2052"/>
      <c r="KL903" s="2052"/>
      <c r="KM903" s="2052"/>
      <c r="KN903" s="2052"/>
      <c r="KO903" s="2052"/>
      <c r="KP903" s="2052"/>
      <c r="KQ903" s="2052"/>
      <c r="KR903" s="2052"/>
      <c r="KS903" s="2052"/>
      <c r="KT903" s="2052"/>
      <c r="KU903" s="2052"/>
      <c r="KV903" s="2052"/>
      <c r="KW903" s="2052"/>
      <c r="KX903" s="2052"/>
      <c r="KY903" s="2052"/>
      <c r="KZ903" s="2052"/>
      <c r="LA903" s="2052"/>
      <c r="LB903" s="2052"/>
      <c r="LC903" s="2052"/>
      <c r="LD903" s="2052"/>
      <c r="LE903" s="2052"/>
      <c r="LF903" s="2052"/>
      <c r="LG903" s="2052"/>
      <c r="NP903" s="1925"/>
    </row>
    <row r="904" spans="1:380" s="1853" customFormat="1" ht="15" customHeight="1">
      <c r="A904" s="1843"/>
      <c r="B904" s="1843"/>
      <c r="D904" s="1818"/>
      <c r="E904" s="1818"/>
      <c r="F904" s="1818"/>
      <c r="H904" s="1719" t="s">
        <v>292</v>
      </c>
      <c r="I904" s="435"/>
      <c r="K904" s="2153">
        <f>BG889</f>
        <v>0</v>
      </c>
      <c r="L904" s="2153">
        <f>BH889</f>
        <v>3</v>
      </c>
      <c r="M904" s="2153">
        <f>BI889</f>
        <v>2</v>
      </c>
      <c r="N904" s="2153">
        <f>BJ889</f>
        <v>3</v>
      </c>
      <c r="O904" s="2153">
        <f>BK889</f>
        <v>0</v>
      </c>
      <c r="P904" s="2153">
        <f t="shared" si="343"/>
        <v>8</v>
      </c>
      <c r="S904" s="2044"/>
      <c r="T904" s="2044"/>
      <c r="U904" s="2044"/>
      <c r="V904" s="2044"/>
      <c r="W904" s="2044"/>
      <c r="X904" s="1818"/>
      <c r="AA904" s="1818"/>
      <c r="AB904" s="435"/>
      <c r="AC904" s="1818"/>
      <c r="AF904" s="1818"/>
      <c r="AG904" s="435"/>
      <c r="AH904" s="1818"/>
      <c r="AK904" s="1818"/>
      <c r="AL904" s="435"/>
      <c r="AM904" s="1818"/>
      <c r="AP904" s="1818"/>
      <c r="AQ904" s="435"/>
      <c r="AR904" s="436"/>
      <c r="AS904" s="436"/>
      <c r="AT904" s="436"/>
      <c r="AU904" s="436"/>
      <c r="AV904" s="436"/>
      <c r="AW904" s="436"/>
      <c r="AX904" s="2113"/>
      <c r="AY904" s="1818"/>
      <c r="BB904" s="436"/>
      <c r="BC904" s="2113"/>
      <c r="BD904" s="1818"/>
      <c r="JW904" s="2052"/>
      <c r="KB904" s="2052"/>
      <c r="KG904" s="2052"/>
      <c r="KL904" s="2052"/>
      <c r="KM904" s="2052"/>
      <c r="KN904" s="2052"/>
      <c r="KO904" s="2052"/>
      <c r="KP904" s="2052"/>
      <c r="KQ904" s="2052"/>
      <c r="KR904" s="2052"/>
      <c r="KS904" s="2052"/>
      <c r="KT904" s="2052"/>
      <c r="KU904" s="2052"/>
      <c r="KV904" s="2052"/>
      <c r="KW904" s="2052"/>
      <c r="KX904" s="2052"/>
      <c r="KY904" s="2052"/>
      <c r="KZ904" s="2052"/>
      <c r="LA904" s="2052"/>
      <c r="LB904" s="2052"/>
      <c r="LC904" s="2052"/>
      <c r="LD904" s="2052"/>
      <c r="LE904" s="2052"/>
      <c r="LF904" s="2052"/>
      <c r="LG904" s="2052"/>
      <c r="NP904" s="1925"/>
    </row>
    <row r="905" spans="1:380" s="1853" customFormat="1" ht="15" customHeight="1">
      <c r="A905" s="1843"/>
      <c r="B905" s="1843"/>
      <c r="C905" s="2154" t="s">
        <v>1096</v>
      </c>
      <c r="D905" s="2154"/>
      <c r="E905" s="2154"/>
      <c r="F905" s="2154"/>
      <c r="G905" s="2155"/>
      <c r="H905" s="2156"/>
      <c r="I905" s="2157"/>
      <c r="J905" s="2155"/>
      <c r="K905" s="2158">
        <f>SUM(K903:K904)</f>
        <v>0</v>
      </c>
      <c r="L905" s="2158">
        <f>SUM(L903:L904)</f>
        <v>16</v>
      </c>
      <c r="M905" s="2158">
        <f>SUM(M903:M904)</f>
        <v>36</v>
      </c>
      <c r="N905" s="2158">
        <f>SUM(N903:N904)</f>
        <v>20</v>
      </c>
      <c r="O905" s="2158">
        <f>SUM(O903:O904)</f>
        <v>0</v>
      </c>
      <c r="P905" s="2158">
        <f t="shared" si="343"/>
        <v>72</v>
      </c>
      <c r="S905" s="2044"/>
      <c r="T905" s="2044"/>
      <c r="U905" s="2044"/>
      <c r="V905" s="2044"/>
      <c r="W905" s="2044"/>
      <c r="X905" s="1818"/>
      <c r="AA905" s="1818"/>
      <c r="AB905" s="435"/>
      <c r="AC905" s="1818"/>
      <c r="AF905" s="1818"/>
      <c r="AG905" s="435"/>
      <c r="AH905" s="1818"/>
      <c r="AK905" s="1818"/>
      <c r="AL905" s="435"/>
      <c r="AM905" s="1818"/>
      <c r="AP905" s="1818"/>
      <c r="AQ905" s="435"/>
      <c r="AR905" s="436"/>
      <c r="AS905" s="436"/>
      <c r="AT905" s="436"/>
      <c r="AU905" s="436"/>
      <c r="AV905" s="436"/>
      <c r="AW905" s="436"/>
      <c r="AX905" s="2113"/>
      <c r="AY905" s="1818"/>
      <c r="BB905" s="436"/>
      <c r="BC905" s="2113"/>
      <c r="BD905" s="1818"/>
      <c r="JW905" s="2052"/>
      <c r="KB905" s="2052"/>
      <c r="KG905" s="2052"/>
      <c r="KL905" s="2052"/>
      <c r="KM905" s="2052"/>
      <c r="KN905" s="2052"/>
      <c r="KO905" s="2052"/>
      <c r="KP905" s="2052"/>
      <c r="KQ905" s="2052"/>
      <c r="KR905" s="2052"/>
      <c r="KS905" s="2052"/>
      <c r="KT905" s="2052"/>
      <c r="KU905" s="2052"/>
      <c r="KV905" s="2052"/>
      <c r="KW905" s="2052"/>
      <c r="KX905" s="2052"/>
      <c r="KY905" s="2052"/>
      <c r="KZ905" s="2052"/>
      <c r="LA905" s="2052"/>
      <c r="LB905" s="2052"/>
      <c r="LC905" s="2052"/>
      <c r="LD905" s="2052"/>
      <c r="LE905" s="2052"/>
      <c r="LF905" s="2052"/>
      <c r="LG905" s="2052"/>
      <c r="NP905" s="1925"/>
    </row>
    <row r="906" spans="1:380" s="1853" customFormat="1" ht="15" customHeight="1">
      <c r="A906" s="1843"/>
      <c r="B906" s="1843"/>
      <c r="D906" s="1818"/>
      <c r="E906" s="1818"/>
      <c r="F906" s="1818"/>
      <c r="H906" s="1719" t="s">
        <v>2392</v>
      </c>
      <c r="I906" s="435"/>
      <c r="K906" s="2153">
        <f>ED889</f>
        <v>0</v>
      </c>
      <c r="L906" s="2153">
        <f>EE889</f>
        <v>0</v>
      </c>
      <c r="M906" s="2153">
        <f>EF889</f>
        <v>0</v>
      </c>
      <c r="N906" s="2153">
        <f>EG889</f>
        <v>0</v>
      </c>
      <c r="O906" s="2153">
        <f>EH889</f>
        <v>0</v>
      </c>
      <c r="P906" s="2153">
        <f t="shared" si="343"/>
        <v>0</v>
      </c>
      <c r="Q906" s="1865" t="s">
        <v>3309</v>
      </c>
      <c r="S906" s="2044"/>
      <c r="T906" s="2044"/>
      <c r="U906" s="2044"/>
      <c r="V906" s="2044"/>
      <c r="W906" s="2044"/>
      <c r="X906" s="1818"/>
      <c r="AA906" s="1818"/>
      <c r="AB906" s="435"/>
      <c r="AC906" s="1818"/>
      <c r="AF906" s="1818"/>
      <c r="AG906" s="435"/>
      <c r="AH906" s="1818"/>
      <c r="AK906" s="1818"/>
      <c r="AL906" s="435"/>
      <c r="AM906" s="1818"/>
      <c r="AP906" s="1818"/>
      <c r="AQ906" s="435"/>
      <c r="AR906" s="436"/>
      <c r="AS906" s="436"/>
      <c r="AT906" s="436"/>
      <c r="AU906" s="436"/>
      <c r="AV906" s="436"/>
      <c r="AW906" s="436"/>
      <c r="AX906" s="435"/>
      <c r="AY906" s="1818"/>
      <c r="BB906" s="436"/>
      <c r="BC906" s="435"/>
      <c r="BD906" s="1818"/>
      <c r="JW906" s="2052"/>
      <c r="KB906" s="2052"/>
      <c r="KG906" s="2052"/>
      <c r="KL906" s="2052"/>
      <c r="KM906" s="2052"/>
      <c r="KN906" s="2052"/>
      <c r="KO906" s="2052"/>
      <c r="KP906" s="2052"/>
      <c r="KQ906" s="2052"/>
      <c r="KR906" s="2052"/>
      <c r="KS906" s="2052"/>
      <c r="KT906" s="2052"/>
      <c r="KU906" s="2052"/>
      <c r="KV906" s="2052"/>
      <c r="KW906" s="2052"/>
      <c r="KX906" s="2052"/>
      <c r="KY906" s="2052"/>
      <c r="KZ906" s="2052"/>
      <c r="LA906" s="2052"/>
      <c r="LB906" s="2052"/>
      <c r="LC906" s="2052"/>
      <c r="LD906" s="2052"/>
      <c r="LE906" s="2052"/>
      <c r="LF906" s="2052"/>
      <c r="LG906" s="2052"/>
      <c r="NP906" s="1925"/>
    </row>
    <row r="907" spans="1:380" s="1853" customFormat="1" ht="15" customHeight="1">
      <c r="A907" s="1843"/>
      <c r="B907" s="1843"/>
      <c r="C907" s="1818" t="s">
        <v>1712</v>
      </c>
      <c r="D907" s="1818"/>
      <c r="E907" s="1818"/>
      <c r="F907" s="1818"/>
      <c r="H907" s="1719"/>
      <c r="I907" s="435"/>
      <c r="K907" s="2153">
        <f>SUM(K905:K906)</f>
        <v>0</v>
      </c>
      <c r="L907" s="2153">
        <f>SUM(L905:L906)</f>
        <v>16</v>
      </c>
      <c r="M907" s="2153">
        <f>SUM(M905:M906)</f>
        <v>36</v>
      </c>
      <c r="N907" s="2153">
        <f>SUM(N905:N906)</f>
        <v>20</v>
      </c>
      <c r="O907" s="2153">
        <f>SUM(O905:O906)</f>
        <v>0</v>
      </c>
      <c r="P907" s="2153">
        <f t="shared" si="343"/>
        <v>72</v>
      </c>
      <c r="S907" s="2044"/>
      <c r="T907" s="2044"/>
      <c r="U907" s="2044"/>
      <c r="V907" s="2044"/>
      <c r="W907" s="2044"/>
      <c r="X907" s="1818"/>
      <c r="AA907" s="1818"/>
      <c r="AB907" s="435"/>
      <c r="AC907" s="1818"/>
      <c r="AF907" s="1818"/>
      <c r="AG907" s="435"/>
      <c r="AH907" s="1818"/>
      <c r="AK907" s="1818"/>
      <c r="AL907" s="435"/>
      <c r="AM907" s="1818"/>
      <c r="AP907" s="1818"/>
      <c r="AQ907" s="435"/>
      <c r="AR907" s="436"/>
      <c r="AS907" s="436"/>
      <c r="AT907" s="436"/>
      <c r="AU907" s="436"/>
      <c r="AV907" s="436"/>
      <c r="AW907" s="436"/>
      <c r="AY907" s="1818"/>
      <c r="BB907" s="436"/>
      <c r="BD907" s="1818"/>
      <c r="JW907" s="2052"/>
      <c r="KB907" s="2052"/>
      <c r="KG907" s="2052"/>
      <c r="KL907" s="2052"/>
      <c r="KM907" s="2052"/>
      <c r="KN907" s="2052"/>
      <c r="KO907" s="2052"/>
      <c r="KP907" s="2052"/>
      <c r="KQ907" s="2052"/>
      <c r="KR907" s="2052"/>
      <c r="KS907" s="2052"/>
      <c r="KT907" s="2052"/>
      <c r="KU907" s="2052"/>
      <c r="KV907" s="2052"/>
      <c r="KW907" s="2052"/>
      <c r="KX907" s="2052"/>
      <c r="KY907" s="2052"/>
      <c r="KZ907" s="2052"/>
      <c r="LA907" s="2052"/>
      <c r="LB907" s="2052"/>
      <c r="LC907" s="2052"/>
      <c r="LD907" s="2052"/>
      <c r="LE907" s="2052"/>
      <c r="LF907" s="2052"/>
      <c r="LG907" s="2052"/>
      <c r="NP907" s="1925"/>
    </row>
    <row r="908" spans="1:380" s="1853" customFormat="1" ht="16.149999999999999" customHeight="1">
      <c r="A908" s="1843"/>
      <c r="B908" s="1843"/>
      <c r="C908" s="2159"/>
      <c r="D908" s="2159"/>
      <c r="E908" s="2159"/>
      <c r="F908" s="2159"/>
      <c r="G908" s="2159"/>
      <c r="H908" s="1843"/>
      <c r="I908" s="2159"/>
      <c r="J908" s="2159"/>
      <c r="K908" s="2159"/>
      <c r="L908" s="2159"/>
      <c r="M908" s="2159"/>
      <c r="N908" s="2159"/>
      <c r="O908" s="2159"/>
      <c r="P908" s="2159"/>
      <c r="X908" s="1818"/>
      <c r="AA908" s="1818"/>
      <c r="AB908" s="435"/>
      <c r="AC908" s="1818"/>
      <c r="AF908" s="1818"/>
      <c r="AG908" s="435"/>
      <c r="AH908" s="1818"/>
      <c r="AK908" s="1818"/>
      <c r="AL908" s="435"/>
      <c r="AM908" s="1818"/>
      <c r="AP908" s="1818"/>
      <c r="AQ908" s="435"/>
      <c r="AR908" s="1818"/>
      <c r="AS908" s="1818"/>
      <c r="AT908" s="1818"/>
      <c r="AU908" s="1818"/>
      <c r="AV908" s="1818"/>
      <c r="AW908" s="1818"/>
      <c r="AY908" s="1818"/>
      <c r="BB908" s="1818"/>
      <c r="BD908" s="1818"/>
      <c r="JW908" s="2052"/>
      <c r="KB908" s="2052"/>
      <c r="KG908" s="2052"/>
      <c r="KL908" s="2052"/>
      <c r="KM908" s="2052"/>
      <c r="KN908" s="2052"/>
      <c r="KO908" s="2052"/>
      <c r="KP908" s="2052"/>
      <c r="KQ908" s="2052"/>
      <c r="KR908" s="2052"/>
      <c r="KS908" s="2052"/>
      <c r="KT908" s="2052"/>
      <c r="KU908" s="2052"/>
      <c r="KV908" s="2052"/>
      <c r="KW908" s="2052"/>
      <c r="KX908" s="2052"/>
      <c r="KY908" s="2052"/>
      <c r="KZ908" s="2052"/>
      <c r="LA908" s="2052"/>
      <c r="LB908" s="2052"/>
      <c r="LC908" s="2052"/>
      <c r="LD908" s="2052"/>
      <c r="LE908" s="2052"/>
      <c r="LF908" s="2052"/>
      <c r="LG908" s="2052"/>
      <c r="NP908" s="1925"/>
    </row>
    <row r="909" spans="1:380" s="1853" customFormat="1" ht="12" customHeight="1">
      <c r="A909" s="1843"/>
      <c r="B909" s="1843"/>
      <c r="C909" s="2159" t="s">
        <v>3926</v>
      </c>
      <c r="D909" s="2159"/>
      <c r="E909" s="2159"/>
      <c r="F909" s="2159"/>
      <c r="G909" s="2159"/>
      <c r="H909" s="1843"/>
      <c r="I909" s="2159"/>
      <c r="J909" s="2159"/>
      <c r="K909" s="2159"/>
      <c r="L909" s="2159"/>
      <c r="M909" s="2159"/>
      <c r="N909" s="2159"/>
      <c r="O909" s="2159"/>
      <c r="P909" s="2159"/>
      <c r="S909" s="1876" t="str">
        <f>C909</f>
        <v xml:space="preserve">Income Limit Distribution among Bedroom Sizes </v>
      </c>
      <c r="U909" s="1851"/>
      <c r="X909" s="1818"/>
      <c r="AA909" s="1818"/>
      <c r="AB909" s="435"/>
      <c r="AC909" s="1818"/>
      <c r="AF909" s="1818"/>
      <c r="AG909" s="435"/>
      <c r="AH909" s="1818"/>
      <c r="AK909" s="1818"/>
      <c r="AL909" s="435"/>
      <c r="AM909" s="1818"/>
      <c r="AP909" s="1818"/>
      <c r="AQ909" s="435"/>
      <c r="AR909" s="1818"/>
      <c r="AS909" s="1818"/>
      <c r="AT909" s="1818"/>
      <c r="AU909" s="1818"/>
      <c r="AV909" s="1818"/>
      <c r="AW909" s="1818"/>
      <c r="AY909" s="1818"/>
      <c r="BB909" s="1818"/>
      <c r="BD909" s="1818"/>
      <c r="JW909" s="2052"/>
      <c r="KB909" s="2052"/>
      <c r="KG909" s="2052"/>
      <c r="KL909" s="2052"/>
      <c r="KM909" s="2052"/>
      <c r="KN909" s="2052"/>
      <c r="KO909" s="2052"/>
      <c r="KP909" s="2052"/>
      <c r="KQ909" s="2052"/>
      <c r="KR909" s="2052"/>
      <c r="KS909" s="2052"/>
      <c r="KT909" s="2052"/>
      <c r="KU909" s="2052"/>
      <c r="KV909" s="2052"/>
      <c r="KW909" s="2052"/>
      <c r="KX909" s="2052"/>
      <c r="KY909" s="2052"/>
      <c r="KZ909" s="2052"/>
      <c r="LA909" s="2052"/>
      <c r="LB909" s="2052"/>
      <c r="LC909" s="2052"/>
      <c r="LD909" s="2052"/>
      <c r="LE909" s="2052"/>
      <c r="LF909" s="2052"/>
      <c r="LG909" s="2052"/>
      <c r="NP909" s="1925"/>
    </row>
    <row r="910" spans="1:380" ht="13.15" customHeight="1">
      <c r="A910" s="1843"/>
      <c r="B910" s="1843"/>
      <c r="C910" s="2159"/>
      <c r="D910" s="2159"/>
      <c r="E910" s="2159"/>
      <c r="F910" s="2159"/>
      <c r="G910" s="1853"/>
      <c r="H910" s="2160" t="s">
        <v>3829</v>
      </c>
      <c r="I910" s="2161"/>
      <c r="J910" s="2162"/>
      <c r="K910" s="2163" t="str">
        <f t="shared" ref="K910:P910" si="344">IF(OR(K896=0,K907=0),"",K896/K907)</f>
        <v/>
      </c>
      <c r="L910" s="2163" t="str">
        <f t="shared" si="344"/>
        <v/>
      </c>
      <c r="M910" s="2163" t="str">
        <f t="shared" si="344"/>
        <v/>
      </c>
      <c r="N910" s="2163" t="str">
        <f t="shared" si="344"/>
        <v/>
      </c>
      <c r="O910" s="2163" t="str">
        <f t="shared" si="344"/>
        <v/>
      </c>
      <c r="P910" s="2163" t="str">
        <f t="shared" si="344"/>
        <v/>
      </c>
      <c r="Q910" s="2122" t="s">
        <v>4275</v>
      </c>
      <c r="S910" s="2044"/>
      <c r="T910" s="2044"/>
      <c r="U910" s="2044"/>
      <c r="V910" s="2044"/>
      <c r="W910" s="2044"/>
    </row>
    <row r="911" spans="1:380">
      <c r="A911" s="1843"/>
      <c r="B911" s="1843"/>
      <c r="C911" s="2114"/>
      <c r="D911" s="1853"/>
      <c r="E911" s="1853"/>
      <c r="F911" s="1853"/>
      <c r="G911" s="1853"/>
      <c r="H911" s="2160" t="s">
        <v>7144</v>
      </c>
      <c r="I911" s="2161"/>
      <c r="J911" s="1818"/>
      <c r="K911" s="2164" t="str">
        <f>IF(OR(K896=0,P910="",K907=0),"",P910*K907)</f>
        <v/>
      </c>
      <c r="L911" s="2164" t="str">
        <f>IF(OR(L896=0,P910="",L907=0),"",P910*L907)</f>
        <v/>
      </c>
      <c r="M911" s="2164" t="str">
        <f>IF(OR(M896=0,P910="",M907=0),"",P910*M907)</f>
        <v/>
      </c>
      <c r="N911" s="2164" t="str">
        <f>IF(OR(N896=0,P910="",N907=0),"",P910*N907)</f>
        <v/>
      </c>
      <c r="O911" s="2164" t="str">
        <f>IF(OR(O896=0,P910="",O907=0),"",P910*O907)</f>
        <v/>
      </c>
      <c r="P911" s="2164" t="str">
        <f>IF(OR(P910="",P907=0),"",P910*P907)</f>
        <v/>
      </c>
      <c r="S911" s="2044"/>
      <c r="T911" s="2044"/>
      <c r="U911" s="2044"/>
      <c r="V911" s="2044"/>
      <c r="W911" s="2044"/>
    </row>
    <row r="912" spans="1:380">
      <c r="C912" s="2114"/>
      <c r="D912" s="1853"/>
      <c r="E912" s="1853"/>
      <c r="F912" s="1853"/>
      <c r="G912" s="2165"/>
      <c r="H912" s="2160" t="s">
        <v>7145</v>
      </c>
      <c r="I912" s="2161"/>
      <c r="J912" s="1818"/>
      <c r="K912" s="2164" t="str">
        <f t="shared" ref="K912:P912" si="345">IF(OR(K911="",K896=0),"", K896-K911)</f>
        <v/>
      </c>
      <c r="L912" s="2164" t="str">
        <f t="shared" si="345"/>
        <v/>
      </c>
      <c r="M912" s="2164" t="str">
        <f t="shared" si="345"/>
        <v/>
      </c>
      <c r="N912" s="2164" t="str">
        <f t="shared" si="345"/>
        <v/>
      </c>
      <c r="O912" s="2164" t="str">
        <f t="shared" si="345"/>
        <v/>
      </c>
      <c r="P912" s="2164" t="str">
        <f t="shared" si="345"/>
        <v/>
      </c>
      <c r="S912" s="2044"/>
      <c r="T912" s="2044"/>
      <c r="U912" s="2044"/>
      <c r="V912" s="2044"/>
      <c r="W912" s="2044"/>
    </row>
    <row r="913" spans="3:23" ht="12.75" customHeight="1">
      <c r="C913" s="2114"/>
      <c r="D913" s="2114" t="s">
        <v>7146</v>
      </c>
      <c r="E913" s="2114"/>
      <c r="F913" s="2114"/>
      <c r="G913" s="1853"/>
      <c r="H913" s="2160" t="s">
        <v>3830</v>
      </c>
      <c r="I913" s="2161"/>
      <c r="J913" s="1818"/>
      <c r="K913" s="2163" t="str">
        <f t="shared" ref="K913:P913" si="346">IF(OR(K897=0,K907=0),"",K897/K907)</f>
        <v/>
      </c>
      <c r="L913" s="2163" t="str">
        <f t="shared" si="346"/>
        <v/>
      </c>
      <c r="M913" s="2163" t="str">
        <f t="shared" si="346"/>
        <v/>
      </c>
      <c r="N913" s="2163" t="str">
        <f t="shared" si="346"/>
        <v/>
      </c>
      <c r="O913" s="2163" t="str">
        <f t="shared" si="346"/>
        <v/>
      </c>
      <c r="P913" s="2163" t="str">
        <f t="shared" si="346"/>
        <v/>
      </c>
      <c r="S913" s="2044"/>
      <c r="T913" s="2044"/>
      <c r="U913" s="2044"/>
      <c r="V913" s="2044"/>
      <c r="W913" s="2044"/>
    </row>
    <row r="914" spans="3:23">
      <c r="C914" s="2114"/>
      <c r="D914" s="2114"/>
      <c r="E914" s="2114"/>
      <c r="F914" s="2114"/>
      <c r="G914" s="1853"/>
      <c r="H914" s="2160" t="s">
        <v>7144</v>
      </c>
      <c r="I914" s="2161"/>
      <c r="J914" s="1818"/>
      <c r="K914" s="2164" t="str">
        <f>IF(OR(K897=0,P913="",K907=0),"",P913*K907)</f>
        <v/>
      </c>
      <c r="L914" s="2164" t="str">
        <f>IF(OR(L897=0,P913="",L907=0),"",P913*L907)</f>
        <v/>
      </c>
      <c r="M914" s="2164" t="str">
        <f>IF(OR(M897=0,P913="",M907=0),"",P913*M907)</f>
        <v/>
      </c>
      <c r="N914" s="2164" t="str">
        <f>IF(OR(N897=0,P913="",N907=0),"",P913*N907)</f>
        <v/>
      </c>
      <c r="O914" s="2164" t="str">
        <f>IF(OR(O897=0,P913="",O907=0),"",P913*O907)</f>
        <v/>
      </c>
      <c r="P914" s="2164" t="str">
        <f>IF(OR(P913="",P907=0),"",P913*P907)</f>
        <v/>
      </c>
      <c r="S914" s="2044"/>
      <c r="T914" s="2044"/>
      <c r="U914" s="2044"/>
      <c r="V914" s="2044"/>
      <c r="W914" s="2044"/>
    </row>
    <row r="915" spans="3:23">
      <c r="C915" s="2114"/>
      <c r="D915" s="2114"/>
      <c r="E915" s="2114"/>
      <c r="F915" s="2114"/>
      <c r="G915" s="2165"/>
      <c r="H915" s="2160" t="s">
        <v>7145</v>
      </c>
      <c r="I915" s="2161"/>
      <c r="J915" s="1818"/>
      <c r="K915" s="2164" t="str">
        <f t="shared" ref="K915:P915" si="347">IF(OR(K914="",K897=0),"", K897-K914)</f>
        <v/>
      </c>
      <c r="L915" s="2164" t="str">
        <f t="shared" si="347"/>
        <v/>
      </c>
      <c r="M915" s="2164" t="str">
        <f t="shared" si="347"/>
        <v/>
      </c>
      <c r="N915" s="2164" t="str">
        <f t="shared" si="347"/>
        <v/>
      </c>
      <c r="O915" s="2164" t="str">
        <f t="shared" si="347"/>
        <v/>
      </c>
      <c r="P915" s="2164" t="str">
        <f t="shared" si="347"/>
        <v/>
      </c>
      <c r="S915" s="2044"/>
      <c r="T915" s="2044"/>
      <c r="U915" s="2044"/>
      <c r="V915" s="2044"/>
      <c r="W915" s="2044"/>
    </row>
    <row r="916" spans="3:23">
      <c r="C916" s="1925" t="s">
        <v>4273</v>
      </c>
      <c r="D916" s="2114"/>
      <c r="E916" s="2114"/>
      <c r="F916" s="2114"/>
      <c r="G916" s="1853"/>
      <c r="H916" s="2160" t="s">
        <v>1107</v>
      </c>
      <c r="I916" s="2161"/>
      <c r="J916" s="1818"/>
      <c r="K916" s="2163" t="str">
        <f t="shared" ref="K916:P916" si="348">IF(OR(K898=0,K907=0),"",K898/K907)</f>
        <v/>
      </c>
      <c r="L916" s="2163">
        <f t="shared" si="348"/>
        <v>0.8125</v>
      </c>
      <c r="M916" s="2163">
        <f t="shared" si="348"/>
        <v>0.94444444444444442</v>
      </c>
      <c r="N916" s="2163">
        <f t="shared" si="348"/>
        <v>0.85</v>
      </c>
      <c r="O916" s="2163" t="str">
        <f t="shared" si="348"/>
        <v/>
      </c>
      <c r="P916" s="2163">
        <f t="shared" si="348"/>
        <v>0.88888888888888884</v>
      </c>
      <c r="S916" s="2044"/>
      <c r="T916" s="2044"/>
      <c r="U916" s="2044"/>
      <c r="V916" s="2044"/>
      <c r="W916" s="2044"/>
    </row>
    <row r="917" spans="3:23" ht="15.75" customHeight="1">
      <c r="D917" s="2114"/>
      <c r="E917" s="2114"/>
      <c r="F917" s="2114"/>
      <c r="G917" s="1853"/>
      <c r="H917" s="2160" t="s">
        <v>7144</v>
      </c>
      <c r="I917" s="2161"/>
      <c r="J917" s="1818"/>
      <c r="K917" s="2164" t="str">
        <f>IF(OR(K898=0,P916="",K907=0),"",P916*K907)</f>
        <v/>
      </c>
      <c r="L917" s="2164">
        <f>IF(OR(L898=0,P916="",L907=0),"",P916*L907)</f>
        <v>14.222222222222221</v>
      </c>
      <c r="M917" s="2164">
        <f>IF(OR(M898=0,P916="",M907=0),"",P916*M907)</f>
        <v>32</v>
      </c>
      <c r="N917" s="2164">
        <f>IF(OR(N898=0,P916="",N907=0),"",P916*N907)</f>
        <v>17.777777777777779</v>
      </c>
      <c r="O917" s="2164" t="str">
        <f>IF(OR(O898=0,P916="",O907=0),"",P916*O907)</f>
        <v/>
      </c>
      <c r="P917" s="2164">
        <f>IF(OR(P916="",P907=0),"",P916*P907)</f>
        <v>64</v>
      </c>
      <c r="S917" s="2044"/>
      <c r="T917" s="2044"/>
      <c r="U917" s="2044"/>
      <c r="V917" s="2044"/>
      <c r="W917" s="2044"/>
    </row>
    <row r="918" spans="3:23" ht="15.75" customHeight="1">
      <c r="D918" s="2114"/>
      <c r="E918" s="2114"/>
      <c r="F918" s="2114"/>
      <c r="G918" s="2165"/>
      <c r="H918" s="2160" t="s">
        <v>7145</v>
      </c>
      <c r="I918" s="2161"/>
      <c r="J918" s="1818"/>
      <c r="K918" s="2164" t="str">
        <f t="shared" ref="K918:P918" si="349">IF(OR(K917="",K898=0),"", K898-K917)</f>
        <v/>
      </c>
      <c r="L918" s="2164">
        <f t="shared" si="349"/>
        <v>-1.2222222222222214</v>
      </c>
      <c r="M918" s="2164">
        <f t="shared" si="349"/>
        <v>2</v>
      </c>
      <c r="N918" s="2164">
        <f t="shared" si="349"/>
        <v>-0.77777777777777857</v>
      </c>
      <c r="O918" s="2164" t="str">
        <f t="shared" si="349"/>
        <v/>
      </c>
      <c r="P918" s="2164">
        <f t="shared" si="349"/>
        <v>0</v>
      </c>
    </row>
    <row r="919" spans="3:23">
      <c r="C919" s="1925" t="s">
        <v>4273</v>
      </c>
      <c r="F919" s="1853"/>
      <c r="G919" s="1853"/>
      <c r="H919" s="2160" t="s">
        <v>111</v>
      </c>
      <c r="I919" s="2161"/>
      <c r="J919" s="1818"/>
      <c r="K919" s="2163" t="str">
        <f t="shared" ref="K919:P919" si="350">IF(OR(K899=0,K907=0),"",K899/K907)</f>
        <v/>
      </c>
      <c r="L919" s="2163" t="str">
        <f t="shared" si="350"/>
        <v/>
      </c>
      <c r="M919" s="2163" t="str">
        <f t="shared" si="350"/>
        <v/>
      </c>
      <c r="N919" s="2163" t="str">
        <f t="shared" si="350"/>
        <v/>
      </c>
      <c r="O919" s="2163" t="str">
        <f t="shared" si="350"/>
        <v/>
      </c>
      <c r="P919" s="2163" t="str">
        <f t="shared" si="350"/>
        <v/>
      </c>
    </row>
    <row r="920" spans="3:23">
      <c r="F920" s="1853"/>
      <c r="G920" s="1853"/>
      <c r="H920" s="2160" t="s">
        <v>7144</v>
      </c>
      <c r="I920" s="2161"/>
      <c r="J920" s="1818"/>
      <c r="K920" s="2164" t="str">
        <f>IF(OR(K899=0,P919="",K907=0),"",P919*K907)</f>
        <v/>
      </c>
      <c r="L920" s="2164" t="str">
        <f>IF(OR(L899=0,P919="",L907=0),"",P919*L907)</f>
        <v/>
      </c>
      <c r="M920" s="2164" t="str">
        <f>IF(OR(M899=0,P919="",M907=0),"",P919*M907)</f>
        <v/>
      </c>
      <c r="N920" s="2164" t="str">
        <f>IF(OR(N899=0,P919="",N907=0),"",P919*N907)</f>
        <v/>
      </c>
      <c r="O920" s="2164" t="str">
        <f>IF(OR(O899=0,P919="",O907=0),"",P919*O907)</f>
        <v/>
      </c>
      <c r="P920" s="2164" t="str">
        <f>IF(OR(P919="",P907=0),"",P919*P907)</f>
        <v/>
      </c>
    </row>
    <row r="921" spans="3:23">
      <c r="F921" s="1853"/>
      <c r="G921" s="2165"/>
      <c r="H921" s="2160" t="s">
        <v>7145</v>
      </c>
      <c r="I921" s="2161"/>
      <c r="J921" s="1818"/>
      <c r="K921" s="2164" t="str">
        <f t="shared" ref="K921:P921" si="351">IF(OR(K920="",K899=0),"", K899-K920)</f>
        <v/>
      </c>
      <c r="L921" s="2164" t="str">
        <f t="shared" si="351"/>
        <v/>
      </c>
      <c r="M921" s="2164" t="str">
        <f t="shared" si="351"/>
        <v/>
      </c>
      <c r="N921" s="2164" t="str">
        <f t="shared" si="351"/>
        <v/>
      </c>
      <c r="O921" s="2164" t="str">
        <f t="shared" si="351"/>
        <v/>
      </c>
      <c r="P921" s="2164" t="str">
        <f t="shared" si="351"/>
        <v/>
      </c>
    </row>
    <row r="922" spans="3:23">
      <c r="C922" s="1925" t="s">
        <v>4273</v>
      </c>
      <c r="F922" s="1853"/>
      <c r="G922" s="1853"/>
      <c r="H922" s="2160" t="s">
        <v>3831</v>
      </c>
      <c r="I922" s="2161"/>
      <c r="J922" s="1818"/>
      <c r="K922" s="2163" t="str">
        <f t="shared" ref="K922:P922" si="352">IF(OR(K900=0,K907=0),"",K900/K907)</f>
        <v/>
      </c>
      <c r="L922" s="2163" t="str">
        <f t="shared" si="352"/>
        <v/>
      </c>
      <c r="M922" s="2163" t="str">
        <f t="shared" si="352"/>
        <v/>
      </c>
      <c r="N922" s="2163" t="str">
        <f t="shared" si="352"/>
        <v/>
      </c>
      <c r="O922" s="2163" t="str">
        <f t="shared" si="352"/>
        <v/>
      </c>
      <c r="P922" s="2163" t="str">
        <f t="shared" si="352"/>
        <v/>
      </c>
    </row>
    <row r="923" spans="3:23">
      <c r="D923" s="1853"/>
      <c r="E923" s="1853"/>
      <c r="F923" s="1853"/>
      <c r="G923" s="1853"/>
      <c r="H923" s="2160" t="s">
        <v>7144</v>
      </c>
      <c r="I923" s="2161"/>
      <c r="J923" s="1818"/>
      <c r="K923" s="2164" t="str">
        <f>IF(OR(K900=0,P922="",K907=0),"",P922*K907)</f>
        <v/>
      </c>
      <c r="L923" s="2164" t="str">
        <f>IF(OR(L900=0,P922="",L907=0),"",P922*L907)</f>
        <v/>
      </c>
      <c r="M923" s="2164" t="str">
        <f>IF(OR(M900=0,P922="",M907=0),"",P922*M907)</f>
        <v/>
      </c>
      <c r="N923" s="2164" t="str">
        <f>IF(OR(N900=0,P922="",N907=0),"",P922*N907)</f>
        <v/>
      </c>
      <c r="O923" s="2164" t="str">
        <f>IF(OR(O900=0,P922="",O907=0),"",P922*O907)</f>
        <v/>
      </c>
      <c r="P923" s="2164" t="str">
        <f>IF(OR(P922="",P907=0),"",P922*P907)</f>
        <v/>
      </c>
    </row>
    <row r="924" spans="3:23">
      <c r="D924" s="1853"/>
      <c r="E924" s="1853"/>
      <c r="F924" s="1853"/>
      <c r="G924" s="2165"/>
      <c r="H924" s="2160" t="s">
        <v>7145</v>
      </c>
      <c r="I924" s="2161"/>
      <c r="J924" s="1818"/>
      <c r="K924" s="2164" t="str">
        <f t="shared" ref="K924:P924" si="353">IF(OR(K923="",K900=0),"", K900-K923)</f>
        <v/>
      </c>
      <c r="L924" s="2164" t="str">
        <f t="shared" si="353"/>
        <v/>
      </c>
      <c r="M924" s="2164" t="str">
        <f t="shared" si="353"/>
        <v/>
      </c>
      <c r="N924" s="2164" t="str">
        <f t="shared" si="353"/>
        <v/>
      </c>
      <c r="O924" s="2164" t="str">
        <f t="shared" si="353"/>
        <v/>
      </c>
      <c r="P924" s="2164" t="str">
        <f t="shared" si="353"/>
        <v/>
      </c>
    </row>
    <row r="925" spans="3:23">
      <c r="C925" s="1925" t="s">
        <v>4273</v>
      </c>
      <c r="D925" s="1853"/>
      <c r="E925" s="1853"/>
      <c r="F925" s="1853"/>
      <c r="G925" s="1853"/>
      <c r="H925" s="2160" t="s">
        <v>3832</v>
      </c>
      <c r="I925" s="2161"/>
      <c r="J925" s="1818"/>
      <c r="K925" s="2163" t="str">
        <f t="shared" ref="K925:P925" si="354">IF(OR(K901=0,K907=0),"",K901/K907)</f>
        <v/>
      </c>
      <c r="L925" s="2163" t="str">
        <f t="shared" si="354"/>
        <v/>
      </c>
      <c r="M925" s="2163" t="str">
        <f t="shared" si="354"/>
        <v/>
      </c>
      <c r="N925" s="2163" t="str">
        <f t="shared" si="354"/>
        <v/>
      </c>
      <c r="O925" s="2163" t="str">
        <f t="shared" si="354"/>
        <v/>
      </c>
      <c r="P925" s="2163" t="str">
        <f t="shared" si="354"/>
        <v/>
      </c>
    </row>
    <row r="926" spans="3:23">
      <c r="D926" s="1853"/>
      <c r="E926" s="1853"/>
      <c r="F926" s="1853"/>
      <c r="G926" s="1853"/>
      <c r="H926" s="2160" t="s">
        <v>7144</v>
      </c>
      <c r="I926" s="2161"/>
      <c r="J926" s="1818"/>
      <c r="K926" s="2164" t="str">
        <f>IF(OR(K901=0,P925="",K907=0),"",P925*K907)</f>
        <v/>
      </c>
      <c r="L926" s="2164" t="str">
        <f>IF(OR(L901=0,P925="",L907=0),"",P925*L907)</f>
        <v/>
      </c>
      <c r="M926" s="2164" t="str">
        <f>IF(OR(M901=0,P925="",M907=0),"",P925*M907)</f>
        <v/>
      </c>
      <c r="N926" s="2164" t="str">
        <f>IF(OR(N901=0,P925="",N907=0),"",P925*N907)</f>
        <v/>
      </c>
      <c r="O926" s="2164" t="str">
        <f>IF(OR(O901=0,P925="",O907=0),"",P925*O907)</f>
        <v/>
      </c>
      <c r="P926" s="2164" t="str">
        <f>IF(OR(P925="",P907=0),"",P925*P907)</f>
        <v/>
      </c>
    </row>
    <row r="927" spans="3:23">
      <c r="D927" s="1853"/>
      <c r="E927" s="1853"/>
      <c r="F927" s="1853"/>
      <c r="G927" s="2165"/>
      <c r="H927" s="2160" t="s">
        <v>7145</v>
      </c>
      <c r="I927" s="2161"/>
      <c r="J927" s="1818"/>
      <c r="K927" s="2164" t="str">
        <f t="shared" ref="K927:P927" si="355">IF(OR(K926="",K901=0),"", K901-K926)</f>
        <v/>
      </c>
      <c r="L927" s="2164" t="str">
        <f t="shared" si="355"/>
        <v/>
      </c>
      <c r="M927" s="2164" t="str">
        <f t="shared" si="355"/>
        <v/>
      </c>
      <c r="N927" s="2164" t="str">
        <f t="shared" si="355"/>
        <v/>
      </c>
      <c r="O927" s="2164" t="str">
        <f t="shared" si="355"/>
        <v/>
      </c>
      <c r="P927" s="2164" t="str">
        <f t="shared" si="355"/>
        <v/>
      </c>
    </row>
    <row r="928" spans="3:23">
      <c r="C928" s="1925" t="s">
        <v>4273</v>
      </c>
      <c r="D928" s="1853"/>
      <c r="E928" s="1853"/>
      <c r="F928" s="1853"/>
      <c r="G928" s="1853"/>
      <c r="H928" s="2160" t="s">
        <v>3833</v>
      </c>
      <c r="I928" s="2161"/>
      <c r="J928" s="1818"/>
      <c r="K928" s="2163" t="str">
        <f t="shared" ref="K928:P928" si="356">IF(OR(K902=0,K907=0),"",K902/K907)</f>
        <v/>
      </c>
      <c r="L928" s="2163" t="str">
        <f t="shared" si="356"/>
        <v/>
      </c>
      <c r="M928" s="2163" t="str">
        <f t="shared" si="356"/>
        <v/>
      </c>
      <c r="N928" s="2163" t="str">
        <f t="shared" si="356"/>
        <v/>
      </c>
      <c r="O928" s="2163" t="str">
        <f t="shared" si="356"/>
        <v/>
      </c>
      <c r="P928" s="2163" t="str">
        <f t="shared" si="356"/>
        <v/>
      </c>
    </row>
    <row r="929" spans="1:380">
      <c r="F929" s="1853"/>
      <c r="G929" s="1853"/>
      <c r="H929" s="2160" t="s">
        <v>7144</v>
      </c>
      <c r="I929" s="2161"/>
      <c r="J929" s="1818"/>
      <c r="K929" s="2164" t="str">
        <f>IF(OR(K902=0,P928="",K907=0),"",P928*K907)</f>
        <v/>
      </c>
      <c r="L929" s="2164" t="str">
        <f>IF(OR(L902=0,P928="",L907=0),"",P928*L907)</f>
        <v/>
      </c>
      <c r="M929" s="2164" t="str">
        <f>IF(OR(M902=0,P928="",M907=0),"",P928*M907)</f>
        <v/>
      </c>
      <c r="N929" s="2164" t="str">
        <f>IF(OR(N902=0,P928="",N907=0),"",P928*N907)</f>
        <v/>
      </c>
      <c r="O929" s="2164" t="str">
        <f>IF(OR(O902=0,P928="",O907=0),"",P928*O907)</f>
        <v/>
      </c>
      <c r="P929" s="2164" t="str">
        <f>IF(OR(P928="",P907=0),"",P928*P907)</f>
        <v/>
      </c>
    </row>
    <row r="930" spans="1:380">
      <c r="F930" s="1853"/>
      <c r="G930" s="2165"/>
      <c r="H930" s="2160" t="s">
        <v>7145</v>
      </c>
      <c r="I930" s="2161"/>
      <c r="J930" s="1818"/>
      <c r="K930" s="2164" t="str">
        <f t="shared" ref="K930:P930" si="357">IF(OR(K929="",K902=0),"", K902-K929)</f>
        <v/>
      </c>
      <c r="L930" s="2164" t="str">
        <f t="shared" si="357"/>
        <v/>
      </c>
      <c r="M930" s="2164" t="str">
        <f t="shared" si="357"/>
        <v/>
      </c>
      <c r="N930" s="2164" t="str">
        <f t="shared" si="357"/>
        <v/>
      </c>
      <c r="O930" s="2164" t="str">
        <f t="shared" si="357"/>
        <v/>
      </c>
      <c r="P930" s="2164" t="str">
        <f t="shared" si="357"/>
        <v/>
      </c>
    </row>
    <row r="931" spans="1:380" s="1853" customFormat="1" ht="12" customHeight="1">
      <c r="A931" s="1843"/>
      <c r="B931" s="1843"/>
      <c r="C931" s="1818"/>
      <c r="D931" s="1818"/>
      <c r="E931" s="1818"/>
      <c r="F931" s="1818"/>
      <c r="H931" s="1719"/>
      <c r="I931" s="435"/>
      <c r="K931" s="2166"/>
      <c r="L931" s="2166"/>
      <c r="M931" s="2166"/>
      <c r="N931" s="2166"/>
      <c r="O931" s="2166"/>
      <c r="P931" s="2166"/>
      <c r="U931" s="1851"/>
      <c r="X931" s="1818"/>
      <c r="AA931" s="1818"/>
      <c r="AB931" s="435"/>
      <c r="AC931" s="1818"/>
      <c r="AF931" s="1818"/>
      <c r="AG931" s="435"/>
      <c r="AH931" s="1818"/>
      <c r="AK931" s="1818"/>
      <c r="AL931" s="435"/>
      <c r="AM931" s="1818"/>
      <c r="AP931" s="1818"/>
      <c r="AQ931" s="435"/>
      <c r="AR931" s="1818"/>
      <c r="AS931" s="1818"/>
      <c r="AT931" s="1818"/>
      <c r="AU931" s="1818"/>
      <c r="AV931" s="1818"/>
      <c r="AW931" s="1818"/>
      <c r="AY931" s="1818"/>
      <c r="BB931" s="1818"/>
      <c r="BD931" s="1818"/>
      <c r="JW931" s="2052"/>
      <c r="KB931" s="2052"/>
      <c r="KG931" s="2052"/>
      <c r="KL931" s="2052"/>
      <c r="KM931" s="2052"/>
      <c r="KN931" s="2052"/>
      <c r="KO931" s="2052"/>
      <c r="KP931" s="2052"/>
      <c r="KQ931" s="2052"/>
      <c r="KR931" s="2052"/>
      <c r="KS931" s="2052"/>
      <c r="KT931" s="2052"/>
      <c r="KU931" s="2052"/>
      <c r="KV931" s="2052"/>
      <c r="KW931" s="2052"/>
      <c r="KX931" s="2052"/>
      <c r="KY931" s="2052"/>
      <c r="KZ931" s="2052"/>
      <c r="LA931" s="2052"/>
      <c r="LB931" s="2052"/>
      <c r="LC931" s="2052"/>
      <c r="LD931" s="2052"/>
      <c r="LE931" s="2052"/>
      <c r="LF931" s="2052"/>
      <c r="LG931" s="2052"/>
      <c r="NP931" s="1925"/>
    </row>
    <row r="932" spans="1:380" s="1853" customFormat="1" ht="9" customHeight="1">
      <c r="A932" s="1843"/>
      <c r="B932" s="1843"/>
      <c r="C932" s="1818"/>
      <c r="D932" s="1818"/>
      <c r="E932" s="1818"/>
      <c r="F932" s="1818"/>
      <c r="H932" s="1719"/>
      <c r="I932" s="435"/>
      <c r="K932" s="2166"/>
      <c r="L932" s="2166"/>
      <c r="M932" s="2166"/>
      <c r="N932" s="2166"/>
      <c r="O932" s="2166"/>
      <c r="P932" s="2166"/>
      <c r="S932" s="1876" t="str">
        <f>C933</f>
        <v>PBRA-Assisted</v>
      </c>
      <c r="U932" s="1851"/>
      <c r="X932" s="1818"/>
      <c r="AA932" s="1818"/>
      <c r="AB932" s="435"/>
      <c r="AC932" s="1818"/>
      <c r="AF932" s="1818"/>
      <c r="AG932" s="435"/>
      <c r="AH932" s="1818"/>
      <c r="AK932" s="1818"/>
      <c r="AL932" s="435"/>
      <c r="AM932" s="1818"/>
      <c r="AP932" s="1818"/>
      <c r="AQ932" s="435"/>
      <c r="AR932" s="1818"/>
      <c r="AS932" s="1818"/>
      <c r="AT932" s="1818"/>
      <c r="AU932" s="1818"/>
      <c r="AV932" s="1818"/>
      <c r="AW932" s="1818"/>
      <c r="AY932" s="1818"/>
      <c r="BB932" s="1818"/>
      <c r="BD932" s="1818"/>
      <c r="JW932" s="2052"/>
      <c r="KB932" s="2052"/>
      <c r="KG932" s="2052"/>
      <c r="KL932" s="2052"/>
      <c r="KM932" s="2052"/>
      <c r="KN932" s="2052"/>
      <c r="KO932" s="2052"/>
      <c r="KP932" s="2052"/>
      <c r="KQ932" s="2052"/>
      <c r="KR932" s="2052"/>
      <c r="KS932" s="2052"/>
      <c r="KT932" s="2052"/>
      <c r="KU932" s="2052"/>
      <c r="KV932" s="2052"/>
      <c r="KW932" s="2052"/>
      <c r="KX932" s="2052"/>
      <c r="KY932" s="2052"/>
      <c r="KZ932" s="2052"/>
      <c r="LA932" s="2052"/>
      <c r="LB932" s="2052"/>
      <c r="LC932" s="2052"/>
      <c r="LD932" s="2052"/>
      <c r="LE932" s="2052"/>
      <c r="LF932" s="2052"/>
      <c r="LG932" s="2052"/>
      <c r="NP932" s="1925"/>
    </row>
    <row r="933" spans="1:380" s="1853" customFormat="1" ht="15" customHeight="1">
      <c r="A933" s="1843"/>
      <c r="B933" s="1843"/>
      <c r="C933" s="1818" t="s">
        <v>899</v>
      </c>
      <c r="D933" s="1818"/>
      <c r="E933" s="1719"/>
      <c r="F933" s="1818"/>
      <c r="H933" s="1719" t="s">
        <v>3829</v>
      </c>
      <c r="I933" s="435"/>
      <c r="K933" s="2167">
        <f>CP889</f>
        <v>0</v>
      </c>
      <c r="L933" s="2167">
        <f>CQ889</f>
        <v>0</v>
      </c>
      <c r="M933" s="2167">
        <f>CR889</f>
        <v>0</v>
      </c>
      <c r="N933" s="2167">
        <f>CS889</f>
        <v>0</v>
      </c>
      <c r="O933" s="2167">
        <f>CT889</f>
        <v>0</v>
      </c>
      <c r="P933" s="2153">
        <f t="shared" ref="P933:P940" si="358">SUM(K933:O933)</f>
        <v>0</v>
      </c>
      <c r="S933" s="2044"/>
      <c r="T933" s="2044"/>
      <c r="U933" s="2044"/>
      <c r="V933" s="2044"/>
      <c r="W933" s="2044"/>
      <c r="X933" s="1818"/>
      <c r="AA933" s="1818"/>
      <c r="AB933" s="435"/>
      <c r="AC933" s="1818"/>
      <c r="AF933" s="1818"/>
      <c r="AG933" s="435"/>
      <c r="AH933" s="1818"/>
      <c r="AK933" s="1818"/>
      <c r="AL933" s="435"/>
      <c r="AM933" s="1818"/>
      <c r="AP933" s="1818"/>
      <c r="AQ933" s="435"/>
      <c r="AR933" s="436"/>
      <c r="AS933" s="436"/>
      <c r="AT933" s="436"/>
      <c r="AU933" s="436"/>
      <c r="AV933" s="436"/>
      <c r="AW933" s="436"/>
      <c r="AX933" s="435"/>
      <c r="AY933" s="1818"/>
      <c r="BB933" s="436"/>
      <c r="BC933" s="435"/>
      <c r="BD933" s="1818"/>
      <c r="JW933" s="2052"/>
      <c r="KB933" s="2052"/>
      <c r="KG933" s="2052"/>
      <c r="KL933" s="2052"/>
      <c r="KM933" s="2052"/>
      <c r="KN933" s="2052"/>
      <c r="KO933" s="2052"/>
      <c r="KP933" s="2052"/>
      <c r="KQ933" s="2052"/>
      <c r="KR933" s="2052"/>
      <c r="KS933" s="2052"/>
      <c r="KT933" s="2052"/>
      <c r="KU933" s="2052"/>
      <c r="KV933" s="2052"/>
      <c r="KW933" s="2052"/>
      <c r="KX933" s="2052"/>
      <c r="KY933" s="2052"/>
      <c r="KZ933" s="2052"/>
      <c r="LA933" s="2052"/>
      <c r="LB933" s="2052"/>
      <c r="LC933" s="2052"/>
      <c r="LD933" s="2052"/>
      <c r="LE933" s="2052"/>
      <c r="LF933" s="2052"/>
      <c r="LG933" s="2052"/>
      <c r="NP933" s="1925"/>
    </row>
    <row r="934" spans="1:380" s="1853" customFormat="1" ht="15" customHeight="1">
      <c r="A934" s="1843"/>
      <c r="B934" s="1843"/>
      <c r="C934" s="435" t="s">
        <v>2393</v>
      </c>
      <c r="D934" s="1818"/>
      <c r="E934" s="1719"/>
      <c r="F934" s="1818"/>
      <c r="H934" s="1719" t="s">
        <v>3830</v>
      </c>
      <c r="I934" s="435"/>
      <c r="K934" s="2153">
        <f>CK889</f>
        <v>0</v>
      </c>
      <c r="L934" s="2153">
        <f>CL889</f>
        <v>0</v>
      </c>
      <c r="M934" s="2153">
        <f>CM889</f>
        <v>0</v>
      </c>
      <c r="N934" s="2153">
        <f>CN889</f>
        <v>0</v>
      </c>
      <c r="O934" s="2153">
        <f>CO889</f>
        <v>0</v>
      </c>
      <c r="P934" s="2153">
        <f t="shared" si="358"/>
        <v>0</v>
      </c>
      <c r="S934" s="2044"/>
      <c r="T934" s="2044"/>
      <c r="U934" s="2044"/>
      <c r="V934" s="2044"/>
      <c r="W934" s="2044"/>
      <c r="X934" s="1818"/>
      <c r="AA934" s="1818"/>
      <c r="AB934" s="435"/>
      <c r="AC934" s="1818"/>
      <c r="AF934" s="1818"/>
      <c r="AG934" s="435"/>
      <c r="AH934" s="1818"/>
      <c r="AK934" s="1818"/>
      <c r="AL934" s="435"/>
      <c r="AM934" s="1818"/>
      <c r="AP934" s="1818"/>
      <c r="AQ934" s="435"/>
      <c r="AR934" s="436"/>
      <c r="AS934" s="436"/>
      <c r="AT934" s="436"/>
      <c r="AU934" s="436"/>
      <c r="AV934" s="436"/>
      <c r="AW934" s="436"/>
      <c r="AX934" s="435"/>
      <c r="AY934" s="1818"/>
      <c r="BB934" s="436"/>
      <c r="BC934" s="435"/>
      <c r="BD934" s="1818"/>
      <c r="JW934" s="2052"/>
      <c r="KB934" s="2052"/>
      <c r="KG934" s="2052"/>
      <c r="KL934" s="2052"/>
      <c r="KM934" s="2052"/>
      <c r="KN934" s="2052"/>
      <c r="KO934" s="2052"/>
      <c r="KP934" s="2052"/>
      <c r="KQ934" s="2052"/>
      <c r="KR934" s="2052"/>
      <c r="KS934" s="2052"/>
      <c r="KT934" s="2052"/>
      <c r="KU934" s="2052"/>
      <c r="KV934" s="2052"/>
      <c r="KW934" s="2052"/>
      <c r="KX934" s="2052"/>
      <c r="KY934" s="2052"/>
      <c r="KZ934" s="2052"/>
      <c r="LA934" s="2052"/>
      <c r="LB934" s="2052"/>
      <c r="LC934" s="2052"/>
      <c r="LD934" s="2052"/>
      <c r="LE934" s="2052"/>
      <c r="LF934" s="2052"/>
      <c r="LG934" s="2052"/>
      <c r="NP934" s="1925"/>
    </row>
    <row r="935" spans="1:380" s="1853" customFormat="1" ht="15" customHeight="1">
      <c r="A935" s="1843"/>
      <c r="B935" s="1843"/>
      <c r="C935" s="1818"/>
      <c r="D935" s="1818"/>
      <c r="E935" s="1719"/>
      <c r="F935" s="1818"/>
      <c r="H935" s="1719" t="s">
        <v>1107</v>
      </c>
      <c r="I935" s="435"/>
      <c r="K935" s="2153">
        <f>CF889</f>
        <v>0</v>
      </c>
      <c r="L935" s="2153">
        <f>CG889</f>
        <v>0</v>
      </c>
      <c r="M935" s="2153">
        <f>CH889</f>
        <v>25</v>
      </c>
      <c r="N935" s="2153">
        <f>CI889</f>
        <v>7</v>
      </c>
      <c r="O935" s="2153">
        <f>CJ889</f>
        <v>0</v>
      </c>
      <c r="P935" s="2153">
        <f t="shared" si="358"/>
        <v>32</v>
      </c>
      <c r="S935" s="2044"/>
      <c r="T935" s="2044"/>
      <c r="U935" s="2044"/>
      <c r="V935" s="2044"/>
      <c r="W935" s="2044"/>
      <c r="X935" s="1818"/>
      <c r="AA935" s="1818"/>
      <c r="AB935" s="435"/>
      <c r="AC935" s="1818"/>
      <c r="AF935" s="1818"/>
      <c r="AG935" s="435"/>
      <c r="AH935" s="1818"/>
      <c r="AK935" s="1818"/>
      <c r="AL935" s="435"/>
      <c r="AM935" s="1818"/>
      <c r="AP935" s="1818"/>
      <c r="AQ935" s="435"/>
      <c r="AR935" s="436"/>
      <c r="AS935" s="436"/>
      <c r="AT935" s="436"/>
      <c r="AU935" s="436"/>
      <c r="AV935" s="436"/>
      <c r="AW935" s="436"/>
      <c r="AX935" s="435"/>
      <c r="AY935" s="1818"/>
      <c r="BB935" s="436"/>
      <c r="BC935" s="435"/>
      <c r="BD935" s="1818"/>
      <c r="JW935" s="2052"/>
      <c r="KB935" s="2052"/>
      <c r="KG935" s="2052"/>
      <c r="KL935" s="2052"/>
      <c r="KM935" s="2052"/>
      <c r="KN935" s="2052"/>
      <c r="KO935" s="2052"/>
      <c r="KP935" s="2052"/>
      <c r="KQ935" s="2052"/>
      <c r="KR935" s="2052"/>
      <c r="KS935" s="2052"/>
      <c r="KT935" s="2052"/>
      <c r="KU935" s="2052"/>
      <c r="KV935" s="2052"/>
      <c r="KW935" s="2052"/>
      <c r="KX935" s="2052"/>
      <c r="KY935" s="2052"/>
      <c r="KZ935" s="2052"/>
      <c r="LA935" s="2052"/>
      <c r="LB935" s="2052"/>
      <c r="LC935" s="2052"/>
      <c r="LD935" s="2052"/>
      <c r="LE935" s="2052"/>
      <c r="LF935" s="2052"/>
      <c r="LG935" s="2052"/>
      <c r="NP935" s="1925"/>
    </row>
    <row r="936" spans="1:380" s="1853" customFormat="1" ht="15" customHeight="1">
      <c r="A936" s="1843"/>
      <c r="B936" s="1843"/>
      <c r="C936" s="1818"/>
      <c r="D936" s="1818"/>
      <c r="E936" s="1719"/>
      <c r="F936" s="1818"/>
      <c r="H936" s="1719" t="s">
        <v>111</v>
      </c>
      <c r="I936" s="435"/>
      <c r="K936" s="2153">
        <f>CA889</f>
        <v>0</v>
      </c>
      <c r="L936" s="2153">
        <f>CB889</f>
        <v>0</v>
      </c>
      <c r="M936" s="2153">
        <f>CC889</f>
        <v>0</v>
      </c>
      <c r="N936" s="2153">
        <f>CD889</f>
        <v>0</v>
      </c>
      <c r="O936" s="2153">
        <f>CE889</f>
        <v>0</v>
      </c>
      <c r="P936" s="2153">
        <f t="shared" si="358"/>
        <v>0</v>
      </c>
      <c r="S936" s="2044"/>
      <c r="T936" s="2044"/>
      <c r="U936" s="2044"/>
      <c r="V936" s="2044"/>
      <c r="W936" s="2044"/>
      <c r="X936" s="1818"/>
      <c r="AA936" s="1818"/>
      <c r="AB936" s="435"/>
      <c r="AC936" s="1818"/>
      <c r="AF936" s="1818"/>
      <c r="AG936" s="435"/>
      <c r="AH936" s="1818"/>
      <c r="AK936" s="1818"/>
      <c r="AL936" s="435"/>
      <c r="AM936" s="1818"/>
      <c r="AP936" s="1818"/>
      <c r="AQ936" s="435"/>
      <c r="AR936" s="436"/>
      <c r="AS936" s="436"/>
      <c r="AT936" s="436"/>
      <c r="AU936" s="436"/>
      <c r="AV936" s="436"/>
      <c r="AW936" s="436"/>
      <c r="AX936" s="435"/>
      <c r="AY936" s="1818"/>
      <c r="BB936" s="436"/>
      <c r="BC936" s="435"/>
      <c r="BD936" s="1818"/>
      <c r="JW936" s="2052"/>
      <c r="KB936" s="2052"/>
      <c r="KG936" s="2052"/>
      <c r="KL936" s="2052"/>
      <c r="KM936" s="2052"/>
      <c r="KN936" s="2052"/>
      <c r="KO936" s="2052"/>
      <c r="KP936" s="2052"/>
      <c r="KQ936" s="2052"/>
      <c r="KR936" s="2052"/>
      <c r="KS936" s="2052"/>
      <c r="KT936" s="2052"/>
      <c r="KU936" s="2052"/>
      <c r="KV936" s="2052"/>
      <c r="KW936" s="2052"/>
      <c r="KX936" s="2052"/>
      <c r="KY936" s="2052"/>
      <c r="KZ936" s="2052"/>
      <c r="LA936" s="2052"/>
      <c r="LB936" s="2052"/>
      <c r="LC936" s="2052"/>
      <c r="LD936" s="2052"/>
      <c r="LE936" s="2052"/>
      <c r="LF936" s="2052"/>
      <c r="LG936" s="2052"/>
      <c r="NP936" s="1925"/>
    </row>
    <row r="937" spans="1:380" s="1853" customFormat="1" ht="15" customHeight="1">
      <c r="A937" s="1843"/>
      <c r="B937" s="1843"/>
      <c r="C937" s="1818"/>
      <c r="D937" s="1818"/>
      <c r="E937" s="1719"/>
      <c r="F937" s="1818"/>
      <c r="H937" s="1719" t="s">
        <v>3831</v>
      </c>
      <c r="I937" s="435"/>
      <c r="K937" s="2153">
        <f>BV889</f>
        <v>0</v>
      </c>
      <c r="L937" s="2153">
        <f>BW889</f>
        <v>0</v>
      </c>
      <c r="M937" s="2153">
        <f>BX889</f>
        <v>0</v>
      </c>
      <c r="N937" s="2153">
        <f>BY889</f>
        <v>0</v>
      </c>
      <c r="O937" s="2153">
        <f>BZ889</f>
        <v>0</v>
      </c>
      <c r="P937" s="2153">
        <f t="shared" si="358"/>
        <v>0</v>
      </c>
      <c r="S937" s="2044"/>
      <c r="T937" s="2044"/>
      <c r="U937" s="2044"/>
      <c r="V937" s="2044"/>
      <c r="W937" s="2044"/>
      <c r="X937" s="1818"/>
      <c r="AA937" s="1818"/>
      <c r="AB937" s="435"/>
      <c r="AC937" s="1818"/>
      <c r="AF937" s="1818"/>
      <c r="AG937" s="435"/>
      <c r="AH937" s="1818"/>
      <c r="AK937" s="1818"/>
      <c r="AL937" s="435"/>
      <c r="AM937" s="1818"/>
      <c r="AP937" s="1818"/>
      <c r="AQ937" s="435"/>
      <c r="AR937" s="436"/>
      <c r="AS937" s="436"/>
      <c r="AT937" s="436"/>
      <c r="AU937" s="436"/>
      <c r="AV937" s="436"/>
      <c r="AW937" s="436"/>
      <c r="AX937" s="435"/>
      <c r="AY937" s="1818"/>
      <c r="BB937" s="436"/>
      <c r="BC937" s="435"/>
      <c r="BD937" s="1818"/>
      <c r="JW937" s="2052"/>
      <c r="KB937" s="2052"/>
      <c r="KG937" s="2052"/>
      <c r="KL937" s="2052"/>
      <c r="KM937" s="2052"/>
      <c r="KN937" s="2052"/>
      <c r="KO937" s="2052"/>
      <c r="KP937" s="2052"/>
      <c r="KQ937" s="2052"/>
      <c r="KR937" s="2052"/>
      <c r="KS937" s="2052"/>
      <c r="KT937" s="2052"/>
      <c r="KU937" s="2052"/>
      <c r="KV937" s="2052"/>
      <c r="KW937" s="2052"/>
      <c r="KX937" s="2052"/>
      <c r="KY937" s="2052"/>
      <c r="KZ937" s="2052"/>
      <c r="LA937" s="2052"/>
      <c r="LB937" s="2052"/>
      <c r="LC937" s="2052"/>
      <c r="LD937" s="2052"/>
      <c r="LE937" s="2052"/>
      <c r="LF937" s="2052"/>
      <c r="LG937" s="2052"/>
      <c r="NP937" s="1925"/>
    </row>
    <row r="938" spans="1:380" s="1853" customFormat="1" ht="15" customHeight="1">
      <c r="A938" s="1719"/>
      <c r="B938" s="1719"/>
      <c r="C938" s="1818"/>
      <c r="D938" s="1818"/>
      <c r="E938" s="1719"/>
      <c r="F938" s="1818"/>
      <c r="H938" s="1719" t="s">
        <v>3832</v>
      </c>
      <c r="I938" s="435"/>
      <c r="K938" s="2153">
        <f>BQ889</f>
        <v>0</v>
      </c>
      <c r="L938" s="2153">
        <f>BR889</f>
        <v>0</v>
      </c>
      <c r="M938" s="2153">
        <f>BS889</f>
        <v>0</v>
      </c>
      <c r="N938" s="2153">
        <f>BT889</f>
        <v>0</v>
      </c>
      <c r="O938" s="2153">
        <f>BU889</f>
        <v>0</v>
      </c>
      <c r="P938" s="2153">
        <f t="shared" si="358"/>
        <v>0</v>
      </c>
      <c r="S938" s="2044"/>
      <c r="T938" s="2044"/>
      <c r="U938" s="2044"/>
      <c r="V938" s="2044"/>
      <c r="W938" s="2044"/>
      <c r="X938" s="1818"/>
      <c r="AA938" s="1818"/>
      <c r="AB938" s="435"/>
      <c r="AC938" s="1818"/>
      <c r="AF938" s="1818"/>
      <c r="AG938" s="435"/>
      <c r="AH938" s="1818"/>
      <c r="AK938" s="1818"/>
      <c r="AL938" s="435"/>
      <c r="AM938" s="1818"/>
      <c r="AP938" s="1818"/>
      <c r="AQ938" s="435"/>
      <c r="AR938" s="436"/>
      <c r="AS938" s="436"/>
      <c r="AT938" s="436"/>
      <c r="AU938" s="436"/>
      <c r="AV938" s="436"/>
      <c r="AW938" s="436"/>
      <c r="AX938" s="435"/>
      <c r="AY938" s="1818"/>
      <c r="BB938" s="436"/>
      <c r="BC938" s="435"/>
      <c r="BD938" s="1818"/>
      <c r="JW938" s="2052"/>
      <c r="KB938" s="2052"/>
      <c r="KG938" s="2052"/>
      <c r="KL938" s="2052"/>
      <c r="KM938" s="2052"/>
      <c r="KN938" s="2052"/>
      <c r="KO938" s="2052"/>
      <c r="KP938" s="2052"/>
      <c r="KQ938" s="2052"/>
      <c r="KR938" s="2052"/>
      <c r="KS938" s="2052"/>
      <c r="KT938" s="2052"/>
      <c r="KU938" s="2052"/>
      <c r="KV938" s="2052"/>
      <c r="KW938" s="2052"/>
      <c r="KX938" s="2052"/>
      <c r="KY938" s="2052"/>
      <c r="KZ938" s="2052"/>
      <c r="LA938" s="2052"/>
      <c r="LB938" s="2052"/>
      <c r="LC938" s="2052"/>
      <c r="LD938" s="2052"/>
      <c r="LE938" s="2052"/>
      <c r="LF938" s="2052"/>
      <c r="LG938" s="2052"/>
      <c r="NP938" s="1925"/>
    </row>
    <row r="939" spans="1:380" s="1853" customFormat="1" ht="15" customHeight="1">
      <c r="A939" s="1719"/>
      <c r="B939" s="1719"/>
      <c r="D939" s="1818"/>
      <c r="E939" s="1719"/>
      <c r="F939" s="1818"/>
      <c r="H939" s="1719" t="s">
        <v>3833</v>
      </c>
      <c r="I939" s="435"/>
      <c r="K939" s="2167">
        <f>BL889</f>
        <v>0</v>
      </c>
      <c r="L939" s="2167">
        <f>BM889</f>
        <v>0</v>
      </c>
      <c r="M939" s="2167">
        <f>BN889</f>
        <v>0</v>
      </c>
      <c r="N939" s="2167">
        <f>BO889</f>
        <v>0</v>
      </c>
      <c r="O939" s="2167">
        <f>BP889</f>
        <v>0</v>
      </c>
      <c r="P939" s="2153">
        <f t="shared" si="358"/>
        <v>0</v>
      </c>
      <c r="S939" s="2044"/>
      <c r="T939" s="2044"/>
      <c r="U939" s="2044"/>
      <c r="V939" s="2044"/>
      <c r="W939" s="2044"/>
      <c r="X939" s="435"/>
      <c r="AA939" s="1818"/>
      <c r="AB939" s="435"/>
      <c r="AC939" s="435"/>
      <c r="AF939" s="1818"/>
      <c r="AG939" s="435"/>
      <c r="AH939" s="435"/>
      <c r="AK939" s="1818"/>
      <c r="AL939" s="435"/>
      <c r="AM939" s="435"/>
      <c r="AP939" s="1818"/>
      <c r="AQ939" s="435"/>
      <c r="AR939" s="436"/>
      <c r="AS939" s="436"/>
      <c r="AT939" s="436"/>
      <c r="AU939" s="436"/>
      <c r="AV939" s="436"/>
      <c r="AW939" s="436"/>
      <c r="AX939" s="435"/>
      <c r="AY939" s="1818"/>
      <c r="BB939" s="436"/>
      <c r="BC939" s="435"/>
      <c r="BD939" s="1818"/>
      <c r="JW939" s="2052"/>
      <c r="KB939" s="2052"/>
      <c r="KG939" s="2052"/>
      <c r="KL939" s="2052"/>
      <c r="KM939" s="2052"/>
      <c r="KN939" s="2052"/>
      <c r="KO939" s="2052"/>
      <c r="KP939" s="2052"/>
      <c r="KQ939" s="2052"/>
      <c r="KR939" s="2052"/>
      <c r="KS939" s="2052"/>
      <c r="KT939" s="2052"/>
      <c r="KU939" s="2052"/>
      <c r="KV939" s="2052"/>
      <c r="KW939" s="2052"/>
      <c r="KX939" s="2052"/>
      <c r="KY939" s="2052"/>
      <c r="KZ939" s="2052"/>
      <c r="LA939" s="2052"/>
      <c r="LB939" s="2052"/>
      <c r="LC939" s="2052"/>
      <c r="LD939" s="2052"/>
      <c r="LE939" s="2052"/>
      <c r="LF939" s="2052"/>
      <c r="LG939" s="2052"/>
      <c r="NP939" s="1925"/>
    </row>
    <row r="940" spans="1:380" s="1853" customFormat="1" ht="15" customHeight="1">
      <c r="A940" s="1719"/>
      <c r="B940" s="1719"/>
      <c r="C940" s="1818"/>
      <c r="D940" s="1818"/>
      <c r="E940" s="1719"/>
      <c r="F940" s="1818"/>
      <c r="H940" s="1719" t="s">
        <v>513</v>
      </c>
      <c r="I940" s="435"/>
      <c r="K940" s="2153">
        <f>SUM(K933:K939)</f>
        <v>0</v>
      </c>
      <c r="L940" s="2153">
        <f>SUM(L933:L939)</f>
        <v>0</v>
      </c>
      <c r="M940" s="2153">
        <f>SUM(M933:M939)</f>
        <v>25</v>
      </c>
      <c r="N940" s="2153">
        <f>SUM(N933:N939)</f>
        <v>7</v>
      </c>
      <c r="O940" s="2153">
        <f>SUM(O933:O939)</f>
        <v>0</v>
      </c>
      <c r="P940" s="2153">
        <f t="shared" si="358"/>
        <v>32</v>
      </c>
      <c r="S940" s="2044"/>
      <c r="T940" s="2044"/>
      <c r="U940" s="2044"/>
      <c r="V940" s="2044"/>
      <c r="W940" s="2044"/>
      <c r="X940" s="1818"/>
      <c r="AA940" s="1818"/>
      <c r="AB940" s="435"/>
      <c r="AC940" s="1818"/>
      <c r="AF940" s="1818"/>
      <c r="AG940" s="435"/>
      <c r="AH940" s="1818"/>
      <c r="AK940" s="1818"/>
      <c r="AL940" s="435"/>
      <c r="AM940" s="1818"/>
      <c r="AP940" s="1818"/>
      <c r="AQ940" s="435"/>
      <c r="AR940" s="436"/>
      <c r="AS940" s="436"/>
      <c r="AT940" s="436"/>
      <c r="AU940" s="436"/>
      <c r="AV940" s="436"/>
      <c r="AW940" s="436"/>
      <c r="AX940" s="435"/>
      <c r="AY940" s="1818"/>
      <c r="BB940" s="436"/>
      <c r="BC940" s="435"/>
      <c r="BD940" s="1818"/>
      <c r="JW940" s="2052"/>
      <c r="KB940" s="2052"/>
      <c r="KG940" s="2052"/>
      <c r="KL940" s="2052"/>
      <c r="KM940" s="2052"/>
      <c r="KN940" s="2052"/>
      <c r="KO940" s="2052"/>
      <c r="KP940" s="2052"/>
      <c r="KQ940" s="2052"/>
      <c r="KR940" s="2052"/>
      <c r="KS940" s="2052"/>
      <c r="KT940" s="2052"/>
      <c r="KU940" s="2052"/>
      <c r="KV940" s="2052"/>
      <c r="KW940" s="2052"/>
      <c r="KX940" s="2052"/>
      <c r="KY940" s="2052"/>
      <c r="KZ940" s="2052"/>
      <c r="LA940" s="2052"/>
      <c r="LB940" s="2052"/>
      <c r="LC940" s="2052"/>
      <c r="LD940" s="2052"/>
      <c r="LE940" s="2052"/>
      <c r="LF940" s="2052"/>
      <c r="LG940" s="2052"/>
      <c r="NP940" s="1925"/>
    </row>
    <row r="941" spans="1:380" s="1853" customFormat="1" ht="9" customHeight="1">
      <c r="A941" s="1719"/>
      <c r="B941" s="1719"/>
      <c r="C941" s="1818"/>
      <c r="D941" s="1818"/>
      <c r="E941" s="1818"/>
      <c r="F941" s="1818"/>
      <c r="H941" s="1719"/>
      <c r="I941" s="435"/>
      <c r="K941" s="2166"/>
      <c r="L941" s="2166"/>
      <c r="M941" s="2166"/>
      <c r="N941" s="2166"/>
      <c r="O941" s="2166"/>
      <c r="P941" s="2166"/>
      <c r="U941" s="1851"/>
      <c r="X941" s="1818"/>
      <c r="AA941" s="1818"/>
      <c r="AB941" s="435"/>
      <c r="AC941" s="1818"/>
      <c r="AF941" s="1818"/>
      <c r="AG941" s="435"/>
      <c r="AH941" s="1818"/>
      <c r="AK941" s="1818"/>
      <c r="AL941" s="435"/>
      <c r="AM941" s="1818"/>
      <c r="AP941" s="1818"/>
      <c r="AQ941" s="435"/>
      <c r="AR941" s="1818"/>
      <c r="AS941" s="1818"/>
      <c r="AT941" s="1818"/>
      <c r="AU941" s="1818"/>
      <c r="AV941" s="1818"/>
      <c r="AW941" s="1818"/>
      <c r="AY941" s="1818"/>
      <c r="BB941" s="1818"/>
      <c r="BD941" s="1818"/>
      <c r="JW941" s="2052"/>
      <c r="KB941" s="2052"/>
      <c r="KG941" s="2052"/>
      <c r="KL941" s="2052"/>
      <c r="KM941" s="2052"/>
      <c r="KN941" s="2052"/>
      <c r="KO941" s="2052"/>
      <c r="KP941" s="2052"/>
      <c r="KQ941" s="2052"/>
      <c r="KR941" s="2052"/>
      <c r="KS941" s="2052"/>
      <c r="KT941" s="2052"/>
      <c r="KU941" s="2052"/>
      <c r="KV941" s="2052"/>
      <c r="KW941" s="2052"/>
      <c r="KX941" s="2052"/>
      <c r="KY941" s="2052"/>
      <c r="KZ941" s="2052"/>
      <c r="LA941" s="2052"/>
      <c r="LB941" s="2052"/>
      <c r="LC941" s="2052"/>
      <c r="LD941" s="2052"/>
      <c r="LE941" s="2052"/>
      <c r="LF941" s="2052"/>
      <c r="LG941" s="2052"/>
      <c r="NP941" s="1925"/>
    </row>
    <row r="942" spans="1:380" s="1853" customFormat="1" ht="14.45" customHeight="1">
      <c r="A942" s="1853" t="s">
        <v>710</v>
      </c>
      <c r="B942" s="1853" t="s">
        <v>7147</v>
      </c>
      <c r="H942" s="2115"/>
      <c r="L942" s="2150">
        <f>$L$53</f>
        <v>0</v>
      </c>
      <c r="M942" s="2150"/>
      <c r="N942" s="2150"/>
      <c r="O942" s="2150"/>
      <c r="S942" s="1818" t="str">
        <f>B942</f>
        <v>UNIT SUMMARY (Continued)</v>
      </c>
      <c r="T942" s="1818"/>
      <c r="U942" s="1818"/>
      <c r="V942" s="1818"/>
      <c r="AY942" s="1818"/>
      <c r="BD942" s="1818"/>
      <c r="JW942" s="2052"/>
      <c r="KB942" s="2052"/>
      <c r="KG942" s="2052"/>
      <c r="KL942" s="2052"/>
      <c r="KM942" s="2052"/>
      <c r="KN942" s="2052"/>
      <c r="KO942" s="2052"/>
      <c r="KP942" s="2052"/>
      <c r="KQ942" s="2052"/>
      <c r="KR942" s="2052"/>
      <c r="KS942" s="2052"/>
      <c r="KT942" s="2052"/>
      <c r="KU942" s="2052"/>
      <c r="KV942" s="2052"/>
      <c r="KW942" s="2052"/>
      <c r="KX942" s="2052"/>
      <c r="KY942" s="2052"/>
      <c r="KZ942" s="2052"/>
      <c r="LA942" s="2052"/>
      <c r="LB942" s="2052"/>
      <c r="LC942" s="2052"/>
      <c r="LD942" s="2052"/>
      <c r="LE942" s="2052"/>
      <c r="LF942" s="2052"/>
      <c r="LG942" s="2052"/>
      <c r="NP942" s="1925"/>
    </row>
    <row r="943" spans="1:380" s="1853" customFormat="1" ht="9" customHeight="1">
      <c r="H943" s="2115"/>
      <c r="S943" s="1876" t="str">
        <f>C944</f>
        <v>PHA Operating Subsidy-Assisted</v>
      </c>
      <c r="U943" s="2151"/>
      <c r="AY943" s="1818"/>
      <c r="BD943" s="1818"/>
      <c r="JW943" s="2052"/>
      <c r="KB943" s="2052"/>
      <c r="KG943" s="2052"/>
      <c r="KL943" s="2052"/>
      <c r="KM943" s="2052"/>
      <c r="KN943" s="2052"/>
      <c r="KO943" s="2052"/>
      <c r="KP943" s="2052"/>
      <c r="KQ943" s="2052"/>
      <c r="KR943" s="2052"/>
      <c r="KS943" s="2052"/>
      <c r="KT943" s="2052"/>
      <c r="KU943" s="2052"/>
      <c r="KV943" s="2052"/>
      <c r="KW943" s="2052"/>
      <c r="KX943" s="2052"/>
      <c r="KY943" s="2052"/>
      <c r="KZ943" s="2052"/>
      <c r="LA943" s="2052"/>
      <c r="LB943" s="2052"/>
      <c r="LC943" s="2052"/>
      <c r="LD943" s="2052"/>
      <c r="LE943" s="2052"/>
      <c r="LF943" s="2052"/>
      <c r="LG943" s="2052"/>
      <c r="NP943" s="1925"/>
    </row>
    <row r="944" spans="1:380" s="1853" customFormat="1" ht="15" customHeight="1">
      <c r="A944" s="1719"/>
      <c r="B944" s="1719"/>
      <c r="C944" s="2159" t="s">
        <v>856</v>
      </c>
      <c r="D944" s="2159"/>
      <c r="E944" s="2159"/>
      <c r="F944" s="1818"/>
      <c r="H944" s="1719" t="s">
        <v>3829</v>
      </c>
      <c r="I944" s="435"/>
      <c r="K944" s="2167">
        <f>DY889</f>
        <v>0</v>
      </c>
      <c r="L944" s="2167">
        <f>DZ889</f>
        <v>0</v>
      </c>
      <c r="M944" s="2167">
        <f>EA889</f>
        <v>0</v>
      </c>
      <c r="N944" s="2167">
        <f>EB889</f>
        <v>0</v>
      </c>
      <c r="O944" s="2167">
        <f>EC889</f>
        <v>0</v>
      </c>
      <c r="P944" s="2153">
        <f t="shared" ref="P944:P951" si="359">SUM(K944:O944)</f>
        <v>0</v>
      </c>
      <c r="S944" s="2044"/>
      <c r="T944" s="2044"/>
      <c r="U944" s="2044"/>
      <c r="V944" s="2044"/>
      <c r="W944" s="2044"/>
      <c r="X944" s="1818"/>
      <c r="AA944" s="1818"/>
      <c r="AB944" s="435"/>
      <c r="AC944" s="1818"/>
      <c r="AF944" s="1818"/>
      <c r="AG944" s="435"/>
      <c r="AH944" s="1818"/>
      <c r="AK944" s="1818"/>
      <c r="AL944" s="435"/>
      <c r="AM944" s="1818"/>
      <c r="AP944" s="1818"/>
      <c r="AQ944" s="435"/>
      <c r="AR944" s="436"/>
      <c r="AS944" s="436"/>
      <c r="AT944" s="436"/>
      <c r="AU944" s="436"/>
      <c r="AV944" s="436"/>
      <c r="AW944" s="436"/>
      <c r="AX944" s="435"/>
      <c r="AY944" s="1818"/>
      <c r="BB944" s="436"/>
      <c r="BC944" s="435"/>
      <c r="BD944" s="1818"/>
      <c r="JW944" s="2052"/>
      <c r="KB944" s="2052"/>
      <c r="KG944" s="2052"/>
      <c r="KL944" s="2052"/>
      <c r="KM944" s="2052"/>
      <c r="KN944" s="2052"/>
      <c r="KO944" s="2052"/>
      <c r="KP944" s="2052"/>
      <c r="KQ944" s="2052"/>
      <c r="KR944" s="2052"/>
      <c r="KS944" s="2052"/>
      <c r="KT944" s="2052"/>
      <c r="KU944" s="2052"/>
      <c r="KV944" s="2052"/>
      <c r="KW944" s="2052"/>
      <c r="KX944" s="2052"/>
      <c r="KY944" s="2052"/>
      <c r="KZ944" s="2052"/>
      <c r="LA944" s="2052"/>
      <c r="LB944" s="2052"/>
      <c r="LC944" s="2052"/>
      <c r="LD944" s="2052"/>
      <c r="LE944" s="2052"/>
      <c r="LF944" s="2052"/>
      <c r="LG944" s="2052"/>
      <c r="NP944" s="1925"/>
    </row>
    <row r="945" spans="1:380" s="1853" customFormat="1" ht="15" customHeight="1">
      <c r="A945" s="1719"/>
      <c r="B945" s="1719"/>
      <c r="C945" s="435" t="s">
        <v>2393</v>
      </c>
      <c r="D945" s="2159"/>
      <c r="E945" s="2159"/>
      <c r="F945" s="1818"/>
      <c r="H945" s="1719" t="s">
        <v>3830</v>
      </c>
      <c r="I945" s="435"/>
      <c r="K945" s="2153">
        <f>DT889</f>
        <v>0</v>
      </c>
      <c r="L945" s="2153">
        <f>DU889</f>
        <v>0</v>
      </c>
      <c r="M945" s="2153">
        <f>DV889</f>
        <v>0</v>
      </c>
      <c r="N945" s="2153">
        <f>DW889</f>
        <v>0</v>
      </c>
      <c r="O945" s="2153">
        <f>DX889</f>
        <v>0</v>
      </c>
      <c r="P945" s="2153">
        <f t="shared" si="359"/>
        <v>0</v>
      </c>
      <c r="S945" s="2044"/>
      <c r="T945" s="2044"/>
      <c r="U945" s="2044"/>
      <c r="V945" s="2044"/>
      <c r="W945" s="2044"/>
      <c r="X945" s="1818"/>
      <c r="AA945" s="1818"/>
      <c r="AB945" s="435"/>
      <c r="AC945" s="1818"/>
      <c r="AF945" s="1818"/>
      <c r="AG945" s="435"/>
      <c r="AH945" s="1818"/>
      <c r="AK945" s="1818"/>
      <c r="AL945" s="435"/>
      <c r="AM945" s="1818"/>
      <c r="AP945" s="1818"/>
      <c r="AQ945" s="435"/>
      <c r="AR945" s="436"/>
      <c r="AS945" s="436"/>
      <c r="AT945" s="436"/>
      <c r="AU945" s="436"/>
      <c r="AV945" s="436"/>
      <c r="AW945" s="436"/>
      <c r="AX945" s="435"/>
      <c r="AY945" s="1818"/>
      <c r="BB945" s="436"/>
      <c r="BC945" s="435"/>
      <c r="BD945" s="1818"/>
      <c r="JW945" s="2052"/>
      <c r="KB945" s="2052"/>
      <c r="KG945" s="2052"/>
      <c r="KL945" s="2052"/>
      <c r="KM945" s="2052"/>
      <c r="KN945" s="2052"/>
      <c r="KO945" s="2052"/>
      <c r="KP945" s="2052"/>
      <c r="KQ945" s="2052"/>
      <c r="KR945" s="2052"/>
      <c r="KS945" s="2052"/>
      <c r="KT945" s="2052"/>
      <c r="KU945" s="2052"/>
      <c r="KV945" s="2052"/>
      <c r="KW945" s="2052"/>
      <c r="KX945" s="2052"/>
      <c r="KY945" s="2052"/>
      <c r="KZ945" s="2052"/>
      <c r="LA945" s="2052"/>
      <c r="LB945" s="2052"/>
      <c r="LC945" s="2052"/>
      <c r="LD945" s="2052"/>
      <c r="LE945" s="2052"/>
      <c r="LF945" s="2052"/>
      <c r="LG945" s="2052"/>
      <c r="NP945" s="1925"/>
    </row>
    <row r="946" spans="1:380" s="1853" customFormat="1" ht="15" customHeight="1">
      <c r="A946" s="1719"/>
      <c r="B946" s="1719"/>
      <c r="C946" s="2159"/>
      <c r="D946" s="2159"/>
      <c r="E946" s="2159"/>
      <c r="F946" s="1818"/>
      <c r="H946" s="1719" t="s">
        <v>1107</v>
      </c>
      <c r="I946" s="435"/>
      <c r="K946" s="2153">
        <f>DO889</f>
        <v>0</v>
      </c>
      <c r="L946" s="2153">
        <f>DP889</f>
        <v>0</v>
      </c>
      <c r="M946" s="2153">
        <f>DQ889</f>
        <v>0</v>
      </c>
      <c r="N946" s="2153">
        <f>DR889</f>
        <v>0</v>
      </c>
      <c r="O946" s="2153">
        <f>DS889</f>
        <v>0</v>
      </c>
      <c r="P946" s="2153">
        <f t="shared" si="359"/>
        <v>0</v>
      </c>
      <c r="S946" s="2044"/>
      <c r="T946" s="2044"/>
      <c r="U946" s="2044"/>
      <c r="V946" s="2044"/>
      <c r="W946" s="2044"/>
      <c r="X946" s="1818"/>
      <c r="AA946" s="1818"/>
      <c r="AB946" s="435"/>
      <c r="AC946" s="1818"/>
      <c r="AF946" s="1818"/>
      <c r="AG946" s="435"/>
      <c r="AH946" s="1818"/>
      <c r="AK946" s="1818"/>
      <c r="AL946" s="435"/>
      <c r="AM946" s="1818"/>
      <c r="AP946" s="1818"/>
      <c r="AQ946" s="435"/>
      <c r="AR946" s="436"/>
      <c r="AS946" s="436"/>
      <c r="AT946" s="436"/>
      <c r="AU946" s="436"/>
      <c r="AV946" s="436"/>
      <c r="AW946" s="436"/>
      <c r="AX946" s="435"/>
      <c r="AY946" s="1818"/>
      <c r="BB946" s="436"/>
      <c r="BC946" s="435"/>
      <c r="BD946" s="1818"/>
      <c r="JW946" s="2052"/>
      <c r="KB946" s="2052"/>
      <c r="KG946" s="2052"/>
      <c r="KL946" s="2052"/>
      <c r="KM946" s="2052"/>
      <c r="KN946" s="2052"/>
      <c r="KO946" s="2052"/>
      <c r="KP946" s="2052"/>
      <c r="KQ946" s="2052"/>
      <c r="KR946" s="2052"/>
      <c r="KS946" s="2052"/>
      <c r="KT946" s="2052"/>
      <c r="KU946" s="2052"/>
      <c r="KV946" s="2052"/>
      <c r="KW946" s="2052"/>
      <c r="KX946" s="2052"/>
      <c r="KY946" s="2052"/>
      <c r="KZ946" s="2052"/>
      <c r="LA946" s="2052"/>
      <c r="LB946" s="2052"/>
      <c r="LC946" s="2052"/>
      <c r="LD946" s="2052"/>
      <c r="LE946" s="2052"/>
      <c r="LF946" s="2052"/>
      <c r="LG946" s="2052"/>
      <c r="NP946" s="1925"/>
    </row>
    <row r="947" spans="1:380" s="1853" customFormat="1" ht="15" customHeight="1">
      <c r="A947" s="1719"/>
      <c r="B947" s="1719"/>
      <c r="C947" s="2159"/>
      <c r="D947" s="2159"/>
      <c r="E947" s="2159"/>
      <c r="F947" s="1818"/>
      <c r="H947" s="1719" t="s">
        <v>111</v>
      </c>
      <c r="I947" s="435"/>
      <c r="K947" s="2153">
        <f>DJ889</f>
        <v>0</v>
      </c>
      <c r="L947" s="2153">
        <f>DK889</f>
        <v>0</v>
      </c>
      <c r="M947" s="2153">
        <f>DL889</f>
        <v>0</v>
      </c>
      <c r="N947" s="2153">
        <f>DM889</f>
        <v>0</v>
      </c>
      <c r="O947" s="2153">
        <f>DN889</f>
        <v>0</v>
      </c>
      <c r="P947" s="2153">
        <f t="shared" si="359"/>
        <v>0</v>
      </c>
      <c r="S947" s="2044"/>
      <c r="T947" s="2044"/>
      <c r="U947" s="2044"/>
      <c r="V947" s="2044"/>
      <c r="W947" s="2044"/>
      <c r="X947" s="1818"/>
      <c r="AA947" s="1818"/>
      <c r="AB947" s="435"/>
      <c r="AC947" s="1818"/>
      <c r="AF947" s="1818"/>
      <c r="AG947" s="435"/>
      <c r="AH947" s="1818"/>
      <c r="AK947" s="1818"/>
      <c r="AL947" s="435"/>
      <c r="AM947" s="1818"/>
      <c r="AP947" s="1818"/>
      <c r="AQ947" s="435"/>
      <c r="AR947" s="436"/>
      <c r="AS947" s="436"/>
      <c r="AT947" s="436"/>
      <c r="AU947" s="436"/>
      <c r="AV947" s="436"/>
      <c r="AW947" s="436"/>
      <c r="AX947" s="435"/>
      <c r="AY947" s="1818"/>
      <c r="BB947" s="436"/>
      <c r="BC947" s="435"/>
      <c r="BD947" s="1818"/>
      <c r="JW947" s="2052"/>
      <c r="KB947" s="2052"/>
      <c r="KG947" s="2052"/>
      <c r="KL947" s="2052"/>
      <c r="KM947" s="2052"/>
      <c r="KN947" s="2052"/>
      <c r="KO947" s="2052"/>
      <c r="KP947" s="2052"/>
      <c r="KQ947" s="2052"/>
      <c r="KR947" s="2052"/>
      <c r="KS947" s="2052"/>
      <c r="KT947" s="2052"/>
      <c r="KU947" s="2052"/>
      <c r="KV947" s="2052"/>
      <c r="KW947" s="2052"/>
      <c r="KX947" s="2052"/>
      <c r="KY947" s="2052"/>
      <c r="KZ947" s="2052"/>
      <c r="LA947" s="2052"/>
      <c r="LB947" s="2052"/>
      <c r="LC947" s="2052"/>
      <c r="LD947" s="2052"/>
      <c r="LE947" s="2052"/>
      <c r="LF947" s="2052"/>
      <c r="LG947" s="2052"/>
      <c r="NP947" s="1925"/>
    </row>
    <row r="948" spans="1:380" s="1853" customFormat="1" ht="15" customHeight="1">
      <c r="A948" s="1719"/>
      <c r="B948" s="1719"/>
      <c r="C948" s="2159"/>
      <c r="D948" s="2159"/>
      <c r="E948" s="2159"/>
      <c r="F948" s="1818"/>
      <c r="H948" s="1719" t="s">
        <v>3831</v>
      </c>
      <c r="I948" s="435"/>
      <c r="K948" s="2153">
        <f>DE889</f>
        <v>0</v>
      </c>
      <c r="L948" s="2153">
        <f>DF889</f>
        <v>0</v>
      </c>
      <c r="M948" s="2153">
        <f>DG889</f>
        <v>0</v>
      </c>
      <c r="N948" s="2153">
        <f>DH889</f>
        <v>0</v>
      </c>
      <c r="O948" s="2153">
        <f>DI889</f>
        <v>0</v>
      </c>
      <c r="P948" s="2153">
        <f t="shared" si="359"/>
        <v>0</v>
      </c>
      <c r="S948" s="2044"/>
      <c r="T948" s="2044"/>
      <c r="U948" s="2044"/>
      <c r="V948" s="2044"/>
      <c r="W948" s="2044"/>
      <c r="X948" s="1818"/>
      <c r="AA948" s="1818"/>
      <c r="AB948" s="435"/>
      <c r="AC948" s="1818"/>
      <c r="AF948" s="1818"/>
      <c r="AG948" s="435"/>
      <c r="AH948" s="1818"/>
      <c r="AK948" s="1818"/>
      <c r="AL948" s="435"/>
      <c r="AM948" s="1818"/>
      <c r="AP948" s="1818"/>
      <c r="AQ948" s="435"/>
      <c r="AR948" s="436"/>
      <c r="AS948" s="436"/>
      <c r="AT948" s="436"/>
      <c r="AU948" s="436"/>
      <c r="AV948" s="436"/>
      <c r="AW948" s="436"/>
      <c r="AX948" s="435"/>
      <c r="AY948" s="1818"/>
      <c r="BB948" s="436"/>
      <c r="BC948" s="435"/>
      <c r="BD948" s="1818"/>
      <c r="JW948" s="2052"/>
      <c r="KB948" s="2052"/>
      <c r="KG948" s="2052"/>
      <c r="KL948" s="2052"/>
      <c r="KM948" s="2052"/>
      <c r="KN948" s="2052"/>
      <c r="KO948" s="2052"/>
      <c r="KP948" s="2052"/>
      <c r="KQ948" s="2052"/>
      <c r="KR948" s="2052"/>
      <c r="KS948" s="2052"/>
      <c r="KT948" s="2052"/>
      <c r="KU948" s="2052"/>
      <c r="KV948" s="2052"/>
      <c r="KW948" s="2052"/>
      <c r="KX948" s="2052"/>
      <c r="KY948" s="2052"/>
      <c r="KZ948" s="2052"/>
      <c r="LA948" s="2052"/>
      <c r="LB948" s="2052"/>
      <c r="LC948" s="2052"/>
      <c r="LD948" s="2052"/>
      <c r="LE948" s="2052"/>
      <c r="LF948" s="2052"/>
      <c r="LG948" s="2052"/>
      <c r="NP948" s="1925"/>
    </row>
    <row r="949" spans="1:380" s="1853" customFormat="1" ht="15" customHeight="1">
      <c r="A949" s="1719"/>
      <c r="B949" s="1719"/>
      <c r="C949" s="2159"/>
      <c r="D949" s="2159"/>
      <c r="E949" s="2159"/>
      <c r="F949" s="1818"/>
      <c r="H949" s="1719" t="s">
        <v>3832</v>
      </c>
      <c r="I949" s="435"/>
      <c r="K949" s="2153">
        <f>CZ889</f>
        <v>0</v>
      </c>
      <c r="L949" s="2153">
        <f>DA889</f>
        <v>0</v>
      </c>
      <c r="M949" s="2153">
        <f>DB889</f>
        <v>0</v>
      </c>
      <c r="N949" s="2153">
        <f>DC889</f>
        <v>0</v>
      </c>
      <c r="O949" s="2153">
        <f>DD889</f>
        <v>0</v>
      </c>
      <c r="P949" s="2153">
        <f t="shared" si="359"/>
        <v>0</v>
      </c>
      <c r="S949" s="2044"/>
      <c r="T949" s="2044"/>
      <c r="U949" s="2044"/>
      <c r="V949" s="2044"/>
      <c r="W949" s="2044"/>
      <c r="X949" s="1818"/>
      <c r="AA949" s="1818"/>
      <c r="AB949" s="435"/>
      <c r="AC949" s="1818"/>
      <c r="AF949" s="1818"/>
      <c r="AG949" s="435"/>
      <c r="AH949" s="1818"/>
      <c r="AK949" s="1818"/>
      <c r="AL949" s="435"/>
      <c r="AM949" s="1818"/>
      <c r="AP949" s="1818"/>
      <c r="AQ949" s="435"/>
      <c r="AR949" s="436"/>
      <c r="AS949" s="436"/>
      <c r="AT949" s="436"/>
      <c r="AU949" s="436"/>
      <c r="AV949" s="436"/>
      <c r="AW949" s="436"/>
      <c r="AX949" s="435"/>
      <c r="AY949" s="1818"/>
      <c r="BB949" s="436"/>
      <c r="BC949" s="435"/>
      <c r="BD949" s="1818"/>
      <c r="JW949" s="2052"/>
      <c r="KB949" s="2052"/>
      <c r="KG949" s="2052"/>
      <c r="KL949" s="2052"/>
      <c r="KM949" s="2052"/>
      <c r="KN949" s="2052"/>
      <c r="KO949" s="2052"/>
      <c r="KP949" s="2052"/>
      <c r="KQ949" s="2052"/>
      <c r="KR949" s="2052"/>
      <c r="KS949" s="2052"/>
      <c r="KT949" s="2052"/>
      <c r="KU949" s="2052"/>
      <c r="KV949" s="2052"/>
      <c r="KW949" s="2052"/>
      <c r="KX949" s="2052"/>
      <c r="KY949" s="2052"/>
      <c r="KZ949" s="2052"/>
      <c r="LA949" s="2052"/>
      <c r="LB949" s="2052"/>
      <c r="LC949" s="2052"/>
      <c r="LD949" s="2052"/>
      <c r="LE949" s="2052"/>
      <c r="LF949" s="2052"/>
      <c r="LG949" s="2052"/>
      <c r="NP949" s="1925"/>
    </row>
    <row r="950" spans="1:380" s="1853" customFormat="1" ht="15" customHeight="1">
      <c r="A950" s="1719"/>
      <c r="B950" s="1719"/>
      <c r="C950" s="2159"/>
      <c r="D950" s="2159"/>
      <c r="E950" s="2159"/>
      <c r="F950" s="1818"/>
      <c r="H950" s="1719" t="s">
        <v>3833</v>
      </c>
      <c r="I950" s="435"/>
      <c r="K950" s="2167">
        <f>CU889</f>
        <v>0</v>
      </c>
      <c r="L950" s="2167">
        <f>CV889</f>
        <v>0</v>
      </c>
      <c r="M950" s="2167">
        <f>CW889</f>
        <v>0</v>
      </c>
      <c r="N950" s="2167">
        <f>CX889</f>
        <v>0</v>
      </c>
      <c r="O950" s="2167">
        <f>CY889</f>
        <v>0</v>
      </c>
      <c r="P950" s="2153">
        <f t="shared" si="359"/>
        <v>0</v>
      </c>
      <c r="S950" s="2044"/>
      <c r="T950" s="2044"/>
      <c r="U950" s="2044"/>
      <c r="V950" s="2044"/>
      <c r="W950" s="2044"/>
      <c r="X950" s="435"/>
      <c r="AA950" s="1818"/>
      <c r="AB950" s="435"/>
      <c r="AC950" s="435"/>
      <c r="AF950" s="1818"/>
      <c r="AG950" s="435"/>
      <c r="AH950" s="435"/>
      <c r="AK950" s="1818"/>
      <c r="AL950" s="435"/>
      <c r="AM950" s="435"/>
      <c r="AP950" s="1818"/>
      <c r="AQ950" s="435"/>
      <c r="AR950" s="436"/>
      <c r="AS950" s="436"/>
      <c r="AT950" s="436"/>
      <c r="AU950" s="436"/>
      <c r="AV950" s="436"/>
      <c r="AW950" s="436"/>
      <c r="AX950" s="435"/>
      <c r="AY950" s="1818"/>
      <c r="BB950" s="436"/>
      <c r="BC950" s="435"/>
      <c r="BD950" s="1818"/>
      <c r="JW950" s="2052"/>
      <c r="KB950" s="2052"/>
      <c r="KG950" s="2052"/>
      <c r="KL950" s="2052"/>
      <c r="KM950" s="2052"/>
      <c r="KN950" s="2052"/>
      <c r="KO950" s="2052"/>
      <c r="KP950" s="2052"/>
      <c r="KQ950" s="2052"/>
      <c r="KR950" s="2052"/>
      <c r="KS950" s="2052"/>
      <c r="KT950" s="2052"/>
      <c r="KU950" s="2052"/>
      <c r="KV950" s="2052"/>
      <c r="KW950" s="2052"/>
      <c r="KX950" s="2052"/>
      <c r="KY950" s="2052"/>
      <c r="KZ950" s="2052"/>
      <c r="LA950" s="2052"/>
      <c r="LB950" s="2052"/>
      <c r="LC950" s="2052"/>
      <c r="LD950" s="2052"/>
      <c r="LE950" s="2052"/>
      <c r="LF950" s="2052"/>
      <c r="LG950" s="2052"/>
      <c r="NP950" s="1925"/>
    </row>
    <row r="951" spans="1:380" s="1853" customFormat="1" ht="15" customHeight="1">
      <c r="A951" s="1719"/>
      <c r="B951" s="1719"/>
      <c r="D951" s="1818"/>
      <c r="E951" s="1719"/>
      <c r="F951" s="1818"/>
      <c r="H951" s="1719" t="s">
        <v>513</v>
      </c>
      <c r="I951" s="435"/>
      <c r="K951" s="2153">
        <f>SUM(K944:K950)</f>
        <v>0</v>
      </c>
      <c r="L951" s="2153">
        <f>SUM(L944:L950)</f>
        <v>0</v>
      </c>
      <c r="M951" s="2153">
        <f>SUM(M944:M950)</f>
        <v>0</v>
      </c>
      <c r="N951" s="2153">
        <f>SUM(N944:N950)</f>
        <v>0</v>
      </c>
      <c r="O951" s="2153">
        <f>SUM(O944:O950)</f>
        <v>0</v>
      </c>
      <c r="P951" s="2153">
        <f t="shared" si="359"/>
        <v>0</v>
      </c>
      <c r="S951" s="2044"/>
      <c r="T951" s="2044"/>
      <c r="U951" s="2044"/>
      <c r="V951" s="2044"/>
      <c r="W951" s="2044"/>
      <c r="X951" s="1818"/>
      <c r="AA951" s="1818"/>
      <c r="AB951" s="435"/>
      <c r="AC951" s="1818"/>
      <c r="AF951" s="1818"/>
      <c r="AG951" s="435"/>
      <c r="AH951" s="1818"/>
      <c r="AK951" s="1818"/>
      <c r="AL951" s="435"/>
      <c r="AM951" s="1818"/>
      <c r="AP951" s="1818"/>
      <c r="AQ951" s="435"/>
      <c r="AR951" s="436"/>
      <c r="AS951" s="436"/>
      <c r="AT951" s="436"/>
      <c r="AU951" s="436"/>
      <c r="AV951" s="436"/>
      <c r="AW951" s="436"/>
      <c r="AX951" s="435"/>
      <c r="AY951" s="1818"/>
      <c r="BB951" s="436"/>
      <c r="BC951" s="435"/>
      <c r="BD951" s="1818"/>
      <c r="JW951" s="2052"/>
      <c r="KB951" s="2052"/>
      <c r="KG951" s="2052"/>
      <c r="KL951" s="2052"/>
      <c r="KM951" s="2052"/>
      <c r="KN951" s="2052"/>
      <c r="KO951" s="2052"/>
      <c r="KP951" s="2052"/>
      <c r="KQ951" s="2052"/>
      <c r="KR951" s="2052"/>
      <c r="KS951" s="2052"/>
      <c r="KT951" s="2052"/>
      <c r="KU951" s="2052"/>
      <c r="KV951" s="2052"/>
      <c r="KW951" s="2052"/>
      <c r="KX951" s="2052"/>
      <c r="KY951" s="2052"/>
      <c r="KZ951" s="2052"/>
      <c r="LA951" s="2052"/>
      <c r="LB951" s="2052"/>
      <c r="LC951" s="2052"/>
      <c r="LD951" s="2052"/>
      <c r="LE951" s="2052"/>
      <c r="LF951" s="2052"/>
      <c r="LG951" s="2052"/>
      <c r="NP951" s="1925"/>
    </row>
    <row r="952" spans="1:380" s="1853" customFormat="1" ht="9" customHeight="1">
      <c r="A952" s="1719"/>
      <c r="B952" s="1719"/>
      <c r="D952" s="1818"/>
      <c r="E952" s="1719"/>
      <c r="F952" s="1818"/>
      <c r="H952" s="1719"/>
      <c r="I952" s="435"/>
      <c r="K952" s="2166"/>
      <c r="L952" s="2166"/>
      <c r="M952" s="2166"/>
      <c r="N952" s="2166"/>
      <c r="O952" s="2166"/>
      <c r="P952" s="2166"/>
      <c r="S952" s="1876" t="str">
        <f>C953</f>
        <v>Type of Construction Activity</v>
      </c>
      <c r="U952" s="1851"/>
      <c r="X952" s="1818"/>
      <c r="AA952" s="1818"/>
      <c r="AB952" s="435"/>
      <c r="AC952" s="1818"/>
      <c r="AF952" s="1818"/>
      <c r="AG952" s="435"/>
      <c r="AH952" s="1818"/>
      <c r="AK952" s="1818"/>
      <c r="AL952" s="435"/>
      <c r="AM952" s="1818"/>
      <c r="AP952" s="1818"/>
      <c r="AQ952" s="435"/>
      <c r="AR952" s="1818"/>
      <c r="AS952" s="1818"/>
      <c r="AT952" s="1818"/>
      <c r="AU952" s="1818"/>
      <c r="AV952" s="1818"/>
      <c r="AW952" s="1818"/>
      <c r="AY952" s="1818"/>
      <c r="BB952" s="1818"/>
      <c r="BD952" s="1818"/>
      <c r="JW952" s="2052"/>
      <c r="KB952" s="2052"/>
      <c r="KG952" s="2052"/>
      <c r="KL952" s="2052"/>
      <c r="KM952" s="2052"/>
      <c r="KN952" s="2052"/>
      <c r="KO952" s="2052"/>
      <c r="KP952" s="2052"/>
      <c r="KQ952" s="2052"/>
      <c r="KR952" s="2052"/>
      <c r="KS952" s="2052"/>
      <c r="KT952" s="2052"/>
      <c r="KU952" s="2052"/>
      <c r="KV952" s="2052"/>
      <c r="KW952" s="2052"/>
      <c r="KX952" s="2052"/>
      <c r="KY952" s="2052"/>
      <c r="KZ952" s="2052"/>
      <c r="LA952" s="2052"/>
      <c r="LB952" s="2052"/>
      <c r="LC952" s="2052"/>
      <c r="LD952" s="2052"/>
      <c r="LE952" s="2052"/>
      <c r="LF952" s="2052"/>
      <c r="LG952" s="2052"/>
      <c r="NP952" s="1925"/>
    </row>
    <row r="953" spans="1:380" s="1853" customFormat="1" ht="14.25" customHeight="1">
      <c r="A953" s="1719"/>
      <c r="B953" s="1719"/>
      <c r="C953" s="2159" t="s">
        <v>35</v>
      </c>
      <c r="D953" s="2159"/>
      <c r="E953" s="1719" t="s">
        <v>2191</v>
      </c>
      <c r="F953" s="1818"/>
      <c r="H953" s="1719" t="s">
        <v>1377</v>
      </c>
      <c r="I953" s="435"/>
      <c r="K953" s="2153">
        <f>GG889</f>
        <v>0</v>
      </c>
      <c r="L953" s="2153">
        <f>GH889</f>
        <v>13</v>
      </c>
      <c r="M953" s="2153">
        <f>GI889</f>
        <v>34</v>
      </c>
      <c r="N953" s="2153">
        <f>GJ889</f>
        <v>17</v>
      </c>
      <c r="O953" s="2153">
        <f>GK889</f>
        <v>0</v>
      </c>
      <c r="P953" s="2153">
        <f t="shared" ref="P953:P963" si="360">SUM(K953:O953)</f>
        <v>64</v>
      </c>
      <c r="S953" s="2044"/>
      <c r="T953" s="2044"/>
      <c r="U953" s="2044"/>
      <c r="V953" s="2044"/>
      <c r="W953" s="2044"/>
      <c r="X953" s="1818"/>
      <c r="AA953" s="1818"/>
      <c r="AB953" s="435"/>
      <c r="AC953" s="1818"/>
      <c r="AF953" s="1818"/>
      <c r="AG953" s="435"/>
      <c r="AH953" s="1818"/>
      <c r="AK953" s="1818"/>
      <c r="AL953" s="435"/>
      <c r="AM953" s="1818"/>
      <c r="AP953" s="1818"/>
      <c r="AQ953" s="435"/>
      <c r="AR953" s="436"/>
      <c r="AS953" s="436"/>
      <c r="AT953" s="436"/>
      <c r="AU953" s="436"/>
      <c r="AV953" s="436"/>
      <c r="AW953" s="436"/>
      <c r="BB953" s="436"/>
      <c r="NP953" s="1925"/>
    </row>
    <row r="954" spans="1:380" s="1853" customFormat="1" ht="14.25" customHeight="1">
      <c r="A954" s="1719"/>
      <c r="B954" s="1719"/>
      <c r="C954" s="2159"/>
      <c r="D954" s="2159"/>
      <c r="E954" s="1719"/>
      <c r="F954" s="1818"/>
      <c r="H954" s="1719" t="s">
        <v>292</v>
      </c>
      <c r="I954" s="435"/>
      <c r="K954" s="2153">
        <f>GL889</f>
        <v>0</v>
      </c>
      <c r="L954" s="2153">
        <f>GM889</f>
        <v>3</v>
      </c>
      <c r="M954" s="2153">
        <f>GN889</f>
        <v>2</v>
      </c>
      <c r="N954" s="2153">
        <f>GO889</f>
        <v>3</v>
      </c>
      <c r="O954" s="2153">
        <f>GP889</f>
        <v>0</v>
      </c>
      <c r="P954" s="2153">
        <f t="shared" si="360"/>
        <v>8</v>
      </c>
      <c r="S954" s="2044"/>
      <c r="T954" s="2044"/>
      <c r="U954" s="2044"/>
      <c r="V954" s="2044"/>
      <c r="W954" s="2044"/>
      <c r="X954" s="1818"/>
      <c r="AA954" s="1818"/>
      <c r="AB954" s="435"/>
      <c r="AC954" s="1818"/>
      <c r="AF954" s="1818"/>
      <c r="AG954" s="435"/>
      <c r="AH954" s="1818"/>
      <c r="AK954" s="1818"/>
      <c r="AL954" s="435"/>
      <c r="AM954" s="1818"/>
      <c r="AP954" s="1818"/>
      <c r="AQ954" s="435"/>
      <c r="AR954" s="436"/>
      <c r="AS954" s="436"/>
      <c r="AT954" s="436"/>
      <c r="AU954" s="436"/>
      <c r="AV954" s="436"/>
      <c r="AW954" s="436"/>
      <c r="AX954" s="2113"/>
      <c r="AY954" s="1818"/>
      <c r="BB954" s="436"/>
      <c r="BC954" s="2113"/>
      <c r="BD954" s="1818"/>
      <c r="JW954" s="2052"/>
      <c r="KB954" s="2052"/>
      <c r="KG954" s="2052"/>
      <c r="KL954" s="2052"/>
      <c r="KM954" s="2052"/>
      <c r="KN954" s="2052"/>
      <c r="KO954" s="2052"/>
      <c r="KP954" s="2052"/>
      <c r="KQ954" s="2052"/>
      <c r="KR954" s="2052"/>
      <c r="KS954" s="2052"/>
      <c r="KT954" s="2052"/>
      <c r="KU954" s="2052"/>
      <c r="KV954" s="2052"/>
      <c r="KW954" s="2052"/>
      <c r="KX954" s="2052"/>
      <c r="KY954" s="2052"/>
      <c r="KZ954" s="2052"/>
      <c r="LA954" s="2052"/>
      <c r="LB954" s="2052"/>
      <c r="LC954" s="2052"/>
      <c r="LD954" s="2052"/>
      <c r="LE954" s="2052"/>
      <c r="LF954" s="2052"/>
      <c r="LG954" s="2052"/>
      <c r="NP954" s="1925"/>
    </row>
    <row r="955" spans="1:380" s="1853" customFormat="1" ht="14.25" customHeight="1">
      <c r="A955" s="1719"/>
      <c r="B955" s="1719"/>
      <c r="C955" s="2159"/>
      <c r="D955" s="2159"/>
      <c r="E955" s="1719"/>
      <c r="F955" s="1818"/>
      <c r="H955" s="1719" t="s">
        <v>29</v>
      </c>
      <c r="I955" s="435"/>
      <c r="K955" s="2153">
        <f>SUM(K953:K954)+GQ889</f>
        <v>0</v>
      </c>
      <c r="L955" s="2153">
        <f>SUM(L953:L954)+GR889</f>
        <v>16</v>
      </c>
      <c r="M955" s="2153">
        <f>SUM(M953:M954)+GS889</f>
        <v>36</v>
      </c>
      <c r="N955" s="2153">
        <f>SUM(N953:N954)+GT889</f>
        <v>20</v>
      </c>
      <c r="O955" s="2153">
        <f>SUM(O953:O954)+GU889</f>
        <v>0</v>
      </c>
      <c r="P955" s="2153">
        <f t="shared" si="360"/>
        <v>72</v>
      </c>
      <c r="S955" s="2044"/>
      <c r="T955" s="2044"/>
      <c r="U955" s="2044"/>
      <c r="V955" s="2044"/>
      <c r="W955" s="2044"/>
      <c r="X955" s="1818"/>
      <c r="AA955" s="1818"/>
      <c r="AB955" s="435"/>
      <c r="AC955" s="1818"/>
      <c r="AF955" s="1818"/>
      <c r="AG955" s="435"/>
      <c r="AH955" s="1818"/>
      <c r="AK955" s="1818"/>
      <c r="AL955" s="435"/>
      <c r="AM955" s="1818"/>
      <c r="AP955" s="1818"/>
      <c r="AQ955" s="435"/>
      <c r="AR955" s="436"/>
      <c r="AS955" s="436"/>
      <c r="AT955" s="436"/>
      <c r="AU955" s="436"/>
      <c r="AV955" s="436"/>
      <c r="AW955" s="436"/>
      <c r="AX955" s="435"/>
      <c r="AY955" s="1818"/>
      <c r="BB955" s="436"/>
      <c r="BC955" s="435"/>
      <c r="BD955" s="1818"/>
      <c r="JW955" s="2052"/>
      <c r="KB955" s="2052"/>
      <c r="KG955" s="2052"/>
      <c r="KL955" s="2052"/>
      <c r="KM955" s="2052"/>
      <c r="KN955" s="2052"/>
      <c r="KO955" s="2052"/>
      <c r="KP955" s="2052"/>
      <c r="KQ955" s="2052"/>
      <c r="KR955" s="2052"/>
      <c r="KS955" s="2052"/>
      <c r="KT955" s="2052"/>
      <c r="KU955" s="2052"/>
      <c r="KV955" s="2052"/>
      <c r="KW955" s="2052"/>
      <c r="KX955" s="2052"/>
      <c r="KY955" s="2052"/>
      <c r="KZ955" s="2052"/>
      <c r="LA955" s="2052"/>
      <c r="LB955" s="2052"/>
      <c r="LC955" s="2052"/>
      <c r="LD955" s="2052"/>
      <c r="LE955" s="2052"/>
      <c r="LF955" s="2052"/>
      <c r="LG955" s="2052"/>
      <c r="NP955" s="1925"/>
    </row>
    <row r="956" spans="1:380" s="1853" customFormat="1" ht="14.25" customHeight="1">
      <c r="A956" s="1719"/>
      <c r="B956" s="1719"/>
      <c r="C956" s="2159"/>
      <c r="D956" s="2159"/>
      <c r="E956" s="1719" t="s">
        <v>2042</v>
      </c>
      <c r="F956" s="1818"/>
      <c r="H956" s="1719" t="s">
        <v>1377</v>
      </c>
      <c r="I956" s="435"/>
      <c r="K956" s="2153">
        <f>GV889</f>
        <v>0</v>
      </c>
      <c r="L956" s="2153">
        <f>GW889</f>
        <v>0</v>
      </c>
      <c r="M956" s="2153">
        <f>GX889</f>
        <v>0</v>
      </c>
      <c r="N956" s="2153">
        <f>GY889</f>
        <v>0</v>
      </c>
      <c r="O956" s="2153">
        <f>GZ889</f>
        <v>0</v>
      </c>
      <c r="P956" s="2153">
        <f t="shared" si="360"/>
        <v>0</v>
      </c>
      <c r="S956" s="2044"/>
      <c r="T956" s="2044"/>
      <c r="U956" s="2044"/>
      <c r="V956" s="2044"/>
      <c r="W956" s="2044"/>
      <c r="X956" s="1818"/>
      <c r="AA956" s="1818"/>
      <c r="AB956" s="435"/>
      <c r="AC956" s="1818"/>
      <c r="AF956" s="1818"/>
      <c r="AG956" s="435"/>
      <c r="AH956" s="1818"/>
      <c r="AK956" s="1818"/>
      <c r="AL956" s="435"/>
      <c r="AM956" s="1818"/>
      <c r="AP956" s="1818"/>
      <c r="AQ956" s="435"/>
      <c r="AR956" s="436"/>
      <c r="AS956" s="436"/>
      <c r="AT956" s="436"/>
      <c r="AU956" s="436"/>
      <c r="AV956" s="436"/>
      <c r="AW956" s="436"/>
      <c r="BB956" s="436"/>
      <c r="NP956" s="1925"/>
    </row>
    <row r="957" spans="1:380" s="1853" customFormat="1" ht="14.25" customHeight="1">
      <c r="A957" s="1719"/>
      <c r="B957" s="1719"/>
      <c r="C957" s="2159"/>
      <c r="D957" s="2159"/>
      <c r="E957" s="1719"/>
      <c r="F957" s="1818"/>
      <c r="H957" s="1719" t="s">
        <v>292</v>
      </c>
      <c r="I957" s="435"/>
      <c r="K957" s="2153">
        <f>HA889</f>
        <v>0</v>
      </c>
      <c r="L957" s="2153">
        <f>HB889</f>
        <v>0</v>
      </c>
      <c r="M957" s="2153">
        <f>HC889</f>
        <v>0</v>
      </c>
      <c r="N957" s="2153">
        <f>HD889</f>
        <v>0</v>
      </c>
      <c r="O957" s="2153">
        <f>HE889</f>
        <v>0</v>
      </c>
      <c r="P957" s="2153">
        <f t="shared" si="360"/>
        <v>0</v>
      </c>
      <c r="S957" s="2044"/>
      <c r="T957" s="2044"/>
      <c r="U957" s="2044"/>
      <c r="V957" s="2044"/>
      <c r="W957" s="2044"/>
      <c r="X957" s="1818"/>
      <c r="AA957" s="1818"/>
      <c r="AB957" s="435"/>
      <c r="AC957" s="1818"/>
      <c r="AF957" s="1818"/>
      <c r="AG957" s="435"/>
      <c r="AH957" s="1818"/>
      <c r="AK957" s="1818"/>
      <c r="AL957" s="435"/>
      <c r="AM957" s="1818"/>
      <c r="AP957" s="1818"/>
      <c r="AQ957" s="435"/>
      <c r="AR957" s="436"/>
      <c r="AS957" s="436"/>
      <c r="AT957" s="436"/>
      <c r="AU957" s="436"/>
      <c r="AV957" s="436"/>
      <c r="AW957" s="436"/>
      <c r="AX957" s="2113"/>
      <c r="AY957" s="1818"/>
      <c r="BB957" s="436"/>
      <c r="BC957" s="2113"/>
      <c r="BD957" s="1818"/>
      <c r="JW957" s="2052"/>
      <c r="KB957" s="2052"/>
      <c r="KG957" s="2052"/>
      <c r="KL957" s="2052"/>
      <c r="KM957" s="2052"/>
      <c r="KN957" s="2052"/>
      <c r="KO957" s="2052"/>
      <c r="KP957" s="2052"/>
      <c r="KQ957" s="2052"/>
      <c r="KR957" s="2052"/>
      <c r="KS957" s="2052"/>
      <c r="KT957" s="2052"/>
      <c r="KU957" s="2052"/>
      <c r="KV957" s="2052"/>
      <c r="KW957" s="2052"/>
      <c r="KX957" s="2052"/>
      <c r="KY957" s="2052"/>
      <c r="KZ957" s="2052"/>
      <c r="LA957" s="2052"/>
      <c r="LB957" s="2052"/>
      <c r="LC957" s="2052"/>
      <c r="LD957" s="2052"/>
      <c r="LE957" s="2052"/>
      <c r="LF957" s="2052"/>
      <c r="LG957" s="2052"/>
      <c r="NP957" s="1925"/>
    </row>
    <row r="958" spans="1:380" s="1853" customFormat="1" ht="14.25" customHeight="1">
      <c r="A958" s="1719"/>
      <c r="B958" s="1719"/>
      <c r="C958" s="2159"/>
      <c r="D958" s="2159"/>
      <c r="E958" s="1719"/>
      <c r="F958" s="1818"/>
      <c r="H958" s="1719" t="s">
        <v>29</v>
      </c>
      <c r="I958" s="435"/>
      <c r="K958" s="2153">
        <f>SUM(K956:K957)+HF889</f>
        <v>0</v>
      </c>
      <c r="L958" s="2153">
        <f>SUM(L956:L957)+HG889</f>
        <v>0</v>
      </c>
      <c r="M958" s="2153">
        <f>SUM(M956:M957)+HH889</f>
        <v>0</v>
      </c>
      <c r="N958" s="2153">
        <f>SUM(N956:N957)+HI889</f>
        <v>0</v>
      </c>
      <c r="O958" s="2153">
        <f>SUM(O956:O957)+HJ889</f>
        <v>0</v>
      </c>
      <c r="P958" s="2153">
        <f t="shared" si="360"/>
        <v>0</v>
      </c>
      <c r="S958" s="2044"/>
      <c r="T958" s="2044"/>
      <c r="U958" s="2044"/>
      <c r="V958" s="2044"/>
      <c r="W958" s="2044"/>
      <c r="X958" s="1818"/>
      <c r="AA958" s="1818"/>
      <c r="AB958" s="435"/>
      <c r="AC958" s="1818"/>
      <c r="AF958" s="1818"/>
      <c r="AG958" s="435"/>
      <c r="AH958" s="1818"/>
      <c r="AK958" s="1818"/>
      <c r="AL958" s="435"/>
      <c r="AM958" s="1818"/>
      <c r="AP958" s="1818"/>
      <c r="AQ958" s="435"/>
      <c r="AR958" s="436"/>
      <c r="AS958" s="436"/>
      <c r="AT958" s="436"/>
      <c r="AU958" s="436"/>
      <c r="AV958" s="436"/>
      <c r="AW958" s="436"/>
      <c r="AX958" s="435"/>
      <c r="AY958" s="1818"/>
      <c r="BB958" s="436"/>
      <c r="BC958" s="435"/>
      <c r="BD958" s="1818"/>
      <c r="JW958" s="2052"/>
      <c r="KB958" s="2052"/>
      <c r="KG958" s="2052"/>
      <c r="KL958" s="2052"/>
      <c r="KM958" s="2052"/>
      <c r="KN958" s="2052"/>
      <c r="KO958" s="2052"/>
      <c r="KP958" s="2052"/>
      <c r="KQ958" s="2052"/>
      <c r="KR958" s="2052"/>
      <c r="KS958" s="2052"/>
      <c r="KT958" s="2052"/>
      <c r="KU958" s="2052"/>
      <c r="KV958" s="2052"/>
      <c r="KW958" s="2052"/>
      <c r="KX958" s="2052"/>
      <c r="KY958" s="2052"/>
      <c r="KZ958" s="2052"/>
      <c r="LA958" s="2052"/>
      <c r="LB958" s="2052"/>
      <c r="LC958" s="2052"/>
      <c r="LD958" s="2052"/>
      <c r="LE958" s="2052"/>
      <c r="LF958" s="2052"/>
      <c r="LG958" s="2052"/>
      <c r="NP958" s="1925"/>
    </row>
    <row r="959" spans="1:380" s="1853" customFormat="1" ht="14.25" customHeight="1">
      <c r="A959" s="1719"/>
      <c r="B959" s="1719"/>
      <c r="C959" s="1843"/>
      <c r="D959" s="1818"/>
      <c r="E959" s="1843" t="s">
        <v>1368</v>
      </c>
      <c r="F959" s="1843"/>
      <c r="H959" s="1719" t="s">
        <v>1377</v>
      </c>
      <c r="I959" s="435"/>
      <c r="K959" s="2153">
        <f>HK889</f>
        <v>0</v>
      </c>
      <c r="L959" s="2153">
        <f>HL889</f>
        <v>0</v>
      </c>
      <c r="M959" s="2153">
        <f>HM889</f>
        <v>0</v>
      </c>
      <c r="N959" s="2153">
        <f>HN889</f>
        <v>0</v>
      </c>
      <c r="O959" s="2153">
        <f>HO889</f>
        <v>0</v>
      </c>
      <c r="P959" s="2153">
        <f t="shared" si="360"/>
        <v>0</v>
      </c>
      <c r="S959" s="2044"/>
      <c r="T959" s="2044"/>
      <c r="U959" s="2044"/>
      <c r="V959" s="2044"/>
      <c r="W959" s="2044"/>
      <c r="X959" s="1818"/>
      <c r="AA959" s="1818"/>
      <c r="AB959" s="435"/>
      <c r="AC959" s="1818"/>
      <c r="AF959" s="1818"/>
      <c r="AG959" s="435"/>
      <c r="AH959" s="1818"/>
      <c r="AK959" s="1818"/>
      <c r="AL959" s="435"/>
      <c r="AM959" s="1818"/>
      <c r="AP959" s="1818"/>
      <c r="AQ959" s="435"/>
      <c r="AR959" s="436"/>
      <c r="AS959" s="436"/>
      <c r="AT959" s="436"/>
      <c r="AU959" s="436"/>
      <c r="AV959" s="436"/>
      <c r="AW959" s="436"/>
      <c r="BB959" s="436"/>
      <c r="NP959" s="1925"/>
    </row>
    <row r="960" spans="1:380" s="1853" customFormat="1" ht="14.25" customHeight="1">
      <c r="A960" s="1719"/>
      <c r="B960" s="1719"/>
      <c r="C960" s="1843"/>
      <c r="D960" s="1818"/>
      <c r="E960" s="1843"/>
      <c r="F960" s="1843"/>
      <c r="H960" s="1719" t="s">
        <v>292</v>
      </c>
      <c r="I960" s="435"/>
      <c r="K960" s="2153">
        <f>HP889</f>
        <v>0</v>
      </c>
      <c r="L960" s="2153">
        <f>HQ889</f>
        <v>0</v>
      </c>
      <c r="M960" s="2153">
        <f>HR889</f>
        <v>0</v>
      </c>
      <c r="N960" s="2153">
        <f>HS889</f>
        <v>0</v>
      </c>
      <c r="O960" s="2153">
        <f>HT889</f>
        <v>0</v>
      </c>
      <c r="P960" s="2153">
        <f t="shared" si="360"/>
        <v>0</v>
      </c>
      <c r="S960" s="2044"/>
      <c r="T960" s="2044"/>
      <c r="U960" s="2044"/>
      <c r="V960" s="2044"/>
      <c r="W960" s="2044"/>
      <c r="X960" s="1818"/>
      <c r="AA960" s="1818"/>
      <c r="AB960" s="435"/>
      <c r="AC960" s="1818"/>
      <c r="AF960" s="1818"/>
      <c r="AG960" s="435"/>
      <c r="AH960" s="1818"/>
      <c r="AK960" s="1818"/>
      <c r="AL960" s="435"/>
      <c r="AM960" s="1818"/>
      <c r="AP960" s="1818"/>
      <c r="AQ960" s="435"/>
      <c r="AR960" s="436"/>
      <c r="AS960" s="436"/>
      <c r="AT960" s="436"/>
      <c r="AU960" s="436"/>
      <c r="AV960" s="436"/>
      <c r="AW960" s="436"/>
      <c r="AX960" s="2113"/>
      <c r="AY960" s="1818"/>
      <c r="BB960" s="436"/>
      <c r="BC960" s="2113"/>
      <c r="BD960" s="1818"/>
      <c r="JW960" s="2052"/>
      <c r="KB960" s="2052"/>
      <c r="KG960" s="2052"/>
      <c r="KL960" s="2052"/>
      <c r="KM960" s="2052"/>
      <c r="KN960" s="2052"/>
      <c r="KO960" s="2052"/>
      <c r="KP960" s="2052"/>
      <c r="KQ960" s="2052"/>
      <c r="KR960" s="2052"/>
      <c r="KS960" s="2052"/>
      <c r="KT960" s="2052"/>
      <c r="KU960" s="2052"/>
      <c r="KV960" s="2052"/>
      <c r="KW960" s="2052"/>
      <c r="KX960" s="2052"/>
      <c r="KY960" s="2052"/>
      <c r="KZ960" s="2052"/>
      <c r="LA960" s="2052"/>
      <c r="LB960" s="2052"/>
      <c r="LC960" s="2052"/>
      <c r="LD960" s="2052"/>
      <c r="LE960" s="2052"/>
      <c r="LF960" s="2052"/>
      <c r="LG960" s="2052"/>
      <c r="NP960" s="1925"/>
    </row>
    <row r="961" spans="1:380" s="1853" customFormat="1" ht="14.25" customHeight="1">
      <c r="A961" s="1719"/>
      <c r="B961" s="1719"/>
      <c r="C961" s="1843"/>
      <c r="D961" s="1818"/>
      <c r="E961" s="1719"/>
      <c r="F961" s="1818"/>
      <c r="H961" s="1719" t="s">
        <v>29</v>
      </c>
      <c r="I961" s="435"/>
      <c r="K961" s="2153">
        <f>SUM(K959:K960)+HU889</f>
        <v>0</v>
      </c>
      <c r="L961" s="2153">
        <f>SUM(L959:L960)+HV889</f>
        <v>0</v>
      </c>
      <c r="M961" s="2153">
        <f>SUM(M959:M960)+HW889</f>
        <v>0</v>
      </c>
      <c r="N961" s="2153">
        <f>SUM(N959:N960)+HX889</f>
        <v>0</v>
      </c>
      <c r="O961" s="2153">
        <f>SUM(O959:O960)+HY889</f>
        <v>0</v>
      </c>
      <c r="P961" s="2153">
        <f t="shared" si="360"/>
        <v>0</v>
      </c>
      <c r="S961" s="2044"/>
      <c r="T961" s="2044"/>
      <c r="U961" s="2044"/>
      <c r="V961" s="2044"/>
      <c r="W961" s="2044"/>
      <c r="X961" s="1818"/>
      <c r="AA961" s="1818"/>
      <c r="AB961" s="435"/>
      <c r="AC961" s="1818"/>
      <c r="AF961" s="1818"/>
      <c r="AG961" s="435"/>
      <c r="AH961" s="1818"/>
      <c r="AK961" s="1818"/>
      <c r="AL961" s="435"/>
      <c r="AM961" s="1818"/>
      <c r="AP961" s="1818"/>
      <c r="AQ961" s="435"/>
      <c r="AR961" s="436"/>
      <c r="AS961" s="436"/>
      <c r="AT961" s="436"/>
      <c r="AU961" s="436"/>
      <c r="AV961" s="436"/>
      <c r="AW961" s="436"/>
      <c r="AX961" s="435"/>
      <c r="AY961" s="1818"/>
      <c r="BB961" s="436"/>
      <c r="BC961" s="435"/>
      <c r="BD961" s="1818"/>
      <c r="JW961" s="2052"/>
      <c r="KB961" s="2052"/>
      <c r="KG961" s="2052"/>
      <c r="KL961" s="2052"/>
      <c r="KM961" s="2052"/>
      <c r="KN961" s="2052"/>
      <c r="KO961" s="2052"/>
      <c r="KP961" s="2052"/>
      <c r="KQ961" s="2052"/>
      <c r="KR961" s="2052"/>
      <c r="KS961" s="2052"/>
      <c r="KT961" s="2052"/>
      <c r="KU961" s="2052"/>
      <c r="KV961" s="2052"/>
      <c r="KW961" s="2052"/>
      <c r="KX961" s="2052"/>
      <c r="KY961" s="2052"/>
      <c r="KZ961" s="2052"/>
      <c r="LA961" s="2052"/>
      <c r="LB961" s="2052"/>
      <c r="LC961" s="2052"/>
      <c r="LD961" s="2052"/>
      <c r="LE961" s="2052"/>
      <c r="LF961" s="2052"/>
      <c r="LG961" s="2052"/>
      <c r="NP961" s="1925"/>
    </row>
    <row r="962" spans="1:380" s="1853" customFormat="1" ht="14.25" customHeight="1">
      <c r="A962" s="1719"/>
      <c r="B962" s="1719"/>
      <c r="C962" s="1843"/>
      <c r="D962" s="1818"/>
      <c r="E962" s="1719" t="s">
        <v>349</v>
      </c>
      <c r="F962" s="1818"/>
      <c r="G962" s="1865"/>
      <c r="H962" s="2115"/>
      <c r="K962" s="2168">
        <f>'Part VI-Revenues &amp; Expenses'!K122</f>
        <v>0</v>
      </c>
      <c r="L962" s="2168">
        <f>'Part VI-Revenues &amp; Expenses'!L122</f>
        <v>0</v>
      </c>
      <c r="M962" s="2168">
        <f>'Part VI-Revenues &amp; Expenses'!M122</f>
        <v>0</v>
      </c>
      <c r="N962" s="2168">
        <f>'Part VI-Revenues &amp; Expenses'!N122</f>
        <v>0</v>
      </c>
      <c r="O962" s="2168">
        <f>'Part VI-Revenues &amp; Expenses'!O122</f>
        <v>0</v>
      </c>
      <c r="P962" s="2153">
        <f t="shared" si="360"/>
        <v>0</v>
      </c>
      <c r="S962" s="2044"/>
      <c r="T962" s="2044"/>
      <c r="U962" s="2044"/>
      <c r="V962" s="2044"/>
      <c r="W962" s="2044"/>
      <c r="X962" s="1818"/>
      <c r="AA962" s="1818"/>
      <c r="AB962" s="435"/>
      <c r="AC962" s="1818"/>
      <c r="AF962" s="1818"/>
      <c r="AG962" s="435"/>
      <c r="AH962" s="1818"/>
      <c r="AK962" s="1818"/>
      <c r="AL962" s="435"/>
      <c r="AM962" s="1818"/>
      <c r="AP962" s="1818"/>
      <c r="AQ962" s="435"/>
      <c r="AR962" s="436"/>
      <c r="AS962" s="436"/>
      <c r="AT962" s="436"/>
      <c r="AU962" s="436"/>
      <c r="AV962" s="436"/>
      <c r="AW962" s="436"/>
      <c r="AX962" s="2113"/>
      <c r="AY962" s="1818"/>
      <c r="BB962" s="436"/>
      <c r="BC962" s="2113"/>
      <c r="BD962" s="1818"/>
      <c r="JW962" s="2052"/>
      <c r="KB962" s="2052"/>
      <c r="KG962" s="2052"/>
      <c r="KL962" s="2052"/>
      <c r="KM962" s="2052"/>
      <c r="KN962" s="2052"/>
      <c r="KO962" s="2052"/>
      <c r="KP962" s="2052"/>
      <c r="KQ962" s="2052"/>
      <c r="KR962" s="2052"/>
      <c r="KS962" s="2052"/>
      <c r="KT962" s="2052"/>
      <c r="KU962" s="2052"/>
      <c r="KV962" s="2052"/>
      <c r="KW962" s="2052"/>
      <c r="KX962" s="2052"/>
      <c r="KY962" s="2052"/>
      <c r="KZ962" s="2052"/>
      <c r="LA962" s="2052"/>
      <c r="LB962" s="2052"/>
      <c r="LC962" s="2052"/>
      <c r="LD962" s="2052"/>
      <c r="LE962" s="2052"/>
      <c r="LF962" s="2052"/>
      <c r="LG962" s="2052"/>
      <c r="NP962" s="1925"/>
    </row>
    <row r="963" spans="1:380" s="1853" customFormat="1" ht="14.25" customHeight="1">
      <c r="A963" s="2115" t="str">
        <f>IF(AND('Part IV-A-Uses of Funds'!$T$185="Yes",'Part IX Scoring Criteria'!$O$330&gt;0,P963&lt;1),"SHOW HISTORIC UNITS HERE &gt;&gt;&gt;&gt;","")</f>
        <v/>
      </c>
      <c r="B963" s="2115"/>
      <c r="C963" s="2115"/>
      <c r="D963" s="2115"/>
      <c r="E963" s="1719" t="s">
        <v>6846</v>
      </c>
      <c r="F963" s="1818"/>
      <c r="G963" s="1865"/>
      <c r="H963" s="2115"/>
      <c r="K963" s="2168">
        <f>'Part VI-Revenues &amp; Expenses'!K123</f>
        <v>0</v>
      </c>
      <c r="L963" s="2168">
        <f>'Part VI-Revenues &amp; Expenses'!L123</f>
        <v>0</v>
      </c>
      <c r="M963" s="2168">
        <f>'Part VI-Revenues &amp; Expenses'!M123</f>
        <v>0</v>
      </c>
      <c r="N963" s="2168">
        <f>'Part VI-Revenues &amp; Expenses'!N123</f>
        <v>0</v>
      </c>
      <c r="O963" s="2168">
        <f>'Part VI-Revenues &amp; Expenses'!O123</f>
        <v>0</v>
      </c>
      <c r="P963" s="2153">
        <f t="shared" si="360"/>
        <v>0</v>
      </c>
      <c r="S963" s="2044"/>
      <c r="T963" s="2044"/>
      <c r="U963" s="2044"/>
      <c r="V963" s="2044"/>
      <c r="W963" s="2044"/>
      <c r="X963" s="1818"/>
      <c r="AA963" s="1818"/>
      <c r="AB963" s="435"/>
      <c r="AC963" s="1818"/>
      <c r="AF963" s="1818"/>
      <c r="AG963" s="435"/>
      <c r="AH963" s="1818"/>
      <c r="AK963" s="1818"/>
      <c r="AL963" s="435"/>
      <c r="AM963" s="1818"/>
      <c r="AP963" s="1818"/>
      <c r="AQ963" s="435"/>
      <c r="AR963" s="436"/>
      <c r="AS963" s="436"/>
      <c r="AT963" s="436"/>
      <c r="AU963" s="436"/>
      <c r="AV963" s="436"/>
      <c r="AW963" s="436"/>
      <c r="AX963" s="2113"/>
      <c r="AY963" s="1818"/>
      <c r="BB963" s="436"/>
      <c r="BC963" s="2113"/>
      <c r="BD963" s="1818"/>
      <c r="JW963" s="2052"/>
      <c r="KB963" s="2052"/>
      <c r="KG963" s="2052"/>
      <c r="KL963" s="2052"/>
      <c r="KM963" s="2052"/>
      <c r="KN963" s="2052"/>
      <c r="KO963" s="2052"/>
      <c r="KP963" s="2052"/>
      <c r="KQ963" s="2052"/>
      <c r="KR963" s="2052"/>
      <c r="KS963" s="2052"/>
      <c r="KT963" s="2052"/>
      <c r="KU963" s="2052"/>
      <c r="KV963" s="2052"/>
      <c r="KW963" s="2052"/>
      <c r="KX963" s="2052"/>
      <c r="KY963" s="2052"/>
      <c r="KZ963" s="2052"/>
      <c r="LA963" s="2052"/>
      <c r="LB963" s="2052"/>
      <c r="LC963" s="2052"/>
      <c r="LD963" s="2052"/>
      <c r="LE963" s="2052"/>
      <c r="LF963" s="2052"/>
      <c r="LG963" s="2052"/>
      <c r="NP963" s="1925"/>
    </row>
    <row r="964" spans="1:380" s="1853" customFormat="1" ht="9" customHeight="1">
      <c r="A964" s="2169"/>
      <c r="B964" s="2169"/>
      <c r="C964" s="2169"/>
      <c r="D964" s="2169"/>
      <c r="E964" s="1719"/>
      <c r="F964" s="1818"/>
      <c r="G964" s="1865"/>
      <c r="H964" s="2115"/>
      <c r="K964" s="435"/>
      <c r="L964" s="435"/>
      <c r="M964" s="435"/>
      <c r="N964" s="435"/>
      <c r="O964" s="435"/>
      <c r="P964" s="435"/>
      <c r="S964" s="2044"/>
      <c r="T964" s="2044"/>
      <c r="U964" s="2044"/>
      <c r="V964" s="2044"/>
      <c r="W964" s="2044"/>
      <c r="X964" s="1818"/>
      <c r="AA964" s="1818"/>
      <c r="AB964" s="435"/>
      <c r="AC964" s="1818"/>
      <c r="AF964" s="1818"/>
      <c r="AG964" s="435"/>
      <c r="AH964" s="1818"/>
      <c r="AK964" s="1818"/>
      <c r="AL964" s="435"/>
      <c r="AM964" s="1818"/>
      <c r="AP964" s="1818"/>
      <c r="AQ964" s="435"/>
      <c r="AR964" s="436"/>
      <c r="AS964" s="436"/>
      <c r="AT964" s="436"/>
      <c r="AU964" s="436"/>
      <c r="AV964" s="436"/>
      <c r="AW964" s="436"/>
      <c r="AX964" s="2113"/>
      <c r="AY964" s="1818"/>
      <c r="BB964" s="436"/>
      <c r="BC964" s="2113"/>
      <c r="BD964" s="1818"/>
      <c r="JW964" s="2052"/>
      <c r="KB964" s="2052"/>
      <c r="KG964" s="2052"/>
      <c r="KL964" s="2052"/>
      <c r="KM964" s="2052"/>
      <c r="KN964" s="2052"/>
      <c r="KO964" s="2052"/>
      <c r="KP964" s="2052"/>
      <c r="KQ964" s="2052"/>
      <c r="KR964" s="2052"/>
      <c r="KS964" s="2052"/>
      <c r="KT964" s="2052"/>
      <c r="KU964" s="2052"/>
      <c r="KV964" s="2052"/>
      <c r="KW964" s="2052"/>
      <c r="KX964" s="2052"/>
      <c r="KY964" s="2052"/>
      <c r="KZ964" s="2052"/>
      <c r="LA964" s="2052"/>
      <c r="LB964" s="2052"/>
      <c r="LC964" s="2052"/>
      <c r="LD964" s="2052"/>
      <c r="LE964" s="2052"/>
      <c r="LF964" s="2052"/>
      <c r="LG964" s="2052"/>
      <c r="NP964" s="1925"/>
    </row>
    <row r="965" spans="1:380" s="1853" customFormat="1" ht="14.25" customHeight="1">
      <c r="A965" s="2169"/>
      <c r="B965" s="2169"/>
      <c r="C965" s="2169"/>
      <c r="D965" s="2169"/>
      <c r="E965" s="1719" t="s">
        <v>3116</v>
      </c>
      <c r="F965" s="1818"/>
      <c r="G965" s="1865"/>
      <c r="H965" s="2115"/>
      <c r="K965" s="2153">
        <f>K969+K973+K977+K979+K981+K983</f>
        <v>0</v>
      </c>
      <c r="L965" s="2153">
        <f>L969+L973+L977+L979+L981+L983</f>
        <v>0</v>
      </c>
      <c r="M965" s="2153">
        <f>M969+M973+M977+M979+M981+M983</f>
        <v>0</v>
      </c>
      <c r="N965" s="2153">
        <f>N969+N973+N977+N979+N981+N983</f>
        <v>0</v>
      </c>
      <c r="O965" s="2153">
        <f>O969+O973+O977+O979+O981+O983</f>
        <v>0</v>
      </c>
      <c r="P965" s="2153">
        <f>SUM(K965:O965)</f>
        <v>0</v>
      </c>
      <c r="S965" s="2044"/>
      <c r="T965" s="2044"/>
      <c r="U965" s="2044"/>
      <c r="V965" s="2044"/>
      <c r="W965" s="2044"/>
      <c r="X965" s="1818"/>
      <c r="AA965" s="1818"/>
      <c r="AB965" s="435"/>
      <c r="AC965" s="1818"/>
      <c r="AF965" s="1818"/>
      <c r="AG965" s="435"/>
      <c r="AH965" s="1818"/>
      <c r="AK965" s="1818"/>
      <c r="AL965" s="435"/>
      <c r="AM965" s="1818"/>
      <c r="AP965" s="1818"/>
      <c r="AQ965" s="435"/>
      <c r="AR965" s="436"/>
      <c r="AS965" s="436"/>
      <c r="AT965" s="436"/>
      <c r="AU965" s="436"/>
      <c r="AV965" s="436"/>
      <c r="AW965" s="436"/>
      <c r="AX965" s="2113"/>
      <c r="AY965" s="1818"/>
      <c r="BB965" s="436"/>
      <c r="BC965" s="2113"/>
      <c r="BD965" s="1818"/>
      <c r="JW965" s="2052"/>
      <c r="KB965" s="2052"/>
      <c r="KG965" s="2052"/>
      <c r="KL965" s="2052"/>
      <c r="KM965" s="2052"/>
      <c r="KN965" s="2052"/>
      <c r="KO965" s="2052"/>
      <c r="KP965" s="2052"/>
      <c r="KQ965" s="2052"/>
      <c r="KR965" s="2052"/>
      <c r="KS965" s="2052"/>
      <c r="KT965" s="2052"/>
      <c r="KU965" s="2052"/>
      <c r="KV965" s="2052"/>
      <c r="KW965" s="2052"/>
      <c r="KX965" s="2052"/>
      <c r="KY965" s="2052"/>
      <c r="KZ965" s="2052"/>
      <c r="LA965" s="2052"/>
      <c r="LB965" s="2052"/>
      <c r="LC965" s="2052"/>
      <c r="LD965" s="2052"/>
      <c r="LE965" s="2052"/>
      <c r="LF965" s="2052"/>
      <c r="LG965" s="2052"/>
      <c r="NP965" s="1925"/>
    </row>
    <row r="966" spans="1:380" s="1853" customFormat="1" ht="21" customHeight="1">
      <c r="D966" s="1818"/>
      <c r="E966" s="1719"/>
      <c r="F966" s="1818"/>
      <c r="G966" s="1865"/>
      <c r="H966" s="2115"/>
      <c r="K966" s="2166"/>
      <c r="L966" s="2166"/>
      <c r="M966" s="2166"/>
      <c r="N966" s="2166"/>
      <c r="O966" s="2166"/>
      <c r="P966" s="2166"/>
      <c r="S966" s="1876" t="str">
        <f>C967</f>
        <v xml:space="preserve">Building Type: (for Utility Allowance, Monitoring Fees, etc)
</v>
      </c>
      <c r="U966" s="1851"/>
      <c r="X966" s="1818"/>
      <c r="AA966" s="1818"/>
      <c r="AB966" s="435"/>
      <c r="AC966" s="1818"/>
      <c r="AF966" s="1818"/>
      <c r="AG966" s="435"/>
      <c r="AH966" s="1818"/>
      <c r="AK966" s="1818"/>
      <c r="AL966" s="435"/>
      <c r="AM966" s="1818"/>
      <c r="AP966" s="1818"/>
      <c r="AQ966" s="435"/>
      <c r="AR966" s="1818"/>
      <c r="AS966" s="1818"/>
      <c r="AT966" s="1818"/>
      <c r="AU966" s="1818"/>
      <c r="AV966" s="1818"/>
      <c r="AW966" s="1818"/>
      <c r="AY966" s="1818"/>
      <c r="BB966" s="1818"/>
      <c r="BD966" s="1818"/>
      <c r="JW966" s="2052"/>
      <c r="KB966" s="2052"/>
      <c r="KG966" s="2052"/>
      <c r="KL966" s="2052"/>
      <c r="KM966" s="2052"/>
      <c r="KN966" s="2052"/>
      <c r="KO966" s="2052"/>
      <c r="KP966" s="2052"/>
      <c r="KQ966" s="2052"/>
      <c r="KR966" s="2052"/>
      <c r="KS966" s="2052"/>
      <c r="KT966" s="2052"/>
      <c r="KU966" s="2052"/>
      <c r="KV966" s="2052"/>
      <c r="KW966" s="2052"/>
      <c r="KX966" s="2052"/>
      <c r="KY966" s="2052"/>
      <c r="KZ966" s="2052"/>
      <c r="LA966" s="2052"/>
      <c r="LB966" s="2052"/>
      <c r="LC966" s="2052"/>
      <c r="LD966" s="2052"/>
      <c r="LE966" s="2052"/>
      <c r="LF966" s="2052"/>
      <c r="LG966" s="2052"/>
      <c r="NP966" s="1925"/>
    </row>
    <row r="967" spans="1:380" s="1853" customFormat="1" ht="14.25" customHeight="1">
      <c r="C967" s="2159" t="s">
        <v>7148</v>
      </c>
      <c r="D967" s="2159"/>
      <c r="E967" s="1719" t="s">
        <v>36</v>
      </c>
      <c r="F967" s="1818"/>
      <c r="G967" s="1865"/>
      <c r="H967" s="2115"/>
      <c r="K967" s="2153">
        <f t="shared" ref="K967:P967" si="361">SUM(K968:K975)</f>
        <v>0</v>
      </c>
      <c r="L967" s="2153">
        <f t="shared" si="361"/>
        <v>16</v>
      </c>
      <c r="M967" s="2153">
        <f t="shared" si="361"/>
        <v>36</v>
      </c>
      <c r="N967" s="2153">
        <f t="shared" si="361"/>
        <v>20</v>
      </c>
      <c r="O967" s="2153">
        <f t="shared" si="361"/>
        <v>0</v>
      </c>
      <c r="P967" s="2153">
        <f t="shared" si="361"/>
        <v>72</v>
      </c>
      <c r="S967" s="2044"/>
      <c r="T967" s="2044"/>
      <c r="U967" s="2044"/>
      <c r="V967" s="2044"/>
      <c r="W967" s="2044"/>
      <c r="X967" s="1818"/>
      <c r="AA967" s="1818"/>
      <c r="AB967" s="435"/>
      <c r="AC967" s="1818"/>
      <c r="AF967" s="1818"/>
      <c r="AG967" s="435"/>
      <c r="AH967" s="1818"/>
      <c r="AK967" s="1818"/>
      <c r="AL967" s="435"/>
      <c r="AM967" s="1818"/>
      <c r="AP967" s="1818"/>
      <c r="AQ967" s="435"/>
      <c r="AR967" s="436"/>
      <c r="AS967" s="436"/>
      <c r="AT967" s="436"/>
      <c r="AU967" s="436"/>
      <c r="AV967" s="436"/>
      <c r="AW967" s="436"/>
      <c r="BB967" s="436"/>
      <c r="NP967" s="1925"/>
    </row>
    <row r="968" spans="1:380" s="1853" customFormat="1" ht="14.25" customHeight="1">
      <c r="C968" s="2159"/>
      <c r="D968" s="2159"/>
      <c r="E968" s="1719"/>
      <c r="F968" s="1818"/>
      <c r="H968" s="2116" t="s">
        <v>6596</v>
      </c>
      <c r="I968" s="2122"/>
      <c r="K968" s="2153">
        <f>JS889</f>
        <v>0</v>
      </c>
      <c r="L968" s="2153">
        <f>JT889</f>
        <v>16</v>
      </c>
      <c r="M968" s="2153">
        <f>JU889</f>
        <v>36</v>
      </c>
      <c r="N968" s="2153">
        <f>JV889</f>
        <v>20</v>
      </c>
      <c r="O968" s="2153">
        <f>JW889</f>
        <v>0</v>
      </c>
      <c r="P968" s="2153">
        <f t="shared" ref="P968:P983" si="362">SUM(K968:O968)</f>
        <v>72</v>
      </c>
      <c r="S968" s="2044"/>
      <c r="T968" s="2044"/>
      <c r="U968" s="2044"/>
      <c r="V968" s="2044"/>
      <c r="W968" s="2044"/>
      <c r="X968" s="1818"/>
      <c r="AA968" s="1818"/>
      <c r="AB968" s="435"/>
      <c r="AC968" s="1818"/>
      <c r="AF968" s="1818"/>
      <c r="AG968" s="435"/>
      <c r="AH968" s="1818"/>
      <c r="AK968" s="1818"/>
      <c r="AL968" s="435"/>
      <c r="AM968" s="1818"/>
      <c r="AP968" s="1818"/>
      <c r="AQ968" s="435"/>
      <c r="AR968" s="436"/>
      <c r="AS968" s="436"/>
      <c r="AT968" s="436"/>
      <c r="AU968" s="436"/>
      <c r="AV968" s="436"/>
      <c r="AW968" s="436"/>
      <c r="BB968" s="436"/>
      <c r="NP968" s="1925"/>
    </row>
    <row r="969" spans="1:380" s="1853" customFormat="1" ht="14.25" customHeight="1">
      <c r="C969" s="2159"/>
      <c r="D969" s="2159"/>
      <c r="E969" s="1719"/>
      <c r="F969" s="1818"/>
      <c r="H969" s="2170" t="s">
        <v>3116</v>
      </c>
      <c r="I969" s="2171"/>
      <c r="K969" s="2158">
        <f>KC889</f>
        <v>0</v>
      </c>
      <c r="L969" s="2158">
        <f>KD889</f>
        <v>0</v>
      </c>
      <c r="M969" s="2158">
        <f>KE889</f>
        <v>0</v>
      </c>
      <c r="N969" s="2158">
        <f>KF889</f>
        <v>0</v>
      </c>
      <c r="O969" s="2158">
        <f>KG889</f>
        <v>0</v>
      </c>
      <c r="P969" s="2158">
        <f t="shared" si="362"/>
        <v>0</v>
      </c>
      <c r="S969" s="2044"/>
      <c r="T969" s="2044"/>
      <c r="U969" s="2044"/>
      <c r="V969" s="2044"/>
      <c r="W969" s="2044"/>
      <c r="X969" s="1818"/>
      <c r="AA969" s="1818"/>
      <c r="AB969" s="435"/>
      <c r="AC969" s="1818"/>
      <c r="AF969" s="1818"/>
      <c r="AG969" s="435"/>
      <c r="AH969" s="1818"/>
      <c r="AK969" s="1818"/>
      <c r="AL969" s="435"/>
      <c r="AM969" s="1818"/>
      <c r="AP969" s="1818"/>
      <c r="AQ969" s="435"/>
      <c r="AR969" s="436"/>
      <c r="AS969" s="436"/>
      <c r="AT969" s="436"/>
      <c r="AU969" s="436"/>
      <c r="AV969" s="436"/>
      <c r="AW969" s="436"/>
      <c r="BB969" s="436"/>
      <c r="NP969" s="1925"/>
    </row>
    <row r="970" spans="1:380" s="1853" customFormat="1" ht="14.25" customHeight="1">
      <c r="C970" s="2159"/>
      <c r="D970" s="2159"/>
      <c r="E970" s="1719"/>
      <c r="F970" s="1818"/>
      <c r="H970" s="2116" t="s">
        <v>6806</v>
      </c>
      <c r="I970" s="2122"/>
      <c r="K970" s="2153">
        <f>JX889</f>
        <v>0</v>
      </c>
      <c r="L970" s="2153">
        <f>JY889</f>
        <v>0</v>
      </c>
      <c r="M970" s="2153">
        <f>JZ889</f>
        <v>0</v>
      </c>
      <c r="N970" s="2153">
        <f>KA889</f>
        <v>0</v>
      </c>
      <c r="O970" s="2153">
        <f>KB889</f>
        <v>0</v>
      </c>
      <c r="P970" s="2153">
        <f t="shared" si="362"/>
        <v>0</v>
      </c>
      <c r="S970" s="2044"/>
      <c r="T970" s="2044"/>
      <c r="U970" s="2044"/>
      <c r="V970" s="2044"/>
      <c r="W970" s="2044"/>
      <c r="X970" s="1818"/>
      <c r="AA970" s="1818"/>
      <c r="AB970" s="435"/>
      <c r="AC970" s="1818"/>
      <c r="AF970" s="1818"/>
      <c r="AG970" s="435"/>
      <c r="AH970" s="1818"/>
      <c r="AK970" s="1818"/>
      <c r="AL970" s="435"/>
      <c r="AM970" s="1818"/>
      <c r="AP970" s="1818"/>
      <c r="AQ970" s="435"/>
      <c r="AR970" s="436"/>
      <c r="AS970" s="436"/>
      <c r="AT970" s="436"/>
      <c r="AU970" s="436"/>
      <c r="AV970" s="436"/>
      <c r="AW970" s="436"/>
      <c r="BB970" s="436"/>
      <c r="NP970" s="1925"/>
    </row>
    <row r="971" spans="1:380" s="1853" customFormat="1" ht="14.25" customHeight="1">
      <c r="C971" s="2159"/>
      <c r="D971" s="2159"/>
      <c r="E971" s="1719"/>
      <c r="F971" s="1818"/>
      <c r="H971" s="2170" t="s">
        <v>3116</v>
      </c>
      <c r="I971" s="2171"/>
      <c r="K971" s="2158">
        <f>KH889</f>
        <v>0</v>
      </c>
      <c r="L971" s="2158">
        <f>KI889</f>
        <v>0</v>
      </c>
      <c r="M971" s="2158">
        <f>KJ889</f>
        <v>0</v>
      </c>
      <c r="N971" s="2158">
        <f>KK889</f>
        <v>0</v>
      </c>
      <c r="O971" s="2158">
        <f>KL889</f>
        <v>0</v>
      </c>
      <c r="P971" s="2158">
        <f t="shared" si="362"/>
        <v>0</v>
      </c>
      <c r="S971" s="2044"/>
      <c r="T971" s="2044"/>
      <c r="U971" s="2044"/>
      <c r="V971" s="2044"/>
      <c r="W971" s="2044"/>
      <c r="X971" s="1818"/>
      <c r="AA971" s="1818"/>
      <c r="AB971" s="435"/>
      <c r="AC971" s="1818"/>
      <c r="AF971" s="1818"/>
      <c r="AG971" s="435"/>
      <c r="AH971" s="1818"/>
      <c r="AK971" s="1818"/>
      <c r="AL971" s="435"/>
      <c r="AM971" s="1818"/>
      <c r="AP971" s="1818"/>
      <c r="AQ971" s="435"/>
      <c r="AR971" s="436"/>
      <c r="AS971" s="436"/>
      <c r="AT971" s="436"/>
      <c r="AU971" s="436"/>
      <c r="AV971" s="436"/>
      <c r="AW971" s="436"/>
      <c r="BB971" s="436"/>
      <c r="NP971" s="1925"/>
    </row>
    <row r="972" spans="1:380" s="1853" customFormat="1" ht="14.25" customHeight="1">
      <c r="C972" s="2159"/>
      <c r="D972" s="2159"/>
      <c r="E972" s="1719"/>
      <c r="F972" s="1818"/>
      <c r="H972" s="2116" t="s">
        <v>6598</v>
      </c>
      <c r="I972" s="2122"/>
      <c r="K972" s="2153">
        <f>KM889</f>
        <v>0</v>
      </c>
      <c r="L972" s="2153">
        <f>KN889</f>
        <v>0</v>
      </c>
      <c r="M972" s="2153">
        <f>KO889</f>
        <v>0</v>
      </c>
      <c r="N972" s="2153">
        <f>KP889</f>
        <v>0</v>
      </c>
      <c r="O972" s="2153">
        <f>KQ889</f>
        <v>0</v>
      </c>
      <c r="P972" s="2153">
        <f t="shared" si="362"/>
        <v>0</v>
      </c>
      <c r="S972" s="2044"/>
      <c r="T972" s="2044"/>
      <c r="U972" s="2044"/>
      <c r="V972" s="2044"/>
      <c r="W972" s="2044"/>
      <c r="X972" s="1818"/>
      <c r="AA972" s="1818"/>
      <c r="AB972" s="435"/>
      <c r="AC972" s="1818"/>
      <c r="AF972" s="1818"/>
      <c r="AG972" s="435"/>
      <c r="AH972" s="1818"/>
      <c r="AK972" s="1818"/>
      <c r="AL972" s="435"/>
      <c r="AM972" s="1818"/>
      <c r="AP972" s="1818"/>
      <c r="AQ972" s="435"/>
      <c r="AR972" s="436"/>
      <c r="AS972" s="436"/>
      <c r="AT972" s="436"/>
      <c r="AU972" s="436"/>
      <c r="AV972" s="436"/>
      <c r="AW972" s="436"/>
      <c r="BB972" s="436"/>
      <c r="NP972" s="1925"/>
    </row>
    <row r="973" spans="1:380" s="1853" customFormat="1" ht="14.25" customHeight="1">
      <c r="C973" s="2159"/>
      <c r="D973" s="2159"/>
      <c r="E973" s="1719"/>
      <c r="F973" s="1818"/>
      <c r="H973" s="2170" t="s">
        <v>3116</v>
      </c>
      <c r="I973" s="2171"/>
      <c r="K973" s="2158">
        <f>KW889</f>
        <v>0</v>
      </c>
      <c r="L973" s="2158">
        <f>KX889</f>
        <v>0</v>
      </c>
      <c r="M973" s="2158">
        <f>KY889</f>
        <v>0</v>
      </c>
      <c r="N973" s="2158">
        <f>KZ889</f>
        <v>0</v>
      </c>
      <c r="O973" s="2158">
        <f>LA889</f>
        <v>0</v>
      </c>
      <c r="P973" s="2158">
        <f t="shared" si="362"/>
        <v>0</v>
      </c>
      <c r="S973" s="2044"/>
      <c r="T973" s="2044"/>
      <c r="U973" s="2044"/>
      <c r="V973" s="2044"/>
      <c r="W973" s="2044"/>
      <c r="X973" s="1818"/>
      <c r="AA973" s="1818"/>
      <c r="AB973" s="435"/>
      <c r="AC973" s="1818"/>
      <c r="AF973" s="1818"/>
      <c r="AG973" s="435"/>
      <c r="AH973" s="1818"/>
      <c r="AK973" s="1818"/>
      <c r="AL973" s="435"/>
      <c r="AM973" s="1818"/>
      <c r="AP973" s="1818"/>
      <c r="AQ973" s="435"/>
      <c r="AR973" s="436"/>
      <c r="AS973" s="436"/>
      <c r="AT973" s="436"/>
      <c r="AU973" s="436"/>
      <c r="AV973" s="436"/>
      <c r="AW973" s="436"/>
      <c r="BB973" s="436"/>
      <c r="NP973" s="1925"/>
    </row>
    <row r="974" spans="1:380" s="1853" customFormat="1" ht="14.25" customHeight="1">
      <c r="C974" s="2159"/>
      <c r="D974" s="2159"/>
      <c r="E974" s="1719"/>
      <c r="F974" s="1818"/>
      <c r="H974" s="2116" t="s">
        <v>6813</v>
      </c>
      <c r="I974" s="2122"/>
      <c r="K974" s="2153">
        <f>KR889</f>
        <v>0</v>
      </c>
      <c r="L974" s="2153">
        <f>KS889</f>
        <v>0</v>
      </c>
      <c r="M974" s="2153">
        <f>KT889</f>
        <v>0</v>
      </c>
      <c r="N974" s="2153">
        <f>KU889</f>
        <v>0</v>
      </c>
      <c r="O974" s="2153">
        <f>KV889</f>
        <v>0</v>
      </c>
      <c r="P974" s="2153">
        <f t="shared" si="362"/>
        <v>0</v>
      </c>
      <c r="S974" s="2044"/>
      <c r="T974" s="2044"/>
      <c r="U974" s="2044"/>
      <c r="V974" s="2044"/>
      <c r="W974" s="2044"/>
      <c r="X974" s="1818"/>
      <c r="AA974" s="1818"/>
      <c r="AB974" s="435"/>
      <c r="AC974" s="1818"/>
      <c r="AF974" s="1818"/>
      <c r="AG974" s="435"/>
      <c r="AH974" s="1818"/>
      <c r="AK974" s="1818"/>
      <c r="AL974" s="435"/>
      <c r="AM974" s="1818"/>
      <c r="AP974" s="1818"/>
      <c r="AQ974" s="435"/>
      <c r="AR974" s="436"/>
      <c r="AS974" s="436"/>
      <c r="AT974" s="436"/>
      <c r="AU974" s="436"/>
      <c r="AV974" s="436"/>
      <c r="AW974" s="436"/>
      <c r="BB974" s="436"/>
      <c r="NP974" s="1925"/>
    </row>
    <row r="975" spans="1:380" s="1853" customFormat="1" ht="14.25" customHeight="1">
      <c r="C975" s="2159"/>
      <c r="D975" s="2159"/>
      <c r="E975" s="1719"/>
      <c r="F975" s="1818"/>
      <c r="H975" s="2170" t="s">
        <v>3116</v>
      </c>
      <c r="I975" s="2171"/>
      <c r="K975" s="2158">
        <f>LB889</f>
        <v>0</v>
      </c>
      <c r="L975" s="2158">
        <f>LC889</f>
        <v>0</v>
      </c>
      <c r="M975" s="2158">
        <f>LD889</f>
        <v>0</v>
      </c>
      <c r="N975" s="2158">
        <f>LE889</f>
        <v>0</v>
      </c>
      <c r="O975" s="2158">
        <f>LF889</f>
        <v>0</v>
      </c>
      <c r="P975" s="2158">
        <f t="shared" si="362"/>
        <v>0</v>
      </c>
      <c r="S975" s="2044"/>
      <c r="T975" s="2044"/>
      <c r="U975" s="2044"/>
      <c r="V975" s="2044"/>
      <c r="W975" s="2044"/>
      <c r="X975" s="1818"/>
      <c r="AA975" s="1818"/>
      <c r="AB975" s="435"/>
      <c r="AC975" s="1818"/>
      <c r="AF975" s="1818"/>
      <c r="AG975" s="435"/>
      <c r="AH975" s="1818"/>
      <c r="AK975" s="1818"/>
      <c r="AL975" s="435"/>
      <c r="AM975" s="1818"/>
      <c r="AP975" s="1818"/>
      <c r="AQ975" s="435"/>
      <c r="AR975" s="436"/>
      <c r="AS975" s="436"/>
      <c r="AT975" s="436"/>
      <c r="AU975" s="436"/>
      <c r="AV975" s="436"/>
      <c r="AW975" s="436"/>
      <c r="BB975" s="436"/>
      <c r="NP975" s="1925"/>
    </row>
    <row r="976" spans="1:380" s="1853" customFormat="1" ht="14.25" customHeight="1">
      <c r="C976" s="2159"/>
      <c r="D976" s="2159"/>
      <c r="E976" s="1719" t="s">
        <v>6808</v>
      </c>
      <c r="F976" s="1818"/>
      <c r="H976" s="2116"/>
      <c r="I976" s="2122"/>
      <c r="K976" s="2153">
        <f>IE889</f>
        <v>0</v>
      </c>
      <c r="L976" s="2153">
        <f>IF889</f>
        <v>0</v>
      </c>
      <c r="M976" s="2153">
        <f>IG889</f>
        <v>0</v>
      </c>
      <c r="N976" s="2153">
        <f>IH889</f>
        <v>0</v>
      </c>
      <c r="O976" s="2153">
        <f>II889</f>
        <v>0</v>
      </c>
      <c r="P976" s="2153">
        <f t="shared" si="362"/>
        <v>0</v>
      </c>
      <c r="S976" s="2044"/>
      <c r="T976" s="2044"/>
      <c r="U976" s="2044"/>
      <c r="V976" s="2044"/>
      <c r="W976" s="2044"/>
      <c r="X976" s="1818"/>
      <c r="AA976" s="1818"/>
      <c r="AB976" s="435"/>
      <c r="AC976" s="1818"/>
      <c r="AF976" s="1818"/>
      <c r="AG976" s="435"/>
      <c r="AH976" s="1818"/>
      <c r="AK976" s="1818"/>
      <c r="AL976" s="435"/>
      <c r="AM976" s="1818"/>
      <c r="AP976" s="1818"/>
      <c r="AQ976" s="435"/>
      <c r="AR976" s="436"/>
      <c r="AS976" s="436"/>
      <c r="AT976" s="436"/>
      <c r="AU976" s="436"/>
      <c r="AV976" s="436"/>
      <c r="AW976" s="436"/>
      <c r="AX976" s="2113"/>
      <c r="AY976" s="1818"/>
      <c r="BB976" s="436"/>
      <c r="BC976" s="2113"/>
      <c r="BD976" s="1818"/>
      <c r="JW976" s="2052"/>
      <c r="KB976" s="2052"/>
      <c r="KG976" s="2052"/>
      <c r="KL976" s="2052"/>
      <c r="KM976" s="2052"/>
      <c r="KN976" s="2052"/>
      <c r="KO976" s="2052"/>
      <c r="KP976" s="2052"/>
      <c r="KQ976" s="2052"/>
      <c r="KR976" s="2052"/>
      <c r="KS976" s="2052"/>
      <c r="KT976" s="2052"/>
      <c r="KU976" s="2052"/>
      <c r="KV976" s="2052"/>
      <c r="KW976" s="2052"/>
      <c r="KX976" s="2052"/>
      <c r="KY976" s="2052"/>
      <c r="KZ976" s="2052"/>
      <c r="LA976" s="2052"/>
      <c r="LB976" s="2052"/>
      <c r="LC976" s="2052"/>
      <c r="LD976" s="2052"/>
      <c r="LE976" s="2052"/>
      <c r="LF976" s="2052"/>
      <c r="LG976" s="2052"/>
      <c r="NP976" s="1925"/>
    </row>
    <row r="977" spans="1:380" s="1853" customFormat="1" ht="14.25" customHeight="1">
      <c r="C977" s="2159"/>
      <c r="D977" s="2159"/>
      <c r="E977" s="1719"/>
      <c r="F977" s="1818"/>
      <c r="H977" s="2170" t="s">
        <v>3116</v>
      </c>
      <c r="I977" s="2171"/>
      <c r="K977" s="2158">
        <f>IJ889</f>
        <v>0</v>
      </c>
      <c r="L977" s="2158">
        <f>IK889</f>
        <v>0</v>
      </c>
      <c r="M977" s="2158">
        <f>IL889</f>
        <v>0</v>
      </c>
      <c r="N977" s="2158">
        <f>IM889</f>
        <v>0</v>
      </c>
      <c r="O977" s="2158">
        <f>IN889</f>
        <v>0</v>
      </c>
      <c r="P977" s="2158">
        <f t="shared" si="362"/>
        <v>0</v>
      </c>
      <c r="S977" s="2044"/>
      <c r="T977" s="2044"/>
      <c r="U977" s="2044"/>
      <c r="V977" s="2044"/>
      <c r="W977" s="2044"/>
      <c r="X977" s="1818"/>
      <c r="AA977" s="1818"/>
      <c r="AB977" s="435"/>
      <c r="AC977" s="1818"/>
      <c r="AF977" s="1818"/>
      <c r="AG977" s="435"/>
      <c r="AH977" s="1818"/>
      <c r="AK977" s="1818"/>
      <c r="AL977" s="435"/>
      <c r="AM977" s="1818"/>
      <c r="AP977" s="1818"/>
      <c r="AQ977" s="435"/>
      <c r="AR977" s="436"/>
      <c r="AS977" s="436"/>
      <c r="AT977" s="436"/>
      <c r="AU977" s="436"/>
      <c r="AV977" s="436"/>
      <c r="AW977" s="436"/>
      <c r="AX977" s="2113"/>
      <c r="AY977" s="1818"/>
      <c r="BB977" s="436"/>
      <c r="BC977" s="2113"/>
      <c r="BD977" s="1818"/>
      <c r="JW977" s="2052"/>
      <c r="KB977" s="2052"/>
      <c r="KG977" s="2052"/>
      <c r="KL977" s="2052"/>
      <c r="KM977" s="2052"/>
      <c r="KN977" s="2052"/>
      <c r="KO977" s="2052"/>
      <c r="KP977" s="2052"/>
      <c r="KQ977" s="2052"/>
      <c r="KR977" s="2052"/>
      <c r="KS977" s="2052"/>
      <c r="KT977" s="2052"/>
      <c r="KU977" s="2052"/>
      <c r="KV977" s="2052"/>
      <c r="KW977" s="2052"/>
      <c r="KX977" s="2052"/>
      <c r="KY977" s="2052"/>
      <c r="KZ977" s="2052"/>
      <c r="LA977" s="2052"/>
      <c r="LB977" s="2052"/>
      <c r="LC977" s="2052"/>
      <c r="LD977" s="2052"/>
      <c r="LE977" s="2052"/>
      <c r="LF977" s="2052"/>
      <c r="LG977" s="2052"/>
      <c r="NP977" s="1925"/>
    </row>
    <row r="978" spans="1:380" s="1853" customFormat="1" ht="14.25" customHeight="1">
      <c r="C978" s="2159"/>
      <c r="D978" s="2159"/>
      <c r="E978" s="1719" t="s">
        <v>6809</v>
      </c>
      <c r="F978" s="1818"/>
      <c r="H978" s="2116"/>
      <c r="I978" s="2122"/>
      <c r="K978" s="2153">
        <f>JI889</f>
        <v>0</v>
      </c>
      <c r="L978" s="2153">
        <f>JJ889</f>
        <v>0</v>
      </c>
      <c r="M978" s="2153">
        <f>JK889</f>
        <v>0</v>
      </c>
      <c r="N978" s="2153">
        <f>JL889</f>
        <v>0</v>
      </c>
      <c r="O978" s="2153">
        <f>JM889</f>
        <v>0</v>
      </c>
      <c r="P978" s="2153">
        <f t="shared" si="362"/>
        <v>0</v>
      </c>
      <c r="S978" s="2044"/>
      <c r="T978" s="2044"/>
      <c r="U978" s="2044"/>
      <c r="V978" s="2044"/>
      <c r="W978" s="2044"/>
      <c r="X978" s="1818"/>
      <c r="AA978" s="1818"/>
      <c r="AB978" s="435"/>
      <c r="AC978" s="1818"/>
      <c r="AF978" s="1818"/>
      <c r="AG978" s="435"/>
      <c r="AH978" s="1818"/>
      <c r="AK978" s="1818"/>
      <c r="AL978" s="435"/>
      <c r="AM978" s="1818"/>
      <c r="AP978" s="1818"/>
      <c r="AQ978" s="435"/>
      <c r="AR978" s="436"/>
      <c r="AS978" s="436"/>
      <c r="AT978" s="436"/>
      <c r="AU978" s="436"/>
      <c r="AV978" s="436"/>
      <c r="AW978" s="436"/>
      <c r="BB978" s="436"/>
      <c r="NP978" s="1925"/>
    </row>
    <row r="979" spans="1:380" s="1853" customFormat="1" ht="14.25" customHeight="1">
      <c r="C979" s="2159"/>
      <c r="D979" s="2159"/>
      <c r="E979" s="1719"/>
      <c r="F979" s="1818"/>
      <c r="H979" s="2170" t="s">
        <v>3116</v>
      </c>
      <c r="I979" s="2171"/>
      <c r="K979" s="2158">
        <f>JN889</f>
        <v>0</v>
      </c>
      <c r="L979" s="2158">
        <f>JO889</f>
        <v>0</v>
      </c>
      <c r="M979" s="2158">
        <f>JP889</f>
        <v>0</v>
      </c>
      <c r="N979" s="2158">
        <f>JQ889</f>
        <v>0</v>
      </c>
      <c r="O979" s="2158">
        <f>JR889</f>
        <v>0</v>
      </c>
      <c r="P979" s="2158">
        <f t="shared" si="362"/>
        <v>0</v>
      </c>
      <c r="S979" s="2044"/>
      <c r="T979" s="2044"/>
      <c r="U979" s="2044"/>
      <c r="V979" s="2044"/>
      <c r="W979" s="2044"/>
      <c r="X979" s="1818"/>
      <c r="AA979" s="1818"/>
      <c r="AB979" s="435"/>
      <c r="AC979" s="1818"/>
      <c r="AF979" s="1818"/>
      <c r="AG979" s="435"/>
      <c r="AH979" s="1818"/>
      <c r="AK979" s="1818"/>
      <c r="AL979" s="435"/>
      <c r="AM979" s="1818"/>
      <c r="AP979" s="1818"/>
      <c r="AQ979" s="435"/>
      <c r="AR979" s="436"/>
      <c r="AS979" s="436"/>
      <c r="AT979" s="436"/>
      <c r="AU979" s="436"/>
      <c r="AV979" s="436"/>
      <c r="AW979" s="436"/>
      <c r="BB979" s="436"/>
      <c r="NP979" s="1925"/>
    </row>
    <row r="980" spans="1:380" s="1853" customFormat="1" ht="14.25" customHeight="1">
      <c r="C980" s="2159"/>
      <c r="D980" s="2159"/>
      <c r="E980" s="1719" t="s">
        <v>6592</v>
      </c>
      <c r="F980" s="1818"/>
      <c r="H980" s="2116"/>
      <c r="I980" s="2122"/>
      <c r="K980" s="2153">
        <f>IY889</f>
        <v>0</v>
      </c>
      <c r="L980" s="2153">
        <f>IZ889</f>
        <v>0</v>
      </c>
      <c r="M980" s="2153">
        <f>JA889</f>
        <v>0</v>
      </c>
      <c r="N980" s="2153">
        <f>JB889</f>
        <v>0</v>
      </c>
      <c r="O980" s="2153">
        <f>JC889</f>
        <v>0</v>
      </c>
      <c r="P980" s="2153">
        <f t="shared" si="362"/>
        <v>0</v>
      </c>
      <c r="S980" s="2044"/>
      <c r="T980" s="2044"/>
      <c r="U980" s="2044"/>
      <c r="V980" s="2044"/>
      <c r="W980" s="2044"/>
      <c r="X980" s="1818"/>
      <c r="AA980" s="1818"/>
      <c r="AB980" s="435"/>
      <c r="AC980" s="1818"/>
      <c r="AF980" s="1818"/>
      <c r="AG980" s="435"/>
      <c r="AH980" s="1818"/>
      <c r="AK980" s="1818"/>
      <c r="AL980" s="435"/>
      <c r="AM980" s="1818"/>
      <c r="AP980" s="1818"/>
      <c r="AQ980" s="435"/>
      <c r="AR980" s="436"/>
      <c r="AS980" s="436"/>
      <c r="AT980" s="436"/>
      <c r="AU980" s="436"/>
      <c r="AV980" s="436"/>
      <c r="AW980" s="436"/>
      <c r="AX980" s="2113"/>
      <c r="AY980" s="1818"/>
      <c r="BB980" s="436"/>
      <c r="BC980" s="2113"/>
      <c r="BD980" s="1818"/>
      <c r="JW980" s="2052"/>
      <c r="KB980" s="2052"/>
      <c r="KG980" s="2052"/>
      <c r="KL980" s="2052"/>
      <c r="KM980" s="2052"/>
      <c r="KN980" s="2052"/>
      <c r="KO980" s="2052"/>
      <c r="KP980" s="2052"/>
      <c r="KQ980" s="2052"/>
      <c r="KR980" s="2052"/>
      <c r="KS980" s="2052"/>
      <c r="KT980" s="2052"/>
      <c r="KU980" s="2052"/>
      <c r="KV980" s="2052"/>
      <c r="KW980" s="2052"/>
      <c r="KX980" s="2052"/>
      <c r="KY980" s="2052"/>
      <c r="KZ980" s="2052"/>
      <c r="LA980" s="2052"/>
      <c r="LB980" s="2052"/>
      <c r="LC980" s="2052"/>
      <c r="LD980" s="2052"/>
      <c r="LE980" s="2052"/>
      <c r="LF980" s="2052"/>
      <c r="LG980" s="2052"/>
      <c r="NP980" s="1925"/>
    </row>
    <row r="981" spans="1:380" s="1853" customFormat="1" ht="14.25" customHeight="1">
      <c r="C981" s="2159"/>
      <c r="D981" s="2159"/>
      <c r="E981" s="1719"/>
      <c r="F981" s="1818"/>
      <c r="H981" s="2170" t="s">
        <v>3116</v>
      </c>
      <c r="I981" s="2171"/>
      <c r="K981" s="2158">
        <f>JD889</f>
        <v>0</v>
      </c>
      <c r="L981" s="2158">
        <f>JE889</f>
        <v>0</v>
      </c>
      <c r="M981" s="2158">
        <f>JF889</f>
        <v>0</v>
      </c>
      <c r="N981" s="2158">
        <f>JG889</f>
        <v>0</v>
      </c>
      <c r="O981" s="2158">
        <f>JH889</f>
        <v>0</v>
      </c>
      <c r="P981" s="2158">
        <f t="shared" si="362"/>
        <v>0</v>
      </c>
      <c r="S981" s="2044"/>
      <c r="T981" s="2044"/>
      <c r="U981" s="2044"/>
      <c r="V981" s="2044"/>
      <c r="W981" s="2044"/>
      <c r="X981" s="1818"/>
      <c r="AA981" s="1818"/>
      <c r="AB981" s="435"/>
      <c r="AC981" s="1818"/>
      <c r="AF981" s="1818"/>
      <c r="AG981" s="435"/>
      <c r="AH981" s="1818"/>
      <c r="AK981" s="1818"/>
      <c r="AL981" s="435"/>
      <c r="AM981" s="1818"/>
      <c r="AP981" s="1818"/>
      <c r="AQ981" s="435"/>
      <c r="AR981" s="436"/>
      <c r="AS981" s="436"/>
      <c r="AT981" s="436"/>
      <c r="AU981" s="436"/>
      <c r="AV981" s="436"/>
      <c r="AW981" s="436"/>
      <c r="AX981" s="2113"/>
      <c r="AY981" s="1818"/>
      <c r="BB981" s="436"/>
      <c r="BC981" s="2113"/>
      <c r="BD981" s="1818"/>
      <c r="JW981" s="2052"/>
      <c r="KB981" s="2052"/>
      <c r="KG981" s="2052"/>
      <c r="KL981" s="2052"/>
      <c r="KM981" s="2052"/>
      <c r="KN981" s="2052"/>
      <c r="KO981" s="2052"/>
      <c r="KP981" s="2052"/>
      <c r="KQ981" s="2052"/>
      <c r="KR981" s="2052"/>
      <c r="KS981" s="2052"/>
      <c r="KT981" s="2052"/>
      <c r="KU981" s="2052"/>
      <c r="KV981" s="2052"/>
      <c r="KW981" s="2052"/>
      <c r="KX981" s="2052"/>
      <c r="KY981" s="2052"/>
      <c r="KZ981" s="2052"/>
      <c r="LA981" s="2052"/>
      <c r="LB981" s="2052"/>
      <c r="LC981" s="2052"/>
      <c r="LD981" s="2052"/>
      <c r="LE981" s="2052"/>
      <c r="LF981" s="2052"/>
      <c r="LG981" s="2052"/>
      <c r="NP981" s="1925"/>
    </row>
    <row r="982" spans="1:380" s="1853" customFormat="1" ht="14.25" customHeight="1">
      <c r="C982" s="2159"/>
      <c r="D982" s="2159"/>
      <c r="E982" s="2115" t="s">
        <v>537</v>
      </c>
      <c r="F982" s="1818"/>
      <c r="H982" s="2116"/>
      <c r="I982" s="2122"/>
      <c r="K982" s="2153">
        <f>IO889</f>
        <v>0</v>
      </c>
      <c r="L982" s="2153">
        <f>IP889</f>
        <v>0</v>
      </c>
      <c r="M982" s="2153">
        <f>IQ889</f>
        <v>0</v>
      </c>
      <c r="N982" s="2153">
        <f>IR889</f>
        <v>0</v>
      </c>
      <c r="O982" s="2153">
        <f>IS889</f>
        <v>0</v>
      </c>
      <c r="P982" s="2153">
        <f t="shared" si="362"/>
        <v>0</v>
      </c>
      <c r="S982" s="2044"/>
      <c r="T982" s="2044"/>
      <c r="U982" s="2044"/>
      <c r="V982" s="2044"/>
      <c r="W982" s="2044"/>
      <c r="X982" s="1818"/>
      <c r="AA982" s="1818"/>
      <c r="AB982" s="435"/>
      <c r="AC982" s="1818"/>
      <c r="AF982" s="1818"/>
      <c r="AG982" s="435"/>
      <c r="AH982" s="1818"/>
      <c r="AK982" s="1818"/>
      <c r="AL982" s="435"/>
      <c r="AM982" s="1818"/>
      <c r="AP982" s="1818"/>
      <c r="AQ982" s="435"/>
      <c r="AR982" s="436"/>
      <c r="AS982" s="436"/>
      <c r="AT982" s="436"/>
      <c r="AU982" s="436"/>
      <c r="AV982" s="436"/>
      <c r="AW982" s="436"/>
      <c r="BB982" s="436"/>
      <c r="NP982" s="1925"/>
    </row>
    <row r="983" spans="1:380" s="1853" customFormat="1" ht="14.25" customHeight="1">
      <c r="C983" s="2159"/>
      <c r="D983" s="2159"/>
      <c r="E983" s="2115"/>
      <c r="F983" s="1818"/>
      <c r="H983" s="2170" t="s">
        <v>3116</v>
      </c>
      <c r="I983" s="2171"/>
      <c r="K983" s="2158">
        <f>IT889</f>
        <v>0</v>
      </c>
      <c r="L983" s="2158">
        <f>IU889</f>
        <v>0</v>
      </c>
      <c r="M983" s="2158">
        <f>IV889</f>
        <v>0</v>
      </c>
      <c r="N983" s="2158">
        <f>IW889</f>
        <v>0</v>
      </c>
      <c r="O983" s="2158">
        <f>IX889</f>
        <v>0</v>
      </c>
      <c r="P983" s="2158">
        <f t="shared" si="362"/>
        <v>0</v>
      </c>
      <c r="S983" s="2044"/>
      <c r="T983" s="2044"/>
      <c r="U983" s="2044"/>
      <c r="V983" s="2044"/>
      <c r="W983" s="2044"/>
      <c r="X983" s="1818"/>
      <c r="AA983" s="1818"/>
      <c r="AB983" s="435"/>
      <c r="AC983" s="1818"/>
      <c r="AF983" s="1818"/>
      <c r="AG983" s="435"/>
      <c r="AH983" s="1818"/>
      <c r="AK983" s="1818"/>
      <c r="AL983" s="435"/>
      <c r="AM983" s="1818"/>
      <c r="AP983" s="1818"/>
      <c r="AQ983" s="435"/>
      <c r="AR983" s="436"/>
      <c r="AS983" s="436"/>
      <c r="AT983" s="436"/>
      <c r="AU983" s="436"/>
      <c r="AV983" s="436"/>
      <c r="AW983" s="436"/>
      <c r="BB983" s="436"/>
      <c r="NP983" s="1925"/>
    </row>
    <row r="984" spans="1:380" s="1853" customFormat="1" ht="10.5" customHeight="1">
      <c r="C984" s="1818"/>
      <c r="H984" s="2169"/>
      <c r="I984" s="2124"/>
      <c r="K984" s="2167"/>
      <c r="L984" s="2167"/>
      <c r="M984" s="2167"/>
      <c r="N984" s="2167"/>
      <c r="O984" s="2167"/>
      <c r="P984" s="2167"/>
      <c r="JW984" s="2052"/>
      <c r="KB984" s="2052"/>
      <c r="KG984" s="2052"/>
      <c r="KL984" s="2052"/>
      <c r="KM984" s="2052"/>
      <c r="KN984" s="2052"/>
      <c r="KO984" s="2052"/>
      <c r="KP984" s="2052"/>
      <c r="KQ984" s="2052"/>
      <c r="KR984" s="2052"/>
      <c r="KS984" s="2052"/>
      <c r="KT984" s="2052"/>
      <c r="KU984" s="2052"/>
      <c r="KV984" s="2052"/>
      <c r="KW984" s="2052"/>
      <c r="KX984" s="2052"/>
      <c r="KY984" s="2052"/>
      <c r="KZ984" s="2052"/>
      <c r="LA984" s="2052"/>
      <c r="LB984" s="2052"/>
      <c r="LC984" s="2052"/>
      <c r="LD984" s="2052"/>
      <c r="LE984" s="2052"/>
      <c r="LF984" s="2052"/>
      <c r="LG984" s="2052"/>
      <c r="NP984" s="1925"/>
    </row>
    <row r="985" spans="1:380" s="1853" customFormat="1" ht="14.45" customHeight="1">
      <c r="A985" s="1853" t="s">
        <v>710</v>
      </c>
      <c r="B985" s="1853" t="s">
        <v>7147</v>
      </c>
      <c r="H985" s="2115"/>
      <c r="L985" s="2150">
        <f>$L$53</f>
        <v>0</v>
      </c>
      <c r="M985" s="2150"/>
      <c r="N985" s="2150"/>
      <c r="O985" s="2150"/>
      <c r="S985" s="1818" t="str">
        <f>B985</f>
        <v>UNIT SUMMARY (Continued)</v>
      </c>
      <c r="T985" s="1818"/>
      <c r="U985" s="1818"/>
      <c r="V985" s="1818"/>
      <c r="AY985" s="1818"/>
      <c r="BD985" s="1818"/>
      <c r="JW985" s="2052"/>
      <c r="KB985" s="2052"/>
      <c r="KG985" s="2052"/>
      <c r="KL985" s="2052"/>
      <c r="KM985" s="2052"/>
      <c r="KN985" s="2052"/>
      <c r="KO985" s="2052"/>
      <c r="KP985" s="2052"/>
      <c r="KQ985" s="2052"/>
      <c r="KR985" s="2052"/>
      <c r="KS985" s="2052"/>
      <c r="KT985" s="2052"/>
      <c r="KU985" s="2052"/>
      <c r="KV985" s="2052"/>
      <c r="KW985" s="2052"/>
      <c r="KX985" s="2052"/>
      <c r="KY985" s="2052"/>
      <c r="KZ985" s="2052"/>
      <c r="LA985" s="2052"/>
      <c r="LB985" s="2052"/>
      <c r="LC985" s="2052"/>
      <c r="LD985" s="2052"/>
      <c r="LE985" s="2052"/>
      <c r="LF985" s="2052"/>
      <c r="LG985" s="2052"/>
      <c r="NP985" s="1925"/>
    </row>
    <row r="986" spans="1:380" s="1853" customFormat="1" ht="9" customHeight="1">
      <c r="H986" s="2115"/>
      <c r="Q986" s="1818"/>
      <c r="S986" s="1857" t="str">
        <f>C987</f>
        <v>Building Type:
(for Cost Limit purposes only - see Application Instructions for further detail)</v>
      </c>
      <c r="U986" s="2151"/>
      <c r="AY986" s="1818"/>
      <c r="BD986" s="1818"/>
      <c r="JW986" s="2052"/>
      <c r="KB986" s="2052"/>
      <c r="KG986" s="2052"/>
      <c r="KL986" s="2052"/>
      <c r="KM986" s="2052"/>
      <c r="KN986" s="2052"/>
      <c r="KO986" s="2052"/>
      <c r="KP986" s="2052"/>
      <c r="KQ986" s="2052"/>
      <c r="KR986" s="2052"/>
      <c r="KS986" s="2052"/>
      <c r="KT986" s="2052"/>
      <c r="KU986" s="2052"/>
      <c r="KV986" s="2052"/>
      <c r="KW986" s="2052"/>
      <c r="KX986" s="2052"/>
      <c r="KY986" s="2052"/>
      <c r="KZ986" s="2052"/>
      <c r="LA986" s="2052"/>
      <c r="LB986" s="2052"/>
      <c r="LC986" s="2052"/>
      <c r="LD986" s="2052"/>
      <c r="LE986" s="2052"/>
      <c r="LF986" s="2052"/>
      <c r="LG986" s="2052"/>
      <c r="NP986" s="1925"/>
    </row>
    <row r="987" spans="1:380" s="1853" customFormat="1" ht="14.25" customHeight="1">
      <c r="C987" s="2159" t="s">
        <v>7149</v>
      </c>
      <c r="D987" s="2159"/>
      <c r="E987" s="1719" t="s">
        <v>3111</v>
      </c>
      <c r="F987" s="1865"/>
      <c r="H987" s="2116"/>
      <c r="I987" s="2122"/>
      <c r="K987" s="2153">
        <f t="shared" ref="K987:O988" si="363">K976+K980+K982</f>
        <v>0</v>
      </c>
      <c r="L987" s="2153">
        <f>L976+L980+L982</f>
        <v>0</v>
      </c>
      <c r="M987" s="2153">
        <f t="shared" si="363"/>
        <v>0</v>
      </c>
      <c r="N987" s="2153">
        <f t="shared" si="363"/>
        <v>0</v>
      </c>
      <c r="O987" s="2153">
        <f t="shared" si="363"/>
        <v>0</v>
      </c>
      <c r="P987" s="2153">
        <f t="shared" ref="P987:P994" si="364">SUM(K987:O987)</f>
        <v>0</v>
      </c>
      <c r="S987" s="2044"/>
      <c r="T987" s="2044"/>
      <c r="U987" s="2044"/>
      <c r="V987" s="2044"/>
      <c r="W987" s="2044"/>
      <c r="X987" s="1818"/>
      <c r="AA987" s="1818"/>
      <c r="AB987" s="435"/>
      <c r="AC987" s="1818"/>
      <c r="AF987" s="1818"/>
      <c r="AG987" s="435"/>
      <c r="AH987" s="1818"/>
      <c r="AK987" s="1818"/>
      <c r="AL987" s="435"/>
      <c r="AM987" s="1818"/>
      <c r="AP987" s="1818"/>
      <c r="AQ987" s="435"/>
      <c r="AR987" s="436"/>
      <c r="AS987" s="436"/>
      <c r="AT987" s="436"/>
      <c r="AU987" s="436"/>
      <c r="AV987" s="436"/>
      <c r="AW987" s="436"/>
      <c r="BB987" s="436"/>
      <c r="NP987" s="1925"/>
    </row>
    <row r="988" spans="1:380" s="1853" customFormat="1" ht="14.25" customHeight="1">
      <c r="C988" s="2159"/>
      <c r="D988" s="2159"/>
      <c r="E988" s="1719"/>
      <c r="F988" s="1865"/>
      <c r="H988" s="2170" t="s">
        <v>3116</v>
      </c>
      <c r="I988" s="2171"/>
      <c r="K988" s="2158">
        <f t="shared" si="363"/>
        <v>0</v>
      </c>
      <c r="L988" s="2158">
        <f t="shared" si="363"/>
        <v>0</v>
      </c>
      <c r="M988" s="2158">
        <f t="shared" si="363"/>
        <v>0</v>
      </c>
      <c r="N988" s="2158">
        <f t="shared" si="363"/>
        <v>0</v>
      </c>
      <c r="O988" s="2158">
        <f t="shared" si="363"/>
        <v>0</v>
      </c>
      <c r="P988" s="2158">
        <f t="shared" si="364"/>
        <v>0</v>
      </c>
      <c r="S988" s="2044"/>
      <c r="T988" s="2044"/>
      <c r="U988" s="2044"/>
      <c r="V988" s="2044"/>
      <c r="W988" s="2044"/>
      <c r="X988" s="1818"/>
      <c r="AA988" s="1818"/>
      <c r="AB988" s="435"/>
      <c r="AC988" s="1818"/>
      <c r="AF988" s="1818"/>
      <c r="AG988" s="435"/>
      <c r="AH988" s="1818"/>
      <c r="AK988" s="1818"/>
      <c r="AL988" s="435"/>
      <c r="AM988" s="1818"/>
      <c r="AP988" s="1818"/>
      <c r="AQ988" s="435"/>
      <c r="AR988" s="436"/>
      <c r="AS988" s="436"/>
      <c r="AT988" s="436"/>
      <c r="AU988" s="436"/>
      <c r="AV988" s="436"/>
      <c r="AW988" s="436"/>
      <c r="BB988" s="436"/>
      <c r="NP988" s="1925"/>
    </row>
    <row r="989" spans="1:380" s="1853" customFormat="1" ht="14.25" customHeight="1">
      <c r="C989" s="2159"/>
      <c r="D989" s="2159"/>
      <c r="E989" s="1719" t="s">
        <v>3112</v>
      </c>
      <c r="F989" s="1865"/>
      <c r="H989" s="1876"/>
      <c r="I989" s="1865"/>
      <c r="K989" s="2153">
        <f t="shared" ref="K989:O990" si="365">K978</f>
        <v>0</v>
      </c>
      <c r="L989" s="2153">
        <f t="shared" si="365"/>
        <v>0</v>
      </c>
      <c r="M989" s="2153">
        <f t="shared" si="365"/>
        <v>0</v>
      </c>
      <c r="N989" s="2153">
        <f t="shared" si="365"/>
        <v>0</v>
      </c>
      <c r="O989" s="2153">
        <f t="shared" si="365"/>
        <v>0</v>
      </c>
      <c r="P989" s="2153">
        <f t="shared" si="364"/>
        <v>0</v>
      </c>
      <c r="S989" s="2044"/>
      <c r="T989" s="2044"/>
      <c r="U989" s="2044"/>
      <c r="V989" s="2044"/>
      <c r="W989" s="2044"/>
      <c r="X989" s="1818"/>
      <c r="AA989" s="1818"/>
      <c r="AB989" s="435"/>
      <c r="AC989" s="1818"/>
      <c r="AF989" s="1818"/>
      <c r="AG989" s="435"/>
      <c r="AH989" s="1818"/>
      <c r="AK989" s="1818"/>
      <c r="AL989" s="435"/>
      <c r="AM989" s="1818"/>
      <c r="AP989" s="1818"/>
      <c r="AQ989" s="435"/>
      <c r="AR989" s="436"/>
      <c r="AS989" s="436"/>
      <c r="AT989" s="436"/>
      <c r="AU989" s="436"/>
      <c r="AV989" s="436"/>
      <c r="AW989" s="436"/>
      <c r="BB989" s="436"/>
      <c r="NP989" s="1925"/>
    </row>
    <row r="990" spans="1:380" s="1853" customFormat="1" ht="14.25" customHeight="1">
      <c r="C990" s="2159"/>
      <c r="D990" s="2159"/>
      <c r="E990" s="1719"/>
      <c r="F990" s="1865"/>
      <c r="H990" s="2170" t="s">
        <v>3116</v>
      </c>
      <c r="I990" s="2171"/>
      <c r="K990" s="2158">
        <f t="shared" si="365"/>
        <v>0</v>
      </c>
      <c r="L990" s="2158">
        <f t="shared" si="365"/>
        <v>0</v>
      </c>
      <c r="M990" s="2158">
        <f t="shared" si="365"/>
        <v>0</v>
      </c>
      <c r="N990" s="2158">
        <f t="shared" si="365"/>
        <v>0</v>
      </c>
      <c r="O990" s="2158">
        <f t="shared" si="365"/>
        <v>0</v>
      </c>
      <c r="P990" s="2158">
        <f t="shared" si="364"/>
        <v>0</v>
      </c>
      <c r="S990" s="2044"/>
      <c r="T990" s="2044"/>
      <c r="U990" s="2044"/>
      <c r="V990" s="2044"/>
      <c r="W990" s="2044"/>
      <c r="X990" s="1818"/>
      <c r="AA990" s="1818"/>
      <c r="AB990" s="435"/>
      <c r="AC990" s="1818"/>
      <c r="AF990" s="1818"/>
      <c r="AG990" s="435"/>
      <c r="AH990" s="1818"/>
      <c r="AK990" s="1818"/>
      <c r="AL990" s="435"/>
      <c r="AM990" s="1818"/>
      <c r="AP990" s="1818"/>
      <c r="AQ990" s="435"/>
      <c r="AR990" s="436"/>
      <c r="AS990" s="436"/>
      <c r="AT990" s="436"/>
      <c r="AU990" s="436"/>
      <c r="AV990" s="436"/>
      <c r="AW990" s="436"/>
      <c r="BB990" s="436"/>
      <c r="NP990" s="1925"/>
    </row>
    <row r="991" spans="1:380" s="1853" customFormat="1" ht="14.25" customHeight="1">
      <c r="C991" s="2159"/>
      <c r="D991" s="2159"/>
      <c r="E991" s="1719" t="s">
        <v>3113</v>
      </c>
      <c r="F991" s="1865"/>
      <c r="H991" s="2116"/>
      <c r="I991" s="2122"/>
      <c r="K991" s="2153">
        <f>K968+K972</f>
        <v>0</v>
      </c>
      <c r="L991" s="2153">
        <f t="shared" ref="L991:O994" si="366">L968+L972</f>
        <v>16</v>
      </c>
      <c r="M991" s="2153">
        <f t="shared" si="366"/>
        <v>36</v>
      </c>
      <c r="N991" s="2153">
        <f t="shared" si="366"/>
        <v>20</v>
      </c>
      <c r="O991" s="2153">
        <f t="shared" si="366"/>
        <v>0</v>
      </c>
      <c r="P991" s="2153">
        <f t="shared" si="364"/>
        <v>72</v>
      </c>
      <c r="S991" s="2044"/>
      <c r="T991" s="2044"/>
      <c r="U991" s="2044"/>
      <c r="V991" s="2044"/>
      <c r="W991" s="2044"/>
      <c r="X991" s="1818"/>
      <c r="AA991" s="1818"/>
      <c r="AB991" s="435"/>
      <c r="AC991" s="1818"/>
      <c r="AF991" s="1818"/>
      <c r="AG991" s="435"/>
      <c r="AH991" s="1818"/>
      <c r="AK991" s="1818"/>
      <c r="AL991" s="435"/>
      <c r="AM991" s="1818"/>
      <c r="AP991" s="1818"/>
      <c r="AQ991" s="435"/>
      <c r="AR991" s="436"/>
      <c r="AS991" s="436"/>
      <c r="AT991" s="436"/>
      <c r="AU991" s="436"/>
      <c r="AV991" s="436"/>
      <c r="AW991" s="436"/>
      <c r="BB991" s="436"/>
      <c r="NP991" s="1925"/>
    </row>
    <row r="992" spans="1:380" s="1853" customFormat="1" ht="14.25" customHeight="1">
      <c r="C992" s="2159"/>
      <c r="D992" s="2159"/>
      <c r="E992" s="1719"/>
      <c r="F992" s="1865"/>
      <c r="H992" s="2170" t="s">
        <v>3116</v>
      </c>
      <c r="I992" s="2171"/>
      <c r="K992" s="2158">
        <f>K969+K973</f>
        <v>0</v>
      </c>
      <c r="L992" s="2158">
        <f t="shared" si="366"/>
        <v>0</v>
      </c>
      <c r="M992" s="2158">
        <f t="shared" si="366"/>
        <v>0</v>
      </c>
      <c r="N992" s="2158">
        <f t="shared" si="366"/>
        <v>0</v>
      </c>
      <c r="O992" s="2158">
        <f t="shared" si="366"/>
        <v>0</v>
      </c>
      <c r="P992" s="2158">
        <f t="shared" si="364"/>
        <v>0</v>
      </c>
      <c r="S992" s="2044"/>
      <c r="T992" s="2044"/>
      <c r="U992" s="2044"/>
      <c r="V992" s="2044"/>
      <c r="W992" s="2044"/>
      <c r="X992" s="1818"/>
      <c r="AA992" s="1818"/>
      <c r="AB992" s="435"/>
      <c r="AC992" s="1818"/>
      <c r="AF992" s="1818"/>
      <c r="AG992" s="435"/>
      <c r="AH992" s="1818"/>
      <c r="AK992" s="1818"/>
      <c r="AL992" s="435"/>
      <c r="AM992" s="1818"/>
      <c r="AP992" s="1818"/>
      <c r="AQ992" s="435"/>
      <c r="AR992" s="436"/>
      <c r="AS992" s="436"/>
      <c r="AT992" s="436"/>
      <c r="AU992" s="436"/>
      <c r="AV992" s="436"/>
      <c r="AW992" s="436"/>
      <c r="BB992" s="436"/>
      <c r="NP992" s="1925"/>
    </row>
    <row r="993" spans="1:380" s="1853" customFormat="1" ht="14.25" customHeight="1">
      <c r="C993" s="2159"/>
      <c r="D993" s="2159"/>
      <c r="E993" s="1719" t="s">
        <v>3114</v>
      </c>
      <c r="F993" s="1865"/>
      <c r="H993" s="2116"/>
      <c r="I993" s="2122"/>
      <c r="K993" s="2153">
        <f>K970+K974</f>
        <v>0</v>
      </c>
      <c r="L993" s="2153">
        <f t="shared" si="366"/>
        <v>0</v>
      </c>
      <c r="M993" s="2153">
        <f t="shared" si="366"/>
        <v>0</v>
      </c>
      <c r="N993" s="2153">
        <f t="shared" si="366"/>
        <v>0</v>
      </c>
      <c r="O993" s="2153">
        <f t="shared" si="366"/>
        <v>0</v>
      </c>
      <c r="P993" s="2153">
        <f t="shared" si="364"/>
        <v>0</v>
      </c>
      <c r="S993" s="2044"/>
      <c r="T993" s="2044"/>
      <c r="U993" s="2044"/>
      <c r="V993" s="2044"/>
      <c r="W993" s="2044"/>
      <c r="X993" s="1818"/>
      <c r="AA993" s="1818"/>
      <c r="AB993" s="435"/>
      <c r="AC993" s="1818"/>
      <c r="AF993" s="1818"/>
      <c r="AG993" s="435"/>
      <c r="AH993" s="1818"/>
      <c r="AK993" s="1818"/>
      <c r="AL993" s="435"/>
      <c r="AM993" s="1818"/>
      <c r="AP993" s="1818"/>
      <c r="AQ993" s="435"/>
      <c r="AR993" s="436"/>
      <c r="AS993" s="436"/>
      <c r="AT993" s="436"/>
      <c r="AU993" s="436"/>
      <c r="AV993" s="436"/>
      <c r="AW993" s="436"/>
      <c r="BB993" s="436"/>
      <c r="NP993" s="1925"/>
    </row>
    <row r="994" spans="1:380" s="1853" customFormat="1" ht="14.25" customHeight="1">
      <c r="C994" s="1818"/>
      <c r="D994" s="1818"/>
      <c r="E994" s="1968"/>
      <c r="F994" s="1865"/>
      <c r="H994" s="2170" t="s">
        <v>3116</v>
      </c>
      <c r="I994" s="2171"/>
      <c r="K994" s="2158">
        <f>K971+K975</f>
        <v>0</v>
      </c>
      <c r="L994" s="2158">
        <f t="shared" si="366"/>
        <v>0</v>
      </c>
      <c r="M994" s="2158">
        <f t="shared" si="366"/>
        <v>0</v>
      </c>
      <c r="N994" s="2158">
        <f t="shared" si="366"/>
        <v>0</v>
      </c>
      <c r="O994" s="2158">
        <f t="shared" si="366"/>
        <v>0</v>
      </c>
      <c r="P994" s="2158">
        <f t="shared" si="364"/>
        <v>0</v>
      </c>
      <c r="Q994" s="1853" t="s">
        <v>7075</v>
      </c>
      <c r="S994" s="2044"/>
      <c r="T994" s="2044"/>
      <c r="U994" s="2044"/>
      <c r="V994" s="2044"/>
      <c r="W994" s="2044"/>
      <c r="X994" s="1818"/>
      <c r="AA994" s="1818"/>
      <c r="AB994" s="435"/>
      <c r="AC994" s="1818"/>
      <c r="AF994" s="1818"/>
      <c r="AG994" s="435"/>
      <c r="AH994" s="1818"/>
      <c r="AK994" s="1818"/>
      <c r="AL994" s="435"/>
      <c r="AM994" s="1818"/>
      <c r="AP994" s="1818"/>
      <c r="AQ994" s="435"/>
      <c r="AR994" s="436"/>
      <c r="AS994" s="436"/>
      <c r="AT994" s="436"/>
      <c r="AU994" s="436"/>
      <c r="AV994" s="436"/>
      <c r="AW994" s="436"/>
      <c r="BB994" s="436"/>
      <c r="NP994" s="1925"/>
    </row>
    <row r="995" spans="1:380" s="1853" customFormat="1" ht="27.75" customHeight="1">
      <c r="A995" s="1719"/>
      <c r="B995" s="1719"/>
      <c r="D995" s="1818"/>
      <c r="E995" s="1719"/>
      <c r="F995" s="1818"/>
      <c r="H995" s="435"/>
      <c r="I995" s="435"/>
      <c r="K995" s="2166"/>
      <c r="L995" s="2166"/>
      <c r="M995" s="2166"/>
      <c r="N995" s="2166"/>
      <c r="O995" s="2166"/>
      <c r="P995" s="2166"/>
      <c r="S995" s="1866"/>
      <c r="U995" s="1851"/>
      <c r="X995" s="1818"/>
      <c r="AA995" s="1818"/>
      <c r="AB995" s="435"/>
      <c r="AC995" s="1818"/>
      <c r="AF995" s="1818"/>
      <c r="AG995" s="435"/>
      <c r="AH995" s="1818"/>
      <c r="AK995" s="1818"/>
      <c r="AL995" s="435"/>
      <c r="AM995" s="1818"/>
      <c r="AP995" s="1818"/>
      <c r="AQ995" s="435"/>
      <c r="AR995" s="1818"/>
      <c r="AS995" s="1818"/>
      <c r="AT995" s="1818"/>
      <c r="AU995" s="1818"/>
      <c r="AV995" s="1818"/>
      <c r="AW995" s="1818"/>
      <c r="AY995" s="1818"/>
      <c r="BB995" s="1818"/>
      <c r="BD995" s="1818"/>
      <c r="JW995" s="2052"/>
      <c r="KB995" s="2052"/>
      <c r="KG995" s="2052"/>
      <c r="KL995" s="2052"/>
      <c r="KM995" s="2052"/>
      <c r="KN995" s="2052"/>
      <c r="KO995" s="2052"/>
      <c r="KP995" s="2052"/>
      <c r="KQ995" s="2052"/>
      <c r="KR995" s="2052"/>
      <c r="KS995" s="2052"/>
      <c r="KT995" s="2052"/>
      <c r="KU995" s="2052"/>
      <c r="KV995" s="2052"/>
      <c r="KW995" s="2052"/>
      <c r="KX995" s="2052"/>
      <c r="KY995" s="2052"/>
      <c r="KZ995" s="2052"/>
      <c r="LA995" s="2052"/>
      <c r="LB995" s="2052"/>
      <c r="LC995" s="2052"/>
      <c r="LD995" s="2052"/>
      <c r="LE995" s="2052"/>
      <c r="LF995" s="2052"/>
      <c r="LG995" s="2052"/>
      <c r="NP995" s="1925"/>
    </row>
    <row r="996" spans="1:380" s="1853" customFormat="1" ht="12" customHeight="1">
      <c r="B996" s="1853" t="s">
        <v>6822</v>
      </c>
      <c r="C996" s="1818"/>
      <c r="D996" s="1818"/>
      <c r="E996" s="1818"/>
      <c r="F996" s="1818"/>
      <c r="H996" s="2122"/>
      <c r="I996" s="2122"/>
      <c r="K996" s="2150"/>
      <c r="L996" s="2150"/>
      <c r="M996" s="2150"/>
      <c r="N996" s="2150"/>
      <c r="O996" s="2150"/>
      <c r="P996" s="2150"/>
      <c r="S996" s="1857" t="str">
        <f>B996</f>
        <v>UNIT SQUARE FOOTAGE</v>
      </c>
      <c r="T996" s="1857"/>
      <c r="U996" s="1857"/>
      <c r="X996" s="1818"/>
      <c r="AA996" s="1818"/>
      <c r="AB996" s="435"/>
      <c r="AC996" s="1818"/>
      <c r="AF996" s="1818"/>
      <c r="AG996" s="435"/>
      <c r="AH996" s="1818"/>
      <c r="AK996" s="1818"/>
      <c r="AL996" s="435"/>
      <c r="AM996" s="1818"/>
      <c r="AP996" s="1818"/>
      <c r="AQ996" s="435"/>
      <c r="AR996" s="1818"/>
      <c r="AS996" s="1818"/>
      <c r="AT996" s="1818"/>
      <c r="AU996" s="1818"/>
      <c r="AV996" s="1818"/>
      <c r="AW996" s="1818"/>
      <c r="AY996" s="1818"/>
      <c r="BB996" s="1818"/>
      <c r="BD996" s="1818"/>
      <c r="JW996" s="2052"/>
      <c r="KB996" s="2052"/>
      <c r="KG996" s="2052"/>
      <c r="KL996" s="2052"/>
      <c r="KM996" s="2052"/>
      <c r="KN996" s="2052"/>
      <c r="KO996" s="2052"/>
      <c r="KP996" s="2052"/>
      <c r="KQ996" s="2052"/>
      <c r="KR996" s="2052"/>
      <c r="KS996" s="2052"/>
      <c r="KT996" s="2052"/>
      <c r="KU996" s="2052"/>
      <c r="KV996" s="2052"/>
      <c r="KW996" s="2052"/>
      <c r="KX996" s="2052"/>
      <c r="KY996" s="2052"/>
      <c r="KZ996" s="2052"/>
      <c r="LA996" s="2052"/>
      <c r="LB996" s="2052"/>
      <c r="LC996" s="2052"/>
      <c r="LD996" s="2052"/>
      <c r="LE996" s="2052"/>
      <c r="LF996" s="2052"/>
      <c r="LG996" s="2052"/>
      <c r="NP996" s="1925"/>
    </row>
    <row r="997" spans="1:380" s="1853" customFormat="1" ht="14.25" customHeight="1">
      <c r="C997" s="1818" t="s">
        <v>2041</v>
      </c>
      <c r="D997" s="1818"/>
      <c r="E997" s="1818"/>
      <c r="F997" s="1818"/>
      <c r="H997" s="2115" t="s">
        <v>3829</v>
      </c>
      <c r="I997" s="2113"/>
      <c r="K997" s="2167">
        <f>EI889</f>
        <v>0</v>
      </c>
      <c r="L997" s="2167">
        <f>EJ889</f>
        <v>0</v>
      </c>
      <c r="M997" s="2167">
        <f>EK889</f>
        <v>0</v>
      </c>
      <c r="N997" s="2167">
        <f>EL889</f>
        <v>0</v>
      </c>
      <c r="O997" s="2167">
        <f>EM889</f>
        <v>0</v>
      </c>
      <c r="P997" s="2172">
        <f t="shared" ref="P997:P1003" si="367">SUM(K997:O997)</f>
        <v>0</v>
      </c>
      <c r="Q997" s="2173" t="str">
        <f t="shared" ref="Q997:Q1003" si="368">IF(OR(P896=0,P896=""),"",P997/P896)</f>
        <v/>
      </c>
      <c r="S997" s="2044"/>
      <c r="T997" s="2044"/>
      <c r="U997" s="2044"/>
      <c r="V997" s="2044"/>
      <c r="W997" s="2044"/>
      <c r="X997" s="1818"/>
      <c r="AA997" s="1818"/>
      <c r="AB997" s="435"/>
      <c r="AC997" s="1818"/>
      <c r="AF997" s="1818"/>
      <c r="AG997" s="435"/>
      <c r="AH997" s="1818"/>
      <c r="AK997" s="1818"/>
      <c r="AL997" s="435"/>
      <c r="AM997" s="1818"/>
      <c r="AP997" s="1818"/>
      <c r="AQ997" s="435"/>
      <c r="AR997" s="436"/>
      <c r="AS997" s="436"/>
      <c r="AT997" s="436"/>
      <c r="AU997" s="436"/>
      <c r="AV997" s="436"/>
      <c r="AW997" s="436"/>
      <c r="AY997" s="1818"/>
      <c r="BB997" s="436"/>
      <c r="BD997" s="1818"/>
      <c r="JW997" s="2052"/>
      <c r="KB997" s="2052"/>
      <c r="KG997" s="2052"/>
      <c r="KL997" s="2052"/>
      <c r="KM997" s="2052"/>
      <c r="KN997" s="2052"/>
      <c r="KO997" s="2052"/>
      <c r="KP997" s="2052"/>
      <c r="KQ997" s="2052"/>
      <c r="KR997" s="2052"/>
      <c r="KS997" s="2052"/>
      <c r="KT997" s="2052"/>
      <c r="KU997" s="2052"/>
      <c r="KV997" s="2052"/>
      <c r="KW997" s="2052"/>
      <c r="KX997" s="2052"/>
      <c r="KY997" s="2052"/>
      <c r="KZ997" s="2052"/>
      <c r="LA997" s="2052"/>
      <c r="LB997" s="2052"/>
      <c r="LC997" s="2052"/>
      <c r="LD997" s="2052"/>
      <c r="LE997" s="2052"/>
      <c r="LF997" s="2052"/>
      <c r="LG997" s="2052"/>
      <c r="NP997" s="1925"/>
    </row>
    <row r="998" spans="1:380" s="1853" customFormat="1" ht="14.25" customHeight="1">
      <c r="C998" s="1818"/>
      <c r="D998" s="1818"/>
      <c r="E998" s="1818"/>
      <c r="F998" s="1818"/>
      <c r="H998" s="2116" t="s">
        <v>3830</v>
      </c>
      <c r="I998" s="2122"/>
      <c r="K998" s="2172">
        <f>EN889</f>
        <v>0</v>
      </c>
      <c r="L998" s="2172">
        <f>EO889</f>
        <v>0</v>
      </c>
      <c r="M998" s="2172">
        <f>EP889</f>
        <v>0</v>
      </c>
      <c r="N998" s="2172">
        <f>EQ889</f>
        <v>0</v>
      </c>
      <c r="O998" s="2172">
        <f>ER889</f>
        <v>0</v>
      </c>
      <c r="P998" s="2172">
        <f t="shared" si="367"/>
        <v>0</v>
      </c>
      <c r="Q998" s="2173" t="str">
        <f t="shared" si="368"/>
        <v/>
      </c>
      <c r="S998" s="2044"/>
      <c r="T998" s="2044"/>
      <c r="U998" s="2044"/>
      <c r="V998" s="2044"/>
      <c r="W998" s="2044"/>
      <c r="X998" s="1818"/>
      <c r="AA998" s="1818"/>
      <c r="AB998" s="435"/>
      <c r="AC998" s="1818"/>
      <c r="AF998" s="1818"/>
      <c r="AG998" s="435"/>
      <c r="AH998" s="1818"/>
      <c r="AK998" s="1818"/>
      <c r="AL998" s="435"/>
      <c r="AM998" s="1818"/>
      <c r="AP998" s="1818"/>
      <c r="AQ998" s="435"/>
      <c r="AR998" s="436"/>
      <c r="AS998" s="436"/>
      <c r="AT998" s="436"/>
      <c r="AU998" s="436"/>
      <c r="AV998" s="436"/>
      <c r="AW998" s="436"/>
      <c r="AY998" s="1818"/>
      <c r="BB998" s="436"/>
      <c r="BD998" s="1818"/>
      <c r="JW998" s="2052"/>
      <c r="KB998" s="2052"/>
      <c r="KG998" s="2052"/>
      <c r="KL998" s="2052"/>
      <c r="KM998" s="2052"/>
      <c r="KN998" s="2052"/>
      <c r="KO998" s="2052"/>
      <c r="KP998" s="2052"/>
      <c r="KQ998" s="2052"/>
      <c r="KR998" s="2052"/>
      <c r="KS998" s="2052"/>
      <c r="KT998" s="2052"/>
      <c r="KU998" s="2052"/>
      <c r="KV998" s="2052"/>
      <c r="KW998" s="2052"/>
      <c r="KX998" s="2052"/>
      <c r="KY998" s="2052"/>
      <c r="KZ998" s="2052"/>
      <c r="LA998" s="2052"/>
      <c r="LB998" s="2052"/>
      <c r="LC998" s="2052"/>
      <c r="LD998" s="2052"/>
      <c r="LE998" s="2052"/>
      <c r="LF998" s="2052"/>
      <c r="LG998" s="2052"/>
      <c r="NP998" s="1925"/>
    </row>
    <row r="999" spans="1:380" s="1853" customFormat="1" ht="14.25" customHeight="1">
      <c r="C999" s="1818"/>
      <c r="D999" s="1818"/>
      <c r="E999" s="1818"/>
      <c r="F999" s="1818"/>
      <c r="H999" s="2116" t="s">
        <v>1107</v>
      </c>
      <c r="I999" s="2122"/>
      <c r="K999" s="2172">
        <f>ES889</f>
        <v>0</v>
      </c>
      <c r="L999" s="2172">
        <f>ET889</f>
        <v>8840</v>
      </c>
      <c r="M999" s="2172">
        <f>EU889</f>
        <v>29920</v>
      </c>
      <c r="N999" s="2172">
        <f>EV889</f>
        <v>20060</v>
      </c>
      <c r="O999" s="2172">
        <f>EW889</f>
        <v>0</v>
      </c>
      <c r="P999" s="2172">
        <f t="shared" si="367"/>
        <v>58820</v>
      </c>
      <c r="Q999" s="2173">
        <f t="shared" si="368"/>
        <v>919.0625</v>
      </c>
      <c r="S999" s="2044"/>
      <c r="T999" s="2044"/>
      <c r="U999" s="2044"/>
      <c r="V999" s="2044"/>
      <c r="W999" s="2044"/>
      <c r="X999" s="1818"/>
      <c r="AA999" s="1818"/>
      <c r="AB999" s="435"/>
      <c r="AC999" s="1818"/>
      <c r="AF999" s="1818"/>
      <c r="AG999" s="435"/>
      <c r="AH999" s="1818"/>
      <c r="AK999" s="1818"/>
      <c r="AL999" s="435"/>
      <c r="AM999" s="1818"/>
      <c r="AP999" s="1818"/>
      <c r="AQ999" s="435"/>
      <c r="AR999" s="436"/>
      <c r="AS999" s="436"/>
      <c r="AT999" s="436"/>
      <c r="AU999" s="436"/>
      <c r="AV999" s="436"/>
      <c r="AW999" s="436"/>
      <c r="AY999" s="1818"/>
      <c r="BB999" s="436"/>
      <c r="BD999" s="1818"/>
      <c r="JW999" s="2052"/>
      <c r="KB999" s="2052"/>
      <c r="KG999" s="2052"/>
      <c r="KL999" s="2052"/>
      <c r="KM999" s="2052"/>
      <c r="KN999" s="2052"/>
      <c r="KO999" s="2052"/>
      <c r="KP999" s="2052"/>
      <c r="KQ999" s="2052"/>
      <c r="KR999" s="2052"/>
      <c r="KS999" s="2052"/>
      <c r="KT999" s="2052"/>
      <c r="KU999" s="2052"/>
      <c r="KV999" s="2052"/>
      <c r="KW999" s="2052"/>
      <c r="KX999" s="2052"/>
      <c r="KY999" s="2052"/>
      <c r="KZ999" s="2052"/>
      <c r="LA999" s="2052"/>
      <c r="LB999" s="2052"/>
      <c r="LC999" s="2052"/>
      <c r="LD999" s="2052"/>
      <c r="LE999" s="2052"/>
      <c r="LF999" s="2052"/>
      <c r="LG999" s="2052"/>
      <c r="NP999" s="1925"/>
    </row>
    <row r="1000" spans="1:380" s="1853" customFormat="1" ht="14.25" customHeight="1">
      <c r="C1000" s="1818"/>
      <c r="D1000" s="1818"/>
      <c r="E1000" s="1818"/>
      <c r="F1000" s="1818"/>
      <c r="H1000" s="2116" t="s">
        <v>111</v>
      </c>
      <c r="I1000" s="2122"/>
      <c r="K1000" s="2172">
        <f>EX889</f>
        <v>0</v>
      </c>
      <c r="L1000" s="2172">
        <f>EY889</f>
        <v>0</v>
      </c>
      <c r="M1000" s="2172">
        <f>EZ889</f>
        <v>0</v>
      </c>
      <c r="N1000" s="2172">
        <f>FA889</f>
        <v>0</v>
      </c>
      <c r="O1000" s="2172">
        <f>FB889</f>
        <v>0</v>
      </c>
      <c r="P1000" s="2172">
        <f t="shared" si="367"/>
        <v>0</v>
      </c>
      <c r="Q1000" s="2173" t="str">
        <f t="shared" si="368"/>
        <v/>
      </c>
      <c r="S1000" s="2044"/>
      <c r="T1000" s="2044"/>
      <c r="U1000" s="2044"/>
      <c r="V1000" s="2044"/>
      <c r="W1000" s="2044"/>
      <c r="X1000" s="1818"/>
      <c r="AA1000" s="1818"/>
      <c r="AB1000" s="435"/>
      <c r="AC1000" s="1818"/>
      <c r="AF1000" s="1818"/>
      <c r="AG1000" s="435"/>
      <c r="AH1000" s="1818"/>
      <c r="AK1000" s="1818"/>
      <c r="AL1000" s="435"/>
      <c r="AM1000" s="1818"/>
      <c r="AP1000" s="1818"/>
      <c r="AQ1000" s="435"/>
      <c r="AR1000" s="436"/>
      <c r="AS1000" s="436"/>
      <c r="AT1000" s="436"/>
      <c r="AU1000" s="436"/>
      <c r="AV1000" s="436"/>
      <c r="AW1000" s="436"/>
      <c r="AY1000" s="1818"/>
      <c r="BB1000" s="436"/>
      <c r="BD1000" s="1818"/>
      <c r="JW1000" s="2052"/>
      <c r="KB1000" s="2052"/>
      <c r="KG1000" s="2052"/>
      <c r="KL1000" s="2052"/>
      <c r="KM1000" s="2052"/>
      <c r="KN1000" s="2052"/>
      <c r="KO1000" s="2052"/>
      <c r="KP1000" s="2052"/>
      <c r="KQ1000" s="2052"/>
      <c r="KR1000" s="2052"/>
      <c r="KS1000" s="2052"/>
      <c r="KT1000" s="2052"/>
      <c r="KU1000" s="2052"/>
      <c r="KV1000" s="2052"/>
      <c r="KW1000" s="2052"/>
      <c r="KX1000" s="2052"/>
      <c r="KY1000" s="2052"/>
      <c r="KZ1000" s="2052"/>
      <c r="LA1000" s="2052"/>
      <c r="LB1000" s="2052"/>
      <c r="LC1000" s="2052"/>
      <c r="LD1000" s="2052"/>
      <c r="LE1000" s="2052"/>
      <c r="LF1000" s="2052"/>
      <c r="LG1000" s="2052"/>
      <c r="NP1000" s="1925"/>
    </row>
    <row r="1001" spans="1:380" s="1853" customFormat="1" ht="14.25" customHeight="1">
      <c r="C1001" s="1818"/>
      <c r="D1001" s="1818"/>
      <c r="E1001" s="1818"/>
      <c r="F1001" s="1818"/>
      <c r="H1001" s="2116" t="s">
        <v>3831</v>
      </c>
      <c r="I1001" s="2122"/>
      <c r="K1001" s="2172">
        <f>FC889</f>
        <v>0</v>
      </c>
      <c r="L1001" s="2172">
        <f>FD889</f>
        <v>0</v>
      </c>
      <c r="M1001" s="2172">
        <f>FE889</f>
        <v>0</v>
      </c>
      <c r="N1001" s="2172">
        <f>FF889</f>
        <v>0</v>
      </c>
      <c r="O1001" s="2172">
        <f>FG889</f>
        <v>0</v>
      </c>
      <c r="P1001" s="2172">
        <f t="shared" si="367"/>
        <v>0</v>
      </c>
      <c r="Q1001" s="2173" t="str">
        <f t="shared" si="368"/>
        <v/>
      </c>
      <c r="S1001" s="2044"/>
      <c r="T1001" s="2044"/>
      <c r="U1001" s="2044"/>
      <c r="V1001" s="2044"/>
      <c r="W1001" s="2044"/>
      <c r="X1001" s="1818"/>
      <c r="AA1001" s="1818"/>
      <c r="AB1001" s="435"/>
      <c r="AC1001" s="1818"/>
      <c r="AF1001" s="1818"/>
      <c r="AG1001" s="435"/>
      <c r="AH1001" s="1818"/>
      <c r="AK1001" s="1818"/>
      <c r="AL1001" s="435"/>
      <c r="AM1001" s="1818"/>
      <c r="AP1001" s="1818"/>
      <c r="AQ1001" s="435"/>
      <c r="AR1001" s="436"/>
      <c r="AS1001" s="436"/>
      <c r="AT1001" s="436"/>
      <c r="AU1001" s="436"/>
      <c r="AV1001" s="436"/>
      <c r="AW1001" s="436"/>
      <c r="AY1001" s="1818"/>
      <c r="BB1001" s="436"/>
      <c r="BD1001" s="1818"/>
      <c r="JW1001" s="2052"/>
      <c r="KB1001" s="2052"/>
      <c r="KG1001" s="2052"/>
      <c r="KL1001" s="2052"/>
      <c r="KM1001" s="2052"/>
      <c r="KN1001" s="2052"/>
      <c r="KO1001" s="2052"/>
      <c r="KP1001" s="2052"/>
      <c r="KQ1001" s="2052"/>
      <c r="KR1001" s="2052"/>
      <c r="KS1001" s="2052"/>
      <c r="KT1001" s="2052"/>
      <c r="KU1001" s="2052"/>
      <c r="KV1001" s="2052"/>
      <c r="KW1001" s="2052"/>
      <c r="KX1001" s="2052"/>
      <c r="KY1001" s="2052"/>
      <c r="KZ1001" s="2052"/>
      <c r="LA1001" s="2052"/>
      <c r="LB1001" s="2052"/>
      <c r="LC1001" s="2052"/>
      <c r="LD1001" s="2052"/>
      <c r="LE1001" s="2052"/>
      <c r="LF1001" s="2052"/>
      <c r="LG1001" s="2052"/>
      <c r="NP1001" s="1925"/>
    </row>
    <row r="1002" spans="1:380" s="1853" customFormat="1" ht="14.25" customHeight="1">
      <c r="C1002" s="1818"/>
      <c r="D1002" s="1818"/>
      <c r="E1002" s="1818"/>
      <c r="F1002" s="1818"/>
      <c r="H1002" s="2116" t="s">
        <v>3832</v>
      </c>
      <c r="I1002" s="2122"/>
      <c r="K1002" s="2172">
        <f>FH889</f>
        <v>0</v>
      </c>
      <c r="L1002" s="2172">
        <f>FI889</f>
        <v>0</v>
      </c>
      <c r="M1002" s="2172">
        <f>FJ889</f>
        <v>0</v>
      </c>
      <c r="N1002" s="2172">
        <f>FK889</f>
        <v>0</v>
      </c>
      <c r="O1002" s="2172">
        <f>FL889</f>
        <v>0</v>
      </c>
      <c r="P1002" s="2172">
        <f t="shared" si="367"/>
        <v>0</v>
      </c>
      <c r="Q1002" s="2173" t="str">
        <f t="shared" si="368"/>
        <v/>
      </c>
      <c r="S1002" s="2044"/>
      <c r="T1002" s="2044"/>
      <c r="U1002" s="2044"/>
      <c r="V1002" s="2044"/>
      <c r="W1002" s="2044"/>
      <c r="X1002" s="1818"/>
      <c r="AA1002" s="1818"/>
      <c r="AB1002" s="435"/>
      <c r="AC1002" s="1818"/>
      <c r="AF1002" s="1818"/>
      <c r="AG1002" s="435"/>
      <c r="AH1002" s="1818"/>
      <c r="AK1002" s="1818"/>
      <c r="AL1002" s="435"/>
      <c r="AM1002" s="1818"/>
      <c r="AP1002" s="1818"/>
      <c r="AQ1002" s="435"/>
      <c r="AR1002" s="436"/>
      <c r="AS1002" s="436"/>
      <c r="AT1002" s="436"/>
      <c r="AU1002" s="436"/>
      <c r="AV1002" s="436"/>
      <c r="AW1002" s="436"/>
      <c r="AY1002" s="1818"/>
      <c r="BB1002" s="436"/>
      <c r="BD1002" s="1818"/>
      <c r="JW1002" s="2052"/>
      <c r="KB1002" s="2052"/>
      <c r="KG1002" s="2052"/>
      <c r="KL1002" s="2052"/>
      <c r="KM1002" s="2052"/>
      <c r="KN1002" s="2052"/>
      <c r="KO1002" s="2052"/>
      <c r="KP1002" s="2052"/>
      <c r="KQ1002" s="2052"/>
      <c r="KR1002" s="2052"/>
      <c r="KS1002" s="2052"/>
      <c r="KT1002" s="2052"/>
      <c r="KU1002" s="2052"/>
      <c r="KV1002" s="2052"/>
      <c r="KW1002" s="2052"/>
      <c r="KX1002" s="2052"/>
      <c r="KY1002" s="2052"/>
      <c r="KZ1002" s="2052"/>
      <c r="LA1002" s="2052"/>
      <c r="LB1002" s="2052"/>
      <c r="LC1002" s="2052"/>
      <c r="LD1002" s="2052"/>
      <c r="LE1002" s="2052"/>
      <c r="LF1002" s="2052"/>
      <c r="LG1002" s="2052"/>
      <c r="NP1002" s="1925"/>
    </row>
    <row r="1003" spans="1:380" s="1853" customFormat="1" ht="14.25" customHeight="1">
      <c r="C1003" s="1818"/>
      <c r="D1003" s="1818"/>
      <c r="E1003" s="1818"/>
      <c r="F1003" s="1818"/>
      <c r="H1003" s="2115" t="s">
        <v>3833</v>
      </c>
      <c r="I1003" s="2113"/>
      <c r="K1003" s="2167">
        <f>FM889</f>
        <v>0</v>
      </c>
      <c r="L1003" s="2167">
        <f>FN889</f>
        <v>0</v>
      </c>
      <c r="M1003" s="2167">
        <f>FO889</f>
        <v>0</v>
      </c>
      <c r="N1003" s="2167">
        <f>FP889</f>
        <v>0</v>
      </c>
      <c r="O1003" s="2167">
        <f>FQ889</f>
        <v>0</v>
      </c>
      <c r="P1003" s="2172">
        <f t="shared" si="367"/>
        <v>0</v>
      </c>
      <c r="Q1003" s="2173" t="str">
        <f t="shared" si="368"/>
        <v/>
      </c>
      <c r="S1003" s="2044"/>
      <c r="T1003" s="2044"/>
      <c r="U1003" s="2044"/>
      <c r="V1003" s="2044"/>
      <c r="W1003" s="2044"/>
      <c r="X1003" s="1818"/>
      <c r="AA1003" s="1818"/>
      <c r="AB1003" s="435"/>
      <c r="AC1003" s="1818"/>
      <c r="AF1003" s="1818"/>
      <c r="AG1003" s="435"/>
      <c r="AH1003" s="1818"/>
      <c r="AK1003" s="1818"/>
      <c r="AL1003" s="435"/>
      <c r="AM1003" s="1818"/>
      <c r="AP1003" s="1818"/>
      <c r="AQ1003" s="435"/>
      <c r="AR1003" s="436"/>
      <c r="AS1003" s="436"/>
      <c r="AT1003" s="436"/>
      <c r="AU1003" s="436"/>
      <c r="AV1003" s="436"/>
      <c r="AW1003" s="436"/>
      <c r="AX1003" s="1818"/>
      <c r="AY1003" s="1818"/>
      <c r="BB1003" s="436"/>
      <c r="BC1003" s="1818"/>
      <c r="BD1003" s="1818"/>
      <c r="JW1003" s="2052"/>
      <c r="KB1003" s="2052"/>
      <c r="KG1003" s="2052"/>
      <c r="KL1003" s="2052"/>
      <c r="KM1003" s="2052"/>
      <c r="KN1003" s="2052"/>
      <c r="KO1003" s="2052"/>
      <c r="KP1003" s="2052"/>
      <c r="KQ1003" s="2052"/>
      <c r="KR1003" s="2052"/>
      <c r="KS1003" s="2052"/>
      <c r="KT1003" s="2052"/>
      <c r="KU1003" s="2052"/>
      <c r="KV1003" s="2052"/>
      <c r="KW1003" s="2052"/>
      <c r="KX1003" s="2052"/>
      <c r="KY1003" s="2052"/>
      <c r="KZ1003" s="2052"/>
      <c r="LA1003" s="2052"/>
      <c r="LB1003" s="2052"/>
      <c r="LC1003" s="2052"/>
      <c r="LD1003" s="2052"/>
      <c r="LE1003" s="2052"/>
      <c r="LF1003" s="2052"/>
      <c r="LG1003" s="2052"/>
      <c r="NP1003" s="1925"/>
    </row>
    <row r="1004" spans="1:380" s="1853" customFormat="1" ht="14.25" customHeight="1">
      <c r="C1004" s="1818"/>
      <c r="D1004" s="1818"/>
      <c r="E1004" s="1818"/>
      <c r="F1004" s="1818"/>
      <c r="H1004" s="2170" t="s">
        <v>3914</v>
      </c>
      <c r="I1004" s="2171"/>
      <c r="J1004" s="2155"/>
      <c r="K1004" s="2174">
        <f>SUM(K997:K1003)</f>
        <v>0</v>
      </c>
      <c r="L1004" s="2174">
        <f>SUM(L997:L1003)</f>
        <v>8840</v>
      </c>
      <c r="M1004" s="2174">
        <f>SUM(M997:M1003)</f>
        <v>29920</v>
      </c>
      <c r="N1004" s="2174">
        <f>SUM(N997:N1003)</f>
        <v>20060</v>
      </c>
      <c r="O1004" s="2174">
        <f>SUM(O997:O1003)</f>
        <v>0</v>
      </c>
      <c r="P1004" s="2174">
        <f>SUM(K1004:O1004)</f>
        <v>58820</v>
      </c>
      <c r="S1004" s="2044"/>
      <c r="T1004" s="2044"/>
      <c r="U1004" s="2044"/>
      <c r="V1004" s="2044"/>
      <c r="W1004" s="2044"/>
      <c r="X1004" s="1818"/>
      <c r="AA1004" s="1818"/>
      <c r="AB1004" s="435"/>
      <c r="AC1004" s="1818"/>
      <c r="AF1004" s="1818"/>
      <c r="AG1004" s="435"/>
      <c r="AH1004" s="1818"/>
      <c r="AK1004" s="1818"/>
      <c r="AL1004" s="435"/>
      <c r="AM1004" s="1818"/>
      <c r="AP1004" s="1818"/>
      <c r="AQ1004" s="435"/>
      <c r="AR1004" s="436"/>
      <c r="AS1004" s="436"/>
      <c r="AT1004" s="436"/>
      <c r="AU1004" s="436"/>
      <c r="AV1004" s="436"/>
      <c r="AW1004" s="436"/>
      <c r="AX1004" s="1818"/>
      <c r="AY1004" s="1818"/>
      <c r="BB1004" s="436"/>
      <c r="BC1004" s="1818"/>
      <c r="BD1004" s="1818"/>
      <c r="JW1004" s="2052"/>
      <c r="KB1004" s="2052"/>
      <c r="KG1004" s="2052"/>
      <c r="KL1004" s="2052"/>
      <c r="KM1004" s="2052"/>
      <c r="KN1004" s="2052"/>
      <c r="KO1004" s="2052"/>
      <c r="KP1004" s="2052"/>
      <c r="KQ1004" s="2052"/>
      <c r="KR1004" s="2052"/>
      <c r="KS1004" s="2052"/>
      <c r="KT1004" s="2052"/>
      <c r="KU1004" s="2052"/>
      <c r="KV1004" s="2052"/>
      <c r="KW1004" s="2052"/>
      <c r="KX1004" s="2052"/>
      <c r="KY1004" s="2052"/>
      <c r="KZ1004" s="2052"/>
      <c r="LA1004" s="2052"/>
      <c r="LB1004" s="2052"/>
      <c r="LC1004" s="2052"/>
      <c r="LD1004" s="2052"/>
      <c r="LE1004" s="2052"/>
      <c r="LF1004" s="2052"/>
      <c r="LG1004" s="2052"/>
      <c r="NP1004" s="1925"/>
    </row>
    <row r="1005" spans="1:380" s="1853" customFormat="1" ht="14.25" customHeight="1">
      <c r="C1005" s="1818" t="s">
        <v>292</v>
      </c>
      <c r="D1005" s="1818"/>
      <c r="E1005" s="1818"/>
      <c r="F1005" s="1818"/>
      <c r="G1005" s="1818"/>
      <c r="K1005" s="2172">
        <f>FR889</f>
        <v>0</v>
      </c>
      <c r="L1005" s="2172">
        <f>FS889</f>
        <v>2040</v>
      </c>
      <c r="M1005" s="2172">
        <f>FT889</f>
        <v>1760</v>
      </c>
      <c r="N1005" s="2172">
        <f>FU889</f>
        <v>3540</v>
      </c>
      <c r="O1005" s="2172">
        <f>FV889</f>
        <v>0</v>
      </c>
      <c r="P1005" s="2172">
        <f>SUM(K1005:O1005)</f>
        <v>7340</v>
      </c>
      <c r="Q1005" s="2173">
        <f>IF(OR(P904=0,P904=""),"",P1005/P904)</f>
        <v>917.5</v>
      </c>
      <c r="S1005" s="2044"/>
      <c r="T1005" s="2044"/>
      <c r="U1005" s="2044"/>
      <c r="V1005" s="2044"/>
      <c r="W1005" s="2044"/>
      <c r="X1005" s="1818"/>
      <c r="AA1005" s="1818"/>
      <c r="AB1005" s="1818"/>
      <c r="AC1005" s="1818"/>
      <c r="AF1005" s="1818"/>
      <c r="AG1005" s="1818"/>
      <c r="AH1005" s="1818"/>
      <c r="AK1005" s="1818"/>
      <c r="AL1005" s="1818"/>
      <c r="AM1005" s="1818"/>
      <c r="AP1005" s="1818"/>
      <c r="AQ1005" s="1818"/>
      <c r="AR1005" s="436"/>
      <c r="AS1005" s="436"/>
      <c r="AT1005" s="436"/>
      <c r="AU1005" s="436"/>
      <c r="AV1005" s="436"/>
      <c r="AW1005" s="436"/>
      <c r="AY1005" s="1818"/>
      <c r="BB1005" s="436"/>
      <c r="BD1005" s="1818"/>
      <c r="JW1005" s="2052"/>
      <c r="KB1005" s="2052"/>
      <c r="KG1005" s="2052"/>
      <c r="KL1005" s="2052"/>
      <c r="KM1005" s="2052"/>
      <c r="KN1005" s="2052"/>
      <c r="KO1005" s="2052"/>
      <c r="KP1005" s="2052"/>
      <c r="KQ1005" s="2052"/>
      <c r="KR1005" s="2052"/>
      <c r="KS1005" s="2052"/>
      <c r="KT1005" s="2052"/>
      <c r="KU1005" s="2052"/>
      <c r="KV1005" s="2052"/>
      <c r="KW1005" s="2052"/>
      <c r="KX1005" s="2052"/>
      <c r="KY1005" s="2052"/>
      <c r="KZ1005" s="2052"/>
      <c r="LA1005" s="2052"/>
      <c r="LB1005" s="2052"/>
      <c r="LC1005" s="2052"/>
      <c r="LD1005" s="2052"/>
      <c r="LE1005" s="2052"/>
      <c r="LF1005" s="2052"/>
      <c r="LG1005" s="2052"/>
      <c r="NP1005" s="1925"/>
    </row>
    <row r="1006" spans="1:380" s="1853" customFormat="1" ht="14.25" customHeight="1">
      <c r="C1006" s="2154" t="s">
        <v>1096</v>
      </c>
      <c r="D1006" s="2154"/>
      <c r="E1006" s="2154"/>
      <c r="F1006" s="2154"/>
      <c r="G1006" s="2154"/>
      <c r="H1006" s="2155"/>
      <c r="I1006" s="2155"/>
      <c r="J1006" s="2155"/>
      <c r="K1006" s="2174">
        <f>SUM(K1004:K1005)</f>
        <v>0</v>
      </c>
      <c r="L1006" s="2174">
        <f>SUM(L1004:L1005)</f>
        <v>10880</v>
      </c>
      <c r="M1006" s="2174">
        <f>SUM(M1004:M1005)</f>
        <v>31680</v>
      </c>
      <c r="N1006" s="2174">
        <f>SUM(N1004:N1005)</f>
        <v>23600</v>
      </c>
      <c r="O1006" s="2174">
        <f>SUM(O1004:O1005)</f>
        <v>0</v>
      </c>
      <c r="P1006" s="2174">
        <f>SUM(K1006:O1006)</f>
        <v>66160</v>
      </c>
      <c r="S1006" s="2044"/>
      <c r="T1006" s="2044"/>
      <c r="U1006" s="2044"/>
      <c r="V1006" s="2044"/>
      <c r="W1006" s="2044"/>
      <c r="X1006" s="1818"/>
      <c r="AA1006" s="1818"/>
      <c r="AB1006" s="1818"/>
      <c r="AC1006" s="1818"/>
      <c r="AF1006" s="1818"/>
      <c r="AG1006" s="1818"/>
      <c r="AH1006" s="1818"/>
      <c r="AK1006" s="1818"/>
      <c r="AL1006" s="1818"/>
      <c r="AM1006" s="1818"/>
      <c r="AP1006" s="1818"/>
      <c r="AQ1006" s="1818"/>
      <c r="AR1006" s="436"/>
      <c r="AS1006" s="436"/>
      <c r="AT1006" s="436"/>
      <c r="AU1006" s="436"/>
      <c r="AV1006" s="436"/>
      <c r="AW1006" s="436"/>
      <c r="AY1006" s="1818"/>
      <c r="BB1006" s="436"/>
      <c r="BD1006" s="1818"/>
      <c r="JW1006" s="2052"/>
      <c r="KB1006" s="2052"/>
      <c r="KG1006" s="2052"/>
      <c r="KL1006" s="2052"/>
      <c r="KM1006" s="2052"/>
      <c r="KN1006" s="2052"/>
      <c r="KO1006" s="2052"/>
      <c r="KP1006" s="2052"/>
      <c r="KQ1006" s="2052"/>
      <c r="KR1006" s="2052"/>
      <c r="KS1006" s="2052"/>
      <c r="KT1006" s="2052"/>
      <c r="KU1006" s="2052"/>
      <c r="KV1006" s="2052"/>
      <c r="KW1006" s="2052"/>
      <c r="KX1006" s="2052"/>
      <c r="KY1006" s="2052"/>
      <c r="KZ1006" s="2052"/>
      <c r="LA1006" s="2052"/>
      <c r="LB1006" s="2052"/>
      <c r="LC1006" s="2052"/>
      <c r="LD1006" s="2052"/>
      <c r="LE1006" s="2052"/>
      <c r="LF1006" s="2052"/>
      <c r="LG1006" s="2052"/>
      <c r="NP1006" s="1925"/>
    </row>
    <row r="1007" spans="1:380" s="1853" customFormat="1" ht="14.25" customHeight="1">
      <c r="C1007" s="1818" t="s">
        <v>2392</v>
      </c>
      <c r="D1007" s="1818"/>
      <c r="E1007" s="1818"/>
      <c r="F1007" s="1818"/>
      <c r="G1007" s="1818"/>
      <c r="K1007" s="2172">
        <f>GB889</f>
        <v>0</v>
      </c>
      <c r="L1007" s="2172">
        <f>GC889</f>
        <v>0</v>
      </c>
      <c r="M1007" s="2172">
        <f>GD889</f>
        <v>0</v>
      </c>
      <c r="N1007" s="2172">
        <f>GE889</f>
        <v>0</v>
      </c>
      <c r="O1007" s="2172">
        <f>GF889</f>
        <v>0</v>
      </c>
      <c r="P1007" s="2172">
        <f>SUM(K1007:O1007)</f>
        <v>0</v>
      </c>
      <c r="Q1007" s="2173" t="str">
        <f>IF(OR(P906=0,P906=""),"",P1007/P906)</f>
        <v/>
      </c>
      <c r="S1007" s="2044"/>
      <c r="T1007" s="2044"/>
      <c r="U1007" s="2044"/>
      <c r="V1007" s="2044"/>
      <c r="W1007" s="2044"/>
      <c r="X1007" s="1818"/>
      <c r="AA1007" s="1818"/>
      <c r="AB1007" s="1818"/>
      <c r="AC1007" s="1818"/>
      <c r="AF1007" s="1818"/>
      <c r="AG1007" s="1818"/>
      <c r="AH1007" s="1818"/>
      <c r="AK1007" s="1818"/>
      <c r="AL1007" s="1818"/>
      <c r="AM1007" s="1818"/>
      <c r="AP1007" s="1818"/>
      <c r="AQ1007" s="1818"/>
      <c r="AR1007" s="436"/>
      <c r="AS1007" s="436"/>
      <c r="AT1007" s="436"/>
      <c r="AU1007" s="436"/>
      <c r="AV1007" s="436"/>
      <c r="AW1007" s="436"/>
      <c r="AY1007" s="1818"/>
      <c r="BB1007" s="436"/>
      <c r="BD1007" s="1818"/>
      <c r="JW1007" s="2052"/>
      <c r="KB1007" s="2052"/>
      <c r="KG1007" s="2052"/>
      <c r="KL1007" s="2052"/>
      <c r="KM1007" s="2052"/>
      <c r="KN1007" s="2052"/>
      <c r="KO1007" s="2052"/>
      <c r="KP1007" s="2052"/>
      <c r="KQ1007" s="2052"/>
      <c r="KR1007" s="2052"/>
      <c r="KS1007" s="2052"/>
      <c r="KT1007" s="2052"/>
      <c r="KU1007" s="2052"/>
      <c r="KV1007" s="2052"/>
      <c r="KW1007" s="2052"/>
      <c r="KX1007" s="2052"/>
      <c r="KY1007" s="2052"/>
      <c r="KZ1007" s="2052"/>
      <c r="LA1007" s="2052"/>
      <c r="LB1007" s="2052"/>
      <c r="LC1007" s="2052"/>
      <c r="LD1007" s="2052"/>
      <c r="LE1007" s="2052"/>
      <c r="LF1007" s="2052"/>
      <c r="LG1007" s="2052"/>
      <c r="NP1007" s="1925"/>
    </row>
    <row r="1008" spans="1:380" s="1853" customFormat="1" ht="14.25" customHeight="1">
      <c r="C1008" s="1818" t="s">
        <v>513</v>
      </c>
      <c r="D1008" s="1818"/>
      <c r="E1008" s="1818"/>
      <c r="F1008" s="1818"/>
      <c r="G1008" s="1818"/>
      <c r="K1008" s="2172">
        <f>SUM(K1006:K1007)</f>
        <v>0</v>
      </c>
      <c r="L1008" s="2172">
        <f>SUM(L1006:L1007)</f>
        <v>10880</v>
      </c>
      <c r="M1008" s="2172">
        <f>SUM(M1006:M1007)</f>
        <v>31680</v>
      </c>
      <c r="N1008" s="2172">
        <f>SUM(N1006:N1007)</f>
        <v>23600</v>
      </c>
      <c r="O1008" s="2172">
        <f>SUM(O1006:O1007)</f>
        <v>0</v>
      </c>
      <c r="P1008" s="2172">
        <f>SUM(K1008:O1008)</f>
        <v>66160</v>
      </c>
      <c r="S1008" s="2044"/>
      <c r="T1008" s="2044"/>
      <c r="U1008" s="2044"/>
      <c r="V1008" s="2044"/>
      <c r="W1008" s="2044"/>
      <c r="X1008" s="1818"/>
      <c r="AA1008" s="1818"/>
      <c r="AB1008" s="1818"/>
      <c r="AC1008" s="1818"/>
      <c r="AF1008" s="1818"/>
      <c r="AG1008" s="1818"/>
      <c r="AH1008" s="1818"/>
      <c r="AK1008" s="1818"/>
      <c r="AL1008" s="1818"/>
      <c r="AM1008" s="1818"/>
      <c r="AP1008" s="1818"/>
      <c r="AQ1008" s="1818"/>
      <c r="AR1008" s="436"/>
      <c r="AS1008" s="436"/>
      <c r="AT1008" s="436"/>
      <c r="AU1008" s="436"/>
      <c r="AV1008" s="436"/>
      <c r="AW1008" s="436"/>
      <c r="AY1008" s="1818"/>
      <c r="BB1008" s="436"/>
      <c r="BD1008" s="1818"/>
      <c r="JW1008" s="2052"/>
      <c r="KB1008" s="2052"/>
      <c r="KG1008" s="2052"/>
      <c r="KL1008" s="2052"/>
      <c r="KM1008" s="2052"/>
      <c r="KN1008" s="2052"/>
      <c r="KO1008" s="2052"/>
      <c r="KP1008" s="2052"/>
      <c r="KQ1008" s="2052"/>
      <c r="KR1008" s="2052"/>
      <c r="KS1008" s="2052"/>
      <c r="KT1008" s="2052"/>
      <c r="KU1008" s="2052"/>
      <c r="KV1008" s="2052"/>
      <c r="KW1008" s="2052"/>
      <c r="KX1008" s="2052"/>
      <c r="KY1008" s="2052"/>
      <c r="KZ1008" s="2052"/>
      <c r="LA1008" s="2052"/>
      <c r="LB1008" s="2052"/>
      <c r="LC1008" s="2052"/>
      <c r="LD1008" s="2052"/>
      <c r="LE1008" s="2052"/>
      <c r="LF1008" s="2052"/>
      <c r="LG1008" s="2052"/>
      <c r="NP1008" s="1925"/>
    </row>
    <row r="1009" spans="1:380" s="1853" customFormat="1" ht="14.1" customHeight="1">
      <c r="JW1009" s="2052"/>
      <c r="KB1009" s="2052"/>
      <c r="KG1009" s="2052"/>
      <c r="KL1009" s="2052"/>
      <c r="KM1009" s="2052"/>
      <c r="KN1009" s="2052"/>
      <c r="KO1009" s="2052"/>
      <c r="KP1009" s="2052"/>
      <c r="KQ1009" s="2052"/>
      <c r="KR1009" s="2052"/>
      <c r="KS1009" s="2052"/>
      <c r="KT1009" s="2052"/>
      <c r="KU1009" s="2052"/>
      <c r="KV1009" s="2052"/>
      <c r="KW1009" s="2052"/>
      <c r="KX1009" s="2052"/>
      <c r="KY1009" s="2052"/>
      <c r="KZ1009" s="2052"/>
      <c r="LA1009" s="2052"/>
      <c r="LB1009" s="2052"/>
      <c r="LC1009" s="2052"/>
      <c r="LD1009" s="2052"/>
      <c r="LE1009" s="2052"/>
      <c r="LF1009" s="2052"/>
      <c r="LG1009" s="2052"/>
      <c r="NP1009" s="1925"/>
    </row>
    <row r="1010" spans="1:380" s="1818" customFormat="1" ht="14.1" customHeight="1">
      <c r="JW1010" s="2109"/>
      <c r="KB1010" s="2109"/>
      <c r="KG1010" s="2109"/>
      <c r="KL1010" s="2109"/>
      <c r="KM1010" s="2109"/>
      <c r="KN1010" s="2109"/>
      <c r="KO1010" s="2109"/>
      <c r="KP1010" s="2109"/>
      <c r="KQ1010" s="2109"/>
      <c r="KR1010" s="2109"/>
      <c r="KS1010" s="2109"/>
      <c r="KT1010" s="2109"/>
      <c r="KU1010" s="2109"/>
      <c r="KV1010" s="2109"/>
      <c r="KW1010" s="2109"/>
      <c r="KX1010" s="2109"/>
      <c r="KY1010" s="2109"/>
      <c r="KZ1010" s="2109"/>
      <c r="LA1010" s="2109"/>
      <c r="LB1010" s="2109"/>
      <c r="LC1010" s="2109"/>
      <c r="LD1010" s="2109"/>
      <c r="LE1010" s="2109"/>
      <c r="LF1010" s="2109"/>
      <c r="LG1010" s="2109"/>
      <c r="NP1010" s="1925"/>
    </row>
    <row r="1011" spans="1:380" s="1818" customFormat="1" ht="14.25" customHeight="1">
      <c r="C1011" s="1818" t="s">
        <v>7150</v>
      </c>
      <c r="K1011" s="2175" t="str">
        <f>IF(OR(K907="",K907=0),"",K1008/K907)</f>
        <v/>
      </c>
      <c r="L1011" s="2175">
        <f>IF(OR(L907="",L907=0),"",L1008/L907)</f>
        <v>680</v>
      </c>
      <c r="M1011" s="2175">
        <f>IF(OR(M907="",M907=0),"",M1008/M907)</f>
        <v>880</v>
      </c>
      <c r="N1011" s="2175">
        <f>IF(OR(N907="",N907=0),"",N1008/N907)</f>
        <v>1180</v>
      </c>
      <c r="O1011" s="2175" t="str">
        <f>IF(OR(O907="",O907=0),"",O1008/O907)</f>
        <v/>
      </c>
      <c r="P1011" s="2175"/>
      <c r="JW1011" s="2109"/>
      <c r="KB1011" s="2109"/>
      <c r="KG1011" s="2109"/>
      <c r="KL1011" s="2109"/>
      <c r="KM1011" s="2109"/>
      <c r="KN1011" s="2109"/>
      <c r="KO1011" s="2109"/>
      <c r="KP1011" s="2109"/>
      <c r="KQ1011" s="2109"/>
      <c r="KR1011" s="2109"/>
      <c r="KS1011" s="2109"/>
      <c r="KT1011" s="2109"/>
      <c r="KU1011" s="2109"/>
      <c r="KV1011" s="2109"/>
      <c r="KW1011" s="2109"/>
      <c r="KX1011" s="2109"/>
      <c r="KY1011" s="2109"/>
      <c r="KZ1011" s="2109"/>
      <c r="LA1011" s="2109"/>
      <c r="LB1011" s="2109"/>
      <c r="LC1011" s="2109"/>
      <c r="LD1011" s="2109"/>
      <c r="LE1011" s="2109"/>
      <c r="LF1011" s="2109"/>
      <c r="LG1011" s="2109"/>
      <c r="NP1011" s="1925"/>
    </row>
    <row r="1012" spans="1:380" s="1818" customFormat="1" ht="14.1" customHeight="1">
      <c r="JW1012" s="2109"/>
      <c r="KB1012" s="2109"/>
      <c r="KG1012" s="2109"/>
      <c r="KL1012" s="2109"/>
      <c r="KM1012" s="2109"/>
      <c r="KN1012" s="2109"/>
      <c r="KO1012" s="2109"/>
      <c r="KP1012" s="2109"/>
      <c r="KQ1012" s="2109"/>
      <c r="KR1012" s="2109"/>
      <c r="KS1012" s="2109"/>
      <c r="KT1012" s="2109"/>
      <c r="KU1012" s="2109"/>
      <c r="KV1012" s="2109"/>
      <c r="KW1012" s="2109"/>
      <c r="KX1012" s="2109"/>
      <c r="KY1012" s="2109"/>
      <c r="KZ1012" s="2109"/>
      <c r="LA1012" s="2109"/>
      <c r="LB1012" s="2109"/>
      <c r="LC1012" s="2109"/>
      <c r="LD1012" s="2109"/>
      <c r="LE1012" s="2109"/>
      <c r="LF1012" s="2109"/>
      <c r="LG1012" s="2109"/>
      <c r="NP1012" s="1925"/>
    </row>
    <row r="1013" spans="1:380" s="1818" customFormat="1" ht="14.1" customHeight="1">
      <c r="A1013" s="2176"/>
      <c r="JW1013" s="2109"/>
      <c r="KB1013" s="2109"/>
      <c r="KG1013" s="2109"/>
      <c r="KL1013" s="2109"/>
      <c r="KM1013" s="2109"/>
      <c r="KN1013" s="2109"/>
      <c r="KO1013" s="2109"/>
      <c r="KP1013" s="2109"/>
      <c r="KQ1013" s="2109"/>
      <c r="KR1013" s="2109"/>
      <c r="KS1013" s="2109"/>
      <c r="KT1013" s="2109"/>
      <c r="KU1013" s="2109"/>
      <c r="KV1013" s="2109"/>
      <c r="KW1013" s="2109"/>
      <c r="KX1013" s="2109"/>
      <c r="KY1013" s="2109"/>
      <c r="KZ1013" s="2109"/>
      <c r="LA1013" s="2109"/>
      <c r="LB1013" s="2109"/>
      <c r="LC1013" s="2109"/>
      <c r="LD1013" s="2109"/>
      <c r="LE1013" s="2109"/>
      <c r="LF1013" s="2109"/>
      <c r="LG1013" s="2109"/>
      <c r="NP1013" s="1925"/>
    </row>
    <row r="1014" spans="1:380" s="1853" customFormat="1" ht="14.1" customHeight="1">
      <c r="A1014" s="1853" t="s">
        <v>712</v>
      </c>
      <c r="B1014" s="1853" t="s">
        <v>7151</v>
      </c>
      <c r="S1014" s="1853" t="s">
        <v>1759</v>
      </c>
      <c r="U1014" s="1818"/>
      <c r="KM1014" s="2052"/>
      <c r="KN1014" s="2052"/>
      <c r="KO1014" s="2052"/>
      <c r="KP1014" s="2052"/>
      <c r="KQ1014" s="2052"/>
      <c r="KR1014" s="2052"/>
      <c r="KS1014" s="2052"/>
      <c r="KT1014" s="2052"/>
      <c r="KU1014" s="2052"/>
      <c r="KV1014" s="2052"/>
      <c r="KW1014" s="2052"/>
      <c r="KX1014" s="2052"/>
      <c r="KY1014" s="2052"/>
      <c r="KZ1014" s="2052"/>
      <c r="LA1014" s="2052"/>
      <c r="LB1014" s="2052"/>
      <c r="LC1014" s="2052"/>
      <c r="LD1014" s="2052"/>
      <c r="LE1014" s="2052"/>
      <c r="LF1014" s="2052"/>
      <c r="LG1014" s="2052"/>
      <c r="LH1014" s="2052"/>
      <c r="NP1014" s="1925"/>
    </row>
    <row r="1015" spans="1:380" s="1853" customFormat="1" ht="2.25" customHeight="1">
      <c r="Q1015" s="1818"/>
      <c r="R1015" s="1818"/>
      <c r="JW1015" s="2052"/>
      <c r="KB1015" s="2052"/>
      <c r="KG1015" s="2052"/>
      <c r="KL1015" s="2052"/>
      <c r="KM1015" s="2052"/>
      <c r="KN1015" s="2052"/>
      <c r="KO1015" s="2052"/>
      <c r="KP1015" s="2052"/>
      <c r="KQ1015" s="2052"/>
      <c r="KR1015" s="2052"/>
      <c r="KS1015" s="2052"/>
      <c r="KT1015" s="2052"/>
      <c r="KU1015" s="2052"/>
      <c r="KV1015" s="2052"/>
      <c r="KW1015" s="2052"/>
      <c r="KX1015" s="2052"/>
      <c r="KY1015" s="2052"/>
      <c r="KZ1015" s="2052"/>
      <c r="LA1015" s="2052"/>
      <c r="LB1015" s="2052"/>
      <c r="LC1015" s="2052"/>
      <c r="LD1015" s="2052"/>
      <c r="LE1015" s="2052"/>
      <c r="LF1015" s="2052"/>
      <c r="LG1015" s="2052"/>
      <c r="NP1015" s="1925"/>
    </row>
    <row r="1016" spans="1:380" s="1818" customFormat="1" ht="15.6" customHeight="1">
      <c r="B1016" s="1719" t="s">
        <v>977</v>
      </c>
      <c r="C1016" s="1719"/>
      <c r="D1016" s="1719"/>
      <c r="E1016" s="1719"/>
      <c r="F1016" s="1719"/>
      <c r="G1016" s="1719"/>
      <c r="H1016" s="2177">
        <f>'Part VI-Revenues &amp; Expenses'!H176</f>
        <v>12302.16</v>
      </c>
      <c r="I1016" s="2177"/>
      <c r="J1016" s="2177"/>
      <c r="K1016" s="1719"/>
      <c r="L1016" s="2116" t="s">
        <v>7076</v>
      </c>
      <c r="M1016" s="1719"/>
      <c r="N1016" s="1719"/>
      <c r="O1016" s="1719"/>
      <c r="P1016" s="2178">
        <f>IF(M890=0,0,H1016/M890)</f>
        <v>0.02</v>
      </c>
      <c r="Q1016" s="1719"/>
      <c r="R1016" s="1719"/>
      <c r="S1016" s="1818" t="str">
        <f>B1016</f>
        <v>Ancillary Income</v>
      </c>
      <c r="JW1016" s="2109"/>
      <c r="KB1016" s="2109"/>
      <c r="KG1016" s="2109"/>
      <c r="KL1016" s="2109"/>
      <c r="KM1016" s="2109"/>
      <c r="KN1016" s="2109"/>
      <c r="KO1016" s="2109"/>
      <c r="KP1016" s="2109"/>
      <c r="KQ1016" s="2109"/>
      <c r="KR1016" s="2109"/>
      <c r="KS1016" s="2109"/>
      <c r="KT1016" s="2109"/>
      <c r="KU1016" s="2109"/>
      <c r="KV1016" s="2109"/>
      <c r="KW1016" s="2109"/>
      <c r="KX1016" s="2109"/>
      <c r="KY1016" s="2109"/>
      <c r="KZ1016" s="2109"/>
      <c r="LA1016" s="2109"/>
      <c r="LB1016" s="2109"/>
      <c r="LC1016" s="2109"/>
      <c r="LD1016" s="2109"/>
      <c r="LE1016" s="2109"/>
      <c r="LF1016" s="2109"/>
      <c r="LG1016" s="2109"/>
      <c r="NP1016" s="2114"/>
    </row>
    <row r="1017" spans="1:380" s="1853" customFormat="1" ht="15.6" customHeight="1">
      <c r="B1017" s="2115"/>
      <c r="C1017" s="2115"/>
      <c r="D1017" s="1719"/>
      <c r="E1017" s="2115"/>
      <c r="F1017" s="2115"/>
      <c r="G1017" s="2115"/>
      <c r="H1017" s="2115"/>
      <c r="I1017" s="2115"/>
      <c r="J1017" s="2169"/>
      <c r="K1017" s="2115"/>
      <c r="L1017" s="2115"/>
      <c r="M1017" s="2115"/>
      <c r="N1017" s="2115"/>
      <c r="O1017" s="2115"/>
      <c r="P1017" s="2115"/>
      <c r="Q1017" s="1719"/>
      <c r="R1017" s="1719"/>
      <c r="JW1017" s="2052"/>
      <c r="KB1017" s="2052"/>
      <c r="KG1017" s="2052"/>
      <c r="KL1017" s="2052"/>
      <c r="KM1017" s="2052"/>
      <c r="KN1017" s="2052"/>
      <c r="KO1017" s="2052"/>
      <c r="KP1017" s="2052"/>
      <c r="KQ1017" s="2052"/>
      <c r="KR1017" s="2052"/>
      <c r="KS1017" s="2052"/>
      <c r="KT1017" s="2052"/>
      <c r="KU1017" s="2052"/>
      <c r="KV1017" s="2052"/>
      <c r="KW1017" s="2052"/>
      <c r="KX1017" s="2052"/>
      <c r="KY1017" s="2052"/>
      <c r="KZ1017" s="2052"/>
      <c r="LA1017" s="2052"/>
      <c r="LB1017" s="2052"/>
      <c r="LC1017" s="2052"/>
      <c r="LD1017" s="2052"/>
      <c r="LE1017" s="2052"/>
      <c r="LF1017" s="2052"/>
      <c r="LG1017" s="2052"/>
      <c r="NP1017" s="2114"/>
    </row>
    <row r="1018" spans="1:380" s="1853" customFormat="1" ht="15.6" customHeight="1">
      <c r="B1018" s="2115" t="s">
        <v>1390</v>
      </c>
      <c r="C1018" s="2115"/>
      <c r="D1018" s="2115"/>
      <c r="E1018" s="2115"/>
      <c r="F1018" s="2115"/>
      <c r="G1018" s="2115"/>
      <c r="H1018" s="2115"/>
      <c r="I1018" s="2115"/>
      <c r="J1018" s="2115"/>
      <c r="K1018" s="2115"/>
      <c r="L1018" s="2179"/>
      <c r="M1018" s="2115"/>
      <c r="N1018" s="2115"/>
      <c r="O1018" s="2115"/>
      <c r="P1018" s="2115"/>
      <c r="Q1018" s="2115"/>
      <c r="S1018" s="2109" t="str">
        <f>B1018</f>
        <v>Other Income (OI) by Year:</v>
      </c>
      <c r="JW1018" s="2052"/>
      <c r="KB1018" s="2052"/>
      <c r="KG1018" s="2052"/>
      <c r="KL1018" s="2052"/>
      <c r="KM1018" s="2052"/>
      <c r="KN1018" s="2052"/>
      <c r="KO1018" s="2052"/>
      <c r="KP1018" s="2052"/>
      <c r="KQ1018" s="2052"/>
      <c r="KR1018" s="2052"/>
      <c r="KS1018" s="2052"/>
      <c r="KT1018" s="2052"/>
      <c r="KU1018" s="2052"/>
      <c r="KV1018" s="2052"/>
      <c r="KW1018" s="2052"/>
      <c r="KX1018" s="2052"/>
      <c r="KY1018" s="2052"/>
      <c r="KZ1018" s="2052"/>
      <c r="LA1018" s="2052"/>
      <c r="LB1018" s="2052"/>
      <c r="LC1018" s="2052"/>
      <c r="LD1018" s="2052"/>
      <c r="LE1018" s="2052"/>
      <c r="LF1018" s="2052"/>
      <c r="LG1018" s="2052"/>
      <c r="NP1018" s="2114"/>
    </row>
    <row r="1019" spans="1:380" s="1853" customFormat="1" ht="15.6" customHeight="1">
      <c r="B1019" s="2107" t="s">
        <v>2182</v>
      </c>
      <c r="C1019" s="2115"/>
      <c r="D1019" s="2115"/>
      <c r="E1019" s="2115"/>
      <c r="F1019" s="2115"/>
      <c r="H1019" s="2180">
        <v>1</v>
      </c>
      <c r="I1019" s="2180">
        <v>2</v>
      </c>
      <c r="J1019" s="2180">
        <v>3</v>
      </c>
      <c r="K1019" s="2180">
        <v>4</v>
      </c>
      <c r="L1019" s="2180">
        <v>5</v>
      </c>
      <c r="M1019" s="2180">
        <v>6</v>
      </c>
      <c r="N1019" s="2180">
        <v>7</v>
      </c>
      <c r="O1019" s="2180">
        <v>8</v>
      </c>
      <c r="P1019" s="2180">
        <v>9</v>
      </c>
      <c r="Q1019" s="2180">
        <v>10</v>
      </c>
      <c r="R1019" s="2181"/>
      <c r="S1019" s="1818" t="str">
        <f>B1019</f>
        <v>Included in Mgt Fee:</v>
      </c>
      <c r="JW1019" s="2052"/>
      <c r="KB1019" s="2052"/>
      <c r="KG1019" s="2052"/>
      <c r="KL1019" s="2052"/>
      <c r="KM1019" s="2052"/>
      <c r="KN1019" s="2052"/>
      <c r="KO1019" s="2052"/>
      <c r="KP1019" s="2052"/>
      <c r="KQ1019" s="2052"/>
      <c r="KR1019" s="2052"/>
      <c r="KS1019" s="2052"/>
      <c r="KT1019" s="2052"/>
      <c r="KU1019" s="2052"/>
      <c r="KV1019" s="2052"/>
      <c r="KW1019" s="2052"/>
      <c r="KX1019" s="2052"/>
      <c r="KY1019" s="2052"/>
      <c r="KZ1019" s="2052"/>
      <c r="LA1019" s="2052"/>
      <c r="LB1019" s="2052"/>
      <c r="LC1019" s="2052"/>
      <c r="LD1019" s="2052"/>
      <c r="LE1019" s="2052"/>
      <c r="LF1019" s="2052"/>
      <c r="LG1019" s="2052"/>
      <c r="NP1019" s="2114"/>
    </row>
    <row r="1020" spans="1:380" s="1853" customFormat="1" ht="15.6" customHeight="1">
      <c r="B1020" s="1719" t="s">
        <v>978</v>
      </c>
      <c r="C1020" s="1719"/>
      <c r="D1020" s="1719"/>
      <c r="E1020" s="1719"/>
      <c r="F1020" s="1719"/>
      <c r="H1020" s="2182">
        <f>'Part VI-Revenues &amp; Expenses'!H180</f>
        <v>0</v>
      </c>
      <c r="I1020" s="2182">
        <f>'Part VI-Revenues &amp; Expenses'!I180</f>
        <v>0</v>
      </c>
      <c r="J1020" s="2182">
        <f>'Part VI-Revenues &amp; Expenses'!J180</f>
        <v>0</v>
      </c>
      <c r="K1020" s="2182">
        <f>'Part VI-Revenues &amp; Expenses'!K180</f>
        <v>0</v>
      </c>
      <c r="L1020" s="2182">
        <f>'Part VI-Revenues &amp; Expenses'!L180</f>
        <v>0</v>
      </c>
      <c r="M1020" s="2182">
        <f>'Part VI-Revenues &amp; Expenses'!M180</f>
        <v>0</v>
      </c>
      <c r="N1020" s="2182">
        <f>'Part VI-Revenues &amp; Expenses'!N180</f>
        <v>0</v>
      </c>
      <c r="O1020" s="2182">
        <f>'Part VI-Revenues &amp; Expenses'!O180</f>
        <v>0</v>
      </c>
      <c r="P1020" s="2182">
        <f>'Part VI-Revenues &amp; Expenses'!P180</f>
        <v>0</v>
      </c>
      <c r="Q1020" s="2182">
        <f>'Part VI-Revenues &amp; Expenses'!Q180</f>
        <v>0</v>
      </c>
      <c r="R1020" s="2183"/>
      <c r="S1020" s="2044"/>
      <c r="T1020" s="2044"/>
      <c r="U1020" s="2044"/>
      <c r="V1020" s="2044"/>
      <c r="W1020" s="2044"/>
      <c r="JW1020" s="2052"/>
      <c r="KB1020" s="2052"/>
      <c r="KG1020" s="2052"/>
      <c r="KL1020" s="2052"/>
      <c r="KM1020" s="2052"/>
      <c r="KN1020" s="2052"/>
      <c r="KO1020" s="2052"/>
      <c r="KP1020" s="2052"/>
      <c r="KQ1020" s="2052"/>
      <c r="KR1020" s="2052"/>
      <c r="KS1020" s="2052"/>
      <c r="KT1020" s="2052"/>
      <c r="KU1020" s="2052"/>
      <c r="KV1020" s="2052"/>
      <c r="KW1020" s="2052"/>
      <c r="KX1020" s="2052"/>
      <c r="KY1020" s="2052"/>
      <c r="KZ1020" s="2052"/>
      <c r="LA1020" s="2052"/>
      <c r="LB1020" s="2052"/>
      <c r="LC1020" s="2052"/>
      <c r="LD1020" s="2052"/>
      <c r="LE1020" s="2052"/>
      <c r="LF1020" s="2052"/>
      <c r="LG1020" s="2052"/>
      <c r="NP1020" s="1925"/>
    </row>
    <row r="1021" spans="1:380" s="1853" customFormat="1" ht="15.6" customHeight="1">
      <c r="B1021" s="1719" t="s">
        <v>711</v>
      </c>
      <c r="C1021" s="2184">
        <f>'Part VI-Revenues &amp; Expenses'!C181</f>
        <v>0</v>
      </c>
      <c r="D1021" s="2184"/>
      <c r="E1021" s="2184"/>
      <c r="F1021" s="2184"/>
      <c r="H1021" s="2182">
        <f>'Part VI-Revenues &amp; Expenses'!H181</f>
        <v>0</v>
      </c>
      <c r="I1021" s="2182">
        <f>'Part VI-Revenues &amp; Expenses'!I181</f>
        <v>0</v>
      </c>
      <c r="J1021" s="2182">
        <f>'Part VI-Revenues &amp; Expenses'!J181</f>
        <v>0</v>
      </c>
      <c r="K1021" s="2182">
        <f>'Part VI-Revenues &amp; Expenses'!K181</f>
        <v>0</v>
      </c>
      <c r="L1021" s="2182">
        <f>'Part VI-Revenues &amp; Expenses'!L181</f>
        <v>0</v>
      </c>
      <c r="M1021" s="2182">
        <f>'Part VI-Revenues &amp; Expenses'!M181</f>
        <v>0</v>
      </c>
      <c r="N1021" s="2182">
        <f>'Part VI-Revenues &amp; Expenses'!N181</f>
        <v>0</v>
      </c>
      <c r="O1021" s="2182">
        <f>'Part VI-Revenues &amp; Expenses'!O181</f>
        <v>0</v>
      </c>
      <c r="P1021" s="2182">
        <f>'Part VI-Revenues &amp; Expenses'!P181</f>
        <v>0</v>
      </c>
      <c r="Q1021" s="2182">
        <f>'Part VI-Revenues &amp; Expenses'!Q181</f>
        <v>0</v>
      </c>
      <c r="R1021" s="2183"/>
      <c r="S1021" s="2044"/>
      <c r="T1021" s="2044"/>
      <c r="U1021" s="2044"/>
      <c r="V1021" s="2044"/>
      <c r="W1021" s="2044"/>
      <c r="JW1021" s="2052"/>
      <c r="KB1021" s="2052"/>
      <c r="KG1021" s="2052"/>
      <c r="KL1021" s="2052"/>
      <c r="KM1021" s="2052"/>
      <c r="KN1021" s="2052"/>
      <c r="KO1021" s="2052"/>
      <c r="KP1021" s="2052"/>
      <c r="KQ1021" s="2052"/>
      <c r="KR1021" s="2052"/>
      <c r="KS1021" s="2052"/>
      <c r="KT1021" s="2052"/>
      <c r="KU1021" s="2052"/>
      <c r="KV1021" s="2052"/>
      <c r="KW1021" s="2052"/>
      <c r="KX1021" s="2052"/>
      <c r="KY1021" s="2052"/>
      <c r="KZ1021" s="2052"/>
      <c r="LA1021" s="2052"/>
      <c r="LB1021" s="2052"/>
      <c r="LC1021" s="2052"/>
      <c r="LD1021" s="2052"/>
      <c r="LE1021" s="2052"/>
      <c r="LF1021" s="2052"/>
      <c r="LG1021" s="2052"/>
      <c r="NP1021" s="1925"/>
    </row>
    <row r="1022" spans="1:380" s="1853" customFormat="1" ht="15.6" customHeight="1">
      <c r="B1022" s="1719"/>
      <c r="C1022" s="1719" t="s">
        <v>894</v>
      </c>
      <c r="D1022" s="1719"/>
      <c r="E1022" s="1719"/>
      <c r="F1022" s="1719"/>
      <c r="H1022" s="2185">
        <f>SUM(H1020:H1021)</f>
        <v>0</v>
      </c>
      <c r="I1022" s="2185">
        <f>SUM(I1020:I1021)</f>
        <v>0</v>
      </c>
      <c r="J1022" s="2185">
        <f t="shared" ref="J1022:Q1022" si="369">SUM(J1020:J1021)</f>
        <v>0</v>
      </c>
      <c r="K1022" s="2185">
        <f t="shared" si="369"/>
        <v>0</v>
      </c>
      <c r="L1022" s="2185">
        <f t="shared" si="369"/>
        <v>0</v>
      </c>
      <c r="M1022" s="2185">
        <f t="shared" si="369"/>
        <v>0</v>
      </c>
      <c r="N1022" s="2185">
        <f t="shared" si="369"/>
        <v>0</v>
      </c>
      <c r="O1022" s="2185">
        <f t="shared" si="369"/>
        <v>0</v>
      </c>
      <c r="P1022" s="2185">
        <f t="shared" si="369"/>
        <v>0</v>
      </c>
      <c r="Q1022" s="2185">
        <f t="shared" si="369"/>
        <v>0</v>
      </c>
      <c r="R1022" s="436"/>
      <c r="S1022" s="2044"/>
      <c r="T1022" s="2044"/>
      <c r="U1022" s="2044"/>
      <c r="V1022" s="2044"/>
      <c r="W1022" s="2044"/>
      <c r="JW1022" s="2052"/>
      <c r="KB1022" s="2052"/>
      <c r="KG1022" s="2052"/>
      <c r="KL1022" s="2052"/>
      <c r="KM1022" s="2052"/>
      <c r="KN1022" s="2052"/>
      <c r="KO1022" s="2052"/>
      <c r="KP1022" s="2052"/>
      <c r="KQ1022" s="2052"/>
      <c r="KR1022" s="2052"/>
      <c r="KS1022" s="2052"/>
      <c r="KT1022" s="2052"/>
      <c r="KU1022" s="2052"/>
      <c r="KV1022" s="2052"/>
      <c r="KW1022" s="2052"/>
      <c r="KX1022" s="2052"/>
      <c r="KY1022" s="2052"/>
      <c r="KZ1022" s="2052"/>
      <c r="LA1022" s="2052"/>
      <c r="LB1022" s="2052"/>
      <c r="LC1022" s="2052"/>
      <c r="LD1022" s="2052"/>
      <c r="LE1022" s="2052"/>
      <c r="LF1022" s="2052"/>
      <c r="LG1022" s="2052"/>
      <c r="NP1022" s="2114"/>
    </row>
    <row r="1023" spans="1:380" s="1853" customFormat="1" ht="15.6" customHeight="1">
      <c r="B1023" s="2107" t="s">
        <v>7077</v>
      </c>
      <c r="C1023" s="2115"/>
      <c r="D1023" s="2115"/>
      <c r="E1023" s="2115"/>
      <c r="F1023" s="2115"/>
      <c r="H1023" s="2186"/>
      <c r="I1023" s="2115"/>
      <c r="J1023" s="2115"/>
      <c r="K1023" s="2115"/>
      <c r="L1023" s="2115"/>
      <c r="M1023" s="2115"/>
      <c r="N1023" s="2115"/>
      <c r="O1023" s="2115"/>
      <c r="P1023" s="2115"/>
      <c r="Q1023" s="2115"/>
      <c r="S1023" s="1818" t="str">
        <f>B1023</f>
        <v>NOT Included in Mgt Fee:</v>
      </c>
      <c r="JW1023" s="2052"/>
      <c r="KB1023" s="2052"/>
      <c r="KG1023" s="2052"/>
      <c r="KL1023" s="2052"/>
      <c r="KM1023" s="2052"/>
      <c r="KN1023" s="2052"/>
      <c r="KO1023" s="2052"/>
      <c r="KP1023" s="2052"/>
      <c r="KQ1023" s="2052"/>
      <c r="KR1023" s="2052"/>
      <c r="KS1023" s="2052"/>
      <c r="KT1023" s="2052"/>
      <c r="KU1023" s="2052"/>
      <c r="KV1023" s="2052"/>
      <c r="KW1023" s="2052"/>
      <c r="KX1023" s="2052"/>
      <c r="KY1023" s="2052"/>
      <c r="KZ1023" s="2052"/>
      <c r="LA1023" s="2052"/>
      <c r="LB1023" s="2052"/>
      <c r="LC1023" s="2052"/>
      <c r="LD1023" s="2052"/>
      <c r="LE1023" s="2052"/>
      <c r="LF1023" s="2052"/>
      <c r="LG1023" s="2052"/>
      <c r="NP1023" s="1925"/>
    </row>
    <row r="1024" spans="1:380" s="1853" customFormat="1" ht="15.6" customHeight="1">
      <c r="B1024" s="1719" t="s">
        <v>507</v>
      </c>
      <c r="C1024" s="1719"/>
      <c r="D1024" s="1719"/>
      <c r="E1024" s="1719"/>
      <c r="F1024" s="1719"/>
      <c r="H1024" s="2182">
        <f>'Part VI-Revenues &amp; Expenses'!H184</f>
        <v>0</v>
      </c>
      <c r="I1024" s="2182">
        <f>'Part VI-Revenues &amp; Expenses'!I184</f>
        <v>0</v>
      </c>
      <c r="J1024" s="2182">
        <f>'Part VI-Revenues &amp; Expenses'!J184</f>
        <v>0</v>
      </c>
      <c r="K1024" s="2182">
        <f>'Part VI-Revenues &amp; Expenses'!K184</f>
        <v>0</v>
      </c>
      <c r="L1024" s="2182">
        <f>'Part VI-Revenues &amp; Expenses'!L184</f>
        <v>0</v>
      </c>
      <c r="M1024" s="2182">
        <f>'Part VI-Revenues &amp; Expenses'!M184</f>
        <v>0</v>
      </c>
      <c r="N1024" s="2182">
        <f>'Part VI-Revenues &amp; Expenses'!N184</f>
        <v>0</v>
      </c>
      <c r="O1024" s="2182">
        <f>'Part VI-Revenues &amp; Expenses'!O184</f>
        <v>0</v>
      </c>
      <c r="P1024" s="2182">
        <f>'Part VI-Revenues &amp; Expenses'!P184</f>
        <v>0</v>
      </c>
      <c r="Q1024" s="2182">
        <f>'Part VI-Revenues &amp; Expenses'!Q184</f>
        <v>0</v>
      </c>
      <c r="R1024" s="2183"/>
      <c r="S1024" s="2044"/>
      <c r="T1024" s="2044"/>
      <c r="U1024" s="2044"/>
      <c r="V1024" s="2044"/>
      <c r="W1024" s="2044"/>
      <c r="JW1024" s="2052"/>
      <c r="KB1024" s="2052"/>
      <c r="KG1024" s="2052"/>
      <c r="KL1024" s="2052"/>
      <c r="KM1024" s="2052"/>
      <c r="KN1024" s="2052"/>
      <c r="KO1024" s="2052"/>
      <c r="KP1024" s="2052"/>
      <c r="KQ1024" s="2052"/>
      <c r="KR1024" s="2052"/>
      <c r="KS1024" s="2052"/>
      <c r="KT1024" s="2052"/>
      <c r="KU1024" s="2052"/>
      <c r="KV1024" s="2052"/>
      <c r="KW1024" s="2052"/>
      <c r="KX1024" s="2052"/>
      <c r="KY1024" s="2052"/>
      <c r="KZ1024" s="2052"/>
      <c r="LA1024" s="2052"/>
      <c r="LB1024" s="2052"/>
      <c r="LC1024" s="2052"/>
      <c r="LD1024" s="2052"/>
      <c r="LE1024" s="2052"/>
      <c r="LF1024" s="2052"/>
      <c r="LG1024" s="2052"/>
      <c r="NP1024" s="1925"/>
    </row>
    <row r="1025" spans="2:380" s="1853" customFormat="1" ht="15.6" customHeight="1">
      <c r="B1025" s="1719" t="s">
        <v>711</v>
      </c>
      <c r="C1025" s="2184">
        <f>'Part VI-Revenues &amp; Expenses'!C185</f>
        <v>0</v>
      </c>
      <c r="D1025" s="2184"/>
      <c r="E1025" s="2184"/>
      <c r="F1025" s="2184"/>
      <c r="H1025" s="2182">
        <f>'Part VI-Revenues &amp; Expenses'!H185</f>
        <v>0</v>
      </c>
      <c r="I1025" s="2182">
        <f>'Part VI-Revenues &amp; Expenses'!I185</f>
        <v>0</v>
      </c>
      <c r="J1025" s="2182">
        <f>'Part VI-Revenues &amp; Expenses'!J185</f>
        <v>0</v>
      </c>
      <c r="K1025" s="2182">
        <f>'Part VI-Revenues &amp; Expenses'!K185</f>
        <v>0</v>
      </c>
      <c r="L1025" s="2182">
        <f>'Part VI-Revenues &amp; Expenses'!L185</f>
        <v>0</v>
      </c>
      <c r="M1025" s="2182">
        <f>'Part VI-Revenues &amp; Expenses'!M185</f>
        <v>0</v>
      </c>
      <c r="N1025" s="2182">
        <f>'Part VI-Revenues &amp; Expenses'!N185</f>
        <v>0</v>
      </c>
      <c r="O1025" s="2182">
        <f>'Part VI-Revenues &amp; Expenses'!O185</f>
        <v>0</v>
      </c>
      <c r="P1025" s="2182">
        <f>'Part VI-Revenues &amp; Expenses'!P185</f>
        <v>0</v>
      </c>
      <c r="Q1025" s="2182">
        <f>'Part VI-Revenues &amp; Expenses'!Q185</f>
        <v>0</v>
      </c>
      <c r="R1025" s="2183"/>
      <c r="S1025" s="2044"/>
      <c r="T1025" s="2044"/>
      <c r="U1025" s="2044"/>
      <c r="V1025" s="2044"/>
      <c r="W1025" s="2044"/>
      <c r="JW1025" s="2052"/>
      <c r="KB1025" s="2052"/>
      <c r="KG1025" s="2052"/>
      <c r="KL1025" s="2052"/>
      <c r="KM1025" s="2052"/>
      <c r="KN1025" s="2052"/>
      <c r="KO1025" s="2052"/>
      <c r="KP1025" s="2052"/>
      <c r="KQ1025" s="2052"/>
      <c r="KR1025" s="2052"/>
      <c r="KS1025" s="2052"/>
      <c r="KT1025" s="2052"/>
      <c r="KU1025" s="2052"/>
      <c r="KV1025" s="2052"/>
      <c r="KW1025" s="2052"/>
      <c r="KX1025" s="2052"/>
      <c r="KY1025" s="2052"/>
      <c r="KZ1025" s="2052"/>
      <c r="LA1025" s="2052"/>
      <c r="LB1025" s="2052"/>
      <c r="LC1025" s="2052"/>
      <c r="LD1025" s="2052"/>
      <c r="LE1025" s="2052"/>
      <c r="LF1025" s="2052"/>
      <c r="LG1025" s="2052"/>
      <c r="NP1025" s="1925"/>
    </row>
    <row r="1026" spans="2:380" s="1853" customFormat="1" ht="15.6" customHeight="1">
      <c r="B1026" s="1719"/>
      <c r="C1026" s="1719" t="s">
        <v>7078</v>
      </c>
      <c r="D1026" s="1719"/>
      <c r="E1026" s="1719"/>
      <c r="F1026" s="1719"/>
      <c r="H1026" s="2185">
        <f>SUM(H1024:H1025)</f>
        <v>0</v>
      </c>
      <c r="I1026" s="2185">
        <f>SUM(I1024:I1025)</f>
        <v>0</v>
      </c>
      <c r="J1026" s="2185">
        <f t="shared" ref="J1026:Q1026" si="370">SUM(J1024:J1025)</f>
        <v>0</v>
      </c>
      <c r="K1026" s="2185">
        <f t="shared" si="370"/>
        <v>0</v>
      </c>
      <c r="L1026" s="2185">
        <f t="shared" si="370"/>
        <v>0</v>
      </c>
      <c r="M1026" s="2185">
        <f t="shared" si="370"/>
        <v>0</v>
      </c>
      <c r="N1026" s="2185">
        <f t="shared" si="370"/>
        <v>0</v>
      </c>
      <c r="O1026" s="2185">
        <f t="shared" si="370"/>
        <v>0</v>
      </c>
      <c r="P1026" s="2185">
        <f t="shared" si="370"/>
        <v>0</v>
      </c>
      <c r="Q1026" s="2185">
        <f t="shared" si="370"/>
        <v>0</v>
      </c>
      <c r="R1026" s="436"/>
      <c r="S1026" s="2044"/>
      <c r="T1026" s="2044"/>
      <c r="U1026" s="2044"/>
      <c r="V1026" s="2044"/>
      <c r="W1026" s="2044"/>
      <c r="JW1026" s="2052"/>
      <c r="KB1026" s="2052"/>
      <c r="KG1026" s="2052"/>
      <c r="KL1026" s="2052"/>
      <c r="KM1026" s="2052"/>
      <c r="KN1026" s="2052"/>
      <c r="KO1026" s="2052"/>
      <c r="KP1026" s="2052"/>
      <c r="KQ1026" s="2052"/>
      <c r="KR1026" s="2052"/>
      <c r="KS1026" s="2052"/>
      <c r="KT1026" s="2052"/>
      <c r="KU1026" s="2052"/>
      <c r="KV1026" s="2052"/>
      <c r="KW1026" s="2052"/>
      <c r="KX1026" s="2052"/>
      <c r="KY1026" s="2052"/>
      <c r="KZ1026" s="2052"/>
      <c r="LA1026" s="2052"/>
      <c r="LB1026" s="2052"/>
      <c r="LC1026" s="2052"/>
      <c r="LD1026" s="2052"/>
      <c r="LE1026" s="2052"/>
      <c r="LF1026" s="2052"/>
      <c r="LG1026" s="2052"/>
      <c r="NP1026" s="1925"/>
    </row>
    <row r="1027" spans="2:380" s="1853" customFormat="1" ht="15.6" customHeight="1">
      <c r="B1027" s="2115"/>
      <c r="C1027" s="2115"/>
      <c r="D1027" s="2115"/>
      <c r="E1027" s="2115"/>
      <c r="F1027" s="2115"/>
      <c r="H1027" s="2186"/>
      <c r="I1027" s="2115"/>
      <c r="J1027" s="2115"/>
      <c r="K1027" s="2115"/>
      <c r="L1027" s="2115"/>
      <c r="M1027" s="2115"/>
      <c r="N1027" s="2115"/>
      <c r="O1027" s="2115"/>
      <c r="P1027" s="2115"/>
      <c r="Q1027" s="2115"/>
      <c r="JW1027" s="2052"/>
      <c r="KB1027" s="2052"/>
      <c r="KG1027" s="2052"/>
      <c r="KL1027" s="2052"/>
      <c r="KM1027" s="2052"/>
      <c r="KN1027" s="2052"/>
      <c r="KO1027" s="2052"/>
      <c r="KP1027" s="2052"/>
      <c r="KQ1027" s="2052"/>
      <c r="KR1027" s="2052"/>
      <c r="KS1027" s="2052"/>
      <c r="KT1027" s="2052"/>
      <c r="KU1027" s="2052"/>
      <c r="KV1027" s="2052"/>
      <c r="KW1027" s="2052"/>
      <c r="KX1027" s="2052"/>
      <c r="KY1027" s="2052"/>
      <c r="KZ1027" s="2052"/>
      <c r="LA1027" s="2052"/>
      <c r="LB1027" s="2052"/>
      <c r="LC1027" s="2052"/>
      <c r="LD1027" s="2052"/>
      <c r="LE1027" s="2052"/>
      <c r="LF1027" s="2052"/>
      <c r="LG1027" s="2052"/>
      <c r="NP1027" s="1925"/>
    </row>
    <row r="1028" spans="2:380" s="1853" customFormat="1" ht="15.6" customHeight="1">
      <c r="B1028" s="2107" t="s">
        <v>2182</v>
      </c>
      <c r="C1028" s="2115"/>
      <c r="D1028" s="2115"/>
      <c r="E1028" s="2115"/>
      <c r="F1028" s="2115"/>
      <c r="H1028" s="2180">
        <v>11</v>
      </c>
      <c r="I1028" s="2180">
        <v>12</v>
      </c>
      <c r="J1028" s="2180">
        <v>13</v>
      </c>
      <c r="K1028" s="2180">
        <v>14</v>
      </c>
      <c r="L1028" s="2180">
        <v>15</v>
      </c>
      <c r="M1028" s="2180">
        <v>16</v>
      </c>
      <c r="N1028" s="2180">
        <v>17</v>
      </c>
      <c r="O1028" s="2180">
        <v>18</v>
      </c>
      <c r="P1028" s="2180">
        <v>19</v>
      </c>
      <c r="Q1028" s="2180">
        <v>20</v>
      </c>
      <c r="S1028" s="2142" t="s">
        <v>2496</v>
      </c>
      <c r="T1028" s="1818" t="str">
        <f>B1028</f>
        <v>Included in Mgt Fee:</v>
      </c>
      <c r="JW1028" s="2052"/>
      <c r="KB1028" s="2052"/>
      <c r="KG1028" s="2052"/>
      <c r="KL1028" s="2052"/>
      <c r="KM1028" s="2052"/>
      <c r="KN1028" s="2052"/>
      <c r="KO1028" s="2052"/>
      <c r="KP1028" s="2052"/>
      <c r="KQ1028" s="2052"/>
      <c r="KR1028" s="2052"/>
      <c r="KS1028" s="2052"/>
      <c r="KT1028" s="2052"/>
      <c r="KU1028" s="2052"/>
      <c r="KV1028" s="2052"/>
      <c r="KW1028" s="2052"/>
      <c r="KX1028" s="2052"/>
      <c r="KY1028" s="2052"/>
      <c r="KZ1028" s="2052"/>
      <c r="LA1028" s="2052"/>
      <c r="LB1028" s="2052"/>
      <c r="LC1028" s="2052"/>
      <c r="LD1028" s="2052"/>
      <c r="LE1028" s="2052"/>
      <c r="LF1028" s="2052"/>
      <c r="LG1028" s="2052"/>
      <c r="NP1028" s="1925"/>
    </row>
    <row r="1029" spans="2:380" s="1853" customFormat="1" ht="15.6" customHeight="1">
      <c r="B1029" s="1719" t="s">
        <v>978</v>
      </c>
      <c r="C1029" s="1719"/>
      <c r="D1029" s="1719"/>
      <c r="E1029" s="1719"/>
      <c r="F1029" s="1719"/>
      <c r="H1029" s="2182">
        <f>'Part VI-Revenues &amp; Expenses'!H189</f>
        <v>0</v>
      </c>
      <c r="I1029" s="2182">
        <f>'Part VI-Revenues &amp; Expenses'!I189</f>
        <v>0</v>
      </c>
      <c r="J1029" s="2182">
        <f>'Part VI-Revenues &amp; Expenses'!J189</f>
        <v>0</v>
      </c>
      <c r="K1029" s="2182">
        <f>'Part VI-Revenues &amp; Expenses'!K189</f>
        <v>0</v>
      </c>
      <c r="L1029" s="2182">
        <f>'Part VI-Revenues &amp; Expenses'!L189</f>
        <v>0</v>
      </c>
      <c r="M1029" s="2182">
        <f>'Part VI-Revenues &amp; Expenses'!M189</f>
        <v>0</v>
      </c>
      <c r="N1029" s="2182">
        <f>'Part VI-Revenues &amp; Expenses'!N189</f>
        <v>0</v>
      </c>
      <c r="O1029" s="2182">
        <f>'Part VI-Revenues &amp; Expenses'!O189</f>
        <v>0</v>
      </c>
      <c r="P1029" s="2182">
        <f>'Part VI-Revenues &amp; Expenses'!P189</f>
        <v>0</v>
      </c>
      <c r="Q1029" s="2182">
        <f>'Part VI-Revenues &amp; Expenses'!Q189</f>
        <v>0</v>
      </c>
      <c r="R1029" s="2183"/>
      <c r="S1029" s="2044"/>
      <c r="T1029" s="2044"/>
      <c r="U1029" s="2044"/>
      <c r="V1029" s="2044"/>
      <c r="W1029" s="2044"/>
      <c r="NP1029" s="1925"/>
    </row>
    <row r="1030" spans="2:380" s="1853" customFormat="1" ht="15.6" customHeight="1">
      <c r="B1030" s="1719" t="s">
        <v>711</v>
      </c>
      <c r="C1030" s="2184">
        <f>'Part VI-Revenues &amp; Expenses'!C190</f>
        <v>0</v>
      </c>
      <c r="D1030" s="2184"/>
      <c r="E1030" s="2184"/>
      <c r="F1030" s="2184"/>
      <c r="H1030" s="2182">
        <f>'Part VI-Revenues &amp; Expenses'!H190</f>
        <v>0</v>
      </c>
      <c r="I1030" s="2182">
        <f>'Part VI-Revenues &amp; Expenses'!I190</f>
        <v>0</v>
      </c>
      <c r="J1030" s="2182">
        <f>'Part VI-Revenues &amp; Expenses'!J190</f>
        <v>0</v>
      </c>
      <c r="K1030" s="2182">
        <f>'Part VI-Revenues &amp; Expenses'!K190</f>
        <v>0</v>
      </c>
      <c r="L1030" s="2182">
        <f>'Part VI-Revenues &amp; Expenses'!L190</f>
        <v>0</v>
      </c>
      <c r="M1030" s="2182">
        <f>'Part VI-Revenues &amp; Expenses'!M190</f>
        <v>0</v>
      </c>
      <c r="N1030" s="2182">
        <f>'Part VI-Revenues &amp; Expenses'!N190</f>
        <v>0</v>
      </c>
      <c r="O1030" s="2182">
        <f>'Part VI-Revenues &amp; Expenses'!O190</f>
        <v>0</v>
      </c>
      <c r="P1030" s="2182">
        <f>'Part VI-Revenues &amp; Expenses'!P190</f>
        <v>0</v>
      </c>
      <c r="Q1030" s="2182">
        <f>'Part VI-Revenues &amp; Expenses'!Q190</f>
        <v>0</v>
      </c>
      <c r="R1030" s="2183"/>
      <c r="S1030" s="2044"/>
      <c r="T1030" s="2044"/>
      <c r="U1030" s="2044"/>
      <c r="V1030" s="2044"/>
      <c r="W1030" s="2044"/>
      <c r="NP1030" s="1925"/>
    </row>
    <row r="1031" spans="2:380" s="1853" customFormat="1" ht="15.6" customHeight="1">
      <c r="B1031" s="1719"/>
      <c r="C1031" s="1719" t="s">
        <v>894</v>
      </c>
      <c r="D1031" s="1719"/>
      <c r="E1031" s="1719"/>
      <c r="F1031" s="1719"/>
      <c r="H1031" s="2185">
        <f>SUM(H1029:H1030)</f>
        <v>0</v>
      </c>
      <c r="I1031" s="2185">
        <f>SUM(I1029:I1030)</f>
        <v>0</v>
      </c>
      <c r="J1031" s="2185">
        <f t="shared" ref="J1031:Q1031" si="371">SUM(J1029:J1030)</f>
        <v>0</v>
      </c>
      <c r="K1031" s="2185">
        <f t="shared" si="371"/>
        <v>0</v>
      </c>
      <c r="L1031" s="2185">
        <f t="shared" si="371"/>
        <v>0</v>
      </c>
      <c r="M1031" s="2185">
        <f t="shared" si="371"/>
        <v>0</v>
      </c>
      <c r="N1031" s="2185">
        <f t="shared" si="371"/>
        <v>0</v>
      </c>
      <c r="O1031" s="2185">
        <f t="shared" si="371"/>
        <v>0</v>
      </c>
      <c r="P1031" s="2185">
        <f t="shared" si="371"/>
        <v>0</v>
      </c>
      <c r="Q1031" s="2185">
        <f t="shared" si="371"/>
        <v>0</v>
      </c>
      <c r="R1031" s="436"/>
      <c r="S1031" s="2044"/>
      <c r="T1031" s="2044"/>
      <c r="U1031" s="2044"/>
      <c r="V1031" s="2044"/>
      <c r="W1031" s="2044"/>
      <c r="NP1031" s="1925"/>
    </row>
    <row r="1032" spans="2:380" s="1853" customFormat="1" ht="15.6" customHeight="1">
      <c r="B1032" s="2107" t="s">
        <v>7077</v>
      </c>
      <c r="C1032" s="2115"/>
      <c r="D1032" s="2115"/>
      <c r="E1032" s="2115"/>
      <c r="F1032" s="2115"/>
      <c r="H1032" s="2186"/>
      <c r="I1032" s="2115"/>
      <c r="J1032" s="2115"/>
      <c r="K1032" s="2115"/>
      <c r="L1032" s="2115"/>
      <c r="M1032" s="2115"/>
      <c r="N1032" s="2115"/>
      <c r="O1032" s="2115"/>
      <c r="P1032" s="2115"/>
      <c r="Q1032" s="2115"/>
      <c r="S1032" s="1818" t="str">
        <f>B1032</f>
        <v>NOT Included in Mgt Fee:</v>
      </c>
      <c r="NP1032" s="1925"/>
    </row>
    <row r="1033" spans="2:380" s="1853" customFormat="1" ht="15.6" customHeight="1">
      <c r="B1033" s="1719" t="s">
        <v>507</v>
      </c>
      <c r="C1033" s="1719"/>
      <c r="D1033" s="1719"/>
      <c r="E1033" s="1719"/>
      <c r="F1033" s="1719"/>
      <c r="H1033" s="2182">
        <f>'Part VI-Revenues &amp; Expenses'!H193</f>
        <v>0</v>
      </c>
      <c r="I1033" s="2182">
        <f>'Part VI-Revenues &amp; Expenses'!I193</f>
        <v>0</v>
      </c>
      <c r="J1033" s="2182">
        <f>'Part VI-Revenues &amp; Expenses'!J193</f>
        <v>0</v>
      </c>
      <c r="K1033" s="2182">
        <f>'Part VI-Revenues &amp; Expenses'!K193</f>
        <v>0</v>
      </c>
      <c r="L1033" s="2182">
        <f>'Part VI-Revenues &amp; Expenses'!L193</f>
        <v>0</v>
      </c>
      <c r="M1033" s="2182">
        <f>'Part VI-Revenues &amp; Expenses'!M193</f>
        <v>0</v>
      </c>
      <c r="N1033" s="2182">
        <f>'Part VI-Revenues &amp; Expenses'!N193</f>
        <v>0</v>
      </c>
      <c r="O1033" s="2182">
        <f>'Part VI-Revenues &amp; Expenses'!O193</f>
        <v>0</v>
      </c>
      <c r="P1033" s="2182">
        <f>'Part VI-Revenues &amp; Expenses'!P193</f>
        <v>0</v>
      </c>
      <c r="Q1033" s="2182">
        <f>'Part VI-Revenues &amp; Expenses'!Q193</f>
        <v>0</v>
      </c>
      <c r="R1033" s="2183"/>
      <c r="S1033" s="2044"/>
      <c r="T1033" s="2044"/>
      <c r="U1033" s="2044"/>
      <c r="V1033" s="2044"/>
      <c r="W1033" s="2044"/>
      <c r="NP1033" s="1925"/>
    </row>
    <row r="1034" spans="2:380" s="1853" customFormat="1" ht="15.6" customHeight="1">
      <c r="B1034" s="1719" t="s">
        <v>711</v>
      </c>
      <c r="C1034" s="2184">
        <f>'Part VI-Revenues &amp; Expenses'!C194</f>
        <v>0</v>
      </c>
      <c r="D1034" s="2184"/>
      <c r="E1034" s="2184"/>
      <c r="F1034" s="2184"/>
      <c r="H1034" s="2182">
        <f>'Part VI-Revenues &amp; Expenses'!H194</f>
        <v>0</v>
      </c>
      <c r="I1034" s="2182">
        <f>'Part VI-Revenues &amp; Expenses'!I194</f>
        <v>0</v>
      </c>
      <c r="J1034" s="2182">
        <f>'Part VI-Revenues &amp; Expenses'!J194</f>
        <v>0</v>
      </c>
      <c r="K1034" s="2182">
        <f>'Part VI-Revenues &amp; Expenses'!K194</f>
        <v>0</v>
      </c>
      <c r="L1034" s="2182">
        <f>'Part VI-Revenues &amp; Expenses'!L194</f>
        <v>0</v>
      </c>
      <c r="M1034" s="2182">
        <f>'Part VI-Revenues &amp; Expenses'!M194</f>
        <v>0</v>
      </c>
      <c r="N1034" s="2182">
        <f>'Part VI-Revenues &amp; Expenses'!N194</f>
        <v>0</v>
      </c>
      <c r="O1034" s="2182">
        <f>'Part VI-Revenues &amp; Expenses'!O194</f>
        <v>0</v>
      </c>
      <c r="P1034" s="2182">
        <f>'Part VI-Revenues &amp; Expenses'!P194</f>
        <v>0</v>
      </c>
      <c r="Q1034" s="2182">
        <f>'Part VI-Revenues &amp; Expenses'!Q194</f>
        <v>0</v>
      </c>
      <c r="R1034" s="2183"/>
      <c r="S1034" s="2044"/>
      <c r="T1034" s="2044"/>
      <c r="U1034" s="2044"/>
      <c r="V1034" s="2044"/>
      <c r="W1034" s="2044"/>
      <c r="NP1034" s="1925"/>
    </row>
    <row r="1035" spans="2:380" s="1853" customFormat="1" ht="15.6" customHeight="1">
      <c r="B1035" s="1719"/>
      <c r="C1035" s="1719" t="s">
        <v>7078</v>
      </c>
      <c r="D1035" s="1719"/>
      <c r="E1035" s="1719"/>
      <c r="F1035" s="1719"/>
      <c r="H1035" s="2185">
        <f>SUM(H1033:H1034)</f>
        <v>0</v>
      </c>
      <c r="I1035" s="2185">
        <f>SUM(I1033:I1034)</f>
        <v>0</v>
      </c>
      <c r="J1035" s="2185">
        <f t="shared" ref="J1035:Q1035" si="372">SUM(J1033:J1034)</f>
        <v>0</v>
      </c>
      <c r="K1035" s="2185">
        <f t="shared" si="372"/>
        <v>0</v>
      </c>
      <c r="L1035" s="2185">
        <f t="shared" si="372"/>
        <v>0</v>
      </c>
      <c r="M1035" s="2185">
        <f t="shared" si="372"/>
        <v>0</v>
      </c>
      <c r="N1035" s="2185">
        <f t="shared" si="372"/>
        <v>0</v>
      </c>
      <c r="O1035" s="2185">
        <f t="shared" si="372"/>
        <v>0</v>
      </c>
      <c r="P1035" s="2185">
        <f t="shared" si="372"/>
        <v>0</v>
      </c>
      <c r="Q1035" s="2185">
        <f t="shared" si="372"/>
        <v>0</v>
      </c>
      <c r="R1035" s="436"/>
      <c r="S1035" s="2044"/>
      <c r="T1035" s="2044"/>
      <c r="U1035" s="2044"/>
      <c r="V1035" s="2044"/>
      <c r="W1035" s="2044"/>
      <c r="NP1035" s="1925"/>
    </row>
    <row r="1036" spans="2:380" s="1853" customFormat="1" ht="15.6" customHeight="1">
      <c r="B1036" s="2115"/>
      <c r="C1036" s="2115"/>
      <c r="D1036" s="2115"/>
      <c r="E1036" s="2115"/>
      <c r="F1036" s="2115"/>
      <c r="H1036" s="2186"/>
      <c r="I1036" s="2115"/>
      <c r="J1036" s="2115"/>
      <c r="K1036" s="2115"/>
      <c r="L1036" s="2115"/>
      <c r="M1036" s="2115"/>
      <c r="N1036" s="2115"/>
      <c r="O1036" s="2115"/>
      <c r="P1036" s="2115"/>
      <c r="Q1036" s="2115"/>
      <c r="NP1036" s="1925"/>
    </row>
    <row r="1037" spans="2:380" s="1853" customFormat="1" ht="15.6" customHeight="1">
      <c r="B1037" s="2107" t="s">
        <v>2182</v>
      </c>
      <c r="C1037" s="2115"/>
      <c r="D1037" s="2115"/>
      <c r="E1037" s="2115"/>
      <c r="F1037" s="2115"/>
      <c r="H1037" s="2180">
        <v>21</v>
      </c>
      <c r="I1037" s="2180">
        <v>22</v>
      </c>
      <c r="J1037" s="2180">
        <v>23</v>
      </c>
      <c r="K1037" s="2180">
        <v>24</v>
      </c>
      <c r="L1037" s="2180">
        <v>25</v>
      </c>
      <c r="M1037" s="2180">
        <v>26</v>
      </c>
      <c r="N1037" s="2180">
        <v>27</v>
      </c>
      <c r="O1037" s="2180">
        <v>28</v>
      </c>
      <c r="P1037" s="2180">
        <v>29</v>
      </c>
      <c r="Q1037" s="2180">
        <v>30</v>
      </c>
      <c r="R1037" s="2181"/>
      <c r="S1037" s="2142" t="s">
        <v>2497</v>
      </c>
      <c r="T1037" s="1818" t="str">
        <f>B1037</f>
        <v>Included in Mgt Fee:</v>
      </c>
      <c r="NP1037" s="1925"/>
    </row>
    <row r="1038" spans="2:380" s="1853" customFormat="1" ht="15.6" customHeight="1">
      <c r="B1038" s="1719" t="s">
        <v>978</v>
      </c>
      <c r="C1038" s="1719"/>
      <c r="D1038" s="1719"/>
      <c r="E1038" s="1719"/>
      <c r="F1038" s="1719"/>
      <c r="H1038" s="2182">
        <f>'Part VI-Revenues &amp; Expenses'!H198</f>
        <v>0</v>
      </c>
      <c r="I1038" s="2182">
        <f>'Part VI-Revenues &amp; Expenses'!I198</f>
        <v>0</v>
      </c>
      <c r="J1038" s="2182">
        <f>'Part VI-Revenues &amp; Expenses'!J198</f>
        <v>0</v>
      </c>
      <c r="K1038" s="2182">
        <f>'Part VI-Revenues &amp; Expenses'!K198</f>
        <v>0</v>
      </c>
      <c r="L1038" s="2182">
        <f>'Part VI-Revenues &amp; Expenses'!L198</f>
        <v>0</v>
      </c>
      <c r="M1038" s="2182">
        <f>'Part VI-Revenues &amp; Expenses'!M198</f>
        <v>0</v>
      </c>
      <c r="N1038" s="2182">
        <f>'Part VI-Revenues &amp; Expenses'!N198</f>
        <v>0</v>
      </c>
      <c r="O1038" s="2182">
        <f>'Part VI-Revenues &amp; Expenses'!O198</f>
        <v>0</v>
      </c>
      <c r="P1038" s="2182">
        <f>'Part VI-Revenues &amp; Expenses'!P198</f>
        <v>0</v>
      </c>
      <c r="Q1038" s="2182">
        <f>'Part VI-Revenues &amp; Expenses'!Q198</f>
        <v>0</v>
      </c>
      <c r="R1038" s="2183"/>
      <c r="S1038" s="2044"/>
      <c r="T1038" s="2044"/>
      <c r="U1038" s="2044"/>
      <c r="V1038" s="2044"/>
      <c r="W1038" s="2044"/>
      <c r="NP1038" s="1925"/>
    </row>
    <row r="1039" spans="2:380" s="1853" customFormat="1" ht="15.6" customHeight="1">
      <c r="B1039" s="1719" t="s">
        <v>711</v>
      </c>
      <c r="C1039" s="2184">
        <f>'Part VI-Revenues &amp; Expenses'!C199</f>
        <v>0</v>
      </c>
      <c r="D1039" s="2184"/>
      <c r="E1039" s="2184"/>
      <c r="F1039" s="2184"/>
      <c r="H1039" s="2182">
        <f>'Part VI-Revenues &amp; Expenses'!H199</f>
        <v>0</v>
      </c>
      <c r="I1039" s="2182">
        <f>'Part VI-Revenues &amp; Expenses'!I199</f>
        <v>0</v>
      </c>
      <c r="J1039" s="2182">
        <f>'Part VI-Revenues &amp; Expenses'!J199</f>
        <v>0</v>
      </c>
      <c r="K1039" s="2182">
        <f>'Part VI-Revenues &amp; Expenses'!K199</f>
        <v>0</v>
      </c>
      <c r="L1039" s="2182">
        <f>'Part VI-Revenues &amp; Expenses'!L199</f>
        <v>0</v>
      </c>
      <c r="M1039" s="2182">
        <f>'Part VI-Revenues &amp; Expenses'!M199</f>
        <v>0</v>
      </c>
      <c r="N1039" s="2182">
        <f>'Part VI-Revenues &amp; Expenses'!N199</f>
        <v>0</v>
      </c>
      <c r="O1039" s="2182">
        <f>'Part VI-Revenues &amp; Expenses'!O199</f>
        <v>0</v>
      </c>
      <c r="P1039" s="2182">
        <f>'Part VI-Revenues &amp; Expenses'!P199</f>
        <v>0</v>
      </c>
      <c r="Q1039" s="2182">
        <f>'Part VI-Revenues &amp; Expenses'!Q199</f>
        <v>0</v>
      </c>
      <c r="R1039" s="2183"/>
      <c r="S1039" s="2044"/>
      <c r="T1039" s="2044"/>
      <c r="U1039" s="2044"/>
      <c r="V1039" s="2044"/>
      <c r="W1039" s="2044"/>
      <c r="NP1039" s="1925"/>
    </row>
    <row r="1040" spans="2:380" s="1853" customFormat="1" ht="15.6" customHeight="1">
      <c r="B1040" s="1719"/>
      <c r="C1040" s="1719" t="s">
        <v>894</v>
      </c>
      <c r="D1040" s="1719"/>
      <c r="E1040" s="1719"/>
      <c r="F1040" s="1719"/>
      <c r="H1040" s="2185">
        <f>SUM(H1038:H1039)</f>
        <v>0</v>
      </c>
      <c r="I1040" s="2185">
        <f>SUM(I1038:I1039)</f>
        <v>0</v>
      </c>
      <c r="J1040" s="2185">
        <f t="shared" ref="J1040:Q1040" si="373">SUM(J1038:J1039)</f>
        <v>0</v>
      </c>
      <c r="K1040" s="2185">
        <f t="shared" si="373"/>
        <v>0</v>
      </c>
      <c r="L1040" s="2185">
        <f t="shared" si="373"/>
        <v>0</v>
      </c>
      <c r="M1040" s="2185">
        <f t="shared" si="373"/>
        <v>0</v>
      </c>
      <c r="N1040" s="2185">
        <f t="shared" si="373"/>
        <v>0</v>
      </c>
      <c r="O1040" s="2185">
        <f t="shared" si="373"/>
        <v>0</v>
      </c>
      <c r="P1040" s="2185">
        <f t="shared" si="373"/>
        <v>0</v>
      </c>
      <c r="Q1040" s="2185">
        <f t="shared" si="373"/>
        <v>0</v>
      </c>
      <c r="R1040" s="436"/>
      <c r="S1040" s="2044"/>
      <c r="T1040" s="2044"/>
      <c r="U1040" s="2044"/>
      <c r="V1040" s="2044"/>
      <c r="W1040" s="2044"/>
      <c r="NP1040" s="1925"/>
    </row>
    <row r="1041" spans="1:380" s="1853" customFormat="1" ht="15.6" customHeight="1">
      <c r="B1041" s="2107" t="s">
        <v>7077</v>
      </c>
      <c r="C1041" s="2115"/>
      <c r="D1041" s="2115"/>
      <c r="E1041" s="2115"/>
      <c r="F1041" s="2115"/>
      <c r="H1041" s="2186"/>
      <c r="I1041" s="2115"/>
      <c r="J1041" s="2115"/>
      <c r="K1041" s="2115"/>
      <c r="L1041" s="2115"/>
      <c r="M1041" s="2115"/>
      <c r="N1041" s="2115"/>
      <c r="O1041" s="2115"/>
      <c r="P1041" s="2115"/>
      <c r="Q1041" s="2115"/>
      <c r="S1041" s="1818" t="str">
        <f>B1041</f>
        <v>NOT Included in Mgt Fee:</v>
      </c>
      <c r="NP1041" s="1925"/>
    </row>
    <row r="1042" spans="1:380" s="1853" customFormat="1" ht="15.6" customHeight="1">
      <c r="B1042" s="1719" t="s">
        <v>507</v>
      </c>
      <c r="C1042" s="1719"/>
      <c r="D1042" s="1719"/>
      <c r="E1042" s="1719"/>
      <c r="F1042" s="1719"/>
      <c r="H1042" s="2182">
        <f>'Part VI-Revenues &amp; Expenses'!H202</f>
        <v>0</v>
      </c>
      <c r="I1042" s="2182">
        <f>'Part VI-Revenues &amp; Expenses'!I202</f>
        <v>0</v>
      </c>
      <c r="J1042" s="2182">
        <f>'Part VI-Revenues &amp; Expenses'!J202</f>
        <v>0</v>
      </c>
      <c r="K1042" s="2182">
        <f>'Part VI-Revenues &amp; Expenses'!K202</f>
        <v>0</v>
      </c>
      <c r="L1042" s="2182">
        <f>'Part VI-Revenues &amp; Expenses'!L202</f>
        <v>0</v>
      </c>
      <c r="M1042" s="2182">
        <f>'Part VI-Revenues &amp; Expenses'!M202</f>
        <v>0</v>
      </c>
      <c r="N1042" s="2182">
        <f>'Part VI-Revenues &amp; Expenses'!N202</f>
        <v>0</v>
      </c>
      <c r="O1042" s="2182">
        <f>'Part VI-Revenues &amp; Expenses'!O202</f>
        <v>0</v>
      </c>
      <c r="P1042" s="2182">
        <f>'Part VI-Revenues &amp; Expenses'!P202</f>
        <v>0</v>
      </c>
      <c r="Q1042" s="2182">
        <f>'Part VI-Revenues &amp; Expenses'!Q202</f>
        <v>0</v>
      </c>
      <c r="R1042" s="2183"/>
      <c r="S1042" s="2044"/>
      <c r="T1042" s="2044"/>
      <c r="U1042" s="2044"/>
      <c r="V1042" s="2044"/>
      <c r="W1042" s="2044"/>
      <c r="NP1042" s="1925"/>
    </row>
    <row r="1043" spans="1:380" s="1853" customFormat="1" ht="15.6" customHeight="1">
      <c r="B1043" s="1719" t="s">
        <v>711</v>
      </c>
      <c r="C1043" s="2184">
        <f>'Part VI-Revenues &amp; Expenses'!C203</f>
        <v>0</v>
      </c>
      <c r="D1043" s="2184"/>
      <c r="E1043" s="2184"/>
      <c r="F1043" s="2184"/>
      <c r="H1043" s="2182">
        <f>'Part VI-Revenues &amp; Expenses'!H203</f>
        <v>0</v>
      </c>
      <c r="I1043" s="2182">
        <f>'Part VI-Revenues &amp; Expenses'!I203</f>
        <v>0</v>
      </c>
      <c r="J1043" s="2182">
        <f>'Part VI-Revenues &amp; Expenses'!J203</f>
        <v>0</v>
      </c>
      <c r="K1043" s="2182">
        <f>'Part VI-Revenues &amp; Expenses'!K203</f>
        <v>0</v>
      </c>
      <c r="L1043" s="2182">
        <f>'Part VI-Revenues &amp; Expenses'!L203</f>
        <v>0</v>
      </c>
      <c r="M1043" s="2182">
        <f>'Part VI-Revenues &amp; Expenses'!M203</f>
        <v>0</v>
      </c>
      <c r="N1043" s="2182">
        <f>'Part VI-Revenues &amp; Expenses'!N203</f>
        <v>0</v>
      </c>
      <c r="O1043" s="2182">
        <f>'Part VI-Revenues &amp; Expenses'!O203</f>
        <v>0</v>
      </c>
      <c r="P1043" s="2182">
        <f>'Part VI-Revenues &amp; Expenses'!P203</f>
        <v>0</v>
      </c>
      <c r="Q1043" s="2182">
        <f>'Part VI-Revenues &amp; Expenses'!Q203</f>
        <v>0</v>
      </c>
      <c r="R1043" s="2183"/>
      <c r="S1043" s="2044"/>
      <c r="T1043" s="2044"/>
      <c r="U1043" s="2044"/>
      <c r="V1043" s="2044"/>
      <c r="W1043" s="2044"/>
      <c r="NP1043" s="1925"/>
    </row>
    <row r="1044" spans="1:380" s="1853" customFormat="1" ht="15.6" customHeight="1">
      <c r="B1044" s="1719"/>
      <c r="C1044" s="1719" t="s">
        <v>7078</v>
      </c>
      <c r="D1044" s="1719"/>
      <c r="E1044" s="1719"/>
      <c r="F1044" s="1719"/>
      <c r="H1044" s="2185">
        <f>SUM(H1042:H1043)</f>
        <v>0</v>
      </c>
      <c r="I1044" s="2185">
        <f>SUM(I1042:I1043)</f>
        <v>0</v>
      </c>
      <c r="J1044" s="2185">
        <f t="shared" ref="J1044:Q1044" si="374">SUM(J1042:J1043)</f>
        <v>0</v>
      </c>
      <c r="K1044" s="2185">
        <f t="shared" si="374"/>
        <v>0</v>
      </c>
      <c r="L1044" s="2185">
        <f t="shared" si="374"/>
        <v>0</v>
      </c>
      <c r="M1044" s="2185">
        <f t="shared" si="374"/>
        <v>0</v>
      </c>
      <c r="N1044" s="2185">
        <f t="shared" si="374"/>
        <v>0</v>
      </c>
      <c r="O1044" s="2185">
        <f t="shared" si="374"/>
        <v>0</v>
      </c>
      <c r="P1044" s="2185">
        <f t="shared" si="374"/>
        <v>0</v>
      </c>
      <c r="Q1044" s="2185">
        <f t="shared" si="374"/>
        <v>0</v>
      </c>
      <c r="R1044" s="436"/>
      <c r="S1044" s="2044"/>
      <c r="T1044" s="2044"/>
      <c r="U1044" s="2044"/>
      <c r="V1044" s="2044"/>
      <c r="W1044" s="2044"/>
      <c r="NP1044" s="1925"/>
    </row>
    <row r="1045" spans="1:380" s="1853" customFormat="1" ht="15.6" customHeight="1">
      <c r="B1045" s="2115"/>
      <c r="C1045" s="2115"/>
      <c r="D1045" s="2115"/>
      <c r="E1045" s="2115"/>
      <c r="F1045" s="2115"/>
      <c r="H1045" s="2186"/>
      <c r="I1045" s="2115"/>
      <c r="J1045" s="2115"/>
      <c r="K1045" s="2115"/>
      <c r="L1045" s="2115"/>
      <c r="M1045" s="2115"/>
      <c r="N1045" s="2115"/>
      <c r="O1045" s="2115"/>
      <c r="P1045" s="2115"/>
      <c r="Q1045" s="2115"/>
      <c r="JW1045" s="2052"/>
      <c r="KB1045" s="2052"/>
      <c r="KG1045" s="2052"/>
      <c r="KL1045" s="2052"/>
      <c r="KM1045" s="2052"/>
      <c r="KN1045" s="2052"/>
      <c r="KO1045" s="2052"/>
      <c r="KP1045" s="2052"/>
      <c r="KQ1045" s="2052"/>
      <c r="KR1045" s="2052"/>
      <c r="KS1045" s="2052"/>
      <c r="KT1045" s="2052"/>
      <c r="KU1045" s="2052"/>
      <c r="KV1045" s="2052"/>
      <c r="KW1045" s="2052"/>
      <c r="KX1045" s="2052"/>
      <c r="KY1045" s="2052"/>
      <c r="KZ1045" s="2052"/>
      <c r="LA1045" s="2052"/>
      <c r="LB1045" s="2052"/>
      <c r="LC1045" s="2052"/>
      <c r="LD1045" s="2052"/>
      <c r="LE1045" s="2052"/>
      <c r="LF1045" s="2052"/>
      <c r="LG1045" s="2052"/>
      <c r="NP1045" s="1925"/>
    </row>
    <row r="1046" spans="1:380" s="1853" customFormat="1" ht="15.6" customHeight="1">
      <c r="B1046" s="2107" t="s">
        <v>2182</v>
      </c>
      <c r="C1046" s="2115"/>
      <c r="D1046" s="2115"/>
      <c r="E1046" s="2115"/>
      <c r="F1046" s="2115"/>
      <c r="H1046" s="2180">
        <v>31</v>
      </c>
      <c r="I1046" s="2180">
        <v>32</v>
      </c>
      <c r="J1046" s="2180">
        <v>33</v>
      </c>
      <c r="K1046" s="2180">
        <v>34</v>
      </c>
      <c r="L1046" s="2180">
        <v>35</v>
      </c>
      <c r="M1046" s="2115"/>
      <c r="N1046" s="2115"/>
      <c r="O1046" s="2115"/>
      <c r="P1046" s="2115"/>
      <c r="Q1046" s="2115"/>
      <c r="S1046" s="2142" t="s">
        <v>2497</v>
      </c>
      <c r="T1046" s="1818" t="str">
        <f>B1046</f>
        <v>Included in Mgt Fee:</v>
      </c>
      <c r="JW1046" s="2052"/>
      <c r="KB1046" s="2052"/>
      <c r="KG1046" s="2052"/>
      <c r="KL1046" s="2052"/>
      <c r="KM1046" s="2052"/>
      <c r="KN1046" s="2052"/>
      <c r="KO1046" s="2052"/>
      <c r="KP1046" s="2052"/>
      <c r="KQ1046" s="2052"/>
      <c r="KR1046" s="2052"/>
      <c r="KS1046" s="2052"/>
      <c r="KT1046" s="2052"/>
      <c r="KU1046" s="2052"/>
      <c r="KV1046" s="2052"/>
      <c r="KW1046" s="2052"/>
      <c r="KX1046" s="2052"/>
      <c r="KY1046" s="2052"/>
      <c r="KZ1046" s="2052"/>
      <c r="LA1046" s="2052"/>
      <c r="LB1046" s="2052"/>
      <c r="LC1046" s="2052"/>
      <c r="LD1046" s="2052"/>
      <c r="LE1046" s="2052"/>
      <c r="LF1046" s="2052"/>
      <c r="LG1046" s="2052"/>
      <c r="NP1046" s="1925"/>
    </row>
    <row r="1047" spans="1:380" s="1853" customFormat="1" ht="15.6" customHeight="1">
      <c r="B1047" s="1719" t="s">
        <v>978</v>
      </c>
      <c r="C1047" s="1719"/>
      <c r="D1047" s="1719"/>
      <c r="E1047" s="1719"/>
      <c r="F1047" s="1719"/>
      <c r="H1047" s="2182">
        <f>'Part VI-Revenues &amp; Expenses'!H207</f>
        <v>0</v>
      </c>
      <c r="I1047" s="2182">
        <f>'Part VI-Revenues &amp; Expenses'!I207</f>
        <v>0</v>
      </c>
      <c r="J1047" s="2182">
        <f>'Part VI-Revenues &amp; Expenses'!J207</f>
        <v>0</v>
      </c>
      <c r="K1047" s="2182">
        <f>'Part VI-Revenues &amp; Expenses'!K207</f>
        <v>0</v>
      </c>
      <c r="L1047" s="2182">
        <f>'Part VI-Revenues &amp; Expenses'!L207</f>
        <v>0</v>
      </c>
      <c r="M1047" s="2115"/>
      <c r="N1047" s="2115"/>
      <c r="O1047" s="2115"/>
      <c r="P1047" s="2115"/>
      <c r="Q1047" s="2115"/>
      <c r="S1047" s="2044"/>
      <c r="T1047" s="2044"/>
      <c r="U1047" s="2044"/>
      <c r="V1047" s="2044"/>
      <c r="W1047" s="2044"/>
      <c r="JW1047" s="2052"/>
      <c r="KB1047" s="2052"/>
      <c r="KG1047" s="2052"/>
      <c r="KL1047" s="2052"/>
      <c r="KM1047" s="2052"/>
      <c r="KN1047" s="2052"/>
      <c r="KO1047" s="2052"/>
      <c r="KP1047" s="2052"/>
      <c r="KQ1047" s="2052"/>
      <c r="KR1047" s="2052"/>
      <c r="KS1047" s="2052"/>
      <c r="KT1047" s="2052"/>
      <c r="KU1047" s="2052"/>
      <c r="KV1047" s="2052"/>
      <c r="KW1047" s="2052"/>
      <c r="KX1047" s="2052"/>
      <c r="KY1047" s="2052"/>
      <c r="KZ1047" s="2052"/>
      <c r="LA1047" s="2052"/>
      <c r="LB1047" s="2052"/>
      <c r="LC1047" s="2052"/>
      <c r="LD1047" s="2052"/>
      <c r="LE1047" s="2052"/>
      <c r="LF1047" s="2052"/>
      <c r="LG1047" s="2052"/>
      <c r="NP1047" s="1925"/>
    </row>
    <row r="1048" spans="1:380" s="1853" customFormat="1" ht="15.6" customHeight="1">
      <c r="B1048" s="1719" t="s">
        <v>711</v>
      </c>
      <c r="C1048" s="2184">
        <f>'Part VI-Revenues &amp; Expenses'!C208</f>
        <v>0</v>
      </c>
      <c r="D1048" s="2184"/>
      <c r="E1048" s="2184"/>
      <c r="F1048" s="2184"/>
      <c r="H1048" s="2182">
        <f>'Part VI-Revenues &amp; Expenses'!H208</f>
        <v>0</v>
      </c>
      <c r="I1048" s="2182">
        <f>'Part VI-Revenues &amp; Expenses'!I208</f>
        <v>0</v>
      </c>
      <c r="J1048" s="2182">
        <f>'Part VI-Revenues &amp; Expenses'!J208</f>
        <v>0</v>
      </c>
      <c r="K1048" s="2182">
        <f>'Part VI-Revenues &amp; Expenses'!K208</f>
        <v>0</v>
      </c>
      <c r="L1048" s="2182">
        <f>'Part VI-Revenues &amp; Expenses'!L208</f>
        <v>0</v>
      </c>
      <c r="M1048" s="2115"/>
      <c r="N1048" s="2115"/>
      <c r="O1048" s="2115"/>
      <c r="P1048" s="2115"/>
      <c r="Q1048" s="2115"/>
      <c r="S1048" s="2044"/>
      <c r="T1048" s="2044"/>
      <c r="U1048" s="2044"/>
      <c r="V1048" s="2044"/>
      <c r="W1048" s="2044"/>
      <c r="JW1048" s="2052"/>
      <c r="KB1048" s="2052"/>
      <c r="KG1048" s="2052"/>
      <c r="KL1048" s="2052"/>
      <c r="KM1048" s="2052"/>
      <c r="KN1048" s="2052"/>
      <c r="KO1048" s="2052"/>
      <c r="KP1048" s="2052"/>
      <c r="KQ1048" s="2052"/>
      <c r="KR1048" s="2052"/>
      <c r="KS1048" s="2052"/>
      <c r="KT1048" s="2052"/>
      <c r="KU1048" s="2052"/>
      <c r="KV1048" s="2052"/>
      <c r="KW1048" s="2052"/>
      <c r="KX1048" s="2052"/>
      <c r="KY1048" s="2052"/>
      <c r="KZ1048" s="2052"/>
      <c r="LA1048" s="2052"/>
      <c r="LB1048" s="2052"/>
      <c r="LC1048" s="2052"/>
      <c r="LD1048" s="2052"/>
      <c r="LE1048" s="2052"/>
      <c r="LF1048" s="2052"/>
      <c r="LG1048" s="2052"/>
      <c r="NP1048" s="1925"/>
    </row>
    <row r="1049" spans="1:380" s="1853" customFormat="1" ht="15.6" customHeight="1">
      <c r="B1049" s="1719"/>
      <c r="C1049" s="1719" t="s">
        <v>894</v>
      </c>
      <c r="D1049" s="1719"/>
      <c r="E1049" s="1719"/>
      <c r="F1049" s="1719"/>
      <c r="H1049" s="2185">
        <f>SUM(H1047:H1048)</f>
        <v>0</v>
      </c>
      <c r="I1049" s="2185">
        <f>SUM(I1047:I1048)</f>
        <v>0</v>
      </c>
      <c r="J1049" s="2185">
        <f>SUM(J1047:J1048)</f>
        <v>0</v>
      </c>
      <c r="K1049" s="2185">
        <f>SUM(K1047:K1048)</f>
        <v>0</v>
      </c>
      <c r="L1049" s="2185">
        <f>SUM(L1047:L1048)</f>
        <v>0</v>
      </c>
      <c r="M1049" s="2115"/>
      <c r="N1049" s="2115"/>
      <c r="O1049" s="2115"/>
      <c r="P1049" s="2115"/>
      <c r="Q1049" s="2115"/>
      <c r="S1049" s="2044"/>
      <c r="T1049" s="2044"/>
      <c r="U1049" s="2044"/>
      <c r="V1049" s="2044"/>
      <c r="W1049" s="2044"/>
      <c r="JW1049" s="2052"/>
      <c r="KB1049" s="2052"/>
      <c r="KG1049" s="2052"/>
      <c r="KL1049" s="2052"/>
      <c r="KM1049" s="2052"/>
      <c r="KN1049" s="2052"/>
      <c r="KO1049" s="2052"/>
      <c r="KP1049" s="2052"/>
      <c r="KQ1049" s="2052"/>
      <c r="KR1049" s="2052"/>
      <c r="KS1049" s="2052"/>
      <c r="KT1049" s="2052"/>
      <c r="KU1049" s="2052"/>
      <c r="KV1049" s="2052"/>
      <c r="KW1049" s="2052"/>
      <c r="KX1049" s="2052"/>
      <c r="KY1049" s="2052"/>
      <c r="KZ1049" s="2052"/>
      <c r="LA1049" s="2052"/>
      <c r="LB1049" s="2052"/>
      <c r="LC1049" s="2052"/>
      <c r="LD1049" s="2052"/>
      <c r="LE1049" s="2052"/>
      <c r="LF1049" s="2052"/>
      <c r="LG1049" s="2052"/>
      <c r="NP1049" s="1925"/>
    </row>
    <row r="1050" spans="1:380" s="1853" customFormat="1" ht="15.6" customHeight="1">
      <c r="B1050" s="2107" t="s">
        <v>7077</v>
      </c>
      <c r="C1050" s="2115"/>
      <c r="D1050" s="2115"/>
      <c r="E1050" s="2115"/>
      <c r="F1050" s="2115"/>
      <c r="H1050" s="2186"/>
      <c r="I1050" s="2115"/>
      <c r="J1050" s="2115"/>
      <c r="K1050" s="2115"/>
      <c r="L1050" s="2115"/>
      <c r="M1050" s="2115"/>
      <c r="N1050" s="2115"/>
      <c r="O1050" s="2115"/>
      <c r="P1050" s="2115"/>
      <c r="Q1050" s="2115"/>
      <c r="S1050" s="1818" t="str">
        <f>B1050</f>
        <v>NOT Included in Mgt Fee:</v>
      </c>
      <c r="JW1050" s="2052"/>
      <c r="KB1050" s="2052"/>
      <c r="KG1050" s="2052"/>
      <c r="KL1050" s="2052"/>
      <c r="KM1050" s="2052"/>
      <c r="KN1050" s="2052"/>
      <c r="KO1050" s="2052"/>
      <c r="KP1050" s="2052"/>
      <c r="KQ1050" s="2052"/>
      <c r="KR1050" s="2052"/>
      <c r="KS1050" s="2052"/>
      <c r="KT1050" s="2052"/>
      <c r="KU1050" s="2052"/>
      <c r="KV1050" s="2052"/>
      <c r="KW1050" s="2052"/>
      <c r="KX1050" s="2052"/>
      <c r="KY1050" s="2052"/>
      <c r="KZ1050" s="2052"/>
      <c r="LA1050" s="2052"/>
      <c r="LB1050" s="2052"/>
      <c r="LC1050" s="2052"/>
      <c r="LD1050" s="2052"/>
      <c r="LE1050" s="2052"/>
      <c r="LF1050" s="2052"/>
      <c r="LG1050" s="2052"/>
      <c r="NP1050" s="1925"/>
    </row>
    <row r="1051" spans="1:380" s="1853" customFormat="1" ht="15.6" customHeight="1">
      <c r="B1051" s="1719" t="s">
        <v>507</v>
      </c>
      <c r="C1051" s="1719"/>
      <c r="D1051" s="1719"/>
      <c r="E1051" s="1719"/>
      <c r="F1051" s="1719"/>
      <c r="H1051" s="2182">
        <f>'Part VI-Revenues &amp; Expenses'!H211</f>
        <v>0</v>
      </c>
      <c r="I1051" s="2182">
        <f>'Part VI-Revenues &amp; Expenses'!I211</f>
        <v>0</v>
      </c>
      <c r="J1051" s="2182">
        <f>'Part VI-Revenues &amp; Expenses'!J211</f>
        <v>0</v>
      </c>
      <c r="K1051" s="2182">
        <f>'Part VI-Revenues &amp; Expenses'!K211</f>
        <v>0</v>
      </c>
      <c r="L1051" s="2182">
        <f>'Part VI-Revenues &amp; Expenses'!L211</f>
        <v>0</v>
      </c>
      <c r="M1051" s="2115"/>
      <c r="N1051" s="2115"/>
      <c r="O1051" s="2115"/>
      <c r="P1051" s="2115"/>
      <c r="Q1051" s="2115"/>
      <c r="S1051" s="2044"/>
      <c r="T1051" s="2044"/>
      <c r="U1051" s="2044"/>
      <c r="V1051" s="2044"/>
      <c r="W1051" s="2044"/>
      <c r="JW1051" s="2052"/>
      <c r="KB1051" s="2052"/>
      <c r="KG1051" s="2052"/>
      <c r="KL1051" s="2052"/>
      <c r="KM1051" s="2052"/>
      <c r="KN1051" s="2052"/>
      <c r="KO1051" s="2052"/>
      <c r="KP1051" s="2052"/>
      <c r="KQ1051" s="2052"/>
      <c r="KR1051" s="2052"/>
      <c r="KS1051" s="2052"/>
      <c r="KT1051" s="2052"/>
      <c r="KU1051" s="2052"/>
      <c r="KV1051" s="2052"/>
      <c r="KW1051" s="2052"/>
      <c r="KX1051" s="2052"/>
      <c r="KY1051" s="2052"/>
      <c r="KZ1051" s="2052"/>
      <c r="LA1051" s="2052"/>
      <c r="LB1051" s="2052"/>
      <c r="LC1051" s="2052"/>
      <c r="LD1051" s="2052"/>
      <c r="LE1051" s="2052"/>
      <c r="LF1051" s="2052"/>
      <c r="LG1051" s="2052"/>
      <c r="NP1051" s="1925"/>
    </row>
    <row r="1052" spans="1:380" s="1853" customFormat="1" ht="15.6" customHeight="1">
      <c r="B1052" s="1719" t="s">
        <v>711</v>
      </c>
      <c r="C1052" s="2184">
        <f>'Part VI-Revenues &amp; Expenses'!C212</f>
        <v>0</v>
      </c>
      <c r="D1052" s="2184"/>
      <c r="E1052" s="2184"/>
      <c r="F1052" s="2184"/>
      <c r="H1052" s="2182">
        <f>'Part VI-Revenues &amp; Expenses'!H212</f>
        <v>0</v>
      </c>
      <c r="I1052" s="2182">
        <f>'Part VI-Revenues &amp; Expenses'!I212</f>
        <v>0</v>
      </c>
      <c r="J1052" s="2182">
        <f>'Part VI-Revenues &amp; Expenses'!J212</f>
        <v>0</v>
      </c>
      <c r="K1052" s="2182">
        <f>'Part VI-Revenues &amp; Expenses'!K212</f>
        <v>0</v>
      </c>
      <c r="L1052" s="2182">
        <f>'Part VI-Revenues &amp; Expenses'!L212</f>
        <v>0</v>
      </c>
      <c r="M1052" s="2115"/>
      <c r="N1052" s="2115"/>
      <c r="O1052" s="2115"/>
      <c r="P1052" s="2115"/>
      <c r="Q1052" s="2115"/>
      <c r="S1052" s="2044"/>
      <c r="T1052" s="2044"/>
      <c r="U1052" s="2044"/>
      <c r="V1052" s="2044"/>
      <c r="W1052" s="2044"/>
      <c r="JW1052" s="2052"/>
      <c r="KB1052" s="2052"/>
      <c r="KG1052" s="2052"/>
      <c r="KL1052" s="2052"/>
      <c r="KM1052" s="2052"/>
      <c r="KN1052" s="2052"/>
      <c r="KO1052" s="2052"/>
      <c r="KP1052" s="2052"/>
      <c r="KQ1052" s="2052"/>
      <c r="KR1052" s="2052"/>
      <c r="KS1052" s="2052"/>
      <c r="KT1052" s="2052"/>
      <c r="KU1052" s="2052"/>
      <c r="KV1052" s="2052"/>
      <c r="KW1052" s="2052"/>
      <c r="KX1052" s="2052"/>
      <c r="KY1052" s="2052"/>
      <c r="KZ1052" s="2052"/>
      <c r="LA1052" s="2052"/>
      <c r="LB1052" s="2052"/>
      <c r="LC1052" s="2052"/>
      <c r="LD1052" s="2052"/>
      <c r="LE1052" s="2052"/>
      <c r="LF1052" s="2052"/>
      <c r="LG1052" s="2052"/>
      <c r="NP1052" s="1925"/>
    </row>
    <row r="1053" spans="1:380" s="1853" customFormat="1" ht="15.6" customHeight="1">
      <c r="B1053" s="1719"/>
      <c r="C1053" s="1719" t="s">
        <v>7078</v>
      </c>
      <c r="D1053" s="1719"/>
      <c r="E1053" s="1719"/>
      <c r="F1053" s="1719"/>
      <c r="H1053" s="2185">
        <f>SUM(H1051:H1052)</f>
        <v>0</v>
      </c>
      <c r="I1053" s="2185">
        <f>SUM(I1051:I1052)</f>
        <v>0</v>
      </c>
      <c r="J1053" s="2185">
        <f>SUM(J1051:J1052)</f>
        <v>0</v>
      </c>
      <c r="K1053" s="2185">
        <f>SUM(K1051:K1052)</f>
        <v>0</v>
      </c>
      <c r="L1053" s="2185">
        <f>SUM(L1051:L1052)</f>
        <v>0</v>
      </c>
      <c r="M1053" s="2115"/>
      <c r="N1053" s="2115"/>
      <c r="O1053" s="2115"/>
      <c r="P1053" s="2115"/>
      <c r="Q1053" s="2115"/>
      <c r="S1053" s="2044"/>
      <c r="T1053" s="2044"/>
      <c r="U1053" s="2044"/>
      <c r="V1053" s="2044"/>
      <c r="W1053" s="2044"/>
      <c r="JW1053" s="2052"/>
      <c r="KB1053" s="2052"/>
      <c r="KG1053" s="2052"/>
      <c r="KL1053" s="2052"/>
      <c r="KM1053" s="2052"/>
      <c r="KN1053" s="2052"/>
      <c r="KO1053" s="2052"/>
      <c r="KP1053" s="2052"/>
      <c r="KQ1053" s="2052"/>
      <c r="KR1053" s="2052"/>
      <c r="KS1053" s="2052"/>
      <c r="KT1053" s="2052"/>
      <c r="KU1053" s="2052"/>
      <c r="KV1053" s="2052"/>
      <c r="KW1053" s="2052"/>
      <c r="KX1053" s="2052"/>
      <c r="KY1053" s="2052"/>
      <c r="KZ1053" s="2052"/>
      <c r="LA1053" s="2052"/>
      <c r="LB1053" s="2052"/>
      <c r="LC1053" s="2052"/>
      <c r="LD1053" s="2052"/>
      <c r="LE1053" s="2052"/>
      <c r="LF1053" s="2052"/>
      <c r="LG1053" s="2052"/>
      <c r="NP1053" s="1925"/>
    </row>
    <row r="1054" spans="1:380" s="1853" customFormat="1" ht="2.25" customHeight="1">
      <c r="F1054" s="2187"/>
      <c r="G1054" s="2187"/>
      <c r="JW1054" s="2052"/>
      <c r="KB1054" s="2052"/>
      <c r="KG1054" s="2052"/>
      <c r="KL1054" s="2052"/>
      <c r="KM1054" s="2052"/>
      <c r="KN1054" s="2052"/>
      <c r="KO1054" s="2052"/>
      <c r="KP1054" s="2052"/>
      <c r="KQ1054" s="2052"/>
      <c r="KR1054" s="2052"/>
      <c r="KS1054" s="2052"/>
      <c r="KT1054" s="2052"/>
      <c r="KU1054" s="2052"/>
      <c r="KV1054" s="2052"/>
      <c r="KW1054" s="2052"/>
      <c r="KX1054" s="2052"/>
      <c r="KY1054" s="2052"/>
      <c r="KZ1054" s="2052"/>
      <c r="LA1054" s="2052"/>
      <c r="LB1054" s="2052"/>
      <c r="LC1054" s="2052"/>
      <c r="LD1054" s="2052"/>
      <c r="LE1054" s="2052"/>
      <c r="LF1054" s="2052"/>
      <c r="LG1054" s="2052"/>
      <c r="NP1054" s="1925"/>
    </row>
    <row r="1055" spans="1:380" s="1818" customFormat="1" ht="11.25" customHeight="1">
      <c r="A1055" s="1818" t="s">
        <v>1711</v>
      </c>
      <c r="B1055" s="2106" t="s">
        <v>980</v>
      </c>
      <c r="C1055" s="2106"/>
      <c r="D1055" s="2106"/>
      <c r="E1055" s="2106"/>
      <c r="F1055" s="2106"/>
      <c r="G1055" s="2106"/>
      <c r="H1055" s="2106"/>
      <c r="I1055" s="2106"/>
      <c r="J1055" s="2106"/>
      <c r="K1055" s="2106"/>
      <c r="L1055" s="2106"/>
      <c r="N1055" s="2188"/>
      <c r="O1055" s="2109"/>
      <c r="P1055" s="2109"/>
      <c r="S1055" s="1818" t="str">
        <f>B1055</f>
        <v>ANNUAL OPERATING EXPENSE BUDGET</v>
      </c>
      <c r="T1055" s="1853"/>
      <c r="X1055" s="1853"/>
      <c r="AC1055" s="1853"/>
      <c r="AH1055" s="1853"/>
      <c r="AM1055" s="1853"/>
      <c r="JW1055" s="2109"/>
      <c r="KB1055" s="2109"/>
      <c r="KG1055" s="2109"/>
      <c r="KL1055" s="2109"/>
      <c r="KM1055" s="2109"/>
      <c r="KN1055" s="2109"/>
      <c r="KO1055" s="2109"/>
      <c r="KP1055" s="2109"/>
      <c r="KQ1055" s="2109"/>
      <c r="KR1055" s="2109"/>
      <c r="KS1055" s="2109"/>
      <c r="KT1055" s="2109"/>
      <c r="KU1055" s="2109"/>
      <c r="KV1055" s="2109"/>
      <c r="KW1055" s="2109"/>
      <c r="KX1055" s="2109"/>
      <c r="KY1055" s="2109"/>
      <c r="KZ1055" s="2109"/>
      <c r="LA1055" s="2109"/>
      <c r="LB1055" s="2109"/>
      <c r="LC1055" s="2109"/>
      <c r="LD1055" s="2109"/>
      <c r="LE1055" s="2109"/>
      <c r="LF1055" s="2109"/>
      <c r="LG1055" s="2109"/>
      <c r="NP1055" s="1925"/>
    </row>
    <row r="1056" spans="1:380" s="1818" customFormat="1" ht="11.25" customHeight="1">
      <c r="B1056" s="2106"/>
      <c r="C1056" s="2106"/>
      <c r="D1056" s="2106"/>
      <c r="E1056" s="2106"/>
      <c r="F1056" s="2106"/>
      <c r="G1056" s="2106"/>
      <c r="H1056" s="2106"/>
      <c r="I1056" s="2106"/>
      <c r="J1056" s="2106"/>
      <c r="K1056" s="2106"/>
      <c r="S1056" s="2113" t="s">
        <v>1759</v>
      </c>
      <c r="T1056" s="2113"/>
      <c r="JW1056" s="2109"/>
      <c r="KB1056" s="2109"/>
      <c r="KG1056" s="2109"/>
      <c r="KL1056" s="2109"/>
      <c r="KM1056" s="2109"/>
      <c r="KN1056" s="2109"/>
      <c r="KO1056" s="2109"/>
      <c r="KP1056" s="2109"/>
      <c r="KQ1056" s="2109"/>
      <c r="KR1056" s="2109"/>
      <c r="KS1056" s="2109"/>
      <c r="KT1056" s="2109"/>
      <c r="KU1056" s="2109"/>
      <c r="KV1056" s="2109"/>
      <c r="KW1056" s="2109"/>
      <c r="KX1056" s="2109"/>
      <c r="KY1056" s="2109"/>
      <c r="KZ1056" s="2109"/>
      <c r="LA1056" s="2109"/>
      <c r="LB1056" s="2109"/>
      <c r="LC1056" s="2109"/>
      <c r="LD1056" s="2109"/>
      <c r="LE1056" s="2109"/>
      <c r="LF1056" s="2109"/>
      <c r="LG1056" s="2109"/>
      <c r="NP1056" s="1925"/>
    </row>
    <row r="1057" spans="2:380" s="1818" customFormat="1" ht="13.35" customHeight="1">
      <c r="B1057" s="1818" t="s">
        <v>1242</v>
      </c>
      <c r="F1057" s="1853"/>
      <c r="G1057" s="1853"/>
      <c r="I1057" s="1818" t="s">
        <v>1328</v>
      </c>
      <c r="O1057" s="1818" t="s">
        <v>1331</v>
      </c>
      <c r="Q1057" s="2189">
        <f>'Part VI-Revenues &amp; Expenses'!Q217</f>
        <v>35009</v>
      </c>
      <c r="S1057" s="2044"/>
      <c r="T1057" s="2044"/>
      <c r="U1057" s="2044"/>
      <c r="V1057" s="2044"/>
      <c r="W1057" s="2044"/>
      <c r="X1057" s="1853"/>
      <c r="AC1057" s="1853"/>
      <c r="AH1057" s="1853"/>
      <c r="AM1057" s="1853"/>
      <c r="JW1057" s="2109"/>
      <c r="KB1057" s="2109"/>
      <c r="KG1057" s="2109"/>
      <c r="KL1057" s="2109"/>
      <c r="KM1057" s="2109"/>
      <c r="KN1057" s="2109"/>
      <c r="KO1057" s="2109"/>
      <c r="KP1057" s="2109"/>
      <c r="KQ1057" s="2109"/>
      <c r="KR1057" s="2109"/>
      <c r="KS1057" s="2109"/>
      <c r="KT1057" s="2109"/>
      <c r="KU1057" s="2109"/>
      <c r="KV1057" s="2109"/>
      <c r="KW1057" s="2109"/>
      <c r="KX1057" s="2109"/>
      <c r="KY1057" s="2109"/>
      <c r="KZ1057" s="2109"/>
      <c r="LA1057" s="2109"/>
      <c r="LB1057" s="2109"/>
      <c r="LC1057" s="2109"/>
      <c r="LD1057" s="2109"/>
      <c r="LE1057" s="2109"/>
      <c r="LF1057" s="2109"/>
      <c r="LG1057" s="2109"/>
      <c r="NP1057" s="1925"/>
    </row>
    <row r="1058" spans="2:380" s="1818" customFormat="1" ht="15.6" customHeight="1">
      <c r="B1058" s="1818" t="s">
        <v>2100</v>
      </c>
      <c r="F1058" s="2190">
        <f>'Part VI-Revenues &amp; Expenses'!F218</f>
        <v>56040</v>
      </c>
      <c r="G1058" s="2190"/>
      <c r="I1058" s="1818" t="s">
        <v>1329</v>
      </c>
      <c r="L1058" s="2190">
        <f>'Part VI-Revenues &amp; Expenses'!L218</f>
        <v>2000</v>
      </c>
      <c r="M1058" s="2190"/>
      <c r="O1058" s="2191">
        <f>+Q1057/(P907*0.93)</f>
        <v>522.83452807646347</v>
      </c>
      <c r="P1058" s="2157" t="s">
        <v>2585</v>
      </c>
      <c r="R1058" s="2183"/>
      <c r="S1058" s="2044"/>
      <c r="T1058" s="2044"/>
      <c r="U1058" s="2044"/>
      <c r="V1058" s="2044"/>
      <c r="W1058" s="2044"/>
      <c r="X1058" s="1853"/>
      <c r="AC1058" s="1853"/>
      <c r="AH1058" s="1853"/>
      <c r="AM1058" s="1853"/>
      <c r="JW1058" s="2109"/>
      <c r="KB1058" s="2109"/>
      <c r="KG1058" s="2109"/>
      <c r="KL1058" s="2109"/>
      <c r="KM1058" s="2109"/>
      <c r="KN1058" s="2109"/>
      <c r="KO1058" s="2109"/>
      <c r="KP1058" s="2109"/>
      <c r="KQ1058" s="2109"/>
      <c r="KR1058" s="2109"/>
      <c r="KS1058" s="2109"/>
      <c r="KT1058" s="2109"/>
      <c r="KU1058" s="2109"/>
      <c r="KV1058" s="2109"/>
      <c r="KW1058" s="2109"/>
      <c r="KX1058" s="2109"/>
      <c r="KY1058" s="2109"/>
      <c r="KZ1058" s="2109"/>
      <c r="LA1058" s="2109"/>
      <c r="LB1058" s="2109"/>
      <c r="LC1058" s="2109"/>
      <c r="LD1058" s="2109"/>
      <c r="LE1058" s="2109"/>
      <c r="LF1058" s="2109"/>
      <c r="LG1058" s="2109"/>
      <c r="NP1058" s="1925"/>
    </row>
    <row r="1059" spans="2:380" s="1818" customFormat="1" ht="15.6" customHeight="1">
      <c r="B1059" s="1818" t="s">
        <v>1318</v>
      </c>
      <c r="F1059" s="2190">
        <f>'Part VI-Revenues &amp; Expenses'!F219</f>
        <v>53040</v>
      </c>
      <c r="G1059" s="2190"/>
      <c r="I1059" s="1818" t="s">
        <v>1330</v>
      </c>
      <c r="L1059" s="2190">
        <f>'Part VI-Revenues &amp; Expenses'!L219</f>
        <v>3000</v>
      </c>
      <c r="M1059" s="2190"/>
      <c r="O1059" s="2191">
        <f>+Q1057/(P907*0.93)/12</f>
        <v>43.569544006371956</v>
      </c>
      <c r="P1059" s="2157" t="s">
        <v>2586</v>
      </c>
      <c r="R1059" s="2183"/>
      <c r="S1059" s="2044"/>
      <c r="T1059" s="2044"/>
      <c r="U1059" s="2044"/>
      <c r="V1059" s="2044"/>
      <c r="W1059" s="2044"/>
      <c r="X1059" s="1853"/>
      <c r="AC1059" s="1853"/>
      <c r="AH1059" s="1853"/>
      <c r="AM1059" s="1853"/>
      <c r="JW1059" s="2109"/>
      <c r="KB1059" s="2109"/>
      <c r="KG1059" s="2109"/>
      <c r="KL1059" s="2109"/>
      <c r="KM1059" s="2109"/>
      <c r="KN1059" s="2109"/>
      <c r="KO1059" s="2109"/>
      <c r="KP1059" s="2109"/>
      <c r="KQ1059" s="2109"/>
      <c r="KR1059" s="2109"/>
      <c r="KS1059" s="2109"/>
      <c r="KT1059" s="2109"/>
      <c r="KU1059" s="2109"/>
      <c r="KV1059" s="2109"/>
      <c r="KW1059" s="2109"/>
      <c r="KX1059" s="2109"/>
      <c r="KY1059" s="2109"/>
      <c r="KZ1059" s="2109"/>
      <c r="LA1059" s="2109"/>
      <c r="LB1059" s="2109"/>
      <c r="LC1059" s="2109"/>
      <c r="LD1059" s="2109"/>
      <c r="LE1059" s="2109"/>
      <c r="LF1059" s="2109"/>
      <c r="LG1059" s="2109"/>
      <c r="NP1059" s="1925"/>
    </row>
    <row r="1060" spans="2:380" s="1818" customFormat="1" ht="15.6" customHeight="1">
      <c r="B1060" s="1818" t="s">
        <v>1193</v>
      </c>
      <c r="F1060" s="2190">
        <f>'Part VI-Revenues &amp; Expenses'!F220</f>
        <v>0</v>
      </c>
      <c r="G1060" s="2190"/>
      <c r="K1060" s="2192" t="s">
        <v>183</v>
      </c>
      <c r="L1060" s="2172">
        <f>SUM(L1058:M1059)</f>
        <v>5000</v>
      </c>
      <c r="M1060" s="2172"/>
      <c r="O1060" s="435" t="s">
        <v>3354</v>
      </c>
      <c r="P1060" s="435"/>
      <c r="Q1060" s="435"/>
      <c r="R1060" s="2183"/>
      <c r="S1060" s="2044"/>
      <c r="T1060" s="2044"/>
      <c r="U1060" s="2044"/>
      <c r="V1060" s="2044"/>
      <c r="W1060" s="2044"/>
      <c r="X1060" s="1853"/>
      <c r="AC1060" s="1853"/>
      <c r="AH1060" s="1853"/>
      <c r="AM1060" s="1853"/>
      <c r="JW1060" s="2109"/>
      <c r="KB1060" s="2109"/>
      <c r="KG1060" s="2109"/>
      <c r="KL1060" s="2109"/>
      <c r="KM1060" s="2109"/>
      <c r="KN1060" s="2109"/>
      <c r="KO1060" s="2109"/>
      <c r="KP1060" s="2109"/>
      <c r="KQ1060" s="2109"/>
      <c r="KR1060" s="2109"/>
      <c r="KS1060" s="2109"/>
      <c r="KT1060" s="2109"/>
      <c r="KU1060" s="2109"/>
      <c r="KV1060" s="2109"/>
      <c r="KW1060" s="2109"/>
      <c r="KX1060" s="2109"/>
      <c r="KY1060" s="2109"/>
      <c r="KZ1060" s="2109"/>
      <c r="LA1060" s="2109"/>
      <c r="LB1060" s="2109"/>
      <c r="LC1060" s="2109"/>
      <c r="LD1060" s="2109"/>
      <c r="LE1060" s="2109"/>
      <c r="LF1060" s="2109"/>
      <c r="LG1060" s="2109"/>
      <c r="NP1060" s="1925"/>
    </row>
    <row r="1061" spans="2:380" s="1818" customFormat="1" ht="15.6" customHeight="1">
      <c r="B1061" s="2106" t="s">
        <v>4221</v>
      </c>
      <c r="F1061" s="2190">
        <f>'Part VI-Revenues &amp; Expenses'!F221</f>
        <v>0</v>
      </c>
      <c r="G1061" s="2190"/>
      <c r="R1061" s="2175"/>
      <c r="S1061" s="2044"/>
      <c r="T1061" s="2044"/>
      <c r="U1061" s="2044"/>
      <c r="V1061" s="2044"/>
      <c r="W1061" s="2044"/>
      <c r="X1061" s="1853"/>
      <c r="AC1061" s="1853"/>
      <c r="AH1061" s="1853"/>
      <c r="AM1061" s="1853"/>
      <c r="JW1061" s="2109"/>
      <c r="KB1061" s="2109"/>
      <c r="KG1061" s="2109"/>
      <c r="KL1061" s="2109"/>
      <c r="KM1061" s="2109"/>
      <c r="KN1061" s="2109"/>
      <c r="KO1061" s="2109"/>
      <c r="KP1061" s="2109"/>
      <c r="KQ1061" s="2109"/>
      <c r="KR1061" s="2109"/>
      <c r="KS1061" s="2109"/>
      <c r="KT1061" s="2109"/>
      <c r="KU1061" s="2109"/>
      <c r="KV1061" s="2109"/>
      <c r="KW1061" s="2109"/>
      <c r="KX1061" s="2109"/>
      <c r="KY1061" s="2109"/>
      <c r="KZ1061" s="2109"/>
      <c r="LA1061" s="2109"/>
      <c r="LB1061" s="2109"/>
      <c r="LC1061" s="2109"/>
      <c r="LD1061" s="2109"/>
      <c r="LE1061" s="2109"/>
      <c r="LF1061" s="2109"/>
      <c r="LG1061" s="2109"/>
      <c r="NP1061" s="2114"/>
    </row>
    <row r="1062" spans="2:380" s="1818" customFormat="1" ht="15.6" customHeight="1">
      <c r="B1062" s="2106" t="s">
        <v>4222</v>
      </c>
      <c r="F1062" s="2190">
        <f>'Part VI-Revenues &amp; Expenses'!F222</f>
        <v>0</v>
      </c>
      <c r="G1062" s="2190"/>
      <c r="R1062" s="2175"/>
      <c r="S1062" s="2044"/>
      <c r="T1062" s="2044"/>
      <c r="U1062" s="2044"/>
      <c r="V1062" s="2044"/>
      <c r="W1062" s="2044"/>
      <c r="X1062" s="1853"/>
      <c r="AC1062" s="1853"/>
      <c r="AH1062" s="1853"/>
      <c r="AM1062" s="1853"/>
      <c r="JW1062" s="2109"/>
      <c r="KB1062" s="2109"/>
      <c r="KG1062" s="2109"/>
      <c r="KL1062" s="2109"/>
      <c r="KM1062" s="2109"/>
      <c r="KN1062" s="2109"/>
      <c r="KO1062" s="2109"/>
      <c r="KP1062" s="2109"/>
      <c r="KQ1062" s="2109"/>
      <c r="KR1062" s="2109"/>
      <c r="KS1062" s="2109"/>
      <c r="KT1062" s="2109"/>
      <c r="KU1062" s="2109"/>
      <c r="KV1062" s="2109"/>
      <c r="KW1062" s="2109"/>
      <c r="KX1062" s="2109"/>
      <c r="KY1062" s="2109"/>
      <c r="KZ1062" s="2109"/>
      <c r="LA1062" s="2109"/>
      <c r="LB1062" s="2109"/>
      <c r="LC1062" s="2109"/>
      <c r="LD1062" s="2109"/>
      <c r="LE1062" s="2109"/>
      <c r="LF1062" s="2109"/>
      <c r="LG1062" s="2109"/>
      <c r="NP1062" s="2114"/>
    </row>
    <row r="1063" spans="2:380" s="1818" customFormat="1" ht="15.6" customHeight="1">
      <c r="B1063" s="2112" t="str">
        <f>'Part VI-Revenues &amp; Expenses'!B223</f>
        <v>Payroll Taxes</v>
      </c>
      <c r="C1063" s="2112"/>
      <c r="D1063" s="2112"/>
      <c r="E1063" s="2112"/>
      <c r="F1063" s="2190">
        <f>'Part VI-Revenues &amp; Expenses'!F223</f>
        <v>7611</v>
      </c>
      <c r="G1063" s="2190"/>
      <c r="I1063" s="1818" t="s">
        <v>1244</v>
      </c>
      <c r="R1063" s="2175"/>
      <c r="S1063" s="2044"/>
      <c r="T1063" s="2044"/>
      <c r="U1063" s="2044"/>
      <c r="V1063" s="2044"/>
      <c r="W1063" s="2044"/>
      <c r="X1063" s="1853"/>
      <c r="AC1063" s="1853"/>
      <c r="AH1063" s="1853"/>
      <c r="AM1063" s="1853"/>
      <c r="JW1063" s="2109"/>
      <c r="KB1063" s="2109"/>
      <c r="KG1063" s="2109"/>
      <c r="KL1063" s="2109"/>
      <c r="KM1063" s="2109"/>
      <c r="KN1063" s="2109"/>
      <c r="KO1063" s="2109"/>
      <c r="KP1063" s="2109"/>
      <c r="KQ1063" s="2109"/>
      <c r="KR1063" s="2109"/>
      <c r="KS1063" s="2109"/>
      <c r="KT1063" s="2109"/>
      <c r="KU1063" s="2109"/>
      <c r="KV1063" s="2109"/>
      <c r="KW1063" s="2109"/>
      <c r="KX1063" s="2109"/>
      <c r="KY1063" s="2109"/>
      <c r="KZ1063" s="2109"/>
      <c r="LA1063" s="2109"/>
      <c r="LB1063" s="2109"/>
      <c r="LC1063" s="2109"/>
      <c r="LD1063" s="2109"/>
      <c r="LE1063" s="2109"/>
      <c r="LF1063" s="2109"/>
      <c r="LG1063" s="2109"/>
      <c r="NP1063" s="2114"/>
    </row>
    <row r="1064" spans="2:380" s="1818" customFormat="1" ht="15.6" customHeight="1">
      <c r="E1064" s="2192" t="s">
        <v>183</v>
      </c>
      <c r="F1064" s="2172">
        <f>SUM(F1058:G1063)</f>
        <v>116691</v>
      </c>
      <c r="G1064" s="2172"/>
      <c r="I1064" s="1818" t="s">
        <v>1536</v>
      </c>
      <c r="L1064" s="2190">
        <f>'Part VI-Revenues &amp; Expenses'!L224</f>
        <v>1800</v>
      </c>
      <c r="M1064" s="2190"/>
      <c r="S1064" s="2044"/>
      <c r="T1064" s="2044"/>
      <c r="U1064" s="2044"/>
      <c r="V1064" s="2044"/>
      <c r="W1064" s="2044"/>
      <c r="X1064" s="1853"/>
      <c r="AC1064" s="1853"/>
      <c r="AH1064" s="1853"/>
      <c r="AM1064" s="1853"/>
      <c r="JW1064" s="2109"/>
      <c r="KB1064" s="2109"/>
      <c r="KG1064" s="2109"/>
      <c r="KL1064" s="2109"/>
      <c r="KM1064" s="2109"/>
      <c r="KN1064" s="2109"/>
      <c r="KO1064" s="2109"/>
      <c r="KP1064" s="2109"/>
      <c r="KQ1064" s="2109"/>
      <c r="KR1064" s="2109"/>
      <c r="KS1064" s="2109"/>
      <c r="KT1064" s="2109"/>
      <c r="KU1064" s="2109"/>
      <c r="KV1064" s="2109"/>
      <c r="KW1064" s="2109"/>
      <c r="KX1064" s="2109"/>
      <c r="KY1064" s="2109"/>
      <c r="KZ1064" s="2109"/>
      <c r="LA1064" s="2109"/>
      <c r="LB1064" s="2109"/>
      <c r="LC1064" s="2109"/>
      <c r="LD1064" s="2109"/>
      <c r="LE1064" s="2109"/>
      <c r="LF1064" s="2109"/>
      <c r="LG1064" s="2109"/>
      <c r="NP1064" s="2114"/>
    </row>
    <row r="1065" spans="2:380" s="1818" customFormat="1" ht="15" customHeight="1">
      <c r="D1065" s="2192"/>
      <c r="F1065" s="2153"/>
      <c r="G1065" s="2153"/>
      <c r="I1065" s="1818" t="s">
        <v>1956</v>
      </c>
      <c r="L1065" s="2190">
        <f>'Part VI-Revenues &amp; Expenses'!L225</f>
        <v>10000</v>
      </c>
      <c r="M1065" s="2190"/>
      <c r="N1065" s="1719" t="e">
        <f>IF(Q1067="","",IF(Q1065&lt;Q1067, "WARNING! OE below required minimum.",""))</f>
        <v>#VALUE!</v>
      </c>
      <c r="O1065" s="1818" t="s">
        <v>2090</v>
      </c>
      <c r="Q1065" s="2175">
        <f>F1064+F1073+F1084+L1060+L1068+L1077+L1084+Q1057</f>
        <v>392402</v>
      </c>
      <c r="S1065" s="2044"/>
      <c r="T1065" s="2044"/>
      <c r="U1065" s="2044"/>
      <c r="V1065" s="2044"/>
      <c r="W1065" s="2044"/>
      <c r="JW1065" s="2109"/>
      <c r="KB1065" s="2109"/>
      <c r="KG1065" s="2109"/>
      <c r="KL1065" s="2109"/>
      <c r="KM1065" s="2109"/>
      <c r="KN1065" s="2109"/>
      <c r="KO1065" s="2109"/>
      <c r="KP1065" s="2109"/>
      <c r="KQ1065" s="2109"/>
      <c r="KR1065" s="2109"/>
      <c r="KS1065" s="2109"/>
      <c r="KT1065" s="2109"/>
      <c r="KU1065" s="2109"/>
      <c r="KV1065" s="2109"/>
      <c r="KW1065" s="2109"/>
      <c r="KX1065" s="2109"/>
      <c r="KY1065" s="2109"/>
      <c r="KZ1065" s="2109"/>
      <c r="LA1065" s="2109"/>
      <c r="LB1065" s="2109"/>
      <c r="LC1065" s="2109"/>
      <c r="LD1065" s="2109"/>
      <c r="LE1065" s="2109"/>
      <c r="LF1065" s="2109"/>
      <c r="LG1065" s="2109"/>
      <c r="NP1065" s="2114"/>
    </row>
    <row r="1066" spans="2:380" s="1818" customFormat="1" ht="13.35" customHeight="1">
      <c r="B1066" s="1818" t="s">
        <v>1243</v>
      </c>
      <c r="D1066" s="2193"/>
      <c r="I1066" s="1818" t="s">
        <v>1537</v>
      </c>
      <c r="L1066" s="2190">
        <f>'Part VI-Revenues &amp; Expenses'!L226</f>
        <v>4000</v>
      </c>
      <c r="M1066" s="2190"/>
      <c r="N1066" s="1719"/>
      <c r="O1066" s="2157" t="s">
        <v>2587</v>
      </c>
      <c r="P1066" s="2191">
        <f>+Q1065/P907</f>
        <v>5450.0277777777774</v>
      </c>
      <c r="R1066" s="2189"/>
      <c r="S1066" s="2044"/>
      <c r="T1066" s="2044"/>
      <c r="U1066" s="2044"/>
      <c r="V1066" s="2044"/>
      <c r="W1066" s="2044"/>
      <c r="X1066" s="1853"/>
      <c r="AC1066" s="1853"/>
      <c r="AH1066" s="1853"/>
      <c r="AM1066" s="1853"/>
      <c r="JW1066" s="2109"/>
      <c r="KB1066" s="2109"/>
      <c r="KG1066" s="2109"/>
      <c r="KL1066" s="2109"/>
      <c r="KM1066" s="2109"/>
      <c r="KN1066" s="2109"/>
      <c r="KO1066" s="2109"/>
      <c r="KP1066" s="2109"/>
      <c r="KQ1066" s="2109"/>
      <c r="KR1066" s="2109"/>
      <c r="KS1066" s="2109"/>
      <c r="KT1066" s="2109"/>
      <c r="KU1066" s="2109"/>
      <c r="KV1066" s="2109"/>
      <c r="KW1066" s="2109"/>
      <c r="KX1066" s="2109"/>
      <c r="KY1066" s="2109"/>
      <c r="KZ1066" s="2109"/>
      <c r="LA1066" s="2109"/>
      <c r="LB1066" s="2109"/>
      <c r="LC1066" s="2109"/>
      <c r="LD1066" s="2109"/>
      <c r="LE1066" s="2109"/>
      <c r="LF1066" s="2109"/>
      <c r="LG1066" s="2109"/>
      <c r="NP1066" s="2114" t="s">
        <v>6757</v>
      </c>
    </row>
    <row r="1067" spans="2:380" s="1818" customFormat="1" ht="15.6" customHeight="1">
      <c r="B1067" s="1818" t="s">
        <v>1323</v>
      </c>
      <c r="D1067" s="2193"/>
      <c r="F1067" s="2190">
        <f>'Part VI-Revenues &amp; Expenses'!F227</f>
        <v>10800</v>
      </c>
      <c r="G1067" s="2190"/>
      <c r="I1067" s="2194" t="str">
        <f>'Part VI-Revenues &amp; Expenses'!I227</f>
        <v>Other (describe here)</v>
      </c>
      <c r="J1067" s="2194"/>
      <c r="K1067" s="2194"/>
      <c r="L1067" s="2190">
        <f>'Part VI-Revenues &amp; Expenses'!L227</f>
        <v>0</v>
      </c>
      <c r="M1067" s="2190"/>
      <c r="N1067" s="1719"/>
      <c r="P1067" s="2157" t="s">
        <v>3355</v>
      </c>
      <c r="Q1067" s="2175" t="e">
        <f>IF(AND('Part I-Project Information'!$I$208="Yes",'Part I-Project Information'!$O$208&gt;0),'Part I-Project Information'!$O$208, IF(AND('Part I-Project Information'!$F$39="Atlanta",'Part I-Project Information'!$K$41="Urban",'Part I-Project Information'!$N$41="MSA"),'DCA Underwriting Assumptions'!$Q$63*$P$67,IF(AND('Part I-Project Information'!$K$41="Urban",'Part I-Project Information'!$N$41="MSA"),'DCA Underwriting Assumptions'!$Q$64*$P$67,IF(AND('Part I-Project Information'!$K$41="Rural",'Part I-Project Information'!$N$41="MSA",OR('Part III-Sources of Funds'!$B$13="",'Part III-Sources of Funds'!$B$13="No")),'DCA Underwriting Assumptions'!$Q$65*$P$67,IF(AND('Part I-Project Information'!$K$41="Rural",'Part I-Project Information'!$N$41="Non-MSA",OR('Part III-Sources of Funds'!$B$13="",'Part III-Sources of Funds'!$B$13="No")),'DCA Underwriting Assumptions'!$Q$66*$P$67,IF(AND('Part I-Project Information'!$K$41="Rural",'Part I-Project Information'!$N$41="Non-MSA",'Part III-Sources of Funds'!$B$13="Yes"),'DCA Underwriting Assumptions'!$Q$67*$P$67,""))))))</f>
        <v>#VALUE!</v>
      </c>
      <c r="S1067" s="2044"/>
      <c r="T1067" s="2044"/>
      <c r="U1067" s="2044"/>
      <c r="V1067" s="2044"/>
      <c r="W1067" s="2044"/>
      <c r="X1067" s="1853"/>
      <c r="AC1067" s="1853"/>
      <c r="AH1067" s="1853"/>
      <c r="AM1067" s="1853"/>
      <c r="JW1067" s="2109"/>
      <c r="KB1067" s="2109"/>
      <c r="KG1067" s="2109"/>
      <c r="KL1067" s="2109"/>
      <c r="KM1067" s="2109"/>
      <c r="KN1067" s="2109"/>
      <c r="KO1067" s="2109"/>
      <c r="KP1067" s="2109"/>
      <c r="KQ1067" s="2109"/>
      <c r="KR1067" s="2109"/>
      <c r="KS1067" s="2109"/>
      <c r="KT1067" s="2109"/>
      <c r="KU1067" s="2109"/>
      <c r="KV1067" s="2109"/>
      <c r="KW1067" s="2109"/>
      <c r="KX1067" s="2109"/>
      <c r="KY1067" s="2109"/>
      <c r="KZ1067" s="2109"/>
      <c r="LA1067" s="2109"/>
      <c r="LB1067" s="2109"/>
      <c r="LC1067" s="2109"/>
      <c r="LD1067" s="2109"/>
      <c r="LE1067" s="2109"/>
      <c r="LF1067" s="2109"/>
      <c r="LG1067" s="2109"/>
      <c r="NP1067" s="2114"/>
    </row>
    <row r="1068" spans="2:380" s="1818" customFormat="1" ht="15.6" customHeight="1">
      <c r="B1068" s="1818" t="s">
        <v>1324</v>
      </c>
      <c r="D1068" s="2193"/>
      <c r="F1068" s="2190">
        <f>'Part VI-Revenues &amp; Expenses'!F228</f>
        <v>7000</v>
      </c>
      <c r="G1068" s="2190"/>
      <c r="K1068" s="2192" t="s">
        <v>183</v>
      </c>
      <c r="L1068" s="2175">
        <f>SUM(L1064:L1067)</f>
        <v>15800</v>
      </c>
      <c r="M1068" s="2175"/>
      <c r="N1068" s="1719"/>
      <c r="S1068" s="2044"/>
      <c r="T1068" s="2044"/>
      <c r="U1068" s="2044"/>
      <c r="V1068" s="2044"/>
      <c r="W1068" s="2044"/>
      <c r="X1068" s="1853"/>
      <c r="AC1068" s="1853"/>
      <c r="AH1068" s="1853"/>
      <c r="AM1068" s="1853"/>
      <c r="JW1068" s="2109"/>
      <c r="KB1068" s="2109"/>
      <c r="KG1068" s="2109"/>
      <c r="KL1068" s="2109"/>
      <c r="KM1068" s="2109"/>
      <c r="KN1068" s="2109"/>
      <c r="KO1068" s="2109"/>
      <c r="KP1068" s="2109"/>
      <c r="KQ1068" s="2109"/>
      <c r="KR1068" s="2109"/>
      <c r="KS1068" s="2109"/>
      <c r="KT1068" s="2109"/>
      <c r="KU1068" s="2109"/>
      <c r="KV1068" s="2109"/>
      <c r="KW1068" s="2109"/>
      <c r="KX1068" s="2109"/>
      <c r="KY1068" s="2109"/>
      <c r="KZ1068" s="2109"/>
      <c r="LA1068" s="2109"/>
      <c r="LB1068" s="2109"/>
      <c r="LC1068" s="2109"/>
      <c r="LD1068" s="2109"/>
      <c r="LE1068" s="2109"/>
      <c r="LF1068" s="2109"/>
      <c r="LG1068" s="2109"/>
      <c r="NP1068" s="2114"/>
    </row>
    <row r="1069" spans="2:380" s="1818" customFormat="1" ht="15.6" customHeight="1">
      <c r="B1069" s="1818" t="s">
        <v>1325</v>
      </c>
      <c r="D1069" s="2193"/>
      <c r="F1069" s="2190">
        <f>'Part VI-Revenues &amp; Expenses'!F229</f>
        <v>1700</v>
      </c>
      <c r="G1069" s="2190"/>
      <c r="R1069" s="2122"/>
      <c r="S1069" s="2044"/>
      <c r="T1069" s="2044"/>
      <c r="U1069" s="2044"/>
      <c r="V1069" s="2044"/>
      <c r="W1069" s="2044"/>
      <c r="X1069" s="1853"/>
      <c r="AC1069" s="1853"/>
      <c r="AH1069" s="1853"/>
      <c r="AM1069" s="1853"/>
      <c r="JW1069" s="2109"/>
      <c r="KB1069" s="2109"/>
      <c r="KG1069" s="2109"/>
      <c r="KL1069" s="2109"/>
      <c r="KM1069" s="2109"/>
      <c r="KN1069" s="2109"/>
      <c r="KO1069" s="2109"/>
      <c r="KP1069" s="2109"/>
      <c r="KQ1069" s="2109"/>
      <c r="KR1069" s="2109"/>
      <c r="KS1069" s="2109"/>
      <c r="KT1069" s="2109"/>
      <c r="KU1069" s="2109"/>
      <c r="KV1069" s="2109"/>
      <c r="KW1069" s="2109"/>
      <c r="KX1069" s="2109"/>
      <c r="KY1069" s="2109"/>
      <c r="KZ1069" s="2109"/>
      <c r="LA1069" s="2109"/>
      <c r="LB1069" s="2109"/>
      <c r="LC1069" s="2109"/>
      <c r="LD1069" s="2109"/>
      <c r="LE1069" s="2109"/>
      <c r="LF1069" s="2109"/>
      <c r="LG1069" s="2109"/>
      <c r="NP1069" s="2114"/>
    </row>
    <row r="1070" spans="2:380" s="1818" customFormat="1" ht="15.6" customHeight="1">
      <c r="B1070" s="1818" t="s">
        <v>2236</v>
      </c>
      <c r="D1070" s="2193"/>
      <c r="F1070" s="2190">
        <f>'Part VI-Revenues &amp; Expenses'!F230</f>
        <v>1500</v>
      </c>
      <c r="G1070" s="2190"/>
      <c r="R1070" s="2122"/>
      <c r="S1070" s="2044"/>
      <c r="T1070" s="2044"/>
      <c r="U1070" s="2044"/>
      <c r="V1070" s="2044"/>
      <c r="W1070" s="2044"/>
      <c r="X1070" s="1853"/>
      <c r="AC1070" s="1853"/>
      <c r="AH1070" s="1853"/>
      <c r="AM1070" s="1853"/>
      <c r="JW1070" s="2109"/>
      <c r="KB1070" s="2109"/>
      <c r="KG1070" s="2109"/>
      <c r="KL1070" s="2109"/>
      <c r="KM1070" s="2109"/>
      <c r="KN1070" s="2109"/>
      <c r="KO1070" s="2109"/>
      <c r="KP1070" s="2109"/>
      <c r="KQ1070" s="2109"/>
      <c r="KR1070" s="2109"/>
      <c r="KS1070" s="2109"/>
      <c r="KT1070" s="2109"/>
      <c r="KU1070" s="2109"/>
      <c r="KV1070" s="2109"/>
      <c r="KW1070" s="2109"/>
      <c r="KX1070" s="2109"/>
      <c r="KY1070" s="2109"/>
      <c r="KZ1070" s="2109"/>
      <c r="LA1070" s="2109"/>
      <c r="LB1070" s="2109"/>
      <c r="LC1070" s="2109"/>
      <c r="LD1070" s="2109"/>
      <c r="LE1070" s="2109"/>
      <c r="LF1070" s="2109"/>
      <c r="LG1070" s="2109"/>
      <c r="NP1070" s="2114" t="s">
        <v>6758</v>
      </c>
    </row>
    <row r="1071" spans="2:380" s="1818" customFormat="1" ht="15.6" customHeight="1">
      <c r="B1071" s="1818" t="s">
        <v>1534</v>
      </c>
      <c r="D1071" s="2193"/>
      <c r="F1071" s="2190">
        <f>'Part VI-Revenues &amp; Expenses'!F231</f>
        <v>11500</v>
      </c>
      <c r="G1071" s="2190"/>
      <c r="I1071" s="1818" t="s">
        <v>1326</v>
      </c>
      <c r="K1071" s="1858" t="s">
        <v>4064</v>
      </c>
      <c r="O1071" s="1818" t="s">
        <v>3205</v>
      </c>
      <c r="Q1071" s="2195">
        <f>'Part VI-Revenues &amp; Expenses'!Q231</f>
        <v>18000</v>
      </c>
      <c r="S1071" s="2044"/>
      <c r="T1071" s="2044"/>
      <c r="U1071" s="2044"/>
      <c r="V1071" s="2044"/>
      <c r="W1071" s="2044"/>
      <c r="X1071" s="1853"/>
      <c r="AC1071" s="1853"/>
      <c r="AH1071" s="1853"/>
      <c r="AM1071" s="1853"/>
      <c r="JW1071" s="2109"/>
      <c r="KB1071" s="2109"/>
      <c r="KG1071" s="2109"/>
      <c r="KL1071" s="2109"/>
      <c r="KM1071" s="2109"/>
      <c r="KN1071" s="2109"/>
      <c r="KO1071" s="2109"/>
      <c r="KP1071" s="2109"/>
      <c r="KQ1071" s="2109"/>
      <c r="KR1071" s="2109"/>
      <c r="KS1071" s="2109"/>
      <c r="KT1071" s="2109"/>
      <c r="KU1071" s="2109"/>
      <c r="KV1071" s="2109"/>
      <c r="KW1071" s="2109"/>
      <c r="KX1071" s="2109"/>
      <c r="KY1071" s="2109"/>
      <c r="KZ1071" s="2109"/>
      <c r="LA1071" s="2109"/>
      <c r="LB1071" s="2109"/>
      <c r="LC1071" s="2109"/>
      <c r="LD1071" s="2109"/>
      <c r="LE1071" s="2109"/>
      <c r="LF1071" s="2109"/>
      <c r="LG1071" s="2109"/>
      <c r="NP1071" s="2114"/>
    </row>
    <row r="1072" spans="2:380" s="1818" customFormat="1" ht="15.6" customHeight="1">
      <c r="B1072" s="2112" t="str">
        <f>'Part VI-Revenues &amp; Expenses'!B232</f>
        <v>Other (describe here)</v>
      </c>
      <c r="C1072" s="2112"/>
      <c r="D1072" s="2112"/>
      <c r="E1072" s="2112"/>
      <c r="F1072" s="2190">
        <f>'Part VI-Revenues &amp; Expenses'!F232</f>
        <v>0</v>
      </c>
      <c r="G1072" s="2190"/>
      <c r="I1072" s="1818" t="s">
        <v>1319</v>
      </c>
      <c r="K1072" s="2011">
        <f>L1072/12/P907</f>
        <v>17.939814814814817</v>
      </c>
      <c r="L1072" s="2190">
        <f>'Part VI-Revenues &amp; Expenses'!L232</f>
        <v>15500</v>
      </c>
      <c r="M1072" s="2190"/>
      <c r="N1072" s="1719" t="str">
        <f>IF(Q1071&lt;Q1080, "WARNING! RR proposed is below the DCA required minimum.","")</f>
        <v/>
      </c>
      <c r="O1072" s="435" t="s">
        <v>4063</v>
      </c>
      <c r="Q1072" s="2196">
        <f>Q1071/P1080</f>
        <v>250</v>
      </c>
      <c r="R1072" s="2175"/>
      <c r="S1072" s="2044"/>
      <c r="T1072" s="2044"/>
      <c r="U1072" s="2044"/>
      <c r="V1072" s="2044"/>
      <c r="W1072" s="2044"/>
      <c r="X1072" s="1853"/>
      <c r="AC1072" s="1853"/>
      <c r="AH1072" s="1853"/>
      <c r="AM1072" s="1853"/>
      <c r="JW1072" s="2109"/>
      <c r="KB1072" s="2109"/>
      <c r="KG1072" s="2109"/>
      <c r="KL1072" s="2109"/>
      <c r="KM1072" s="2109"/>
      <c r="KN1072" s="2109"/>
      <c r="KO1072" s="2109"/>
      <c r="KP1072" s="2109"/>
      <c r="KQ1072" s="2109"/>
      <c r="KR1072" s="2109"/>
      <c r="KS1072" s="2109"/>
      <c r="KT1072" s="2109"/>
      <c r="KU1072" s="2109"/>
      <c r="KV1072" s="2109"/>
      <c r="KW1072" s="2109"/>
      <c r="KX1072" s="2109"/>
      <c r="KY1072" s="2109"/>
      <c r="KZ1072" s="2109"/>
      <c r="LA1072" s="2109"/>
      <c r="LB1072" s="2109"/>
      <c r="LC1072" s="2109"/>
      <c r="LD1072" s="2109"/>
      <c r="LE1072" s="2109"/>
      <c r="LF1072" s="2109"/>
      <c r="LG1072" s="2109"/>
      <c r="NP1072" s="2114"/>
    </row>
    <row r="1073" spans="1:380" s="1818" customFormat="1" ht="15.6" customHeight="1">
      <c r="E1073" s="2192" t="s">
        <v>183</v>
      </c>
      <c r="F1073" s="2172">
        <f>SUM(F1067:G1072)</f>
        <v>32500</v>
      </c>
      <c r="G1073" s="2172"/>
      <c r="I1073" s="1818" t="s">
        <v>1320</v>
      </c>
      <c r="K1073" s="2011">
        <f>L1073/12/P907</f>
        <v>0</v>
      </c>
      <c r="L1073" s="2190">
        <f>'Part VI-Revenues &amp; Expenses'!L233</f>
        <v>0</v>
      </c>
      <c r="M1073" s="2190"/>
      <c r="N1073" s="1719"/>
      <c r="O1073" s="2197" t="s">
        <v>3363</v>
      </c>
      <c r="P1073" s="2197"/>
      <c r="Q1073" s="2197"/>
      <c r="S1073" s="2044"/>
      <c r="T1073" s="2044"/>
      <c r="U1073" s="2044"/>
      <c r="V1073" s="2044"/>
      <c r="W1073" s="2044"/>
      <c r="X1073" s="1853"/>
      <c r="AC1073" s="1853"/>
      <c r="AH1073" s="1853"/>
      <c r="AM1073" s="1853"/>
      <c r="JW1073" s="2109"/>
      <c r="KB1073" s="2109"/>
      <c r="KG1073" s="2109"/>
      <c r="KL1073" s="2109"/>
      <c r="KM1073" s="2109"/>
      <c r="KN1073" s="2109"/>
      <c r="KO1073" s="2109"/>
      <c r="KP1073" s="2109"/>
      <c r="KQ1073" s="2109"/>
      <c r="KR1073" s="2109"/>
      <c r="KS1073" s="2109"/>
      <c r="KT1073" s="2109"/>
      <c r="KU1073" s="2109"/>
      <c r="KV1073" s="2109"/>
      <c r="KW1073" s="2109"/>
      <c r="KX1073" s="2109"/>
      <c r="KY1073" s="2109"/>
      <c r="KZ1073" s="2109"/>
      <c r="LA1073" s="2109"/>
      <c r="LB1073" s="2109"/>
      <c r="LC1073" s="2109"/>
      <c r="LD1073" s="2109"/>
      <c r="LE1073" s="2109"/>
      <c r="LF1073" s="2109"/>
      <c r="LG1073" s="2109"/>
      <c r="NP1073" s="2114"/>
    </row>
    <row r="1074" spans="1:380" s="1818" customFormat="1" ht="15" customHeight="1">
      <c r="D1074" s="2192"/>
      <c r="F1074" s="2153"/>
      <c r="G1074" s="2153"/>
      <c r="I1074" s="1818" t="s">
        <v>4121</v>
      </c>
      <c r="K1074" s="2011">
        <f>L1074/12/P907</f>
        <v>13.888888888888889</v>
      </c>
      <c r="L1074" s="2190">
        <f>'Part VI-Revenues &amp; Expenses'!L234</f>
        <v>12000</v>
      </c>
      <c r="M1074" s="2190"/>
      <c r="N1074" s="1719"/>
      <c r="O1074" s="2198" t="s">
        <v>2560</v>
      </c>
      <c r="P1074" s="2199" t="s">
        <v>3420</v>
      </c>
      <c r="Q1074" s="2199" t="s">
        <v>3173</v>
      </c>
      <c r="S1074" s="2044"/>
      <c r="T1074" s="2044"/>
      <c r="U1074" s="2044"/>
      <c r="V1074" s="2044"/>
      <c r="W1074" s="2044"/>
      <c r="JW1074" s="2109"/>
      <c r="KB1074" s="2109"/>
      <c r="KG1074" s="2109"/>
      <c r="KL1074" s="2109"/>
      <c r="KM1074" s="2109"/>
      <c r="KN1074" s="2109"/>
      <c r="KO1074" s="2109"/>
      <c r="KP1074" s="2109"/>
      <c r="KQ1074" s="2109"/>
      <c r="KR1074" s="2109"/>
      <c r="KS1074" s="2109"/>
      <c r="KT1074" s="2109"/>
      <c r="KU1074" s="2109"/>
      <c r="KV1074" s="2109"/>
      <c r="KW1074" s="2109"/>
      <c r="KX1074" s="2109"/>
      <c r="KY1074" s="2109"/>
      <c r="KZ1074" s="2109"/>
      <c r="LA1074" s="2109"/>
      <c r="LB1074" s="2109"/>
      <c r="LC1074" s="2109"/>
      <c r="LD1074" s="2109"/>
      <c r="LE1074" s="2109"/>
      <c r="LF1074" s="2109"/>
      <c r="LG1074" s="2109"/>
      <c r="NP1074" s="2114" t="s">
        <v>6691</v>
      </c>
    </row>
    <row r="1075" spans="1:380" s="1818" customFormat="1" ht="15.75" customHeight="1">
      <c r="B1075" s="1818" t="s">
        <v>1245</v>
      </c>
      <c r="D1075" s="2193"/>
      <c r="I1075" s="1818" t="s">
        <v>1322</v>
      </c>
      <c r="L1075" s="2190">
        <f>'Part VI-Revenues &amp; Expenses'!L235</f>
        <v>8000</v>
      </c>
      <c r="M1075" s="2190"/>
      <c r="N1075" s="1719"/>
      <c r="O1075" s="1968" t="s">
        <v>36</v>
      </c>
      <c r="R1075" s="2189"/>
      <c r="S1075" s="2044"/>
      <c r="T1075" s="2044"/>
      <c r="U1075" s="2044"/>
      <c r="V1075" s="2044"/>
      <c r="W1075" s="2044"/>
      <c r="X1075" s="1853"/>
      <c r="AC1075" s="1853"/>
      <c r="AH1075" s="1853"/>
      <c r="AM1075" s="1853"/>
      <c r="JW1075" s="2109"/>
      <c r="KB1075" s="2109"/>
      <c r="KG1075" s="2109"/>
      <c r="KL1075" s="2109"/>
      <c r="KM1075" s="2109"/>
      <c r="KN1075" s="2109"/>
      <c r="KO1075" s="2109"/>
      <c r="KP1075" s="2109"/>
      <c r="KQ1075" s="2109"/>
      <c r="KR1075" s="2109"/>
      <c r="KS1075" s="2109"/>
      <c r="KT1075" s="2109"/>
      <c r="KU1075" s="2109"/>
      <c r="KV1075" s="2109"/>
      <c r="KW1075" s="2109"/>
      <c r="KX1075" s="2109"/>
      <c r="KY1075" s="2109"/>
      <c r="KZ1075" s="2109"/>
      <c r="LA1075" s="2109"/>
      <c r="LB1075" s="2109"/>
      <c r="LC1075" s="2109"/>
      <c r="LD1075" s="2109"/>
      <c r="LE1075" s="2109"/>
      <c r="LF1075" s="2109"/>
      <c r="LG1075" s="2109"/>
      <c r="NP1075" s="2114"/>
    </row>
    <row r="1076" spans="1:380" s="1818" customFormat="1" ht="15.6" customHeight="1">
      <c r="B1076" s="1818" t="s">
        <v>1538</v>
      </c>
      <c r="D1076" s="2193"/>
      <c r="F1076" s="2190">
        <f>'Part VI-Revenues &amp; Expenses'!F236</f>
        <v>3000</v>
      </c>
      <c r="G1076" s="2190"/>
      <c r="I1076" s="2194" t="str">
        <f>'Part VI-Revenues &amp; Expenses'!I236</f>
        <v>Water Billing Service</v>
      </c>
      <c r="J1076" s="2194"/>
      <c r="K1076" s="2194"/>
      <c r="L1076" s="2190">
        <f>'Part VI-Revenues &amp; Expenses'!L236</f>
        <v>3600</v>
      </c>
      <c r="M1076" s="2190"/>
      <c r="N1076" s="1719"/>
      <c r="O1076" s="1865" t="s">
        <v>3171</v>
      </c>
      <c r="P1076" s="2200" t="str">
        <f>CONCATENATE(SUM(MF889:MJ889)," units x $",'DCA Underwriting Assumptions'!$Q$68," =")</f>
        <v>0 units x $350 =</v>
      </c>
      <c r="Q1076" s="2200">
        <f>SUM(MF889:MJ889)*'DCA Underwriting Assumptions'!$Q$68</f>
        <v>0</v>
      </c>
      <c r="R1076" s="2195"/>
      <c r="S1076" s="2044"/>
      <c r="T1076" s="2044"/>
      <c r="U1076" s="2044"/>
      <c r="V1076" s="2044"/>
      <c r="W1076" s="2044"/>
      <c r="X1076" s="1853"/>
      <c r="AC1076" s="1853"/>
      <c r="AH1076" s="1853"/>
      <c r="AM1076" s="1853"/>
      <c r="JW1076" s="2109"/>
      <c r="KB1076" s="2109"/>
      <c r="KG1076" s="2109"/>
      <c r="KL1076" s="2109"/>
      <c r="KM1076" s="2109"/>
      <c r="KN1076" s="2109"/>
      <c r="KO1076" s="2109"/>
      <c r="KP1076" s="2109"/>
      <c r="KQ1076" s="2109"/>
      <c r="KR1076" s="2109"/>
      <c r="KS1076" s="2109"/>
      <c r="KT1076" s="2109"/>
      <c r="KU1076" s="2109"/>
      <c r="KV1076" s="2109"/>
      <c r="KW1076" s="2109"/>
      <c r="KX1076" s="2109"/>
      <c r="KY1076" s="2109"/>
      <c r="KZ1076" s="2109"/>
      <c r="LA1076" s="2109"/>
      <c r="LB1076" s="2109"/>
      <c r="LC1076" s="2109"/>
      <c r="LD1076" s="2109"/>
      <c r="LE1076" s="2109"/>
      <c r="LF1076" s="2109"/>
      <c r="LG1076" s="2109"/>
      <c r="NP1076" s="2114"/>
    </row>
    <row r="1077" spans="1:380" s="1818" customFormat="1" ht="15.6" customHeight="1">
      <c r="B1077" s="1818" t="s">
        <v>1539</v>
      </c>
      <c r="D1077" s="2193"/>
      <c r="F1077" s="2190">
        <f>'Part VI-Revenues &amp; Expenses'!F237</f>
        <v>8800</v>
      </c>
      <c r="G1077" s="2190"/>
      <c r="K1077" s="2192" t="s">
        <v>183</v>
      </c>
      <c r="L1077" s="2175">
        <f>SUM(L1072:L1076)</f>
        <v>39100</v>
      </c>
      <c r="M1077" s="2175"/>
      <c r="N1077" s="1719"/>
      <c r="O1077" s="1865" t="s">
        <v>3170</v>
      </c>
      <c r="P1077" s="2200" t="str">
        <f>CONCATENATE(SUM(MK889:MO889)," units x $",'DCA Underwriting Assumptions'!$Q$69," =")</f>
        <v>72 units x $250 =</v>
      </c>
      <c r="Q1077" s="2200">
        <f>SUM(MK889:MO889)*'DCA Underwriting Assumptions'!$Q$69</f>
        <v>18000</v>
      </c>
      <c r="S1077" s="2044"/>
      <c r="T1077" s="2044"/>
      <c r="U1077" s="2044"/>
      <c r="V1077" s="2044"/>
      <c r="W1077" s="2044"/>
      <c r="X1077" s="1853"/>
      <c r="AC1077" s="1853"/>
      <c r="AH1077" s="1853"/>
      <c r="AM1077" s="1853"/>
      <c r="JW1077" s="2109"/>
      <c r="KB1077" s="2109"/>
      <c r="KG1077" s="2109"/>
      <c r="KL1077" s="2109"/>
      <c r="KM1077" s="2109"/>
      <c r="KN1077" s="2109"/>
      <c r="KO1077" s="2109"/>
      <c r="KP1077" s="2109"/>
      <c r="KQ1077" s="2109"/>
      <c r="KR1077" s="2109"/>
      <c r="KS1077" s="2109"/>
      <c r="KT1077" s="2109"/>
      <c r="KU1077" s="2109"/>
      <c r="KV1077" s="2109"/>
      <c r="KW1077" s="2109"/>
      <c r="KX1077" s="2109"/>
      <c r="KY1077" s="2109"/>
      <c r="KZ1077" s="2109"/>
      <c r="LA1077" s="2109"/>
      <c r="LB1077" s="2109"/>
      <c r="LC1077" s="2109"/>
      <c r="LD1077" s="2109"/>
      <c r="LE1077" s="2109"/>
      <c r="LF1077" s="2109"/>
      <c r="LG1077" s="2109"/>
      <c r="NP1077" s="2114"/>
    </row>
    <row r="1078" spans="1:380" s="1818" customFormat="1" ht="15.6" customHeight="1">
      <c r="B1078" s="1818" t="s">
        <v>1540</v>
      </c>
      <c r="D1078" s="2193"/>
      <c r="F1078" s="2190">
        <f>'Part VI-Revenues &amp; Expenses'!F238</f>
        <v>25000</v>
      </c>
      <c r="G1078" s="2190"/>
      <c r="N1078" s="1719"/>
      <c r="O1078" s="1865" t="s">
        <v>6834</v>
      </c>
      <c r="P1078" s="2200" t="str">
        <f>CONCATENATE(SUM(MP889:MT889)," units x $",'DCA Underwriting Assumptions'!$Q$70," =")</f>
        <v>0 units x $420 =</v>
      </c>
      <c r="Q1078" s="2200">
        <f>SUM(MP889:MT889)*'DCA Underwriting Assumptions'!$Q$70</f>
        <v>0</v>
      </c>
      <c r="R1078" s="2199"/>
      <c r="S1078" s="2044"/>
      <c r="T1078" s="2044"/>
      <c r="U1078" s="2044"/>
      <c r="V1078" s="2044"/>
      <c r="W1078" s="2044"/>
      <c r="X1078" s="1853"/>
      <c r="AC1078" s="1853"/>
      <c r="AH1078" s="1853"/>
      <c r="AM1078" s="1853"/>
      <c r="JW1078" s="2109"/>
      <c r="KB1078" s="2109"/>
      <c r="KG1078" s="2109"/>
      <c r="KL1078" s="2109"/>
      <c r="KM1078" s="2109"/>
      <c r="KN1078" s="2109"/>
      <c r="KO1078" s="2109"/>
      <c r="KP1078" s="2109"/>
      <c r="KQ1078" s="2109"/>
      <c r="KR1078" s="2109"/>
      <c r="KS1078" s="2109"/>
      <c r="KT1078" s="2109"/>
      <c r="KU1078" s="2109"/>
      <c r="KV1078" s="2109"/>
      <c r="KW1078" s="2109"/>
      <c r="KX1078" s="2109"/>
      <c r="KY1078" s="2109"/>
      <c r="KZ1078" s="2109"/>
      <c r="LA1078" s="2109"/>
      <c r="LB1078" s="2109"/>
      <c r="LC1078" s="2109"/>
      <c r="LD1078" s="2109"/>
      <c r="LE1078" s="2109"/>
      <c r="LF1078" s="2109"/>
      <c r="LG1078" s="2109"/>
      <c r="NP1078" s="2114"/>
    </row>
    <row r="1079" spans="1:380" s="1818" customFormat="1" ht="15.6" customHeight="1">
      <c r="B1079" s="1818" t="s">
        <v>964</v>
      </c>
      <c r="D1079" s="2193"/>
      <c r="F1079" s="2190">
        <f>'Part VI-Revenues &amp; Expenses'!F239</f>
        <v>4200</v>
      </c>
      <c r="G1079" s="2190"/>
      <c r="O1079" s="1865" t="s">
        <v>3169</v>
      </c>
      <c r="P1079" s="2200" t="str">
        <f>CONCATENATE(P965," units x $",'DCA Underwriting Assumptions'!$Q$70," =")</f>
        <v>0 units x $420 =</v>
      </c>
      <c r="Q1079" s="2200">
        <f>P965*'DCA Underwriting Assumptions'!$Q$70</f>
        <v>0</v>
      </c>
      <c r="S1079" s="2044"/>
      <c r="T1079" s="2044"/>
      <c r="U1079" s="2044"/>
      <c r="V1079" s="2044"/>
      <c r="W1079" s="2044"/>
      <c r="X1079" s="1853"/>
      <c r="AC1079" s="1853"/>
      <c r="AH1079" s="1853"/>
      <c r="AM1079" s="1853"/>
      <c r="JW1079" s="2109"/>
      <c r="KB1079" s="2109"/>
      <c r="KG1079" s="2109"/>
      <c r="KL1079" s="2109"/>
      <c r="KM1079" s="2109"/>
      <c r="KN1079" s="2109"/>
      <c r="KO1079" s="2109"/>
      <c r="KP1079" s="2109"/>
      <c r="KQ1079" s="2109"/>
      <c r="KR1079" s="2109"/>
      <c r="KS1079" s="2109"/>
      <c r="KT1079" s="2109"/>
      <c r="KU1079" s="2109"/>
      <c r="KV1079" s="2109"/>
      <c r="KW1079" s="2109"/>
      <c r="KX1079" s="2109"/>
      <c r="KY1079" s="2109"/>
      <c r="KZ1079" s="2109"/>
      <c r="LA1079" s="2109"/>
      <c r="LB1079" s="2109"/>
      <c r="LC1079" s="2109"/>
      <c r="LD1079" s="2109"/>
      <c r="LE1079" s="2109"/>
      <c r="LF1079" s="2109"/>
      <c r="LG1079" s="2109"/>
      <c r="NP1079" s="2114" t="s">
        <v>6759</v>
      </c>
    </row>
    <row r="1080" spans="1:380" s="1818" customFormat="1" ht="15.6" customHeight="1">
      <c r="B1080" s="1818" t="s">
        <v>965</v>
      </c>
      <c r="D1080" s="2193"/>
      <c r="F1080" s="2190">
        <f>'Part VI-Revenues &amp; Expenses'!F240</f>
        <v>6000</v>
      </c>
      <c r="G1080" s="2190"/>
      <c r="I1080" s="1818" t="s">
        <v>1327</v>
      </c>
      <c r="O1080" s="2142" t="s">
        <v>2563</v>
      </c>
      <c r="P1080" s="2201">
        <f>SUM(MF889:MJ889)+SUM(MK889:MO889)+SUM(MP889:MT889)+P965</f>
        <v>72</v>
      </c>
      <c r="Q1080" s="2201">
        <f>SUM(Q1076:Q1079)</f>
        <v>18000</v>
      </c>
      <c r="R1080" s="2200"/>
      <c r="S1080" s="2044"/>
      <c r="T1080" s="2044"/>
      <c r="U1080" s="2044"/>
      <c r="V1080" s="2044"/>
      <c r="W1080" s="2044"/>
      <c r="X1080" s="1853"/>
      <c r="AC1080" s="1853"/>
      <c r="AH1080" s="1853"/>
      <c r="AM1080" s="1853"/>
      <c r="JW1080" s="2109"/>
      <c r="KB1080" s="2109"/>
      <c r="KG1080" s="2109"/>
      <c r="KL1080" s="2109"/>
      <c r="KM1080" s="2109"/>
      <c r="KN1080" s="2109"/>
      <c r="KO1080" s="2109"/>
      <c r="KP1080" s="2109"/>
      <c r="KQ1080" s="2109"/>
      <c r="KR1080" s="2109"/>
      <c r="KS1080" s="2109"/>
      <c r="KT1080" s="2109"/>
      <c r="KU1080" s="2109"/>
      <c r="KV1080" s="2109"/>
      <c r="KW1080" s="2109"/>
      <c r="KX1080" s="2109"/>
      <c r="KY1080" s="2109"/>
      <c r="KZ1080" s="2109"/>
      <c r="LA1080" s="2109"/>
      <c r="LB1080" s="2109"/>
      <c r="LC1080" s="2109"/>
      <c r="LD1080" s="2109"/>
      <c r="LE1080" s="2109"/>
      <c r="LF1080" s="2109"/>
      <c r="LG1080" s="2109"/>
      <c r="NP1080" s="2114"/>
    </row>
    <row r="1081" spans="1:380" s="1818" customFormat="1" ht="15.6" customHeight="1">
      <c r="B1081" s="1818" t="s">
        <v>966</v>
      </c>
      <c r="D1081" s="2193"/>
      <c r="F1081" s="2190">
        <f>'Part VI-Revenues &amp; Expenses'!F241</f>
        <v>0</v>
      </c>
      <c r="G1081" s="2190"/>
      <c r="I1081" s="1818" t="s">
        <v>7152</v>
      </c>
      <c r="L1081" s="2190">
        <f>'Part VI-Revenues &amp; Expenses'!L241</f>
        <v>49000</v>
      </c>
      <c r="M1081" s="2190"/>
      <c r="R1081" s="2200"/>
      <c r="S1081" s="2044"/>
      <c r="T1081" s="2044"/>
      <c r="U1081" s="2044"/>
      <c r="V1081" s="2044"/>
      <c r="W1081" s="2044"/>
      <c r="X1081" s="1853"/>
      <c r="AC1081" s="1853"/>
      <c r="AH1081" s="1853"/>
      <c r="AM1081" s="1853"/>
      <c r="JW1081" s="2109"/>
      <c r="KB1081" s="2109"/>
      <c r="KG1081" s="2109"/>
      <c r="KL1081" s="2109"/>
      <c r="KM1081" s="2109"/>
      <c r="KN1081" s="2109"/>
      <c r="KO1081" s="2109"/>
      <c r="KP1081" s="2109"/>
      <c r="KQ1081" s="2109"/>
      <c r="KR1081" s="2109"/>
      <c r="KS1081" s="2109"/>
      <c r="KT1081" s="2109"/>
      <c r="KU1081" s="2109"/>
      <c r="KV1081" s="2109"/>
      <c r="KW1081" s="2109"/>
      <c r="KX1081" s="2109"/>
      <c r="KY1081" s="2109"/>
      <c r="KZ1081" s="2109"/>
      <c r="LA1081" s="2109"/>
      <c r="LB1081" s="2109"/>
      <c r="LC1081" s="2109"/>
      <c r="LD1081" s="2109"/>
      <c r="LE1081" s="2109"/>
      <c r="LF1081" s="2109"/>
      <c r="LG1081" s="2109"/>
      <c r="NP1081" s="2114"/>
    </row>
    <row r="1082" spans="1:380" s="1818" customFormat="1" ht="15.6" customHeight="1">
      <c r="B1082" s="1818" t="s">
        <v>835</v>
      </c>
      <c r="D1082" s="2193"/>
      <c r="F1082" s="2190">
        <f>'Part VI-Revenues &amp; Expenses'!F242</f>
        <v>600</v>
      </c>
      <c r="G1082" s="2190"/>
      <c r="I1082" s="1818" t="s">
        <v>139</v>
      </c>
      <c r="L1082" s="2190">
        <f>'Part VI-Revenues &amp; Expenses'!L242</f>
        <v>51702</v>
      </c>
      <c r="M1082" s="2190"/>
      <c r="R1082" s="2200"/>
      <c r="S1082" s="2044"/>
      <c r="T1082" s="2044"/>
      <c r="U1082" s="2044"/>
      <c r="V1082" s="2044"/>
      <c r="W1082" s="2044"/>
      <c r="X1082" s="1853"/>
      <c r="AC1082" s="1853"/>
      <c r="AH1082" s="1853"/>
      <c r="AM1082" s="1853"/>
      <c r="JW1082" s="2109"/>
      <c r="KB1082" s="2109"/>
      <c r="KG1082" s="2109"/>
      <c r="KL1082" s="2109"/>
      <c r="KM1082" s="2109"/>
      <c r="KN1082" s="2109"/>
      <c r="KO1082" s="2109"/>
      <c r="KP1082" s="2109"/>
      <c r="KQ1082" s="2109"/>
      <c r="KR1082" s="2109"/>
      <c r="KS1082" s="2109"/>
      <c r="KT1082" s="2109"/>
      <c r="KU1082" s="2109"/>
      <c r="KV1082" s="2109"/>
      <c r="KW1082" s="2109"/>
      <c r="KX1082" s="2109"/>
      <c r="KY1082" s="2109"/>
      <c r="KZ1082" s="2109"/>
      <c r="LA1082" s="2109"/>
      <c r="LB1082" s="2109"/>
      <c r="LC1082" s="2109"/>
      <c r="LD1082" s="2109"/>
      <c r="LE1082" s="2109"/>
      <c r="LF1082" s="2109"/>
      <c r="LG1082" s="2109"/>
      <c r="NP1082" s="2114"/>
    </row>
    <row r="1083" spans="1:380" s="1818" customFormat="1" ht="15.6" customHeight="1">
      <c r="B1083" s="2112" t="str">
        <f>'Part VI-Revenues &amp; Expenses'!B243</f>
        <v>Other (describe here)</v>
      </c>
      <c r="C1083" s="2112"/>
      <c r="D1083" s="2112"/>
      <c r="E1083" s="2112"/>
      <c r="F1083" s="2190">
        <f>'Part VI-Revenues &amp; Expenses'!F243</f>
        <v>0</v>
      </c>
      <c r="G1083" s="2190"/>
      <c r="I1083" s="2194" t="str">
        <f>'Part VI-Revenues &amp; Expenses'!I243</f>
        <v>Other (describe here)</v>
      </c>
      <c r="J1083" s="2194"/>
      <c r="K1083" s="2194"/>
      <c r="L1083" s="2190">
        <f>'Part VI-Revenues &amp; Expenses'!L243</f>
        <v>0</v>
      </c>
      <c r="M1083" s="2190"/>
      <c r="R1083" s="2200"/>
      <c r="S1083" s="2044"/>
      <c r="T1083" s="2044"/>
      <c r="U1083" s="2044"/>
      <c r="V1083" s="2044"/>
      <c r="W1083" s="2044"/>
      <c r="X1083" s="1853"/>
      <c r="AC1083" s="1853"/>
      <c r="AH1083" s="1853"/>
      <c r="AM1083" s="1853"/>
      <c r="JW1083" s="2109"/>
      <c r="KB1083" s="2109"/>
      <c r="KG1083" s="2109"/>
      <c r="KL1083" s="2109"/>
      <c r="KM1083" s="2109"/>
      <c r="KN1083" s="2109"/>
      <c r="KO1083" s="2109"/>
      <c r="KP1083" s="2109"/>
      <c r="KQ1083" s="2109"/>
      <c r="KR1083" s="2109"/>
      <c r="KS1083" s="2109"/>
      <c r="KT1083" s="2109"/>
      <c r="KU1083" s="2109"/>
      <c r="KV1083" s="2109"/>
      <c r="KW1083" s="2109"/>
      <c r="KX1083" s="2109"/>
      <c r="KY1083" s="2109"/>
      <c r="KZ1083" s="2109"/>
      <c r="LA1083" s="2109"/>
      <c r="LB1083" s="2109"/>
      <c r="LC1083" s="2109"/>
      <c r="LD1083" s="2109"/>
      <c r="LE1083" s="2109"/>
      <c r="LF1083" s="2109"/>
      <c r="LG1083" s="2109"/>
      <c r="NP1083" s="2114" t="s">
        <v>6760</v>
      </c>
    </row>
    <row r="1084" spans="1:380" s="1818" customFormat="1" ht="15.6" customHeight="1">
      <c r="E1084" s="2192" t="s">
        <v>183</v>
      </c>
      <c r="F1084" s="2172">
        <f>SUM(F1076:G1083)</f>
        <v>47600</v>
      </c>
      <c r="G1084" s="2172"/>
      <c r="K1084" s="2192" t="s">
        <v>183</v>
      </c>
      <c r="L1084" s="2175">
        <f>SUM(L1080:L1083)</f>
        <v>100702</v>
      </c>
      <c r="M1084" s="2175"/>
      <c r="O1084" s="1818" t="s">
        <v>2091</v>
      </c>
      <c r="Q1084" s="2175">
        <f>Q1065+Q1071</f>
        <v>410402</v>
      </c>
      <c r="R1084" s="2200"/>
      <c r="S1084" s="2044"/>
      <c r="T1084" s="2044"/>
      <c r="U1084" s="2044"/>
      <c r="V1084" s="2044"/>
      <c r="W1084" s="2044"/>
      <c r="X1084" s="1853"/>
      <c r="AC1084" s="1853"/>
      <c r="AH1084" s="1853"/>
      <c r="AM1084" s="1853"/>
      <c r="JW1084" s="2109"/>
      <c r="KB1084" s="2109"/>
      <c r="KG1084" s="2109"/>
      <c r="KL1084" s="2109"/>
      <c r="KM1084" s="2109"/>
      <c r="KN1084" s="2109"/>
      <c r="KO1084" s="2109"/>
      <c r="KP1084" s="2109"/>
      <c r="KQ1084" s="2109"/>
      <c r="KR1084" s="2109"/>
      <c r="KS1084" s="2109"/>
      <c r="KT1084" s="2109"/>
      <c r="KU1084" s="2109"/>
      <c r="KV1084" s="2109"/>
      <c r="KW1084" s="2109"/>
      <c r="KX1084" s="2109"/>
      <c r="KY1084" s="2109"/>
      <c r="KZ1084" s="2109"/>
      <c r="LA1084" s="2109"/>
      <c r="LB1084" s="2109"/>
      <c r="LC1084" s="2109"/>
      <c r="LD1084" s="2109"/>
      <c r="LE1084" s="2109"/>
      <c r="LF1084" s="2109"/>
      <c r="LG1084" s="2109"/>
      <c r="NP1084" s="2114"/>
    </row>
    <row r="1085" spans="1:380" s="1818" customFormat="1" ht="6" customHeight="1">
      <c r="C1085" s="2192"/>
      <c r="F1085" s="2153"/>
      <c r="G1085" s="2153"/>
      <c r="K1085" s="2153"/>
      <c r="X1085" s="1853"/>
      <c r="AC1085" s="1853"/>
      <c r="AH1085" s="1853"/>
      <c r="AM1085" s="1853"/>
      <c r="JW1085" s="2109"/>
      <c r="KB1085" s="2109"/>
      <c r="KG1085" s="2109"/>
      <c r="KL1085" s="2109"/>
      <c r="KM1085" s="2109"/>
      <c r="KN1085" s="2109"/>
      <c r="KO1085" s="2109"/>
      <c r="KP1085" s="2109"/>
      <c r="KQ1085" s="2109"/>
      <c r="KR1085" s="2109"/>
      <c r="KS1085" s="2109"/>
      <c r="KT1085" s="2109"/>
      <c r="KU1085" s="2109"/>
      <c r="KV1085" s="2109"/>
      <c r="KW1085" s="2109"/>
      <c r="KX1085" s="2109"/>
      <c r="KY1085" s="2109"/>
      <c r="KZ1085" s="2109"/>
      <c r="LA1085" s="2109"/>
      <c r="LB1085" s="2109"/>
      <c r="LC1085" s="2109"/>
      <c r="LD1085" s="2109"/>
      <c r="LE1085" s="2109"/>
      <c r="LF1085" s="2109"/>
      <c r="LG1085" s="2109"/>
      <c r="NP1085" s="2114"/>
    </row>
    <row r="1086" spans="1:380" s="1818" customFormat="1" ht="15.6" customHeight="1">
      <c r="C1086" s="2192"/>
      <c r="F1086" s="2153"/>
      <c r="G1086" s="2153"/>
      <c r="K1086" s="2153"/>
      <c r="R1086" s="2175"/>
      <c r="X1086" s="1853"/>
      <c r="AC1086" s="1853"/>
      <c r="AH1086" s="1853"/>
      <c r="AM1086" s="1853"/>
      <c r="JW1086" s="2109"/>
      <c r="KB1086" s="2109"/>
      <c r="KG1086" s="2109"/>
      <c r="KL1086" s="2109"/>
      <c r="KM1086" s="2109"/>
      <c r="KN1086" s="2109"/>
      <c r="KO1086" s="2109"/>
      <c r="KP1086" s="2109"/>
      <c r="KQ1086" s="2109"/>
      <c r="KR1086" s="2109"/>
      <c r="KS1086" s="2109"/>
      <c r="KT1086" s="2109"/>
      <c r="KU1086" s="2109"/>
      <c r="KV1086" s="2109"/>
      <c r="KW1086" s="2109"/>
      <c r="KX1086" s="2109"/>
      <c r="KY1086" s="2109"/>
      <c r="KZ1086" s="2109"/>
      <c r="LA1086" s="2109"/>
      <c r="LB1086" s="2109"/>
      <c r="LC1086" s="2109"/>
      <c r="LD1086" s="2109"/>
      <c r="LE1086" s="2109"/>
      <c r="LF1086" s="2109"/>
      <c r="LG1086" s="2109"/>
      <c r="NP1086" s="2114"/>
    </row>
    <row r="1087" spans="1:380" s="1818" customFormat="1" ht="15" customHeight="1">
      <c r="C1087" s="2192"/>
      <c r="F1087" s="2153"/>
      <c r="G1087" s="2153"/>
      <c r="K1087" s="2153"/>
      <c r="Q1087" s="2175"/>
      <c r="R1087" s="2175"/>
      <c r="X1087" s="1853"/>
      <c r="AC1087" s="1853"/>
      <c r="AH1087" s="1853"/>
      <c r="AM1087" s="1853"/>
      <c r="JW1087" s="2109"/>
      <c r="KB1087" s="2109"/>
      <c r="KG1087" s="2109"/>
      <c r="KL1087" s="2109"/>
      <c r="KM1087" s="2109"/>
      <c r="KN1087" s="2109"/>
      <c r="KO1087" s="2109"/>
      <c r="KP1087" s="2109"/>
      <c r="KQ1087" s="2109"/>
      <c r="KR1087" s="2109"/>
      <c r="KS1087" s="2109"/>
      <c r="KT1087" s="2109"/>
      <c r="KU1087" s="2109"/>
      <c r="KV1087" s="2109"/>
      <c r="KW1087" s="2109"/>
      <c r="KX1087" s="2109"/>
      <c r="KY1087" s="2109"/>
      <c r="KZ1087" s="2109"/>
      <c r="LA1087" s="2109"/>
      <c r="LB1087" s="2109"/>
      <c r="LC1087" s="2109"/>
      <c r="LD1087" s="2109"/>
      <c r="LE1087" s="2109"/>
      <c r="LF1087" s="2109"/>
      <c r="LG1087" s="2109"/>
      <c r="NP1087" s="2114"/>
    </row>
    <row r="1088" spans="1:380" s="1818" customFormat="1" ht="15" customHeight="1">
      <c r="A1088" s="1853" t="s">
        <v>1713</v>
      </c>
      <c r="B1088" s="1818" t="s">
        <v>4053</v>
      </c>
      <c r="C1088" s="2192"/>
      <c r="H1088" s="2153"/>
      <c r="I1088" s="2202" t="s">
        <v>4054</v>
      </c>
      <c r="K1088" s="2183">
        <f>'Part VI-Revenues &amp; Expenses'!K248</f>
        <v>10</v>
      </c>
      <c r="L1088" s="2183"/>
      <c r="M1088" s="2106" t="s">
        <v>4091</v>
      </c>
      <c r="N1088" s="2123">
        <f>'Part VI-Revenues &amp; Expenses'!N248</f>
        <v>99</v>
      </c>
      <c r="O1088" s="1818" t="s">
        <v>4056</v>
      </c>
      <c r="Q1088" s="2123">
        <f>K1088*N1088</f>
        <v>990</v>
      </c>
      <c r="R1088" s="2175"/>
      <c r="S1088" s="2044"/>
      <c r="T1088" s="2044"/>
      <c r="U1088" s="2044"/>
      <c r="V1088" s="2044"/>
      <c r="W1088" s="2044"/>
      <c r="X1088" s="1853"/>
      <c r="AC1088" s="1853"/>
      <c r="AH1088" s="1853"/>
      <c r="AM1088" s="1853"/>
      <c r="JW1088" s="2109"/>
      <c r="KB1088" s="2109"/>
      <c r="KG1088" s="2109"/>
      <c r="KL1088" s="2109"/>
      <c r="KM1088" s="2109"/>
      <c r="KN1088" s="2109"/>
      <c r="KO1088" s="2109"/>
      <c r="KP1088" s="2109"/>
      <c r="KQ1088" s="2109"/>
      <c r="KR1088" s="2109"/>
      <c r="KS1088" s="2109"/>
      <c r="KT1088" s="2109"/>
      <c r="KU1088" s="2109"/>
      <c r="KV1088" s="2109"/>
      <c r="KW1088" s="2109"/>
      <c r="KX1088" s="2109"/>
      <c r="KY1088" s="2109"/>
      <c r="KZ1088" s="2109"/>
      <c r="LA1088" s="2109"/>
      <c r="LB1088" s="2109"/>
      <c r="LC1088" s="2109"/>
      <c r="LD1088" s="2109"/>
      <c r="LE1088" s="2109"/>
      <c r="LF1088" s="2109"/>
      <c r="LG1088" s="2109"/>
      <c r="NP1088" s="2114"/>
    </row>
    <row r="1089" spans="1:380" s="1818" customFormat="1" ht="6" customHeight="1">
      <c r="C1089" s="2192"/>
      <c r="F1089" s="2153"/>
      <c r="G1089" s="2153"/>
      <c r="K1089" s="2153"/>
      <c r="Q1089" s="2175"/>
      <c r="R1089" s="2175"/>
      <c r="X1089" s="1853"/>
      <c r="AC1089" s="1853"/>
      <c r="AH1089" s="1853"/>
      <c r="AM1089" s="1853"/>
      <c r="JW1089" s="2109"/>
      <c r="KB1089" s="2109"/>
      <c r="KG1089" s="2109"/>
      <c r="KL1089" s="2109"/>
      <c r="KM1089" s="2109"/>
      <c r="KN1089" s="2109"/>
      <c r="KO1089" s="2109"/>
      <c r="KP1089" s="2109"/>
      <c r="KQ1089" s="2109"/>
      <c r="KR1089" s="2109"/>
      <c r="KS1089" s="2109"/>
      <c r="KT1089" s="2109"/>
      <c r="KU1089" s="2109"/>
      <c r="KV1089" s="2109"/>
      <c r="KW1089" s="2109"/>
      <c r="KX1089" s="2109"/>
      <c r="KY1089" s="2109"/>
      <c r="KZ1089" s="2109"/>
      <c r="LA1089" s="2109"/>
      <c r="LB1089" s="2109"/>
      <c r="LC1089" s="2109"/>
      <c r="LD1089" s="2109"/>
      <c r="LE1089" s="2109"/>
      <c r="LF1089" s="2109"/>
      <c r="LG1089" s="2109"/>
      <c r="NP1089" s="2114"/>
    </row>
    <row r="1090" spans="1:380" s="1818" customFormat="1" ht="15" customHeight="1">
      <c r="B1090" s="1818" t="s">
        <v>4092</v>
      </c>
      <c r="C1090" s="2192"/>
      <c r="F1090" s="2153"/>
      <c r="G1090" s="2153"/>
      <c r="J1090" s="2111" t="str">
        <f>'Part VI-Revenues &amp; Expenses'!J250</f>
        <v>No</v>
      </c>
      <c r="K1090" s="2202" t="s">
        <v>4094</v>
      </c>
      <c r="L1090" s="2111" t="str">
        <f>'Part VI-Revenues &amp; Expenses'!L250</f>
        <v>&lt;&lt;Select&gt;&gt;</v>
      </c>
      <c r="M1090" s="2109" t="s">
        <v>4095</v>
      </c>
      <c r="N1090" s="2123">
        <f>'Part VI-Revenues &amp; Expenses'!N250</f>
        <v>0</v>
      </c>
      <c r="O1090" s="1818" t="s">
        <v>4093</v>
      </c>
      <c r="Q1090" s="2123">
        <f>'Part VI-Revenues &amp; Expenses'!Q250</f>
        <v>0</v>
      </c>
      <c r="R1090" s="2175"/>
      <c r="S1090" s="2044"/>
      <c r="T1090" s="2044"/>
      <c r="U1090" s="2044"/>
      <c r="V1090" s="2044"/>
      <c r="W1090" s="2044"/>
      <c r="X1090" s="1853"/>
      <c r="AC1090" s="1853"/>
      <c r="AH1090" s="1853"/>
      <c r="AM1090" s="1853"/>
      <c r="JW1090" s="2109"/>
      <c r="KB1090" s="2109"/>
      <c r="KG1090" s="2109"/>
      <c r="KL1090" s="2109"/>
      <c r="KM1090" s="2109"/>
      <c r="KN1090" s="2109"/>
      <c r="KO1090" s="2109"/>
      <c r="KP1090" s="2109"/>
      <c r="KQ1090" s="2109"/>
      <c r="KR1090" s="2109"/>
      <c r="KS1090" s="2109"/>
      <c r="KT1090" s="2109"/>
      <c r="KU1090" s="2109"/>
      <c r="KV1090" s="2109"/>
      <c r="KW1090" s="2109"/>
      <c r="KX1090" s="2109"/>
      <c r="KY1090" s="2109"/>
      <c r="KZ1090" s="2109"/>
      <c r="LA1090" s="2109"/>
      <c r="LB1090" s="2109"/>
      <c r="LC1090" s="2109"/>
      <c r="LD1090" s="2109"/>
      <c r="LE1090" s="2109"/>
      <c r="LF1090" s="2109"/>
      <c r="LG1090" s="2109"/>
      <c r="NP1090" s="2114" t="s">
        <v>6761</v>
      </c>
    </row>
    <row r="1091" spans="1:380" s="1818" customFormat="1" ht="39" customHeight="1">
      <c r="C1091" s="2192"/>
      <c r="F1091" s="2153"/>
      <c r="G1091" s="2153"/>
      <c r="K1091" s="2153"/>
      <c r="Q1091" s="2175"/>
      <c r="R1091" s="2175"/>
      <c r="X1091" s="1853"/>
      <c r="AC1091" s="1853"/>
      <c r="AH1091" s="1853"/>
      <c r="AM1091" s="1853"/>
      <c r="JW1091" s="2109"/>
      <c r="KB1091" s="2109"/>
      <c r="KG1091" s="2109"/>
      <c r="KL1091" s="2109"/>
      <c r="KM1091" s="2109"/>
      <c r="KN1091" s="2109"/>
      <c r="KO1091" s="2109"/>
      <c r="KP1091" s="2109"/>
      <c r="KQ1091" s="2109"/>
      <c r="KR1091" s="2109"/>
      <c r="KS1091" s="2109"/>
      <c r="KT1091" s="2109"/>
      <c r="KU1091" s="2109"/>
      <c r="KV1091" s="2109"/>
      <c r="KW1091" s="2109"/>
      <c r="KX1091" s="2109"/>
      <c r="KY1091" s="2109"/>
      <c r="KZ1091" s="2109"/>
      <c r="LA1091" s="2109"/>
      <c r="LB1091" s="2109"/>
      <c r="LC1091" s="2109"/>
      <c r="LD1091" s="2109"/>
      <c r="LE1091" s="2109"/>
      <c r="LF1091" s="2109"/>
      <c r="LG1091" s="2109"/>
      <c r="NP1091" s="2114"/>
    </row>
    <row r="1092" spans="1:380" s="1853" customFormat="1" ht="12" customHeight="1">
      <c r="A1092" s="1853" t="s">
        <v>3524</v>
      </c>
      <c r="B1092" s="1853" t="s">
        <v>543</v>
      </c>
      <c r="N1092" s="1853" t="s">
        <v>4052</v>
      </c>
      <c r="JW1092" s="2052"/>
      <c r="KB1092" s="2052"/>
      <c r="KG1092" s="2052"/>
      <c r="KL1092" s="2052"/>
      <c r="KM1092" s="2052"/>
      <c r="KN1092" s="2052"/>
      <c r="KO1092" s="2052"/>
      <c r="KP1092" s="2052"/>
      <c r="KQ1092" s="2052"/>
      <c r="KR1092" s="2052"/>
      <c r="KS1092" s="2052"/>
      <c r="KT1092" s="2052"/>
      <c r="KU1092" s="2052"/>
      <c r="KV1092" s="2052"/>
      <c r="KW1092" s="2052"/>
      <c r="KX1092" s="2052"/>
      <c r="KY1092" s="2052"/>
      <c r="KZ1092" s="2052"/>
      <c r="LA1092" s="2052"/>
      <c r="LB1092" s="2052"/>
      <c r="LC1092" s="2052"/>
      <c r="LD1092" s="2052"/>
      <c r="LE1092" s="2052"/>
      <c r="LF1092" s="2052"/>
      <c r="LG1092" s="2052"/>
      <c r="NP1092" s="2114"/>
    </row>
    <row r="1093" spans="1:380" s="1853" customFormat="1" ht="408.75" customHeight="1">
      <c r="A1093" s="1957" t="str">
        <f>'Part VI-Revenues &amp; Expenses'!A253</f>
        <v>Estimated property tax is based upon applicants review of actual local millage rates and an estimate of the value of the property upon completion.
Insurance estimate is based upon an insurance quote from the applicant's insurance provider.</v>
      </c>
      <c r="B1093" s="1957"/>
      <c r="C1093" s="1957"/>
      <c r="D1093" s="1957"/>
      <c r="E1093" s="1957"/>
      <c r="F1093" s="1957"/>
      <c r="G1093" s="1957"/>
      <c r="H1093" s="1957"/>
      <c r="I1093" s="1957"/>
      <c r="J1093" s="1957"/>
      <c r="K1093" s="1957"/>
      <c r="L1093" s="1957"/>
      <c r="M1093" s="1957"/>
      <c r="N1093" s="1957"/>
      <c r="O1093" s="1957"/>
      <c r="P1093" s="1957"/>
      <c r="Q1093" s="1957"/>
      <c r="R1093" s="1856" t="s">
        <v>3523</v>
      </c>
      <c r="S1093" s="1856"/>
      <c r="T1093" s="1856"/>
      <c r="U1093" s="1856"/>
      <c r="JW1093" s="2052"/>
      <c r="KB1093" s="2052"/>
      <c r="KG1093" s="2052"/>
      <c r="KL1093" s="2052"/>
      <c r="KM1093" s="2052"/>
      <c r="KN1093" s="2052"/>
      <c r="KO1093" s="2052"/>
      <c r="KP1093" s="2052"/>
      <c r="KQ1093" s="2052"/>
      <c r="KR1093" s="2052"/>
      <c r="KS1093" s="2052"/>
      <c r="KT1093" s="2052"/>
      <c r="KU1093" s="2052"/>
      <c r="KV1093" s="2052"/>
      <c r="KW1093" s="2052"/>
      <c r="KX1093" s="2052"/>
      <c r="KY1093" s="2052"/>
      <c r="KZ1093" s="2052"/>
      <c r="LA1093" s="2052"/>
      <c r="LB1093" s="2052"/>
      <c r="LC1093" s="2052"/>
      <c r="LD1093" s="2052"/>
      <c r="LE1093" s="2052"/>
      <c r="LF1093" s="2052"/>
      <c r="LG1093" s="2052"/>
      <c r="NP1093" s="2114"/>
    </row>
    <row r="1098" spans="1:380" s="1853" customFormat="1" ht="14.1" customHeight="1">
      <c r="A1098" s="1818" t="str">
        <f>CONCATENATE("PART SEVEN - OPERATING PRO FORMA","  -  ",'Part I-Project Information'!$O$7," ",'Part I-Project Information'!$F$35,", ",'Part I-Project Information'!F1085,", ",'Part I-Project Information'!J1086," County")</f>
        <v>PART SEVEN - OPERATING PRO FORMA  -  2021-067 West Point Village Phase II, ,  County</v>
      </c>
      <c r="B1098" s="1925"/>
      <c r="C1098" s="1925"/>
      <c r="D1098" s="1925"/>
      <c r="E1098" s="1925"/>
      <c r="F1098" s="1925"/>
      <c r="G1098" s="1925"/>
      <c r="H1098" s="1925"/>
      <c r="I1098" s="1925"/>
      <c r="J1098" s="1925"/>
      <c r="K1098" s="1925"/>
      <c r="L1098" s="1818"/>
      <c r="M1098" s="1818"/>
      <c r="N1098" s="1818" t="str">
        <f>A1098</f>
        <v>PART SEVEN - OPERATING PRO FORMA  -  2021-067 West Point Village Phase II, ,  County</v>
      </c>
      <c r="O1098" s="1818"/>
      <c r="P1098" s="1818"/>
      <c r="Z1098" s="1925"/>
      <c r="AA1098" s="2052">
        <v>2</v>
      </c>
    </row>
    <row r="1099" spans="1:380" s="1853" customFormat="1" ht="13.5" customHeight="1">
      <c r="N1099" s="1853" t="s">
        <v>1759</v>
      </c>
      <c r="Z1099" s="1925"/>
      <c r="AA1099" s="2052">
        <v>3</v>
      </c>
    </row>
    <row r="1100" spans="1:380" s="1853" customFormat="1" ht="13.5" customHeight="1">
      <c r="A1100" s="1853" t="s">
        <v>85</v>
      </c>
      <c r="C1100" s="2203" t="str">
        <f>'Part I-Project Information'!$B$7</f>
        <v>2021 Core App
May 10 Rev</v>
      </c>
      <c r="D1100" s="1853" t="s">
        <v>75</v>
      </c>
      <c r="E1100" s="2109"/>
      <c r="F1100" s="1860" t="s">
        <v>7079</v>
      </c>
      <c r="N1100" s="1853" t="str">
        <f>A1100</f>
        <v>I.  OPERATING ASSUMPTIONS</v>
      </c>
      <c r="Z1100" s="1925"/>
      <c r="AA1100" s="2052">
        <v>4</v>
      </c>
    </row>
    <row r="1101" spans="1:380" s="1853" customFormat="1" ht="2.4500000000000002" customHeight="1">
      <c r="C1101" s="2203"/>
      <c r="Z1101" s="1925"/>
      <c r="AA1101" s="2052">
        <v>5</v>
      </c>
    </row>
    <row r="1102" spans="1:380" s="1853" customFormat="1" ht="13.5" customHeight="1">
      <c r="A1102" s="1853" t="s">
        <v>2092</v>
      </c>
      <c r="B1102" s="2204">
        <v>0.02</v>
      </c>
      <c r="C1102" s="2203"/>
      <c r="D1102" s="2159" t="s">
        <v>7153</v>
      </c>
      <c r="E1102" s="2159"/>
      <c r="F1102" s="2159"/>
      <c r="G1102" s="2205">
        <f>'Part VII-Pro Forma'!G6</f>
        <v>0</v>
      </c>
      <c r="H1102" s="2124" t="s">
        <v>1817</v>
      </c>
      <c r="K1102" s="2206" t="str">
        <f>IF(($B$15+$B$16+$B$17+$B$18)=0,"",B1127/($B$15+$B$16+$B$17+$B$18))</f>
        <v/>
      </c>
      <c r="N1102" s="2044"/>
      <c r="O1102" s="2044"/>
      <c r="Z1102" s="1925"/>
      <c r="AA1102" s="2052">
        <v>6</v>
      </c>
    </row>
    <row r="1103" spans="1:380" s="1853" customFormat="1">
      <c r="A1103" s="1853" t="s">
        <v>2093</v>
      </c>
      <c r="B1103" s="2204">
        <v>0.03</v>
      </c>
      <c r="C1103" s="2203"/>
      <c r="D1103" s="2159"/>
      <c r="E1103" s="2159"/>
      <c r="F1103" s="2159"/>
      <c r="G1103" s="2207">
        <f>IF(OR('Part III-Sources of Funds'!E1052="Yes",'Part III-Sources of Funds'!H1052&gt;0),'DCA Underwriting Assumptions'!$Q$101,0)</f>
        <v>0</v>
      </c>
      <c r="N1103" s="2044"/>
      <c r="O1103" s="2044"/>
      <c r="Z1103" s="1925"/>
      <c r="AA1103" s="2052">
        <v>7</v>
      </c>
    </row>
    <row r="1104" spans="1:380" s="1853" customFormat="1">
      <c r="A1104" s="1853" t="s">
        <v>2095</v>
      </c>
      <c r="B1104" s="2204">
        <v>0.03</v>
      </c>
      <c r="C1104" s="2203"/>
      <c r="D1104" s="1818" t="s">
        <v>259</v>
      </c>
      <c r="G1104" s="2208"/>
      <c r="H1104" s="2124" t="s">
        <v>2268</v>
      </c>
      <c r="K1104" s="2206" t="str">
        <f>IF(($B$15+$B$16+$B$17+$B$18)=0,"",-B1118/($B$15+$B$16+$B$17+$B$18))</f>
        <v/>
      </c>
      <c r="N1104" s="2044"/>
      <c r="O1104" s="2044"/>
      <c r="Z1104" s="1925"/>
      <c r="AA1104" s="2052">
        <v>8</v>
      </c>
    </row>
    <row r="1105" spans="1:27" s="1853" customFormat="1" ht="13.35" customHeight="1">
      <c r="A1105" s="1853" t="s">
        <v>2094</v>
      </c>
      <c r="B1105" s="2209">
        <f>'Part VII-Pro Forma'!B9</f>
        <v>7.0000000000000007E-2</v>
      </c>
      <c r="C1105" s="1858" t="str">
        <f>IF(B1105&lt;0.07, "Must be &gt;= 7%!","")</f>
        <v/>
      </c>
      <c r="D1105" s="1818" t="s">
        <v>2390</v>
      </c>
      <c r="G1105" s="2210" t="str">
        <f>'Part VII-Pro Forma'!G9</f>
        <v>No</v>
      </c>
      <c r="H1105" s="2211" t="s">
        <v>1389</v>
      </c>
      <c r="K1105" s="2212">
        <f>'Part VII-Pro Forma'!K9</f>
        <v>0</v>
      </c>
      <c r="N1105" s="2044"/>
      <c r="O1105" s="2044"/>
      <c r="Z1105" s="1925"/>
      <c r="AA1105" s="2052">
        <v>9</v>
      </c>
    </row>
    <row r="1106" spans="1:27" s="1853" customFormat="1">
      <c r="A1106" s="1853" t="s">
        <v>1367</v>
      </c>
      <c r="B1106" s="2204">
        <v>0.02</v>
      </c>
      <c r="D1106" s="1818" t="s">
        <v>1641</v>
      </c>
      <c r="G1106" s="2210" t="str">
        <f>'Part VII-Pro Forma'!G10</f>
        <v>Yes</v>
      </c>
      <c r="H1106" s="2211" t="s">
        <v>2250</v>
      </c>
      <c r="K1106" s="2213">
        <f>'Part VII-Pro Forma'!K10</f>
        <v>0.06</v>
      </c>
      <c r="N1106" s="2044"/>
      <c r="O1106" s="2044"/>
      <c r="Z1106" s="1925"/>
      <c r="AA1106" s="1930">
        <v>10</v>
      </c>
    </row>
    <row r="1107" spans="1:27" s="1853" customFormat="1" ht="9" customHeight="1">
      <c r="Z1107" s="1925"/>
      <c r="AA1107" s="2052">
        <v>11</v>
      </c>
    </row>
    <row r="1108" spans="1:27" s="1853" customFormat="1">
      <c r="A1108" s="1853" t="s">
        <v>86</v>
      </c>
      <c r="D1108" s="2106"/>
      <c r="N1108" s="1853" t="str">
        <f>A1108</f>
        <v>II.  OPERATING PRO FORMA</v>
      </c>
      <c r="Z1108" s="1925"/>
      <c r="AA1108" s="2052">
        <v>12</v>
      </c>
    </row>
    <row r="1109" spans="1:27" s="1853" customFormat="1" ht="2.4500000000000002" customHeight="1">
      <c r="Z1109" s="1925"/>
      <c r="AA1109" s="2052">
        <v>13</v>
      </c>
    </row>
    <row r="1110" spans="1:27" s="1853" customFormat="1" ht="14.45" customHeight="1">
      <c r="A1110" s="1853" t="s">
        <v>2367</v>
      </c>
      <c r="B1110" s="1853">
        <v>1</v>
      </c>
      <c r="C1110" s="1853">
        <f t="shared" ref="C1110:K1110" si="375">B1110+1</f>
        <v>2</v>
      </c>
      <c r="D1110" s="1853">
        <f t="shared" si="375"/>
        <v>3</v>
      </c>
      <c r="E1110" s="1853">
        <f t="shared" si="375"/>
        <v>4</v>
      </c>
      <c r="F1110" s="1853">
        <f t="shared" si="375"/>
        <v>5</v>
      </c>
      <c r="G1110" s="1853">
        <f t="shared" si="375"/>
        <v>6</v>
      </c>
      <c r="H1110" s="1853">
        <f t="shared" si="375"/>
        <v>7</v>
      </c>
      <c r="I1110" s="1853">
        <f t="shared" si="375"/>
        <v>8</v>
      </c>
      <c r="J1110" s="1853">
        <f t="shared" si="375"/>
        <v>9</v>
      </c>
      <c r="K1110" s="1853">
        <f t="shared" si="375"/>
        <v>10</v>
      </c>
      <c r="N1110" s="1853" t="s">
        <v>2498</v>
      </c>
      <c r="Z1110" s="1925"/>
      <c r="AA1110" s="2052">
        <v>14</v>
      </c>
    </row>
    <row r="1111" spans="1:27" s="1853" customFormat="1" ht="13.35" customHeight="1">
      <c r="A1111" s="1853" t="s">
        <v>2293</v>
      </c>
      <c r="B1111" s="2214">
        <f>'Part VII-Pro Forma'!B15</f>
        <v>615108</v>
      </c>
      <c r="C1111" s="2214">
        <f>'Part VII-Pro Forma'!C15</f>
        <v>627410.16</v>
      </c>
      <c r="D1111" s="2214">
        <f>'Part VII-Pro Forma'!D15</f>
        <v>639958.36320000002</v>
      </c>
      <c r="E1111" s="2214">
        <f>'Part VII-Pro Forma'!E15</f>
        <v>652757.53046399995</v>
      </c>
      <c r="F1111" s="2214">
        <f>'Part VII-Pro Forma'!F15</f>
        <v>665812.68107327993</v>
      </c>
      <c r="G1111" s="2214">
        <f>'Part VII-Pro Forma'!G15</f>
        <v>679128.93469474558</v>
      </c>
      <c r="H1111" s="2214">
        <f>'Part VII-Pro Forma'!H15</f>
        <v>692711.5133886406</v>
      </c>
      <c r="I1111" s="2214">
        <f>'Part VII-Pro Forma'!I15</f>
        <v>706565.74365641316</v>
      </c>
      <c r="J1111" s="2214">
        <f>'Part VII-Pro Forma'!J15</f>
        <v>720697.05852954159</v>
      </c>
      <c r="K1111" s="2214">
        <f>'Part VII-Pro Forma'!K15</f>
        <v>735110.99970013241</v>
      </c>
      <c r="N1111" s="2044"/>
      <c r="O1111" s="2044"/>
      <c r="S1111" s="2115" t="s">
        <v>3560</v>
      </c>
      <c r="Z1111" s="1925" t="s">
        <v>6772</v>
      </c>
      <c r="AA1111" s="2052">
        <v>15</v>
      </c>
    </row>
    <row r="1112" spans="1:27" s="1853" customFormat="1" ht="13.35" customHeight="1">
      <c r="A1112" s="1853" t="s">
        <v>977</v>
      </c>
      <c r="B1112" s="2214">
        <f>'Part VII-Pro Forma'!B16</f>
        <v>12302.16</v>
      </c>
      <c r="C1112" s="2214">
        <f>'Part VII-Pro Forma'!C16</f>
        <v>12548.2032</v>
      </c>
      <c r="D1112" s="2214">
        <f>'Part VII-Pro Forma'!D16</f>
        <v>12799.167264</v>
      </c>
      <c r="E1112" s="2214">
        <f>'Part VII-Pro Forma'!E16</f>
        <v>13055.150609279999</v>
      </c>
      <c r="F1112" s="2214">
        <f>'Part VII-Pro Forma'!F16</f>
        <v>13316.253621465599</v>
      </c>
      <c r="G1112" s="2214">
        <f>'Part VII-Pro Forma'!G16</f>
        <v>13582.578693894911</v>
      </c>
      <c r="H1112" s="2214">
        <f>'Part VII-Pro Forma'!H16</f>
        <v>13854.230267772811</v>
      </c>
      <c r="I1112" s="2214">
        <f>'Part VII-Pro Forma'!I16</f>
        <v>14131.314873128264</v>
      </c>
      <c r="J1112" s="2214">
        <f>'Part VII-Pro Forma'!J16</f>
        <v>14413.941170590831</v>
      </c>
      <c r="K1112" s="2214">
        <f>'Part VII-Pro Forma'!K16</f>
        <v>14702.219994002648</v>
      </c>
      <c r="N1112" s="2044"/>
      <c r="O1112" s="2044"/>
      <c r="S1112" s="2115"/>
      <c r="Z1112" s="1925" t="s">
        <v>6772</v>
      </c>
      <c r="AA1112" s="2052">
        <v>16</v>
      </c>
    </row>
    <row r="1113" spans="1:27" s="1853" customFormat="1" ht="13.35" customHeight="1">
      <c r="A1113" s="1853" t="s">
        <v>2294</v>
      </c>
      <c r="B1113" s="2214">
        <f>'Part VII-Pro Forma'!B17</f>
        <v>-43918.711200000005</v>
      </c>
      <c r="C1113" s="2214">
        <f>'Part VII-Pro Forma'!C17</f>
        <v>-44797.085424000004</v>
      </c>
      <c r="D1113" s="2214">
        <f>'Part VII-Pro Forma'!D17</f>
        <v>-45693.027132480012</v>
      </c>
      <c r="E1113" s="2214">
        <f>'Part VII-Pro Forma'!E17</f>
        <v>-46606.887675129597</v>
      </c>
      <c r="F1113" s="2214">
        <f>'Part VII-Pro Forma'!F17</f>
        <v>-47539.025428632194</v>
      </c>
      <c r="G1113" s="2214">
        <f>'Part VII-Pro Forma'!G17</f>
        <v>-48489.805937204837</v>
      </c>
      <c r="H1113" s="2214">
        <f>'Part VII-Pro Forma'!H17</f>
        <v>-49459.602055948941</v>
      </c>
      <c r="I1113" s="2214">
        <f>'Part VII-Pro Forma'!I17</f>
        <v>-50448.794097067905</v>
      </c>
      <c r="J1113" s="2214">
        <f>'Part VII-Pro Forma'!J17</f>
        <v>-51457.769979009274</v>
      </c>
      <c r="K1113" s="2214">
        <f>'Part VII-Pro Forma'!K17</f>
        <v>-52486.925378589454</v>
      </c>
      <c r="N1113" s="2044"/>
      <c r="O1113" s="2044"/>
      <c r="Q1113" s="2115" t="s">
        <v>3437</v>
      </c>
      <c r="R1113" s="2115" t="s">
        <v>3559</v>
      </c>
      <c r="S1113" s="2115"/>
      <c r="Z1113" s="1925" t="s">
        <v>6772</v>
      </c>
      <c r="AA1113" s="2052">
        <v>17</v>
      </c>
    </row>
    <row r="1114" spans="1:27" s="1853" customFormat="1" ht="13.35" customHeight="1">
      <c r="A1114" s="1853" t="s">
        <v>47</v>
      </c>
      <c r="B1114" s="2214">
        <f>'Part VII-Pro Forma'!B18</f>
        <v>0</v>
      </c>
      <c r="C1114" s="2214">
        <f>'Part VII-Pro Forma'!C18</f>
        <v>0</v>
      </c>
      <c r="D1114" s="2214">
        <f>'Part VII-Pro Forma'!D18</f>
        <v>0</v>
      </c>
      <c r="E1114" s="2214">
        <f>'Part VII-Pro Forma'!E18</f>
        <v>0</v>
      </c>
      <c r="F1114" s="2214">
        <f>'Part VII-Pro Forma'!F18</f>
        <v>0</v>
      </c>
      <c r="G1114" s="2214">
        <f>'Part VII-Pro Forma'!G18</f>
        <v>0</v>
      </c>
      <c r="H1114" s="2214">
        <f>'Part VII-Pro Forma'!H18</f>
        <v>0</v>
      </c>
      <c r="I1114" s="2214">
        <f>'Part VII-Pro Forma'!I18</f>
        <v>0</v>
      </c>
      <c r="J1114" s="2214">
        <f>'Part VII-Pro Forma'!J18</f>
        <v>0</v>
      </c>
      <c r="K1114" s="2214">
        <f>'Part VII-Pro Forma'!K18</f>
        <v>0</v>
      </c>
      <c r="N1114" s="2044"/>
      <c r="O1114" s="2044"/>
      <c r="Q1114" s="2115"/>
      <c r="R1114" s="2115"/>
      <c r="S1114" s="2115"/>
      <c r="Z1114" s="1925" t="s">
        <v>6772</v>
      </c>
      <c r="AA1114" s="2052">
        <v>18</v>
      </c>
    </row>
    <row r="1115" spans="1:27" s="1853" customFormat="1" ht="13.35" customHeight="1">
      <c r="A1115" s="1853" t="s">
        <v>48</v>
      </c>
      <c r="B1115" s="2214">
        <f>'Part VII-Pro Forma'!B19</f>
        <v>0</v>
      </c>
      <c r="C1115" s="2214">
        <f>'Part VII-Pro Forma'!C19</f>
        <v>0</v>
      </c>
      <c r="D1115" s="2214">
        <f>'Part VII-Pro Forma'!D19</f>
        <v>0</v>
      </c>
      <c r="E1115" s="2214">
        <f>'Part VII-Pro Forma'!E19</f>
        <v>0</v>
      </c>
      <c r="F1115" s="2214">
        <f>'Part VII-Pro Forma'!F19</f>
        <v>0</v>
      </c>
      <c r="G1115" s="2214">
        <f>'Part VII-Pro Forma'!G19</f>
        <v>0</v>
      </c>
      <c r="H1115" s="2214">
        <f>'Part VII-Pro Forma'!H19</f>
        <v>0</v>
      </c>
      <c r="I1115" s="2214">
        <f>'Part VII-Pro Forma'!I19</f>
        <v>0</v>
      </c>
      <c r="J1115" s="2214">
        <f>'Part VII-Pro Forma'!J19</f>
        <v>0</v>
      </c>
      <c r="K1115" s="2214">
        <f>'Part VII-Pro Forma'!K19</f>
        <v>0</v>
      </c>
      <c r="N1115" s="2044"/>
      <c r="O1115" s="2044"/>
      <c r="Z1115" s="1925" t="s">
        <v>6772</v>
      </c>
      <c r="AA1115" s="1930">
        <v>19</v>
      </c>
    </row>
    <row r="1116" spans="1:27" s="1853" customFormat="1" ht="13.35" customHeight="1">
      <c r="A1116" s="1853" t="s">
        <v>4013</v>
      </c>
      <c r="B1116" s="2214">
        <f>'Part VII-Pro Forma'!B20</f>
        <v>583491.44880000001</v>
      </c>
      <c r="C1116" s="2214">
        <f>'Part VII-Pro Forma'!C20</f>
        <v>595161.27777599997</v>
      </c>
      <c r="D1116" s="2214">
        <f>'Part VII-Pro Forma'!D20</f>
        <v>607064.50333152001</v>
      </c>
      <c r="E1116" s="2214">
        <f>'Part VII-Pro Forma'!E20</f>
        <v>619205.79339815036</v>
      </c>
      <c r="F1116" s="2214">
        <f>'Part VII-Pro Forma'!F20</f>
        <v>631589.90926611342</v>
      </c>
      <c r="G1116" s="2214">
        <f>'Part VII-Pro Forma'!G20</f>
        <v>644221.70745143562</v>
      </c>
      <c r="H1116" s="2214">
        <f>'Part VII-Pro Forma'!H20</f>
        <v>657106.14160046447</v>
      </c>
      <c r="I1116" s="2214">
        <f>'Part VII-Pro Forma'!I20</f>
        <v>670248.26443247357</v>
      </c>
      <c r="J1116" s="2214">
        <f>'Part VII-Pro Forma'!J20</f>
        <v>683653.22972112312</v>
      </c>
      <c r="K1116" s="2214">
        <f>'Part VII-Pro Forma'!K20</f>
        <v>697326.29431554559</v>
      </c>
      <c r="N1116" s="2044"/>
      <c r="O1116" s="2044"/>
      <c r="Z1116" s="1925" t="s">
        <v>6772</v>
      </c>
      <c r="AA1116" s="2052">
        <v>20</v>
      </c>
    </row>
    <row r="1117" spans="1:27" s="1853" customFormat="1" ht="13.35" customHeight="1">
      <c r="A1117" s="1853" t="s">
        <v>585</v>
      </c>
      <c r="B1117" s="2214">
        <f>'Part VII-Pro Forma'!B21</f>
        <v>-357393</v>
      </c>
      <c r="C1117" s="2214">
        <f>'Part VII-Pro Forma'!C21</f>
        <v>-368114.79000000004</v>
      </c>
      <c r="D1117" s="2214">
        <f>'Part VII-Pro Forma'!D21</f>
        <v>-379158.23369999998</v>
      </c>
      <c r="E1117" s="2214">
        <f>'Part VII-Pro Forma'!E21</f>
        <v>-390532.98071099998</v>
      </c>
      <c r="F1117" s="2214">
        <f>'Part VII-Pro Forma'!F21</f>
        <v>-402248.97013232997</v>
      </c>
      <c r="G1117" s="2214">
        <f>'Part VII-Pro Forma'!G21</f>
        <v>-414316.43923629983</v>
      </c>
      <c r="H1117" s="2214">
        <f>'Part VII-Pro Forma'!H21</f>
        <v>-426745.93241338886</v>
      </c>
      <c r="I1117" s="2214">
        <f>'Part VII-Pro Forma'!I21</f>
        <v>-439548.31038579054</v>
      </c>
      <c r="J1117" s="2214">
        <f>'Part VII-Pro Forma'!J21</f>
        <v>-452734.75969736424</v>
      </c>
      <c r="K1117" s="2214">
        <f>'Part VII-Pro Forma'!K21</f>
        <v>-466316.80248828518</v>
      </c>
      <c r="N1117" s="2044"/>
      <c r="O1117" s="2044"/>
      <c r="Q1117" s="2052">
        <v>1</v>
      </c>
      <c r="R1117" s="2141">
        <f>-B1128</f>
        <v>47283.010123295724</v>
      </c>
      <c r="S1117" s="2141">
        <f>B1129+R1117</f>
        <v>47283.010123295724</v>
      </c>
      <c r="Z1117" s="1925" t="s">
        <v>6772</v>
      </c>
      <c r="AA1117" s="2052">
        <v>21</v>
      </c>
    </row>
    <row r="1118" spans="1:27" s="1853" customFormat="1" ht="13.35" customHeight="1">
      <c r="A1118" s="1853" t="s">
        <v>1075</v>
      </c>
      <c r="B1118" s="2214">
        <f>'Part VII-Pro Forma'!B22</f>
        <v>-35009</v>
      </c>
      <c r="C1118" s="2214">
        <f>'Part VII-Pro Forma'!C22</f>
        <v>-35710</v>
      </c>
      <c r="D1118" s="2214">
        <f>'Part VII-Pro Forma'!D22</f>
        <v>-36424</v>
      </c>
      <c r="E1118" s="2214">
        <f>'Part VII-Pro Forma'!E22</f>
        <v>-37152</v>
      </c>
      <c r="F1118" s="2214">
        <f>'Part VII-Pro Forma'!F22</f>
        <v>-37895</v>
      </c>
      <c r="G1118" s="2214">
        <f>'Part VII-Pro Forma'!G22</f>
        <v>-38653</v>
      </c>
      <c r="H1118" s="2214">
        <f>'Part VII-Pro Forma'!H22</f>
        <v>-39426</v>
      </c>
      <c r="I1118" s="2214">
        <f>'Part VII-Pro Forma'!I22</f>
        <v>-40215</v>
      </c>
      <c r="J1118" s="2214">
        <f>'Part VII-Pro Forma'!J22</f>
        <v>-41019</v>
      </c>
      <c r="K1118" s="2214">
        <f>'Part VII-Pro Forma'!K22</f>
        <v>-41840</v>
      </c>
      <c r="N1118" s="2044"/>
      <c r="O1118" s="2044"/>
      <c r="Q1118" s="2052">
        <v>2</v>
      </c>
      <c r="R1118" s="2141">
        <f>-SUM(B1128:C1128)</f>
        <v>94273.059222591372</v>
      </c>
      <c r="S1118" s="2141">
        <f>SUM(B1129:C1129)+R1118</f>
        <v>94273.059222591372</v>
      </c>
      <c r="Z1118" s="1925" t="s">
        <v>6772</v>
      </c>
      <c r="AA1118" s="2052">
        <v>22</v>
      </c>
    </row>
    <row r="1119" spans="1:27" s="1853" customFormat="1" ht="13.35" customHeight="1">
      <c r="A1119" s="1853" t="s">
        <v>1156</v>
      </c>
      <c r="B1119" s="2214">
        <f>'Part VII-Pro Forma'!B23</f>
        <v>-18000</v>
      </c>
      <c r="C1119" s="2214">
        <f>'Part VII-Pro Forma'!C23</f>
        <v>-18540</v>
      </c>
      <c r="D1119" s="2214">
        <f>'Part VII-Pro Forma'!D23</f>
        <v>-19096.2</v>
      </c>
      <c r="E1119" s="2214">
        <f>'Part VII-Pro Forma'!E23</f>
        <v>-19669.085999999999</v>
      </c>
      <c r="F1119" s="2214">
        <f>'Part VII-Pro Forma'!F23</f>
        <v>-20259.158579999999</v>
      </c>
      <c r="G1119" s="2214">
        <f>'Part VII-Pro Forma'!G23</f>
        <v>-20866.933337399998</v>
      </c>
      <c r="H1119" s="2214">
        <f>'Part VII-Pro Forma'!H23</f>
        <v>-21492.941337521999</v>
      </c>
      <c r="I1119" s="2214">
        <f>'Part VII-Pro Forma'!I23</f>
        <v>-22137.72957764766</v>
      </c>
      <c r="J1119" s="2214">
        <f>'Part VII-Pro Forma'!J23</f>
        <v>-22801.861464977086</v>
      </c>
      <c r="K1119" s="2214">
        <f>'Part VII-Pro Forma'!K23</f>
        <v>-23485.9173089264</v>
      </c>
      <c r="N1119" s="2044"/>
      <c r="O1119" s="2044"/>
      <c r="Q1119" s="2052">
        <v>3</v>
      </c>
      <c r="R1119" s="2141">
        <f>-SUM(B1128:D1128)</f>
        <v>140852.69017740712</v>
      </c>
      <c r="S1119" s="2141">
        <f>SUM(B1129:D1129)+R1119</f>
        <v>140852.69017740712</v>
      </c>
      <c r="Z1119" s="1925" t="s">
        <v>6772</v>
      </c>
      <c r="AA1119" s="2052">
        <v>23</v>
      </c>
    </row>
    <row r="1120" spans="1:27" s="1853" customFormat="1" ht="13.35" customHeight="1">
      <c r="A1120" s="1853" t="s">
        <v>4012</v>
      </c>
      <c r="B1120" s="2215">
        <f>'Part VII-Pro Forma'!B24</f>
        <v>-10</v>
      </c>
      <c r="C1120" s="2215">
        <f>'Part VII-Pro Forma'!C24</f>
        <v>-10</v>
      </c>
      <c r="D1120" s="2215">
        <f>'Part VII-Pro Forma'!D24</f>
        <v>-10</v>
      </c>
      <c r="E1120" s="2215">
        <f>'Part VII-Pro Forma'!E24</f>
        <v>-10</v>
      </c>
      <c r="F1120" s="2215">
        <f>'Part VII-Pro Forma'!F24</f>
        <v>-10</v>
      </c>
      <c r="G1120" s="2215">
        <f>'Part VII-Pro Forma'!G24</f>
        <v>-10</v>
      </c>
      <c r="H1120" s="2215">
        <f>'Part VII-Pro Forma'!H24</f>
        <v>-10</v>
      </c>
      <c r="I1120" s="2215">
        <f>'Part VII-Pro Forma'!I24</f>
        <v>-10</v>
      </c>
      <c r="J1120" s="2215">
        <f>'Part VII-Pro Forma'!J24</f>
        <v>-10</v>
      </c>
      <c r="K1120" s="2215">
        <f>'Part VII-Pro Forma'!K24</f>
        <v>-10</v>
      </c>
      <c r="N1120" s="2044"/>
      <c r="O1120" s="2044"/>
      <c r="Q1120" s="2052">
        <v>4</v>
      </c>
      <c r="R1120" s="2141">
        <f>-SUM(B1128:E1128)</f>
        <v>186897.97818785318</v>
      </c>
      <c r="S1120" s="2141">
        <f>SUM(B1129:E1129)+R1120</f>
        <v>186897.97818785318</v>
      </c>
      <c r="Z1120" s="1925" t="s">
        <v>6772</v>
      </c>
      <c r="AA1120" s="1930">
        <v>24</v>
      </c>
    </row>
    <row r="1121" spans="1:27" s="1853" customFormat="1" ht="13.35" customHeight="1">
      <c r="A1121" s="1853" t="s">
        <v>1157</v>
      </c>
      <c r="B1121" s="2214">
        <f>'Part VII-Pro Forma'!B25</f>
        <v>173079.44880000001</v>
      </c>
      <c r="C1121" s="2214">
        <f>'Part VII-Pro Forma'!C25</f>
        <v>172786.48777599994</v>
      </c>
      <c r="D1121" s="2214">
        <f>'Part VII-Pro Forma'!D25</f>
        <v>172376.06963152002</v>
      </c>
      <c r="E1121" s="2214">
        <f>'Part VII-Pro Forma'!E25</f>
        <v>171841.72668715037</v>
      </c>
      <c r="F1121" s="2214">
        <f>'Part VII-Pro Forma'!F25</f>
        <v>171176.78055378346</v>
      </c>
      <c r="G1121" s="2214">
        <f>'Part VII-Pro Forma'!G25</f>
        <v>170375.33487773579</v>
      </c>
      <c r="H1121" s="2214">
        <f>'Part VII-Pro Forma'!H25</f>
        <v>169431.26784955361</v>
      </c>
      <c r="I1121" s="2214">
        <f>'Part VII-Pro Forma'!I25</f>
        <v>168337.22446903537</v>
      </c>
      <c r="J1121" s="2214">
        <f>'Part VII-Pro Forma'!J25</f>
        <v>167087.60855878179</v>
      </c>
      <c r="K1121" s="2214">
        <f>'Part VII-Pro Forma'!K25</f>
        <v>165673.574518334</v>
      </c>
      <c r="N1121" s="2044"/>
      <c r="O1121" s="2044"/>
      <c r="Q1121" s="2052">
        <v>5</v>
      </c>
      <c r="R1121" s="2141">
        <f>-SUM(B1128:F1128)</f>
        <v>232278.32006493234</v>
      </c>
      <c r="S1121" s="2141">
        <f>SUM(B1129:F1129)+R1121</f>
        <v>232278.32006493234</v>
      </c>
      <c r="Z1121" s="1925" t="s">
        <v>6772</v>
      </c>
      <c r="AA1121" s="2052">
        <v>25</v>
      </c>
    </row>
    <row r="1122" spans="1:27" s="1853" customFormat="1" ht="13.35" customHeight="1">
      <c r="A1122" s="1853" t="s">
        <v>1525</v>
      </c>
      <c r="B1122" s="2215">
        <f>'Part VII-Pro Forma'!B26</f>
        <v>-125796.43867670429</v>
      </c>
      <c r="C1122" s="2215">
        <f>'Part VII-Pro Forma'!C26</f>
        <v>-125796.43867670429</v>
      </c>
      <c r="D1122" s="2215">
        <f>'Part VII-Pro Forma'!D26</f>
        <v>-125796.43867670429</v>
      </c>
      <c r="E1122" s="2215">
        <f>'Part VII-Pro Forma'!E26</f>
        <v>-125796.43867670429</v>
      </c>
      <c r="F1122" s="2215">
        <f>'Part VII-Pro Forma'!F26</f>
        <v>-125796.43867670429</v>
      </c>
      <c r="G1122" s="2215">
        <f>'Part VII-Pro Forma'!G26</f>
        <v>-125796.43867670429</v>
      </c>
      <c r="H1122" s="2215">
        <f>'Part VII-Pro Forma'!H26</f>
        <v>-125796.43867670429</v>
      </c>
      <c r="I1122" s="2215">
        <f>'Part VII-Pro Forma'!I26</f>
        <v>-125796.43867670429</v>
      </c>
      <c r="J1122" s="2215">
        <f>'Part VII-Pro Forma'!J26</f>
        <v>-125796.43867670429</v>
      </c>
      <c r="K1122" s="2215">
        <f>'Part VII-Pro Forma'!K26</f>
        <v>-125796.43867670429</v>
      </c>
      <c r="N1122" s="2044"/>
      <c r="O1122" s="2044"/>
      <c r="Q1122" s="2052">
        <v>6</v>
      </c>
      <c r="R1122" s="2141">
        <f>-SUM(B1128:G1128)</f>
        <v>276857.21626596386</v>
      </c>
      <c r="S1122" s="2141">
        <f>SUM(B1129:G1129)+R1122</f>
        <v>276857.21626596386</v>
      </c>
      <c r="Z1122" s="1925" t="s">
        <v>6772</v>
      </c>
      <c r="AA1122" s="2052">
        <v>26</v>
      </c>
    </row>
    <row r="1123" spans="1:27" s="1853" customFormat="1" ht="13.35" customHeight="1">
      <c r="A1123" s="1853" t="s">
        <v>1526</v>
      </c>
      <c r="B1123" s="2215">
        <f>'Part VII-Pro Forma'!B27</f>
        <v>0</v>
      </c>
      <c r="C1123" s="2215">
        <f>'Part VII-Pro Forma'!C27</f>
        <v>0</v>
      </c>
      <c r="D1123" s="2215">
        <f>'Part VII-Pro Forma'!D27</f>
        <v>0</v>
      </c>
      <c r="E1123" s="2215">
        <f>'Part VII-Pro Forma'!E27</f>
        <v>0</v>
      </c>
      <c r="F1123" s="2215">
        <f>'Part VII-Pro Forma'!F27</f>
        <v>0</v>
      </c>
      <c r="G1123" s="2215">
        <f>'Part VII-Pro Forma'!G27</f>
        <v>0</v>
      </c>
      <c r="H1123" s="2215">
        <f>'Part VII-Pro Forma'!H27</f>
        <v>0</v>
      </c>
      <c r="I1123" s="2215">
        <f>'Part VII-Pro Forma'!I27</f>
        <v>0</v>
      </c>
      <c r="J1123" s="2215">
        <f>'Part VII-Pro Forma'!J27</f>
        <v>0</v>
      </c>
      <c r="K1123" s="2215">
        <f>'Part VII-Pro Forma'!K27</f>
        <v>0</v>
      </c>
      <c r="N1123" s="2044"/>
      <c r="O1123" s="2044"/>
      <c r="Q1123" s="2052">
        <v>7</v>
      </c>
      <c r="R1123" s="2141">
        <f>-SUM(B1128:H1128)</f>
        <v>320492.04543881316</v>
      </c>
      <c r="S1123" s="2141">
        <f>SUM(B1129:H1129)+R1123</f>
        <v>320492.04543881316</v>
      </c>
      <c r="Z1123" s="1925" t="s">
        <v>6772</v>
      </c>
      <c r="AA1123" s="2052">
        <v>27</v>
      </c>
    </row>
    <row r="1124" spans="1:27" s="1853" customFormat="1" ht="13.35" customHeight="1">
      <c r="A1124" s="1853" t="s">
        <v>1527</v>
      </c>
      <c r="B1124" s="2215">
        <f>'Part VII-Pro Forma'!B28</f>
        <v>0</v>
      </c>
      <c r="C1124" s="2215">
        <f>'Part VII-Pro Forma'!C28</f>
        <v>0</v>
      </c>
      <c r="D1124" s="2215">
        <f>'Part VII-Pro Forma'!D28</f>
        <v>0</v>
      </c>
      <c r="E1124" s="2215">
        <f>'Part VII-Pro Forma'!E28</f>
        <v>0</v>
      </c>
      <c r="F1124" s="2215">
        <f>'Part VII-Pro Forma'!F28</f>
        <v>0</v>
      </c>
      <c r="G1124" s="2215">
        <f>'Part VII-Pro Forma'!G28</f>
        <v>0</v>
      </c>
      <c r="H1124" s="2215">
        <f>'Part VII-Pro Forma'!H28</f>
        <v>0</v>
      </c>
      <c r="I1124" s="2215">
        <f>'Part VII-Pro Forma'!I28</f>
        <v>0</v>
      </c>
      <c r="J1124" s="2215">
        <f>'Part VII-Pro Forma'!J28</f>
        <v>0</v>
      </c>
      <c r="K1124" s="2215">
        <f>'Part VII-Pro Forma'!K28</f>
        <v>0</v>
      </c>
      <c r="N1124" s="2044"/>
      <c r="O1124" s="2044"/>
      <c r="Q1124" s="2052">
        <v>8</v>
      </c>
      <c r="R1124" s="2141">
        <f>-SUM(B1128:I1128)</f>
        <v>355139.27999999939</v>
      </c>
      <c r="S1124" s="2141">
        <f>SUM(B1129:I1129)+R1124</f>
        <v>363032.83123114426</v>
      </c>
      <c r="Z1124" s="1925" t="s">
        <v>6772</v>
      </c>
      <c r="AA1124" s="2052">
        <v>28</v>
      </c>
    </row>
    <row r="1125" spans="1:27" s="1853" customFormat="1" ht="13.35" customHeight="1">
      <c r="A1125" s="1853" t="s">
        <v>3421</v>
      </c>
      <c r="B1125" s="2215">
        <f>'Part VII-Pro Forma'!B29</f>
        <v>0</v>
      </c>
      <c r="C1125" s="2215">
        <f>'Part VII-Pro Forma'!C29</f>
        <v>0</v>
      </c>
      <c r="D1125" s="2215">
        <f>'Part VII-Pro Forma'!D29</f>
        <v>0</v>
      </c>
      <c r="E1125" s="2215">
        <f>'Part VII-Pro Forma'!E29</f>
        <v>0</v>
      </c>
      <c r="F1125" s="2215">
        <f>'Part VII-Pro Forma'!F29</f>
        <v>0</v>
      </c>
      <c r="G1125" s="2215">
        <f>'Part VII-Pro Forma'!G29</f>
        <v>0</v>
      </c>
      <c r="H1125" s="2215">
        <f>'Part VII-Pro Forma'!H29</f>
        <v>0</v>
      </c>
      <c r="I1125" s="2215">
        <f>'Part VII-Pro Forma'!I29</f>
        <v>0</v>
      </c>
      <c r="J1125" s="2215">
        <f>'Part VII-Pro Forma'!J29</f>
        <v>0</v>
      </c>
      <c r="K1125" s="2215">
        <f>'Part VII-Pro Forma'!K29</f>
        <v>0</v>
      </c>
      <c r="N1125" s="2044"/>
      <c r="O1125" s="2044"/>
      <c r="Q1125" s="2052">
        <v>9</v>
      </c>
      <c r="R1125" s="2141">
        <f>-SUM(B1128:J1128)</f>
        <v>355139.27999999939</v>
      </c>
      <c r="S1125" s="2141">
        <f>SUM(B1129:J1129)+R1125</f>
        <v>404324.00111322175</v>
      </c>
      <c r="Z1125" s="1925" t="s">
        <v>6772</v>
      </c>
      <c r="AA1125" s="2052">
        <v>29</v>
      </c>
    </row>
    <row r="1126" spans="1:27" s="1853" customFormat="1" ht="13.35" customHeight="1">
      <c r="A1126" s="1853" t="s">
        <v>733</v>
      </c>
      <c r="B1126" s="2215">
        <f>'Part VII-Pro Forma'!B30</f>
        <v>0</v>
      </c>
      <c r="C1126" s="2215">
        <f>'Part VII-Pro Forma'!C30</f>
        <v>0</v>
      </c>
      <c r="D1126" s="2215">
        <f>'Part VII-Pro Forma'!D30</f>
        <v>0</v>
      </c>
      <c r="E1126" s="2215">
        <f>'Part VII-Pro Forma'!E30</f>
        <v>0</v>
      </c>
      <c r="F1126" s="2215">
        <f>'Part VII-Pro Forma'!F30</f>
        <v>0</v>
      </c>
      <c r="G1126" s="2215">
        <f>'Part VII-Pro Forma'!G30</f>
        <v>0</v>
      </c>
      <c r="H1126" s="2215">
        <f>'Part VII-Pro Forma'!H30</f>
        <v>0</v>
      </c>
      <c r="I1126" s="2215">
        <f>'Part VII-Pro Forma'!I30</f>
        <v>0</v>
      </c>
      <c r="J1126" s="2215">
        <f>'Part VII-Pro Forma'!J30</f>
        <v>0</v>
      </c>
      <c r="K1126" s="2215">
        <f>'Part VII-Pro Forma'!K30</f>
        <v>0</v>
      </c>
      <c r="N1126" s="2044"/>
      <c r="O1126" s="2044"/>
      <c r="Q1126" s="2052">
        <v>10</v>
      </c>
      <c r="R1126" s="2141">
        <f>-SUM(B1128:K1128)</f>
        <v>355139.27999999939</v>
      </c>
      <c r="S1126" s="2141">
        <f>SUM(B1129:K1129)+R1126</f>
        <v>444201.13695485145</v>
      </c>
      <c r="Z1126" s="1925" t="s">
        <v>6772</v>
      </c>
      <c r="AA1126" s="2052">
        <v>30</v>
      </c>
    </row>
    <row r="1127" spans="1:27" s="1853" customFormat="1" ht="13.35" customHeight="1">
      <c r="A1127" s="1853" t="s">
        <v>1121</v>
      </c>
      <c r="B1127" s="2215">
        <f>'Part VII-Pro Forma'!B31</f>
        <v>0</v>
      </c>
      <c r="C1127" s="2215">
        <f>'Part VII-Pro Forma'!C31</f>
        <v>0</v>
      </c>
      <c r="D1127" s="2215">
        <f>'Part VII-Pro Forma'!D31</f>
        <v>0</v>
      </c>
      <c r="E1127" s="2215">
        <f>'Part VII-Pro Forma'!E31</f>
        <v>0</v>
      </c>
      <c r="F1127" s="2215">
        <f>'Part VII-Pro Forma'!F31</f>
        <v>0</v>
      </c>
      <c r="G1127" s="2215">
        <f>'Part VII-Pro Forma'!G31</f>
        <v>0</v>
      </c>
      <c r="H1127" s="2215">
        <f>'Part VII-Pro Forma'!H31</f>
        <v>0</v>
      </c>
      <c r="I1127" s="2215">
        <f>'Part VII-Pro Forma'!I31</f>
        <v>0</v>
      </c>
      <c r="J1127" s="2215">
        <f>'Part VII-Pro Forma'!J31</f>
        <v>0</v>
      </c>
      <c r="K1127" s="2215">
        <f>'Part VII-Pro Forma'!K31</f>
        <v>0</v>
      </c>
      <c r="N1127" s="2044"/>
      <c r="O1127" s="2044"/>
      <c r="Q1127" s="2052">
        <v>11</v>
      </c>
      <c r="R1127" s="2141">
        <f>-SUM(B1128:K1128)-B1160</f>
        <v>355139.27999999939</v>
      </c>
      <c r="S1127" s="2141">
        <f>SUM(B1129:K1129)+B1161+R1127</f>
        <v>482494.71708887571</v>
      </c>
      <c r="Z1127" s="1925" t="s">
        <v>6772</v>
      </c>
      <c r="AA1127" s="2052">
        <v>31</v>
      </c>
    </row>
    <row r="1128" spans="1:27" s="1853" customFormat="1" ht="13.35" customHeight="1">
      <c r="A1128" s="1853" t="s">
        <v>3508</v>
      </c>
      <c r="B1128" s="2215">
        <f>'Part VII-Pro Forma'!B32</f>
        <v>-47283.010123295724</v>
      </c>
      <c r="C1128" s="2215">
        <f>'Part VII-Pro Forma'!C32</f>
        <v>-46990.049099295647</v>
      </c>
      <c r="D1128" s="2215">
        <f>'Part VII-Pro Forma'!D32</f>
        <v>-46579.63095481573</v>
      </c>
      <c r="E1128" s="2215">
        <f>'Part VII-Pro Forma'!E32</f>
        <v>-46045.288010446078</v>
      </c>
      <c r="F1128" s="2215">
        <f>'Part VII-Pro Forma'!F32</f>
        <v>-45380.341877079176</v>
      </c>
      <c r="G1128" s="2215">
        <f>'Part VII-Pro Forma'!G32</f>
        <v>-44578.896201031501</v>
      </c>
      <c r="H1128" s="2215">
        <f>'Part VII-Pro Forma'!H32</f>
        <v>-43634.82917284932</v>
      </c>
      <c r="I1128" s="2215">
        <f>'Part VII-Pro Forma'!I32</f>
        <v>-34647.234561186211</v>
      </c>
      <c r="J1128" s="2215">
        <f>'Part VII-Pro Forma'!J32</f>
        <v>0</v>
      </c>
      <c r="K1128" s="2215">
        <f>'Part VII-Pro Forma'!K32</f>
        <v>0</v>
      </c>
      <c r="N1128" s="2044"/>
      <c r="O1128" s="2044"/>
      <c r="Q1128" s="2052">
        <v>12</v>
      </c>
      <c r="R1128" s="2141">
        <f>-SUM(B1128:K1128) - SUM(B1160:C1160)</f>
        <v>355139.27999999939</v>
      </c>
      <c r="S1128" s="2141">
        <f>SUM(B1129:K1129) + SUM(B1161:C1161)+R1128</f>
        <v>519024.84958520316</v>
      </c>
      <c r="Z1128" s="1925" t="s">
        <v>6772</v>
      </c>
      <c r="AA1128" s="2052">
        <v>32</v>
      </c>
    </row>
    <row r="1129" spans="1:27" s="1853" customFormat="1" ht="13.35" customHeight="1">
      <c r="A1129" s="1853" t="s">
        <v>1122</v>
      </c>
      <c r="B1129" s="2214">
        <f>'Part VII-Pro Forma'!B33</f>
        <v>0</v>
      </c>
      <c r="C1129" s="2214">
        <f>'Part VII-Pro Forma'!C33</f>
        <v>0</v>
      </c>
      <c r="D1129" s="2214">
        <f>'Part VII-Pro Forma'!D33</f>
        <v>0</v>
      </c>
      <c r="E1129" s="2214">
        <f>'Part VII-Pro Forma'!E33</f>
        <v>0</v>
      </c>
      <c r="F1129" s="2214">
        <f>'Part VII-Pro Forma'!F33</f>
        <v>0</v>
      </c>
      <c r="G1129" s="2214">
        <f>'Part VII-Pro Forma'!G33</f>
        <v>0</v>
      </c>
      <c r="H1129" s="2214">
        <f>'Part VII-Pro Forma'!H33</f>
        <v>0</v>
      </c>
      <c r="I1129" s="2214">
        <f>'Part VII-Pro Forma'!I33</f>
        <v>7893.5512311448692</v>
      </c>
      <c r="J1129" s="2214">
        <f>'Part VII-Pro Forma'!J33</f>
        <v>41291.169882077505</v>
      </c>
      <c r="K1129" s="2214">
        <f>'Part VII-Pro Forma'!K33</f>
        <v>39877.135841629715</v>
      </c>
      <c r="N1129" s="2044"/>
      <c r="O1129" s="2044"/>
      <c r="Q1129" s="2052">
        <v>13</v>
      </c>
      <c r="R1129" s="2141">
        <f>-SUM(B1128:K1128) - SUM(B1160:D1160)</f>
        <v>355139.27999999939</v>
      </c>
      <c r="S1129" s="2141">
        <f>SUM(B1129:K1129) + SUM(B1161:D1161)+R1129</f>
        <v>553605.99645066285</v>
      </c>
      <c r="Z1129" s="1925" t="s">
        <v>6772</v>
      </c>
      <c r="AA1129" s="1930">
        <v>33</v>
      </c>
    </row>
    <row r="1130" spans="1:27" s="1853" customFormat="1" ht="13.35" customHeight="1">
      <c r="A1130" s="1853" t="str">
        <f>IF('Part III-Sources of Funds'!$E$40 = "Neither", "", "DCR Mortgage A")</f>
        <v>DCR Mortgage A</v>
      </c>
      <c r="B1130" s="2216">
        <f>'Part VII-Pro Forma'!B34</f>
        <v>1.3758692266703403</v>
      </c>
      <c r="C1130" s="2216">
        <f>'Part VII-Pro Forma'!C34</f>
        <v>1.373540376767419</v>
      </c>
      <c r="D1130" s="2216">
        <f>'Part VII-Pro Forma'!D34</f>
        <v>1.3702778190289231</v>
      </c>
      <c r="E1130" s="2216">
        <f>'Part VII-Pro Forma'!E34</f>
        <v>1.3660301396034116</v>
      </c>
      <c r="F1130" s="2216">
        <f>'Part VII-Pro Forma'!F34</f>
        <v>1.3607442496341748</v>
      </c>
      <c r="G1130" s="2216">
        <f>'Part VII-Pro Forma'!G34</f>
        <v>1.3543732769382992</v>
      </c>
      <c r="H1130" s="2216">
        <f>'Part VII-Pro Forma'!H34</f>
        <v>1.3468685571059005</v>
      </c>
      <c r="I1130" s="2216">
        <f>'Part VII-Pro Forma'!I34</f>
        <v>1.3381716226614373</v>
      </c>
      <c r="J1130" s="2216">
        <f>'Part VII-Pro Forma'!J34</f>
        <v>1.3282379876285324</v>
      </c>
      <c r="K1130" s="2216">
        <f>'Part VII-Pro Forma'!K34</f>
        <v>1.3169973352275384</v>
      </c>
      <c r="N1130" s="2044"/>
      <c r="O1130" s="2044"/>
      <c r="Q1130" s="2052">
        <v>14</v>
      </c>
      <c r="R1130" s="2141">
        <f>-SUM(B1128:K1128) - SUM(B1160:E1160)</f>
        <v>355139.27999999939</v>
      </c>
      <c r="S1130" s="2141">
        <f>SUM(B1129:K1129) + SUM(B1161:E1161)+R1130</f>
        <v>586041.68846100732</v>
      </c>
      <c r="Z1130" s="1925" t="s">
        <v>6772</v>
      </c>
      <c r="AA1130" s="2052">
        <v>34</v>
      </c>
    </row>
    <row r="1131" spans="1:27" s="1853" customFormat="1" ht="13.35" customHeight="1">
      <c r="A1131" s="1853" t="str">
        <f>IF('Part III-Sources of Funds'!$E$40 = "Neither", "", "DCR Mortgage B")</f>
        <v>DCR Mortgage B</v>
      </c>
      <c r="B1131" s="2216" t="str">
        <f>'Part VII-Pro Forma'!B35</f>
        <v/>
      </c>
      <c r="C1131" s="2216" t="str">
        <f>'Part VII-Pro Forma'!C35</f>
        <v/>
      </c>
      <c r="D1131" s="2216" t="str">
        <f>'Part VII-Pro Forma'!D35</f>
        <v/>
      </c>
      <c r="E1131" s="2216" t="str">
        <f>'Part VII-Pro Forma'!E35</f>
        <v/>
      </c>
      <c r="F1131" s="2216" t="str">
        <f>'Part VII-Pro Forma'!F35</f>
        <v/>
      </c>
      <c r="G1131" s="2216" t="str">
        <f>'Part VII-Pro Forma'!G35</f>
        <v/>
      </c>
      <c r="H1131" s="2216" t="str">
        <f>'Part VII-Pro Forma'!H35</f>
        <v/>
      </c>
      <c r="I1131" s="2216" t="str">
        <f>'Part VII-Pro Forma'!I35</f>
        <v/>
      </c>
      <c r="J1131" s="2216" t="str">
        <f>'Part VII-Pro Forma'!J35</f>
        <v/>
      </c>
      <c r="K1131" s="2216" t="str">
        <f>'Part VII-Pro Forma'!K35</f>
        <v/>
      </c>
      <c r="N1131" s="2044"/>
      <c r="O1131" s="2044"/>
      <c r="Q1131" s="2052">
        <v>15</v>
      </c>
      <c r="R1131" s="2141">
        <f>-SUM(B1128:K1128) - SUM(B1160:F1160)</f>
        <v>355139.27999999939</v>
      </c>
      <c r="S1131" s="2141">
        <f>SUM(B1129:K1129) + SUM(B1161:F1161)+R1131</f>
        <v>616130.23032215552</v>
      </c>
      <c r="Z1131" s="1925" t="s">
        <v>6772</v>
      </c>
      <c r="AA1131" s="2052">
        <v>35</v>
      </c>
    </row>
    <row r="1132" spans="1:27" s="1853" customFormat="1" ht="13.35" customHeight="1">
      <c r="A1132" s="1853" t="str">
        <f>IF('Part III-Sources of Funds'!$E$40 = "Neither", "DCR First Mortgage", "DCR Mortgage C")</f>
        <v>DCR Mortgage C</v>
      </c>
      <c r="B1132" s="2216" t="str">
        <f>'Part VII-Pro Forma'!B36</f>
        <v/>
      </c>
      <c r="C1132" s="2216" t="str">
        <f>'Part VII-Pro Forma'!C36</f>
        <v/>
      </c>
      <c r="D1132" s="2216" t="str">
        <f>'Part VII-Pro Forma'!D36</f>
        <v/>
      </c>
      <c r="E1132" s="2216" t="str">
        <f>'Part VII-Pro Forma'!E36</f>
        <v/>
      </c>
      <c r="F1132" s="2216" t="str">
        <f>'Part VII-Pro Forma'!F36</f>
        <v/>
      </c>
      <c r="G1132" s="2216" t="str">
        <f>'Part VII-Pro Forma'!G36</f>
        <v/>
      </c>
      <c r="H1132" s="2216" t="str">
        <f>'Part VII-Pro Forma'!H36</f>
        <v/>
      </c>
      <c r="I1132" s="2216" t="str">
        <f>'Part VII-Pro Forma'!I36</f>
        <v/>
      </c>
      <c r="J1132" s="2216" t="str">
        <f>'Part VII-Pro Forma'!J36</f>
        <v/>
      </c>
      <c r="K1132" s="2216" t="str">
        <f>'Part VII-Pro Forma'!K36</f>
        <v/>
      </c>
      <c r="N1132" s="2044"/>
      <c r="O1132" s="2044"/>
      <c r="Q1132" s="2052">
        <v>16</v>
      </c>
      <c r="R1132" s="2141">
        <f>-SUM(B1128:K1128) - SUM(B1160:G1160)</f>
        <v>355139.27999999939</v>
      </c>
      <c r="S1132" s="2141">
        <f>SUM(B1129:K1129) + SUM(B1161:G1161)+R1132</f>
        <v>643658.39584823512</v>
      </c>
      <c r="Z1132" s="1925" t="s">
        <v>6772</v>
      </c>
      <c r="AA1132" s="2052">
        <v>36</v>
      </c>
    </row>
    <row r="1133" spans="1:27" s="1853" customFormat="1" ht="13.35" customHeight="1">
      <c r="A1133" s="1853" t="s">
        <v>751</v>
      </c>
      <c r="B1133" s="2216" t="str">
        <f>'Part VII-Pro Forma'!B37</f>
        <v/>
      </c>
      <c r="C1133" s="2216" t="str">
        <f>'Part VII-Pro Forma'!C37</f>
        <v/>
      </c>
      <c r="D1133" s="2216" t="str">
        <f>'Part VII-Pro Forma'!D37</f>
        <v/>
      </c>
      <c r="E1133" s="2216" t="str">
        <f>'Part VII-Pro Forma'!E37</f>
        <v/>
      </c>
      <c r="F1133" s="2216" t="str">
        <f>'Part VII-Pro Forma'!F37</f>
        <v/>
      </c>
      <c r="G1133" s="2216" t="str">
        <f>'Part VII-Pro Forma'!G37</f>
        <v/>
      </c>
      <c r="H1133" s="2216" t="str">
        <f>'Part VII-Pro Forma'!H37</f>
        <v/>
      </c>
      <c r="I1133" s="2216" t="str">
        <f>'Part VII-Pro Forma'!I37</f>
        <v/>
      </c>
      <c r="J1133" s="2216" t="str">
        <f>'Part VII-Pro Forma'!J37</f>
        <v/>
      </c>
      <c r="K1133" s="2216" t="str">
        <f>'Part VII-Pro Forma'!K37</f>
        <v/>
      </c>
      <c r="N1133" s="2044"/>
      <c r="O1133" s="2044"/>
      <c r="Q1133" s="2052">
        <v>17</v>
      </c>
      <c r="R1133" s="2141">
        <f>-SUM(B1128:K1128) - SUM(B1160:H1160)</f>
        <v>355139.27999999939</v>
      </c>
      <c r="S1133" s="2141">
        <f>SUM(B1129:K1129) + SUM(B1161:H1161)+R1133</f>
        <v>668404.11283417046</v>
      </c>
      <c r="Z1133" s="1925" t="s">
        <v>6772</v>
      </c>
      <c r="AA1133" s="2052">
        <v>37</v>
      </c>
    </row>
    <row r="1134" spans="1:27" s="1853" customFormat="1" ht="13.35" customHeight="1">
      <c r="A1134" s="1853" t="s">
        <v>3343</v>
      </c>
      <c r="B1134" s="2216">
        <f>'Part VII-Pro Forma'!B38</f>
        <v>1.3758692266703403</v>
      </c>
      <c r="C1134" s="2216">
        <f>'Part VII-Pro Forma'!C38</f>
        <v>1.373540376767419</v>
      </c>
      <c r="D1134" s="2216">
        <f>'Part VII-Pro Forma'!D38</f>
        <v>1.3702778190289231</v>
      </c>
      <c r="E1134" s="2216">
        <f>'Part VII-Pro Forma'!E38</f>
        <v>1.3660301396034116</v>
      </c>
      <c r="F1134" s="2216">
        <f>'Part VII-Pro Forma'!F38</f>
        <v>1.3607442496341748</v>
      </c>
      <c r="G1134" s="2216">
        <f>'Part VII-Pro Forma'!G38</f>
        <v>1.3543732769382992</v>
      </c>
      <c r="H1134" s="2216">
        <f>'Part VII-Pro Forma'!H38</f>
        <v>1.3468685571059005</v>
      </c>
      <c r="I1134" s="2216">
        <f>'Part VII-Pro Forma'!I38</f>
        <v>1.3381716226614373</v>
      </c>
      <c r="J1134" s="2216">
        <f>'Part VII-Pro Forma'!J38</f>
        <v>1.3282379876285324</v>
      </c>
      <c r="K1134" s="2216">
        <f>'Part VII-Pro Forma'!K38</f>
        <v>1.3169973352275384</v>
      </c>
      <c r="N1134" s="2044"/>
      <c r="O1134" s="2044"/>
      <c r="Q1134" s="2052">
        <v>18</v>
      </c>
      <c r="R1134" s="2141">
        <f>-SUM(B1128:K1128) - SUM(B1160:I1160)</f>
        <v>355139.27999999939</v>
      </c>
      <c r="S1134" s="2141">
        <f>SUM(B1129:K1129) + SUM(B1161:I1161)+R1134</f>
        <v>690137.13729043282</v>
      </c>
      <c r="Z1134" s="1925" t="s">
        <v>6772</v>
      </c>
      <c r="AA1134" s="2052">
        <v>38</v>
      </c>
    </row>
    <row r="1135" spans="1:27" s="1853" customFormat="1" ht="13.35" customHeight="1">
      <c r="A1135" s="1853" t="s">
        <v>740</v>
      </c>
      <c r="B1135" s="2216">
        <f>'Part VII-Pro Forma'!B39</f>
        <v>1.4217558608388847</v>
      </c>
      <c r="C1135" s="2216">
        <f>'Part VII-Pro Forma'!C39</f>
        <v>1.4091166969102702</v>
      </c>
      <c r="D1135" s="2216">
        <f>'Part VII-Pro Forma'!D39</f>
        <v>1.3965829824225762</v>
      </c>
      <c r="E1135" s="2216">
        <f>'Part VII-Pro Forma'!E39</f>
        <v>1.3841514797230403</v>
      </c>
      <c r="F1135" s="2216">
        <f>'Part VII-Pro Forma'!F39</f>
        <v>1.371819325017543</v>
      </c>
      <c r="G1135" s="2216">
        <f>'Part VII-Pro Forma'!G39</f>
        <v>1.3595868631871106</v>
      </c>
      <c r="H1135" s="2216">
        <f>'Part VII-Pro Forma'!H39</f>
        <v>1.3474543215431602</v>
      </c>
      <c r="I1135" s="2216">
        <f>'Part VII-Pro Forma'!I39</f>
        <v>1.335419158488492</v>
      </c>
      <c r="J1135" s="2216">
        <f>'Part VII-Pro Forma'!J39</f>
        <v>1.3234842516722258</v>
      </c>
      <c r="K1135" s="2216">
        <f>'Part VII-Pro Forma'!K39</f>
        <v>1.3116445845088067</v>
      </c>
      <c r="N1135" s="2044"/>
      <c r="O1135" s="2044"/>
      <c r="Q1135" s="2052">
        <v>19</v>
      </c>
      <c r="R1135" s="2141">
        <f>-SUM(B1128:K1128) - SUM(B1160:J1160)</f>
        <v>355139.27999999939</v>
      </c>
      <c r="S1135" s="2141">
        <f>SUM(B1129:K1129) + SUM(B1161:J1161)+R1135</f>
        <v>708616.71669714036</v>
      </c>
      <c r="Z1135" s="1925" t="s">
        <v>6772</v>
      </c>
      <c r="AA1135" s="2052">
        <v>39</v>
      </c>
    </row>
    <row r="1136" spans="1:27" s="1853" customFormat="1" ht="13.35" customHeight="1">
      <c r="A1136" s="1853" t="s">
        <v>2492</v>
      </c>
      <c r="B1136" s="2215">
        <f>'Part VII-Pro Forma'!B40</f>
        <v>1992491.8894277953</v>
      </c>
      <c r="C1136" s="2215">
        <f>'Part VII-Pro Forma'!C40</f>
        <v>1970783.8660422231</v>
      </c>
      <c r="D1136" s="2215">
        <f>'Part VII-Pro Forma'!D40</f>
        <v>1947908.3442018512</v>
      </c>
      <c r="E1136" s="2215">
        <f>'Part VII-Pro Forma'!E40</f>
        <v>1923802.5336370287</v>
      </c>
      <c r="F1136" s="2215">
        <f>'Part VII-Pro Forma'!F40</f>
        <v>1898400.2670989353</v>
      </c>
      <c r="G1136" s="2215">
        <f>'Part VII-Pro Forma'!G40</f>
        <v>1871631.8187392694</v>
      </c>
      <c r="H1136" s="2215">
        <f>'Part VII-Pro Forma'!H40</f>
        <v>1843423.712722054</v>
      </c>
      <c r="I1136" s="2215">
        <f>'Part VII-Pro Forma'!I40</f>
        <v>1813698.5215422243</v>
      </c>
      <c r="J1136" s="2215">
        <f>'Part VII-Pro Forma'!J40</f>
        <v>1782374.6534974091</v>
      </c>
      <c r="K1136" s="2215">
        <f>'Part VII-Pro Forma'!K40</f>
        <v>1749366.1287295416</v>
      </c>
      <c r="N1136" s="2044"/>
      <c r="O1136" s="2044"/>
      <c r="Q1136" s="2052">
        <v>20</v>
      </c>
      <c r="R1136" s="2141">
        <f>-SUM(B1128:K1128) - SUM(B1160:K1160)</f>
        <v>355139.27999999939</v>
      </c>
      <c r="S1136" s="2141">
        <f>SUM(B1129:K1129) + SUM(B1161:K1161)+R1136</f>
        <v>723591.24192393571</v>
      </c>
      <c r="Z1136" s="1925" t="s">
        <v>6772</v>
      </c>
      <c r="AA1136" s="2052">
        <v>40</v>
      </c>
    </row>
    <row r="1137" spans="1:27" s="1853" customFormat="1" ht="13.35" customHeight="1">
      <c r="A1137" s="1853" t="s">
        <v>2493</v>
      </c>
      <c r="B1137" s="2215" t="str">
        <f>'Part VII-Pro Forma'!B41</f>
        <v/>
      </c>
      <c r="C1137" s="2215" t="str">
        <f>'Part VII-Pro Forma'!C41</f>
        <v/>
      </c>
      <c r="D1137" s="2215" t="str">
        <f>'Part VII-Pro Forma'!D41</f>
        <v/>
      </c>
      <c r="E1137" s="2215" t="str">
        <f>'Part VII-Pro Forma'!E41</f>
        <v/>
      </c>
      <c r="F1137" s="2215" t="str">
        <f>'Part VII-Pro Forma'!F41</f>
        <v/>
      </c>
      <c r="G1137" s="2215" t="str">
        <f>'Part VII-Pro Forma'!G41</f>
        <v/>
      </c>
      <c r="H1137" s="2215" t="str">
        <f>'Part VII-Pro Forma'!H41</f>
        <v/>
      </c>
      <c r="I1137" s="2215" t="str">
        <f>'Part VII-Pro Forma'!I41</f>
        <v/>
      </c>
      <c r="J1137" s="2215" t="str">
        <f>'Part VII-Pro Forma'!J41</f>
        <v/>
      </c>
      <c r="K1137" s="2215" t="str">
        <f>'Part VII-Pro Forma'!K41</f>
        <v/>
      </c>
      <c r="N1137" s="2044"/>
      <c r="O1137" s="2044"/>
      <c r="Z1137" s="1925" t="s">
        <v>6772</v>
      </c>
      <c r="AA1137" s="2052">
        <v>41</v>
      </c>
    </row>
    <row r="1138" spans="1:27" s="1853" customFormat="1" ht="13.35" customHeight="1">
      <c r="A1138" s="1853" t="s">
        <v>2494</v>
      </c>
      <c r="B1138" s="2215" t="str">
        <f>'Part VII-Pro Forma'!B42</f>
        <v/>
      </c>
      <c r="C1138" s="2215" t="str">
        <f>'Part VII-Pro Forma'!C42</f>
        <v/>
      </c>
      <c r="D1138" s="2215" t="str">
        <f>'Part VII-Pro Forma'!D42</f>
        <v/>
      </c>
      <c r="E1138" s="2215" t="str">
        <f>'Part VII-Pro Forma'!E42</f>
        <v/>
      </c>
      <c r="F1138" s="2215" t="str">
        <f>'Part VII-Pro Forma'!F42</f>
        <v/>
      </c>
      <c r="G1138" s="2215" t="str">
        <f>'Part VII-Pro Forma'!G42</f>
        <v/>
      </c>
      <c r="H1138" s="2215" t="str">
        <f>'Part VII-Pro Forma'!H42</f>
        <v/>
      </c>
      <c r="I1138" s="2215" t="str">
        <f>'Part VII-Pro Forma'!I42</f>
        <v/>
      </c>
      <c r="J1138" s="2215" t="str">
        <f>'Part VII-Pro Forma'!J42</f>
        <v/>
      </c>
      <c r="K1138" s="2215" t="str">
        <f>'Part VII-Pro Forma'!K42</f>
        <v/>
      </c>
      <c r="N1138" s="2044"/>
      <c r="O1138" s="2044"/>
      <c r="Z1138" s="1925" t="s">
        <v>6772</v>
      </c>
      <c r="AA1138" s="1930">
        <v>42</v>
      </c>
    </row>
    <row r="1139" spans="1:27" s="1853" customFormat="1" ht="13.35" customHeight="1">
      <c r="A1139" s="1853" t="s">
        <v>752</v>
      </c>
      <c r="B1139" s="2215" t="str">
        <f>'Part VII-Pro Forma'!B43</f>
        <v/>
      </c>
      <c r="C1139" s="2215" t="str">
        <f>'Part VII-Pro Forma'!C43</f>
        <v/>
      </c>
      <c r="D1139" s="2215" t="str">
        <f>'Part VII-Pro Forma'!D43</f>
        <v/>
      </c>
      <c r="E1139" s="2215" t="str">
        <f>'Part VII-Pro Forma'!E43</f>
        <v/>
      </c>
      <c r="F1139" s="2215" t="str">
        <f>'Part VII-Pro Forma'!F43</f>
        <v/>
      </c>
      <c r="G1139" s="2215" t="str">
        <f>'Part VII-Pro Forma'!G43</f>
        <v/>
      </c>
      <c r="H1139" s="2215" t="str">
        <f>'Part VII-Pro Forma'!H43</f>
        <v/>
      </c>
      <c r="I1139" s="2215" t="str">
        <f>'Part VII-Pro Forma'!I43</f>
        <v/>
      </c>
      <c r="J1139" s="2215" t="str">
        <f>'Part VII-Pro Forma'!J43</f>
        <v/>
      </c>
      <c r="K1139" s="2215" t="str">
        <f>'Part VII-Pro Forma'!K43</f>
        <v/>
      </c>
      <c r="N1139" s="2044"/>
      <c r="O1139" s="2044"/>
      <c r="Z1139" s="1925" t="s">
        <v>6772</v>
      </c>
      <c r="AA1139" s="2052">
        <v>43</v>
      </c>
    </row>
    <row r="1140" spans="1:27" s="1853" customFormat="1" ht="13.35" customHeight="1">
      <c r="A1140" s="1853" t="s">
        <v>3509</v>
      </c>
      <c r="B1140" s="2215">
        <f>'Part VII-Pro Forma'!B44</f>
        <v>307856.26987670362</v>
      </c>
      <c r="C1140" s="2215">
        <f>'Part VII-Pro Forma'!C44</f>
        <v>260866.22077740799</v>
      </c>
      <c r="D1140" s="2215">
        <f>'Part VII-Pro Forma'!D44</f>
        <v>214286.58982259227</v>
      </c>
      <c r="E1140" s="2215">
        <f>'Part VII-Pro Forma'!E44</f>
        <v>168241.30181214621</v>
      </c>
      <c r="F1140" s="2215">
        <f>'Part VII-Pro Forma'!F44</f>
        <v>122860.95993506703</v>
      </c>
      <c r="G1140" s="2215">
        <f>'Part VII-Pro Forma'!G44</f>
        <v>78282.063734035532</v>
      </c>
      <c r="H1140" s="2215">
        <f>'Part VII-Pro Forma'!H44</f>
        <v>34647.234561186211</v>
      </c>
      <c r="I1140" s="2215">
        <f>'Part VII-Pro Forma'!I44</f>
        <v>0</v>
      </c>
      <c r="J1140" s="2215">
        <f>'Part VII-Pro Forma'!J44</f>
        <v>0</v>
      </c>
      <c r="K1140" s="2215">
        <f>'Part VII-Pro Forma'!K44</f>
        <v>0</v>
      </c>
      <c r="N1140" s="2044"/>
      <c r="O1140" s="2044"/>
      <c r="Z1140" s="1925" t="s">
        <v>6772</v>
      </c>
      <c r="AA1140" s="2052">
        <v>44</v>
      </c>
    </row>
    <row r="1141" spans="1:27" s="1853" customFormat="1" ht="4.3499999999999996" customHeight="1">
      <c r="B1141" s="2214"/>
      <c r="C1141" s="2214"/>
      <c r="D1141" s="2214"/>
      <c r="E1141" s="2214"/>
      <c r="F1141" s="2214"/>
      <c r="G1141" s="2214"/>
      <c r="H1141" s="2214"/>
      <c r="I1141" s="2214"/>
      <c r="J1141" s="2214"/>
      <c r="K1141" s="2214"/>
      <c r="Z1141" s="1925"/>
      <c r="AA1141" s="2052">
        <v>45</v>
      </c>
    </row>
    <row r="1142" spans="1:27" s="1853" customFormat="1" ht="14.45" customHeight="1">
      <c r="A1142" s="1853" t="s">
        <v>2367</v>
      </c>
      <c r="B1142" s="2214">
        <f>K1110+1</f>
        <v>11</v>
      </c>
      <c r="C1142" s="2214">
        <f t="shared" ref="C1142:K1142" si="376">B1142+1</f>
        <v>12</v>
      </c>
      <c r="D1142" s="2214">
        <f t="shared" si="376"/>
        <v>13</v>
      </c>
      <c r="E1142" s="2214">
        <f t="shared" si="376"/>
        <v>14</v>
      </c>
      <c r="F1142" s="2214">
        <f t="shared" si="376"/>
        <v>15</v>
      </c>
      <c r="G1142" s="2214">
        <f t="shared" si="376"/>
        <v>16</v>
      </c>
      <c r="H1142" s="2214">
        <f t="shared" si="376"/>
        <v>17</v>
      </c>
      <c r="I1142" s="2214">
        <f t="shared" si="376"/>
        <v>18</v>
      </c>
      <c r="J1142" s="2214">
        <f t="shared" si="376"/>
        <v>19</v>
      </c>
      <c r="K1142" s="2214">
        <f t="shared" si="376"/>
        <v>20</v>
      </c>
      <c r="N1142" s="1853" t="s">
        <v>2496</v>
      </c>
      <c r="Z1142" s="1925"/>
      <c r="AA1142" s="2052">
        <v>46</v>
      </c>
    </row>
    <row r="1143" spans="1:27" s="1853" customFormat="1" ht="13.35" customHeight="1">
      <c r="A1143" s="1853" t="s">
        <v>2293</v>
      </c>
      <c r="B1143" s="2214">
        <f>'Part VII-Pro Forma'!B47</f>
        <v>749813.21969413501</v>
      </c>
      <c r="C1143" s="2214">
        <f>'Part VII-Pro Forma'!C47</f>
        <v>764809.48408801761</v>
      </c>
      <c r="D1143" s="2214">
        <f>'Part VII-Pro Forma'!D47</f>
        <v>780105.67376977811</v>
      </c>
      <c r="E1143" s="2214">
        <f>'Part VII-Pro Forma'!E47</f>
        <v>795707.78724517359</v>
      </c>
      <c r="F1143" s="2214">
        <f>'Part VII-Pro Forma'!F47</f>
        <v>811621.94299007719</v>
      </c>
      <c r="G1143" s="2214">
        <f>'Part VII-Pro Forma'!G47</f>
        <v>827854.38184987847</v>
      </c>
      <c r="H1143" s="2214">
        <f>'Part VII-Pro Forma'!H47</f>
        <v>844411.46948687616</v>
      </c>
      <c r="I1143" s="2214">
        <f>'Part VII-Pro Forma'!I47</f>
        <v>861299.69887661375</v>
      </c>
      <c r="J1143" s="2214">
        <f>'Part VII-Pro Forma'!J47</f>
        <v>878525.69285414601</v>
      </c>
      <c r="K1143" s="2214">
        <f>'Part VII-Pro Forma'!K47</f>
        <v>896096.20671122882</v>
      </c>
      <c r="N1143" s="2044"/>
      <c r="O1143" s="2044"/>
      <c r="Z1143" s="1925" t="s">
        <v>6773</v>
      </c>
      <c r="AA1143" s="1930">
        <v>47</v>
      </c>
    </row>
    <row r="1144" spans="1:27" s="1853" customFormat="1" ht="13.35" customHeight="1">
      <c r="A1144" s="1853" t="s">
        <v>977</v>
      </c>
      <c r="B1144" s="2214">
        <f>'Part VII-Pro Forma'!B48</f>
        <v>14996.2643938827</v>
      </c>
      <c r="C1144" s="2214">
        <f>'Part VII-Pro Forma'!C48</f>
        <v>15296.189681760352</v>
      </c>
      <c r="D1144" s="2214">
        <f>'Part VII-Pro Forma'!D48</f>
        <v>15602.113475395561</v>
      </c>
      <c r="E1144" s="2214">
        <f>'Part VII-Pro Forma'!E48</f>
        <v>15914.155744903472</v>
      </c>
      <c r="F1144" s="2214">
        <f>'Part VII-Pro Forma'!F48</f>
        <v>16232.438859801543</v>
      </c>
      <c r="G1144" s="2214">
        <f>'Part VII-Pro Forma'!G48</f>
        <v>16557.08763699757</v>
      </c>
      <c r="H1144" s="2214">
        <f>'Part VII-Pro Forma'!H48</f>
        <v>16888.229389737524</v>
      </c>
      <c r="I1144" s="2214">
        <f>'Part VII-Pro Forma'!I48</f>
        <v>17225.993977532275</v>
      </c>
      <c r="J1144" s="2214">
        <f>'Part VII-Pro Forma'!J48</f>
        <v>17570.513857082919</v>
      </c>
      <c r="K1144" s="2214">
        <f>'Part VII-Pro Forma'!K48</f>
        <v>17921.924134224577</v>
      </c>
      <c r="N1144" s="2044"/>
      <c r="O1144" s="2044"/>
      <c r="Z1144" s="1925" t="s">
        <v>6773</v>
      </c>
      <c r="AA1144" s="2052">
        <v>48</v>
      </c>
    </row>
    <row r="1145" spans="1:27" s="1853" customFormat="1" ht="13.35" customHeight="1">
      <c r="A1145" s="1853" t="s">
        <v>2294</v>
      </c>
      <c r="B1145" s="2214">
        <f>'Part VII-Pro Forma'!B49</f>
        <v>-53536.663886161245</v>
      </c>
      <c r="C1145" s="2214">
        <f>'Part VII-Pro Forma'!C49</f>
        <v>-54607.397163884467</v>
      </c>
      <c r="D1145" s="2214">
        <f>'Part VII-Pro Forma'!D49</f>
        <v>-55699.545107162165</v>
      </c>
      <c r="E1145" s="2214">
        <f>'Part VII-Pro Forma'!E49</f>
        <v>-56813.536009305404</v>
      </c>
      <c r="F1145" s="2214">
        <f>'Part VII-Pro Forma'!F49</f>
        <v>-57949.806729491516</v>
      </c>
      <c r="G1145" s="2214">
        <f>'Part VII-Pro Forma'!G49</f>
        <v>-59108.802864081328</v>
      </c>
      <c r="H1145" s="2214">
        <f>'Part VII-Pro Forma'!H49</f>
        <v>-60290.978921362963</v>
      </c>
      <c r="I1145" s="2214">
        <f>'Part VII-Pro Forma'!I49</f>
        <v>-61496.798499790224</v>
      </c>
      <c r="J1145" s="2214">
        <f>'Part VII-Pro Forma'!J49</f>
        <v>-62726.734469786032</v>
      </c>
      <c r="K1145" s="2214">
        <f>'Part VII-Pro Forma'!K49</f>
        <v>-63981.269159181742</v>
      </c>
      <c r="N1145" s="2044"/>
      <c r="O1145" s="2044"/>
      <c r="Z1145" s="1925" t="s">
        <v>6773</v>
      </c>
      <c r="AA1145" s="2052">
        <v>49</v>
      </c>
    </row>
    <row r="1146" spans="1:27" s="1853" customFormat="1" ht="13.35" customHeight="1">
      <c r="A1146" s="1853" t="s">
        <v>47</v>
      </c>
      <c r="B1146" s="2214">
        <f>'Part VII-Pro Forma'!B50</f>
        <v>0</v>
      </c>
      <c r="C1146" s="2214">
        <f>'Part VII-Pro Forma'!C50</f>
        <v>0</v>
      </c>
      <c r="D1146" s="2214">
        <f>'Part VII-Pro Forma'!D50</f>
        <v>0</v>
      </c>
      <c r="E1146" s="2214">
        <f>'Part VII-Pro Forma'!E50</f>
        <v>0</v>
      </c>
      <c r="F1146" s="2214">
        <f>'Part VII-Pro Forma'!F50</f>
        <v>0</v>
      </c>
      <c r="G1146" s="2214">
        <f>'Part VII-Pro Forma'!G50</f>
        <v>0</v>
      </c>
      <c r="H1146" s="2214">
        <f>'Part VII-Pro Forma'!H50</f>
        <v>0</v>
      </c>
      <c r="I1146" s="2214">
        <f>'Part VII-Pro Forma'!I50</f>
        <v>0</v>
      </c>
      <c r="J1146" s="2214">
        <f>'Part VII-Pro Forma'!J50</f>
        <v>0</v>
      </c>
      <c r="K1146" s="2214">
        <f>'Part VII-Pro Forma'!K50</f>
        <v>0</v>
      </c>
      <c r="N1146" s="2044"/>
      <c r="O1146" s="2044"/>
      <c r="Z1146" s="1925" t="s">
        <v>6773</v>
      </c>
      <c r="AA1146" s="1930">
        <v>50</v>
      </c>
    </row>
    <row r="1147" spans="1:27" s="1853" customFormat="1" ht="13.35" customHeight="1">
      <c r="A1147" s="1853" t="s">
        <v>48</v>
      </c>
      <c r="B1147" s="2214">
        <f>'Part VII-Pro Forma'!B51</f>
        <v>0</v>
      </c>
      <c r="C1147" s="2214">
        <f>'Part VII-Pro Forma'!C51</f>
        <v>0</v>
      </c>
      <c r="D1147" s="2214">
        <f>'Part VII-Pro Forma'!D51</f>
        <v>0</v>
      </c>
      <c r="E1147" s="2214">
        <f>'Part VII-Pro Forma'!E51</f>
        <v>0</v>
      </c>
      <c r="F1147" s="2214">
        <f>'Part VII-Pro Forma'!F51</f>
        <v>0</v>
      </c>
      <c r="G1147" s="2214">
        <f>'Part VII-Pro Forma'!G51</f>
        <v>0</v>
      </c>
      <c r="H1147" s="2214">
        <f>'Part VII-Pro Forma'!H51</f>
        <v>0</v>
      </c>
      <c r="I1147" s="2214">
        <f>'Part VII-Pro Forma'!I51</f>
        <v>0</v>
      </c>
      <c r="J1147" s="2214">
        <f>'Part VII-Pro Forma'!J51</f>
        <v>0</v>
      </c>
      <c r="K1147" s="2214">
        <f>'Part VII-Pro Forma'!K51</f>
        <v>0</v>
      </c>
      <c r="N1147" s="2044"/>
      <c r="O1147" s="2044"/>
      <c r="Z1147" s="1925" t="s">
        <v>6773</v>
      </c>
      <c r="AA1147" s="2052">
        <v>51</v>
      </c>
    </row>
    <row r="1148" spans="1:27" s="1853" customFormat="1" ht="13.35" customHeight="1">
      <c r="A1148" s="1853" t="s">
        <v>4013</v>
      </c>
      <c r="B1148" s="2214">
        <f>'Part VII-Pro Forma'!B52</f>
        <v>711272.82020185643</v>
      </c>
      <c r="C1148" s="2214">
        <f>'Part VII-Pro Forma'!C52</f>
        <v>725498.27660589351</v>
      </c>
      <c r="D1148" s="2214">
        <f>'Part VII-Pro Forma'!D52</f>
        <v>740008.2421380115</v>
      </c>
      <c r="E1148" s="2214">
        <f>'Part VII-Pro Forma'!E52</f>
        <v>754808.40698077169</v>
      </c>
      <c r="F1148" s="2214">
        <f>'Part VII-Pro Forma'!F52</f>
        <v>769904.57512038713</v>
      </c>
      <c r="G1148" s="2214">
        <f>'Part VII-Pro Forma'!G52</f>
        <v>785302.6666227947</v>
      </c>
      <c r="H1148" s="2214">
        <f>'Part VII-Pro Forma'!H52</f>
        <v>801008.71995525062</v>
      </c>
      <c r="I1148" s="2214">
        <f>'Part VII-Pro Forma'!I52</f>
        <v>817028.89435435575</v>
      </c>
      <c r="J1148" s="2214">
        <f>'Part VII-Pro Forma'!J52</f>
        <v>833369.47224144288</v>
      </c>
      <c r="K1148" s="2214">
        <f>'Part VII-Pro Forma'!K52</f>
        <v>850036.86168627162</v>
      </c>
      <c r="N1148" s="2044"/>
      <c r="O1148" s="2044"/>
      <c r="Z1148" s="1925" t="s">
        <v>6773</v>
      </c>
      <c r="AA1148" s="2052">
        <v>52</v>
      </c>
    </row>
    <row r="1149" spans="1:27" s="1853" customFormat="1" ht="13.35" customHeight="1">
      <c r="A1149" s="1853" t="s">
        <v>585</v>
      </c>
      <c r="B1149" s="2214">
        <f>'Part VII-Pro Forma'!B53</f>
        <v>-480306.30656293372</v>
      </c>
      <c r="C1149" s="2214">
        <f>'Part VII-Pro Forma'!C53</f>
        <v>-494715.49575982173</v>
      </c>
      <c r="D1149" s="2214">
        <f>'Part VII-Pro Forma'!D53</f>
        <v>-509556.9606326163</v>
      </c>
      <c r="E1149" s="2214">
        <f>'Part VII-Pro Forma'!E53</f>
        <v>-524843.66945159482</v>
      </c>
      <c r="F1149" s="2214">
        <f>'Part VII-Pro Forma'!F53</f>
        <v>-540588.97953514266</v>
      </c>
      <c r="G1149" s="2214">
        <f>'Part VII-Pro Forma'!G53</f>
        <v>-556806.64892119705</v>
      </c>
      <c r="H1149" s="2214">
        <f>'Part VII-Pro Forma'!H53</f>
        <v>-573510.84838883276</v>
      </c>
      <c r="I1149" s="2214">
        <f>'Part VII-Pro Forma'!I53</f>
        <v>-590716.17384049774</v>
      </c>
      <c r="J1149" s="2214">
        <f>'Part VII-Pro Forma'!J53</f>
        <v>-608437.65905571275</v>
      </c>
      <c r="K1149" s="2214">
        <f>'Part VII-Pro Forma'!K53</f>
        <v>-626690.78882738412</v>
      </c>
      <c r="N1149" s="2044"/>
      <c r="O1149" s="2044"/>
      <c r="Z1149" s="1925" t="s">
        <v>6773</v>
      </c>
      <c r="AA1149" s="2052">
        <v>53</v>
      </c>
    </row>
    <row r="1150" spans="1:27" s="1853" customFormat="1" ht="13.35" customHeight="1">
      <c r="A1150" s="1853" t="s">
        <v>1075</v>
      </c>
      <c r="B1150" s="2214">
        <f>'Part VII-Pro Forma'!B54</f>
        <v>-42676</v>
      </c>
      <c r="C1150" s="2214">
        <f>'Part VII-Pro Forma'!C54</f>
        <v>-43530</v>
      </c>
      <c r="D1150" s="2214">
        <f>'Part VII-Pro Forma'!D54</f>
        <v>-44400</v>
      </c>
      <c r="E1150" s="2214">
        <f>'Part VII-Pro Forma'!E54</f>
        <v>-45289</v>
      </c>
      <c r="F1150" s="2214">
        <f>'Part VII-Pro Forma'!F54</f>
        <v>-46194</v>
      </c>
      <c r="G1150" s="2214">
        <f>'Part VII-Pro Forma'!G54</f>
        <v>-47118</v>
      </c>
      <c r="H1150" s="2214">
        <f>'Part VII-Pro Forma'!H54</f>
        <v>-48061</v>
      </c>
      <c r="I1150" s="2214">
        <f>'Part VII-Pro Forma'!I54</f>
        <v>-49022</v>
      </c>
      <c r="J1150" s="2214">
        <f>'Part VII-Pro Forma'!J54</f>
        <v>-50002</v>
      </c>
      <c r="K1150" s="2214">
        <f>'Part VII-Pro Forma'!K54</f>
        <v>-51002</v>
      </c>
      <c r="N1150" s="2044"/>
      <c r="O1150" s="2044"/>
      <c r="Z1150" s="1925" t="s">
        <v>6773</v>
      </c>
      <c r="AA1150" s="2052">
        <v>54</v>
      </c>
    </row>
    <row r="1151" spans="1:27" s="1853" customFormat="1" ht="13.35" customHeight="1">
      <c r="A1151" s="1853" t="s">
        <v>1156</v>
      </c>
      <c r="B1151" s="2214">
        <f>'Part VII-Pro Forma'!B55</f>
        <v>-24190.494828194191</v>
      </c>
      <c r="C1151" s="2214">
        <f>'Part VII-Pro Forma'!C55</f>
        <v>-24916.209673040019</v>
      </c>
      <c r="D1151" s="2214">
        <f>'Part VII-Pro Forma'!D55</f>
        <v>-25663.695963231214</v>
      </c>
      <c r="E1151" s="2214">
        <f>'Part VII-Pro Forma'!E55</f>
        <v>-26433.606842128149</v>
      </c>
      <c r="F1151" s="2214">
        <f>'Part VII-Pro Forma'!F55</f>
        <v>-27226.615047391999</v>
      </c>
      <c r="G1151" s="2214">
        <f>'Part VII-Pro Forma'!G55</f>
        <v>-28043.413498813759</v>
      </c>
      <c r="H1151" s="2214">
        <f>'Part VII-Pro Forma'!H55</f>
        <v>-28884.715903778168</v>
      </c>
      <c r="I1151" s="2214">
        <f>'Part VII-Pro Forma'!I55</f>
        <v>-29751.257380891511</v>
      </c>
      <c r="J1151" s="2214">
        <f>'Part VII-Pro Forma'!J55</f>
        <v>-30643.795102318258</v>
      </c>
      <c r="K1151" s="2214">
        <f>'Part VII-Pro Forma'!K55</f>
        <v>-31563.108955387805</v>
      </c>
      <c r="N1151" s="2044"/>
      <c r="O1151" s="2044"/>
      <c r="Q1151" s="2052">
        <v>10</v>
      </c>
      <c r="R1151" s="2141">
        <f>-SUM(B1157:K1157)</f>
        <v>0</v>
      </c>
      <c r="S1151" s="2141">
        <f>SUM(B1158:K1158)+R1151</f>
        <v>0</v>
      </c>
      <c r="Z1151" s="1925" t="s">
        <v>6773</v>
      </c>
      <c r="AA1151" s="2052">
        <v>55</v>
      </c>
    </row>
    <row r="1152" spans="1:27" s="1853" customFormat="1" ht="13.35" customHeight="1">
      <c r="A1152" s="1853" t="s">
        <v>4012</v>
      </c>
      <c r="B1152" s="2215">
        <f>'Part VII-Pro Forma'!B56</f>
        <v>-10</v>
      </c>
      <c r="C1152" s="2215">
        <f>'Part VII-Pro Forma'!C56</f>
        <v>-10</v>
      </c>
      <c r="D1152" s="2215">
        <f>'Part VII-Pro Forma'!D56</f>
        <v>-10</v>
      </c>
      <c r="E1152" s="2215">
        <f>'Part VII-Pro Forma'!E56</f>
        <v>-10</v>
      </c>
      <c r="F1152" s="2215">
        <f>'Part VII-Pro Forma'!F56</f>
        <v>-10</v>
      </c>
      <c r="G1152" s="2215">
        <f>'Part VII-Pro Forma'!G56</f>
        <v>-10</v>
      </c>
      <c r="H1152" s="2215">
        <f>'Part VII-Pro Forma'!H56</f>
        <v>-10</v>
      </c>
      <c r="I1152" s="2215">
        <f>'Part VII-Pro Forma'!I56</f>
        <v>-10</v>
      </c>
      <c r="J1152" s="2215">
        <f>'Part VII-Pro Forma'!J56</f>
        <v>-10</v>
      </c>
      <c r="K1152" s="2215">
        <f>'Part VII-Pro Forma'!K56</f>
        <v>-10</v>
      </c>
      <c r="N1152" s="2044"/>
      <c r="O1152" s="2044"/>
      <c r="Z1152" s="1925" t="s">
        <v>6773</v>
      </c>
      <c r="AA1152" s="2052">
        <v>56</v>
      </c>
    </row>
    <row r="1153" spans="1:27" s="1853" customFormat="1" ht="13.35" customHeight="1">
      <c r="A1153" s="1853" t="s">
        <v>1157</v>
      </c>
      <c r="B1153" s="2214">
        <f>'Part VII-Pro Forma'!B57</f>
        <v>164090.01881072851</v>
      </c>
      <c r="C1153" s="2214">
        <f>'Part VII-Pro Forma'!C57</f>
        <v>162326.57117303176</v>
      </c>
      <c r="D1153" s="2214">
        <f>'Part VII-Pro Forma'!D57</f>
        <v>160377.58554216399</v>
      </c>
      <c r="E1153" s="2214">
        <f>'Part VII-Pro Forma'!E57</f>
        <v>158232.13068704872</v>
      </c>
      <c r="F1153" s="2214">
        <f>'Part VII-Pro Forma'!F57</f>
        <v>155884.98053785248</v>
      </c>
      <c r="G1153" s="2214">
        <f>'Part VII-Pro Forma'!G57</f>
        <v>153324.6042027839</v>
      </c>
      <c r="H1153" s="2214">
        <f>'Part VII-Pro Forma'!H57</f>
        <v>150542.15566263971</v>
      </c>
      <c r="I1153" s="2214">
        <f>'Part VII-Pro Forma'!I57</f>
        <v>147529.46313296651</v>
      </c>
      <c r="J1153" s="2214">
        <f>'Part VII-Pro Forma'!J57</f>
        <v>144276.01808341188</v>
      </c>
      <c r="K1153" s="2214">
        <f>'Part VII-Pro Forma'!K57</f>
        <v>140770.96390349968</v>
      </c>
      <c r="N1153" s="2044"/>
      <c r="O1153" s="2044"/>
      <c r="Z1153" s="1925" t="s">
        <v>6773</v>
      </c>
      <c r="AA1153" s="2052">
        <v>57</v>
      </c>
    </row>
    <row r="1154" spans="1:27" s="1853" customFormat="1" ht="13.35" customHeight="1">
      <c r="A1154" s="1853" t="str">
        <f>$A1122</f>
        <v>Mortgage A</v>
      </c>
      <c r="B1154" s="2215">
        <f>'Part VII-Pro Forma'!B58</f>
        <v>-125796.43867670429</v>
      </c>
      <c r="C1154" s="2215">
        <f>'Part VII-Pro Forma'!C58</f>
        <v>-125796.43867670429</v>
      </c>
      <c r="D1154" s="2215">
        <f>'Part VII-Pro Forma'!D58</f>
        <v>-125796.43867670429</v>
      </c>
      <c r="E1154" s="2215">
        <f>'Part VII-Pro Forma'!E58</f>
        <v>-125796.43867670429</v>
      </c>
      <c r="F1154" s="2215">
        <f>'Part VII-Pro Forma'!F58</f>
        <v>-125796.43867670429</v>
      </c>
      <c r="G1154" s="2215">
        <f>'Part VII-Pro Forma'!G58</f>
        <v>-125796.43867670429</v>
      </c>
      <c r="H1154" s="2215">
        <f>'Part VII-Pro Forma'!H58</f>
        <v>-125796.43867670429</v>
      </c>
      <c r="I1154" s="2215">
        <f>'Part VII-Pro Forma'!I58</f>
        <v>-125796.43867670429</v>
      </c>
      <c r="J1154" s="2215">
        <f>'Part VII-Pro Forma'!J58</f>
        <v>-125796.43867670429</v>
      </c>
      <c r="K1154" s="2215">
        <f>'Part VII-Pro Forma'!K58</f>
        <v>-125796.43867670429</v>
      </c>
      <c r="N1154" s="2044"/>
      <c r="O1154" s="2044"/>
      <c r="Z1154" s="1925" t="s">
        <v>6773</v>
      </c>
      <c r="AA1154" s="2052">
        <v>58</v>
      </c>
    </row>
    <row r="1155" spans="1:27" s="1853" customFormat="1" ht="13.35" customHeight="1">
      <c r="A1155" s="1853" t="str">
        <f>$A1123</f>
        <v>Mortgage B</v>
      </c>
      <c r="B1155" s="2215">
        <f>'Part VII-Pro Forma'!B59</f>
        <v>0</v>
      </c>
      <c r="C1155" s="2215">
        <f>'Part VII-Pro Forma'!C59</f>
        <v>0</v>
      </c>
      <c r="D1155" s="2215">
        <f>'Part VII-Pro Forma'!D59</f>
        <v>0</v>
      </c>
      <c r="E1155" s="2215">
        <f>'Part VII-Pro Forma'!E59</f>
        <v>0</v>
      </c>
      <c r="F1155" s="2215">
        <f>'Part VII-Pro Forma'!F59</f>
        <v>0</v>
      </c>
      <c r="G1155" s="2215">
        <f>'Part VII-Pro Forma'!G59</f>
        <v>0</v>
      </c>
      <c r="H1155" s="2215">
        <f>'Part VII-Pro Forma'!H59</f>
        <v>0</v>
      </c>
      <c r="I1155" s="2215">
        <f>'Part VII-Pro Forma'!I59</f>
        <v>0</v>
      </c>
      <c r="J1155" s="2215">
        <f>'Part VII-Pro Forma'!J59</f>
        <v>0</v>
      </c>
      <c r="K1155" s="2215">
        <f>'Part VII-Pro Forma'!K59</f>
        <v>0</v>
      </c>
      <c r="N1155" s="2044"/>
      <c r="O1155" s="2044"/>
      <c r="Z1155" s="1925" t="s">
        <v>6773</v>
      </c>
      <c r="AA1155" s="1930">
        <v>59</v>
      </c>
    </row>
    <row r="1156" spans="1:27" s="1853" customFormat="1" ht="13.35" customHeight="1">
      <c r="A1156" s="1853" t="str">
        <f>$A1124</f>
        <v>Mortgage C</v>
      </c>
      <c r="B1156" s="2215">
        <f>'Part VII-Pro Forma'!B60</f>
        <v>0</v>
      </c>
      <c r="C1156" s="2215">
        <f>'Part VII-Pro Forma'!C60</f>
        <v>0</v>
      </c>
      <c r="D1156" s="2215">
        <f>'Part VII-Pro Forma'!D60</f>
        <v>0</v>
      </c>
      <c r="E1156" s="2215">
        <f>'Part VII-Pro Forma'!E60</f>
        <v>0</v>
      </c>
      <c r="F1156" s="2215">
        <f>'Part VII-Pro Forma'!F60</f>
        <v>0</v>
      </c>
      <c r="G1156" s="2215">
        <f>'Part VII-Pro Forma'!G60</f>
        <v>0</v>
      </c>
      <c r="H1156" s="2215">
        <f>'Part VII-Pro Forma'!H60</f>
        <v>0</v>
      </c>
      <c r="I1156" s="2215">
        <f>'Part VII-Pro Forma'!I60</f>
        <v>0</v>
      </c>
      <c r="J1156" s="2215">
        <f>'Part VII-Pro Forma'!J60</f>
        <v>0</v>
      </c>
      <c r="K1156" s="2215">
        <f>'Part VII-Pro Forma'!K60</f>
        <v>0</v>
      </c>
      <c r="N1156" s="2044"/>
      <c r="O1156" s="2044"/>
      <c r="Z1156" s="1925" t="s">
        <v>6773</v>
      </c>
      <c r="AA1156" s="2052">
        <v>60</v>
      </c>
    </row>
    <row r="1157" spans="1:27" s="1853" customFormat="1" ht="13.35" customHeight="1">
      <c r="A1157" s="1853" t="str">
        <f>$A1125</f>
        <v>D/S Other Source,not DDF</v>
      </c>
      <c r="B1157" s="2215">
        <f>'Part VII-Pro Forma'!B61</f>
        <v>0</v>
      </c>
      <c r="C1157" s="2215">
        <f>'Part VII-Pro Forma'!C61</f>
        <v>0</v>
      </c>
      <c r="D1157" s="2215">
        <f>'Part VII-Pro Forma'!D61</f>
        <v>0</v>
      </c>
      <c r="E1157" s="2215">
        <f>'Part VII-Pro Forma'!E61</f>
        <v>0</v>
      </c>
      <c r="F1157" s="2215">
        <f>'Part VII-Pro Forma'!F61</f>
        <v>0</v>
      </c>
      <c r="G1157" s="2215">
        <f>'Part VII-Pro Forma'!G61</f>
        <v>0</v>
      </c>
      <c r="H1157" s="2215">
        <f>'Part VII-Pro Forma'!H61</f>
        <v>0</v>
      </c>
      <c r="I1157" s="2215">
        <f>'Part VII-Pro Forma'!I61</f>
        <v>0</v>
      </c>
      <c r="J1157" s="2215">
        <f>'Part VII-Pro Forma'!J61</f>
        <v>0</v>
      </c>
      <c r="K1157" s="2215">
        <f>'Part VII-Pro Forma'!K61</f>
        <v>0</v>
      </c>
      <c r="N1157" s="2044"/>
      <c r="O1157" s="2044"/>
      <c r="Z1157" s="1925" t="s">
        <v>6773</v>
      </c>
      <c r="AA1157" s="2052">
        <v>61</v>
      </c>
    </row>
    <row r="1158" spans="1:27" s="1853" customFormat="1" ht="13.35" customHeight="1">
      <c r="A1158" s="1853" t="s">
        <v>733</v>
      </c>
      <c r="B1158" s="2215">
        <f>'Part VII-Pro Forma'!B62</f>
        <v>0</v>
      </c>
      <c r="C1158" s="2215">
        <f>'Part VII-Pro Forma'!C62</f>
        <v>0</v>
      </c>
      <c r="D1158" s="2215">
        <f>'Part VII-Pro Forma'!D62</f>
        <v>0</v>
      </c>
      <c r="E1158" s="2215">
        <f>'Part VII-Pro Forma'!E62</f>
        <v>0</v>
      </c>
      <c r="F1158" s="2215">
        <f>'Part VII-Pro Forma'!F62</f>
        <v>0</v>
      </c>
      <c r="G1158" s="2215">
        <f>'Part VII-Pro Forma'!G62</f>
        <v>0</v>
      </c>
      <c r="H1158" s="2215">
        <f>'Part VII-Pro Forma'!H62</f>
        <v>0</v>
      </c>
      <c r="I1158" s="2215">
        <f>'Part VII-Pro Forma'!I62</f>
        <v>0</v>
      </c>
      <c r="J1158" s="2215">
        <f>'Part VII-Pro Forma'!J62</f>
        <v>0</v>
      </c>
      <c r="K1158" s="2215">
        <f>'Part VII-Pro Forma'!K62</f>
        <v>0</v>
      </c>
      <c r="N1158" s="2044"/>
      <c r="O1158" s="2044"/>
      <c r="Q1158" s="2052"/>
      <c r="R1158" s="2141"/>
      <c r="Z1158" s="1925" t="s">
        <v>6773</v>
      </c>
      <c r="AA1158" s="2052">
        <v>62</v>
      </c>
    </row>
    <row r="1159" spans="1:27" s="1853" customFormat="1" ht="13.35" customHeight="1">
      <c r="A1159" s="1853" t="s">
        <v>1121</v>
      </c>
      <c r="B1159" s="2215">
        <f>'Part VII-Pro Forma'!B63</f>
        <v>0</v>
      </c>
      <c r="C1159" s="2215">
        <f>'Part VII-Pro Forma'!C63</f>
        <v>0</v>
      </c>
      <c r="D1159" s="2215">
        <f>'Part VII-Pro Forma'!D63</f>
        <v>0</v>
      </c>
      <c r="E1159" s="2215">
        <f>'Part VII-Pro Forma'!E63</f>
        <v>0</v>
      </c>
      <c r="F1159" s="2215">
        <f>'Part VII-Pro Forma'!F63</f>
        <v>0</v>
      </c>
      <c r="G1159" s="2215">
        <f>'Part VII-Pro Forma'!G63</f>
        <v>0</v>
      </c>
      <c r="H1159" s="2215">
        <f>'Part VII-Pro Forma'!H63</f>
        <v>0</v>
      </c>
      <c r="I1159" s="2215">
        <f>'Part VII-Pro Forma'!I63</f>
        <v>0</v>
      </c>
      <c r="J1159" s="2215">
        <f>'Part VII-Pro Forma'!J63</f>
        <v>0</v>
      </c>
      <c r="K1159" s="2215">
        <f>'Part VII-Pro Forma'!K63</f>
        <v>0</v>
      </c>
      <c r="N1159" s="2044"/>
      <c r="O1159" s="2044"/>
      <c r="Z1159" s="1925" t="s">
        <v>6773</v>
      </c>
      <c r="AA1159" s="2052">
        <v>63</v>
      </c>
    </row>
    <row r="1160" spans="1:27" s="1853" customFormat="1" ht="13.35" customHeight="1">
      <c r="A1160" s="1853" t="s">
        <v>3508</v>
      </c>
      <c r="B1160" s="2215">
        <f>'Part VII-Pro Forma'!B64</f>
        <v>0</v>
      </c>
      <c r="C1160" s="2215">
        <f>'Part VII-Pro Forma'!C64</f>
        <v>0</v>
      </c>
      <c r="D1160" s="2215">
        <f>'Part VII-Pro Forma'!D64</f>
        <v>0</v>
      </c>
      <c r="E1160" s="2215">
        <f>'Part VII-Pro Forma'!E64</f>
        <v>0</v>
      </c>
      <c r="F1160" s="2215">
        <f>'Part VII-Pro Forma'!F64</f>
        <v>0</v>
      </c>
      <c r="G1160" s="2215">
        <f>'Part VII-Pro Forma'!G64</f>
        <v>0</v>
      </c>
      <c r="H1160" s="2215">
        <f>'Part VII-Pro Forma'!H64</f>
        <v>0</v>
      </c>
      <c r="I1160" s="2215">
        <f>'Part VII-Pro Forma'!I64</f>
        <v>0</v>
      </c>
      <c r="J1160" s="2215">
        <f>'Part VII-Pro Forma'!J64</f>
        <v>0</v>
      </c>
      <c r="K1160" s="2215">
        <f>'Part VII-Pro Forma'!K64</f>
        <v>0</v>
      </c>
      <c r="N1160" s="2044"/>
      <c r="O1160" s="2044"/>
      <c r="Z1160" s="1925" t="s">
        <v>6773</v>
      </c>
      <c r="AA1160" s="2052">
        <v>64</v>
      </c>
    </row>
    <row r="1161" spans="1:27" s="1853" customFormat="1" ht="13.35" customHeight="1">
      <c r="A1161" s="1853" t="s">
        <v>1122</v>
      </c>
      <c r="B1161" s="2214">
        <f>'Part VII-Pro Forma'!B65</f>
        <v>38293.580134024218</v>
      </c>
      <c r="C1161" s="2214">
        <f>'Part VII-Pro Forma'!C65</f>
        <v>36530.132496327467</v>
      </c>
      <c r="D1161" s="2214">
        <f>'Part VII-Pro Forma'!D65</f>
        <v>34581.146865459697</v>
      </c>
      <c r="E1161" s="2214">
        <f>'Part VII-Pro Forma'!E65</f>
        <v>32435.692010344428</v>
      </c>
      <c r="F1161" s="2214">
        <f>'Part VII-Pro Forma'!F65</f>
        <v>30088.541861148187</v>
      </c>
      <c r="G1161" s="2214">
        <f>'Part VII-Pro Forma'!G65</f>
        <v>27528.165526079611</v>
      </c>
      <c r="H1161" s="2214">
        <f>'Part VII-Pro Forma'!H65</f>
        <v>24745.716985935418</v>
      </c>
      <c r="I1161" s="2214">
        <f>'Part VII-Pro Forma'!I65</f>
        <v>21733.024456262225</v>
      </c>
      <c r="J1161" s="2214">
        <f>'Part VII-Pro Forma'!J65</f>
        <v>18479.579406707591</v>
      </c>
      <c r="K1161" s="2214">
        <f>'Part VII-Pro Forma'!K65</f>
        <v>14974.525226795391</v>
      </c>
      <c r="N1161" s="2044"/>
      <c r="O1161" s="2044"/>
      <c r="Z1161" s="1925" t="s">
        <v>6773</v>
      </c>
      <c r="AA1161" s="2052">
        <v>65</v>
      </c>
    </row>
    <row r="1162" spans="1:27" s="1853" customFormat="1" ht="13.35" customHeight="1">
      <c r="A1162" s="1853" t="str">
        <f>$A1130</f>
        <v>DCR Mortgage A</v>
      </c>
      <c r="B1162" s="2216">
        <f>'Part VII-Pro Forma'!B66</f>
        <v>1.3044090956536407</v>
      </c>
      <c r="C1162" s="2216">
        <f>'Part VII-Pro Forma'!C66</f>
        <v>1.2903908320505764</v>
      </c>
      <c r="D1162" s="2216">
        <f>'Part VII-Pro Forma'!D66</f>
        <v>1.2748976618832026</v>
      </c>
      <c r="E1162" s="2216">
        <f>'Part VII-Pro Forma'!E66</f>
        <v>1.2578426889627923</v>
      </c>
      <c r="F1162" s="2216">
        <f>'Part VII-Pro Forma'!F66</f>
        <v>1.2391843694277822</v>
      </c>
      <c r="G1162" s="2216">
        <f>'Part VII-Pro Forma'!G66</f>
        <v>1.2188310401761591</v>
      </c>
      <c r="H1162" s="2216">
        <f>'Part VII-Pro Forma'!H66</f>
        <v>1.1967123810995293</v>
      </c>
      <c r="I1162" s="2216">
        <f>'Part VII-Pro Forma'!I66</f>
        <v>1.1727634318179381</v>
      </c>
      <c r="J1162" s="2216">
        <f>'Part VII-Pro Forma'!J66</f>
        <v>1.1469006563389281</v>
      </c>
      <c r="K1162" s="2216">
        <f>'Part VII-Pro Forma'!K66</f>
        <v>1.1190377516590895</v>
      </c>
      <c r="N1162" s="2044"/>
      <c r="O1162" s="2044"/>
      <c r="Z1162" s="1925" t="s">
        <v>6773</v>
      </c>
      <c r="AA1162" s="2052">
        <v>66</v>
      </c>
    </row>
    <row r="1163" spans="1:27" s="1853" customFormat="1" ht="13.35" customHeight="1">
      <c r="A1163" s="1853" t="str">
        <f>$A1131</f>
        <v>DCR Mortgage B</v>
      </c>
      <c r="B1163" s="2216" t="str">
        <f>'Part VII-Pro Forma'!B67</f>
        <v/>
      </c>
      <c r="C1163" s="2216" t="str">
        <f>'Part VII-Pro Forma'!C67</f>
        <v/>
      </c>
      <c r="D1163" s="2216" t="str">
        <f>'Part VII-Pro Forma'!D67</f>
        <v/>
      </c>
      <c r="E1163" s="2216" t="str">
        <f>'Part VII-Pro Forma'!E67</f>
        <v/>
      </c>
      <c r="F1163" s="2216" t="str">
        <f>'Part VII-Pro Forma'!F67</f>
        <v/>
      </c>
      <c r="G1163" s="2216" t="str">
        <f>'Part VII-Pro Forma'!G67</f>
        <v/>
      </c>
      <c r="H1163" s="2216" t="str">
        <f>'Part VII-Pro Forma'!H67</f>
        <v/>
      </c>
      <c r="I1163" s="2216" t="str">
        <f>'Part VII-Pro Forma'!I67</f>
        <v/>
      </c>
      <c r="J1163" s="2216" t="str">
        <f>'Part VII-Pro Forma'!J67</f>
        <v/>
      </c>
      <c r="K1163" s="2216" t="str">
        <f>'Part VII-Pro Forma'!K67</f>
        <v/>
      </c>
      <c r="N1163" s="2044"/>
      <c r="O1163" s="2044"/>
      <c r="Z1163" s="1925" t="s">
        <v>6773</v>
      </c>
      <c r="AA1163" s="2052">
        <v>67</v>
      </c>
    </row>
    <row r="1164" spans="1:27" s="1853" customFormat="1" ht="13.35" customHeight="1">
      <c r="A1164" s="1853" t="str">
        <f>$A1132</f>
        <v>DCR Mortgage C</v>
      </c>
      <c r="B1164" s="2216" t="str">
        <f>'Part VII-Pro Forma'!B68</f>
        <v/>
      </c>
      <c r="C1164" s="2216" t="str">
        <f>'Part VII-Pro Forma'!C68</f>
        <v/>
      </c>
      <c r="D1164" s="2216" t="str">
        <f>'Part VII-Pro Forma'!D68</f>
        <v/>
      </c>
      <c r="E1164" s="2216" t="str">
        <f>'Part VII-Pro Forma'!E68</f>
        <v/>
      </c>
      <c r="F1164" s="2216" t="str">
        <f>'Part VII-Pro Forma'!F68</f>
        <v/>
      </c>
      <c r="G1164" s="2216" t="str">
        <f>'Part VII-Pro Forma'!G68</f>
        <v/>
      </c>
      <c r="H1164" s="2216" t="str">
        <f>'Part VII-Pro Forma'!H68</f>
        <v/>
      </c>
      <c r="I1164" s="2216" t="str">
        <f>'Part VII-Pro Forma'!I68</f>
        <v/>
      </c>
      <c r="J1164" s="2216" t="str">
        <f>'Part VII-Pro Forma'!J68</f>
        <v/>
      </c>
      <c r="K1164" s="2216" t="str">
        <f>'Part VII-Pro Forma'!K68</f>
        <v/>
      </c>
      <c r="N1164" s="2044"/>
      <c r="O1164" s="2044"/>
      <c r="Z1164" s="1925" t="s">
        <v>6773</v>
      </c>
      <c r="AA1164" s="1930">
        <v>68</v>
      </c>
    </row>
    <row r="1165" spans="1:27" s="1853" customFormat="1" ht="13.35" customHeight="1">
      <c r="A1165" s="1853" t="str">
        <f>$A1133</f>
        <v>DCR Other Source</v>
      </c>
      <c r="B1165" s="2216" t="str">
        <f>'Part VII-Pro Forma'!B69</f>
        <v/>
      </c>
      <c r="C1165" s="2216" t="str">
        <f>'Part VII-Pro Forma'!C69</f>
        <v/>
      </c>
      <c r="D1165" s="2216" t="str">
        <f>'Part VII-Pro Forma'!D69</f>
        <v/>
      </c>
      <c r="E1165" s="2216" t="str">
        <f>'Part VII-Pro Forma'!E69</f>
        <v/>
      </c>
      <c r="F1165" s="2216" t="str">
        <f>'Part VII-Pro Forma'!F69</f>
        <v/>
      </c>
      <c r="G1165" s="2216" t="str">
        <f>'Part VII-Pro Forma'!G69</f>
        <v/>
      </c>
      <c r="H1165" s="2216" t="str">
        <f>'Part VII-Pro Forma'!H69</f>
        <v/>
      </c>
      <c r="I1165" s="2216" t="str">
        <f>'Part VII-Pro Forma'!I69</f>
        <v/>
      </c>
      <c r="J1165" s="2216" t="str">
        <f>'Part VII-Pro Forma'!J69</f>
        <v/>
      </c>
      <c r="K1165" s="2216" t="str">
        <f>'Part VII-Pro Forma'!K69</f>
        <v/>
      </c>
      <c r="N1165" s="2044"/>
      <c r="O1165" s="2044"/>
      <c r="Z1165" s="1925" t="s">
        <v>6773</v>
      </c>
      <c r="AA1165" s="2052">
        <v>69</v>
      </c>
    </row>
    <row r="1166" spans="1:27" s="1853" customFormat="1" ht="13.35" customHeight="1">
      <c r="A1166" s="1853" t="s">
        <v>3343</v>
      </c>
      <c r="B1166" s="2216">
        <f>'Part VII-Pro Forma'!B70</f>
        <v>1.3044090956536407</v>
      </c>
      <c r="C1166" s="2216">
        <f>'Part VII-Pro Forma'!C70</f>
        <v>1.2903908320505764</v>
      </c>
      <c r="D1166" s="2216">
        <f>'Part VII-Pro Forma'!D70</f>
        <v>1.2748976618832026</v>
      </c>
      <c r="E1166" s="2216">
        <f>'Part VII-Pro Forma'!E70</f>
        <v>1.2578426889627923</v>
      </c>
      <c r="F1166" s="2216">
        <f>'Part VII-Pro Forma'!F70</f>
        <v>1.2391843694277822</v>
      </c>
      <c r="G1166" s="2216">
        <f>'Part VII-Pro Forma'!G70</f>
        <v>1.2188310401761591</v>
      </c>
      <c r="H1166" s="2216">
        <f>'Part VII-Pro Forma'!H70</f>
        <v>1.1967123810995293</v>
      </c>
      <c r="I1166" s="2216">
        <f>'Part VII-Pro Forma'!I70</f>
        <v>1.1727634318179381</v>
      </c>
      <c r="J1166" s="2216">
        <f>'Part VII-Pro Forma'!J70</f>
        <v>1.1469006563389281</v>
      </c>
      <c r="K1166" s="2216">
        <f>'Part VII-Pro Forma'!K70</f>
        <v>1.1190377516590895</v>
      </c>
      <c r="N1166" s="2044"/>
      <c r="O1166" s="2044"/>
      <c r="Z1166" s="1925" t="s">
        <v>6773</v>
      </c>
      <c r="AA1166" s="2052">
        <v>70</v>
      </c>
    </row>
    <row r="1167" spans="1:27" s="1853" customFormat="1" ht="13.35" customHeight="1">
      <c r="A1167" s="1853" t="s">
        <v>740</v>
      </c>
      <c r="B1167" s="2216">
        <f>'Part VII-Pro Forma'!B71</f>
        <v>1.2999052920640828</v>
      </c>
      <c r="C1167" s="2216">
        <f>'Part VII-Pro Forma'!C71</f>
        <v>1.2882592505970474</v>
      </c>
      <c r="D1167" s="2216">
        <f>'Part VII-Pro Forma'!D71</f>
        <v>1.2767113002565011</v>
      </c>
      <c r="E1167" s="2216">
        <f>'Part VII-Pro Forma'!E71</f>
        <v>1.2652549045684529</v>
      </c>
      <c r="F1167" s="2216">
        <f>'Part VII-Pro Forma'!F71</f>
        <v>1.253896652289034</v>
      </c>
      <c r="G1167" s="2216">
        <f>'Part VII-Pro Forma'!G71</f>
        <v>1.2426303057398438</v>
      </c>
      <c r="H1167" s="2216">
        <f>'Part VII-Pro Forma'!H71</f>
        <v>1.23145612470891</v>
      </c>
      <c r="I1167" s="2216">
        <f>'Part VII-Pro Forma'!I71</f>
        <v>1.2203760899762099</v>
      </c>
      <c r="J1167" s="2216">
        <f>'Part VII-Pro Forma'!J71</f>
        <v>1.2093883073418303</v>
      </c>
      <c r="K1167" s="2216">
        <f>'Part VII-Pro Forma'!K71</f>
        <v>1.1984910726066567</v>
      </c>
      <c r="N1167" s="2044"/>
      <c r="O1167" s="2044"/>
      <c r="Z1167" s="1925" t="s">
        <v>6773</v>
      </c>
      <c r="AA1167" s="2052">
        <v>71</v>
      </c>
    </row>
    <row r="1168" spans="1:27" s="1853" customFormat="1" ht="13.35" customHeight="1">
      <c r="A1168" s="1853" t="s">
        <v>2492</v>
      </c>
      <c r="B1168" s="2215">
        <f>'Part VII-Pro Forma'!B72</f>
        <v>1714582.343221568</v>
      </c>
      <c r="C1168" s="2215">
        <f>'Part VII-Pro Forma'!C72</f>
        <v>1677927.8201014523</v>
      </c>
      <c r="D1168" s="2215">
        <f>'Part VII-Pro Forma'!D72</f>
        <v>1639301.9475708413</v>
      </c>
      <c r="E1168" s="2215">
        <f>'Part VII-Pro Forma'!E72</f>
        <v>1598598.7027390397</v>
      </c>
      <c r="F1168" s="2215">
        <f>'Part VII-Pro Forma'!F72</f>
        <v>1555706.3606042538</v>
      </c>
      <c r="G1168" s="2215">
        <f>'Part VII-Pro Forma'!G72</f>
        <v>1510507.1873832995</v>
      </c>
      <c r="H1168" s="2215">
        <f>'Part VII-Pro Forma'!H72</f>
        <v>1462877.1173480006</v>
      </c>
      <c r="I1168" s="2215">
        <f>'Part VII-Pro Forma'!I72</f>
        <v>1412685.4122812424</v>
      </c>
      <c r="J1168" s="2215">
        <f>'Part VII-Pro Forma'!J72</f>
        <v>1359794.3026179257</v>
      </c>
      <c r="K1168" s="2215">
        <f>'Part VII-Pro Forma'!K72</f>
        <v>1304058.6092858065</v>
      </c>
      <c r="N1168" s="2044"/>
      <c r="O1168" s="2044"/>
      <c r="Z1168" s="1925" t="s">
        <v>6773</v>
      </c>
      <c r="AA1168" s="2052">
        <v>72</v>
      </c>
    </row>
    <row r="1169" spans="1:27" s="1853" customFormat="1" ht="13.35" customHeight="1">
      <c r="A1169" s="1853" t="s">
        <v>2493</v>
      </c>
      <c r="B1169" s="2215" t="str">
        <f>'Part VII-Pro Forma'!B73</f>
        <v/>
      </c>
      <c r="C1169" s="2215" t="str">
        <f>'Part VII-Pro Forma'!C73</f>
        <v/>
      </c>
      <c r="D1169" s="2215" t="str">
        <f>'Part VII-Pro Forma'!D73</f>
        <v/>
      </c>
      <c r="E1169" s="2215" t="str">
        <f>'Part VII-Pro Forma'!E73</f>
        <v/>
      </c>
      <c r="F1169" s="2215" t="str">
        <f>'Part VII-Pro Forma'!F73</f>
        <v/>
      </c>
      <c r="G1169" s="2215" t="str">
        <f>'Part VII-Pro Forma'!G73</f>
        <v/>
      </c>
      <c r="H1169" s="2215" t="str">
        <f>'Part VII-Pro Forma'!H73</f>
        <v/>
      </c>
      <c r="I1169" s="2215" t="str">
        <f>'Part VII-Pro Forma'!I73</f>
        <v/>
      </c>
      <c r="J1169" s="2215" t="str">
        <f>'Part VII-Pro Forma'!J73</f>
        <v/>
      </c>
      <c r="K1169" s="2215" t="str">
        <f>'Part VII-Pro Forma'!K73</f>
        <v/>
      </c>
      <c r="N1169" s="2044"/>
      <c r="O1169" s="2044"/>
      <c r="Z1169" s="1925" t="s">
        <v>6773</v>
      </c>
      <c r="AA1169" s="1930">
        <v>73</v>
      </c>
    </row>
    <row r="1170" spans="1:27" s="1853" customFormat="1" ht="13.35" customHeight="1">
      <c r="A1170" s="1853" t="s">
        <v>2494</v>
      </c>
      <c r="B1170" s="2215" t="str">
        <f>'Part VII-Pro Forma'!B74</f>
        <v/>
      </c>
      <c r="C1170" s="2215" t="str">
        <f>'Part VII-Pro Forma'!C74</f>
        <v/>
      </c>
      <c r="D1170" s="2215" t="str">
        <f>'Part VII-Pro Forma'!D74</f>
        <v/>
      </c>
      <c r="E1170" s="2215" t="str">
        <f>'Part VII-Pro Forma'!E74</f>
        <v/>
      </c>
      <c r="F1170" s="2215" t="str">
        <f>'Part VII-Pro Forma'!F74</f>
        <v/>
      </c>
      <c r="G1170" s="2215" t="str">
        <f>'Part VII-Pro Forma'!G74</f>
        <v/>
      </c>
      <c r="H1170" s="2215" t="str">
        <f>'Part VII-Pro Forma'!H74</f>
        <v/>
      </c>
      <c r="I1170" s="2215" t="str">
        <f>'Part VII-Pro Forma'!I74</f>
        <v/>
      </c>
      <c r="J1170" s="2215" t="str">
        <f>'Part VII-Pro Forma'!J74</f>
        <v/>
      </c>
      <c r="K1170" s="2215" t="str">
        <f>'Part VII-Pro Forma'!K74</f>
        <v/>
      </c>
      <c r="N1170" s="2044"/>
      <c r="O1170" s="2044"/>
      <c r="Z1170" s="1925" t="s">
        <v>6773</v>
      </c>
      <c r="AA1170" s="2052">
        <v>74</v>
      </c>
    </row>
    <row r="1171" spans="1:27" s="1853" customFormat="1" ht="13.35" customHeight="1">
      <c r="A1171" s="1853" t="s">
        <v>752</v>
      </c>
      <c r="B1171" s="2215" t="str">
        <f>'Part VII-Pro Forma'!B75</f>
        <v/>
      </c>
      <c r="C1171" s="2215" t="str">
        <f>'Part VII-Pro Forma'!C75</f>
        <v/>
      </c>
      <c r="D1171" s="2215" t="str">
        <f>'Part VII-Pro Forma'!D75</f>
        <v/>
      </c>
      <c r="E1171" s="2215" t="str">
        <f>'Part VII-Pro Forma'!E75</f>
        <v/>
      </c>
      <c r="F1171" s="2215" t="str">
        <f>'Part VII-Pro Forma'!F75</f>
        <v/>
      </c>
      <c r="G1171" s="2215" t="str">
        <f>'Part VII-Pro Forma'!G75</f>
        <v/>
      </c>
      <c r="H1171" s="2215" t="str">
        <f>'Part VII-Pro Forma'!H75</f>
        <v/>
      </c>
      <c r="I1171" s="2215" t="str">
        <f>'Part VII-Pro Forma'!I75</f>
        <v/>
      </c>
      <c r="J1171" s="2215" t="str">
        <f>'Part VII-Pro Forma'!J75</f>
        <v/>
      </c>
      <c r="K1171" s="2215" t="str">
        <f>'Part VII-Pro Forma'!K75</f>
        <v/>
      </c>
      <c r="N1171" s="2044"/>
      <c r="O1171" s="2044"/>
      <c r="Z1171" s="1925" t="s">
        <v>6773</v>
      </c>
      <c r="AA1171" s="2052">
        <v>75</v>
      </c>
    </row>
    <row r="1172" spans="1:27" s="1853" customFormat="1" ht="13.35" customHeight="1">
      <c r="A1172" s="1853" t="s">
        <v>3509</v>
      </c>
      <c r="B1172" s="2215">
        <f>'Part VII-Pro Forma'!B76</f>
        <v>0</v>
      </c>
      <c r="C1172" s="2215">
        <f>'Part VII-Pro Forma'!C76</f>
        <v>0</v>
      </c>
      <c r="D1172" s="2215">
        <f>'Part VII-Pro Forma'!D76</f>
        <v>0</v>
      </c>
      <c r="E1172" s="2215">
        <f>'Part VII-Pro Forma'!E76</f>
        <v>0</v>
      </c>
      <c r="F1172" s="2215">
        <f>'Part VII-Pro Forma'!F76</f>
        <v>0</v>
      </c>
      <c r="G1172" s="2215">
        <f>'Part VII-Pro Forma'!G76</f>
        <v>0</v>
      </c>
      <c r="H1172" s="2215" t="str">
        <f>'Part VII-Pro Forma'!H76</f>
        <v/>
      </c>
      <c r="I1172" s="2215" t="str">
        <f>'Part VII-Pro Forma'!I76</f>
        <v/>
      </c>
      <c r="J1172" s="2215" t="str">
        <f>'Part VII-Pro Forma'!J76</f>
        <v/>
      </c>
      <c r="K1172" s="2215" t="str">
        <f>'Part VII-Pro Forma'!K76</f>
        <v/>
      </c>
      <c r="N1172" s="2044"/>
      <c r="O1172" s="2044"/>
      <c r="Z1172" s="1925" t="s">
        <v>6773</v>
      </c>
      <c r="AA1172" s="2052">
        <v>76</v>
      </c>
    </row>
    <row r="1173" spans="1:27" s="1853" customFormat="1" ht="4.3499999999999996" customHeight="1">
      <c r="B1173" s="2214"/>
      <c r="C1173" s="2214"/>
      <c r="D1173" s="2214"/>
      <c r="E1173" s="2214"/>
      <c r="F1173" s="2214"/>
      <c r="G1173" s="2214"/>
      <c r="H1173" s="2214"/>
      <c r="I1173" s="2214"/>
      <c r="J1173" s="2214"/>
      <c r="K1173" s="2214"/>
      <c r="Z1173" s="1925"/>
      <c r="AA1173" s="2052">
        <v>77</v>
      </c>
    </row>
    <row r="1174" spans="1:27" s="1853" customFormat="1" ht="14.45" customHeight="1">
      <c r="A1174" s="1853" t="s">
        <v>2367</v>
      </c>
      <c r="B1174" s="2214">
        <f>K1142+1</f>
        <v>21</v>
      </c>
      <c r="C1174" s="2214">
        <f t="shared" ref="C1174:K1174" si="377">B1174+1</f>
        <v>22</v>
      </c>
      <c r="D1174" s="2214">
        <f t="shared" si="377"/>
        <v>23</v>
      </c>
      <c r="E1174" s="2214">
        <f t="shared" si="377"/>
        <v>24</v>
      </c>
      <c r="F1174" s="2214">
        <f t="shared" si="377"/>
        <v>25</v>
      </c>
      <c r="G1174" s="2214">
        <f t="shared" si="377"/>
        <v>26</v>
      </c>
      <c r="H1174" s="2214">
        <f t="shared" si="377"/>
        <v>27</v>
      </c>
      <c r="I1174" s="2214">
        <f t="shared" si="377"/>
        <v>28</v>
      </c>
      <c r="J1174" s="2214">
        <f t="shared" si="377"/>
        <v>29</v>
      </c>
      <c r="K1174" s="2214">
        <f t="shared" si="377"/>
        <v>30</v>
      </c>
      <c r="N1174" s="1853" t="s">
        <v>2497</v>
      </c>
      <c r="Z1174" s="1925"/>
      <c r="AA1174" s="2052">
        <v>78</v>
      </c>
    </row>
    <row r="1175" spans="1:27" s="1853" customFormat="1" ht="13.35" customHeight="1">
      <c r="A1175" s="1853" t="s">
        <v>2293</v>
      </c>
      <c r="B1175" s="2214">
        <f>'Part VII-Pro Forma'!B79</f>
        <v>914018.13084545347</v>
      </c>
      <c r="C1175" s="2214">
        <f>'Part VII-Pro Forma'!C79</f>
        <v>932298.49346236256</v>
      </c>
      <c r="D1175" s="2214">
        <f>'Part VII-Pro Forma'!D79</f>
        <v>950944.46333160985</v>
      </c>
      <c r="E1175" s="2214">
        <f>'Part VII-Pro Forma'!E79</f>
        <v>969963.35259824188</v>
      </c>
      <c r="F1175" s="2214">
        <f>'Part VII-Pro Forma'!F79</f>
        <v>989362.61965020676</v>
      </c>
      <c r="G1175" s="2214">
        <f>'Part VII-Pro Forma'!G79</f>
        <v>1009149.8720432109</v>
      </c>
      <c r="H1175" s="2214">
        <f>'Part VII-Pro Forma'!H79</f>
        <v>1029332.8694840752</v>
      </c>
      <c r="I1175" s="2214">
        <f>'Part VII-Pro Forma'!I79</f>
        <v>1049919.5268737564</v>
      </c>
      <c r="J1175" s="2214">
        <f>'Part VII-Pro Forma'!J79</f>
        <v>1070917.9174112319</v>
      </c>
      <c r="K1175" s="2214">
        <f>'Part VII-Pro Forma'!K79</f>
        <v>1092336.2757594562</v>
      </c>
      <c r="N1175" s="2044"/>
      <c r="O1175" s="2044"/>
      <c r="Z1175" s="1925" t="s">
        <v>6774</v>
      </c>
      <c r="AA1175" s="2052">
        <v>79</v>
      </c>
    </row>
    <row r="1176" spans="1:27" s="1853" customFormat="1" ht="13.35" customHeight="1">
      <c r="A1176" s="1853" t="s">
        <v>977</v>
      </c>
      <c r="B1176" s="2214">
        <f>'Part VII-Pro Forma'!B80</f>
        <v>18280.362616909071</v>
      </c>
      <c r="C1176" s="2214">
        <f>'Part VII-Pro Forma'!C80</f>
        <v>18645.969869247248</v>
      </c>
      <c r="D1176" s="2214">
        <f>'Part VII-Pro Forma'!D80</f>
        <v>19018.889266632195</v>
      </c>
      <c r="E1176" s="2214">
        <f>'Part VII-Pro Forma'!E80</f>
        <v>19399.267051964838</v>
      </c>
      <c r="F1176" s="2214">
        <f>'Part VII-Pro Forma'!F80</f>
        <v>19787.252393004135</v>
      </c>
      <c r="G1176" s="2214">
        <f>'Part VII-Pro Forma'!G80</f>
        <v>20182.997440864216</v>
      </c>
      <c r="H1176" s="2214">
        <f>'Part VII-Pro Forma'!H80</f>
        <v>20586.657389681503</v>
      </c>
      <c r="I1176" s="2214">
        <f>'Part VII-Pro Forma'!I80</f>
        <v>20998.39053747513</v>
      </c>
      <c r="J1176" s="2214">
        <f>'Part VII-Pro Forma'!J80</f>
        <v>21418.358348224636</v>
      </c>
      <c r="K1176" s="2214">
        <f>'Part VII-Pro Forma'!K80</f>
        <v>21846.725515189126</v>
      </c>
      <c r="N1176" s="2044"/>
      <c r="O1176" s="2044"/>
      <c r="Z1176" s="1925" t="s">
        <v>6774</v>
      </c>
      <c r="AA1176" s="2052">
        <v>80</v>
      </c>
    </row>
    <row r="1177" spans="1:27" s="1853" customFormat="1" ht="13.35" customHeight="1">
      <c r="A1177" s="1853" t="s">
        <v>2294</v>
      </c>
      <c r="B1177" s="2214">
        <f>'Part VII-Pro Forma'!B81</f>
        <v>-65260.894542365386</v>
      </c>
      <c r="C1177" s="2214">
        <f>'Part VII-Pro Forma'!C81</f>
        <v>-66566.112433212693</v>
      </c>
      <c r="D1177" s="2214">
        <f>'Part VII-Pro Forma'!D81</f>
        <v>-67897.434681876941</v>
      </c>
      <c r="E1177" s="2214">
        <f>'Part VII-Pro Forma'!E81</f>
        <v>-69255.383375514473</v>
      </c>
      <c r="F1177" s="2214">
        <f>'Part VII-Pro Forma'!F81</f>
        <v>-70640.491043024769</v>
      </c>
      <c r="G1177" s="2214">
        <f>'Part VII-Pro Forma'!G81</f>
        <v>-72053.300863885263</v>
      </c>
      <c r="H1177" s="2214">
        <f>'Part VII-Pro Forma'!H81</f>
        <v>-73494.366881162976</v>
      </c>
      <c r="I1177" s="2214">
        <f>'Part VII-Pro Forma'!I81</f>
        <v>-74964.254218786227</v>
      </c>
      <c r="J1177" s="2214">
        <f>'Part VII-Pro Forma'!J81</f>
        <v>-76463.539303161961</v>
      </c>
      <c r="K1177" s="2214">
        <f>'Part VII-Pro Forma'!K81</f>
        <v>-77992.810089225182</v>
      </c>
      <c r="N1177" s="2044"/>
      <c r="O1177" s="2044"/>
      <c r="Z1177" s="1925" t="s">
        <v>6774</v>
      </c>
      <c r="AA1177" s="2052">
        <v>81</v>
      </c>
    </row>
    <row r="1178" spans="1:27" s="1853" customFormat="1" ht="13.35" customHeight="1">
      <c r="A1178" s="1853" t="s">
        <v>47</v>
      </c>
      <c r="B1178" s="2214">
        <f>'Part VII-Pro Forma'!B82</f>
        <v>0</v>
      </c>
      <c r="C1178" s="2214">
        <f>'Part VII-Pro Forma'!C82</f>
        <v>0</v>
      </c>
      <c r="D1178" s="2214">
        <f>'Part VII-Pro Forma'!D82</f>
        <v>0</v>
      </c>
      <c r="E1178" s="2214">
        <f>'Part VII-Pro Forma'!E82</f>
        <v>0</v>
      </c>
      <c r="F1178" s="2214">
        <f>'Part VII-Pro Forma'!F82</f>
        <v>0</v>
      </c>
      <c r="G1178" s="2214">
        <f>'Part VII-Pro Forma'!G82</f>
        <v>0</v>
      </c>
      <c r="H1178" s="2214">
        <f>'Part VII-Pro Forma'!H82</f>
        <v>0</v>
      </c>
      <c r="I1178" s="2214">
        <f>'Part VII-Pro Forma'!I82</f>
        <v>0</v>
      </c>
      <c r="J1178" s="2214">
        <f>'Part VII-Pro Forma'!J82</f>
        <v>0</v>
      </c>
      <c r="K1178" s="2214">
        <f>'Part VII-Pro Forma'!K82</f>
        <v>0</v>
      </c>
      <c r="N1178" s="2044"/>
      <c r="O1178" s="2044"/>
      <c r="Z1178" s="1925" t="s">
        <v>6774</v>
      </c>
      <c r="AA1178" s="1930">
        <v>82</v>
      </c>
    </row>
    <row r="1179" spans="1:27" s="1853" customFormat="1" ht="13.35" customHeight="1">
      <c r="A1179" s="1853" t="s">
        <v>48</v>
      </c>
      <c r="B1179" s="2214">
        <f>'Part VII-Pro Forma'!B83</f>
        <v>0</v>
      </c>
      <c r="C1179" s="2214">
        <f>'Part VII-Pro Forma'!C83</f>
        <v>0</v>
      </c>
      <c r="D1179" s="2214">
        <f>'Part VII-Pro Forma'!D83</f>
        <v>0</v>
      </c>
      <c r="E1179" s="2214">
        <f>'Part VII-Pro Forma'!E83</f>
        <v>0</v>
      </c>
      <c r="F1179" s="2214">
        <f>'Part VII-Pro Forma'!F83</f>
        <v>0</v>
      </c>
      <c r="G1179" s="2214">
        <f>'Part VII-Pro Forma'!G83</f>
        <v>0</v>
      </c>
      <c r="H1179" s="2214">
        <f>'Part VII-Pro Forma'!H83</f>
        <v>0</v>
      </c>
      <c r="I1179" s="2214">
        <f>'Part VII-Pro Forma'!I83</f>
        <v>0</v>
      </c>
      <c r="J1179" s="2214">
        <f>'Part VII-Pro Forma'!J83</f>
        <v>0</v>
      </c>
      <c r="K1179" s="2214">
        <f>'Part VII-Pro Forma'!K83</f>
        <v>0</v>
      </c>
      <c r="N1179" s="2044"/>
      <c r="O1179" s="2044"/>
      <c r="Z1179" s="1925" t="s">
        <v>6774</v>
      </c>
      <c r="AA1179" s="2052">
        <v>83</v>
      </c>
    </row>
    <row r="1180" spans="1:27" s="1853" customFormat="1" ht="13.35" customHeight="1">
      <c r="A1180" s="1853" t="s">
        <v>4013</v>
      </c>
      <c r="B1180" s="2214">
        <f>'Part VII-Pro Forma'!B84</f>
        <v>867037.59891999722</v>
      </c>
      <c r="C1180" s="2214">
        <f>'Part VII-Pro Forma'!C84</f>
        <v>884378.35089839716</v>
      </c>
      <c r="D1180" s="2214">
        <f>'Part VII-Pro Forma'!D84</f>
        <v>902065.91791636508</v>
      </c>
      <c r="E1180" s="2214">
        <f>'Part VII-Pro Forma'!E84</f>
        <v>920107.23627469223</v>
      </c>
      <c r="F1180" s="2214">
        <f>'Part VII-Pro Forma'!F84</f>
        <v>938509.38100018608</v>
      </c>
      <c r="G1180" s="2214">
        <f>'Part VII-Pro Forma'!G84</f>
        <v>957279.56862018979</v>
      </c>
      <c r="H1180" s="2214">
        <f>'Part VII-Pro Forma'!H84</f>
        <v>976425.15999259369</v>
      </c>
      <c r="I1180" s="2214">
        <f>'Part VII-Pro Forma'!I84</f>
        <v>995953.66319244541</v>
      </c>
      <c r="J1180" s="2214">
        <f>'Part VII-Pro Forma'!J84</f>
        <v>1015872.7364562945</v>
      </c>
      <c r="K1180" s="2214">
        <f>'Part VII-Pro Forma'!K84</f>
        <v>1036190.1911854201</v>
      </c>
      <c r="N1180" s="2044"/>
      <c r="O1180" s="2044"/>
      <c r="Z1180" s="1925" t="s">
        <v>6774</v>
      </c>
      <c r="AA1180" s="2052">
        <v>84</v>
      </c>
    </row>
    <row r="1181" spans="1:27" s="1853" customFormat="1" ht="13.35" customHeight="1">
      <c r="A1181" s="1853" t="s">
        <v>585</v>
      </c>
      <c r="B1181" s="2214">
        <f>'Part VII-Pro Forma'!B85</f>
        <v>-645491.5124922056</v>
      </c>
      <c r="C1181" s="2214">
        <f>'Part VII-Pro Forma'!C85</f>
        <v>-664856.25786697166</v>
      </c>
      <c r="D1181" s="2214">
        <f>'Part VII-Pro Forma'!D85</f>
        <v>-684801.94560298091</v>
      </c>
      <c r="E1181" s="2214">
        <f>'Part VII-Pro Forma'!E85</f>
        <v>-705346.0039710704</v>
      </c>
      <c r="F1181" s="2214">
        <f>'Part VII-Pro Forma'!F85</f>
        <v>-726506.38409020239</v>
      </c>
      <c r="G1181" s="2214">
        <f>'Part VII-Pro Forma'!G85</f>
        <v>-748301.57561290846</v>
      </c>
      <c r="H1181" s="2214">
        <f>'Part VII-Pro Forma'!H85</f>
        <v>-770750.62288129586</v>
      </c>
      <c r="I1181" s="2214">
        <f>'Part VII-Pro Forma'!I85</f>
        <v>-793873.14156773454</v>
      </c>
      <c r="J1181" s="2214">
        <f>'Part VII-Pro Forma'!J85</f>
        <v>-817689.33581476659</v>
      </c>
      <c r="K1181" s="2214">
        <f>'Part VII-Pro Forma'!K85</f>
        <v>-842220.01588920958</v>
      </c>
      <c r="N1181" s="2044"/>
      <c r="O1181" s="2044"/>
      <c r="Z1181" s="1925" t="s">
        <v>6774</v>
      </c>
      <c r="AA1181" s="2052">
        <v>85</v>
      </c>
    </row>
    <row r="1182" spans="1:27" s="1853" customFormat="1" ht="13.35" customHeight="1">
      <c r="A1182" s="1853" t="s">
        <v>1075</v>
      </c>
      <c r="B1182" s="2214">
        <f>'Part VII-Pro Forma'!B86</f>
        <v>-52022</v>
      </c>
      <c r="C1182" s="2214">
        <f>'Part VII-Pro Forma'!C86</f>
        <v>-53063</v>
      </c>
      <c r="D1182" s="2214">
        <f>'Part VII-Pro Forma'!D86</f>
        <v>-54124</v>
      </c>
      <c r="E1182" s="2214">
        <f>'Part VII-Pro Forma'!E86</f>
        <v>-55206</v>
      </c>
      <c r="F1182" s="2214">
        <f>'Part VII-Pro Forma'!F86</f>
        <v>-56311</v>
      </c>
      <c r="G1182" s="2214">
        <f>'Part VII-Pro Forma'!G86</f>
        <v>-57437</v>
      </c>
      <c r="H1182" s="2214">
        <f>'Part VII-Pro Forma'!H86</f>
        <v>-58586</v>
      </c>
      <c r="I1182" s="2214">
        <f>'Part VII-Pro Forma'!I86</f>
        <v>-59757</v>
      </c>
      <c r="J1182" s="2214">
        <f>'Part VII-Pro Forma'!J86</f>
        <v>-60952</v>
      </c>
      <c r="K1182" s="2214">
        <f>'Part VII-Pro Forma'!K86</f>
        <v>-62171</v>
      </c>
      <c r="N1182" s="2044"/>
      <c r="O1182" s="2044"/>
      <c r="Z1182" s="1925" t="s">
        <v>6774</v>
      </c>
      <c r="AA1182" s="2052">
        <v>86</v>
      </c>
    </row>
    <row r="1183" spans="1:27" s="1853" customFormat="1" ht="13.35" customHeight="1">
      <c r="A1183" s="1853" t="s">
        <v>1156</v>
      </c>
      <c r="B1183" s="2214">
        <f>'Part VII-Pro Forma'!B87</f>
        <v>-32510.00222404944</v>
      </c>
      <c r="C1183" s="2214">
        <f>'Part VII-Pro Forma'!C87</f>
        <v>-33485.302290770916</v>
      </c>
      <c r="D1183" s="2214">
        <f>'Part VII-Pro Forma'!D87</f>
        <v>-34489.861359494047</v>
      </c>
      <c r="E1183" s="2214">
        <f>'Part VII-Pro Forma'!E87</f>
        <v>-35524.557200278869</v>
      </c>
      <c r="F1183" s="2214">
        <f>'Part VII-Pro Forma'!F87</f>
        <v>-36590.293916287235</v>
      </c>
      <c r="G1183" s="2214">
        <f>'Part VII-Pro Forma'!G87</f>
        <v>-37688.002733775851</v>
      </c>
      <c r="H1183" s="2214">
        <f>'Part VII-Pro Forma'!H87</f>
        <v>-38818.642815789128</v>
      </c>
      <c r="I1183" s="2214">
        <f>'Part VII-Pro Forma'!I87</f>
        <v>-39983.202100262803</v>
      </c>
      <c r="J1183" s="2214">
        <f>'Part VII-Pro Forma'!J87</f>
        <v>-41182.698163270681</v>
      </c>
      <c r="K1183" s="2214">
        <f>'Part VII-Pro Forma'!K87</f>
        <v>-42418.179108168799</v>
      </c>
      <c r="N1183" s="2044"/>
      <c r="O1183" s="2044"/>
      <c r="Q1183" s="2052">
        <v>10</v>
      </c>
      <c r="R1183" s="2141">
        <f>-SUM(B1189:K1189)</f>
        <v>0</v>
      </c>
      <c r="S1183" s="2141">
        <f>SUM(B1190:K1190)+R1183</f>
        <v>0</v>
      </c>
      <c r="Z1183" s="1925" t="s">
        <v>6774</v>
      </c>
      <c r="AA1183" s="2052">
        <v>87</v>
      </c>
    </row>
    <row r="1184" spans="1:27" s="1853" customFormat="1" ht="13.35" customHeight="1">
      <c r="A1184" s="1853" t="s">
        <v>4012</v>
      </c>
      <c r="B1184" s="2215">
        <f>'Part VII-Pro Forma'!B88</f>
        <v>-10</v>
      </c>
      <c r="C1184" s="2215">
        <f>'Part VII-Pro Forma'!C88</f>
        <v>-10</v>
      </c>
      <c r="D1184" s="2215">
        <f>'Part VII-Pro Forma'!D88</f>
        <v>-10</v>
      </c>
      <c r="E1184" s="2215">
        <f>'Part VII-Pro Forma'!E88</f>
        <v>-10</v>
      </c>
      <c r="F1184" s="2215">
        <f>'Part VII-Pro Forma'!F88</f>
        <v>-10</v>
      </c>
      <c r="G1184" s="2215">
        <f>'Part VII-Pro Forma'!G88</f>
        <v>-10</v>
      </c>
      <c r="H1184" s="2215">
        <f>'Part VII-Pro Forma'!H88</f>
        <v>-10</v>
      </c>
      <c r="I1184" s="2215">
        <f>'Part VII-Pro Forma'!I88</f>
        <v>-10</v>
      </c>
      <c r="J1184" s="2215">
        <f>'Part VII-Pro Forma'!J88</f>
        <v>-10</v>
      </c>
      <c r="K1184" s="2215">
        <f>'Part VII-Pro Forma'!K88</f>
        <v>-10</v>
      </c>
      <c r="N1184" s="2044"/>
      <c r="O1184" s="2044"/>
      <c r="Z1184" s="1925" t="s">
        <v>6774</v>
      </c>
      <c r="AA1184" s="2052">
        <v>88</v>
      </c>
    </row>
    <row r="1185" spans="1:27" s="1853" customFormat="1" ht="13.35" customHeight="1">
      <c r="A1185" s="1853" t="s">
        <v>1157</v>
      </c>
      <c r="B1185" s="2214">
        <f>'Part VII-Pro Forma'!B89</f>
        <v>137004.08420374218</v>
      </c>
      <c r="C1185" s="2214">
        <f>'Part VII-Pro Forma'!C89</f>
        <v>132963.79074065457</v>
      </c>
      <c r="D1185" s="2214">
        <f>'Part VII-Pro Forma'!D89</f>
        <v>128640.11095389014</v>
      </c>
      <c r="E1185" s="2214">
        <f>'Part VII-Pro Forma'!E89</f>
        <v>124020.67510334296</v>
      </c>
      <c r="F1185" s="2214">
        <f>'Part VII-Pro Forma'!F89</f>
        <v>119091.70299369645</v>
      </c>
      <c r="G1185" s="2214">
        <f>'Part VII-Pro Forma'!G89</f>
        <v>113842.99027350548</v>
      </c>
      <c r="H1185" s="2214">
        <f>'Part VII-Pro Forma'!H89</f>
        <v>108259.89429550871</v>
      </c>
      <c r="I1185" s="2214">
        <f>'Part VII-Pro Forma'!I89</f>
        <v>102330.31952444807</v>
      </c>
      <c r="J1185" s="2214">
        <f>'Part VII-Pro Forma'!J89</f>
        <v>96038.70247825727</v>
      </c>
      <c r="K1185" s="2214">
        <f>'Part VII-Pro Forma'!K89</f>
        <v>89370.996188041769</v>
      </c>
      <c r="N1185" s="2044"/>
      <c r="O1185" s="2044"/>
      <c r="Z1185" s="1925" t="s">
        <v>6774</v>
      </c>
      <c r="AA1185" s="2052">
        <v>89</v>
      </c>
    </row>
    <row r="1186" spans="1:27" s="1853" customFormat="1" ht="13.35" customHeight="1">
      <c r="A1186" s="1853" t="str">
        <f>$A1154</f>
        <v>Mortgage A</v>
      </c>
      <c r="B1186" s="2215">
        <f>'Part VII-Pro Forma'!B90</f>
        <v>-125796.43867670429</v>
      </c>
      <c r="C1186" s="2215">
        <f>'Part VII-Pro Forma'!C90</f>
        <v>-125796.43867670429</v>
      </c>
      <c r="D1186" s="2215">
        <f>'Part VII-Pro Forma'!D90</f>
        <v>-125796.43867670429</v>
      </c>
      <c r="E1186" s="2215">
        <f>'Part VII-Pro Forma'!E90</f>
        <v>-125796.43867670429</v>
      </c>
      <c r="F1186" s="2215">
        <f>'Part VII-Pro Forma'!F90</f>
        <v>-125796.43867670429</v>
      </c>
      <c r="G1186" s="2215">
        <f>'Part VII-Pro Forma'!G90</f>
        <v>-125796.43867670429</v>
      </c>
      <c r="H1186" s="2215">
        <f>'Part VII-Pro Forma'!H90</f>
        <v>-125796.43867670429</v>
      </c>
      <c r="I1186" s="2215">
        <f>'Part VII-Pro Forma'!I90</f>
        <v>-125796.43867670429</v>
      </c>
      <c r="J1186" s="2215">
        <f>'Part VII-Pro Forma'!J90</f>
        <v>-125796.43867670429</v>
      </c>
      <c r="K1186" s="2215">
        <f>'Part VII-Pro Forma'!K90</f>
        <v>-125796.43867670429</v>
      </c>
      <c r="N1186" s="2044"/>
      <c r="O1186" s="2044"/>
      <c r="Z1186" s="1925" t="s">
        <v>6774</v>
      </c>
      <c r="AA1186" s="2052">
        <v>90</v>
      </c>
    </row>
    <row r="1187" spans="1:27" s="1853" customFormat="1" ht="13.35" customHeight="1">
      <c r="A1187" s="1853" t="str">
        <f>$A1155</f>
        <v>Mortgage B</v>
      </c>
      <c r="B1187" s="2215">
        <f>'Part VII-Pro Forma'!B91</f>
        <v>0</v>
      </c>
      <c r="C1187" s="2215">
        <f>'Part VII-Pro Forma'!C91</f>
        <v>0</v>
      </c>
      <c r="D1187" s="2215">
        <f>'Part VII-Pro Forma'!D91</f>
        <v>0</v>
      </c>
      <c r="E1187" s="2215">
        <f>'Part VII-Pro Forma'!E91</f>
        <v>0</v>
      </c>
      <c r="F1187" s="2215">
        <f>'Part VII-Pro Forma'!F91</f>
        <v>0</v>
      </c>
      <c r="G1187" s="2215">
        <f>'Part VII-Pro Forma'!G91</f>
        <v>0</v>
      </c>
      <c r="H1187" s="2215">
        <f>'Part VII-Pro Forma'!H91</f>
        <v>0</v>
      </c>
      <c r="I1187" s="2215">
        <f>'Part VII-Pro Forma'!I91</f>
        <v>0</v>
      </c>
      <c r="J1187" s="2215">
        <f>'Part VII-Pro Forma'!J91</f>
        <v>0</v>
      </c>
      <c r="K1187" s="2215">
        <f>'Part VII-Pro Forma'!K91</f>
        <v>0</v>
      </c>
      <c r="N1187" s="2044"/>
      <c r="O1187" s="2044"/>
      <c r="Z1187" s="1925" t="s">
        <v>6774</v>
      </c>
      <c r="AA1187" s="1930">
        <v>91</v>
      </c>
    </row>
    <row r="1188" spans="1:27" s="1853" customFormat="1" ht="13.35" customHeight="1">
      <c r="A1188" s="1853" t="str">
        <f>$A1156</f>
        <v>Mortgage C</v>
      </c>
      <c r="B1188" s="2215">
        <f>'Part VII-Pro Forma'!B92</f>
        <v>0</v>
      </c>
      <c r="C1188" s="2215">
        <f>'Part VII-Pro Forma'!C92</f>
        <v>0</v>
      </c>
      <c r="D1188" s="2215">
        <f>'Part VII-Pro Forma'!D92</f>
        <v>0</v>
      </c>
      <c r="E1188" s="2215">
        <f>'Part VII-Pro Forma'!E92</f>
        <v>0</v>
      </c>
      <c r="F1188" s="2215">
        <f>'Part VII-Pro Forma'!F92</f>
        <v>0</v>
      </c>
      <c r="G1188" s="2215">
        <f>'Part VII-Pro Forma'!G92</f>
        <v>0</v>
      </c>
      <c r="H1188" s="2215">
        <f>'Part VII-Pro Forma'!H92</f>
        <v>0</v>
      </c>
      <c r="I1188" s="2215">
        <f>'Part VII-Pro Forma'!I92</f>
        <v>0</v>
      </c>
      <c r="J1188" s="2215">
        <f>'Part VII-Pro Forma'!J92</f>
        <v>0</v>
      </c>
      <c r="K1188" s="2215">
        <f>'Part VII-Pro Forma'!K92</f>
        <v>0</v>
      </c>
      <c r="N1188" s="2044"/>
      <c r="O1188" s="2044"/>
      <c r="Z1188" s="1925" t="s">
        <v>6774</v>
      </c>
      <c r="AA1188" s="2052">
        <v>92</v>
      </c>
    </row>
    <row r="1189" spans="1:27" s="1853" customFormat="1" ht="13.35" customHeight="1">
      <c r="A1189" s="1853" t="str">
        <f>$A1157</f>
        <v>D/S Other Source,not DDF</v>
      </c>
      <c r="B1189" s="2215">
        <f>'Part VII-Pro Forma'!B93</f>
        <v>0</v>
      </c>
      <c r="C1189" s="2215">
        <f>'Part VII-Pro Forma'!C93</f>
        <v>0</v>
      </c>
      <c r="D1189" s="2215">
        <f>'Part VII-Pro Forma'!D93</f>
        <v>0</v>
      </c>
      <c r="E1189" s="2215">
        <f>'Part VII-Pro Forma'!E93</f>
        <v>0</v>
      </c>
      <c r="F1189" s="2215">
        <f>'Part VII-Pro Forma'!F93</f>
        <v>0</v>
      </c>
      <c r="G1189" s="2215">
        <f>'Part VII-Pro Forma'!G93</f>
        <v>0</v>
      </c>
      <c r="H1189" s="2215">
        <f>'Part VII-Pro Forma'!H93</f>
        <v>0</v>
      </c>
      <c r="I1189" s="2215">
        <f>'Part VII-Pro Forma'!I93</f>
        <v>0</v>
      </c>
      <c r="J1189" s="2215">
        <f>'Part VII-Pro Forma'!J93</f>
        <v>0</v>
      </c>
      <c r="K1189" s="2215">
        <f>'Part VII-Pro Forma'!K93</f>
        <v>0</v>
      </c>
      <c r="N1189" s="2044"/>
      <c r="O1189" s="2044"/>
      <c r="Z1189" s="1925" t="s">
        <v>6774</v>
      </c>
      <c r="AA1189" s="2052">
        <v>93</v>
      </c>
    </row>
    <row r="1190" spans="1:27" s="1853" customFormat="1" ht="13.35" customHeight="1">
      <c r="A1190" s="1853" t="s">
        <v>733</v>
      </c>
      <c r="B1190" s="2215">
        <f>'Part VII-Pro Forma'!B94</f>
        <v>0</v>
      </c>
      <c r="C1190" s="2215">
        <f>'Part VII-Pro Forma'!C94</f>
        <v>0</v>
      </c>
      <c r="D1190" s="2215">
        <f>'Part VII-Pro Forma'!D94</f>
        <v>0</v>
      </c>
      <c r="E1190" s="2215">
        <f>'Part VII-Pro Forma'!E94</f>
        <v>0</v>
      </c>
      <c r="F1190" s="2215">
        <f>'Part VII-Pro Forma'!F94</f>
        <v>0</v>
      </c>
      <c r="G1190" s="2215">
        <f>'Part VII-Pro Forma'!G94</f>
        <v>0</v>
      </c>
      <c r="H1190" s="2215">
        <f>'Part VII-Pro Forma'!H94</f>
        <v>0</v>
      </c>
      <c r="I1190" s="2215">
        <f>'Part VII-Pro Forma'!I94</f>
        <v>0</v>
      </c>
      <c r="J1190" s="2215">
        <f>'Part VII-Pro Forma'!J94</f>
        <v>0</v>
      </c>
      <c r="K1190" s="2215">
        <f>'Part VII-Pro Forma'!K94</f>
        <v>0</v>
      </c>
      <c r="N1190" s="2044"/>
      <c r="O1190" s="2044"/>
      <c r="Z1190" s="1925" t="s">
        <v>6774</v>
      </c>
      <c r="AA1190" s="2052">
        <v>94</v>
      </c>
    </row>
    <row r="1191" spans="1:27" s="1853" customFormat="1" ht="13.35" customHeight="1">
      <c r="A1191" s="1853" t="s">
        <v>1121</v>
      </c>
      <c r="B1191" s="2215">
        <f>'Part VII-Pro Forma'!B95</f>
        <v>0</v>
      </c>
      <c r="C1191" s="2215">
        <f>'Part VII-Pro Forma'!C95</f>
        <v>0</v>
      </c>
      <c r="D1191" s="2215">
        <f>'Part VII-Pro Forma'!D95</f>
        <v>0</v>
      </c>
      <c r="E1191" s="2215">
        <f>'Part VII-Pro Forma'!E95</f>
        <v>0</v>
      </c>
      <c r="F1191" s="2215">
        <f>'Part VII-Pro Forma'!F95</f>
        <v>0</v>
      </c>
      <c r="G1191" s="2215">
        <f>'Part VII-Pro Forma'!G95</f>
        <v>0</v>
      </c>
      <c r="H1191" s="2215">
        <f>'Part VII-Pro Forma'!H95</f>
        <v>0</v>
      </c>
      <c r="I1191" s="2215">
        <f>'Part VII-Pro Forma'!I95</f>
        <v>0</v>
      </c>
      <c r="J1191" s="2215">
        <f>'Part VII-Pro Forma'!J95</f>
        <v>0</v>
      </c>
      <c r="K1191" s="2215">
        <f>'Part VII-Pro Forma'!K95</f>
        <v>0</v>
      </c>
      <c r="N1191" s="2044"/>
      <c r="O1191" s="2044"/>
      <c r="Z1191" s="1925" t="s">
        <v>6774</v>
      </c>
      <c r="AA1191" s="2052">
        <v>95</v>
      </c>
    </row>
    <row r="1192" spans="1:27" s="1853" customFormat="1" ht="13.35" customHeight="1">
      <c r="A1192" s="1853" t="s">
        <v>1122</v>
      </c>
      <c r="B1192" s="2214">
        <f>'Part VII-Pro Forma'!B96</f>
        <v>11207.645527037894</v>
      </c>
      <c r="C1192" s="2214">
        <f>'Part VII-Pro Forma'!C96</f>
        <v>7167.3520639502822</v>
      </c>
      <c r="D1192" s="2214">
        <f>'Part VII-Pro Forma'!D96</f>
        <v>2843.6722771858476</v>
      </c>
      <c r="E1192" s="2214">
        <f>'Part VII-Pro Forma'!E96</f>
        <v>-1775.7635733613279</v>
      </c>
      <c r="F1192" s="2214">
        <f>'Part VII-Pro Forma'!F96</f>
        <v>-6704.7356830078352</v>
      </c>
      <c r="G1192" s="2214">
        <f>'Part VII-Pro Forma'!G96</f>
        <v>-11953.44840319881</v>
      </c>
      <c r="H1192" s="2214">
        <f>'Part VII-Pro Forma'!H96</f>
        <v>-17536.544381195577</v>
      </c>
      <c r="I1192" s="2214">
        <f>'Part VII-Pro Forma'!I96</f>
        <v>-23466.119152256215</v>
      </c>
      <c r="J1192" s="2214">
        <f>'Part VII-Pro Forma'!J96</f>
        <v>-29757.736198447019</v>
      </c>
      <c r="K1192" s="2214">
        <f>'Part VII-Pro Forma'!K96</f>
        <v>-36425.44248866252</v>
      </c>
      <c r="N1192" s="2044"/>
      <c r="O1192" s="2044"/>
      <c r="Z1192" s="1925" t="s">
        <v>6774</v>
      </c>
      <c r="AA1192" s="1930">
        <v>96</v>
      </c>
    </row>
    <row r="1193" spans="1:27" s="1853" customFormat="1" ht="13.35" customHeight="1">
      <c r="A1193" s="1853" t="str">
        <f>$A1162</f>
        <v>DCR Mortgage A</v>
      </c>
      <c r="B1193" s="2216">
        <f>'Part VII-Pro Forma'!B97</f>
        <v>1.0890935041161336</v>
      </c>
      <c r="C1193" s="2216">
        <f>'Part VII-Pro Forma'!C97</f>
        <v>1.0569757946993261</v>
      </c>
      <c r="D1193" s="2216">
        <f>'Part VII-Pro Forma'!D97</f>
        <v>1.022605348029717</v>
      </c>
      <c r="E1193" s="2216">
        <f>'Part VII-Pro Forma'!E97</f>
        <v>0.98588383270590807</v>
      </c>
      <c r="F1193" s="2216">
        <f>'Part VII-Pro Forma'!F97</f>
        <v>0.94670170512347374</v>
      </c>
      <c r="G1193" s="2216">
        <f>'Part VII-Pro Forma'!G97</f>
        <v>0.9049778473147474</v>
      </c>
      <c r="H1193" s="2216">
        <f>'Part VII-Pro Forma'!H97</f>
        <v>0.86059585974238639</v>
      </c>
      <c r="I1193" s="2216">
        <f>'Part VII-Pro Forma'!I97</f>
        <v>0.81345959075547492</v>
      </c>
      <c r="J1193" s="2216">
        <f>'Part VII-Pro Forma'!J97</f>
        <v>0.76344532077792648</v>
      </c>
      <c r="K1193" s="2216">
        <f>'Part VII-Pro Forma'!K97</f>
        <v>0.71044138552860325</v>
      </c>
      <c r="N1193" s="2044"/>
      <c r="O1193" s="2044"/>
      <c r="Z1193" s="1925" t="s">
        <v>6774</v>
      </c>
      <c r="AA1193" s="2052">
        <v>97</v>
      </c>
    </row>
    <row r="1194" spans="1:27" s="1853" customFormat="1" ht="13.35" customHeight="1">
      <c r="A1194" s="1853" t="str">
        <f>$A1163</f>
        <v>DCR Mortgage B</v>
      </c>
      <c r="B1194" s="2216" t="str">
        <f>'Part VII-Pro Forma'!B98</f>
        <v/>
      </c>
      <c r="C1194" s="2216" t="str">
        <f>'Part VII-Pro Forma'!C98</f>
        <v/>
      </c>
      <c r="D1194" s="2216" t="str">
        <f>'Part VII-Pro Forma'!D98</f>
        <v/>
      </c>
      <c r="E1194" s="2216" t="str">
        <f>'Part VII-Pro Forma'!E98</f>
        <v/>
      </c>
      <c r="F1194" s="2216" t="str">
        <f>'Part VII-Pro Forma'!F98</f>
        <v/>
      </c>
      <c r="G1194" s="2216" t="str">
        <f>'Part VII-Pro Forma'!G98</f>
        <v/>
      </c>
      <c r="H1194" s="2216" t="str">
        <f>'Part VII-Pro Forma'!H98</f>
        <v/>
      </c>
      <c r="I1194" s="2216" t="str">
        <f>'Part VII-Pro Forma'!I98</f>
        <v/>
      </c>
      <c r="J1194" s="2216" t="str">
        <f>'Part VII-Pro Forma'!J98</f>
        <v/>
      </c>
      <c r="K1194" s="2216" t="str">
        <f>'Part VII-Pro Forma'!K98</f>
        <v/>
      </c>
      <c r="N1194" s="2044"/>
      <c r="O1194" s="2044"/>
      <c r="Z1194" s="1925" t="s">
        <v>6774</v>
      </c>
      <c r="AA1194" s="2052">
        <v>98</v>
      </c>
    </row>
    <row r="1195" spans="1:27" s="1853" customFormat="1" ht="13.35" customHeight="1">
      <c r="A1195" s="1853" t="str">
        <f>$A1164</f>
        <v>DCR Mortgage C</v>
      </c>
      <c r="B1195" s="2216" t="str">
        <f>'Part VII-Pro Forma'!B99</f>
        <v/>
      </c>
      <c r="C1195" s="2216" t="str">
        <f>'Part VII-Pro Forma'!C99</f>
        <v/>
      </c>
      <c r="D1195" s="2216" t="str">
        <f>'Part VII-Pro Forma'!D99</f>
        <v/>
      </c>
      <c r="E1195" s="2216" t="str">
        <f>'Part VII-Pro Forma'!E99</f>
        <v/>
      </c>
      <c r="F1195" s="2216" t="str">
        <f>'Part VII-Pro Forma'!F99</f>
        <v/>
      </c>
      <c r="G1195" s="2216" t="str">
        <f>'Part VII-Pro Forma'!G99</f>
        <v/>
      </c>
      <c r="H1195" s="2216" t="str">
        <f>'Part VII-Pro Forma'!H99</f>
        <v/>
      </c>
      <c r="I1195" s="2216" t="str">
        <f>'Part VII-Pro Forma'!I99</f>
        <v/>
      </c>
      <c r="J1195" s="2216" t="str">
        <f>'Part VII-Pro Forma'!J99</f>
        <v/>
      </c>
      <c r="K1195" s="2216" t="str">
        <f>'Part VII-Pro Forma'!K99</f>
        <v/>
      </c>
      <c r="N1195" s="2044"/>
      <c r="O1195" s="2044"/>
      <c r="Z1195" s="1925" t="s">
        <v>6774</v>
      </c>
      <c r="AA1195" s="1930">
        <v>99</v>
      </c>
    </row>
    <row r="1196" spans="1:27" s="1853" customFormat="1" ht="13.35" customHeight="1">
      <c r="A1196" s="1853" t="str">
        <f>$A1165</f>
        <v>DCR Other Source</v>
      </c>
      <c r="B1196" s="2216" t="str">
        <f>'Part VII-Pro Forma'!B100</f>
        <v/>
      </c>
      <c r="C1196" s="2216" t="str">
        <f>'Part VII-Pro Forma'!C100</f>
        <v/>
      </c>
      <c r="D1196" s="2216" t="str">
        <f>'Part VII-Pro Forma'!D100</f>
        <v/>
      </c>
      <c r="E1196" s="2216" t="str">
        <f>'Part VII-Pro Forma'!E100</f>
        <v/>
      </c>
      <c r="F1196" s="2216" t="str">
        <f>'Part VII-Pro Forma'!F100</f>
        <v/>
      </c>
      <c r="G1196" s="2216" t="str">
        <f>'Part VII-Pro Forma'!G100</f>
        <v/>
      </c>
      <c r="H1196" s="2216" t="str">
        <f>'Part VII-Pro Forma'!H100</f>
        <v/>
      </c>
      <c r="I1196" s="2216" t="str">
        <f>'Part VII-Pro Forma'!I100</f>
        <v/>
      </c>
      <c r="J1196" s="2216" t="str">
        <f>'Part VII-Pro Forma'!J100</f>
        <v/>
      </c>
      <c r="K1196" s="2216" t="str">
        <f>'Part VII-Pro Forma'!K100</f>
        <v/>
      </c>
      <c r="N1196" s="2044"/>
      <c r="O1196" s="2044"/>
      <c r="Z1196" s="1925" t="s">
        <v>6774</v>
      </c>
      <c r="AA1196" s="2052">
        <v>100</v>
      </c>
    </row>
    <row r="1197" spans="1:27" s="1853" customFormat="1" ht="13.35" customHeight="1">
      <c r="A1197" s="1853" t="s">
        <v>3343</v>
      </c>
      <c r="B1197" s="2216">
        <f>'Part VII-Pro Forma'!B101</f>
        <v>1.0890935041161336</v>
      </c>
      <c r="C1197" s="2216">
        <f>'Part VII-Pro Forma'!C101</f>
        <v>1.0569757946993261</v>
      </c>
      <c r="D1197" s="2216">
        <f>'Part VII-Pro Forma'!D101</f>
        <v>1.022605348029717</v>
      </c>
      <c r="E1197" s="2216">
        <f>'Part VII-Pro Forma'!E101</f>
        <v>0.98588383270590807</v>
      </c>
      <c r="F1197" s="2216">
        <f>'Part VII-Pro Forma'!F101</f>
        <v>0.94670170512347374</v>
      </c>
      <c r="G1197" s="2216">
        <f>'Part VII-Pro Forma'!G101</f>
        <v>0.9049778473147474</v>
      </c>
      <c r="H1197" s="2216">
        <f>'Part VII-Pro Forma'!H101</f>
        <v>0.86059585974238639</v>
      </c>
      <c r="I1197" s="2216">
        <f>'Part VII-Pro Forma'!I101</f>
        <v>0.81345959075547492</v>
      </c>
      <c r="J1197" s="2216">
        <f>'Part VII-Pro Forma'!J101</f>
        <v>0.76344532077792648</v>
      </c>
      <c r="K1197" s="2216">
        <f>'Part VII-Pro Forma'!K101</f>
        <v>0.71044138552860325</v>
      </c>
      <c r="N1197" s="2044"/>
      <c r="O1197" s="2044"/>
      <c r="Z1197" s="1925" t="s">
        <v>6774</v>
      </c>
      <c r="AA1197" s="2052">
        <v>101</v>
      </c>
    </row>
    <row r="1198" spans="1:27" s="1853" customFormat="1" ht="13.35" customHeight="1">
      <c r="A1198" s="1853" t="s">
        <v>740</v>
      </c>
      <c r="B1198" s="2216">
        <f>'Part VII-Pro Forma'!B102</f>
        <v>1.1876844806252531</v>
      </c>
      <c r="C1198" s="2216">
        <f>'Part VII-Pro Forma'!C102</f>
        <v>1.1769669733076138</v>
      </c>
      <c r="D1198" s="2216">
        <f>'Part VII-Pro Forma'!D102</f>
        <v>1.1663401624271845</v>
      </c>
      <c r="E1198" s="2216">
        <f>'Part VII-Pro Forma'!E102</f>
        <v>1.1558024455849372</v>
      </c>
      <c r="F1198" s="2216">
        <f>'Part VII-Pro Forma'!F102</f>
        <v>1.1453509726482611</v>
      </c>
      <c r="G1198" s="2216">
        <f>'Part VII-Pro Forma'!G102</f>
        <v>1.1349886204637802</v>
      </c>
      <c r="H1198" s="2216">
        <f>'Part VII-Pro Forma'!H102</f>
        <v>1.1247125929813644</v>
      </c>
      <c r="I1198" s="2216">
        <f>'Part VII-Pro Forma'!I102</f>
        <v>1.114524162211336</v>
      </c>
      <c r="J1198" s="2216">
        <f>'Part VII-Pro Forma'!J102</f>
        <v>1.1044207358475595</v>
      </c>
      <c r="K1198" s="2216">
        <f>'Part VII-Pro Forma'!K102</f>
        <v>1.094402332233676</v>
      </c>
      <c r="N1198" s="2044"/>
      <c r="O1198" s="2044"/>
      <c r="Z1198" s="1925" t="s">
        <v>6774</v>
      </c>
      <c r="AA1198" s="2052">
        <v>102</v>
      </c>
    </row>
    <row r="1199" spans="1:27" s="1853" customFormat="1" ht="13.35" customHeight="1">
      <c r="A1199" s="1853" t="s">
        <v>2492</v>
      </c>
      <c r="B1199" s="2215">
        <f>'Part VII-Pro Forma'!B103</f>
        <v>1245325.3452082227</v>
      </c>
      <c r="C1199" s="2215">
        <f>'Part VII-Pro Forma'!C103</f>
        <v>1183433.2953748843</v>
      </c>
      <c r="D1199" s="2215">
        <f>'Part VII-Pro Forma'!D103</f>
        <v>1118212.5743280787</v>
      </c>
      <c r="E1199" s="2215">
        <f>'Part VII-Pro Forma'!E103</f>
        <v>1049484.1598496505</v>
      </c>
      <c r="F1199" s="2215">
        <f>'Part VII-Pro Forma'!F103</f>
        <v>977059.40156878531</v>
      </c>
      <c r="G1199" s="2215">
        <f>'Part VII-Pro Forma'!G103</f>
        <v>900739.50314179482</v>
      </c>
      <c r="H1199" s="2215">
        <f>'Part VII-Pro Forma'!H103</f>
        <v>820314.97658255254</v>
      </c>
      <c r="I1199" s="2215">
        <f>'Part VII-Pro Forma'!I103</f>
        <v>735565.06724579132</v>
      </c>
      <c r="J1199" s="2215">
        <f>'Part VII-Pro Forma'!J103</f>
        <v>646257.14788491768</v>
      </c>
      <c r="K1199" s="2215">
        <f>'Part VII-Pro Forma'!K103</f>
        <v>552146.08012111229</v>
      </c>
      <c r="N1199" s="2044"/>
      <c r="O1199" s="2044"/>
      <c r="Z1199" s="1925" t="s">
        <v>6774</v>
      </c>
      <c r="AA1199" s="2052">
        <v>103</v>
      </c>
    </row>
    <row r="1200" spans="1:27" s="1853" customFormat="1" ht="13.35" customHeight="1">
      <c r="A1200" s="1853" t="s">
        <v>2493</v>
      </c>
      <c r="B1200" s="2215" t="str">
        <f>'Part VII-Pro Forma'!B104</f>
        <v/>
      </c>
      <c r="C1200" s="2215" t="str">
        <f>'Part VII-Pro Forma'!C104</f>
        <v/>
      </c>
      <c r="D1200" s="2215" t="str">
        <f>'Part VII-Pro Forma'!D104</f>
        <v/>
      </c>
      <c r="E1200" s="2215" t="str">
        <f>'Part VII-Pro Forma'!E104</f>
        <v/>
      </c>
      <c r="F1200" s="2215" t="str">
        <f>'Part VII-Pro Forma'!F104</f>
        <v/>
      </c>
      <c r="G1200" s="2215" t="str">
        <f>'Part VII-Pro Forma'!G104</f>
        <v/>
      </c>
      <c r="H1200" s="2215" t="str">
        <f>'Part VII-Pro Forma'!H104</f>
        <v/>
      </c>
      <c r="I1200" s="2215" t="str">
        <f>'Part VII-Pro Forma'!I104</f>
        <v/>
      </c>
      <c r="J1200" s="2215" t="str">
        <f>'Part VII-Pro Forma'!J104</f>
        <v/>
      </c>
      <c r="K1200" s="2215" t="str">
        <f>'Part VII-Pro Forma'!K104</f>
        <v/>
      </c>
      <c r="N1200" s="2044"/>
      <c r="O1200" s="2044"/>
      <c r="Z1200" s="1925" t="s">
        <v>6774</v>
      </c>
      <c r="AA1200" s="2052">
        <v>104</v>
      </c>
    </row>
    <row r="1201" spans="1:27" s="1853" customFormat="1" ht="13.35" customHeight="1">
      <c r="A1201" s="1853" t="s">
        <v>2494</v>
      </c>
      <c r="B1201" s="2215" t="str">
        <f>'Part VII-Pro Forma'!B105</f>
        <v/>
      </c>
      <c r="C1201" s="2215" t="str">
        <f>'Part VII-Pro Forma'!C105</f>
        <v/>
      </c>
      <c r="D1201" s="2215" t="str">
        <f>'Part VII-Pro Forma'!D105</f>
        <v/>
      </c>
      <c r="E1201" s="2215" t="str">
        <f>'Part VII-Pro Forma'!E105</f>
        <v/>
      </c>
      <c r="F1201" s="2215" t="str">
        <f>'Part VII-Pro Forma'!F105</f>
        <v/>
      </c>
      <c r="G1201" s="2215" t="str">
        <f>'Part VII-Pro Forma'!G105</f>
        <v/>
      </c>
      <c r="H1201" s="2215" t="str">
        <f>'Part VII-Pro Forma'!H105</f>
        <v/>
      </c>
      <c r="I1201" s="2215" t="str">
        <f>'Part VII-Pro Forma'!I105</f>
        <v/>
      </c>
      <c r="J1201" s="2215" t="str">
        <f>'Part VII-Pro Forma'!J105</f>
        <v/>
      </c>
      <c r="K1201" s="2215" t="str">
        <f>'Part VII-Pro Forma'!K105</f>
        <v/>
      </c>
      <c r="N1201" s="2044"/>
      <c r="O1201" s="2044"/>
      <c r="Z1201" s="1925" t="s">
        <v>6774</v>
      </c>
      <c r="AA1201" s="2052">
        <v>105</v>
      </c>
    </row>
    <row r="1202" spans="1:27" s="1853" customFormat="1" ht="13.35" customHeight="1">
      <c r="A1202" s="1853" t="s">
        <v>752</v>
      </c>
      <c r="B1202" s="2215" t="str">
        <f>'Part VII-Pro Forma'!B106</f>
        <v/>
      </c>
      <c r="C1202" s="2215" t="str">
        <f>'Part VII-Pro Forma'!C106</f>
        <v/>
      </c>
      <c r="D1202" s="2215" t="str">
        <f>'Part VII-Pro Forma'!D106</f>
        <v/>
      </c>
      <c r="E1202" s="2215" t="str">
        <f>'Part VII-Pro Forma'!E106</f>
        <v/>
      </c>
      <c r="F1202" s="2215" t="str">
        <f>'Part VII-Pro Forma'!F106</f>
        <v/>
      </c>
      <c r="G1202" s="2215" t="str">
        <f>'Part VII-Pro Forma'!G106</f>
        <v/>
      </c>
      <c r="H1202" s="2215" t="str">
        <f>'Part VII-Pro Forma'!H106</f>
        <v/>
      </c>
      <c r="I1202" s="2215" t="str">
        <f>'Part VII-Pro Forma'!I106</f>
        <v/>
      </c>
      <c r="J1202" s="2215" t="str">
        <f>'Part VII-Pro Forma'!J106</f>
        <v/>
      </c>
      <c r="K1202" s="2215" t="str">
        <f>'Part VII-Pro Forma'!K106</f>
        <v/>
      </c>
      <c r="N1202" s="2044"/>
      <c r="O1202" s="2044"/>
      <c r="Z1202" s="1925" t="s">
        <v>6774</v>
      </c>
      <c r="AA1202" s="2052">
        <v>106</v>
      </c>
    </row>
    <row r="1203" spans="1:27" s="1853" customFormat="1" ht="4.3499999999999996" customHeight="1">
      <c r="B1203" s="2214"/>
      <c r="C1203" s="2214"/>
      <c r="D1203" s="2214"/>
      <c r="E1203" s="2214"/>
      <c r="F1203" s="2214"/>
      <c r="G1203" s="2214"/>
      <c r="H1203" s="2214"/>
      <c r="I1203" s="2214"/>
      <c r="J1203" s="2214"/>
      <c r="K1203" s="2214"/>
      <c r="Z1203" s="1925"/>
      <c r="AA1203" s="2052">
        <v>107</v>
      </c>
    </row>
    <row r="1204" spans="1:27" s="1853" customFormat="1" ht="14.45" customHeight="1">
      <c r="A1204" s="1853" t="s">
        <v>2367</v>
      </c>
      <c r="B1204" s="2214">
        <f>K1174+1</f>
        <v>31</v>
      </c>
      <c r="C1204" s="2214">
        <f>B1204+1</f>
        <v>32</v>
      </c>
      <c r="D1204" s="2214">
        <f>C1204+1</f>
        <v>33</v>
      </c>
      <c r="E1204" s="2214">
        <f>D1204+1</f>
        <v>34</v>
      </c>
      <c r="F1204" s="2214">
        <f>E1204+1</f>
        <v>35</v>
      </c>
      <c r="G1204" s="2214"/>
      <c r="H1204" s="2214"/>
      <c r="I1204" s="2214"/>
      <c r="J1204" s="2214"/>
      <c r="K1204" s="2214"/>
      <c r="N1204" s="1853" t="s">
        <v>3334</v>
      </c>
      <c r="Z1204" s="1925"/>
      <c r="AA1204" s="1930">
        <v>108</v>
      </c>
    </row>
    <row r="1205" spans="1:27" s="1853" customFormat="1" ht="13.35" customHeight="1">
      <c r="A1205" s="1853" t="s">
        <v>2293</v>
      </c>
      <c r="B1205" s="2214">
        <f>'Part VII-Pro Forma'!B109</f>
        <v>1114183.0012746456</v>
      </c>
      <c r="C1205" s="2214">
        <f>'Part VII-Pro Forma'!C109</f>
        <v>1136466.6613001381</v>
      </c>
      <c r="D1205" s="2214">
        <f>'Part VII-Pro Forma'!D109</f>
        <v>1159195.9945261411</v>
      </c>
      <c r="E1205" s="2214">
        <f>'Part VII-Pro Forma'!E109</f>
        <v>1182379.914416664</v>
      </c>
      <c r="F1205" s="2214">
        <f>'Part VII-Pro Forma'!F109</f>
        <v>1206027.5127049973</v>
      </c>
      <c r="G1205" s="2214"/>
      <c r="H1205" s="2214"/>
      <c r="I1205" s="2214"/>
      <c r="J1205" s="2214"/>
      <c r="K1205" s="2214"/>
      <c r="N1205" s="2044"/>
      <c r="O1205" s="2044"/>
      <c r="Z1205" s="1925" t="s">
        <v>6775</v>
      </c>
      <c r="AA1205" s="2052">
        <v>109</v>
      </c>
    </row>
    <row r="1206" spans="1:27" s="1853" customFormat="1" ht="13.35" customHeight="1">
      <c r="A1206" s="1853" t="s">
        <v>977</v>
      </c>
      <c r="B1206" s="2214">
        <f>'Part VII-Pro Forma'!B110</f>
        <v>22283.660025492911</v>
      </c>
      <c r="C1206" s="2214">
        <f>'Part VII-Pro Forma'!C110</f>
        <v>22729.333226002764</v>
      </c>
      <c r="D1206" s="2214">
        <f>'Part VII-Pro Forma'!D110</f>
        <v>23183.919890522822</v>
      </c>
      <c r="E1206" s="2214">
        <f>'Part VII-Pro Forma'!E110</f>
        <v>23647.598288333284</v>
      </c>
      <c r="F1206" s="2214">
        <f>'Part VII-Pro Forma'!F110</f>
        <v>24120.550254099944</v>
      </c>
      <c r="G1206" s="2214"/>
      <c r="H1206" s="2214"/>
      <c r="I1206" s="2214"/>
      <c r="J1206" s="2214"/>
      <c r="K1206" s="2214"/>
      <c r="N1206" s="2044"/>
      <c r="O1206" s="2044"/>
      <c r="Z1206" s="1925" t="s">
        <v>6775</v>
      </c>
      <c r="AA1206" s="2052">
        <v>110</v>
      </c>
    </row>
    <row r="1207" spans="1:27" s="1853" customFormat="1" ht="13.35" customHeight="1">
      <c r="A1207" s="1853" t="s">
        <v>2294</v>
      </c>
      <c r="B1207" s="2214">
        <f>'Part VII-Pro Forma'!B111</f>
        <v>-79552.666291009707</v>
      </c>
      <c r="C1207" s="2214">
        <f>'Part VII-Pro Forma'!C111</f>
        <v>-81143.719616829869</v>
      </c>
      <c r="D1207" s="2214">
        <f>'Part VII-Pro Forma'!D111</f>
        <v>-82766.594009166482</v>
      </c>
      <c r="E1207" s="2214">
        <f>'Part VII-Pro Forma'!E111</f>
        <v>-84421.925889349819</v>
      </c>
      <c r="F1207" s="2214">
        <f>'Part VII-Pro Forma'!F111</f>
        <v>-86110.364407136818</v>
      </c>
      <c r="G1207" s="2214"/>
      <c r="H1207" s="2214"/>
      <c r="I1207" s="2214"/>
      <c r="J1207" s="2214"/>
      <c r="K1207" s="2214"/>
      <c r="N1207" s="2044"/>
      <c r="O1207" s="2044"/>
      <c r="Z1207" s="1925" t="s">
        <v>6775</v>
      </c>
      <c r="AA1207" s="2052">
        <v>111</v>
      </c>
    </row>
    <row r="1208" spans="1:27" s="1853" customFormat="1" ht="13.35" customHeight="1">
      <c r="A1208" s="1853" t="s">
        <v>47</v>
      </c>
      <c r="B1208" s="2214">
        <f>'Part VII-Pro Forma'!B112</f>
        <v>0</v>
      </c>
      <c r="C1208" s="2214">
        <f>'Part VII-Pro Forma'!C112</f>
        <v>0</v>
      </c>
      <c r="D1208" s="2214">
        <f>'Part VII-Pro Forma'!D112</f>
        <v>0</v>
      </c>
      <c r="E1208" s="2214">
        <f>'Part VII-Pro Forma'!E112</f>
        <v>0</v>
      </c>
      <c r="F1208" s="2214">
        <f>'Part VII-Pro Forma'!F112</f>
        <v>0</v>
      </c>
      <c r="G1208" s="2214"/>
      <c r="H1208" s="2214"/>
      <c r="I1208" s="2214"/>
      <c r="J1208" s="2214"/>
      <c r="K1208" s="2214"/>
      <c r="N1208" s="2044"/>
      <c r="O1208" s="2044"/>
      <c r="Z1208" s="1925" t="s">
        <v>6775</v>
      </c>
      <c r="AA1208" s="2052">
        <v>112</v>
      </c>
    </row>
    <row r="1209" spans="1:27" s="1853" customFormat="1" ht="13.35" customHeight="1">
      <c r="A1209" s="1853" t="s">
        <v>48</v>
      </c>
      <c r="B1209" s="2214">
        <f>'Part VII-Pro Forma'!B113</f>
        <v>0</v>
      </c>
      <c r="C1209" s="2214">
        <f>'Part VII-Pro Forma'!C113</f>
        <v>0</v>
      </c>
      <c r="D1209" s="2214">
        <f>'Part VII-Pro Forma'!D113</f>
        <v>0</v>
      </c>
      <c r="E1209" s="2214">
        <f>'Part VII-Pro Forma'!E113</f>
        <v>0</v>
      </c>
      <c r="F1209" s="2214">
        <f>'Part VII-Pro Forma'!F113</f>
        <v>0</v>
      </c>
      <c r="G1209" s="2214"/>
      <c r="H1209" s="2214"/>
      <c r="I1209" s="2214"/>
      <c r="J1209" s="2214"/>
      <c r="K1209" s="2214"/>
      <c r="N1209" s="2044"/>
      <c r="O1209" s="2044"/>
      <c r="Z1209" s="1925" t="s">
        <v>6775</v>
      </c>
      <c r="AA1209" s="2052">
        <v>113</v>
      </c>
    </row>
    <row r="1210" spans="1:27" s="1853" customFormat="1" ht="13.35" customHeight="1">
      <c r="A1210" s="1853" t="s">
        <v>4013</v>
      </c>
      <c r="B1210" s="2214">
        <f>'Part VII-Pro Forma'!B114</f>
        <v>1056913.9950091289</v>
      </c>
      <c r="C1210" s="2214">
        <f>'Part VII-Pro Forma'!C114</f>
        <v>1078052.274909311</v>
      </c>
      <c r="D1210" s="2214">
        <f>'Part VII-Pro Forma'!D114</f>
        <v>1099613.3204074972</v>
      </c>
      <c r="E1210" s="2214">
        <f>'Part VII-Pro Forma'!E114</f>
        <v>1121605.5868156475</v>
      </c>
      <c r="F1210" s="2214">
        <f>'Part VII-Pro Forma'!F114</f>
        <v>1144037.6985519605</v>
      </c>
      <c r="G1210" s="2214"/>
      <c r="H1210" s="2214"/>
      <c r="I1210" s="2214"/>
      <c r="J1210" s="2214"/>
      <c r="K1210" s="2214"/>
      <c r="N1210" s="2044"/>
      <c r="O1210" s="2044"/>
      <c r="Z1210" s="1925" t="s">
        <v>6775</v>
      </c>
      <c r="AA1210" s="2052">
        <v>114</v>
      </c>
    </row>
    <row r="1211" spans="1:27" s="1853" customFormat="1" ht="13.35" customHeight="1">
      <c r="A1211" s="1853" t="s">
        <v>585</v>
      </c>
      <c r="B1211" s="2214">
        <f>'Part VII-Pro Forma'!B115</f>
        <v>-867486.61636588583</v>
      </c>
      <c r="C1211" s="2214">
        <f>'Part VII-Pro Forma'!C115</f>
        <v>-893511.21485686256</v>
      </c>
      <c r="D1211" s="2214">
        <f>'Part VII-Pro Forma'!D115</f>
        <v>-920316.55130256829</v>
      </c>
      <c r="E1211" s="2214">
        <f>'Part VII-Pro Forma'!E115</f>
        <v>-947926.04784164531</v>
      </c>
      <c r="F1211" s="2214">
        <f>'Part VII-Pro Forma'!F115</f>
        <v>-976363.82927689457</v>
      </c>
      <c r="G1211" s="2214"/>
      <c r="H1211" s="2214"/>
      <c r="I1211" s="2214"/>
      <c r="J1211" s="2214"/>
      <c r="K1211" s="2214"/>
      <c r="N1211" s="2044"/>
      <c r="O1211" s="2044"/>
      <c r="Z1211" s="1925" t="s">
        <v>6775</v>
      </c>
      <c r="AA1211" s="2052">
        <v>115</v>
      </c>
    </row>
    <row r="1212" spans="1:27" s="1853" customFormat="1" ht="13.35" customHeight="1">
      <c r="A1212" s="1853" t="s">
        <v>1075</v>
      </c>
      <c r="B1212" s="2214">
        <f>'Part VII-Pro Forma'!B116</f>
        <v>-63415</v>
      </c>
      <c r="C1212" s="2214">
        <f>'Part VII-Pro Forma'!C116</f>
        <v>-64683</v>
      </c>
      <c r="D1212" s="2214">
        <f>'Part VII-Pro Forma'!D116</f>
        <v>-65977</v>
      </c>
      <c r="E1212" s="2214">
        <f>'Part VII-Pro Forma'!E116</f>
        <v>-67296</v>
      </c>
      <c r="F1212" s="2214">
        <f>'Part VII-Pro Forma'!F116</f>
        <v>-68642</v>
      </c>
      <c r="G1212" s="2214"/>
      <c r="H1212" s="2214"/>
      <c r="I1212" s="2214"/>
      <c r="J1212" s="2214"/>
      <c r="K1212" s="2214"/>
      <c r="N1212" s="2044"/>
      <c r="O1212" s="2044"/>
      <c r="Z1212" s="1925" t="s">
        <v>6775</v>
      </c>
      <c r="AA1212" s="2052">
        <v>116</v>
      </c>
    </row>
    <row r="1213" spans="1:27" s="1853" customFormat="1" ht="13.35" customHeight="1">
      <c r="A1213" s="1853" t="s">
        <v>1156</v>
      </c>
      <c r="B1213" s="2214">
        <f>'Part VII-Pro Forma'!B117</f>
        <v>-43690.724481413861</v>
      </c>
      <c r="C1213" s="2214">
        <f>'Part VII-Pro Forma'!C117</f>
        <v>-45001.446215856289</v>
      </c>
      <c r="D1213" s="2214">
        <f>'Part VII-Pro Forma'!D117</f>
        <v>-46351.489602331967</v>
      </c>
      <c r="E1213" s="2214">
        <f>'Part VII-Pro Forma'!E117</f>
        <v>-47742.034290401927</v>
      </c>
      <c r="F1213" s="2214">
        <f>'Part VII-Pro Forma'!F117</f>
        <v>-49174.295319113975</v>
      </c>
      <c r="G1213" s="2214"/>
      <c r="H1213" s="2214"/>
      <c r="I1213" s="2214"/>
      <c r="J1213" s="2214"/>
      <c r="K1213" s="2214"/>
      <c r="N1213" s="2044"/>
      <c r="O1213" s="2044"/>
      <c r="Q1213" s="2052">
        <v>10</v>
      </c>
      <c r="R1213" s="2141">
        <f>-SUM(B1219:K1219)</f>
        <v>0</v>
      </c>
      <c r="S1213" s="2141">
        <f>SUM(B1220:K1220)+R1213</f>
        <v>0</v>
      </c>
      <c r="Z1213" s="1925" t="s">
        <v>6775</v>
      </c>
      <c r="AA1213" s="1930">
        <v>117</v>
      </c>
    </row>
    <row r="1214" spans="1:27" s="1853" customFormat="1" ht="13.35" customHeight="1">
      <c r="A1214" s="1853" t="s">
        <v>4012</v>
      </c>
      <c r="B1214" s="2215">
        <f>'Part VII-Pro Forma'!B118</f>
        <v>-10</v>
      </c>
      <c r="C1214" s="2215">
        <f>'Part VII-Pro Forma'!C118</f>
        <v>-10</v>
      </c>
      <c r="D1214" s="2215">
        <f>'Part VII-Pro Forma'!D118</f>
        <v>-10</v>
      </c>
      <c r="E1214" s="2215">
        <f>'Part VII-Pro Forma'!E118</f>
        <v>-10</v>
      </c>
      <c r="F1214" s="2215">
        <f>'Part VII-Pro Forma'!F118</f>
        <v>-10</v>
      </c>
      <c r="G1214" s="2214"/>
      <c r="H1214" s="2214"/>
      <c r="I1214" s="2214"/>
      <c r="J1214" s="2214"/>
      <c r="K1214" s="2214"/>
      <c r="N1214" s="2044"/>
      <c r="O1214" s="2044"/>
      <c r="Z1214" s="1925" t="s">
        <v>6775</v>
      </c>
      <c r="AA1214" s="2052">
        <v>118</v>
      </c>
    </row>
    <row r="1215" spans="1:27" s="1853" customFormat="1" ht="13.35" customHeight="1">
      <c r="A1215" s="1853" t="s">
        <v>1157</v>
      </c>
      <c r="B1215" s="2214">
        <f>'Part VII-Pro Forma'!B119</f>
        <v>82311.654161829239</v>
      </c>
      <c r="C1215" s="2214">
        <f>'Part VII-Pro Forma'!C119</f>
        <v>74846.613836592122</v>
      </c>
      <c r="D1215" s="2214">
        <f>'Part VII-Pro Forma'!D119</f>
        <v>66958.279502596968</v>
      </c>
      <c r="E1215" s="2214">
        <f>'Part VII-Pro Forma'!E119</f>
        <v>58631.504683600309</v>
      </c>
      <c r="F1215" s="2214">
        <f>'Part VII-Pro Forma'!F119</f>
        <v>49847.573955951979</v>
      </c>
      <c r="G1215" s="2214"/>
      <c r="H1215" s="2214"/>
      <c r="I1215" s="2214"/>
      <c r="J1215" s="2214"/>
      <c r="K1215" s="2214"/>
      <c r="N1215" s="2044"/>
      <c r="O1215" s="2044"/>
      <c r="Z1215" s="1925" t="s">
        <v>6775</v>
      </c>
      <c r="AA1215" s="2052">
        <v>119</v>
      </c>
    </row>
    <row r="1216" spans="1:27" s="1853" customFormat="1" ht="13.35" customHeight="1">
      <c r="A1216" s="1853" t="str">
        <f>$A1186</f>
        <v>Mortgage A</v>
      </c>
      <c r="B1216" s="2215">
        <f>'Part VII-Pro Forma'!B120</f>
        <v>-125796.43867670429</v>
      </c>
      <c r="C1216" s="2215">
        <f>'Part VII-Pro Forma'!C120</f>
        <v>-125796.43867670429</v>
      </c>
      <c r="D1216" s="2215">
        <f>'Part VII-Pro Forma'!D120</f>
        <v>-125796.43867670429</v>
      </c>
      <c r="E1216" s="2215">
        <f>'Part VII-Pro Forma'!E120</f>
        <v>-125796.43867670429</v>
      </c>
      <c r="F1216" s="2215">
        <f>'Part VII-Pro Forma'!F120</f>
        <v>-125796.43867670429</v>
      </c>
      <c r="G1216" s="2214"/>
      <c r="H1216" s="2214"/>
      <c r="I1216" s="2214"/>
      <c r="J1216" s="2214"/>
      <c r="K1216" s="2214"/>
      <c r="N1216" s="2044"/>
      <c r="O1216" s="2044"/>
      <c r="Z1216" s="1925" t="s">
        <v>6775</v>
      </c>
      <c r="AA1216" s="2052">
        <v>120</v>
      </c>
    </row>
    <row r="1217" spans="1:27" s="1853" customFormat="1" ht="13.35" customHeight="1">
      <c r="A1217" s="1853" t="str">
        <f>$A1187</f>
        <v>Mortgage B</v>
      </c>
      <c r="B1217" s="2215">
        <f>'Part VII-Pro Forma'!B121</f>
        <v>0</v>
      </c>
      <c r="C1217" s="2215">
        <f>'Part VII-Pro Forma'!C121</f>
        <v>0</v>
      </c>
      <c r="D1217" s="2215">
        <f>'Part VII-Pro Forma'!D121</f>
        <v>0</v>
      </c>
      <c r="E1217" s="2215">
        <f>'Part VII-Pro Forma'!E121</f>
        <v>0</v>
      </c>
      <c r="F1217" s="2215">
        <f>'Part VII-Pro Forma'!F121</f>
        <v>0</v>
      </c>
      <c r="G1217" s="2214"/>
      <c r="H1217" s="2214"/>
      <c r="I1217" s="2214"/>
      <c r="J1217" s="2214"/>
      <c r="K1217" s="2214"/>
      <c r="N1217" s="2044"/>
      <c r="O1217" s="2044"/>
      <c r="Z1217" s="1925" t="s">
        <v>6775</v>
      </c>
      <c r="AA1217" s="2052">
        <v>121</v>
      </c>
    </row>
    <row r="1218" spans="1:27" s="1853" customFormat="1" ht="13.35" customHeight="1">
      <c r="A1218" s="1853" t="str">
        <f>$A1188</f>
        <v>Mortgage C</v>
      </c>
      <c r="B1218" s="2215">
        <f>'Part VII-Pro Forma'!B122</f>
        <v>0</v>
      </c>
      <c r="C1218" s="2215">
        <f>'Part VII-Pro Forma'!C122</f>
        <v>0</v>
      </c>
      <c r="D1218" s="2215">
        <f>'Part VII-Pro Forma'!D122</f>
        <v>0</v>
      </c>
      <c r="E1218" s="2215">
        <f>'Part VII-Pro Forma'!E122</f>
        <v>0</v>
      </c>
      <c r="F1218" s="2215">
        <f>'Part VII-Pro Forma'!F122</f>
        <v>0</v>
      </c>
      <c r="G1218" s="2214"/>
      <c r="H1218" s="2214"/>
      <c r="I1218" s="2214"/>
      <c r="J1218" s="2214"/>
      <c r="K1218" s="2214"/>
      <c r="N1218" s="2044"/>
      <c r="O1218" s="2044"/>
      <c r="Z1218" s="1925" t="s">
        <v>6775</v>
      </c>
      <c r="AA1218" s="1930">
        <v>122</v>
      </c>
    </row>
    <row r="1219" spans="1:27" s="1853" customFormat="1" ht="13.35" customHeight="1">
      <c r="A1219" s="1853" t="str">
        <f>$A1189</f>
        <v>D/S Other Source,not DDF</v>
      </c>
      <c r="B1219" s="2215">
        <f>'Part VII-Pro Forma'!B123</f>
        <v>0</v>
      </c>
      <c r="C1219" s="2215">
        <f>'Part VII-Pro Forma'!C123</f>
        <v>0</v>
      </c>
      <c r="D1219" s="2215">
        <f>'Part VII-Pro Forma'!D123</f>
        <v>0</v>
      </c>
      <c r="E1219" s="2215">
        <f>'Part VII-Pro Forma'!E123</f>
        <v>0</v>
      </c>
      <c r="F1219" s="2215">
        <f>'Part VII-Pro Forma'!F123</f>
        <v>0</v>
      </c>
      <c r="G1219" s="2214"/>
      <c r="H1219" s="2214"/>
      <c r="I1219" s="2214"/>
      <c r="J1219" s="2214"/>
      <c r="K1219" s="2214"/>
      <c r="N1219" s="2044"/>
      <c r="O1219" s="2044"/>
      <c r="Z1219" s="1925" t="s">
        <v>6775</v>
      </c>
      <c r="AA1219" s="2052">
        <v>123</v>
      </c>
    </row>
    <row r="1220" spans="1:27" s="1853" customFormat="1" ht="13.35" customHeight="1">
      <c r="A1220" s="1853" t="s">
        <v>733</v>
      </c>
      <c r="B1220" s="2215">
        <f>'Part VII-Pro Forma'!B124</f>
        <v>0</v>
      </c>
      <c r="C1220" s="2215">
        <f>'Part VII-Pro Forma'!C124</f>
        <v>0</v>
      </c>
      <c r="D1220" s="2215">
        <f>'Part VII-Pro Forma'!D124</f>
        <v>0</v>
      </c>
      <c r="E1220" s="2215">
        <f>'Part VII-Pro Forma'!E124</f>
        <v>0</v>
      </c>
      <c r="F1220" s="2215">
        <f>'Part VII-Pro Forma'!F124</f>
        <v>0</v>
      </c>
      <c r="G1220" s="2214"/>
      <c r="H1220" s="2214"/>
      <c r="I1220" s="2214"/>
      <c r="J1220" s="2214"/>
      <c r="K1220" s="2214"/>
      <c r="N1220" s="2044"/>
      <c r="O1220" s="2044"/>
      <c r="Z1220" s="1925" t="s">
        <v>6775</v>
      </c>
      <c r="AA1220" s="2052">
        <v>124</v>
      </c>
    </row>
    <row r="1221" spans="1:27" s="1853" customFormat="1" ht="13.35" customHeight="1">
      <c r="A1221" s="1853" t="s">
        <v>1121</v>
      </c>
      <c r="B1221" s="2215">
        <f>'Part VII-Pro Forma'!B125</f>
        <v>0</v>
      </c>
      <c r="C1221" s="2215">
        <f>'Part VII-Pro Forma'!C125</f>
        <v>0</v>
      </c>
      <c r="D1221" s="2215">
        <f>'Part VII-Pro Forma'!D125</f>
        <v>0</v>
      </c>
      <c r="E1221" s="2215">
        <f>'Part VII-Pro Forma'!E125</f>
        <v>0</v>
      </c>
      <c r="F1221" s="2215">
        <f>'Part VII-Pro Forma'!F125</f>
        <v>0</v>
      </c>
      <c r="G1221" s="2214"/>
      <c r="H1221" s="2214"/>
      <c r="I1221" s="2214"/>
      <c r="J1221" s="2214"/>
      <c r="K1221" s="2214"/>
      <c r="N1221" s="2044"/>
      <c r="O1221" s="2044"/>
      <c r="Z1221" s="1925" t="s">
        <v>6775</v>
      </c>
      <c r="AA1221" s="2052">
        <v>125</v>
      </c>
    </row>
    <row r="1222" spans="1:27" s="1853" customFormat="1" ht="13.35" customHeight="1">
      <c r="A1222" s="1853" t="s">
        <v>1122</v>
      </c>
      <c r="B1222" s="2214">
        <f>'Part VII-Pro Forma'!B126</f>
        <v>-43484.784514875049</v>
      </c>
      <c r="C1222" s="2214">
        <f>'Part VII-Pro Forma'!C126</f>
        <v>-50949.824840112167</v>
      </c>
      <c r="D1222" s="2214">
        <f>'Part VII-Pro Forma'!D126</f>
        <v>-58838.159174107321</v>
      </c>
      <c r="E1222" s="2214">
        <f>'Part VII-Pro Forma'!E126</f>
        <v>-67164.933993103972</v>
      </c>
      <c r="F1222" s="2214">
        <f>'Part VII-Pro Forma'!F126</f>
        <v>-75948.864720752317</v>
      </c>
      <c r="G1222" s="2214"/>
      <c r="H1222" s="2214"/>
      <c r="I1222" s="2214"/>
      <c r="J1222" s="2214"/>
      <c r="K1222" s="2214"/>
      <c r="N1222" s="2044"/>
      <c r="O1222" s="2044"/>
      <c r="Z1222" s="1925" t="s">
        <v>6775</v>
      </c>
      <c r="AA1222" s="2052">
        <v>126</v>
      </c>
    </row>
    <row r="1223" spans="1:27" s="1853" customFormat="1" ht="13.35" customHeight="1">
      <c r="A1223" s="1853" t="str">
        <f>$A1193</f>
        <v>DCR Mortgage A</v>
      </c>
      <c r="B1223" s="2216">
        <f>'Part VII-Pro Forma'!B127</f>
        <v>0.65432420049163276</v>
      </c>
      <c r="C1223" s="2216">
        <f>'Part VII-Pro Forma'!C127</f>
        <v>0.5949819774226458</v>
      </c>
      <c r="D1223" s="2216">
        <f>'Part VII-Pro Forma'!D127</f>
        <v>0.53227484185525431</v>
      </c>
      <c r="E1223" s="2216">
        <f>'Part VII-Pro Forma'!E127</f>
        <v>0.46608238913887495</v>
      </c>
      <c r="F1223" s="2216">
        <f>'Part VII-Pro Forma'!F127</f>
        <v>0.39625584380858186</v>
      </c>
      <c r="G1223" s="2214"/>
      <c r="H1223" s="2214"/>
      <c r="I1223" s="2214"/>
      <c r="J1223" s="2214"/>
      <c r="K1223" s="2214"/>
      <c r="N1223" s="2044"/>
      <c r="O1223" s="2044"/>
      <c r="Z1223" s="1925" t="s">
        <v>6775</v>
      </c>
      <c r="AA1223" s="2052">
        <v>127</v>
      </c>
    </row>
    <row r="1224" spans="1:27" s="1853" customFormat="1" ht="13.35" customHeight="1">
      <c r="A1224" s="1853" t="str">
        <f>$A1194</f>
        <v>DCR Mortgage B</v>
      </c>
      <c r="B1224" s="2216" t="str">
        <f>'Part VII-Pro Forma'!B128</f>
        <v/>
      </c>
      <c r="C1224" s="2216" t="str">
        <f>'Part VII-Pro Forma'!C128</f>
        <v/>
      </c>
      <c r="D1224" s="2216" t="str">
        <f>'Part VII-Pro Forma'!D128</f>
        <v/>
      </c>
      <c r="E1224" s="2216" t="str">
        <f>'Part VII-Pro Forma'!E128</f>
        <v/>
      </c>
      <c r="F1224" s="2216" t="str">
        <f>'Part VII-Pro Forma'!F128</f>
        <v/>
      </c>
      <c r="G1224" s="2214"/>
      <c r="H1224" s="2214"/>
      <c r="I1224" s="2214"/>
      <c r="J1224" s="2214"/>
      <c r="K1224" s="2214"/>
      <c r="N1224" s="2044"/>
      <c r="O1224" s="2044"/>
      <c r="Z1224" s="1925" t="s">
        <v>6775</v>
      </c>
      <c r="AA1224" s="2052">
        <v>128</v>
      </c>
    </row>
    <row r="1225" spans="1:27" s="1853" customFormat="1" ht="13.35" customHeight="1">
      <c r="A1225" s="1853" t="str">
        <f>$A1195</f>
        <v>DCR Mortgage C</v>
      </c>
      <c r="B1225" s="2216" t="str">
        <f>'Part VII-Pro Forma'!B129</f>
        <v/>
      </c>
      <c r="C1225" s="2216" t="str">
        <f>'Part VII-Pro Forma'!C129</f>
        <v/>
      </c>
      <c r="D1225" s="2216" t="str">
        <f>'Part VII-Pro Forma'!D129</f>
        <v/>
      </c>
      <c r="E1225" s="2216" t="str">
        <f>'Part VII-Pro Forma'!E129</f>
        <v/>
      </c>
      <c r="F1225" s="2216" t="str">
        <f>'Part VII-Pro Forma'!F129</f>
        <v/>
      </c>
      <c r="G1225" s="2214"/>
      <c r="H1225" s="2214"/>
      <c r="I1225" s="2214"/>
      <c r="J1225" s="2214"/>
      <c r="K1225" s="2214"/>
      <c r="N1225" s="2044"/>
      <c r="O1225" s="2044"/>
      <c r="Z1225" s="1925" t="s">
        <v>6775</v>
      </c>
      <c r="AA1225" s="2052">
        <v>129</v>
      </c>
    </row>
    <row r="1226" spans="1:27" s="1853" customFormat="1" ht="13.35" customHeight="1">
      <c r="A1226" s="1853" t="str">
        <f>$A1196</f>
        <v>DCR Other Source</v>
      </c>
      <c r="B1226" s="2216" t="str">
        <f>'Part VII-Pro Forma'!B130</f>
        <v/>
      </c>
      <c r="C1226" s="2216" t="str">
        <f>'Part VII-Pro Forma'!C130</f>
        <v/>
      </c>
      <c r="D1226" s="2216" t="str">
        <f>'Part VII-Pro Forma'!D130</f>
        <v/>
      </c>
      <c r="E1226" s="2216" t="str">
        <f>'Part VII-Pro Forma'!E130</f>
        <v/>
      </c>
      <c r="F1226" s="2216" t="str">
        <f>'Part VII-Pro Forma'!F130</f>
        <v/>
      </c>
      <c r="G1226" s="2214"/>
      <c r="H1226" s="2214"/>
      <c r="I1226" s="2214"/>
      <c r="J1226" s="2214"/>
      <c r="K1226" s="2214"/>
      <c r="N1226" s="2044"/>
      <c r="O1226" s="2044"/>
      <c r="Z1226" s="1925" t="s">
        <v>6775</v>
      </c>
      <c r="AA1226" s="2052">
        <v>130</v>
      </c>
    </row>
    <row r="1227" spans="1:27" s="1853" customFormat="1" ht="13.35" customHeight="1">
      <c r="A1227" s="1853" t="s">
        <v>3343</v>
      </c>
      <c r="B1227" s="2216">
        <f>'Part VII-Pro Forma'!B131</f>
        <v>0.65432420049163276</v>
      </c>
      <c r="C1227" s="2216">
        <f>'Part VII-Pro Forma'!C131</f>
        <v>0.5949819774226458</v>
      </c>
      <c r="D1227" s="2216">
        <f>'Part VII-Pro Forma'!D131</f>
        <v>0.53227484185525431</v>
      </c>
      <c r="E1227" s="2216">
        <f>'Part VII-Pro Forma'!E131</f>
        <v>0.46608238913887495</v>
      </c>
      <c r="F1227" s="2216">
        <f>'Part VII-Pro Forma'!F131</f>
        <v>0.39625584380858186</v>
      </c>
      <c r="G1227" s="2214"/>
      <c r="H1227" s="2214"/>
      <c r="I1227" s="2214"/>
      <c r="J1227" s="2214"/>
      <c r="K1227" s="2214"/>
      <c r="N1227" s="2044"/>
      <c r="O1227" s="2044"/>
      <c r="Z1227" s="1925" t="s">
        <v>6775</v>
      </c>
      <c r="AA1227" s="1930">
        <v>131</v>
      </c>
    </row>
    <row r="1228" spans="1:27" s="1853" customFormat="1" ht="13.35" customHeight="1">
      <c r="A1228" s="1853" t="s">
        <v>740</v>
      </c>
      <c r="B1228" s="2216">
        <f>'Part VII-Pro Forma'!B132</f>
        <v>1.0844677827965072</v>
      </c>
      <c r="C1228" s="2216">
        <f>'Part VII-Pro Forma'!C132</f>
        <v>1.0746181594889952</v>
      </c>
      <c r="D1228" s="2216">
        <f>'Part VII-Pro Forma'!D132</f>
        <v>1.064851209127885</v>
      </c>
      <c r="E1228" s="2216">
        <f>'Part VII-Pro Forma'!E132</f>
        <v>1.0551679079936358</v>
      </c>
      <c r="F1228" s="2216">
        <f>'Part VII-Pro Forma'!F132</f>
        <v>1.045566148420362</v>
      </c>
      <c r="G1228" s="2214"/>
      <c r="H1228" s="2214"/>
      <c r="I1228" s="2214"/>
      <c r="J1228" s="2214"/>
      <c r="K1228" s="2214"/>
      <c r="N1228" s="2044"/>
      <c r="O1228" s="2044"/>
      <c r="Z1228" s="1925" t="s">
        <v>6775</v>
      </c>
      <c r="AA1228" s="2052">
        <v>132</v>
      </c>
    </row>
    <row r="1229" spans="1:27" s="1853" customFormat="1" ht="13.35" customHeight="1">
      <c r="A1229" s="1853" t="s">
        <v>2492</v>
      </c>
      <c r="B1229" s="2215">
        <f>'Part VII-Pro Forma'!B133</f>
        <v>452973.5415710333</v>
      </c>
      <c r="C1229" s="2215">
        <f>'Part VII-Pro Forma'!C133</f>
        <v>348467.31678617914</v>
      </c>
      <c r="D1229" s="2215">
        <f>'Part VII-Pro Forma'!D133</f>
        <v>238340.55005763122</v>
      </c>
      <c r="E1229" s="2215">
        <f>'Part VII-Pro Forma'!E133</f>
        <v>122290.95803522693</v>
      </c>
      <c r="F1229" s="2215">
        <f>'Part VII-Pro Forma'!F133</f>
        <v>-9.4529241323471069E-8</v>
      </c>
      <c r="G1229" s="2214"/>
      <c r="H1229" s="2214"/>
      <c r="I1229" s="2214"/>
      <c r="J1229" s="2214"/>
      <c r="K1229" s="2214"/>
      <c r="N1229" s="2044"/>
      <c r="O1229" s="2044"/>
      <c r="Z1229" s="1925" t="s">
        <v>6775</v>
      </c>
      <c r="AA1229" s="2052">
        <v>133</v>
      </c>
    </row>
    <row r="1230" spans="1:27" s="1853" customFormat="1" ht="13.35" customHeight="1">
      <c r="A1230" s="1853" t="s">
        <v>2493</v>
      </c>
      <c r="B1230" s="2215" t="str">
        <f>'Part VII-Pro Forma'!B134</f>
        <v/>
      </c>
      <c r="C1230" s="2215" t="str">
        <f>'Part VII-Pro Forma'!C134</f>
        <v/>
      </c>
      <c r="D1230" s="2215" t="str">
        <f>'Part VII-Pro Forma'!D134</f>
        <v/>
      </c>
      <c r="E1230" s="2215" t="str">
        <f>'Part VII-Pro Forma'!E134</f>
        <v/>
      </c>
      <c r="F1230" s="2215" t="str">
        <f>'Part VII-Pro Forma'!F134</f>
        <v/>
      </c>
      <c r="G1230" s="2214"/>
      <c r="H1230" s="2214"/>
      <c r="I1230" s="2214"/>
      <c r="J1230" s="2214"/>
      <c r="K1230" s="2214"/>
      <c r="N1230" s="2044"/>
      <c r="O1230" s="2044"/>
      <c r="Z1230" s="1925" t="s">
        <v>6775</v>
      </c>
      <c r="AA1230" s="2052">
        <v>134</v>
      </c>
    </row>
    <row r="1231" spans="1:27" s="1853" customFormat="1" ht="13.35" customHeight="1">
      <c r="A1231" s="1853" t="s">
        <v>2494</v>
      </c>
      <c r="B1231" s="2215" t="str">
        <f>'Part VII-Pro Forma'!B135</f>
        <v/>
      </c>
      <c r="C1231" s="2215" t="str">
        <f>'Part VII-Pro Forma'!C135</f>
        <v/>
      </c>
      <c r="D1231" s="2215" t="str">
        <f>'Part VII-Pro Forma'!D135</f>
        <v/>
      </c>
      <c r="E1231" s="2215" t="str">
        <f>'Part VII-Pro Forma'!E135</f>
        <v/>
      </c>
      <c r="F1231" s="2215" t="str">
        <f>'Part VII-Pro Forma'!F135</f>
        <v/>
      </c>
      <c r="G1231" s="2214"/>
      <c r="H1231" s="2214"/>
      <c r="I1231" s="2214"/>
      <c r="J1231" s="2214"/>
      <c r="K1231" s="2214"/>
      <c r="N1231" s="2044"/>
      <c r="O1231" s="2044"/>
      <c r="Z1231" s="1925" t="s">
        <v>6775</v>
      </c>
      <c r="AA1231" s="2052">
        <v>135</v>
      </c>
    </row>
    <row r="1232" spans="1:27" s="1853" customFormat="1" ht="13.35" customHeight="1">
      <c r="A1232" s="1853" t="s">
        <v>752</v>
      </c>
      <c r="B1232" s="2215" t="str">
        <f>'Part VII-Pro Forma'!B136</f>
        <v/>
      </c>
      <c r="C1232" s="2215" t="str">
        <f>'Part VII-Pro Forma'!C136</f>
        <v/>
      </c>
      <c r="D1232" s="2215" t="str">
        <f>'Part VII-Pro Forma'!D136</f>
        <v/>
      </c>
      <c r="E1232" s="2215" t="str">
        <f>'Part VII-Pro Forma'!E136</f>
        <v/>
      </c>
      <c r="F1232" s="2215" t="str">
        <f>'Part VII-Pro Forma'!F136</f>
        <v/>
      </c>
      <c r="G1232" s="2214"/>
      <c r="H1232" s="2214"/>
      <c r="I1232" s="2214"/>
      <c r="J1232" s="2214"/>
      <c r="K1232" s="2214"/>
      <c r="N1232" s="2044"/>
      <c r="O1232" s="2044"/>
      <c r="Z1232" s="1925" t="s">
        <v>6775</v>
      </c>
      <c r="AA1232" s="2052">
        <v>136</v>
      </c>
    </row>
    <row r="1233" spans="1:27" s="1853" customFormat="1" ht="4.3499999999999996" customHeight="1">
      <c r="Z1233" s="1925"/>
      <c r="AA1233" s="2052"/>
    </row>
    <row r="1234" spans="1:27" s="1853" customFormat="1" ht="12" customHeight="1">
      <c r="A1234" s="1853" t="s">
        <v>542</v>
      </c>
      <c r="G1234" s="1853" t="s">
        <v>992</v>
      </c>
      <c r="Z1234" s="1925"/>
      <c r="AA1234" s="2052"/>
    </row>
    <row r="1235" spans="1:27" s="1853" customFormat="1" ht="12" customHeight="1">
      <c r="Z1235" s="1925"/>
      <c r="AA1235" s="2052"/>
    </row>
    <row r="1236" spans="1:27" s="1853" customFormat="1" ht="409.5" customHeight="1">
      <c r="A1236" s="1957" t="str">
        <f>'Part VII-Pro Forma'!A140</f>
        <v>APPLICANTS: Explain any any debt service payment amounts that deviate from the amount shown in Permanent Sources (Part III)</v>
      </c>
      <c r="B1236" s="1957"/>
      <c r="C1236" s="1957"/>
      <c r="D1236" s="1957"/>
      <c r="E1236" s="1957"/>
      <c r="F1236" s="1957"/>
      <c r="G1236" s="1957"/>
      <c r="H1236" s="1957"/>
      <c r="I1236" s="1957"/>
      <c r="J1236" s="1957"/>
      <c r="K1236" s="1957"/>
      <c r="N1236" s="1856" t="s">
        <v>2541</v>
      </c>
      <c r="O1236" s="1856"/>
      <c r="Z1236" s="1925"/>
      <c r="AA1236" s="2052"/>
    </row>
    <row r="1241" spans="1:27" s="1853" customFormat="1" ht="14.1" customHeight="1">
      <c r="A1241" s="1818" t="str">
        <f>CONCATENATE("PART EIGHT - THRESHOLD CRITERIA","  -  ",'Part I-Project Information'!$O$7," ",'Part I-Project Information'!$F$35,", ",'Part I-Project Information'!F1229,", ",'Part I-Project Information'!J1230," County")</f>
        <v>PART EIGHT - THRESHOLD CRITERIA  -  2021-067 West Point Village Phase II, ,  County</v>
      </c>
      <c r="B1241" s="1818"/>
      <c r="C1241" s="1818"/>
      <c r="D1241" s="1818"/>
      <c r="E1241" s="1818"/>
      <c r="F1241" s="1818"/>
      <c r="G1241" s="1818"/>
      <c r="H1241" s="1818"/>
      <c r="I1241" s="1818"/>
      <c r="J1241" s="1818"/>
      <c r="K1241" s="1818"/>
      <c r="L1241" s="1818"/>
      <c r="M1241" s="1818"/>
      <c r="N1241" s="1818"/>
      <c r="O1241" s="1818"/>
      <c r="P1241" s="1818"/>
      <c r="Q1241" s="1818"/>
      <c r="R1241" s="2217" t="str">
        <f>'Part I-Project Information'!$B$7</f>
        <v>2021 Core App
May 10 Rev</v>
      </c>
      <c r="S1241" s="2217"/>
    </row>
    <row r="1242" spans="1:27" s="1853" customFormat="1" ht="3" customHeight="1">
      <c r="R1242" s="2217"/>
      <c r="S1242" s="2217"/>
    </row>
    <row r="1243" spans="1:27" s="1853" customFormat="1" ht="13.5" customHeight="1">
      <c r="A1243" s="2218" t="str">
        <f>IF(OR(P1269="Fail",P1276="Fail",P1313="Fail",P1319="Fail",P1335="Fail",P1354="Fail",P1372="Fail",P1402="Fail",P1413="Fail",P1423="Fail",P1441="Fail",P1450="Fail",P1461="Fail",P1488="Fail",P1507="Fail",P1527="Fail",P1539="Fail",P1552="Fail",P1578="Fail",P1597="Fail",P1609="Fail",P1619="Fail",P1636="Fail",P1645="Fail",P1656="Fail",P1694="Fail",P1711="Fail"),"Preliminary Rating: FAIL",IF(OR(P1269="",P1276="",P1313="",P1319="",P1335="",P1354="",P1372="",P1402="",P1413="",P1423="",P1441="",P1450="",P1461="",P1488="",P1507="",P1527="",P1539="",P1552="",P1578="",P1597="",P1609="",P1619="",P1636="",P1645="",P1656="",P1694="",P1711=""),"Preliminary Rating: Incomplete",IF(OR(P1269="TBD",P1276="TBD",P1313="TBD",P1319="TBD",P1335="TBD",P1354="TBD",P1372="TBD",P1402="TBD",P1413="TBD",P1423="TBD",P1441="TBD",P1450="TBD",P1461="TBD",P1488="TBD",P1507="TBD",P1527="TBD",P1539="TBD",P1552="TBD",P1578="TBD",P1597="TBD",P1609="TBD",P1619="TBD",P1636="TBD",P1645="TBD",P1656="TBD",P1694="TBD",P1711="TBD"),"Preliminary Rating: TBD","")))</f>
        <v>Preliminary Rating: Incomplete</v>
      </c>
      <c r="B1243" s="2218"/>
      <c r="C1243" s="2218"/>
      <c r="D1243" s="2218"/>
      <c r="E1243" s="2218"/>
      <c r="F1243" s="2218"/>
      <c r="G1243" s="2218"/>
      <c r="H1243" s="2218" t="str">
        <f>IF(AND(NOT(A1243="Preliminary Rating: Fail"),NOT(A1243="Preliminary Rating: Incomplete"),NOT(A1243="Preliminary Rating: TBD"),OR(P1269="Conditional Pass",P1276="Conditional Pass",P1313="Conditional Pass",P1319="Conditional Pass",P1335="Conditional Pass",P1354="Conditional Pass",P1372="Conditional Pass",P1402="Conditional Pass",P1413="Conditional Pass",P1423="Conditional Pass",P1441="Conditional Pass",P1450="Conditional Pass",P1461="Conditional Pass",P1488="Conditional Pass",P1507="Conditional Pass",P1527="Conditional Pass",P1539="Conditional Pass",P1552="Conditional Pass",P1578="Conditional Pass",P1597="Conditional Pass",P1609="Conditional Pass",P1619="Conditional Pass",P1636="Conditional Pass",P1645="Conditional Pass",P1656="Conditional Pass",P1694="Conditional Pass",P1711="Conditional Pass")),"Preliminary Rating: Conditional Pass","")</f>
        <v/>
      </c>
      <c r="I1243" s="2218"/>
      <c r="J1243" s="2218"/>
      <c r="K1243" s="2218"/>
      <c r="L1243" s="2218"/>
      <c r="M1243" s="2218"/>
      <c r="N1243" s="2218"/>
      <c r="O1243" s="1719" t="s">
        <v>900</v>
      </c>
      <c r="P1243" s="1719"/>
      <c r="Q1243" s="2118" t="s">
        <v>1757</v>
      </c>
      <c r="R1243" s="2217"/>
      <c r="S1243" s="2217"/>
    </row>
    <row r="1244" spans="1:27" s="1853" customFormat="1" ht="3" customHeight="1">
      <c r="A1244" s="2118"/>
      <c r="B1244" s="2156"/>
      <c r="C1244" s="2156"/>
      <c r="D1244" s="2156"/>
      <c r="E1244" s="2118"/>
      <c r="F1244" s="2118"/>
      <c r="G1244" s="2118"/>
      <c r="H1244" s="2118"/>
      <c r="I1244" s="2118"/>
      <c r="J1244" s="2118"/>
      <c r="K1244" s="2118"/>
      <c r="L1244" s="2118"/>
      <c r="M1244" s="2118"/>
      <c r="N1244" s="2118"/>
      <c r="P1244" s="2118"/>
      <c r="Q1244" s="2118"/>
      <c r="R1244" s="2217"/>
      <c r="S1244" s="2217"/>
    </row>
    <row r="1245" spans="1:27" s="1853" customFormat="1" ht="11.1" hidden="1" customHeight="1">
      <c r="A1245" s="2118"/>
      <c r="B1245" s="2118"/>
      <c r="C1245" s="2118"/>
      <c r="D1245" s="2118"/>
      <c r="E1245" s="2118"/>
      <c r="F1245" s="2118"/>
      <c r="G1245" s="2118"/>
      <c r="H1245" s="2118"/>
      <c r="I1245" s="2118"/>
      <c r="J1245" s="2118"/>
      <c r="K1245" s="2118"/>
      <c r="L1245" s="2118"/>
      <c r="M1245" s="2118"/>
      <c r="N1245" s="2118"/>
      <c r="P1245" s="2118"/>
      <c r="Q1245" s="2118"/>
      <c r="R1245" s="2217"/>
      <c r="S1245" s="2217"/>
    </row>
    <row r="1246" spans="1:27" s="1853" customFormat="1" ht="17.25" customHeight="1">
      <c r="A1246" s="2219" t="s">
        <v>538</v>
      </c>
      <c r="J1246" s="2068" t="s">
        <v>7154</v>
      </c>
      <c r="K1246" s="2068"/>
      <c r="L1246" s="2068"/>
      <c r="M1246" s="2068"/>
      <c r="N1246" s="2068"/>
      <c r="O1246" s="2068"/>
      <c r="P1246" s="2220"/>
      <c r="Q1246" s="2220"/>
      <c r="R1246" s="2217"/>
      <c r="S1246" s="2217"/>
    </row>
    <row r="1247" spans="1:27" s="1853" customFormat="1" ht="12.6" customHeight="1">
      <c r="A1247" s="2221" t="s">
        <v>3186</v>
      </c>
      <c r="H1247" s="1818"/>
      <c r="I1247" s="1818"/>
      <c r="J1247" s="1818"/>
      <c r="K1247" s="1818"/>
      <c r="L1247" s="1818"/>
      <c r="M1247" s="2118"/>
      <c r="N1247" s="2118"/>
    </row>
    <row r="1248" spans="1:27" s="1853" customFormat="1" ht="24.6" customHeight="1">
      <c r="A1248" s="1906" t="s">
        <v>1358</v>
      </c>
      <c r="B1248" s="1906"/>
      <c r="C1248" s="1906"/>
      <c r="D1248" s="1906"/>
      <c r="E1248" s="1906"/>
      <c r="F1248" s="1906"/>
      <c r="G1248" s="1906"/>
      <c r="H1248" s="1906"/>
      <c r="I1248" s="1906"/>
      <c r="J1248" s="1906"/>
      <c r="K1248" s="1906"/>
      <c r="L1248" s="1906"/>
      <c r="M1248" s="1906"/>
      <c r="N1248" s="1906"/>
      <c r="O1248" s="1906"/>
      <c r="P1248" s="1906"/>
      <c r="Q1248" s="1906"/>
      <c r="R1248" s="1856" t="s">
        <v>1939</v>
      </c>
      <c r="S1248" s="1856"/>
    </row>
    <row r="1249" spans="1:19" s="1853" customFormat="1" ht="24.6" customHeight="1">
      <c r="A1249" s="1906" t="s">
        <v>217</v>
      </c>
      <c r="B1249" s="1906"/>
      <c r="C1249" s="1906"/>
      <c r="D1249" s="1906"/>
      <c r="E1249" s="1906"/>
      <c r="F1249" s="1906"/>
      <c r="G1249" s="1906"/>
      <c r="H1249" s="1906"/>
      <c r="I1249" s="1906"/>
      <c r="J1249" s="1906"/>
      <c r="K1249" s="1906"/>
      <c r="L1249" s="1906"/>
      <c r="M1249" s="1906"/>
      <c r="N1249" s="1906"/>
      <c r="O1249" s="1906"/>
      <c r="P1249" s="1906"/>
      <c r="Q1249" s="1906"/>
      <c r="R1249" s="1856"/>
      <c r="S1249" s="1856"/>
    </row>
    <row r="1250" spans="1:19" s="1853" customFormat="1" ht="24.6" customHeight="1">
      <c r="A1250" s="1906" t="s">
        <v>1354</v>
      </c>
      <c r="B1250" s="1906"/>
      <c r="C1250" s="1906"/>
      <c r="D1250" s="1906"/>
      <c r="E1250" s="1906"/>
      <c r="F1250" s="1906"/>
      <c r="G1250" s="1906"/>
      <c r="H1250" s="1906"/>
      <c r="I1250" s="1906"/>
      <c r="J1250" s="1906"/>
      <c r="K1250" s="1906"/>
      <c r="L1250" s="1906"/>
      <c r="M1250" s="1906"/>
      <c r="N1250" s="1906"/>
      <c r="O1250" s="1906"/>
      <c r="P1250" s="1906"/>
      <c r="Q1250" s="1906"/>
      <c r="R1250" s="1856"/>
      <c r="S1250" s="1856"/>
    </row>
    <row r="1251" spans="1:19" s="1853" customFormat="1" ht="24.6" customHeight="1">
      <c r="A1251" s="1906" t="s">
        <v>1355</v>
      </c>
      <c r="B1251" s="1906"/>
      <c r="C1251" s="1906"/>
      <c r="D1251" s="1906"/>
      <c r="E1251" s="1906"/>
      <c r="F1251" s="1906"/>
      <c r="G1251" s="1906"/>
      <c r="H1251" s="1906"/>
      <c r="I1251" s="1906"/>
      <c r="J1251" s="1906"/>
      <c r="K1251" s="1906"/>
      <c r="L1251" s="1906"/>
      <c r="M1251" s="1906"/>
      <c r="N1251" s="1906"/>
      <c r="O1251" s="1906"/>
      <c r="P1251" s="1906"/>
      <c r="Q1251" s="1906"/>
      <c r="R1251" s="1856"/>
      <c r="S1251" s="1856"/>
    </row>
    <row r="1252" spans="1:19" s="1853" customFormat="1" ht="24" customHeight="1">
      <c r="A1252" s="1906" t="s">
        <v>1356</v>
      </c>
      <c r="B1252" s="1906"/>
      <c r="C1252" s="1906"/>
      <c r="D1252" s="1906"/>
      <c r="E1252" s="1906"/>
      <c r="F1252" s="1906"/>
      <c r="G1252" s="1906"/>
      <c r="H1252" s="1906"/>
      <c r="I1252" s="1906"/>
      <c r="J1252" s="1906"/>
      <c r="K1252" s="1906"/>
      <c r="L1252" s="1906"/>
      <c r="M1252" s="1906"/>
      <c r="N1252" s="1906"/>
      <c r="O1252" s="1906"/>
      <c r="P1252" s="1906"/>
      <c r="Q1252" s="1906"/>
      <c r="R1252" s="2222"/>
      <c r="S1252" s="2222"/>
    </row>
    <row r="1253" spans="1:19" s="1853" customFormat="1" ht="11.25" customHeight="1">
      <c r="A1253" s="1906" t="s">
        <v>1357</v>
      </c>
      <c r="B1253" s="1906"/>
      <c r="C1253" s="1906"/>
      <c r="D1253" s="1906"/>
      <c r="E1253" s="1906"/>
      <c r="F1253" s="1906"/>
      <c r="G1253" s="1906"/>
      <c r="H1253" s="1906"/>
      <c r="I1253" s="1906"/>
      <c r="J1253" s="1906"/>
      <c r="K1253" s="1906"/>
      <c r="L1253" s="1906"/>
      <c r="M1253" s="1906"/>
      <c r="N1253" s="1906"/>
      <c r="O1253" s="1906"/>
      <c r="P1253" s="1906"/>
      <c r="Q1253" s="1906"/>
      <c r="R1253" s="2222"/>
      <c r="S1253" s="2222"/>
    </row>
    <row r="1254" spans="1:19" s="1853" customFormat="1" ht="11.25" customHeight="1">
      <c r="A1254" s="1906" t="s">
        <v>1359</v>
      </c>
      <c r="B1254" s="1906"/>
      <c r="C1254" s="1906"/>
      <c r="D1254" s="1906"/>
      <c r="E1254" s="1906"/>
      <c r="F1254" s="1906"/>
      <c r="G1254" s="1906"/>
      <c r="H1254" s="1906"/>
      <c r="I1254" s="1906"/>
      <c r="J1254" s="1906"/>
      <c r="K1254" s="1906"/>
      <c r="L1254" s="1906"/>
      <c r="M1254" s="1906"/>
      <c r="N1254" s="1906"/>
      <c r="O1254" s="1906"/>
      <c r="P1254" s="1906"/>
      <c r="Q1254" s="1906"/>
    </row>
    <row r="1255" spans="1:19" s="1853" customFormat="1" ht="11.25" customHeight="1">
      <c r="A1255" s="1906" t="s">
        <v>1926</v>
      </c>
      <c r="B1255" s="1906"/>
      <c r="C1255" s="1906"/>
      <c r="D1255" s="1906"/>
      <c r="E1255" s="1906"/>
      <c r="F1255" s="1906"/>
      <c r="G1255" s="1906"/>
      <c r="H1255" s="1906"/>
      <c r="I1255" s="1906"/>
      <c r="J1255" s="1906"/>
      <c r="K1255" s="1906"/>
      <c r="L1255" s="1906"/>
      <c r="M1255" s="1906"/>
      <c r="N1255" s="1906"/>
      <c r="O1255" s="1906"/>
      <c r="P1255" s="1906"/>
      <c r="Q1255" s="1906"/>
      <c r="R1255" s="1856"/>
      <c r="S1255" s="1856"/>
    </row>
    <row r="1256" spans="1:19" s="1853" customFormat="1" ht="11.25" customHeight="1">
      <c r="A1256" s="1906" t="s">
        <v>1927</v>
      </c>
      <c r="B1256" s="1906"/>
      <c r="C1256" s="1906"/>
      <c r="D1256" s="1906"/>
      <c r="E1256" s="1906"/>
      <c r="F1256" s="1906"/>
      <c r="G1256" s="1906"/>
      <c r="H1256" s="1906"/>
      <c r="I1256" s="1906"/>
      <c r="J1256" s="1906"/>
      <c r="K1256" s="1906"/>
      <c r="L1256" s="1906"/>
      <c r="M1256" s="1906"/>
      <c r="N1256" s="1906"/>
      <c r="O1256" s="1906"/>
      <c r="P1256" s="1906"/>
      <c r="Q1256" s="1906"/>
      <c r="R1256" s="1856"/>
      <c r="S1256" s="1856"/>
    </row>
    <row r="1257" spans="1:19" s="1853" customFormat="1" ht="11.25" customHeight="1">
      <c r="A1257" s="1906" t="s">
        <v>1928</v>
      </c>
      <c r="B1257" s="1906"/>
      <c r="C1257" s="1906"/>
      <c r="D1257" s="1906"/>
      <c r="E1257" s="1906"/>
      <c r="F1257" s="1906"/>
      <c r="G1257" s="1906"/>
      <c r="H1257" s="1906"/>
      <c r="I1257" s="1906"/>
      <c r="J1257" s="1906"/>
      <c r="K1257" s="1906"/>
      <c r="L1257" s="1906"/>
      <c r="M1257" s="1906"/>
      <c r="N1257" s="1906"/>
      <c r="O1257" s="1906"/>
      <c r="P1257" s="1906"/>
      <c r="Q1257" s="1906"/>
      <c r="R1257" s="1856"/>
      <c r="S1257" s="1856"/>
    </row>
    <row r="1258" spans="1:19" s="1853" customFormat="1" ht="11.25" customHeight="1">
      <c r="A1258" s="1906" t="s">
        <v>1929</v>
      </c>
      <c r="B1258" s="1906"/>
      <c r="C1258" s="1906"/>
      <c r="D1258" s="1906"/>
      <c r="E1258" s="1906"/>
      <c r="F1258" s="1906"/>
      <c r="G1258" s="1906"/>
      <c r="H1258" s="1906"/>
      <c r="I1258" s="1906"/>
      <c r="J1258" s="1906"/>
      <c r="K1258" s="1906"/>
      <c r="L1258" s="1906"/>
      <c r="M1258" s="1906"/>
      <c r="N1258" s="1906"/>
      <c r="O1258" s="1906"/>
      <c r="P1258" s="1906"/>
      <c r="Q1258" s="1906"/>
      <c r="R1258" s="1856"/>
      <c r="S1258" s="1856"/>
    </row>
    <row r="1259" spans="1:19" s="1853" customFormat="1" ht="11.25" customHeight="1">
      <c r="A1259" s="1906" t="s">
        <v>1930</v>
      </c>
      <c r="B1259" s="1906"/>
      <c r="C1259" s="1906"/>
      <c r="D1259" s="1906"/>
      <c r="E1259" s="1906"/>
      <c r="F1259" s="1906"/>
      <c r="G1259" s="1906"/>
      <c r="H1259" s="1906"/>
      <c r="I1259" s="1906"/>
      <c r="J1259" s="1906"/>
      <c r="K1259" s="1906"/>
      <c r="L1259" s="1906"/>
      <c r="M1259" s="1906"/>
      <c r="N1259" s="1906"/>
      <c r="O1259" s="1906"/>
      <c r="P1259" s="1906"/>
      <c r="Q1259" s="1906"/>
      <c r="R1259" s="1856"/>
      <c r="S1259" s="1856"/>
    </row>
    <row r="1260" spans="1:19" s="1853" customFormat="1" ht="11.25" customHeight="1">
      <c r="A1260" s="1906" t="s">
        <v>1931</v>
      </c>
      <c r="B1260" s="1906"/>
      <c r="C1260" s="1906"/>
      <c r="D1260" s="1906"/>
      <c r="E1260" s="1906"/>
      <c r="F1260" s="1906"/>
      <c r="G1260" s="1906"/>
      <c r="H1260" s="1906"/>
      <c r="I1260" s="1906"/>
      <c r="J1260" s="1906"/>
      <c r="K1260" s="1906"/>
      <c r="L1260" s="1906"/>
      <c r="M1260" s="1906"/>
      <c r="N1260" s="1906"/>
      <c r="O1260" s="1906"/>
      <c r="P1260" s="1906"/>
      <c r="Q1260" s="1906"/>
      <c r="R1260" s="1856"/>
      <c r="S1260" s="1856"/>
    </row>
    <row r="1261" spans="1:19" s="1853" customFormat="1" ht="11.25" customHeight="1">
      <c r="A1261" s="1906" t="s">
        <v>1932</v>
      </c>
      <c r="B1261" s="1906"/>
      <c r="C1261" s="1906"/>
      <c r="D1261" s="1906"/>
      <c r="E1261" s="1906"/>
      <c r="F1261" s="1906"/>
      <c r="G1261" s="1906"/>
      <c r="H1261" s="1906"/>
      <c r="I1261" s="1906"/>
      <c r="J1261" s="1906"/>
      <c r="K1261" s="1906"/>
      <c r="L1261" s="1906"/>
      <c r="M1261" s="1906"/>
      <c r="N1261" s="1906"/>
      <c r="O1261" s="1906"/>
      <c r="P1261" s="1906"/>
      <c r="Q1261" s="1906"/>
    </row>
    <row r="1262" spans="1:19" s="1853" customFormat="1" ht="11.25" customHeight="1">
      <c r="A1262" s="1906" t="s">
        <v>1933</v>
      </c>
      <c r="B1262" s="1906"/>
      <c r="C1262" s="1906"/>
      <c r="D1262" s="1906"/>
      <c r="E1262" s="1906"/>
      <c r="F1262" s="1906"/>
      <c r="G1262" s="1906"/>
      <c r="H1262" s="1906"/>
      <c r="I1262" s="1906"/>
      <c r="J1262" s="1906"/>
      <c r="K1262" s="1906"/>
      <c r="L1262" s="1906"/>
      <c r="M1262" s="1906"/>
      <c r="N1262" s="1906"/>
      <c r="O1262" s="1906"/>
      <c r="P1262" s="1906"/>
      <c r="Q1262" s="1906"/>
      <c r="R1262" s="1856"/>
      <c r="S1262" s="1856"/>
    </row>
    <row r="1263" spans="1:19" s="1853" customFormat="1" ht="11.25" customHeight="1">
      <c r="A1263" s="1906" t="s">
        <v>1934</v>
      </c>
      <c r="B1263" s="1906"/>
      <c r="C1263" s="1906"/>
      <c r="D1263" s="1906"/>
      <c r="E1263" s="1906"/>
      <c r="F1263" s="1906"/>
      <c r="G1263" s="1906"/>
      <c r="H1263" s="1906"/>
      <c r="I1263" s="1906"/>
      <c r="J1263" s="1906"/>
      <c r="K1263" s="1906"/>
      <c r="L1263" s="1906"/>
      <c r="M1263" s="1906"/>
      <c r="N1263" s="1906"/>
      <c r="O1263" s="1906"/>
      <c r="P1263" s="1906"/>
      <c r="Q1263" s="1906"/>
      <c r="R1263" s="1856"/>
      <c r="S1263" s="1856"/>
    </row>
    <row r="1264" spans="1:19" s="1853" customFormat="1" ht="11.25" customHeight="1">
      <c r="A1264" s="1906" t="s">
        <v>1935</v>
      </c>
      <c r="B1264" s="1906"/>
      <c r="C1264" s="1906"/>
      <c r="D1264" s="1906"/>
      <c r="E1264" s="1906"/>
      <c r="F1264" s="1906"/>
      <c r="G1264" s="1906"/>
      <c r="H1264" s="1906"/>
      <c r="I1264" s="1906"/>
      <c r="J1264" s="1906"/>
      <c r="K1264" s="1906"/>
      <c r="L1264" s="1906"/>
      <c r="M1264" s="1906"/>
      <c r="N1264" s="1906"/>
      <c r="O1264" s="1906"/>
      <c r="P1264" s="1906"/>
      <c r="Q1264" s="1906"/>
      <c r="R1264" s="1856"/>
      <c r="S1264" s="1856"/>
    </row>
    <row r="1265" spans="1:32" s="1853" customFormat="1" ht="11.25" customHeight="1">
      <c r="A1265" s="1906" t="s">
        <v>1936</v>
      </c>
      <c r="B1265" s="1906"/>
      <c r="C1265" s="1906"/>
      <c r="D1265" s="1906"/>
      <c r="E1265" s="1906"/>
      <c r="F1265" s="1906"/>
      <c r="G1265" s="1906"/>
      <c r="H1265" s="1906"/>
      <c r="I1265" s="1906"/>
      <c r="J1265" s="1906"/>
      <c r="K1265" s="1906"/>
      <c r="L1265" s="1906"/>
      <c r="M1265" s="1906"/>
      <c r="N1265" s="1906"/>
      <c r="O1265" s="1906"/>
      <c r="P1265" s="1906"/>
      <c r="Q1265" s="1906"/>
      <c r="R1265" s="1856"/>
      <c r="S1265" s="1856"/>
    </row>
    <row r="1266" spans="1:32" s="1853" customFormat="1" ht="11.25" customHeight="1">
      <c r="A1266" s="1906" t="s">
        <v>1937</v>
      </c>
      <c r="B1266" s="1906"/>
      <c r="C1266" s="1906"/>
      <c r="D1266" s="1906"/>
      <c r="E1266" s="1906"/>
      <c r="F1266" s="1906"/>
      <c r="G1266" s="1906"/>
      <c r="H1266" s="1906"/>
      <c r="I1266" s="1906"/>
      <c r="J1266" s="1906"/>
      <c r="K1266" s="1906"/>
      <c r="L1266" s="1906"/>
      <c r="M1266" s="1906"/>
      <c r="N1266" s="1906"/>
      <c r="O1266" s="1906"/>
      <c r="P1266" s="1906"/>
      <c r="Q1266" s="1906"/>
      <c r="R1266" s="1856"/>
      <c r="S1266" s="1856"/>
    </row>
    <row r="1267" spans="1:32" s="1853" customFormat="1" ht="11.25" customHeight="1">
      <c r="A1267" s="1906" t="s">
        <v>1938</v>
      </c>
      <c r="B1267" s="1906"/>
      <c r="C1267" s="1906"/>
      <c r="D1267" s="1906"/>
      <c r="E1267" s="1906"/>
      <c r="F1267" s="1906"/>
      <c r="G1267" s="1906"/>
      <c r="H1267" s="1906"/>
      <c r="I1267" s="1906"/>
      <c r="J1267" s="1906"/>
      <c r="K1267" s="1906"/>
      <c r="L1267" s="1906"/>
      <c r="M1267" s="1906"/>
      <c r="N1267" s="1906"/>
      <c r="O1267" s="1906"/>
      <c r="P1267" s="1906"/>
      <c r="Q1267" s="1906"/>
      <c r="R1267" s="1856"/>
      <c r="S1267" s="1856"/>
    </row>
    <row r="1268" spans="1:32" s="1853" customFormat="1" ht="6" customHeight="1"/>
    <row r="1269" spans="1:32" s="1853" customFormat="1" ht="14.1" customHeight="1">
      <c r="A1269" s="2223" t="s">
        <v>586</v>
      </c>
      <c r="B1269" s="2159" t="s">
        <v>2509</v>
      </c>
      <c r="C1269" s="2224"/>
      <c r="D1269" s="435"/>
      <c r="E1269" s="435"/>
      <c r="F1269" s="435"/>
      <c r="G1269" s="435"/>
      <c r="I1269" s="2165"/>
      <c r="J1269" s="2165"/>
      <c r="K1269" s="2165"/>
      <c r="L1269" s="2118"/>
      <c r="M1269" s="2118"/>
      <c r="O1269" s="2225" t="s">
        <v>1780</v>
      </c>
      <c r="P1269" s="1719"/>
      <c r="Q1269" s="1719"/>
    </row>
    <row r="1270" spans="1:32" s="1853" customFormat="1" ht="3" customHeight="1"/>
    <row r="1271" spans="1:32" s="1853" customFormat="1" ht="11.25" customHeight="1">
      <c r="B1271" s="2157" t="s">
        <v>3372</v>
      </c>
      <c r="C1271" s="2157"/>
      <c r="D1271" s="2157"/>
      <c r="E1271" s="2157"/>
      <c r="F1271" s="2157"/>
      <c r="G1271" s="2165"/>
      <c r="H1271" s="2165"/>
      <c r="I1271" s="2165"/>
      <c r="J1271" s="2165"/>
      <c r="K1271" s="2118"/>
      <c r="L1271" s="2118"/>
      <c r="M1271" s="2118"/>
      <c r="N1271" s="2118"/>
      <c r="O1271" s="2118"/>
      <c r="P1271" s="2118"/>
      <c r="S1271" s="2226"/>
      <c r="T1271" s="2226"/>
    </row>
    <row r="1272" spans="1:32" s="1853" customFormat="1" ht="108.75" customHeight="1">
      <c r="A1272" s="2227" t="str">
        <f>'Part VIII-Threshold Criteria'!A32</f>
        <v>The applicant has submitted a proposal which conforms to the 2021 QAP. All costs for Development and Construction have been carefully underwritten by experienced estimators. Federal ($0.85) and State ($0.58) equity pricing are competitive and worked out with experienced investors and are appropriate for their yields. Operating costs have been proposed by an experienced Management Company, which has successfully operated comparable properties at this same expense level. Rents have been set within the allowable limits per DCA instructions and the most current utiiltiy allowances from DCA have been utilized for 1-bedroom units, which are all LIHTC-Only with no rental assistance. The 2- and 3-bedroom units will be a mix of both LIHTC-Only and RAD/LIHTC units which wlll be scattered among all three buildings in the project so that all buildings qualify as HUD-Regulated Buildings. Total Developer Fee is within 2021 QAP Limits. The proposed project site is adjacent to the first phase of this master planned site.</v>
      </c>
      <c r="B1272" s="2227"/>
      <c r="C1272" s="2227"/>
      <c r="D1272" s="2227"/>
      <c r="E1272" s="2227"/>
      <c r="F1272" s="2227"/>
      <c r="G1272" s="2227"/>
      <c r="H1272" s="2227"/>
      <c r="I1272" s="2227"/>
      <c r="J1272" s="2227"/>
      <c r="K1272" s="2227"/>
      <c r="L1272" s="2227"/>
      <c r="M1272" s="2227"/>
      <c r="N1272" s="2227"/>
      <c r="O1272" s="2227"/>
      <c r="P1272" s="2227"/>
      <c r="Q1272" s="2227"/>
      <c r="R1272" s="1856" t="s">
        <v>1208</v>
      </c>
      <c r="S1272" s="1856"/>
      <c r="T1272" s="2226"/>
      <c r="U1272" s="1719"/>
      <c r="V1272" s="1719"/>
      <c r="W1272" s="1719"/>
      <c r="X1272" s="1719"/>
      <c r="Y1272" s="1719"/>
      <c r="Z1272" s="1719"/>
      <c r="AA1272" s="1719"/>
      <c r="AB1272" s="1719"/>
      <c r="AC1272" s="1719"/>
      <c r="AD1272" s="1719"/>
      <c r="AE1272" s="1719"/>
    </row>
    <row r="1273" spans="1:32" s="1853" customFormat="1" ht="11.25" customHeight="1">
      <c r="B1273" s="2228" t="s">
        <v>1779</v>
      </c>
      <c r="C1273" s="2228"/>
      <c r="D1273" s="2229"/>
      <c r="E1273" s="2229"/>
      <c r="F1273" s="2229"/>
      <c r="G1273" s="2229"/>
      <c r="H1273" s="2229"/>
      <c r="I1273" s="2229"/>
      <c r="J1273" s="2229"/>
      <c r="K1273" s="2229"/>
      <c r="L1273" s="2229"/>
      <c r="M1273" s="2229"/>
      <c r="N1273" s="2229"/>
      <c r="O1273" s="2229"/>
      <c r="P1273" s="2229"/>
    </row>
    <row r="1274" spans="1:32" s="1853" customFormat="1" ht="36" customHeight="1">
      <c r="A1274" s="2224"/>
      <c r="B1274" s="2224"/>
      <c r="C1274" s="2224"/>
      <c r="D1274" s="2224"/>
      <c r="E1274" s="2224"/>
      <c r="F1274" s="2224"/>
      <c r="G1274" s="2224"/>
      <c r="H1274" s="2224"/>
      <c r="I1274" s="2224"/>
      <c r="J1274" s="2224"/>
      <c r="K1274" s="2224"/>
      <c r="L1274" s="2224"/>
      <c r="M1274" s="2224"/>
      <c r="N1274" s="2224"/>
      <c r="O1274" s="2224"/>
      <c r="P1274" s="2224"/>
      <c r="Q1274" s="2224"/>
      <c r="R1274" s="1856" t="s">
        <v>1208</v>
      </c>
      <c r="S1274" s="1856"/>
    </row>
    <row r="1275" spans="1:32" s="1853" customFormat="1" ht="3" customHeight="1">
      <c r="B1275" s="2165"/>
      <c r="C1275" s="2229"/>
      <c r="D1275" s="2229"/>
      <c r="E1275" s="2229"/>
      <c r="F1275" s="2229"/>
      <c r="G1275" s="2229"/>
      <c r="H1275" s="2229"/>
      <c r="I1275" s="2229"/>
      <c r="J1275" s="2229"/>
      <c r="K1275" s="2229"/>
      <c r="L1275" s="2229"/>
      <c r="M1275" s="2229"/>
      <c r="N1275" s="2229"/>
      <c r="O1275" s="2229"/>
      <c r="P1275" s="2229"/>
      <c r="Q1275" s="2118"/>
    </row>
    <row r="1276" spans="1:32" s="1853" customFormat="1" ht="12.75" customHeight="1">
      <c r="A1276" s="2106" t="s">
        <v>710</v>
      </c>
      <c r="B1276" s="1818" t="s">
        <v>2557</v>
      </c>
      <c r="C1276" s="1818"/>
      <c r="D1276" s="1818"/>
      <c r="E1276" s="2229"/>
      <c r="G1276" s="1719"/>
      <c r="H1276" s="1719"/>
      <c r="I1276" s="1719"/>
      <c r="J1276" s="1818"/>
      <c r="L1276" s="2203"/>
      <c r="M1276" s="2203"/>
      <c r="N1276" s="2203"/>
      <c r="O1276" s="2225" t="s">
        <v>1780</v>
      </c>
      <c r="P1276" s="1719"/>
      <c r="Q1276" s="1719"/>
    </row>
    <row r="1277" spans="1:32" s="1853" customFormat="1" ht="11.25" customHeight="1">
      <c r="A1277" s="2230"/>
      <c r="B1277" s="2230"/>
      <c r="C1277" s="2230"/>
      <c r="D1277" s="2230"/>
      <c r="E1277" s="2230"/>
      <c r="F1277" s="2230"/>
      <c r="G1277" s="1865" t="s">
        <v>2561</v>
      </c>
      <c r="H1277" s="1865"/>
      <c r="I1277" s="435"/>
      <c r="J1277" s="1818"/>
      <c r="K1277" s="435" t="s">
        <v>3285</v>
      </c>
      <c r="L1277" s="435"/>
      <c r="M1277" s="435"/>
      <c r="N1277" s="435"/>
    </row>
    <row r="1278" spans="1:32" s="1853" customFormat="1" ht="11.25" customHeight="1">
      <c r="A1278" s="2230"/>
      <c r="B1278" s="2230"/>
      <c r="C1278" s="2230"/>
      <c r="D1278" s="2230"/>
      <c r="E1278" s="2230"/>
      <c r="F1278" s="2230"/>
      <c r="G1278" s="1865" t="s">
        <v>335</v>
      </c>
      <c r="H1278" s="1865"/>
      <c r="I1278" s="435"/>
      <c r="J1278" s="1818"/>
      <c r="K1278" s="435" t="s">
        <v>3286</v>
      </c>
      <c r="L1278" s="435"/>
      <c r="M1278" s="435"/>
      <c r="N1278" s="435"/>
      <c r="P1278" s="2030" t="s">
        <v>2572</v>
      </c>
      <c r="Q1278" s="2231" t="str">
        <f>'Part VIII-Threshold Criteria'!Q38</f>
        <v>Yes</v>
      </c>
    </row>
    <row r="1279" spans="1:32" s="1853" customFormat="1" ht="4.5" customHeight="1">
      <c r="A1279" s="2230"/>
      <c r="B1279" s="2230"/>
      <c r="C1279" s="2230"/>
      <c r="D1279" s="2230"/>
      <c r="E1279" s="2230"/>
      <c r="F1279" s="2230"/>
      <c r="G1279" s="435"/>
      <c r="H1279" s="435"/>
      <c r="I1279" s="435"/>
      <c r="J1279" s="1818"/>
      <c r="K1279" s="435"/>
      <c r="L1279" s="435"/>
      <c r="M1279" s="435"/>
      <c r="N1279" s="435"/>
      <c r="P1279" s="1876" t="s">
        <v>4133</v>
      </c>
      <c r="Q1279" s="1876"/>
    </row>
    <row r="1280" spans="1:32" s="1853" customFormat="1" ht="10.5" customHeight="1">
      <c r="D1280" s="2232" t="s">
        <v>2560</v>
      </c>
      <c r="F1280" s="2113" t="s">
        <v>3187</v>
      </c>
      <c r="G1280" s="2113" t="s">
        <v>4077</v>
      </c>
      <c r="H1280" s="2113"/>
      <c r="I1280" s="2113"/>
      <c r="K1280" s="2113" t="s">
        <v>3187</v>
      </c>
      <c r="L1280" s="2113" t="s">
        <v>4076</v>
      </c>
      <c r="M1280" s="2113"/>
      <c r="N1280" s="2113"/>
      <c r="P1280" s="1876"/>
      <c r="Q1280" s="1876"/>
      <c r="R1280" s="1851"/>
      <c r="V1280" s="1818"/>
      <c r="W1280" s="1818"/>
      <c r="X1280" s="2115"/>
      <c r="Y1280" s="1818"/>
      <c r="Z1280" s="435"/>
      <c r="AA1280" s="436"/>
      <c r="AB1280" s="436"/>
      <c r="AC1280" s="436"/>
      <c r="AD1280" s="436"/>
      <c r="AE1280" s="436"/>
      <c r="AF1280" s="436"/>
    </row>
    <row r="1281" spans="1:32" s="1853" customFormat="1" ht="12" customHeight="1">
      <c r="A1281" s="1906" t="s">
        <v>3117</v>
      </c>
      <c r="B1281" s="1906"/>
      <c r="C1281" s="1906"/>
      <c r="D1281" s="2233" t="s">
        <v>539</v>
      </c>
      <c r="E1281" s="2165">
        <v>0</v>
      </c>
      <c r="F1281" s="2234" t="str">
        <f>IF('Part VI-Revenues &amp; Expenses'!$K$147 =0,"",'Part VI-Revenues &amp; Expenses'!$K$147)</f>
        <v/>
      </c>
      <c r="G1281" s="2235">
        <f>'Part VIII-Threshold Criteria'!G41</f>
        <v>186824.4</v>
      </c>
      <c r="H1281" s="2122" t="str">
        <f>CONCATENATE("x ", F1281," units = ")</f>
        <v xml:space="preserve">x  units = </v>
      </c>
      <c r="I1281" s="2053" t="str">
        <f>IF(F1281="","",F1281*G1281)</f>
        <v/>
      </c>
      <c r="J1281" s="1818"/>
      <c r="K1281" s="2234" t="str">
        <f>IF('Part VI-Revenues &amp; Expenses'!$K$148 =0,"",'Part VI-Revenues &amp; Expenses'!$K$148)</f>
        <v/>
      </c>
      <c r="L1281" s="2235">
        <f>G1281*(1+'DCA Underwriting Assumptions'!$Q$12)</f>
        <v>205506.84</v>
      </c>
      <c r="M1281" s="2122" t="str">
        <f>CONCATENATE("x ", K1281," units = ")</f>
        <v xml:space="preserve">x  units = </v>
      </c>
      <c r="N1281" s="2053" t="str">
        <f>IF(K1281="","",K1281*L1281)</f>
        <v/>
      </c>
      <c r="O1281" s="2229"/>
      <c r="P1281" s="1876"/>
      <c r="Q1281" s="1876"/>
      <c r="R1281" s="1851"/>
      <c r="V1281" s="1818"/>
      <c r="W1281" s="1818"/>
      <c r="X1281" s="2115"/>
      <c r="Y1281" s="1818"/>
      <c r="Z1281" s="435"/>
      <c r="AA1281" s="436"/>
      <c r="AB1281" s="436"/>
      <c r="AC1281" s="436"/>
      <c r="AD1281" s="436"/>
      <c r="AE1281" s="436"/>
      <c r="AF1281" s="436"/>
    </row>
    <row r="1282" spans="1:32" s="1853" customFormat="1" ht="12" customHeight="1">
      <c r="A1282" s="1906"/>
      <c r="B1282" s="1906"/>
      <c r="C1282" s="1906"/>
      <c r="D1282" s="2233" t="s">
        <v>2328</v>
      </c>
      <c r="E1282" s="2165">
        <v>1</v>
      </c>
      <c r="F1282" s="2234" t="str">
        <f>IF('Part VI-Revenues &amp; Expenses'!$L$147 =0,"",'Part VI-Revenues &amp; Expenses'!$L$147)</f>
        <v/>
      </c>
      <c r="G1282" s="2235">
        <f>'Part VIII-Threshold Criteria'!G42</f>
        <v>231653.69999999998</v>
      </c>
      <c r="H1282" s="2122" t="str">
        <f>CONCATENATE("x ", F1282," units = ")</f>
        <v xml:space="preserve">x  units = </v>
      </c>
      <c r="I1282" s="2053" t="str">
        <f>IF(F1282="","",F1282*G1282)</f>
        <v/>
      </c>
      <c r="J1282" s="1818"/>
      <c r="K1282" s="2234" t="str">
        <f>IF('Part VI-Revenues &amp; Expenses'!$L$148 =0,"",'Part VI-Revenues &amp; Expenses'!$L$148)</f>
        <v/>
      </c>
      <c r="L1282" s="2235">
        <f>G1282*(1+'DCA Underwriting Assumptions'!$Q$12)</f>
        <v>254819.07</v>
      </c>
      <c r="M1282" s="2122" t="str">
        <f>CONCATENATE("x ", K1282," units = ")</f>
        <v xml:space="preserve">x  units = </v>
      </c>
      <c r="N1282" s="2053" t="str">
        <f>IF(K1282="","",K1282*L1282)</f>
        <v/>
      </c>
      <c r="O1282" s="2229"/>
      <c r="P1282" s="2217" t="str">
        <f>IF('Part I-Project Information'!$F$39="","",VLOOKUP('Part I-Project Information'!$J$40,'DCA Underwriting Assumptions'!$G$174:$N$333,8,FALSE))</f>
        <v>Atlanta</v>
      </c>
      <c r="Q1282" s="2217"/>
      <c r="R1282" s="1851"/>
      <c r="W1282" s="1818"/>
      <c r="X1282" s="2115"/>
      <c r="Y1282" s="1818"/>
      <c r="Z1282" s="435"/>
      <c r="AA1282" s="436"/>
      <c r="AB1282" s="436"/>
      <c r="AC1282" s="436"/>
      <c r="AD1282" s="436"/>
      <c r="AE1282" s="436"/>
      <c r="AF1282" s="436"/>
    </row>
    <row r="1283" spans="1:32" s="1853" customFormat="1" ht="12" customHeight="1">
      <c r="A1283" s="1906"/>
      <c r="B1283" s="1906"/>
      <c r="C1283" s="1906"/>
      <c r="D1283" s="2233" t="s">
        <v>2329</v>
      </c>
      <c r="E1283" s="2165">
        <v>2</v>
      </c>
      <c r="F1283" s="2234" t="str">
        <f>IF('Part VI-Revenues &amp; Expenses'!$M$147 =0,"",'Part VI-Revenues &amp; Expenses'!$M$147)</f>
        <v/>
      </c>
      <c r="G1283" s="2235">
        <f>'Part VIII-Threshold Criteria'!G43</f>
        <v>277175.3</v>
      </c>
      <c r="H1283" s="2122" t="str">
        <f>CONCATENATE("x ", F1283," units = ")</f>
        <v xml:space="preserve">x  units = </v>
      </c>
      <c r="I1283" s="2053" t="str">
        <f>IF(F1283="","",F1283*G1283)</f>
        <v/>
      </c>
      <c r="J1283" s="1818"/>
      <c r="K1283" s="2234" t="str">
        <f>IF('Part VI-Revenues &amp; Expenses'!$M$148 =0,"",'Part VI-Revenues &amp; Expenses'!$M$148)</f>
        <v/>
      </c>
      <c r="L1283" s="2235">
        <f>G1283*(1+'DCA Underwriting Assumptions'!$Q$12)</f>
        <v>304892.83</v>
      </c>
      <c r="M1283" s="2122" t="str">
        <f>CONCATENATE("x ", K1283," units = ")</f>
        <v xml:space="preserve">x  units = </v>
      </c>
      <c r="N1283" s="2053" t="str">
        <f>IF(K1283="","",K1283*L1283)</f>
        <v/>
      </c>
      <c r="O1283" s="2229"/>
      <c r="P1283" s="2217"/>
      <c r="Q1283" s="2217"/>
      <c r="W1283" s="1818"/>
      <c r="X1283" s="2115"/>
      <c r="Y1283" s="1818"/>
      <c r="Z1283" s="435"/>
      <c r="AA1283" s="436"/>
      <c r="AB1283" s="436"/>
      <c r="AC1283" s="436"/>
      <c r="AD1283" s="436"/>
      <c r="AE1283" s="436"/>
      <c r="AF1283" s="436"/>
    </row>
    <row r="1284" spans="1:32" s="1853" customFormat="1" ht="12" customHeight="1">
      <c r="A1284" s="1906"/>
      <c r="B1284" s="1906"/>
      <c r="C1284" s="1906"/>
      <c r="D1284" s="2233" t="s">
        <v>2330</v>
      </c>
      <c r="E1284" s="2165">
        <v>3</v>
      </c>
      <c r="F1284" s="2234" t="str">
        <f>IF('Part VI-Revenues &amp; Expenses'!$N$147 =0,"",'Part VI-Revenues &amp; Expenses'!$N$147)</f>
        <v/>
      </c>
      <c r="G1284" s="2235">
        <f>'Part VIII-Threshold Criteria'!G44</f>
        <v>316111.40000000002</v>
      </c>
      <c r="H1284" s="2122" t="str">
        <f>CONCATENATE("x ", F1284," units = ")</f>
        <v xml:space="preserve">x  units = </v>
      </c>
      <c r="I1284" s="2053" t="str">
        <f>IF(F1284="","",F1284*G1284)</f>
        <v/>
      </c>
      <c r="J1284" s="1818"/>
      <c r="K1284" s="2234" t="str">
        <f>IF('Part VI-Revenues &amp; Expenses'!$N$148 =0,"",'Part VI-Revenues &amp; Expenses'!$N$148)</f>
        <v/>
      </c>
      <c r="L1284" s="2235">
        <f>G1284*(1+'DCA Underwriting Assumptions'!$Q$12)</f>
        <v>347722.54000000004</v>
      </c>
      <c r="M1284" s="2122" t="str">
        <f>CONCATENATE("x ", K1284," units = ")</f>
        <v xml:space="preserve">x  units = </v>
      </c>
      <c r="N1284" s="2053" t="str">
        <f>IF(K1284="","",K1284*L1284)</f>
        <v/>
      </c>
      <c r="O1284" s="2229"/>
      <c r="P1284" s="435" t="s">
        <v>4134</v>
      </c>
      <c r="Q1284" s="435"/>
      <c r="W1284" s="1818"/>
      <c r="X1284" s="2115"/>
      <c r="AC1284" s="436"/>
      <c r="AD1284" s="436"/>
      <c r="AE1284" s="436"/>
      <c r="AF1284" s="436"/>
    </row>
    <row r="1285" spans="1:32" s="1853" customFormat="1" ht="12" customHeight="1">
      <c r="C1285" s="1818"/>
      <c r="D1285" s="2233" t="s">
        <v>2331</v>
      </c>
      <c r="E1285" s="2165">
        <v>4</v>
      </c>
      <c r="F1285" s="2234" t="str">
        <f>IF('Part VI-Revenues &amp; Expenses'!$O$147 =0,"",'Part VI-Revenues &amp; Expenses'!$O$147)</f>
        <v/>
      </c>
      <c r="G1285" s="2235">
        <f>'Part VIII-Threshold Criteria'!G45</f>
        <v>372487.50000000006</v>
      </c>
      <c r="H1285" s="2122" t="str">
        <f>CONCATENATE("x ", F1285," units = ")</f>
        <v xml:space="preserve">x  units = </v>
      </c>
      <c r="I1285" s="2053" t="str">
        <f>IF(F1285="","",F1285*G1285)</f>
        <v/>
      </c>
      <c r="J1285" s="1818"/>
      <c r="K1285" s="2234" t="str">
        <f>IF('Part VI-Revenues &amp; Expenses'!$O$148 =0,"",'Part VI-Revenues &amp; Expenses'!$O$148)</f>
        <v/>
      </c>
      <c r="L1285" s="2235">
        <f>G1285*(1+'DCA Underwriting Assumptions'!$Q$12)</f>
        <v>409736.25000000012</v>
      </c>
      <c r="M1285" s="2122" t="str">
        <f>CONCATENATE("x ", K1285," units = ")</f>
        <v xml:space="preserve">x  units = </v>
      </c>
      <c r="N1285" s="2053" t="str">
        <f>IF(K1285="","",K1285*L1285)</f>
        <v/>
      </c>
      <c r="O1285" s="2229"/>
      <c r="P1285" s="2236">
        <f>'Part IV-A-Uses of Funds'!$G$146</f>
        <v>15238231.279999999</v>
      </c>
      <c r="Q1285" s="2236"/>
      <c r="AC1285" s="436"/>
      <c r="AD1285" s="436"/>
      <c r="AE1285" s="436"/>
      <c r="AF1285" s="436"/>
    </row>
    <row r="1286" spans="1:32" s="1853" customFormat="1" ht="12" customHeight="1">
      <c r="C1286" s="1818"/>
      <c r="D1286" s="2237" t="s">
        <v>3121</v>
      </c>
      <c r="E1286" s="2159"/>
      <c r="F1286" s="2238">
        <f>SUM(F1281:F1285)</f>
        <v>0</v>
      </c>
      <c r="G1286" s="2239"/>
      <c r="H1286" s="2240"/>
      <c r="I1286" s="2241">
        <f>SUM(I1281:I1285)</f>
        <v>0</v>
      </c>
      <c r="J1286" s="2242"/>
      <c r="K1286" s="2238">
        <f>SUM(K1281:K1285)</f>
        <v>0</v>
      </c>
      <c r="L1286" s="2242"/>
      <c r="M1286" s="2240"/>
      <c r="N1286" s="2241">
        <f>SUM(N1281:N1285)</f>
        <v>0</v>
      </c>
      <c r="O1286" s="2229"/>
      <c r="P1286" s="435" t="s">
        <v>4120</v>
      </c>
      <c r="Q1286" s="435"/>
      <c r="R1286" s="2243" t="s">
        <v>6610</v>
      </c>
      <c r="S1286" s="2243"/>
      <c r="T1286" s="2243"/>
      <c r="V1286" s="2076"/>
      <c r="W1286" s="2076"/>
      <c r="AC1286" s="436"/>
      <c r="AD1286" s="436"/>
      <c r="AE1286" s="436"/>
      <c r="AF1286" s="436"/>
    </row>
    <row r="1287" spans="1:32" s="1853" customFormat="1" ht="12" customHeight="1">
      <c r="C1287" s="1818"/>
      <c r="D1287" s="2230"/>
      <c r="E1287" s="2230"/>
      <c r="F1287" s="2056"/>
      <c r="G1287" s="2224"/>
      <c r="I1287" s="2056"/>
      <c r="K1287" s="2056"/>
      <c r="M1287" s="2229"/>
      <c r="N1287" s="2056"/>
      <c r="O1287" s="2229"/>
      <c r="R1287" s="1851"/>
      <c r="AC1287" s="436"/>
      <c r="AD1287" s="436"/>
      <c r="AE1287" s="436"/>
      <c r="AF1287" s="436"/>
    </row>
    <row r="1288" spans="1:32" s="1853" customFormat="1" ht="12" customHeight="1">
      <c r="A1288" s="1906" t="s">
        <v>3112</v>
      </c>
      <c r="B1288" s="1906"/>
      <c r="C1288" s="1906"/>
      <c r="D1288" s="2233" t="s">
        <v>539</v>
      </c>
      <c r="E1288" s="2234">
        <v>0</v>
      </c>
      <c r="F1288" s="2234" t="str">
        <f>IF('Part VI-Revenues &amp; Expenses'!$K$149 =0,"",'Part VI-Revenues &amp; Expenses'!$K$149)</f>
        <v/>
      </c>
      <c r="G1288" s="2235">
        <f>'Part VIII-Threshold Criteria'!G48</f>
        <v>160610.4</v>
      </c>
      <c r="H1288" s="2122" t="str">
        <f>CONCATENATE("x ", F1288," units = ")</f>
        <v xml:space="preserve">x  units = </v>
      </c>
      <c r="I1288" s="2053" t="str">
        <f>IF(F1288="","",F1288*G1288)</f>
        <v/>
      </c>
      <c r="J1288" s="1818"/>
      <c r="K1288" s="2234" t="str">
        <f>IF('Part VI-Revenues &amp; Expenses'!$K$150 =0,"",'Part VI-Revenues &amp; Expenses'!$K$150)</f>
        <v/>
      </c>
      <c r="L1288" s="2235">
        <f>G1288*(1+'DCA Underwriting Assumptions'!$Q$12)</f>
        <v>176671.44</v>
      </c>
      <c r="M1288" s="2122" t="str">
        <f>CONCATENATE("x ", K1288," units = ")</f>
        <v xml:space="preserve">x  units = </v>
      </c>
      <c r="N1288" s="2053" t="str">
        <f>IF(K1288="","",K1288*L1288)</f>
        <v/>
      </c>
      <c r="P1288" s="2236">
        <f>'Part IV-A-Uses of Funds'!$G$146-'Part IV-A-Uses of Funds'!$G$92-'Part IV-A-Uses of Funds'!$G$114-'Part IV-A-Uses of Funds'!$G$130-'Part IV-A-Uses of Funds'!$G$131-'Part IV-A-Uses of Funds'!$G$132</f>
        <v>14581357.279999999</v>
      </c>
      <c r="Q1288" s="2236"/>
      <c r="AC1288" s="436"/>
      <c r="AD1288" s="436"/>
      <c r="AE1288" s="436"/>
      <c r="AF1288" s="436"/>
    </row>
    <row r="1289" spans="1:32" s="1853" customFormat="1" ht="12" customHeight="1">
      <c r="A1289" s="1906"/>
      <c r="B1289" s="1906"/>
      <c r="C1289" s="1906"/>
      <c r="D1289" s="2233" t="s">
        <v>2328</v>
      </c>
      <c r="E1289" s="2165">
        <v>1</v>
      </c>
      <c r="F1289" s="2234" t="str">
        <f>IF('Part VI-Revenues &amp; Expenses'!$L$149 =0,"",'Part VI-Revenues &amp; Expenses'!$L$149)</f>
        <v/>
      </c>
      <c r="G1289" s="2235">
        <f>'Part VIII-Threshold Criteria'!G49</f>
        <v>201024.59999999998</v>
      </c>
      <c r="H1289" s="2122" t="str">
        <f>CONCATENATE("x ", F1289," units = ")</f>
        <v xml:space="preserve">x  units = </v>
      </c>
      <c r="I1289" s="2053" t="str">
        <f>IF(F1289="","",F1289*G1289)</f>
        <v/>
      </c>
      <c r="J1289" s="1818"/>
      <c r="K1289" s="2234" t="str">
        <f>IF('Part VI-Revenues &amp; Expenses'!$L$150 =0,"",'Part VI-Revenues &amp; Expenses'!$L$150)</f>
        <v/>
      </c>
      <c r="L1289" s="2235">
        <f>G1289*(1+'DCA Underwriting Assumptions'!$Q$12)</f>
        <v>221127.06</v>
      </c>
      <c r="M1289" s="2122" t="str">
        <f>CONCATENATE("x ", K1289," units = ")</f>
        <v xml:space="preserve">x  units = </v>
      </c>
      <c r="N1289" s="2053" t="str">
        <f>IF(K1289="","",K1289*L1289)</f>
        <v/>
      </c>
      <c r="P1289" s="1865" t="s">
        <v>3511</v>
      </c>
      <c r="Q1289" s="1865"/>
      <c r="AC1289" s="436"/>
      <c r="AD1289" s="436"/>
      <c r="AE1289" s="436"/>
      <c r="AF1289" s="436"/>
    </row>
    <row r="1290" spans="1:32" s="1853" customFormat="1" ht="12" customHeight="1">
      <c r="A1290" s="1906"/>
      <c r="B1290" s="1906"/>
      <c r="C1290" s="1906"/>
      <c r="D1290" s="2233" t="s">
        <v>2329</v>
      </c>
      <c r="E1290" s="2165">
        <v>2</v>
      </c>
      <c r="F1290" s="2234" t="str">
        <f>IF('Part VI-Revenues &amp; Expenses'!$M$149 =0,"",'Part VI-Revenues &amp; Expenses'!$M$149)</f>
        <v/>
      </c>
      <c r="G1290" s="2235">
        <f>'Part VIII-Threshold Criteria'!G50</f>
        <v>243632.09999999998</v>
      </c>
      <c r="H1290" s="2122" t="str">
        <f>CONCATENATE("x ", F1290," units = ")</f>
        <v xml:space="preserve">x  units = </v>
      </c>
      <c r="I1290" s="2053" t="str">
        <f>IF(F1290="","",F1290*G1290)</f>
        <v/>
      </c>
      <c r="J1290" s="1818"/>
      <c r="K1290" s="2234" t="str">
        <f>IF('Part VI-Revenues &amp; Expenses'!$M$150 =0,"",'Part VI-Revenues &amp; Expenses'!$M$150)</f>
        <v/>
      </c>
      <c r="L1290" s="2235">
        <f>G1290*(1+'DCA Underwriting Assumptions'!$Q$12)</f>
        <v>267995.31</v>
      </c>
      <c r="M1290" s="2122" t="str">
        <f>CONCATENATE("x ", K1290," units = ")</f>
        <v xml:space="preserve">x  units = </v>
      </c>
      <c r="N1290" s="2053" t="str">
        <f>IF(K1290="","",K1290*L1290)</f>
        <v/>
      </c>
      <c r="O1290" s="2109"/>
      <c r="P1290" s="2244"/>
      <c r="Q1290" s="2244"/>
      <c r="R1290" s="1851"/>
      <c r="S1290" s="2245" t="s">
        <v>7155</v>
      </c>
      <c r="T1290" s="2245"/>
      <c r="U1290" s="2245"/>
      <c r="V1290" s="2245"/>
      <c r="AC1290" s="436"/>
      <c r="AD1290" s="436"/>
      <c r="AE1290" s="436"/>
      <c r="AF1290" s="436"/>
    </row>
    <row r="1291" spans="1:32" s="1853" customFormat="1" ht="12" customHeight="1">
      <c r="C1291" s="1818"/>
      <c r="D1291" s="2233" t="s">
        <v>2330</v>
      </c>
      <c r="E1291" s="2165">
        <v>3</v>
      </c>
      <c r="F1291" s="2234" t="str">
        <f>IF('Part VI-Revenues &amp; Expenses'!$N$149 =0,"",'Part VI-Revenues &amp; Expenses'!$N$149)</f>
        <v/>
      </c>
      <c r="G1291" s="2235">
        <f>'Part VIII-Threshold Criteria'!G51</f>
        <v>284506.2</v>
      </c>
      <c r="H1291" s="2122" t="str">
        <f>CONCATENATE("x ", F1291," units = ")</f>
        <v xml:space="preserve">x  units = </v>
      </c>
      <c r="I1291" s="2053" t="str">
        <f>IF(F1291="","",F1291*G1291)</f>
        <v/>
      </c>
      <c r="J1291" s="1818"/>
      <c r="K1291" s="2234" t="str">
        <f>IF('Part VI-Revenues &amp; Expenses'!$N$150 =0,"",'Part VI-Revenues &amp; Expenses'!$N$150)</f>
        <v/>
      </c>
      <c r="L1291" s="2235">
        <f>G1291*(1+'DCA Underwriting Assumptions'!$Q$12)</f>
        <v>312956.82000000007</v>
      </c>
      <c r="M1291" s="2122" t="str">
        <f>CONCATENATE("x ", K1291," units = ")</f>
        <v xml:space="preserve">x  units = </v>
      </c>
      <c r="N1291" s="2053" t="str">
        <f>IF(K1291="","",K1291*L1291)</f>
        <v/>
      </c>
      <c r="O1291" s="2109"/>
      <c r="P1291" s="2244"/>
      <c r="Q1291" s="2244"/>
      <c r="S1291" s="2245"/>
      <c r="T1291" s="2245"/>
      <c r="U1291" s="2245"/>
      <c r="V1291" s="2245"/>
      <c r="AC1291" s="436"/>
      <c r="AD1291" s="436"/>
      <c r="AE1291" s="436"/>
      <c r="AF1291" s="436"/>
    </row>
    <row r="1292" spans="1:32" s="1853" customFormat="1" ht="12" customHeight="1">
      <c r="C1292" s="1818"/>
      <c r="D1292" s="2233" t="s">
        <v>2331</v>
      </c>
      <c r="E1292" s="2165">
        <v>4</v>
      </c>
      <c r="F1292" s="2234" t="str">
        <f>IF('Part VI-Revenues &amp; Expenses'!$O$149 =0,"",'Part VI-Revenues &amp; Expenses'!$O$149)</f>
        <v/>
      </c>
      <c r="G1292" s="2235">
        <f>'Part VIII-Threshold Criteria'!G52</f>
        <v>337178.60000000003</v>
      </c>
      <c r="H1292" s="2122" t="str">
        <f>CONCATENATE("x ", F1292," units = ")</f>
        <v xml:space="preserve">x  units = </v>
      </c>
      <c r="I1292" s="2053" t="str">
        <f>IF(F1292="","",F1292*G1292)</f>
        <v/>
      </c>
      <c r="J1292" s="1818"/>
      <c r="K1292" s="2234" t="str">
        <f>IF('Part VI-Revenues &amp; Expenses'!$O$150 =0,"",'Part VI-Revenues &amp; Expenses'!$O$150)</f>
        <v/>
      </c>
      <c r="L1292" s="2235">
        <f>G1292*(1+'DCA Underwriting Assumptions'!$Q$12)</f>
        <v>370896.46000000008</v>
      </c>
      <c r="M1292" s="2122" t="str">
        <f>CONCATENATE("x ", K1292," units = ")</f>
        <v xml:space="preserve">x  units = </v>
      </c>
      <c r="N1292" s="2053" t="str">
        <f>IF(K1292="","",K1292*L1292)</f>
        <v/>
      </c>
      <c r="O1292" s="2109"/>
      <c r="P1292" s="1876" t="s">
        <v>3281</v>
      </c>
      <c r="Q1292" s="1876"/>
      <c r="S1292" s="2245"/>
      <c r="T1292" s="2245"/>
      <c r="U1292" s="2245"/>
      <c r="V1292" s="2245"/>
      <c r="AC1292" s="436"/>
      <c r="AD1292" s="436"/>
      <c r="AE1292" s="436"/>
      <c r="AF1292" s="436"/>
    </row>
    <row r="1293" spans="1:32" s="1853" customFormat="1" ht="12" customHeight="1">
      <c r="C1293" s="1818"/>
      <c r="D1293" s="2237" t="s">
        <v>3121</v>
      </c>
      <c r="E1293" s="2159"/>
      <c r="F1293" s="2238">
        <f>SUM(F1288:F1292)</f>
        <v>0</v>
      </c>
      <c r="G1293" s="2239"/>
      <c r="H1293" s="2240"/>
      <c r="I1293" s="2241">
        <f>SUM(I1288:I1292)</f>
        <v>0</v>
      </c>
      <c r="J1293" s="2242"/>
      <c r="K1293" s="2238">
        <f>SUM(K1288:K1292)</f>
        <v>0</v>
      </c>
      <c r="L1293" s="2242"/>
      <c r="M1293" s="2240"/>
      <c r="N1293" s="2241">
        <f>SUM(N1288:N1292)</f>
        <v>0</v>
      </c>
      <c r="O1293" s="2109"/>
      <c r="P1293" s="2130" t="s">
        <v>3008</v>
      </c>
      <c r="Q1293" s="2130" t="s">
        <v>245</v>
      </c>
      <c r="R1293" s="1851"/>
      <c r="S1293" s="2245"/>
      <c r="T1293" s="2245"/>
      <c r="U1293" s="2245"/>
      <c r="V1293" s="2245"/>
      <c r="AB1293" s="436"/>
      <c r="AC1293" s="436"/>
      <c r="AD1293" s="436"/>
      <c r="AE1293" s="436"/>
      <c r="AF1293" s="436"/>
    </row>
    <row r="1294" spans="1:32" s="1853" customFormat="1" ht="12" customHeight="1">
      <c r="C1294" s="1818"/>
      <c r="D1294" s="2230"/>
      <c r="E1294" s="2230"/>
      <c r="F1294" s="2056"/>
      <c r="G1294" s="2224"/>
      <c r="I1294" s="2056"/>
      <c r="K1294" s="2056"/>
      <c r="M1294" s="2229"/>
      <c r="N1294" s="2056"/>
      <c r="O1294" s="2109"/>
      <c r="R1294" s="1851"/>
      <c r="S1294" s="2245"/>
      <c r="T1294" s="2245"/>
      <c r="U1294" s="2245"/>
      <c r="V1294" s="2245"/>
      <c r="W1294" s="1818"/>
      <c r="AB1294" s="436"/>
      <c r="AC1294" s="436"/>
      <c r="AD1294" s="436"/>
      <c r="AE1294" s="436"/>
      <c r="AF1294" s="436"/>
    </row>
    <row r="1295" spans="1:32" s="1853" customFormat="1" ht="12" customHeight="1">
      <c r="A1295" s="1865" t="s">
        <v>3113</v>
      </c>
      <c r="C1295" s="1818"/>
      <c r="D1295" s="2233" t="s">
        <v>539</v>
      </c>
      <c r="E1295" s="2165">
        <v>0</v>
      </c>
      <c r="F1295" s="2234" t="str">
        <f>IF('Part VI-Revenues &amp; Expenses'!$K$151 =0,"",'Part VI-Revenues &amp; Expenses'!$K$151)</f>
        <v/>
      </c>
      <c r="G1295" s="2235">
        <f>'Part VIII-Threshold Criteria'!G55</f>
        <v>143578.79999999999</v>
      </c>
      <c r="H1295" s="2122" t="str">
        <f>CONCATENATE("x ", F1295," units = ")</f>
        <v xml:space="preserve">x  units = </v>
      </c>
      <c r="I1295" s="2053" t="str">
        <f>IF(F1295="","",F1295*G1295)</f>
        <v/>
      </c>
      <c r="J1295" s="1818"/>
      <c r="K1295" s="2234" t="str">
        <f>IF('Part VI-Revenues &amp; Expenses'!$K$152 =0,"",'Part VI-Revenues &amp; Expenses'!$K$152)</f>
        <v/>
      </c>
      <c r="L1295" s="2235">
        <f>G1295*(1+'DCA Underwriting Assumptions'!$Q$12)</f>
        <v>157936.68</v>
      </c>
      <c r="M1295" s="2122" t="str">
        <f>CONCATENATE("x ", K1295," units = ")</f>
        <v xml:space="preserve">x  units = </v>
      </c>
      <c r="N1295" s="2053" t="str">
        <f>IF(K1295="","",K1295*L1295)</f>
        <v/>
      </c>
      <c r="O1295" s="2109"/>
      <c r="P1295" s="2173">
        <f>'Part IX Scoring Criteria'!O1520</f>
        <v>0</v>
      </c>
      <c r="Q1295" s="2173">
        <f>'Part IX Scoring Criteria'!P1520</f>
        <v>0</v>
      </c>
      <c r="R1295" s="1851"/>
      <c r="S1295" s="2245"/>
      <c r="T1295" s="2245"/>
      <c r="U1295" s="2245"/>
      <c r="V1295" s="2245"/>
      <c r="W1295" s="1818"/>
      <c r="AB1295" s="436"/>
      <c r="AC1295" s="436"/>
      <c r="AD1295" s="436"/>
      <c r="AE1295" s="436"/>
      <c r="AF1295" s="436"/>
    </row>
    <row r="1296" spans="1:32" s="1853" customFormat="1" ht="12" customHeight="1">
      <c r="C1296" s="1818"/>
      <c r="D1296" s="2233" t="s">
        <v>2328</v>
      </c>
      <c r="E1296" s="2165">
        <v>1</v>
      </c>
      <c r="F1296" s="2234">
        <f>IF('Part VI-Revenues &amp; Expenses'!$L$151 =0,"",'Part VI-Revenues &amp; Expenses'!$L$151)</f>
        <v>16</v>
      </c>
      <c r="G1296" s="2235">
        <f>'Part VIII-Threshold Criteria'!G56</f>
        <v>187459.19999999998</v>
      </c>
      <c r="H1296" s="2122" t="str">
        <f>CONCATENATE("x ", F1296," units = ")</f>
        <v xml:space="preserve">x 16 units = </v>
      </c>
      <c r="I1296" s="2053">
        <f>IF(F1296="","",F1296*G1296)</f>
        <v>2999347.1999999997</v>
      </c>
      <c r="J1296" s="1818"/>
      <c r="K1296" s="2234" t="str">
        <f>IF('Part VI-Revenues &amp; Expenses'!$L$152 =0,"",'Part VI-Revenues &amp; Expenses'!$L$152)</f>
        <v/>
      </c>
      <c r="L1296" s="2235">
        <f>G1296*(1+'DCA Underwriting Assumptions'!$Q$12)</f>
        <v>206205.12</v>
      </c>
      <c r="M1296" s="2122" t="str">
        <f>CONCATENATE("x ", K1296," units = ")</f>
        <v xml:space="preserve">x  units = </v>
      </c>
      <c r="N1296" s="2053" t="str">
        <f>IF(K1296="","",K1296*L1296)</f>
        <v/>
      </c>
      <c r="P1296" s="1876" t="s">
        <v>3282</v>
      </c>
      <c r="Q1296" s="1876"/>
      <c r="S1296" s="2245"/>
      <c r="T1296" s="2245"/>
      <c r="U1296" s="2245"/>
      <c r="V1296" s="2245"/>
      <c r="W1296" s="1818"/>
      <c r="AB1296" s="436"/>
      <c r="AC1296" s="436"/>
      <c r="AD1296" s="436"/>
      <c r="AE1296" s="436"/>
      <c r="AF1296" s="436"/>
    </row>
    <row r="1297" spans="1:32" s="1853" customFormat="1" ht="12" customHeight="1">
      <c r="C1297" s="1818"/>
      <c r="D1297" s="2233" t="s">
        <v>2329</v>
      </c>
      <c r="E1297" s="2165">
        <v>2</v>
      </c>
      <c r="F1297" s="2234">
        <f>IF('Part VI-Revenues &amp; Expenses'!$M$151 =0,"",'Part VI-Revenues &amp; Expenses'!$M$151)</f>
        <v>36</v>
      </c>
      <c r="G1297" s="2235">
        <f>'Part VIII-Threshold Criteria'!G57</f>
        <v>237149.55</v>
      </c>
      <c r="H1297" s="2122" t="str">
        <f>CONCATENATE("x ", F1297," units = ")</f>
        <v xml:space="preserve">x 36 units = </v>
      </c>
      <c r="I1297" s="2053">
        <f>IF(F1297="","",F1297*G1297)</f>
        <v>8537383.7999999989</v>
      </c>
      <c r="J1297" s="1818"/>
      <c r="K1297" s="2234" t="str">
        <f>IF('Part VI-Revenues &amp; Expenses'!$M$152 =0,"",'Part VI-Revenues &amp; Expenses'!$M$152)</f>
        <v/>
      </c>
      <c r="L1297" s="2235">
        <f>G1297*(1+'DCA Underwriting Assumptions'!$Q$12)</f>
        <v>260864.505</v>
      </c>
      <c r="M1297" s="2122" t="str">
        <f>CONCATENATE("x ", K1297," units = ")</f>
        <v xml:space="preserve">x  units = </v>
      </c>
      <c r="N1297" s="2053" t="str">
        <f>IF(K1297="","",K1297*L1297)</f>
        <v/>
      </c>
      <c r="P1297" s="2130" t="s">
        <v>3008</v>
      </c>
      <c r="Q1297" s="2130" t="s">
        <v>245</v>
      </c>
      <c r="S1297" s="2245"/>
      <c r="T1297" s="2245"/>
      <c r="U1297" s="2245"/>
      <c r="V1297" s="2245"/>
      <c r="W1297" s="1818"/>
      <c r="AB1297" s="436"/>
      <c r="AC1297" s="436"/>
      <c r="AD1297" s="436"/>
      <c r="AE1297" s="436"/>
      <c r="AF1297" s="436"/>
    </row>
    <row r="1298" spans="1:32" s="1853" customFormat="1" ht="12" customHeight="1">
      <c r="C1298" s="1818"/>
      <c r="D1298" s="2233" t="s">
        <v>2330</v>
      </c>
      <c r="E1298" s="2165">
        <v>3</v>
      </c>
      <c r="F1298" s="2234">
        <f>IF('Part VI-Revenues &amp; Expenses'!$N$151 =0,"",'Part VI-Revenues &amp; Expenses'!$N$151)</f>
        <v>20</v>
      </c>
      <c r="G1298" s="2235">
        <f>'Part VIII-Threshold Criteria'!G58</f>
        <v>298701.7</v>
      </c>
      <c r="H1298" s="2122" t="str">
        <f>CONCATENATE("x ", F1298," units = ")</f>
        <v xml:space="preserve">x 20 units = </v>
      </c>
      <c r="I1298" s="2053">
        <f>IF(F1298="","",F1298*G1298)</f>
        <v>5974034</v>
      </c>
      <c r="J1298" s="1818"/>
      <c r="K1298" s="2234" t="str">
        <f>IF('Part VI-Revenues &amp; Expenses'!$N$152 =0,"",'Part VI-Revenues &amp; Expenses'!$N$152)</f>
        <v/>
      </c>
      <c r="L1298" s="2235">
        <f>G1298*(1+'DCA Underwriting Assumptions'!$Q$12)</f>
        <v>328571.87000000005</v>
      </c>
      <c r="M1298" s="2122" t="str">
        <f>CONCATENATE("x ", K1298," units = ")</f>
        <v xml:space="preserve">x  units = </v>
      </c>
      <c r="N1298" s="2053" t="str">
        <f>IF(K1298="","",K1298*L1298)</f>
        <v/>
      </c>
      <c r="O1298" s="2109"/>
      <c r="P1298" s="2173">
        <f>'Part IX Scoring Criteria'!O1298</f>
        <v>0</v>
      </c>
      <c r="Q1298" s="2173">
        <f>'Part IX Scoring Criteria'!P1298</f>
        <v>0</v>
      </c>
      <c r="S1298" s="2245"/>
      <c r="T1298" s="2245"/>
      <c r="U1298" s="2245"/>
      <c r="V1298" s="2245"/>
      <c r="W1298" s="1818"/>
      <c r="AB1298" s="436"/>
      <c r="AC1298" s="436"/>
      <c r="AD1298" s="436"/>
      <c r="AE1298" s="436"/>
      <c r="AF1298" s="436"/>
    </row>
    <row r="1299" spans="1:32" s="1853" customFormat="1" ht="12" customHeight="1">
      <c r="C1299" s="1818"/>
      <c r="D1299" s="2233" t="s">
        <v>2331</v>
      </c>
      <c r="E1299" s="2165">
        <v>4</v>
      </c>
      <c r="F1299" s="2234" t="str">
        <f>IF('Part VI-Revenues &amp; Expenses'!$O$151 =0,"",'Part VI-Revenues &amp; Expenses'!$O$151)</f>
        <v/>
      </c>
      <c r="G1299" s="2235">
        <f>'Part VIII-Threshold Criteria'!G59</f>
        <v>369862.9</v>
      </c>
      <c r="H1299" s="2122" t="str">
        <f>CONCATENATE("x ", F1299," units = ")</f>
        <v xml:space="preserve">x  units = </v>
      </c>
      <c r="I1299" s="2053" t="str">
        <f>IF(F1299="","",F1299*G1299)</f>
        <v/>
      </c>
      <c r="J1299" s="1818"/>
      <c r="K1299" s="2234" t="str">
        <f>IF('Part VI-Revenues &amp; Expenses'!$O$152 =0,"",'Part VI-Revenues &amp; Expenses'!$O$152)</f>
        <v/>
      </c>
      <c r="L1299" s="2235">
        <f>G1299*(1+'DCA Underwriting Assumptions'!$Q$12)</f>
        <v>406849.19000000006</v>
      </c>
      <c r="M1299" s="2122" t="str">
        <f>CONCATENATE("x ", K1299," units = ")</f>
        <v xml:space="preserve">x  units = </v>
      </c>
      <c r="N1299" s="2053" t="str">
        <f>IF(K1299="","",K1299*L1299)</f>
        <v/>
      </c>
      <c r="O1299" s="2109"/>
      <c r="P1299" s="1853" t="s">
        <v>2596</v>
      </c>
      <c r="S1299" s="2245"/>
      <c r="T1299" s="2245"/>
      <c r="U1299" s="2245"/>
      <c r="V1299" s="2245"/>
      <c r="W1299" s="1818"/>
      <c r="AB1299" s="436"/>
      <c r="AC1299" s="436"/>
      <c r="AD1299" s="436"/>
      <c r="AE1299" s="436"/>
      <c r="AF1299" s="436"/>
    </row>
    <row r="1300" spans="1:32" s="1853" customFormat="1" ht="12" customHeight="1">
      <c r="C1300" s="1818"/>
      <c r="D1300" s="2237" t="s">
        <v>3121</v>
      </c>
      <c r="E1300" s="2159"/>
      <c r="F1300" s="2238">
        <f>SUM(F1295:F1299)</f>
        <v>72</v>
      </c>
      <c r="G1300" s="2239"/>
      <c r="H1300" s="2240"/>
      <c r="I1300" s="2241">
        <f>SUM(I1295:I1299)</f>
        <v>17510765</v>
      </c>
      <c r="J1300" s="2242"/>
      <c r="K1300" s="2238">
        <f>SUM(K1295:K1299)</f>
        <v>0</v>
      </c>
      <c r="L1300" s="2242"/>
      <c r="M1300" s="2240"/>
      <c r="N1300" s="2241">
        <f>SUM(N1295:N1299)</f>
        <v>0</v>
      </c>
      <c r="O1300" s="2109"/>
      <c r="S1300" s="2245"/>
      <c r="T1300" s="2245"/>
      <c r="U1300" s="2245"/>
      <c r="V1300" s="2245"/>
      <c r="W1300" s="1818"/>
      <c r="AB1300" s="436"/>
      <c r="AC1300" s="436"/>
      <c r="AD1300" s="436"/>
      <c r="AE1300" s="436"/>
      <c r="AF1300" s="436"/>
    </row>
    <row r="1301" spans="1:32" s="1853" customFormat="1" ht="12" customHeight="1">
      <c r="C1301" s="1818"/>
      <c r="D1301" s="2230"/>
      <c r="E1301" s="2230"/>
      <c r="F1301" s="2056"/>
      <c r="G1301" s="2224"/>
      <c r="I1301" s="2056"/>
      <c r="K1301" s="2056"/>
      <c r="M1301" s="2229"/>
      <c r="N1301" s="2056"/>
      <c r="O1301" s="2109"/>
      <c r="R1301" s="1851"/>
      <c r="S1301" s="2245"/>
      <c r="T1301" s="2245"/>
      <c r="U1301" s="2245"/>
      <c r="V1301" s="2245"/>
      <c r="W1301" s="1818"/>
      <c r="AB1301" s="436"/>
      <c r="AC1301" s="436"/>
      <c r="AD1301" s="436"/>
      <c r="AE1301" s="436"/>
      <c r="AF1301" s="436"/>
    </row>
    <row r="1302" spans="1:32" s="1853" customFormat="1" ht="12" customHeight="1">
      <c r="A1302" s="1865" t="s">
        <v>3114</v>
      </c>
      <c r="C1302" s="1818"/>
      <c r="D1302" s="2233" t="s">
        <v>539</v>
      </c>
      <c r="E1302" s="2165">
        <v>0</v>
      </c>
      <c r="F1302" s="2234" t="str">
        <f>IF('Part VI-Revenues &amp; Expenses'!$K$153 =0,"",'Part VI-Revenues &amp; Expenses'!$K$153)</f>
        <v/>
      </c>
      <c r="G1302" s="2235">
        <f>'Part VIII-Threshold Criteria'!G62</f>
        <v>145604.4</v>
      </c>
      <c r="H1302" s="2122" t="str">
        <f>CONCATENATE("x ", F1302," units = ")</f>
        <v xml:space="preserve">x  units = </v>
      </c>
      <c r="I1302" s="2053" t="str">
        <f>IF(F1302="","",F1302*G1302)</f>
        <v/>
      </c>
      <c r="J1302" s="1818"/>
      <c r="K1302" s="2234" t="str">
        <f>IF('Part VI-Revenues &amp; Expenses'!$K$154 =0,"",'Part VI-Revenues &amp; Expenses'!$K$154)</f>
        <v/>
      </c>
      <c r="L1302" s="2235">
        <f>G1302*(1+'DCA Underwriting Assumptions'!$Q$12)</f>
        <v>160164.84</v>
      </c>
      <c r="M1302" s="2122" t="str">
        <f>CONCATENATE("x ", K1302," units = ")</f>
        <v xml:space="preserve">x  units = </v>
      </c>
      <c r="N1302" s="2053" t="str">
        <f>IF(K1302="","",K1302*L1302)</f>
        <v/>
      </c>
      <c r="O1302" s="2109"/>
      <c r="R1302" s="1851"/>
      <c r="S1302" s="2245"/>
      <c r="T1302" s="2245"/>
      <c r="U1302" s="2245"/>
      <c r="V1302" s="2245"/>
      <c r="W1302" s="1818"/>
      <c r="X1302" s="2115"/>
      <c r="Y1302" s="1818"/>
      <c r="Z1302" s="435"/>
      <c r="AA1302" s="436"/>
      <c r="AB1302" s="436"/>
      <c r="AC1302" s="436"/>
      <c r="AD1302" s="436"/>
      <c r="AE1302" s="436"/>
      <c r="AF1302" s="436"/>
    </row>
    <row r="1303" spans="1:32" s="1853" customFormat="1" ht="12" customHeight="1">
      <c r="C1303" s="1818"/>
      <c r="D1303" s="2233" t="s">
        <v>2328</v>
      </c>
      <c r="E1303" s="2165">
        <v>1</v>
      </c>
      <c r="F1303" s="2234" t="str">
        <f>IF('Part VI-Revenues &amp; Expenses'!$L$153 =0,"",'Part VI-Revenues &amp; Expenses'!$L$153)</f>
        <v/>
      </c>
      <c r="G1303" s="2235">
        <f>'Part VIII-Threshold Criteria'!G63</f>
        <v>195351.65</v>
      </c>
      <c r="H1303" s="2122" t="str">
        <f>CONCATENATE("x ", F1303," units = ")</f>
        <v xml:space="preserve">x  units = </v>
      </c>
      <c r="I1303" s="2053" t="str">
        <f>IF(F1303="","",F1303*G1303)</f>
        <v/>
      </c>
      <c r="J1303" s="1818"/>
      <c r="K1303" s="2234" t="str">
        <f>IF('Part VI-Revenues &amp; Expenses'!$L$154 =0,"",'Part VI-Revenues &amp; Expenses'!$L$154)</f>
        <v/>
      </c>
      <c r="L1303" s="2235">
        <f>G1303*(1+'DCA Underwriting Assumptions'!$Q$12)</f>
        <v>214886.815</v>
      </c>
      <c r="M1303" s="2122" t="str">
        <f>CONCATENATE("x ", K1303," units = ")</f>
        <v xml:space="preserve">x  units = </v>
      </c>
      <c r="N1303" s="2053" t="str">
        <f>IF(K1303="","",K1303*L1303)</f>
        <v/>
      </c>
      <c r="O1303" s="2109"/>
      <c r="P1303" s="2246">
        <f>IF(P1290&gt;1,P1290, IF(OR('Part IX Scoring Criteria'!$O$108='Part IX Scoring Criteria'!$M$108,AND('Part IV-A-Uses of Funds'!$T$185="Yes",'Part IX Scoring Criteria'!$O$330&gt;0)),H1309+M1309,H1309))</f>
        <v>17510765</v>
      </c>
      <c r="Q1303" s="2246"/>
      <c r="R1303" s="1818"/>
      <c r="S1303" s="1818"/>
      <c r="V1303" s="1818"/>
      <c r="W1303" s="1818"/>
      <c r="X1303" s="2115"/>
      <c r="Y1303" s="1818"/>
      <c r="Z1303" s="435"/>
      <c r="AA1303" s="436"/>
      <c r="AB1303" s="436"/>
      <c r="AC1303" s="436"/>
      <c r="AD1303" s="436"/>
      <c r="AE1303" s="436"/>
      <c r="AF1303" s="436"/>
    </row>
    <row r="1304" spans="1:32" s="1853" customFormat="1" ht="12" customHeight="1">
      <c r="C1304" s="1818"/>
      <c r="D1304" s="2233" t="s">
        <v>2329</v>
      </c>
      <c r="E1304" s="2165">
        <v>2</v>
      </c>
      <c r="F1304" s="2234" t="str">
        <f>IF('Part VI-Revenues &amp; Expenses'!$M$153 =0,"",'Part VI-Revenues &amp; Expenses'!$M$153)</f>
        <v/>
      </c>
      <c r="G1304" s="2235">
        <f>'Part VIII-Threshold Criteria'!G64</f>
        <v>251166.9</v>
      </c>
      <c r="H1304" s="2122" t="str">
        <f>CONCATENATE("x ", F1304," units = ")</f>
        <v xml:space="preserve">x  units = </v>
      </c>
      <c r="I1304" s="2053" t="str">
        <f>IF(F1304="","",F1304*G1304)</f>
        <v/>
      </c>
      <c r="J1304" s="1818"/>
      <c r="K1304" s="2234" t="str">
        <f>IF('Part VI-Revenues &amp; Expenses'!$M$154 =0,"",'Part VI-Revenues &amp; Expenses'!$M$154)</f>
        <v/>
      </c>
      <c r="L1304" s="2235">
        <f>G1304*(1+'DCA Underwriting Assumptions'!$Q$12)</f>
        <v>276283.59000000003</v>
      </c>
      <c r="M1304" s="2122" t="str">
        <f>CONCATENATE("x ", K1304," units = ")</f>
        <v xml:space="preserve">x  units = </v>
      </c>
      <c r="N1304" s="2053" t="str">
        <f>IF(K1304="","",K1304*L1304)</f>
        <v/>
      </c>
      <c r="P1304" s="2246"/>
      <c r="Q1304" s="2246"/>
      <c r="R1304" s="1818"/>
      <c r="S1304" s="1818"/>
      <c r="V1304" s="1818"/>
      <c r="W1304" s="1818"/>
      <c r="X1304" s="2115"/>
      <c r="Y1304" s="1818"/>
      <c r="Z1304" s="435"/>
      <c r="AA1304" s="436"/>
      <c r="AB1304" s="436"/>
      <c r="AC1304" s="436"/>
      <c r="AD1304" s="436"/>
      <c r="AE1304" s="436"/>
      <c r="AF1304" s="436"/>
    </row>
    <row r="1305" spans="1:32" s="1853" customFormat="1" ht="12" customHeight="1">
      <c r="C1305" s="1818"/>
      <c r="D1305" s="2233" t="s">
        <v>2330</v>
      </c>
      <c r="E1305" s="2165">
        <v>3</v>
      </c>
      <c r="F1305" s="2234" t="str">
        <f>IF('Part VI-Revenues &amp; Expenses'!$N$153 =0,"",'Part VI-Revenues &amp; Expenses'!$N$153)</f>
        <v/>
      </c>
      <c r="G1305" s="2235">
        <f>'Part VIII-Threshold Criteria'!G65</f>
        <v>320328.80000000005</v>
      </c>
      <c r="H1305" s="2122" t="str">
        <f>CONCATENATE("x ", F1305," units = ")</f>
        <v xml:space="preserve">x  units = </v>
      </c>
      <c r="I1305" s="2053" t="str">
        <f>IF(F1305="","",F1305*G1305)</f>
        <v/>
      </c>
      <c r="J1305" s="1818"/>
      <c r="K1305" s="2234" t="str">
        <f>IF('Part VI-Revenues &amp; Expenses'!$N$154 =0,"",'Part VI-Revenues &amp; Expenses'!$N$154)</f>
        <v/>
      </c>
      <c r="L1305" s="2235">
        <f>G1305*(1+'DCA Underwriting Assumptions'!$Q$12)</f>
        <v>352361.68000000005</v>
      </c>
      <c r="M1305" s="2122" t="str">
        <f>CONCATENATE("x ", K1305," units = ")</f>
        <v xml:space="preserve">x  units = </v>
      </c>
      <c r="N1305" s="2053" t="str">
        <f>IF(K1305="","",K1305*L1305)</f>
        <v/>
      </c>
      <c r="P1305" s="2230" t="s">
        <v>6847</v>
      </c>
      <c r="Q1305" s="2230"/>
      <c r="R1305" s="1851"/>
      <c r="V1305" s="1818"/>
      <c r="W1305" s="1818"/>
      <c r="X1305" s="2115"/>
      <c r="Y1305" s="1818"/>
      <c r="Z1305" s="435"/>
      <c r="AA1305" s="436"/>
      <c r="AB1305" s="436"/>
      <c r="AC1305" s="436"/>
      <c r="AD1305" s="436"/>
      <c r="AE1305" s="436"/>
      <c r="AF1305" s="436"/>
    </row>
    <row r="1306" spans="1:32" s="1853" customFormat="1" ht="12" customHeight="1">
      <c r="C1306" s="1818"/>
      <c r="D1306" s="2233" t="s">
        <v>2331</v>
      </c>
      <c r="E1306" s="2165">
        <v>4</v>
      </c>
      <c r="F1306" s="2234" t="str">
        <f>IF('Part VI-Revenues &amp; Expenses'!$O$153 =0,"",'Part VI-Revenues &amp; Expenses'!$O$153)</f>
        <v/>
      </c>
      <c r="G1306" s="2235">
        <f>'Part VIII-Threshold Criteria'!G66</f>
        <v>400411.00000000006</v>
      </c>
      <c r="H1306" s="2122" t="str">
        <f>CONCATENATE("x ", F1306," units = ")</f>
        <v xml:space="preserve">x  units = </v>
      </c>
      <c r="I1306" s="2053" t="str">
        <f>IF(F1306="","",F1306*G1306)</f>
        <v/>
      </c>
      <c r="J1306" s="1818"/>
      <c r="K1306" s="2234" t="str">
        <f>IF('Part VI-Revenues &amp; Expenses'!$O$154 =0,"",'Part VI-Revenues &amp; Expenses'!$O$154)</f>
        <v/>
      </c>
      <c r="L1306" s="2235">
        <f>G1306*(1+'DCA Underwriting Assumptions'!$Q$12)</f>
        <v>440452.10000000009</v>
      </c>
      <c r="M1306" s="2122" t="str">
        <f>CONCATENATE("x ", K1306," units = ")</f>
        <v xml:space="preserve">x  units = </v>
      </c>
      <c r="N1306" s="2053" t="str">
        <f>IF(K1306="","",K1306*L1306)</f>
        <v/>
      </c>
      <c r="O1306" s="2109"/>
      <c r="P1306" s="2230"/>
      <c r="Q1306" s="2230"/>
      <c r="R1306" s="1851"/>
      <c r="V1306" s="1818"/>
      <c r="W1306" s="1818"/>
      <c r="X1306" s="2115"/>
      <c r="Y1306" s="1818"/>
      <c r="Z1306" s="435"/>
      <c r="AA1306" s="436"/>
      <c r="AB1306" s="436"/>
      <c r="AC1306" s="436"/>
      <c r="AD1306" s="436"/>
      <c r="AE1306" s="436"/>
      <c r="AF1306" s="436"/>
    </row>
    <row r="1307" spans="1:32" s="1853" customFormat="1" ht="12" customHeight="1">
      <c r="C1307" s="1818"/>
      <c r="D1307" s="2237" t="s">
        <v>3121</v>
      </c>
      <c r="E1307" s="2159"/>
      <c r="F1307" s="2238">
        <f>SUM(F1302:F1306)</f>
        <v>0</v>
      </c>
      <c r="G1307" s="2239"/>
      <c r="H1307" s="2240"/>
      <c r="I1307" s="2241">
        <f>SUM(I1302:I1306)</f>
        <v>0</v>
      </c>
      <c r="J1307" s="2242"/>
      <c r="K1307" s="2238">
        <f>SUM(K1302:K1306)</f>
        <v>0</v>
      </c>
      <c r="L1307" s="2242"/>
      <c r="M1307" s="2240"/>
      <c r="N1307" s="2241">
        <f>SUM(N1302:N1306)</f>
        <v>0</v>
      </c>
      <c r="O1307" s="2109"/>
      <c r="P1307" s="2230"/>
      <c r="Q1307" s="2230"/>
      <c r="R1307" s="1851"/>
      <c r="V1307" s="1818"/>
      <c r="W1307" s="1818"/>
      <c r="X1307" s="2115"/>
      <c r="Y1307" s="1818"/>
      <c r="Z1307" s="435"/>
      <c r="AA1307" s="436"/>
      <c r="AB1307" s="436"/>
      <c r="AC1307" s="436"/>
      <c r="AD1307" s="436"/>
      <c r="AE1307" s="436"/>
      <c r="AF1307" s="436"/>
    </row>
    <row r="1308" spans="1:32" s="1853" customFormat="1" ht="3.75" customHeight="1">
      <c r="C1308" s="1818"/>
      <c r="D1308" s="1818"/>
      <c r="E1308" s="2115"/>
      <c r="F1308" s="1818"/>
      <c r="G1308" s="435"/>
      <c r="H1308" s="2247"/>
      <c r="I1308" s="2247"/>
      <c r="J1308" s="2247"/>
      <c r="K1308" s="2247"/>
      <c r="L1308" s="2247"/>
      <c r="M1308" s="2247"/>
      <c r="N1308" s="2165"/>
      <c r="O1308" s="2109"/>
      <c r="P1308" s="2230"/>
      <c r="Q1308" s="2230"/>
      <c r="R1308" s="1851"/>
      <c r="S1308" s="1851"/>
      <c r="V1308" s="1818"/>
      <c r="W1308" s="1818"/>
      <c r="X1308" s="2115"/>
      <c r="Y1308" s="1818"/>
      <c r="Z1308" s="435"/>
      <c r="AA1308" s="436"/>
      <c r="AB1308" s="436"/>
      <c r="AC1308" s="436"/>
      <c r="AD1308" s="436"/>
      <c r="AE1308" s="436"/>
      <c r="AF1308" s="436"/>
    </row>
    <row r="1309" spans="1:32" s="1853" customFormat="1" ht="12.75" customHeight="1">
      <c r="A1309" s="2122" t="s">
        <v>3122</v>
      </c>
      <c r="B1309" s="1818"/>
      <c r="C1309" s="1818"/>
      <c r="D1309" s="1818"/>
      <c r="E1309" s="1719"/>
      <c r="F1309" s="2248">
        <f>F1286+F1293+F1300+F1307</f>
        <v>72</v>
      </c>
      <c r="G1309" s="1876"/>
      <c r="H1309" s="1996">
        <f>I1286+I1293+I1300+I1307</f>
        <v>17510765</v>
      </c>
      <c r="I1309" s="1996"/>
      <c r="J1309" s="1996"/>
      <c r="K1309" s="2248">
        <f>K1286+K1293+K1300+K1307</f>
        <v>0</v>
      </c>
      <c r="L1309" s="2249"/>
      <c r="M1309" s="1996">
        <f>N1286+N1293+N1300+N1307</f>
        <v>0</v>
      </c>
      <c r="N1309" s="1996"/>
      <c r="O1309" s="1996"/>
      <c r="P1309" s="2230"/>
      <c r="Q1309" s="2230"/>
      <c r="R1309" s="1851"/>
      <c r="S1309" s="1851"/>
      <c r="V1309" s="1818"/>
      <c r="W1309" s="1818"/>
      <c r="X1309" s="2115"/>
      <c r="Y1309" s="1818"/>
      <c r="Z1309" s="435"/>
      <c r="AA1309" s="436"/>
      <c r="AB1309" s="436"/>
      <c r="AC1309" s="436"/>
      <c r="AD1309" s="436"/>
      <c r="AE1309" s="436"/>
      <c r="AF1309" s="436"/>
    </row>
    <row r="1310" spans="1:32" s="1853" customFormat="1" ht="10.5" customHeight="1">
      <c r="B1310" s="2171" t="s">
        <v>3372</v>
      </c>
      <c r="D1310" s="2171"/>
      <c r="E1310" s="2171"/>
      <c r="F1310" s="2171"/>
      <c r="G1310" s="2171"/>
      <c r="H1310" s="2122"/>
      <c r="I1310" s="2165"/>
      <c r="J1310" s="2165"/>
      <c r="K1310" s="2228" t="s">
        <v>1779</v>
      </c>
      <c r="L1310" s="2118"/>
      <c r="M1310" s="2118"/>
      <c r="N1310" s="2118"/>
      <c r="O1310" s="2118"/>
      <c r="P1310" s="2230"/>
      <c r="Q1310" s="2230"/>
    </row>
    <row r="1311" spans="1:32" s="1853" customFormat="1" ht="10.5" customHeight="1">
      <c r="A1311" s="2227" t="str">
        <f>'Part VIII-Threshold Criteria'!A71</f>
        <v>The Total Development Costs is $15,248,765 which is below below the Project Cost Limit.</v>
      </c>
      <c r="B1311" s="2227"/>
      <c r="C1311" s="2227"/>
      <c r="D1311" s="2227"/>
      <c r="E1311" s="2227"/>
      <c r="F1311" s="2227"/>
      <c r="G1311" s="2227"/>
      <c r="H1311" s="2227"/>
      <c r="I1311" s="2227"/>
      <c r="J1311" s="2227"/>
      <c r="K1311" s="2224"/>
      <c r="L1311" s="2224"/>
      <c r="M1311" s="2224"/>
      <c r="N1311" s="2224"/>
      <c r="O1311" s="2224"/>
      <c r="P1311" s="2224"/>
      <c r="Q1311" s="2224"/>
      <c r="R1311" s="1856" t="s">
        <v>1208</v>
      </c>
      <c r="U1311" s="1719"/>
      <c r="V1311" s="1719"/>
      <c r="W1311" s="1719"/>
      <c r="X1311" s="1719"/>
      <c r="Y1311" s="1719"/>
      <c r="Z1311" s="1719"/>
      <c r="AA1311" s="1719"/>
      <c r="AB1311" s="1719"/>
      <c r="AC1311" s="1719"/>
      <c r="AD1311" s="1719"/>
      <c r="AE1311" s="1719"/>
    </row>
    <row r="1312" spans="1:32" s="1853" customFormat="1" ht="3" customHeight="1">
      <c r="B1312" s="2165"/>
      <c r="C1312" s="2229"/>
      <c r="D1312" s="2229"/>
      <c r="E1312" s="2229"/>
      <c r="F1312" s="2229"/>
      <c r="G1312" s="2229"/>
      <c r="H1312" s="2229"/>
      <c r="I1312" s="2229"/>
      <c r="J1312" s="2229"/>
      <c r="K1312" s="2229"/>
      <c r="L1312" s="2229"/>
      <c r="M1312" s="2229"/>
      <c r="N1312" s="2229"/>
      <c r="O1312" s="2229"/>
      <c r="P1312" s="2229"/>
      <c r="Q1312" s="2118"/>
    </row>
    <row r="1313" spans="1:31" s="1853" customFormat="1" ht="12.75" customHeight="1">
      <c r="A1313" s="2106" t="s">
        <v>712</v>
      </c>
      <c r="B1313" s="1818" t="s">
        <v>1146</v>
      </c>
      <c r="C1313" s="1818"/>
      <c r="D1313" s="1818"/>
      <c r="E1313" s="2229"/>
      <c r="F1313" s="2229"/>
      <c r="O1313" s="2225" t="s">
        <v>1780</v>
      </c>
      <c r="P1313" s="1719"/>
      <c r="Q1313" s="1719"/>
    </row>
    <row r="1314" spans="1:31" s="1853" customFormat="1" ht="12.75" customHeight="1">
      <c r="A1314" s="2106"/>
      <c r="B1314" s="2224" t="s">
        <v>6432</v>
      </c>
      <c r="C1314" s="1818"/>
      <c r="D1314" s="1818"/>
      <c r="E1314" s="2229"/>
      <c r="F1314" s="2229"/>
      <c r="G1314" s="435" t="str">
        <f>'Part I-Project Information'!$H$77</f>
        <v>Family</v>
      </c>
      <c r="H1314" s="2229"/>
      <c r="J1314" s="2250" t="str">
        <f>IF(OR(G1314="Other Senior/Elderly",G1314= "Other Non-Senior"),'Part I-Project Information'!$M$77,"")</f>
        <v/>
      </c>
      <c r="K1314" s="435"/>
      <c r="O1314" s="2225"/>
      <c r="P1314" s="2225"/>
      <c r="Q1314" s="2225"/>
    </row>
    <row r="1315" spans="1:31" s="1853" customFormat="1" ht="12.75" customHeight="1">
      <c r="A1315" s="2106"/>
      <c r="B1315" s="2224" t="s">
        <v>6433</v>
      </c>
      <c r="C1315" s="1818"/>
      <c r="D1315" s="1818"/>
      <c r="E1315" s="2229"/>
      <c r="F1315" s="2229"/>
      <c r="G1315" s="435" t="str">
        <f>'Part I-Project Information'!$H$82</f>
        <v>&lt;&lt; Select CURRENT Tenancy &gt;&gt;</v>
      </c>
      <c r="H1315" s="2229"/>
      <c r="J1315" s="2250" t="str">
        <f>IF(OR(G1315="Other Senior/Elderly",G1315= "Other Non-Senior"),'Part I-Project Information'!$M$77,"")</f>
        <v/>
      </c>
      <c r="K1315" s="435"/>
      <c r="O1315" s="2225"/>
      <c r="P1315" s="2225"/>
      <c r="Q1315" s="2225"/>
    </row>
    <row r="1316" spans="1:31" s="1853" customFormat="1" ht="10.5" customHeight="1">
      <c r="B1316" s="2171" t="s">
        <v>3372</v>
      </c>
      <c r="D1316" s="2171"/>
      <c r="E1316" s="2171"/>
      <c r="F1316" s="2171"/>
      <c r="G1316" s="2171"/>
      <c r="H1316" s="2122"/>
      <c r="I1316" s="2165"/>
      <c r="J1316" s="2165"/>
      <c r="K1316" s="2228" t="s">
        <v>1779</v>
      </c>
      <c r="L1316" s="2118"/>
      <c r="M1316" s="2118"/>
      <c r="N1316" s="2118"/>
      <c r="O1316" s="2118"/>
      <c r="P1316" s="2118"/>
      <c r="Q1316" s="2118"/>
    </row>
    <row r="1317" spans="1:31" s="1853" customFormat="1" ht="10.5" customHeight="1">
      <c r="A1317" s="2227" t="str">
        <f>'Part VIII-Threshold Criteria'!A77</f>
        <v>The applicant has elected family tenancy for this project.</v>
      </c>
      <c r="B1317" s="2227"/>
      <c r="C1317" s="2227"/>
      <c r="D1317" s="2227"/>
      <c r="E1317" s="2227"/>
      <c r="F1317" s="2227"/>
      <c r="G1317" s="2227"/>
      <c r="H1317" s="2227"/>
      <c r="I1317" s="2227"/>
      <c r="J1317" s="2227"/>
      <c r="K1317" s="2224"/>
      <c r="L1317" s="2224"/>
      <c r="M1317" s="2224"/>
      <c r="N1317" s="2224"/>
      <c r="O1317" s="2224"/>
      <c r="P1317" s="2224"/>
      <c r="Q1317" s="2224"/>
      <c r="R1317" s="1856" t="s">
        <v>1208</v>
      </c>
      <c r="U1317" s="1719"/>
      <c r="V1317" s="1719"/>
      <c r="W1317" s="1719"/>
      <c r="X1317" s="1719"/>
      <c r="Y1317" s="1719"/>
      <c r="Z1317" s="1719"/>
      <c r="AA1317" s="1719"/>
      <c r="AB1317" s="1719"/>
      <c r="AC1317" s="1719"/>
      <c r="AD1317" s="1719"/>
      <c r="AE1317" s="1719"/>
    </row>
    <row r="1318" spans="1:31" s="1853" customFormat="1" ht="3" customHeight="1">
      <c r="A1318" s="2118"/>
      <c r="B1318" s="2165"/>
      <c r="C1318" s="2229"/>
      <c r="D1318" s="2229"/>
      <c r="E1318" s="2229"/>
      <c r="F1318" s="2229"/>
      <c r="G1318" s="2229"/>
      <c r="H1318" s="2229"/>
      <c r="I1318" s="2229"/>
      <c r="J1318" s="2229"/>
      <c r="K1318" s="2229"/>
      <c r="L1318" s="2229"/>
      <c r="M1318" s="2229"/>
      <c r="N1318" s="2229"/>
      <c r="O1318" s="2229"/>
      <c r="P1318" s="2229"/>
      <c r="Q1318" s="2118"/>
    </row>
    <row r="1319" spans="1:31" s="1853" customFormat="1" ht="12.75" customHeight="1">
      <c r="A1319" s="2106" t="s">
        <v>1711</v>
      </c>
      <c r="B1319" s="2106" t="s">
        <v>2510</v>
      </c>
      <c r="C1319" s="2122"/>
      <c r="D1319" s="2229"/>
      <c r="E1319" s="2229"/>
      <c r="F1319" s="2229"/>
      <c r="G1319" s="2229"/>
      <c r="H1319" s="2229"/>
      <c r="I1319" s="2229"/>
      <c r="J1319" s="2229"/>
      <c r="L1319" s="2251" t="s">
        <v>3948</v>
      </c>
      <c r="M1319" s="2252" t="s">
        <v>3949</v>
      </c>
      <c r="O1319" s="2225" t="s">
        <v>1780</v>
      </c>
      <c r="P1319" s="1719"/>
      <c r="Q1319" s="1719"/>
    </row>
    <row r="1320" spans="1:31" s="1853" customFormat="1" ht="1.5" customHeight="1"/>
    <row r="1321" spans="1:31" s="1853" customFormat="1" ht="12" customHeight="1">
      <c r="A1321" s="2225" t="s">
        <v>1892</v>
      </c>
      <c r="B1321" s="2224" t="s">
        <v>3942</v>
      </c>
      <c r="C1321" s="2224"/>
      <c r="D1321" s="2224"/>
      <c r="E1321" s="2224"/>
      <c r="F1321" s="2224"/>
      <c r="G1321" s="2224"/>
      <c r="H1321" s="2224"/>
      <c r="I1321" s="2224"/>
      <c r="J1321" s="2224"/>
      <c r="L1321" s="2253" t="s">
        <v>2697</v>
      </c>
      <c r="M1321" s="2056">
        <v>2</v>
      </c>
      <c r="N1321" s="2224" t="s">
        <v>4224</v>
      </c>
      <c r="P1321" s="2112" t="str">
        <f>'Part VIII-Threshold Criteria'!P81</f>
        <v>Agree</v>
      </c>
      <c r="Q1321" s="435"/>
    </row>
    <row r="1322" spans="1:31" s="1853" customFormat="1" ht="12" customHeight="1">
      <c r="A1322" s="2225"/>
      <c r="B1322" s="2224"/>
      <c r="C1322" s="2224"/>
      <c r="D1322" s="2224"/>
      <c r="E1322" s="2224"/>
      <c r="F1322" s="2224"/>
      <c r="G1322" s="2224"/>
      <c r="H1322" s="2224"/>
      <c r="I1322" s="2224"/>
      <c r="J1322" s="2224"/>
      <c r="L1322" s="2253" t="s">
        <v>3947</v>
      </c>
      <c r="M1322" s="2253">
        <v>4</v>
      </c>
      <c r="O1322" s="2224"/>
      <c r="P1322" s="2112"/>
      <c r="Q1322" s="435"/>
    </row>
    <row r="1323" spans="1:31" s="1853" customFormat="1" ht="12" customHeight="1">
      <c r="A1323" s="2225"/>
      <c r="D1323" s="2229"/>
      <c r="E1323" s="2229"/>
      <c r="F1323" s="2229"/>
      <c r="G1323" s="2229"/>
      <c r="H1323" s="2229"/>
      <c r="I1323" s="2229"/>
      <c r="J1323" s="2229"/>
      <c r="L1323" s="2229" t="s">
        <v>6410</v>
      </c>
      <c r="M1323" s="2253"/>
      <c r="O1323" s="2224"/>
      <c r="P1323" s="2254">
        <f>'Part VIII-Threshold Criteria'!P83</f>
        <v>2</v>
      </c>
      <c r="Q1323" s="2255"/>
    </row>
    <row r="1324" spans="1:31" s="1853" customFormat="1" ht="12" customHeight="1">
      <c r="A1324" s="2256" t="s">
        <v>1894</v>
      </c>
      <c r="B1324" s="2224" t="s">
        <v>3950</v>
      </c>
      <c r="C1324" s="2224"/>
      <c r="D1324" s="2224"/>
      <c r="E1324" s="2224"/>
      <c r="F1324" s="2224"/>
      <c r="G1324" s="2224"/>
      <c r="H1324" s="2224"/>
      <c r="I1324" s="2224"/>
      <c r="J1324" s="2224"/>
      <c r="K1324" s="2224"/>
      <c r="L1324" s="2224"/>
      <c r="N1324" s="2257"/>
      <c r="O1324" s="2257"/>
      <c r="P1324" s="2257"/>
    </row>
    <row r="1325" spans="1:31" s="1853" customFormat="1" ht="12.75" customHeight="1">
      <c r="A1325" s="2256"/>
      <c r="B1325" s="2229" t="s">
        <v>1658</v>
      </c>
      <c r="C1325" s="2224" t="s">
        <v>3954</v>
      </c>
      <c r="D1325" s="2224"/>
      <c r="E1325" s="2224"/>
      <c r="F1325" s="2224"/>
      <c r="G1325" s="2224"/>
      <c r="H1325" s="2224"/>
      <c r="I1325" s="2224"/>
      <c r="J1325" s="2224"/>
      <c r="K1325" s="2224"/>
      <c r="L1325" s="2224"/>
      <c r="N1325" s="2224" t="s">
        <v>4225</v>
      </c>
      <c r="O1325" s="2257"/>
      <c r="P1325" s="2231" t="str">
        <f>'Part VIII-Threshold Criteria'!P85</f>
        <v>Agree</v>
      </c>
      <c r="Q1325" s="2165"/>
    </row>
    <row r="1326" spans="1:31" s="1853" customFormat="1" ht="12.75" customHeight="1">
      <c r="A1326" s="2256"/>
      <c r="B1326" s="2229" t="s">
        <v>1659</v>
      </c>
      <c r="C1326" s="2224" t="s">
        <v>3951</v>
      </c>
      <c r="D1326" s="2224"/>
      <c r="E1326" s="2224"/>
      <c r="F1326" s="2224"/>
      <c r="G1326" s="2224"/>
      <c r="H1326" s="2224"/>
      <c r="I1326" s="2224"/>
      <c r="J1326" s="2224"/>
      <c r="K1326" s="2224"/>
      <c r="L1326" s="2224"/>
      <c r="N1326" s="2224" t="s">
        <v>4226</v>
      </c>
      <c r="O1326" s="2257"/>
      <c r="P1326" s="2231" t="str">
        <f>'Part VIII-Threshold Criteria'!P86</f>
        <v>Agree</v>
      </c>
      <c r="Q1326" s="2165"/>
    </row>
    <row r="1327" spans="1:31" s="1853" customFormat="1" ht="12.75" customHeight="1">
      <c r="A1327" s="2225"/>
      <c r="B1327" s="2229" t="s">
        <v>1660</v>
      </c>
      <c r="C1327" s="2224" t="s">
        <v>3952</v>
      </c>
      <c r="E1327" s="2224"/>
      <c r="F1327" s="2224"/>
      <c r="G1327" s="2224"/>
      <c r="H1327" s="2224"/>
      <c r="I1327" s="2224"/>
      <c r="J1327" s="2224"/>
      <c r="K1327" s="2224"/>
      <c r="L1327" s="2224"/>
      <c r="M1327" s="2257"/>
      <c r="N1327" s="2224" t="s">
        <v>4227</v>
      </c>
      <c r="O1327" s="2257"/>
      <c r="P1327" s="2231" t="str">
        <f>'Part VIII-Threshold Criteria'!P87</f>
        <v>Agree</v>
      </c>
      <c r="Q1327" s="2165"/>
    </row>
    <row r="1328" spans="1:31" s="1853" customFormat="1" ht="12.75" customHeight="1">
      <c r="A1328" s="2258"/>
      <c r="B1328" s="2229" t="s">
        <v>2259</v>
      </c>
      <c r="C1328" s="2229" t="s">
        <v>3955</v>
      </c>
      <c r="D1328" s="435"/>
      <c r="E1328" s="435"/>
      <c r="F1328" s="435"/>
      <c r="G1328" s="435"/>
      <c r="H1328" s="435"/>
      <c r="I1328" s="1818"/>
      <c r="J1328" s="1818"/>
      <c r="N1328" s="2224" t="s">
        <v>4228</v>
      </c>
      <c r="O1328" s="2257"/>
      <c r="P1328" s="2231" t="str">
        <f>'Part VIII-Threshold Criteria'!P88</f>
        <v>N/Ap</v>
      </c>
      <c r="Q1328" s="2165"/>
    </row>
    <row r="1329" spans="1:31" s="1853" customFormat="1" ht="12.75" customHeight="1">
      <c r="A1329" s="2258"/>
      <c r="B1329" s="2229"/>
      <c r="C1329" s="2224" t="s">
        <v>3956</v>
      </c>
      <c r="D1329" s="435"/>
      <c r="E1329" s="435"/>
      <c r="F1329" s="435"/>
      <c r="G1329" s="435"/>
      <c r="H1329" s="435"/>
      <c r="I1329" s="1818"/>
      <c r="J1329" s="1818"/>
      <c r="L1329" s="2112">
        <f>'Part VIII-Threshold Criteria'!L89</f>
        <v>0</v>
      </c>
      <c r="M1329" s="2112"/>
      <c r="N1329" s="2112"/>
      <c r="O1329" s="2112"/>
      <c r="P1329" s="2112"/>
      <c r="Q1329" s="2112"/>
    </row>
    <row r="1330" spans="1:31" s="1853" customFormat="1" ht="12.75" customHeight="1">
      <c r="A1330" s="2258"/>
      <c r="B1330" s="2229" t="s">
        <v>1487</v>
      </c>
      <c r="C1330" s="2224" t="s">
        <v>3953</v>
      </c>
      <c r="D1330" s="2224"/>
      <c r="E1330" s="2224"/>
      <c r="F1330" s="2224"/>
      <c r="G1330" s="2224"/>
      <c r="H1330" s="2224"/>
      <c r="I1330" s="2224"/>
      <c r="J1330" s="2224"/>
      <c r="K1330" s="2224"/>
      <c r="L1330" s="2224"/>
      <c r="M1330" s="2113"/>
      <c r="N1330" s="2224" t="s">
        <v>4229</v>
      </c>
      <c r="O1330" s="2257"/>
      <c r="P1330" s="2231" t="str">
        <f>'Part VIII-Threshold Criteria'!P90</f>
        <v>Agree</v>
      </c>
      <c r="Q1330" s="2165"/>
    </row>
    <row r="1331" spans="1:31" s="1853" customFormat="1" ht="12.75" customHeight="1">
      <c r="A1331" s="2256"/>
      <c r="C1331" s="2224"/>
      <c r="D1331" s="2224"/>
      <c r="E1331" s="2224"/>
      <c r="F1331" s="2224"/>
      <c r="G1331" s="2224"/>
      <c r="H1331" s="2224"/>
      <c r="I1331" s="2224"/>
      <c r="J1331" s="2224"/>
      <c r="K1331" s="2224"/>
      <c r="L1331" s="2224"/>
      <c r="M1331" s="2113"/>
    </row>
    <row r="1332" spans="1:31" s="1853" customFormat="1" ht="10.5" customHeight="1">
      <c r="B1332" s="2171" t="s">
        <v>3372</v>
      </c>
      <c r="D1332" s="2171"/>
      <c r="E1332" s="2171"/>
      <c r="F1332" s="2171"/>
      <c r="G1332" s="2171"/>
      <c r="H1332" s="2122"/>
      <c r="I1332" s="2165"/>
      <c r="J1332" s="2165"/>
      <c r="K1332" s="2228" t="s">
        <v>1779</v>
      </c>
      <c r="L1332" s="2118"/>
      <c r="M1332" s="2118"/>
      <c r="N1332" s="2118"/>
      <c r="O1332" s="2118"/>
      <c r="P1332" s="2118"/>
      <c r="Q1332" s="2118"/>
    </row>
    <row r="1333" spans="1:31" s="1853" customFormat="1" ht="10.5" customHeight="1">
      <c r="A1333" s="2227" t="str">
        <f>'Part VIII-Threshold Criteria'!A93</f>
        <v>Applicant agrees to provide the required number and kinds of services as required in the 2021 QAP for projects with a family tenancy. The project is 72 units; therefore a full-time service manager is not included in the operating budget. The project team does not anticipate using temporary staffing during lease-up to handle activities set-up and sign up, but there is no "N/Ap" option in the dropdown menu choices.  The Applicant is not planning to have a part-time Activities Manager. The project does not involve rehabilitation of an existing congregate supportive housing development, therefore there is no MOA with a behavioral health agency or service provider for supportive housing services.</v>
      </c>
      <c r="B1333" s="2227"/>
      <c r="C1333" s="2227"/>
      <c r="D1333" s="2227"/>
      <c r="E1333" s="2227"/>
      <c r="F1333" s="2227"/>
      <c r="G1333" s="2227"/>
      <c r="H1333" s="2227"/>
      <c r="I1333" s="2227"/>
      <c r="J1333" s="2227"/>
      <c r="K1333" s="2224"/>
      <c r="L1333" s="2224"/>
      <c r="M1333" s="2224"/>
      <c r="N1333" s="2224"/>
      <c r="O1333" s="2224"/>
      <c r="P1333" s="2224"/>
      <c r="Q1333" s="2224"/>
      <c r="R1333" s="1856" t="s">
        <v>1208</v>
      </c>
      <c r="U1333" s="1719"/>
      <c r="V1333" s="1719"/>
      <c r="W1333" s="1719"/>
      <c r="X1333" s="1719"/>
      <c r="Y1333" s="1719"/>
      <c r="Z1333" s="1719"/>
      <c r="AA1333" s="1719"/>
      <c r="AB1333" s="1719"/>
      <c r="AC1333" s="1719"/>
      <c r="AD1333" s="1719"/>
      <c r="AE1333" s="1719"/>
    </row>
    <row r="1334" spans="1:31" s="1853" customFormat="1" ht="3" customHeight="1">
      <c r="A1334" s="2118"/>
      <c r="B1334" s="2165"/>
      <c r="C1334" s="2229"/>
      <c r="D1334" s="2229"/>
      <c r="E1334" s="2229"/>
      <c r="F1334" s="2229"/>
      <c r="G1334" s="2229"/>
      <c r="H1334" s="2229"/>
      <c r="I1334" s="2229"/>
      <c r="J1334" s="2229"/>
      <c r="K1334" s="2229"/>
      <c r="L1334" s="2229"/>
      <c r="M1334" s="2229"/>
      <c r="N1334" s="2229"/>
      <c r="O1334" s="2229"/>
      <c r="P1334" s="2229"/>
      <c r="Q1334" s="2118"/>
    </row>
    <row r="1335" spans="1:31" s="1853" customFormat="1" ht="14.1" customHeight="1">
      <c r="A1335" s="2106" t="s">
        <v>1713</v>
      </c>
      <c r="B1335" s="2106" t="s">
        <v>4220</v>
      </c>
      <c r="C1335" s="2106"/>
      <c r="D1335" s="2229"/>
      <c r="E1335" s="2229"/>
      <c r="F1335" s="2229"/>
      <c r="G1335" s="2229"/>
      <c r="H1335" s="2165" t="str">
        <f>'Part I-Project Information'!$K$41</f>
        <v>Rural</v>
      </c>
      <c r="J1335" s="2256" t="s">
        <v>4223</v>
      </c>
      <c r="K1335" s="435" t="str">
        <f>'Part I-Project Information'!$H$105</f>
        <v>Rural</v>
      </c>
      <c r="L1335" s="2256" t="s">
        <v>3985</v>
      </c>
      <c r="M1335" s="2122" t="str">
        <f>'Part I-Project Information'!$H$77</f>
        <v>Family</v>
      </c>
      <c r="O1335" s="2225" t="s">
        <v>1780</v>
      </c>
      <c r="P1335" s="1719"/>
      <c r="Q1335" s="1719"/>
    </row>
    <row r="1336" spans="1:31" s="1853" customFormat="1" ht="3" customHeight="1"/>
    <row r="1337" spans="1:31" s="1853" customFormat="1" ht="12.75" customHeight="1">
      <c r="A1337" s="2256" t="s">
        <v>1892</v>
      </c>
      <c r="B1337" s="435" t="s">
        <v>2347</v>
      </c>
      <c r="D1337" s="435"/>
      <c r="E1337" s="435"/>
      <c r="F1337" s="435"/>
      <c r="G1337" s="435"/>
      <c r="H1337" s="435"/>
      <c r="I1337" s="1818"/>
      <c r="J1337" s="1818"/>
      <c r="K1337" s="1818"/>
      <c r="L1337" s="2256" t="s">
        <v>1892</v>
      </c>
      <c r="M1337" s="2112" t="str">
        <f>'Part VIII-Threshold Criteria'!M97</f>
        <v>Novogradac</v>
      </c>
      <c r="N1337" s="2112"/>
      <c r="O1337" s="2112"/>
      <c r="P1337" s="1977"/>
      <c r="Q1337" s="2165"/>
    </row>
    <row r="1338" spans="1:31" s="1853" customFormat="1" ht="12.75" customHeight="1">
      <c r="A1338" s="2256" t="s">
        <v>1894</v>
      </c>
      <c r="B1338" s="435" t="s">
        <v>4146</v>
      </c>
      <c r="D1338" s="435"/>
      <c r="E1338" s="435"/>
      <c r="F1338" s="435"/>
      <c r="L1338" s="2256" t="s">
        <v>1894</v>
      </c>
      <c r="M1338" s="2112" t="str">
        <f>'Part VIII-Threshold Criteria'!M98</f>
        <v>Two to three months</v>
      </c>
      <c r="N1338" s="2112"/>
      <c r="O1338" s="2112"/>
      <c r="P1338" s="1977"/>
      <c r="Q1338" s="2165"/>
    </row>
    <row r="1339" spans="1:31" s="1853" customFormat="1" ht="12.75" customHeight="1">
      <c r="A1339" s="2256" t="s">
        <v>719</v>
      </c>
      <c r="B1339" s="435" t="s">
        <v>2670</v>
      </c>
      <c r="D1339" s="435"/>
      <c r="E1339" s="435"/>
      <c r="F1339" s="435"/>
      <c r="L1339" s="2256" t="s">
        <v>719</v>
      </c>
      <c r="M1339" s="2259">
        <f>'Part VIII-Threshold Criteria'!M99</f>
        <v>0.94699999999999995</v>
      </c>
      <c r="N1339" s="2259"/>
      <c r="O1339" s="2259"/>
      <c r="P1339" s="2260"/>
      <c r="Q1339" s="2165"/>
    </row>
    <row r="1340" spans="1:31" s="1853" customFormat="1" ht="12.75" customHeight="1">
      <c r="A1340" s="2256" t="s">
        <v>2020</v>
      </c>
      <c r="B1340" s="435" t="s">
        <v>3442</v>
      </c>
      <c r="D1340" s="435"/>
      <c r="E1340" s="435"/>
      <c r="F1340" s="435"/>
      <c r="J1340" s="2256" t="s">
        <v>3443</v>
      </c>
      <c r="K1340" s="2261">
        <f>'Part VIII-Threshold Criteria'!K100</f>
        <v>0.17599999999999999</v>
      </c>
      <c r="L1340" s="2262"/>
      <c r="N1340" s="2263"/>
      <c r="O1340" s="2264" t="s">
        <v>3539</v>
      </c>
      <c r="P1340" s="2261">
        <f>'Part VIII-Threshold Criteria'!P100</f>
        <v>0.01</v>
      </c>
      <c r="Q1340" s="2262"/>
    </row>
    <row r="1341" spans="1:31" s="1853" customFormat="1" ht="12.75" customHeight="1">
      <c r="A1341" s="2256" t="s">
        <v>1656</v>
      </c>
      <c r="B1341" s="435" t="s">
        <v>4147</v>
      </c>
      <c r="D1341" s="2224"/>
      <c r="E1341" s="2224"/>
      <c r="F1341" s="2224"/>
      <c r="G1341" s="2224"/>
      <c r="H1341" s="2224"/>
      <c r="I1341" s="2224"/>
      <c r="J1341" s="2224"/>
      <c r="K1341" s="2224"/>
      <c r="L1341" s="2224"/>
      <c r="M1341" s="2224"/>
      <c r="N1341" s="2224"/>
      <c r="O1341" s="2224"/>
      <c r="P1341" s="2224"/>
      <c r="Q1341" s="2224"/>
    </row>
    <row r="1342" spans="1:31" s="1853" customFormat="1" ht="12.75" customHeight="1">
      <c r="B1342" s="2256"/>
      <c r="C1342" s="435"/>
      <c r="D1342" s="2165" t="s">
        <v>2271</v>
      </c>
      <c r="E1342" s="2122" t="s">
        <v>587</v>
      </c>
      <c r="F1342" s="2122"/>
      <c r="H1342" s="435"/>
      <c r="I1342" s="2165" t="s">
        <v>2271</v>
      </c>
      <c r="J1342" s="2122" t="s">
        <v>587</v>
      </c>
      <c r="K1342" s="2122"/>
      <c r="M1342" s="435"/>
      <c r="N1342" s="2165" t="s">
        <v>2271</v>
      </c>
      <c r="O1342" s="2122" t="s">
        <v>587</v>
      </c>
      <c r="P1342" s="2122"/>
      <c r="Q1342" s="2256"/>
    </row>
    <row r="1343" spans="1:31" s="1853" customFormat="1" ht="12.75" customHeight="1">
      <c r="C1343" s="2256" t="s">
        <v>1658</v>
      </c>
      <c r="D1343" s="2231" t="str">
        <f>'Part VIII-Threshold Criteria'!D103</f>
        <v>2013-001</v>
      </c>
      <c r="E1343" s="2112" t="str">
        <f>'Part VIII-Threshold Criteria'!E103</f>
        <v>Forest Mill</v>
      </c>
      <c r="F1343" s="2112"/>
      <c r="G1343" s="2112"/>
      <c r="H1343" s="2256" t="s">
        <v>1660</v>
      </c>
      <c r="I1343" s="2231" t="str">
        <f>'Part VIII-Threshold Criteria'!I103</f>
        <v>2020-026</v>
      </c>
      <c r="J1343" s="2112" t="str">
        <f>'Part VIII-Threshold Criteria'!J103</f>
        <v>West Point Village Phase I</v>
      </c>
      <c r="K1343" s="2112"/>
      <c r="L1343" s="2112"/>
      <c r="M1343" s="2256" t="s">
        <v>1487</v>
      </c>
      <c r="N1343" s="2231">
        <f>'Part VIII-Threshold Criteria'!N103</f>
        <v>0</v>
      </c>
      <c r="O1343" s="2112">
        <f>'Part VIII-Threshold Criteria'!O103</f>
        <v>0</v>
      </c>
      <c r="P1343" s="2112"/>
      <c r="Q1343" s="2112"/>
    </row>
    <row r="1344" spans="1:31" s="1853" customFormat="1" ht="12.75" customHeight="1">
      <c r="C1344" s="2256" t="s">
        <v>1659</v>
      </c>
      <c r="D1344" s="2231" t="str">
        <f>'Part VIII-Threshold Criteria'!D104</f>
        <v>2002-028</v>
      </c>
      <c r="E1344" s="2112" t="str">
        <f>'Part VIII-Threshold Criteria'!E104</f>
        <v>College Hill</v>
      </c>
      <c r="F1344" s="2112"/>
      <c r="G1344" s="2112"/>
      <c r="H1344" s="2256" t="s">
        <v>2259</v>
      </c>
      <c r="I1344" s="2231">
        <f>'Part VIII-Threshold Criteria'!I104</f>
        <v>0</v>
      </c>
      <c r="J1344" s="2112">
        <f>'Part VIII-Threshold Criteria'!J104</f>
        <v>0</v>
      </c>
      <c r="K1344" s="2112"/>
      <c r="L1344" s="2112"/>
      <c r="M1344" s="2256" t="s">
        <v>1488</v>
      </c>
      <c r="N1344" s="2231">
        <f>'Part VIII-Threshold Criteria'!N104</f>
        <v>0</v>
      </c>
      <c r="O1344" s="2112">
        <f>'Part VIII-Threshold Criteria'!O104</f>
        <v>0</v>
      </c>
      <c r="P1344" s="2112"/>
      <c r="Q1344" s="2112"/>
    </row>
    <row r="1345" spans="1:31" s="1853" customFormat="1" ht="12.75" customHeight="1">
      <c r="A1345" s="2256" t="s">
        <v>1657</v>
      </c>
      <c r="B1345" s="435" t="s">
        <v>6324</v>
      </c>
      <c r="D1345" s="435"/>
      <c r="E1345" s="435"/>
      <c r="F1345" s="435"/>
      <c r="G1345" s="435"/>
      <c r="H1345" s="435"/>
      <c r="I1345" s="1818"/>
      <c r="J1345" s="1818"/>
      <c r="K1345" s="435"/>
      <c r="L1345" s="2122"/>
      <c r="M1345" s="2122"/>
      <c r="O1345" s="2256" t="s">
        <v>1657</v>
      </c>
      <c r="P1345" s="2231" t="str">
        <f>'Part VIII-Threshold Criteria'!P105</f>
        <v>Yes</v>
      </c>
      <c r="Q1345" s="2165"/>
    </row>
    <row r="1346" spans="1:31" s="1853" customFormat="1" ht="12.75" customHeight="1">
      <c r="A1346" s="2256" t="s">
        <v>1857</v>
      </c>
      <c r="B1346" s="435" t="s">
        <v>6326</v>
      </c>
      <c r="D1346" s="435"/>
      <c r="E1346" s="435"/>
      <c r="F1346" s="435"/>
      <c r="G1346" s="435"/>
      <c r="H1346" s="435"/>
      <c r="I1346" s="1818"/>
      <c r="J1346" s="1818"/>
      <c r="K1346" s="435"/>
      <c r="L1346" s="2122"/>
      <c r="M1346" s="2122"/>
      <c r="O1346" s="2256" t="s">
        <v>1857</v>
      </c>
      <c r="P1346" s="2231" t="str">
        <f>'Part VIII-Threshold Criteria'!P106</f>
        <v>Yes</v>
      </c>
      <c r="Q1346" s="2165"/>
    </row>
    <row r="1347" spans="1:31" s="1853" customFormat="1" ht="10.5" customHeight="1">
      <c r="A1347" s="2256" t="s">
        <v>3123</v>
      </c>
      <c r="B1347" s="435" t="s">
        <v>6328</v>
      </c>
      <c r="D1347" s="435"/>
      <c r="E1347" s="435"/>
      <c r="F1347" s="435"/>
      <c r="G1347" s="435"/>
      <c r="H1347" s="435"/>
      <c r="I1347" s="1818"/>
      <c r="J1347" s="1818"/>
      <c r="K1347" s="435"/>
      <c r="L1347" s="2122"/>
      <c r="M1347" s="2122"/>
      <c r="O1347" s="2256" t="s">
        <v>3123</v>
      </c>
      <c r="P1347" s="2261">
        <f>'Part VIII-Threshold Criteria'!P107</f>
        <v>0.95</v>
      </c>
      <c r="Q1347" s="2262"/>
    </row>
    <row r="1348" spans="1:31" s="2159" customFormat="1" ht="60" customHeight="1">
      <c r="A1348" s="2225" t="s">
        <v>586</v>
      </c>
      <c r="B1348" s="2224" t="s">
        <v>7080</v>
      </c>
      <c r="C1348" s="2224"/>
      <c r="D1348" s="2224"/>
      <c r="E1348" s="2224"/>
      <c r="F1348" s="2224"/>
      <c r="G1348" s="2224"/>
      <c r="H1348" s="2224"/>
      <c r="I1348" s="2224"/>
      <c r="J1348" s="2224"/>
      <c r="K1348" s="2224"/>
      <c r="L1348" s="2224"/>
      <c r="M1348" s="2224"/>
      <c r="N1348" s="2224"/>
      <c r="O1348" s="2225" t="s">
        <v>6327</v>
      </c>
      <c r="P1348" s="2265" t="str">
        <f>'Part VIII-Threshold Criteria'!P108</f>
        <v>Yes</v>
      </c>
      <c r="Q1348" s="2253"/>
    </row>
    <row r="1349" spans="1:31" s="1818" customFormat="1" ht="12.75" customHeight="1">
      <c r="A1349" s="2256"/>
      <c r="B1349" s="2229" t="s">
        <v>1659</v>
      </c>
      <c r="C1349" s="435" t="s">
        <v>4276</v>
      </c>
      <c r="D1349" s="435"/>
      <c r="E1349" s="435"/>
      <c r="F1349" s="435"/>
      <c r="G1349" s="435"/>
      <c r="H1349" s="435"/>
      <c r="K1349" s="435"/>
      <c r="L1349" s="2122"/>
      <c r="M1349" s="2122"/>
      <c r="O1349" s="2256" t="s">
        <v>1659</v>
      </c>
      <c r="P1349" s="2231" t="str">
        <f>'Part VIII-Threshold Criteria'!P109</f>
        <v>No</v>
      </c>
      <c r="Q1349" s="2165"/>
    </row>
    <row r="1350" spans="1:31" s="1853" customFormat="1" ht="9.75" customHeight="1">
      <c r="B1350" s="2171" t="s">
        <v>3372</v>
      </c>
      <c r="D1350" s="2171"/>
      <c r="E1350" s="2171"/>
      <c r="F1350" s="2171"/>
      <c r="G1350" s="2171"/>
      <c r="H1350" s="2122"/>
      <c r="I1350" s="2165"/>
      <c r="J1350" s="2165"/>
      <c r="K1350" s="2165"/>
      <c r="L1350" s="2118"/>
      <c r="M1350" s="2118"/>
      <c r="N1350" s="2118"/>
      <c r="O1350" s="2118"/>
      <c r="P1350" s="2118"/>
      <c r="Q1350" s="2118"/>
    </row>
    <row r="1351" spans="1:31" s="1853" customFormat="1" ht="33" customHeight="1">
      <c r="A1351" s="2227" t="str">
        <f>'Part VIII-Threshold Criteria'!A111</f>
        <v xml:space="preserve">The only recent DCA funded property in the PMA is West Point Village Phase I, which is part of the phased development plan for this project. The proposed project site is adjacent to the first phase of this master planned site. Other LIHTC properties in the PMA are Alabama funded properties.
Based upon our market research, demographic calculations and analysis, there is adequate demand for the Subject property as proposed. The LIHTC comparables are experiencing low vacancy at this time. Additionally, nearly all of the LIHTC properties maintain waiting lists, several of which are reported to be extensive. The one family LIHTC property in West Point maintains a waiting list of 100 households. These factors indicate demand for this West Point Village Phase II project. 
</v>
      </c>
      <c r="B1351" s="2227"/>
      <c r="C1351" s="2227"/>
      <c r="D1351" s="2227"/>
      <c r="E1351" s="2227"/>
      <c r="F1351" s="2227"/>
      <c r="G1351" s="2227"/>
      <c r="H1351" s="2227"/>
      <c r="I1351" s="2227"/>
      <c r="J1351" s="2227"/>
      <c r="K1351" s="2227"/>
      <c r="L1351" s="2227"/>
      <c r="M1351" s="2227"/>
      <c r="N1351" s="2227"/>
      <c r="O1351" s="2227"/>
      <c r="P1351" s="2227"/>
      <c r="Q1351" s="2227"/>
      <c r="U1351" s="1719"/>
      <c r="V1351" s="1719"/>
      <c r="W1351" s="1719"/>
      <c r="X1351" s="1719"/>
      <c r="Y1351" s="1719"/>
      <c r="Z1351" s="1719"/>
      <c r="AA1351" s="1719"/>
      <c r="AB1351" s="1719"/>
      <c r="AC1351" s="1719"/>
      <c r="AD1351" s="1719"/>
      <c r="AE1351" s="1719"/>
    </row>
    <row r="1352" spans="1:31" s="1853" customFormat="1" ht="9.75" customHeight="1">
      <c r="B1352" s="2228" t="s">
        <v>1779</v>
      </c>
      <c r="C1352" s="2228"/>
      <c r="D1352" s="2229"/>
      <c r="E1352" s="2229"/>
      <c r="F1352" s="2229"/>
      <c r="G1352" s="2229"/>
      <c r="H1352" s="2229"/>
      <c r="I1352" s="2229"/>
      <c r="J1352" s="2229"/>
      <c r="K1352" s="2229"/>
      <c r="L1352" s="2229"/>
      <c r="M1352" s="2229"/>
      <c r="N1352" s="2229"/>
      <c r="O1352" s="2229"/>
      <c r="P1352" s="2229"/>
      <c r="Q1352" s="2229"/>
    </row>
    <row r="1353" spans="1:31" s="1853" customFormat="1" ht="33" customHeight="1">
      <c r="A1353" s="2224"/>
      <c r="B1353" s="2224"/>
      <c r="C1353" s="2224"/>
      <c r="D1353" s="2224"/>
      <c r="E1353" s="2224"/>
      <c r="F1353" s="2224"/>
      <c r="G1353" s="2224"/>
      <c r="H1353" s="2224"/>
      <c r="I1353" s="2224"/>
      <c r="J1353" s="2224"/>
      <c r="K1353" s="2224"/>
      <c r="L1353" s="2224"/>
      <c r="M1353" s="2224"/>
      <c r="N1353" s="2224"/>
      <c r="O1353" s="2224"/>
      <c r="P1353" s="2224"/>
      <c r="Q1353" s="2224"/>
    </row>
    <row r="1354" spans="1:31" s="1853" customFormat="1" ht="14.1" customHeight="1">
      <c r="A1354" s="2106" t="s">
        <v>505</v>
      </c>
      <c r="B1354" s="2106" t="s">
        <v>2511</v>
      </c>
      <c r="C1354" s="2106"/>
      <c r="D1354" s="2229"/>
      <c r="E1354" s="2229"/>
      <c r="F1354" s="2229"/>
      <c r="G1354" s="2229"/>
      <c r="H1354" s="2229"/>
      <c r="I1354" s="2229"/>
      <c r="J1354" s="2229"/>
      <c r="K1354" s="2229"/>
      <c r="L1354" s="2229"/>
      <c r="M1354" s="2229"/>
      <c r="O1354" s="2225" t="s">
        <v>1780</v>
      </c>
      <c r="P1354" s="1719"/>
      <c r="Q1354" s="1719"/>
    </row>
    <row r="1355" spans="1:31" s="1853" customFormat="1" ht="3" customHeight="1"/>
    <row r="1356" spans="1:31" s="1853" customFormat="1" ht="12.75" customHeight="1">
      <c r="A1356" s="2256" t="s">
        <v>1892</v>
      </c>
      <c r="B1356" s="435" t="s">
        <v>4230</v>
      </c>
      <c r="C1356" s="435"/>
      <c r="E1356" s="435"/>
      <c r="F1356" s="435"/>
      <c r="G1356" s="435"/>
      <c r="H1356" s="435"/>
      <c r="I1356" s="435"/>
      <c r="J1356" s="435"/>
      <c r="K1356" s="435"/>
      <c r="L1356" s="2122"/>
      <c r="M1356" s="2122"/>
      <c r="O1356" s="2256" t="s">
        <v>1892</v>
      </c>
      <c r="P1356" s="2231" t="str">
        <f>'Part VIII-Threshold Criteria'!P116</f>
        <v>Yes</v>
      </c>
      <c r="Q1356" s="2165"/>
    </row>
    <row r="1357" spans="1:31" s="1853" customFormat="1" ht="12.75" customHeight="1">
      <c r="B1357" s="2229" t="s">
        <v>1658</v>
      </c>
      <c r="C1357" s="435" t="s">
        <v>527</v>
      </c>
      <c r="E1357" s="1818"/>
      <c r="F1357" s="1818"/>
      <c r="G1357" s="1818"/>
      <c r="H1357" s="1818"/>
      <c r="I1357" s="1818"/>
      <c r="L1357" s="2256" t="s">
        <v>528</v>
      </c>
      <c r="M1357" s="2112" t="str">
        <f>'Part VIII-Threshold Criteria'!M117</f>
        <v>Everson, Huber &amp; Associates, LC</v>
      </c>
      <c r="N1357" s="2112"/>
      <c r="O1357" s="2112"/>
      <c r="P1357" s="1977"/>
      <c r="Q1357" s="2165"/>
    </row>
    <row r="1358" spans="1:31" s="1818" customFormat="1" ht="12.75" customHeight="1">
      <c r="B1358" s="2122" t="s">
        <v>1659</v>
      </c>
      <c r="C1358" s="435" t="s">
        <v>4011</v>
      </c>
      <c r="O1358" s="2256" t="s">
        <v>1659</v>
      </c>
      <c r="P1358" s="2231" t="str">
        <f>'Part VIII-Threshold Criteria'!P118</f>
        <v>No</v>
      </c>
      <c r="Q1358" s="2165"/>
    </row>
    <row r="1359" spans="1:31" s="1818" customFormat="1" ht="12.75" customHeight="1">
      <c r="B1359" s="2229" t="s">
        <v>1660</v>
      </c>
      <c r="C1359" s="435" t="s">
        <v>4257</v>
      </c>
      <c r="O1359" s="2225" t="s">
        <v>1660</v>
      </c>
      <c r="P1359" s="2266">
        <f>'Part VIII-Threshold Criteria'!P119</f>
        <v>44185</v>
      </c>
      <c r="Q1359" s="2267"/>
    </row>
    <row r="1360" spans="1:31" s="1853" customFormat="1" ht="12.75" customHeight="1">
      <c r="A1360" s="2165"/>
      <c r="B1360" s="2229" t="s">
        <v>2259</v>
      </c>
      <c r="C1360" s="2122" t="s">
        <v>3957</v>
      </c>
      <c r="D1360" s="2106"/>
      <c r="E1360" s="2106"/>
      <c r="F1360" s="2106"/>
      <c r="G1360" s="2106"/>
      <c r="H1360" s="2106"/>
      <c r="I1360" s="2106"/>
      <c r="J1360" s="2106"/>
      <c r="K1360" s="2106"/>
      <c r="L1360" s="2106"/>
      <c r="M1360" s="2106"/>
      <c r="O1360" s="2225" t="s">
        <v>2259</v>
      </c>
      <c r="P1360" s="2231" t="str">
        <f>'Part VIII-Threshold Criteria'!P120</f>
        <v>No</v>
      </c>
      <c r="Q1360" s="2165"/>
    </row>
    <row r="1361" spans="1:31" s="1853" customFormat="1" ht="12.75" customHeight="1">
      <c r="A1361" s="2165"/>
      <c r="B1361" s="2229" t="s">
        <v>1487</v>
      </c>
      <c r="C1361" s="2122" t="s">
        <v>3198</v>
      </c>
      <c r="D1361" s="2106"/>
      <c r="E1361" s="2106"/>
      <c r="F1361" s="2106"/>
      <c r="G1361" s="2106"/>
      <c r="H1361" s="2106"/>
      <c r="I1361" s="2106"/>
      <c r="J1361" s="2106"/>
      <c r="K1361" s="2106"/>
      <c r="L1361" s="2106"/>
      <c r="M1361" s="2106"/>
      <c r="O1361" s="2225" t="s">
        <v>1487</v>
      </c>
      <c r="P1361" s="2231" t="str">
        <f>'Part VIII-Threshold Criteria'!P121</f>
        <v>Yes</v>
      </c>
      <c r="Q1361" s="2165"/>
    </row>
    <row r="1362" spans="1:31" s="1853" customFormat="1" ht="12.75" customHeight="1">
      <c r="A1362" s="2165"/>
      <c r="B1362" s="2229" t="s">
        <v>1488</v>
      </c>
      <c r="C1362" s="2122" t="s">
        <v>3199</v>
      </c>
      <c r="D1362" s="2106"/>
      <c r="E1362" s="2106"/>
      <c r="F1362" s="2106"/>
      <c r="G1362" s="2106"/>
      <c r="H1362" s="2106"/>
      <c r="I1362" s="2106"/>
      <c r="J1362" s="2106"/>
      <c r="K1362" s="2106"/>
      <c r="L1362" s="2106"/>
      <c r="M1362" s="2106"/>
      <c r="O1362" s="2225" t="s">
        <v>1488</v>
      </c>
      <c r="P1362" s="2231" t="str">
        <f>'Part VIII-Threshold Criteria'!P122</f>
        <v>No</v>
      </c>
      <c r="Q1362" s="2165"/>
    </row>
    <row r="1363" spans="1:31" s="1853" customFormat="1" ht="12.75" customHeight="1">
      <c r="A1363" s="2165"/>
      <c r="B1363" s="2229" t="s">
        <v>92</v>
      </c>
      <c r="C1363" s="2122" t="s">
        <v>2671</v>
      </c>
      <c r="D1363" s="2122"/>
      <c r="E1363" s="2122"/>
      <c r="F1363" s="2122"/>
      <c r="G1363" s="2122"/>
      <c r="H1363" s="2122"/>
      <c r="I1363" s="2122"/>
      <c r="J1363" s="2122"/>
      <c r="K1363" s="2122"/>
      <c r="L1363" s="2122"/>
      <c r="M1363" s="2124"/>
      <c r="O1363" s="2225" t="s">
        <v>92</v>
      </c>
      <c r="P1363" s="2231" t="str">
        <f>'Part VIII-Threshold Criteria'!P123</f>
        <v>Yes</v>
      </c>
      <c r="Q1363" s="2165"/>
    </row>
    <row r="1364" spans="1:31" s="2159" customFormat="1" ht="23.25" customHeight="1">
      <c r="A1364" s="2253"/>
      <c r="B1364" s="2229" t="s">
        <v>489</v>
      </c>
      <c r="C1364" s="2224" t="s">
        <v>4149</v>
      </c>
      <c r="D1364" s="2224"/>
      <c r="E1364" s="2224"/>
      <c r="F1364" s="2224"/>
      <c r="G1364" s="2224"/>
      <c r="H1364" s="2224"/>
      <c r="I1364" s="2224"/>
      <c r="J1364" s="2224"/>
      <c r="K1364" s="2224"/>
      <c r="L1364" s="2224"/>
      <c r="M1364" s="2224"/>
      <c r="N1364" s="2224"/>
      <c r="O1364" s="2225" t="s">
        <v>489</v>
      </c>
      <c r="P1364" s="2231">
        <f>'Part VIII-Threshold Criteria'!P124</f>
        <v>0</v>
      </c>
      <c r="Q1364" s="2253"/>
    </row>
    <row r="1365" spans="1:31" s="1853" customFormat="1" ht="12.75" customHeight="1">
      <c r="A1365" s="2256" t="s">
        <v>1894</v>
      </c>
      <c r="B1365" s="435" t="s">
        <v>4148</v>
      </c>
      <c r="C1365" s="435"/>
      <c r="E1365" s="435"/>
      <c r="F1365" s="435"/>
      <c r="G1365" s="435"/>
      <c r="H1365" s="435"/>
      <c r="I1365" s="435"/>
      <c r="J1365" s="435"/>
      <c r="K1365" s="435"/>
      <c r="L1365" s="435"/>
      <c r="M1365" s="435"/>
      <c r="O1365" s="2256" t="s">
        <v>1894</v>
      </c>
      <c r="P1365" s="2231" t="str">
        <f>'Part VIII-Threshold Criteria'!P125</f>
        <v>No</v>
      </c>
      <c r="Q1365" s="2165"/>
    </row>
    <row r="1366" spans="1:31" s="1853" customFormat="1" ht="12.75" customHeight="1">
      <c r="B1366" s="2229" t="s">
        <v>1658</v>
      </c>
      <c r="C1366" s="435" t="s">
        <v>4279</v>
      </c>
      <c r="D1366" s="435"/>
      <c r="E1366" s="435"/>
      <c r="F1366" s="435"/>
      <c r="G1366" s="435"/>
      <c r="H1366" s="435"/>
      <c r="I1366" s="435"/>
      <c r="J1366" s="435"/>
      <c r="K1366" s="435"/>
      <c r="L1366" s="435"/>
      <c r="M1366" s="435"/>
      <c r="O1366" s="2225" t="s">
        <v>1658</v>
      </c>
      <c r="P1366" s="2231">
        <f>'Part VIII-Threshold Criteria'!P126</f>
        <v>0</v>
      </c>
      <c r="Q1366" s="2165"/>
    </row>
    <row r="1367" spans="1:31" s="1853" customFormat="1" ht="12.75" customHeight="1">
      <c r="A1367" s="2256"/>
      <c r="B1367" s="2122" t="s">
        <v>1659</v>
      </c>
      <c r="C1367" s="435" t="s">
        <v>4278</v>
      </c>
      <c r="D1367" s="435"/>
      <c r="E1367" s="435"/>
      <c r="F1367" s="435"/>
      <c r="G1367" s="435"/>
      <c r="H1367" s="435"/>
      <c r="I1367" s="435"/>
      <c r="J1367" s="435"/>
      <c r="K1367" s="435"/>
      <c r="L1367" s="435"/>
      <c r="M1367" s="435"/>
      <c r="O1367" s="2256" t="s">
        <v>1659</v>
      </c>
      <c r="P1367" s="2231">
        <f>'Part VIII-Threshold Criteria'!P127</f>
        <v>0</v>
      </c>
      <c r="Q1367" s="2165"/>
    </row>
    <row r="1368" spans="1:31" s="1853" customFormat="1" ht="10.5" customHeight="1">
      <c r="B1368" s="2171" t="s">
        <v>3372</v>
      </c>
      <c r="D1368" s="2171"/>
      <c r="E1368" s="2171"/>
      <c r="F1368" s="2171"/>
      <c r="G1368" s="2171"/>
      <c r="H1368" s="2122"/>
      <c r="I1368" s="2165"/>
      <c r="J1368" s="2165"/>
      <c r="K1368" s="2165"/>
      <c r="L1368" s="2118"/>
      <c r="M1368" s="2118"/>
      <c r="N1368" s="2118"/>
      <c r="O1368" s="2118"/>
      <c r="P1368" s="2118"/>
      <c r="Q1368" s="2118"/>
    </row>
    <row r="1369" spans="1:31" s="1853" customFormat="1" ht="22.5" customHeight="1">
      <c r="A1369" s="2227" t="str">
        <f>'Part VIII-Threshold Criteria'!A129</f>
        <v>There is no identity of interest between buyer and seller for this property, therefore no appraisal is required under the QAP. The West Point Housing Authority (WPHA) is purchasing this site from a third-party seller. WPHA is a member of the tax credit partnership, and will ground lease the site to the partnership for nominal value $10. Although not required under the QAP, the applicant had an appraisal conducted for the purchase of the land and has included that report here to clarify that the nominal value of the ground lease is far below the actual value of the property.</v>
      </c>
      <c r="B1369" s="2227"/>
      <c r="C1369" s="2227"/>
      <c r="D1369" s="2227"/>
      <c r="E1369" s="2227"/>
      <c r="F1369" s="2227"/>
      <c r="G1369" s="2227"/>
      <c r="H1369" s="2227"/>
      <c r="I1369" s="2227"/>
      <c r="J1369" s="2227"/>
      <c r="K1369" s="2227"/>
      <c r="L1369" s="2227"/>
      <c r="M1369" s="2227"/>
      <c r="N1369" s="2227"/>
      <c r="O1369" s="2227"/>
      <c r="P1369" s="2227"/>
      <c r="Q1369" s="2227"/>
      <c r="U1369" s="1719"/>
      <c r="V1369" s="1719"/>
      <c r="W1369" s="1719"/>
      <c r="X1369" s="1719"/>
      <c r="Y1369" s="1719"/>
      <c r="Z1369" s="1719"/>
      <c r="AA1369" s="1719"/>
      <c r="AB1369" s="1719"/>
      <c r="AC1369" s="1719"/>
      <c r="AD1369" s="1719"/>
      <c r="AE1369" s="1719"/>
    </row>
    <row r="1370" spans="1:31" s="1853" customFormat="1" ht="11.25" customHeight="1">
      <c r="B1370" s="2228" t="s">
        <v>1779</v>
      </c>
      <c r="C1370" s="2228"/>
      <c r="D1370" s="2229"/>
      <c r="E1370" s="2229"/>
      <c r="F1370" s="2229"/>
      <c r="G1370" s="2229"/>
      <c r="H1370" s="2229"/>
      <c r="I1370" s="2229"/>
      <c r="J1370" s="2229"/>
      <c r="K1370" s="2229"/>
      <c r="L1370" s="2229"/>
      <c r="M1370" s="2229"/>
      <c r="N1370" s="2229"/>
      <c r="O1370" s="2229"/>
      <c r="P1370" s="2229"/>
      <c r="Q1370" s="2229"/>
    </row>
    <row r="1371" spans="1:31" s="1853" customFormat="1" ht="22.5" customHeight="1">
      <c r="A1371" s="2224"/>
      <c r="B1371" s="2224"/>
      <c r="C1371" s="2224"/>
      <c r="D1371" s="2224"/>
      <c r="E1371" s="2224"/>
      <c r="F1371" s="2224"/>
      <c r="G1371" s="2224"/>
      <c r="H1371" s="2224"/>
      <c r="I1371" s="2224"/>
      <c r="J1371" s="2224"/>
      <c r="K1371" s="2224"/>
      <c r="L1371" s="2224"/>
      <c r="M1371" s="2224"/>
      <c r="N1371" s="2224"/>
      <c r="O1371" s="2224"/>
      <c r="P1371" s="2224"/>
      <c r="Q1371" s="2224"/>
    </row>
    <row r="1372" spans="1:31" s="1853" customFormat="1" ht="14.1" customHeight="1">
      <c r="A1372" s="2106" t="s">
        <v>742</v>
      </c>
      <c r="B1372" s="2106" t="s">
        <v>2512</v>
      </c>
      <c r="C1372" s="2122"/>
      <c r="D1372" s="2229"/>
      <c r="E1372" s="2229"/>
      <c r="F1372" s="2229"/>
      <c r="G1372" s="2229"/>
      <c r="H1372" s="2229"/>
      <c r="I1372" s="2229"/>
      <c r="J1372" s="2229"/>
      <c r="K1372" s="2229"/>
      <c r="L1372" s="2229"/>
      <c r="M1372" s="2229"/>
      <c r="O1372" s="2225" t="s">
        <v>1780</v>
      </c>
      <c r="P1372" s="1719"/>
      <c r="Q1372" s="1719"/>
    </row>
    <row r="1373" spans="1:31" s="1853" customFormat="1" ht="6.6" customHeight="1"/>
    <row r="1374" spans="1:31" s="1853" customFormat="1">
      <c r="A1374" s="2256" t="s">
        <v>1892</v>
      </c>
      <c r="B1374" s="435" t="s">
        <v>6439</v>
      </c>
      <c r="D1374" s="435"/>
      <c r="E1374" s="435"/>
      <c r="F1374" s="435"/>
      <c r="G1374" s="435"/>
      <c r="H1374" s="435"/>
      <c r="I1374" s="1818"/>
      <c r="J1374" s="1818"/>
      <c r="K1374" s="2256" t="s">
        <v>1892</v>
      </c>
      <c r="L1374" s="2184" t="str">
        <f>'Part VIII-Threshold Criteria'!L134</f>
        <v>GEC</v>
      </c>
      <c r="M1374" s="2184"/>
      <c r="N1374" s="2184"/>
      <c r="O1374" s="2184"/>
      <c r="P1374" s="2184"/>
      <c r="Q1374" s="2165"/>
    </row>
    <row r="1375" spans="1:31" s="1853" customFormat="1" ht="12" customHeight="1">
      <c r="B1375" s="2113" t="s">
        <v>6440</v>
      </c>
      <c r="O1375" s="2256" t="s">
        <v>1659</v>
      </c>
      <c r="P1375" s="2231" t="str">
        <f>'Part VIII-Threshold Criteria'!P135</f>
        <v>No</v>
      </c>
      <c r="Q1375" s="2165"/>
    </row>
    <row r="1376" spans="1:31" s="1853" customFormat="1" ht="12" customHeight="1">
      <c r="A1376" s="2256" t="s">
        <v>1894</v>
      </c>
      <c r="B1376" s="435" t="s">
        <v>1476</v>
      </c>
      <c r="D1376" s="435"/>
      <c r="E1376" s="435"/>
      <c r="F1376" s="435"/>
      <c r="G1376" s="435"/>
      <c r="H1376" s="435"/>
      <c r="I1376" s="1818"/>
      <c r="J1376" s="1818"/>
      <c r="K1376" s="435"/>
      <c r="L1376" s="2122"/>
      <c r="O1376" s="2256" t="s">
        <v>1894</v>
      </c>
      <c r="P1376" s="2231" t="str">
        <f>'Part VIII-Threshold Criteria'!P136</f>
        <v>No</v>
      </c>
      <c r="Q1376" s="2165"/>
    </row>
    <row r="1377" spans="1:17" s="1853" customFormat="1" ht="12" customHeight="1">
      <c r="A1377" s="2256" t="s">
        <v>719</v>
      </c>
      <c r="B1377" s="435" t="s">
        <v>143</v>
      </c>
      <c r="D1377" s="435"/>
      <c r="E1377" s="435"/>
      <c r="F1377" s="435"/>
      <c r="G1377" s="435"/>
      <c r="H1377" s="435"/>
      <c r="I1377" s="1818"/>
      <c r="J1377" s="1818"/>
      <c r="K1377" s="2122"/>
      <c r="L1377" s="2122"/>
      <c r="O1377" s="2256" t="s">
        <v>719</v>
      </c>
      <c r="P1377" s="2231" t="str">
        <f>'Part VIII-Threshold Criteria'!P137</f>
        <v>Yes</v>
      </c>
      <c r="Q1377" s="2165"/>
    </row>
    <row r="1378" spans="1:17" s="1853" customFormat="1" ht="12" customHeight="1">
      <c r="A1378" s="2256"/>
      <c r="B1378" s="2122" t="s">
        <v>1658</v>
      </c>
      <c r="C1378" s="435" t="s">
        <v>2539</v>
      </c>
      <c r="E1378" s="435"/>
      <c r="F1378" s="435"/>
      <c r="G1378" s="435"/>
      <c r="H1378" s="435"/>
      <c r="I1378" s="1818"/>
      <c r="J1378" s="1818"/>
      <c r="K1378" s="2256" t="s">
        <v>1658</v>
      </c>
      <c r="L1378" s="2184" t="str">
        <f>'Part VIII-Threshold Criteria'!L138</f>
        <v>GEC</v>
      </c>
      <c r="M1378" s="2184"/>
      <c r="N1378" s="2184"/>
      <c r="O1378" s="2184"/>
      <c r="P1378" s="2184"/>
      <c r="Q1378" s="2165"/>
    </row>
    <row r="1379" spans="1:17" s="1853" customFormat="1" ht="12" customHeight="1">
      <c r="A1379" s="2142"/>
      <c r="B1379" s="2122" t="s">
        <v>1659</v>
      </c>
      <c r="C1379" s="435" t="s">
        <v>3200</v>
      </c>
      <c r="E1379" s="1818"/>
      <c r="F1379" s="1818"/>
      <c r="G1379" s="1818"/>
      <c r="H1379" s="435"/>
      <c r="I1379" s="1818"/>
      <c r="J1379" s="1818"/>
      <c r="K1379" s="435"/>
      <c r="L1379" s="2122"/>
      <c r="M1379" s="2122"/>
      <c r="O1379" s="2256" t="s">
        <v>1659</v>
      </c>
      <c r="P1379" s="2231">
        <f>'Part VIII-Threshold Criteria'!P139</f>
        <v>63</v>
      </c>
      <c r="Q1379" s="2165"/>
    </row>
    <row r="1380" spans="1:17" s="1853" customFormat="1" ht="12" customHeight="1">
      <c r="A1380" s="2142"/>
      <c r="B1380" s="2122" t="s">
        <v>1660</v>
      </c>
      <c r="C1380" s="435" t="s">
        <v>3943</v>
      </c>
      <c r="E1380" s="1818"/>
      <c r="F1380" s="1818"/>
      <c r="G1380" s="1818"/>
      <c r="H1380" s="435"/>
      <c r="I1380" s="1818"/>
      <c r="J1380" s="1818"/>
      <c r="K1380" s="435"/>
      <c r="L1380" s="2122"/>
      <c r="M1380" s="2122"/>
      <c r="O1380" s="2256" t="s">
        <v>1660</v>
      </c>
      <c r="P1380" s="2231" t="str">
        <f>'Part VIII-Threshold Criteria'!P140</f>
        <v>N/Ap</v>
      </c>
      <c r="Q1380" s="2165"/>
    </row>
    <row r="1381" spans="1:17" s="1853" customFormat="1" ht="12" customHeight="1">
      <c r="A1381" s="2256" t="s">
        <v>2020</v>
      </c>
      <c r="B1381" s="2122" t="s">
        <v>2303</v>
      </c>
      <c r="D1381" s="435"/>
      <c r="E1381" s="435"/>
      <c r="F1381" s="435"/>
      <c r="G1381" s="435"/>
      <c r="H1381" s="435"/>
      <c r="I1381" s="1818"/>
      <c r="J1381" s="1818"/>
      <c r="K1381" s="435"/>
      <c r="M1381" s="2122"/>
      <c r="N1381" s="2122"/>
      <c r="O1381" s="2122"/>
      <c r="P1381" s="2122"/>
      <c r="Q1381" s="2122"/>
    </row>
    <row r="1382" spans="1:17" s="1853" customFormat="1" ht="12" customHeight="1">
      <c r="A1382" s="2256"/>
      <c r="B1382" s="2122" t="s">
        <v>1658</v>
      </c>
      <c r="C1382" s="435" t="s">
        <v>1214</v>
      </c>
      <c r="D1382" s="435"/>
      <c r="E1382" s="2122"/>
      <c r="F1382" s="2231" t="str">
        <f>'Part VIII-Threshold Criteria'!F142</f>
        <v>No</v>
      </c>
      <c r="G1382" s="2165"/>
      <c r="H1382" s="2256" t="s">
        <v>4039</v>
      </c>
      <c r="I1382" s="435" t="s">
        <v>6329</v>
      </c>
      <c r="K1382" s="2231" t="str">
        <f>'Part VIII-Threshold Criteria'!K142</f>
        <v>No</v>
      </c>
      <c r="L1382" s="2165"/>
      <c r="M1382" s="2256" t="s">
        <v>4043</v>
      </c>
      <c r="N1382" s="2113" t="s">
        <v>3418</v>
      </c>
      <c r="O1382" s="2122"/>
      <c r="P1382" s="2231" t="str">
        <f>'Part VIII-Threshold Criteria'!P142</f>
        <v>No</v>
      </c>
      <c r="Q1382" s="2165"/>
    </row>
    <row r="1383" spans="1:17" s="1853" customFormat="1" ht="12.75" customHeight="1">
      <c r="B1383" s="2122" t="s">
        <v>1659</v>
      </c>
      <c r="C1383" s="435" t="s">
        <v>6441</v>
      </c>
      <c r="E1383" s="435"/>
      <c r="F1383" s="2231" t="str">
        <f>'Part VIII-Threshold Criteria'!F143</f>
        <v>No</v>
      </c>
      <c r="G1383" s="2165"/>
      <c r="H1383" s="2256" t="s">
        <v>4040</v>
      </c>
      <c r="I1383" s="435" t="s">
        <v>6330</v>
      </c>
      <c r="K1383" s="2231" t="str">
        <f>'Part VIII-Threshold Criteria'!K143</f>
        <v>No</v>
      </c>
      <c r="L1383" s="2165"/>
      <c r="M1383" s="2256" t="s">
        <v>4044</v>
      </c>
      <c r="N1383" s="435" t="s">
        <v>1489</v>
      </c>
      <c r="P1383" s="2231" t="str">
        <f>'Part VIII-Threshold Criteria'!P143</f>
        <v>No</v>
      </c>
      <c r="Q1383" s="2165"/>
    </row>
    <row r="1384" spans="1:17" s="1853" customFormat="1" ht="12" customHeight="1">
      <c r="A1384" s="435"/>
      <c r="B1384" s="2122" t="s">
        <v>1660</v>
      </c>
      <c r="C1384" s="435" t="s">
        <v>6442</v>
      </c>
      <c r="E1384" s="435"/>
      <c r="F1384" s="2231" t="str">
        <f>'Part VIII-Threshold Criteria'!F144</f>
        <v>No</v>
      </c>
      <c r="G1384" s="2165"/>
      <c r="H1384" s="2256" t="s">
        <v>4041</v>
      </c>
      <c r="I1384" s="2113" t="s">
        <v>6443</v>
      </c>
      <c r="K1384" s="2231" t="str">
        <f>'Part VIII-Threshold Criteria'!K144</f>
        <v>No</v>
      </c>
      <c r="L1384" s="2165"/>
      <c r="M1384" s="2256" t="s">
        <v>6444</v>
      </c>
      <c r="N1384" s="2113" t="s">
        <v>6331</v>
      </c>
      <c r="P1384" s="2231" t="str">
        <f>'Part VIII-Threshold Criteria'!P144</f>
        <v>No</v>
      </c>
      <c r="Q1384" s="2165"/>
    </row>
    <row r="1385" spans="1:17" s="1853" customFormat="1" ht="12" customHeight="1">
      <c r="A1385" s="435"/>
      <c r="B1385" s="2122" t="s">
        <v>2259</v>
      </c>
      <c r="C1385" s="2113" t="s">
        <v>2502</v>
      </c>
      <c r="E1385" s="435"/>
      <c r="F1385" s="2231" t="str">
        <f>'Part VIII-Threshold Criteria'!F145</f>
        <v>No</v>
      </c>
      <c r="G1385" s="2165"/>
      <c r="H1385" s="2256" t="s">
        <v>4042</v>
      </c>
      <c r="I1385" s="2224" t="s">
        <v>6446</v>
      </c>
      <c r="J1385" s="2224"/>
      <c r="K1385" s="2224"/>
      <c r="M1385" s="2256" t="s">
        <v>6445</v>
      </c>
      <c r="N1385" s="435" t="s">
        <v>141</v>
      </c>
      <c r="P1385" s="2231" t="str">
        <f>'Part VIII-Threshold Criteria'!P145</f>
        <v>No</v>
      </c>
      <c r="Q1385" s="2165"/>
    </row>
    <row r="1386" spans="1:17" s="1853" customFormat="1" ht="12" customHeight="1">
      <c r="A1386" s="435"/>
      <c r="B1386" s="2256" t="s">
        <v>4038</v>
      </c>
      <c r="C1386" s="435" t="s">
        <v>2610</v>
      </c>
      <c r="E1386" s="435"/>
      <c r="F1386" s="2231" t="str">
        <f>'Part VIII-Threshold Criteria'!F146</f>
        <v>No</v>
      </c>
      <c r="G1386" s="2165"/>
      <c r="I1386" s="2224"/>
      <c r="J1386" s="2224"/>
      <c r="K1386" s="2231" t="str">
        <f>'Part VIII-Threshold Criteria'!K146</f>
        <v>No</v>
      </c>
      <c r="L1386" s="2165"/>
    </row>
    <row r="1387" spans="1:17" s="1853" customFormat="1" ht="12" customHeight="1">
      <c r="A1387" s="435"/>
      <c r="B1387" s="2256" t="s">
        <v>6465</v>
      </c>
      <c r="C1387" s="435" t="s">
        <v>2611</v>
      </c>
      <c r="E1387" s="435"/>
      <c r="F1387" s="435"/>
      <c r="G1387" s="435"/>
      <c r="H1387" s="435"/>
      <c r="I1387" s="435"/>
      <c r="J1387" s="435"/>
      <c r="K1387" s="435"/>
      <c r="L1387" s="435"/>
      <c r="M1387" s="435"/>
      <c r="O1387" s="2256"/>
      <c r="P1387" s="2256"/>
    </row>
    <row r="1388" spans="1:17" s="1853" customFormat="1" ht="12" customHeight="1">
      <c r="A1388" s="435"/>
      <c r="C1388" s="2112" t="str">
        <f>'Part VIII-Threshold Criteria'!C148</f>
        <v>None</v>
      </c>
      <c r="D1388" s="2112"/>
      <c r="E1388" s="2112"/>
      <c r="F1388" s="2112"/>
      <c r="G1388" s="2112"/>
      <c r="H1388" s="2112"/>
      <c r="I1388" s="2112"/>
      <c r="J1388" s="2112"/>
      <c r="K1388" s="2112"/>
      <c r="L1388" s="2112"/>
      <c r="M1388" s="2112"/>
      <c r="N1388" s="2112"/>
      <c r="O1388" s="2112"/>
      <c r="P1388" s="2112"/>
      <c r="Q1388" s="2112"/>
    </row>
    <row r="1389" spans="1:17" s="1853" customFormat="1" ht="12" customHeight="1">
      <c r="A1389" s="2256" t="s">
        <v>1656</v>
      </c>
      <c r="B1389" s="435" t="s">
        <v>3259</v>
      </c>
      <c r="D1389" s="435"/>
      <c r="E1389" s="435"/>
      <c r="F1389" s="435"/>
      <c r="G1389" s="435"/>
      <c r="H1389" s="435"/>
      <c r="I1389" s="1818"/>
      <c r="J1389" s="1818"/>
      <c r="K1389" s="435"/>
      <c r="L1389" s="435"/>
      <c r="M1389" s="2122"/>
    </row>
    <row r="1390" spans="1:17" s="1853" customFormat="1" ht="12.75" customHeight="1">
      <c r="A1390" s="1818"/>
      <c r="B1390" s="2122" t="s">
        <v>1658</v>
      </c>
      <c r="C1390" s="435" t="s">
        <v>2612</v>
      </c>
      <c r="E1390" s="435"/>
      <c r="F1390" s="435"/>
      <c r="G1390" s="435"/>
      <c r="H1390" s="435"/>
      <c r="O1390" s="2256" t="s">
        <v>1658</v>
      </c>
      <c r="P1390" s="2231" t="str">
        <f>'Part VIII-Threshold Criteria'!P150</f>
        <v>No</v>
      </c>
      <c r="Q1390" s="2165"/>
    </row>
    <row r="1391" spans="1:17" s="1853" customFormat="1" ht="12.75" customHeight="1">
      <c r="A1391" s="2165"/>
      <c r="B1391" s="2122" t="s">
        <v>1659</v>
      </c>
      <c r="C1391" s="435" t="s">
        <v>469</v>
      </c>
      <c r="E1391" s="435"/>
      <c r="F1391" s="435"/>
      <c r="G1391" s="435"/>
      <c r="H1391" s="435"/>
      <c r="I1391" s="1818"/>
      <c r="J1391" s="1818"/>
      <c r="K1391" s="435"/>
      <c r="L1391" s="435"/>
      <c r="M1391" s="435"/>
      <c r="O1391" s="2256" t="s">
        <v>1659</v>
      </c>
      <c r="P1391" s="2231" t="str">
        <f>'Part VIII-Threshold Criteria'!P151</f>
        <v>Yes</v>
      </c>
      <c r="Q1391" s="2165"/>
    </row>
    <row r="1392" spans="1:17" s="1853" customFormat="1" ht="12.75" customHeight="1">
      <c r="A1392" s="2165"/>
      <c r="B1392" s="2122" t="s">
        <v>1660</v>
      </c>
      <c r="C1392" s="435" t="s">
        <v>651</v>
      </c>
      <c r="E1392" s="435"/>
      <c r="F1392" s="435"/>
      <c r="G1392" s="435"/>
      <c r="H1392" s="435"/>
      <c r="I1392" s="1818"/>
      <c r="J1392" s="1818"/>
      <c r="K1392" s="435"/>
      <c r="L1392" s="435"/>
      <c r="M1392" s="435"/>
      <c r="O1392" s="2256" t="s">
        <v>1660</v>
      </c>
      <c r="P1392" s="2231" t="str">
        <f>'Part VIII-Threshold Criteria'!P152</f>
        <v>Yes</v>
      </c>
      <c r="Q1392" s="2165"/>
    </row>
    <row r="1393" spans="1:31" s="1853" customFormat="1" ht="12.75" customHeight="1">
      <c r="A1393" s="2165"/>
      <c r="B1393" s="2122" t="s">
        <v>2259</v>
      </c>
      <c r="C1393" s="435" t="s">
        <v>4025</v>
      </c>
      <c r="E1393" s="435"/>
      <c r="F1393" s="435"/>
      <c r="G1393" s="435"/>
      <c r="H1393" s="435"/>
      <c r="I1393" s="1818"/>
      <c r="J1393" s="1818"/>
      <c r="K1393" s="435"/>
      <c r="L1393" s="435"/>
      <c r="M1393" s="435"/>
      <c r="O1393" s="2256" t="s">
        <v>2259</v>
      </c>
      <c r="P1393" s="2231" t="str">
        <f>'Part VIII-Threshold Criteria'!P153</f>
        <v>No</v>
      </c>
      <c r="Q1393" s="2165"/>
    </row>
    <row r="1394" spans="1:31" s="1853" customFormat="1" ht="12" customHeight="1">
      <c r="A1394" s="2113" t="s">
        <v>4150</v>
      </c>
      <c r="C1394" s="435"/>
      <c r="D1394" s="435"/>
      <c r="E1394" s="435"/>
      <c r="F1394" s="435"/>
      <c r="G1394" s="435"/>
      <c r="H1394" s="435"/>
      <c r="I1394" s="1818"/>
      <c r="J1394" s="1818"/>
      <c r="K1394" s="435"/>
      <c r="L1394" s="435"/>
      <c r="M1394" s="2122"/>
      <c r="N1394" s="2122"/>
      <c r="O1394" s="2122"/>
      <c r="P1394" s="2122"/>
      <c r="Q1394" s="2122"/>
      <c r="R1394" s="2122"/>
    </row>
    <row r="1395" spans="1:31" s="1818" customFormat="1" ht="24" customHeight="1">
      <c r="A1395" s="2225" t="s">
        <v>1657</v>
      </c>
      <c r="B1395" s="2224" t="s">
        <v>7156</v>
      </c>
      <c r="C1395" s="2224"/>
      <c r="D1395" s="2224"/>
      <c r="E1395" s="2224"/>
      <c r="F1395" s="2224"/>
      <c r="G1395" s="2224"/>
      <c r="H1395" s="2224"/>
      <c r="I1395" s="2224"/>
      <c r="J1395" s="2224"/>
      <c r="K1395" s="2224"/>
      <c r="L1395" s="2224"/>
      <c r="M1395" s="2256" t="s">
        <v>1857</v>
      </c>
      <c r="N1395" s="2227" t="str">
        <f>'Part VIII-Threshold Criteria'!N155</f>
        <v>&lt;&lt;Select&gt;&gt;</v>
      </c>
      <c r="O1395" s="2227"/>
      <c r="P1395" s="2224"/>
      <c r="Q1395" s="2224"/>
    </row>
    <row r="1396" spans="1:31" s="1853" customFormat="1" ht="11.25" customHeight="1">
      <c r="B1396" s="2171" t="s">
        <v>3372</v>
      </c>
      <c r="D1396" s="2171"/>
      <c r="E1396" s="2171"/>
      <c r="F1396" s="2171"/>
      <c r="G1396" s="2171"/>
      <c r="H1396" s="2122"/>
      <c r="I1396" s="2165"/>
      <c r="J1396" s="2165"/>
      <c r="K1396" s="2165"/>
      <c r="L1396" s="2118"/>
      <c r="M1396" s="2118"/>
      <c r="N1396" s="2118"/>
      <c r="O1396" s="2118"/>
      <c r="P1396" s="2118"/>
      <c r="Q1396" s="2118"/>
    </row>
    <row r="1397" spans="1:31" s="1853" customFormat="1" ht="45" customHeight="1">
      <c r="A1397" s="2227" t="str">
        <f>'Part VIII-Threshold Criteria'!A157</f>
        <v>- With respect to question VII.E.1), the environmental professional did not find any wetlands, state waters, or floodplain on site, therefore the 8-Step Process is not required.
- With respect to question VII.E.4), per the 2021 QAP, Site and Neighborhood Standards are only required for projects utilizing DCA-awarded HUD Federal Funds. Therefore, no HOME Site and Neighborhood Standards Certification is required for this project.
-The proposed project does not include any HOME funds, therefore question VII.F has been intentionally left blank.</v>
      </c>
      <c r="B1397" s="2227"/>
      <c r="C1397" s="2227"/>
      <c r="D1397" s="2227"/>
      <c r="E1397" s="2227"/>
      <c r="F1397" s="2227"/>
      <c r="G1397" s="2227"/>
      <c r="H1397" s="2227"/>
      <c r="I1397" s="2227"/>
      <c r="J1397" s="2227"/>
      <c r="K1397" s="2227"/>
      <c r="L1397" s="2227"/>
      <c r="M1397" s="2227"/>
      <c r="N1397" s="2227"/>
      <c r="O1397" s="2227"/>
      <c r="P1397" s="2227"/>
      <c r="Q1397" s="2227"/>
      <c r="R1397" s="1856" t="s">
        <v>1208</v>
      </c>
      <c r="S1397" s="1856"/>
      <c r="U1397" s="1719"/>
      <c r="V1397" s="1719"/>
      <c r="W1397" s="1719"/>
      <c r="X1397" s="1719"/>
      <c r="Y1397" s="1719"/>
      <c r="Z1397" s="1719"/>
      <c r="AA1397" s="1719"/>
      <c r="AB1397" s="1719"/>
      <c r="AC1397" s="1719"/>
      <c r="AD1397" s="1719"/>
      <c r="AE1397" s="1719"/>
    </row>
    <row r="1398" spans="1:31" s="1853" customFormat="1" ht="3" customHeight="1">
      <c r="R1398" s="1856"/>
      <c r="S1398" s="1856"/>
    </row>
    <row r="1399" spans="1:31" s="1853" customFormat="1" ht="11.25" customHeight="1">
      <c r="B1399" s="2228" t="s">
        <v>1779</v>
      </c>
      <c r="C1399" s="2228"/>
      <c r="D1399" s="2229"/>
      <c r="E1399" s="2229"/>
      <c r="F1399" s="2229"/>
      <c r="G1399" s="2229"/>
      <c r="H1399" s="2229"/>
      <c r="I1399" s="2229"/>
      <c r="J1399" s="2229"/>
      <c r="K1399" s="2229"/>
      <c r="L1399" s="2229"/>
      <c r="M1399" s="2229"/>
      <c r="N1399" s="2229"/>
      <c r="O1399" s="2229"/>
      <c r="P1399" s="2229"/>
      <c r="Q1399" s="2229"/>
    </row>
    <row r="1400" spans="1:31" s="1853" customFormat="1" ht="45" customHeight="1">
      <c r="A1400" s="2224"/>
      <c r="B1400" s="2224"/>
      <c r="C1400" s="2224"/>
      <c r="D1400" s="2224"/>
      <c r="E1400" s="2224"/>
      <c r="F1400" s="2224"/>
      <c r="G1400" s="2224"/>
      <c r="H1400" s="2224"/>
      <c r="I1400" s="2224"/>
      <c r="J1400" s="2224"/>
      <c r="K1400" s="2224"/>
      <c r="L1400" s="2224"/>
      <c r="M1400" s="2224"/>
      <c r="N1400" s="2224"/>
      <c r="O1400" s="2224"/>
      <c r="P1400" s="2224"/>
      <c r="Q1400" s="2224"/>
    </row>
    <row r="1401" spans="1:31" s="1853" customFormat="1" ht="3" customHeight="1">
      <c r="A1401" s="2118"/>
      <c r="B1401" s="2165"/>
      <c r="C1401" s="2229"/>
      <c r="D1401" s="2229"/>
      <c r="E1401" s="2229"/>
      <c r="F1401" s="2229"/>
      <c r="G1401" s="2229"/>
      <c r="H1401" s="2229"/>
      <c r="I1401" s="2229"/>
      <c r="J1401" s="2229"/>
      <c r="K1401" s="2229"/>
      <c r="L1401" s="2229"/>
      <c r="M1401" s="2229"/>
      <c r="N1401" s="2229"/>
      <c r="O1401" s="2229"/>
      <c r="P1401" s="2229"/>
      <c r="Q1401" s="2118"/>
    </row>
    <row r="1402" spans="1:31" s="1853" customFormat="1" ht="14.1" customHeight="1">
      <c r="A1402" s="2106" t="s">
        <v>281</v>
      </c>
      <c r="B1402" s="2106" t="s">
        <v>2513</v>
      </c>
      <c r="C1402" s="2106"/>
      <c r="D1402" s="2229"/>
      <c r="E1402" s="2229"/>
      <c r="F1402" s="2229"/>
      <c r="G1402" s="2229"/>
      <c r="H1402" s="2229"/>
      <c r="I1402" s="2229"/>
      <c r="J1402" s="2229"/>
      <c r="K1402" s="2229"/>
      <c r="O1402" s="2225" t="s">
        <v>1780</v>
      </c>
      <c r="P1402" s="1719"/>
      <c r="Q1402" s="1719"/>
    </row>
    <row r="1403" spans="1:31" s="1853" customFormat="1" ht="12" customHeight="1">
      <c r="A1403" s="2256" t="s">
        <v>1892</v>
      </c>
      <c r="B1403" s="2122" t="s">
        <v>1658</v>
      </c>
      <c r="C1403" s="435" t="s">
        <v>7081</v>
      </c>
      <c r="D1403" s="435"/>
      <c r="E1403" s="435"/>
      <c r="F1403" s="435"/>
      <c r="G1403" s="435"/>
      <c r="K1403" s="435" t="s">
        <v>2554</v>
      </c>
      <c r="M1403" s="2268" t="str">
        <f>'Part VIII-Threshold Criteria'!M163</f>
        <v>See Comments</v>
      </c>
      <c r="N1403" s="2268"/>
      <c r="O1403" s="2256" t="s">
        <v>1658</v>
      </c>
      <c r="P1403" s="2231" t="str">
        <f>'Part VIII-Threshold Criteria'!P163</f>
        <v>Yes</v>
      </c>
      <c r="Q1403" s="2165"/>
    </row>
    <row r="1404" spans="1:31" s="1853" customFormat="1" ht="12" customHeight="1">
      <c r="A1404" s="2256"/>
      <c r="B1404" s="2122" t="s">
        <v>1659</v>
      </c>
      <c r="C1404" s="435" t="s">
        <v>7082</v>
      </c>
      <c r="D1404" s="435"/>
      <c r="E1404" s="435"/>
      <c r="F1404" s="435"/>
      <c r="G1404" s="435"/>
      <c r="K1404" s="435" t="s">
        <v>2554</v>
      </c>
      <c r="M1404" s="2268">
        <f>'Part VIII-Threshold Criteria'!M164</f>
        <v>0</v>
      </c>
      <c r="N1404" s="2268"/>
      <c r="O1404" s="2256" t="s">
        <v>1659</v>
      </c>
      <c r="P1404" s="2231">
        <f>'Part VIII-Threshold Criteria'!P164</f>
        <v>0</v>
      </c>
      <c r="Q1404" s="2165"/>
    </row>
    <row r="1405" spans="1:31" s="1853" customFormat="1" ht="12" customHeight="1">
      <c r="A1405" s="2256" t="s">
        <v>1894</v>
      </c>
      <c r="B1405" s="2224" t="s">
        <v>142</v>
      </c>
      <c r="D1405" s="2224"/>
      <c r="E1405" s="2224"/>
      <c r="F1405" s="435" t="str">
        <f>IF(M1405="Ground lease/Option","Ground lease/Option:","")</f>
        <v>Ground lease/Option:</v>
      </c>
      <c r="H1405" s="435" t="str">
        <f>IF(M1405="Ground lease/Option","Annual Pymt:","")</f>
        <v>Annual Pymt:</v>
      </c>
      <c r="I1405" s="2200">
        <f>IF(M1405="Ground lease/Option",'Part VI-Revenues &amp; Expenses'!$K$248,"")</f>
        <v>10</v>
      </c>
      <c r="J1405" s="2256" t="str">
        <f>IF(M1405="Ground lease/Option","Term:","")</f>
        <v>Term:</v>
      </c>
      <c r="K1405" s="2122">
        <f>IF(M1405="Ground lease/Option",'Part VI-Revenues &amp; Expenses'!$N$248,"")</f>
        <v>99</v>
      </c>
      <c r="L1405" s="2256" t="s">
        <v>1894</v>
      </c>
      <c r="M1405" s="2269" t="str">
        <f>'Part VIII-Threshold Criteria'!M165</f>
        <v>Ground lease/Option</v>
      </c>
      <c r="N1405" s="2269"/>
      <c r="P1405" s="2113" t="s">
        <v>1691</v>
      </c>
      <c r="Q1405" s="2113"/>
    </row>
    <row r="1406" spans="1:31" s="1853" customFormat="1" ht="12" customHeight="1">
      <c r="A1406" s="2256" t="s">
        <v>719</v>
      </c>
      <c r="B1406" s="2224" t="s">
        <v>652</v>
      </c>
      <c r="D1406" s="2224"/>
      <c r="E1406" s="2224"/>
      <c r="F1406" s="2224"/>
      <c r="G1406" s="2224"/>
      <c r="H1406" s="2224"/>
      <c r="J1406" s="2256" t="s">
        <v>719</v>
      </c>
      <c r="K1406" s="2112" t="str">
        <f>'Part VIII-Threshold Criteria'!K166</f>
        <v>West Point Village Phase II LLC</v>
      </c>
      <c r="L1406" s="2112"/>
      <c r="M1406" s="2112"/>
      <c r="N1406" s="2112"/>
      <c r="O1406" s="2112"/>
      <c r="P1406" s="2112"/>
      <c r="Q1406" s="2165"/>
    </row>
    <row r="1407" spans="1:31" s="1853" customFormat="1" ht="21.75" customHeight="1">
      <c r="A1407" s="2225" t="s">
        <v>2020</v>
      </c>
      <c r="B1407" s="2224" t="s">
        <v>6447</v>
      </c>
      <c r="C1407" s="2224"/>
      <c r="D1407" s="2224"/>
      <c r="E1407" s="2224"/>
      <c r="F1407" s="2224"/>
      <c r="G1407" s="2224"/>
      <c r="H1407" s="2224"/>
      <c r="I1407" s="2224"/>
      <c r="J1407" s="2224"/>
      <c r="K1407" s="2224"/>
      <c r="L1407" s="2224"/>
      <c r="M1407" s="2224"/>
      <c r="N1407" s="2224"/>
      <c r="O1407" s="2225" t="s">
        <v>2020</v>
      </c>
      <c r="P1407" s="2265">
        <f>'Part VIII-Threshold Criteria'!P167</f>
        <v>0</v>
      </c>
      <c r="Q1407" s="2253"/>
    </row>
    <row r="1408" spans="1:31" s="1853" customFormat="1" ht="12" customHeight="1">
      <c r="B1408" s="2171" t="s">
        <v>3372</v>
      </c>
      <c r="D1408" s="2171"/>
      <c r="E1408" s="2171"/>
      <c r="F1408" s="2171"/>
      <c r="G1408" s="2171"/>
      <c r="H1408" s="2122"/>
      <c r="I1408" s="2165"/>
      <c r="J1408" s="2165"/>
      <c r="K1408" s="2165"/>
      <c r="L1408" s="2118"/>
      <c r="M1408" s="2118"/>
      <c r="N1408" s="2118"/>
      <c r="O1408" s="2118"/>
      <c r="P1408" s="2118"/>
      <c r="Q1408" s="2118"/>
    </row>
    <row r="1409" spans="1:44" s="1853" customFormat="1" ht="11.45" customHeight="1">
      <c r="A1409" s="2227" t="str">
        <f>'Part VIII-Threshold Criteria'!A169</f>
        <v>The Housing Authority of the City of West Point (WPHA), a co-General Partner of the project’s ownership entity and a developer, has entered into a Purchase and Sale Agreement with an unrelated third-party to purchase the site at 1650 East 10th Street in West Point, Georgia. This Purchase and Sale Agreement has been amended twice, and both amendments are included in the core app with the original agreement. On this site, a multi-phase project known as “West Point Village” will be developed. This application is the second phase of this project and will include a 72-unit family development with 32 RAD Section 8 PBRA units on +/-5 acres of the parcel. 
For the Phase II portion of the site, WPHA and the ownership entity, West Point Village Phase II LLC, have executed an Option to Enter into a Long-Term Ground Lease. This ground lease Option and the Purchase and Sale Agreement meet the site control requirements of the 2021 QAP and are included in this Tab.
In order to show evidence that the applicant has site control through November 30, 2021, the West Point Housing Authority has a purchase agreement in place with the third-party seller and will close on the land by the June 2nd closing deadline for the benefit of the first phase. All acquisition due diligence has been completed, HUD has approved the acquisition, and the funds are available. Once closed, by virtue of the warranty deed obtained at closing, the West Point Housing Authority will have site control indefinitely and the applicant has an Option for Ground Lease in place with the housing authority which expires one year after award of tax credits, thereby establishing site control for the applicant past November 30, 2021.</v>
      </c>
      <c r="B1409" s="2227"/>
      <c r="C1409" s="2227"/>
      <c r="D1409" s="2227"/>
      <c r="E1409" s="2227"/>
      <c r="F1409" s="2227"/>
      <c r="G1409" s="2227"/>
      <c r="H1409" s="2227"/>
      <c r="I1409" s="2227"/>
      <c r="J1409" s="2227"/>
      <c r="K1409" s="2227"/>
      <c r="L1409" s="2227"/>
      <c r="M1409" s="2227"/>
      <c r="N1409" s="2227"/>
      <c r="O1409" s="2227"/>
      <c r="P1409" s="2227"/>
      <c r="Q1409" s="2227"/>
      <c r="U1409" s="1719"/>
      <c r="V1409" s="1719"/>
      <c r="W1409" s="1719"/>
      <c r="X1409" s="1719"/>
      <c r="Y1409" s="1719"/>
      <c r="Z1409" s="1719"/>
      <c r="AA1409" s="1719"/>
      <c r="AB1409" s="1719"/>
      <c r="AC1409" s="1719"/>
      <c r="AD1409" s="1719"/>
      <c r="AE1409" s="1719"/>
    </row>
    <row r="1410" spans="1:44" s="1853" customFormat="1" ht="12" customHeight="1">
      <c r="B1410" s="2228" t="s">
        <v>1779</v>
      </c>
      <c r="C1410" s="2228"/>
      <c r="D1410" s="2229"/>
      <c r="E1410" s="2229"/>
      <c r="F1410" s="2229"/>
      <c r="G1410" s="2229"/>
      <c r="H1410" s="2229"/>
      <c r="I1410" s="2229"/>
      <c r="J1410" s="2229"/>
      <c r="K1410" s="2229"/>
      <c r="L1410" s="2229"/>
      <c r="M1410" s="2229"/>
      <c r="N1410" s="2229"/>
      <c r="O1410" s="2229"/>
      <c r="P1410" s="2229"/>
      <c r="Q1410" s="2229"/>
    </row>
    <row r="1411" spans="1:44" s="1853" customFormat="1" ht="11.45" customHeight="1">
      <c r="A1411" s="2224"/>
      <c r="B1411" s="2224"/>
      <c r="C1411" s="2224"/>
      <c r="D1411" s="2224"/>
      <c r="E1411" s="2224"/>
      <c r="F1411" s="2224"/>
      <c r="G1411" s="2224"/>
      <c r="H1411" s="2224"/>
      <c r="I1411" s="2224"/>
      <c r="J1411" s="2224"/>
      <c r="K1411" s="2224"/>
      <c r="L1411" s="2224"/>
      <c r="M1411" s="2224"/>
      <c r="N1411" s="2224"/>
      <c r="O1411" s="2224"/>
      <c r="P1411" s="2224"/>
      <c r="Q1411" s="2224"/>
    </row>
    <row r="1412" spans="1:44" s="1853" customFormat="1" ht="3" customHeight="1">
      <c r="A1412" s="2118"/>
      <c r="B1412" s="2165"/>
      <c r="C1412" s="2229"/>
      <c r="D1412" s="2229"/>
      <c r="E1412" s="2229"/>
      <c r="F1412" s="2229"/>
      <c r="G1412" s="2229"/>
      <c r="H1412" s="2229"/>
      <c r="I1412" s="2229"/>
      <c r="J1412" s="2229"/>
      <c r="K1412" s="2229"/>
      <c r="L1412" s="2229"/>
      <c r="M1412" s="2229"/>
      <c r="Q1412" s="2118"/>
    </row>
    <row r="1413" spans="1:44" s="1853" customFormat="1" ht="14.1" customHeight="1">
      <c r="A1413" s="2106" t="s">
        <v>407</v>
      </c>
      <c r="B1413" s="2106" t="s">
        <v>2514</v>
      </c>
      <c r="C1413" s="2106"/>
      <c r="D1413" s="2229"/>
      <c r="E1413" s="2229"/>
      <c r="F1413" s="2229"/>
      <c r="G1413" s="2229"/>
      <c r="H1413" s="2229"/>
      <c r="I1413" s="2229"/>
      <c r="J1413" s="2229"/>
      <c r="K1413" s="2229"/>
      <c r="L1413" s="2229"/>
      <c r="M1413" s="2229"/>
      <c r="O1413" s="2225" t="s">
        <v>1780</v>
      </c>
      <c r="P1413" s="1719"/>
      <c r="Q1413" s="1719"/>
    </row>
    <row r="1414" spans="1:44" s="1853" customFormat="1" ht="21.75" customHeight="1">
      <c r="A1414" s="2225" t="s">
        <v>1892</v>
      </c>
      <c r="B1414" s="2224" t="s">
        <v>3366</v>
      </c>
      <c r="C1414" s="2224"/>
      <c r="D1414" s="2224"/>
      <c r="E1414" s="2224"/>
      <c r="F1414" s="2224"/>
      <c r="G1414" s="2224"/>
      <c r="H1414" s="2224"/>
      <c r="I1414" s="2224"/>
      <c r="J1414" s="2224"/>
      <c r="K1414" s="2224"/>
      <c r="L1414" s="2224"/>
      <c r="M1414" s="2224"/>
      <c r="N1414" s="2224"/>
      <c r="O1414" s="2225" t="s">
        <v>1892</v>
      </c>
      <c r="P1414" s="2265" t="str">
        <f>'Part VIII-Threshold Criteria'!P174</f>
        <v>Yes</v>
      </c>
      <c r="Q1414" s="2253"/>
    </row>
    <row r="1415" spans="1:44" s="1853" customFormat="1" ht="22.35" customHeight="1">
      <c r="A1415" s="2225" t="s">
        <v>1894</v>
      </c>
      <c r="B1415" s="2224" t="s">
        <v>3958</v>
      </c>
      <c r="C1415" s="2224"/>
      <c r="D1415" s="2224"/>
      <c r="E1415" s="2224"/>
      <c r="F1415" s="2224"/>
      <c r="G1415" s="2224"/>
      <c r="H1415" s="2224"/>
      <c r="I1415" s="2224"/>
      <c r="J1415" s="2224"/>
      <c r="K1415" s="2224"/>
      <c r="L1415" s="2224"/>
      <c r="M1415" s="2224"/>
      <c r="N1415" s="2224"/>
      <c r="O1415" s="2225" t="s">
        <v>1894</v>
      </c>
      <c r="P1415" s="2265" t="str">
        <f>'Part VIII-Threshold Criteria'!P175</f>
        <v>N/Ap</v>
      </c>
      <c r="Q1415" s="2253"/>
    </row>
    <row r="1416" spans="1:44" s="1853" customFormat="1" ht="22.35" customHeight="1">
      <c r="A1416" s="2225" t="s">
        <v>719</v>
      </c>
      <c r="B1416" s="2224" t="s">
        <v>3367</v>
      </c>
      <c r="C1416" s="2224"/>
      <c r="D1416" s="2224"/>
      <c r="E1416" s="2224"/>
      <c r="F1416" s="2224"/>
      <c r="G1416" s="2224"/>
      <c r="H1416" s="2224"/>
      <c r="I1416" s="2224"/>
      <c r="J1416" s="2224"/>
      <c r="K1416" s="2224"/>
      <c r="L1416" s="2224"/>
      <c r="M1416" s="2224"/>
      <c r="N1416" s="2224"/>
      <c r="O1416" s="2225" t="s">
        <v>719</v>
      </c>
      <c r="P1416" s="2265" t="str">
        <f>'Part VIII-Threshold Criteria'!P176</f>
        <v>Yes</v>
      </c>
      <c r="Q1416" s="2253"/>
    </row>
    <row r="1417" spans="1:44" s="1853" customFormat="1" ht="21.75" customHeight="1">
      <c r="A1417" s="2225" t="s">
        <v>2020</v>
      </c>
      <c r="B1417" s="2224" t="s">
        <v>4006</v>
      </c>
      <c r="C1417" s="2224"/>
      <c r="D1417" s="2224"/>
      <c r="E1417" s="2224"/>
      <c r="F1417" s="2224"/>
      <c r="G1417" s="2224"/>
      <c r="H1417" s="2224"/>
      <c r="I1417" s="2224"/>
      <c r="J1417" s="2224"/>
      <c r="K1417" s="2224"/>
      <c r="L1417" s="2224"/>
      <c r="M1417" s="2224"/>
      <c r="N1417" s="2224"/>
      <c r="O1417" s="2225" t="s">
        <v>2020</v>
      </c>
      <c r="P1417" s="2265" t="str">
        <f>'Part VIII-Threshold Criteria'!P177</f>
        <v>Yes</v>
      </c>
      <c r="Q1417" s="2253"/>
    </row>
    <row r="1418" spans="1:44" s="1853" customFormat="1" ht="12" customHeight="1">
      <c r="B1418" s="2171" t="s">
        <v>3372</v>
      </c>
      <c r="D1418" s="2171"/>
      <c r="E1418" s="2171"/>
      <c r="F1418" s="2171"/>
      <c r="G1418" s="2171"/>
      <c r="H1418" s="2122"/>
      <c r="I1418" s="2165"/>
      <c r="J1418" s="2165"/>
      <c r="K1418" s="2165"/>
      <c r="L1418" s="2118"/>
      <c r="M1418" s="2118"/>
      <c r="N1418" s="2118"/>
      <c r="O1418" s="2118"/>
      <c r="P1418" s="2118"/>
      <c r="Q1418" s="2118"/>
    </row>
    <row r="1419" spans="1:44" s="1853" customFormat="1" ht="11.45" customHeight="1">
      <c r="A1419" s="2227" t="str">
        <f>'Part VIII-Threshold Criteria'!A179</f>
        <v>Access to the site will be via access easements through adjoining properties, one of which is the first phase of this development, which has the same same controlling entities of the General Partner as Phase I. Copies of these easements are included in the application.</v>
      </c>
      <c r="B1419" s="2227"/>
      <c r="C1419" s="2227"/>
      <c r="D1419" s="2227"/>
      <c r="E1419" s="2227"/>
      <c r="F1419" s="2227"/>
      <c r="G1419" s="2227"/>
      <c r="H1419" s="2227"/>
      <c r="I1419" s="2227"/>
      <c r="J1419" s="2227"/>
      <c r="K1419" s="2227"/>
      <c r="L1419" s="2227"/>
      <c r="M1419" s="2227"/>
      <c r="N1419" s="2227"/>
      <c r="O1419" s="2227"/>
      <c r="P1419" s="2227"/>
      <c r="Q1419" s="2227"/>
      <c r="U1419" s="1719"/>
      <c r="V1419" s="1719"/>
      <c r="W1419" s="1719"/>
      <c r="X1419" s="1719"/>
      <c r="Y1419" s="1719"/>
      <c r="Z1419" s="1719"/>
      <c r="AA1419" s="1719"/>
      <c r="AB1419" s="1719"/>
      <c r="AC1419" s="1719"/>
      <c r="AD1419" s="1719"/>
      <c r="AE1419" s="1719"/>
    </row>
    <row r="1420" spans="1:44" s="1853" customFormat="1" ht="12" customHeight="1">
      <c r="B1420" s="2228" t="s">
        <v>1779</v>
      </c>
      <c r="C1420" s="2228"/>
      <c r="D1420" s="2229"/>
      <c r="E1420" s="2229"/>
      <c r="F1420" s="2229"/>
      <c r="G1420" s="2229"/>
      <c r="H1420" s="2229"/>
      <c r="I1420" s="2229"/>
      <c r="J1420" s="2229"/>
      <c r="K1420" s="2229"/>
      <c r="L1420" s="2229"/>
      <c r="M1420" s="2229"/>
      <c r="N1420" s="2229"/>
      <c r="O1420" s="2229"/>
      <c r="P1420" s="2229"/>
      <c r="Q1420" s="2229"/>
    </row>
    <row r="1421" spans="1:44" s="1853" customFormat="1" ht="11.45" customHeight="1">
      <c r="A1421" s="2224"/>
      <c r="B1421" s="2224"/>
      <c r="C1421" s="2224"/>
      <c r="D1421" s="2224"/>
      <c r="E1421" s="2224"/>
      <c r="F1421" s="2224"/>
      <c r="G1421" s="2224"/>
      <c r="H1421" s="2224"/>
      <c r="I1421" s="2224"/>
      <c r="J1421" s="2224"/>
      <c r="K1421" s="2224"/>
      <c r="L1421" s="2224"/>
      <c r="M1421" s="2224"/>
      <c r="N1421" s="2224"/>
      <c r="O1421" s="2224"/>
      <c r="P1421" s="2224"/>
      <c r="Q1421" s="2224"/>
    </row>
    <row r="1422" spans="1:44" s="1853" customFormat="1" ht="3" customHeight="1">
      <c r="B1422" s="2165"/>
      <c r="C1422" s="2229"/>
      <c r="D1422" s="2229"/>
      <c r="E1422" s="2229"/>
      <c r="F1422" s="2229"/>
      <c r="G1422" s="2229"/>
      <c r="H1422" s="2229"/>
      <c r="I1422" s="2229"/>
      <c r="J1422" s="2229"/>
      <c r="K1422" s="2229"/>
      <c r="L1422" s="2229"/>
      <c r="M1422" s="2229"/>
      <c r="N1422" s="2229"/>
      <c r="O1422" s="2229"/>
      <c r="P1422" s="2229"/>
      <c r="Q1422" s="2118"/>
    </row>
    <row r="1423" spans="1:44" s="1853" customFormat="1" ht="14.1" customHeight="1">
      <c r="A1423" s="2124" t="s">
        <v>346</v>
      </c>
      <c r="B1423" s="1818" t="s">
        <v>2515</v>
      </c>
      <c r="C1423" s="1818"/>
      <c r="D1423" s="1818"/>
      <c r="F1423" s="1968" t="s">
        <v>6377</v>
      </c>
      <c r="O1423" s="2225" t="s">
        <v>1780</v>
      </c>
      <c r="P1423" s="1719"/>
      <c r="Q1423" s="1719"/>
    </row>
    <row r="1424" spans="1:44" s="1853" customFormat="1" ht="11.45" customHeight="1">
      <c r="B1424" s="2113" t="s">
        <v>6448</v>
      </c>
      <c r="N1424" s="2052"/>
      <c r="P1424" s="2231" t="str">
        <f>'Part VIII-Threshold Criteria'!P184</f>
        <v>No</v>
      </c>
      <c r="Q1424" s="2165"/>
      <c r="S1424" s="2270"/>
      <c r="T1424" s="2270"/>
      <c r="U1424" s="2270"/>
      <c r="V1424" s="2270"/>
      <c r="W1424" s="2270"/>
      <c r="X1424" s="2270"/>
      <c r="Y1424" s="2270"/>
      <c r="Z1424" s="2270"/>
      <c r="AA1424" s="2270"/>
      <c r="AB1424" s="2270"/>
      <c r="AC1424" s="2270"/>
      <c r="AD1424" s="2270"/>
      <c r="AE1424" s="2270"/>
      <c r="AF1424" s="2270"/>
      <c r="AG1424" s="2270"/>
      <c r="AH1424" s="2270"/>
      <c r="AI1424" s="2270"/>
      <c r="AJ1424" s="2270"/>
      <c r="AK1424" s="2270"/>
      <c r="AL1424" s="2270"/>
      <c r="AM1424" s="2270"/>
      <c r="AN1424" s="2270"/>
      <c r="AO1424" s="2270"/>
      <c r="AP1424" s="2270"/>
      <c r="AQ1424" s="2270"/>
      <c r="AR1424" s="2270"/>
    </row>
    <row r="1425" spans="1:31" s="1853" customFormat="1" ht="12" customHeight="1">
      <c r="A1425" s="2225" t="s">
        <v>1892</v>
      </c>
      <c r="B1425" s="2229" t="s">
        <v>448</v>
      </c>
      <c r="D1425" s="2229"/>
      <c r="E1425" s="2229"/>
      <c r="F1425" s="2229"/>
      <c r="G1425" s="2229"/>
      <c r="H1425" s="2229"/>
      <c r="I1425" s="2229"/>
      <c r="J1425" s="2229"/>
      <c r="K1425" s="2229"/>
      <c r="L1425" s="2229"/>
      <c r="M1425" s="2229"/>
      <c r="O1425" s="2225" t="s">
        <v>1892</v>
      </c>
      <c r="P1425" s="2231" t="str">
        <f>'Part VIII-Threshold Criteria'!P185</f>
        <v>Yes</v>
      </c>
      <c r="Q1425" s="2165"/>
    </row>
    <row r="1426" spans="1:31" s="1853" customFormat="1" ht="12" customHeight="1">
      <c r="A1426" s="2225" t="s">
        <v>1894</v>
      </c>
      <c r="B1426" s="2229" t="s">
        <v>6333</v>
      </c>
      <c r="D1426" s="2229"/>
      <c r="E1426" s="2229"/>
      <c r="F1426" s="2229"/>
      <c r="G1426" s="2229"/>
      <c r="H1426" s="2229"/>
      <c r="I1426" s="2229"/>
      <c r="J1426" s="2229"/>
      <c r="K1426" s="2229"/>
      <c r="L1426" s="2229"/>
      <c r="M1426" s="2229"/>
      <c r="O1426" s="2225" t="s">
        <v>1894</v>
      </c>
      <c r="P1426" s="2231" t="str">
        <f>'Part VIII-Threshold Criteria'!P186</f>
        <v>Yes</v>
      </c>
      <c r="Q1426" s="2165"/>
    </row>
    <row r="1427" spans="1:31" s="1853" customFormat="1" ht="12" customHeight="1">
      <c r="A1427" s="2225" t="s">
        <v>719</v>
      </c>
      <c r="B1427" s="2229" t="s">
        <v>2503</v>
      </c>
      <c r="D1427" s="2229"/>
      <c r="E1427" s="2229"/>
      <c r="F1427" s="2229"/>
      <c r="G1427" s="2229"/>
      <c r="H1427" s="2229"/>
      <c r="I1427" s="2229"/>
      <c r="J1427" s="2224" t="s">
        <v>4008</v>
      </c>
      <c r="L1427" s="2229"/>
      <c r="M1427" s="2229"/>
      <c r="O1427" s="2225" t="s">
        <v>719</v>
      </c>
      <c r="P1427" s="2231" t="str">
        <f>'Part VIII-Threshold Criteria'!P187</f>
        <v>Yes</v>
      </c>
      <c r="Q1427" s="2165"/>
    </row>
    <row r="1428" spans="1:31" s="1853" customFormat="1" ht="12" customHeight="1">
      <c r="B1428" s="2122" t="s">
        <v>1658</v>
      </c>
      <c r="C1428" s="2122" t="s">
        <v>2504</v>
      </c>
      <c r="G1428" s="2229"/>
      <c r="H1428" s="2229"/>
      <c r="J1428" s="2229"/>
      <c r="K1428" s="2229"/>
      <c r="L1428" s="2229"/>
      <c r="M1428" s="2229"/>
      <c r="O1428" s="2271" t="s">
        <v>1658</v>
      </c>
      <c r="P1428" s="2231" t="str">
        <f>'Part VIII-Threshold Criteria'!P188</f>
        <v>Yes</v>
      </c>
      <c r="Q1428" s="2165"/>
    </row>
    <row r="1429" spans="1:31" s="1853" customFormat="1" ht="12" customHeight="1">
      <c r="A1429" s="2224"/>
      <c r="B1429" s="2122" t="s">
        <v>1659</v>
      </c>
      <c r="C1429" s="2122" t="s">
        <v>7157</v>
      </c>
      <c r="G1429" s="2229"/>
      <c r="H1429" s="2229"/>
      <c r="I1429" s="2229"/>
      <c r="J1429" s="2229"/>
      <c r="K1429" s="2229"/>
      <c r="L1429" s="2229"/>
      <c r="M1429" s="2229"/>
      <c r="O1429" s="2271" t="s">
        <v>1659</v>
      </c>
      <c r="P1429" s="2231" t="str">
        <f>'Part VIII-Threshold Criteria'!P189</f>
        <v>Yes</v>
      </c>
      <c r="Q1429" s="2165"/>
    </row>
    <row r="1430" spans="1:31" s="2159" customFormat="1" ht="21.75" customHeight="1">
      <c r="A1430" s="2225"/>
      <c r="B1430" s="2229" t="s">
        <v>1660</v>
      </c>
      <c r="C1430" s="2224" t="s">
        <v>3368</v>
      </c>
      <c r="D1430" s="2224"/>
      <c r="E1430" s="2224"/>
      <c r="F1430" s="2224"/>
      <c r="G1430" s="2224"/>
      <c r="H1430" s="2224"/>
      <c r="I1430" s="2224"/>
      <c r="J1430" s="2224"/>
      <c r="K1430" s="2224"/>
      <c r="L1430" s="2224"/>
      <c r="M1430" s="2224"/>
      <c r="N1430" s="2224"/>
      <c r="O1430" s="2225" t="s">
        <v>1660</v>
      </c>
      <c r="P1430" s="2231" t="str">
        <f>'Part VIII-Threshold Criteria'!P190</f>
        <v>Yes</v>
      </c>
      <c r="Q1430" s="2253"/>
    </row>
    <row r="1431" spans="1:31" s="1853" customFormat="1" ht="12" customHeight="1">
      <c r="A1431" s="2225"/>
      <c r="B1431" s="2122" t="s">
        <v>2259</v>
      </c>
      <c r="C1431" s="2122" t="s">
        <v>2506</v>
      </c>
      <c r="G1431" s="2229"/>
      <c r="H1431" s="2229"/>
      <c r="I1431" s="2229"/>
      <c r="J1431" s="2229"/>
      <c r="K1431" s="2229"/>
      <c r="L1431" s="2229"/>
      <c r="M1431" s="2229"/>
      <c r="O1431" s="2271" t="s">
        <v>2259</v>
      </c>
      <c r="P1431" s="2231" t="str">
        <f>'Part VIII-Threshold Criteria'!P191</f>
        <v>Yes</v>
      </c>
      <c r="Q1431" s="2165"/>
    </row>
    <row r="1432" spans="1:31" s="2159" customFormat="1" ht="21.75" customHeight="1">
      <c r="A1432" s="2225"/>
      <c r="B1432" s="2229" t="s">
        <v>1487</v>
      </c>
      <c r="C1432" s="2224" t="s">
        <v>2507</v>
      </c>
      <c r="D1432" s="2224"/>
      <c r="E1432" s="2224"/>
      <c r="F1432" s="2224"/>
      <c r="G1432" s="2224"/>
      <c r="H1432" s="2224"/>
      <c r="I1432" s="2224"/>
      <c r="J1432" s="2224"/>
      <c r="K1432" s="2224"/>
      <c r="L1432" s="2224"/>
      <c r="M1432" s="2224"/>
      <c r="N1432" s="2224"/>
      <c r="O1432" s="2225" t="s">
        <v>1487</v>
      </c>
      <c r="P1432" s="2231" t="str">
        <f>'Part VIII-Threshold Criteria'!P192</f>
        <v>Yes</v>
      </c>
      <c r="Q1432" s="2253"/>
    </row>
    <row r="1433" spans="1:31" s="2159" customFormat="1" ht="21.75" customHeight="1">
      <c r="A1433" s="2225"/>
      <c r="B1433" s="2229" t="s">
        <v>1488</v>
      </c>
      <c r="C1433" s="2224" t="s">
        <v>3444</v>
      </c>
      <c r="D1433" s="2224"/>
      <c r="E1433" s="2224"/>
      <c r="F1433" s="2224"/>
      <c r="G1433" s="2224"/>
      <c r="H1433" s="2224"/>
      <c r="I1433" s="2224"/>
      <c r="J1433" s="2224"/>
      <c r="K1433" s="2224"/>
      <c r="L1433" s="2224"/>
      <c r="M1433" s="2224"/>
      <c r="N1433" s="2224"/>
      <c r="O1433" s="2225" t="s">
        <v>1488</v>
      </c>
      <c r="P1433" s="2231" t="str">
        <f>'Part VIII-Threshold Criteria'!P193</f>
        <v>N/Ap</v>
      </c>
      <c r="Q1433" s="2253"/>
    </row>
    <row r="1434" spans="1:31" s="1853" customFormat="1" ht="21.75" customHeight="1">
      <c r="A1434" s="2225" t="s">
        <v>2020</v>
      </c>
      <c r="B1434" s="2224" t="s">
        <v>2508</v>
      </c>
      <c r="C1434" s="2224"/>
      <c r="D1434" s="2224"/>
      <c r="E1434" s="2224"/>
      <c r="F1434" s="2224"/>
      <c r="G1434" s="2224"/>
      <c r="H1434" s="2224"/>
      <c r="I1434" s="2224"/>
      <c r="J1434" s="2224"/>
      <c r="K1434" s="2224"/>
      <c r="L1434" s="2224"/>
      <c r="M1434" s="2224"/>
      <c r="N1434" s="2224"/>
      <c r="O1434" s="2225" t="s">
        <v>2020</v>
      </c>
      <c r="P1434" s="2231" t="str">
        <f>'Part VIII-Threshold Criteria'!P194</f>
        <v>Yes</v>
      </c>
      <c r="Q1434" s="2253"/>
    </row>
    <row r="1435" spans="1:31" s="1853" customFormat="1" ht="12" customHeight="1">
      <c r="A1435" s="2225" t="s">
        <v>1656</v>
      </c>
      <c r="B1435" s="2229" t="s">
        <v>2272</v>
      </c>
      <c r="D1435" s="2229"/>
      <c r="E1435" s="2229"/>
      <c r="F1435" s="2229"/>
      <c r="G1435" s="2229"/>
      <c r="H1435" s="2229"/>
      <c r="I1435" s="2229"/>
      <c r="J1435" s="2229"/>
      <c r="K1435" s="2229"/>
      <c r="L1435" s="2229"/>
      <c r="M1435" s="2229"/>
      <c r="O1435" s="2225" t="s">
        <v>1656</v>
      </c>
      <c r="P1435" s="2231" t="str">
        <f>'Part VIII-Threshold Criteria'!P195</f>
        <v>Yes</v>
      </c>
      <c r="Q1435" s="2165"/>
    </row>
    <row r="1436" spans="1:31" s="1853" customFormat="1" ht="12" customHeight="1">
      <c r="B1436" s="2171" t="s">
        <v>3372</v>
      </c>
      <c r="D1436" s="2171"/>
      <c r="E1436" s="2171"/>
      <c r="F1436" s="2171"/>
      <c r="G1436" s="2171"/>
      <c r="H1436" s="2122"/>
      <c r="I1436" s="2165"/>
      <c r="J1436" s="2165"/>
      <c r="K1436" s="2165"/>
      <c r="L1436" s="2118"/>
      <c r="M1436" s="2118"/>
      <c r="N1436" s="2118"/>
      <c r="O1436" s="2118"/>
      <c r="P1436" s="2118"/>
      <c r="Q1436" s="2118"/>
    </row>
    <row r="1437" spans="1:31" s="1853" customFormat="1" ht="11.45" customHeight="1">
      <c r="A1437" s="2227" t="str">
        <f>'Part VIII-Threshold Criteria'!A197</f>
        <v>The zoning classification of the site is MXD-1(Mixed Use). The zoning confirmation letter included in Tab 10 states that the zoning of this  project meets the requirements of the City of West Point Zoning Ordinance and will not involve the development of unique or prime farmland.</v>
      </c>
      <c r="B1437" s="2227"/>
      <c r="C1437" s="2227"/>
      <c r="D1437" s="2227"/>
      <c r="E1437" s="2227"/>
      <c r="F1437" s="2227"/>
      <c r="G1437" s="2227"/>
      <c r="H1437" s="2227"/>
      <c r="I1437" s="2227"/>
      <c r="J1437" s="2227"/>
      <c r="K1437" s="2227"/>
      <c r="L1437" s="2227"/>
      <c r="M1437" s="2227"/>
      <c r="N1437" s="2227"/>
      <c r="O1437" s="2227"/>
      <c r="P1437" s="2227"/>
      <c r="Q1437" s="2227"/>
      <c r="U1437" s="1719"/>
      <c r="V1437" s="1719"/>
      <c r="W1437" s="1719"/>
      <c r="X1437" s="1719"/>
      <c r="Y1437" s="1719"/>
      <c r="Z1437" s="1719"/>
      <c r="AA1437" s="1719"/>
      <c r="AB1437" s="1719"/>
      <c r="AC1437" s="1719"/>
      <c r="AD1437" s="1719"/>
      <c r="AE1437" s="1719"/>
    </row>
    <row r="1438" spans="1:31" s="1853" customFormat="1" ht="12" customHeight="1">
      <c r="B1438" s="2228" t="s">
        <v>1779</v>
      </c>
      <c r="C1438" s="2228"/>
      <c r="D1438" s="2229"/>
      <c r="E1438" s="2229"/>
      <c r="F1438" s="2229"/>
      <c r="G1438" s="2229"/>
      <c r="H1438" s="2229"/>
      <c r="I1438" s="2229"/>
      <c r="J1438" s="2229"/>
      <c r="K1438" s="2229"/>
      <c r="L1438" s="2229"/>
      <c r="M1438" s="2229"/>
      <c r="N1438" s="2229"/>
      <c r="O1438" s="2229"/>
      <c r="P1438" s="2229"/>
      <c r="Q1438" s="2229"/>
    </row>
    <row r="1439" spans="1:31" s="1853" customFormat="1" ht="11.45" customHeight="1">
      <c r="A1439" s="2224"/>
      <c r="B1439" s="2224"/>
      <c r="C1439" s="2224"/>
      <c r="D1439" s="2224"/>
      <c r="E1439" s="2224"/>
      <c r="F1439" s="2224"/>
      <c r="G1439" s="2224"/>
      <c r="H1439" s="2224"/>
      <c r="I1439" s="2224"/>
      <c r="J1439" s="2224"/>
      <c r="K1439" s="2224"/>
      <c r="L1439" s="2224"/>
      <c r="M1439" s="2224"/>
      <c r="N1439" s="2224"/>
      <c r="O1439" s="2224"/>
      <c r="P1439" s="2224"/>
      <c r="Q1439" s="2224"/>
    </row>
    <row r="1440" spans="1:31" s="1853" customFormat="1" ht="3" customHeight="1">
      <c r="A1440" s="2118"/>
      <c r="B1440" s="2165"/>
      <c r="C1440" s="2229"/>
      <c r="D1440" s="2229"/>
      <c r="E1440" s="2229"/>
      <c r="F1440" s="2229"/>
      <c r="G1440" s="2229"/>
      <c r="H1440" s="2229"/>
      <c r="I1440" s="2229"/>
      <c r="J1440" s="2229"/>
      <c r="K1440" s="2229"/>
      <c r="L1440" s="2229"/>
      <c r="M1440" s="2229"/>
      <c r="N1440" s="2229"/>
      <c r="O1440" s="2229"/>
      <c r="P1440" s="2229"/>
      <c r="Q1440" s="2118"/>
    </row>
    <row r="1441" spans="1:44" s="1853" customFormat="1" ht="14.1" customHeight="1">
      <c r="A1441" s="2106" t="s">
        <v>347</v>
      </c>
      <c r="B1441" s="2106" t="s">
        <v>2516</v>
      </c>
      <c r="C1441" s="2106"/>
      <c r="D1441" s="2229"/>
      <c r="E1441" s="2223"/>
      <c r="F1441" s="1968" t="s">
        <v>6377</v>
      </c>
      <c r="G1441" s="2229"/>
      <c r="J1441" s="2224"/>
      <c r="K1441" s="2224"/>
      <c r="L1441" s="2224"/>
      <c r="M1441" s="2224"/>
      <c r="N1441" s="2224"/>
      <c r="O1441" s="2225" t="s">
        <v>1780</v>
      </c>
      <c r="P1441" s="1719"/>
      <c r="Q1441" s="1719"/>
    </row>
    <row r="1442" spans="1:44" s="1853" customFormat="1" ht="12.75" customHeight="1">
      <c r="B1442" s="2113" t="s">
        <v>6448</v>
      </c>
      <c r="N1442" s="2052"/>
      <c r="P1442" s="2231" t="str">
        <f>'Part VIII-Threshold Criteria'!P202</f>
        <v>No</v>
      </c>
      <c r="Q1442" s="2165"/>
      <c r="S1442" s="2270"/>
      <c r="T1442" s="2270"/>
      <c r="U1442" s="2270"/>
      <c r="V1442" s="2270"/>
      <c r="W1442" s="2270"/>
      <c r="X1442" s="2270"/>
      <c r="Y1442" s="2270"/>
      <c r="Z1442" s="2270"/>
      <c r="AA1442" s="2270"/>
      <c r="AB1442" s="2270"/>
      <c r="AC1442" s="2270"/>
      <c r="AD1442" s="2270"/>
      <c r="AE1442" s="2270"/>
      <c r="AF1442" s="2270"/>
      <c r="AG1442" s="2270"/>
      <c r="AH1442" s="2270"/>
      <c r="AI1442" s="2270"/>
      <c r="AJ1442" s="2270"/>
      <c r="AK1442" s="2270"/>
      <c r="AL1442" s="2270"/>
      <c r="AM1442" s="2270"/>
      <c r="AN1442" s="2270"/>
      <c r="AO1442" s="2270"/>
      <c r="AP1442" s="2270"/>
      <c r="AQ1442" s="2270"/>
      <c r="AR1442" s="2270"/>
    </row>
    <row r="1443" spans="1:44" s="1853" customFormat="1" ht="33.75" customHeight="1">
      <c r="B1443" s="435" t="s">
        <v>6334</v>
      </c>
      <c r="C1443" s="435"/>
      <c r="D1443" s="435"/>
      <c r="E1443" s="435"/>
      <c r="F1443" s="435"/>
      <c r="G1443" s="435"/>
      <c r="H1443" s="435"/>
      <c r="I1443" s="435"/>
      <c r="J1443" s="435"/>
      <c r="K1443" s="435"/>
      <c r="L1443" s="435"/>
      <c r="M1443" s="435"/>
      <c r="N1443" s="435"/>
      <c r="O1443" s="435"/>
      <c r="P1443" s="435"/>
      <c r="Q1443" s="435"/>
    </row>
    <row r="1444" spans="1:44" s="1853" customFormat="1" ht="12.75" customHeight="1">
      <c r="A1444" s="2142"/>
      <c r="B1444" s="2224" t="s">
        <v>91</v>
      </c>
      <c r="D1444" s="2224"/>
      <c r="E1444" s="2224"/>
      <c r="F1444" s="2224"/>
      <c r="G1444" s="2224"/>
      <c r="H1444" s="2256" t="s">
        <v>1658</v>
      </c>
      <c r="I1444" s="435" t="s">
        <v>144</v>
      </c>
      <c r="J1444" s="2112" t="str">
        <f>'Part VIII-Threshold Criteria'!J204</f>
        <v>None</v>
      </c>
      <c r="K1444" s="2112"/>
      <c r="L1444" s="2112"/>
      <c r="M1444" s="2112"/>
      <c r="N1444" s="2112"/>
      <c r="O1444" s="2256" t="s">
        <v>1658</v>
      </c>
      <c r="P1444" s="2231" t="str">
        <f>'Part VIII-Threshold Criteria'!P204</f>
        <v>No</v>
      </c>
      <c r="Q1444" s="2165"/>
    </row>
    <row r="1445" spans="1:44" s="1853" customFormat="1" ht="12.75" customHeight="1">
      <c r="A1445" s="2142"/>
      <c r="B1445" s="2171" t="s">
        <v>3372</v>
      </c>
      <c r="C1445" s="2159"/>
      <c r="D1445" s="2159"/>
      <c r="E1445" s="2159"/>
      <c r="F1445" s="2159"/>
      <c r="H1445" s="2256" t="s">
        <v>1659</v>
      </c>
      <c r="I1445" s="435" t="s">
        <v>1530</v>
      </c>
      <c r="J1445" s="2112" t="str">
        <f>'Part VIII-Threshold Criteria'!J205</f>
        <v>City of West Point</v>
      </c>
      <c r="K1445" s="2112"/>
      <c r="L1445" s="2112"/>
      <c r="M1445" s="2112"/>
      <c r="N1445" s="2112"/>
      <c r="O1445" s="2256" t="s">
        <v>1659</v>
      </c>
      <c r="P1445" s="2231" t="str">
        <f>'Part VIII-Threshold Criteria'!P205</f>
        <v>Yes</v>
      </c>
      <c r="Q1445" s="2165"/>
    </row>
    <row r="1446" spans="1:44" s="1853" customFormat="1" ht="12.75" customHeight="1">
      <c r="A1446" s="2227" t="str">
        <f>'Part VIII-Threshold Criteria'!A206</f>
        <v>Gas will not be utilized on the subject development as the property will be all electric. A letter from the City of West Point, Georgia (signed, on letterhead, including title and signatory, and required project information) is included in the application to verify electricity service and capacity. See Tab 11.</v>
      </c>
      <c r="B1446" s="2227"/>
      <c r="C1446" s="2227"/>
      <c r="D1446" s="2227"/>
      <c r="E1446" s="2227"/>
      <c r="F1446" s="2227"/>
      <c r="G1446" s="2227"/>
      <c r="H1446" s="2227"/>
      <c r="I1446" s="2227"/>
      <c r="J1446" s="2227"/>
      <c r="K1446" s="2227"/>
      <c r="L1446" s="2227"/>
      <c r="M1446" s="2227"/>
      <c r="N1446" s="2227"/>
      <c r="O1446" s="2227"/>
      <c r="P1446" s="2227"/>
      <c r="Q1446" s="2227"/>
      <c r="U1446" s="1719"/>
      <c r="V1446" s="1719"/>
      <c r="W1446" s="1719"/>
      <c r="X1446" s="1719"/>
      <c r="Y1446" s="1719"/>
      <c r="Z1446" s="1719"/>
      <c r="AA1446" s="1719"/>
      <c r="AB1446" s="1719"/>
      <c r="AC1446" s="1719"/>
      <c r="AD1446" s="1719"/>
      <c r="AE1446" s="1719"/>
    </row>
    <row r="1447" spans="1:44" s="1853" customFormat="1" ht="12.75" customHeight="1">
      <c r="B1447" s="2228" t="s">
        <v>1779</v>
      </c>
      <c r="C1447" s="2228"/>
      <c r="D1447" s="2229"/>
      <c r="E1447" s="2229"/>
      <c r="F1447" s="2229"/>
      <c r="G1447" s="2229"/>
      <c r="H1447" s="2229"/>
      <c r="I1447" s="2229"/>
      <c r="J1447" s="2229"/>
      <c r="K1447" s="2229"/>
      <c r="L1447" s="2229"/>
      <c r="M1447" s="2229"/>
      <c r="N1447" s="2229"/>
      <c r="O1447" s="2229"/>
      <c r="P1447" s="2229"/>
      <c r="Q1447" s="2229"/>
    </row>
    <row r="1448" spans="1:44" s="1853" customFormat="1" ht="12.75" customHeight="1">
      <c r="A1448" s="2224"/>
      <c r="B1448" s="2224"/>
      <c r="C1448" s="2224"/>
      <c r="D1448" s="2224"/>
      <c r="E1448" s="2224"/>
      <c r="F1448" s="2224"/>
      <c r="G1448" s="2224"/>
      <c r="H1448" s="2224"/>
      <c r="I1448" s="2224"/>
      <c r="J1448" s="2224"/>
      <c r="K1448" s="2224"/>
      <c r="L1448" s="2224"/>
      <c r="M1448" s="2224"/>
      <c r="N1448" s="2224"/>
      <c r="O1448" s="2224"/>
      <c r="P1448" s="2224"/>
      <c r="Q1448" s="2224"/>
    </row>
    <row r="1449" spans="1:44" s="1853" customFormat="1" ht="4.3499999999999996" customHeight="1">
      <c r="B1449" s="2165"/>
      <c r="C1449" s="2229"/>
      <c r="D1449" s="2229"/>
      <c r="E1449" s="2229"/>
      <c r="F1449" s="2229"/>
      <c r="G1449" s="2229"/>
      <c r="H1449" s="2229"/>
      <c r="I1449" s="2229"/>
      <c r="J1449" s="2229"/>
      <c r="K1449" s="2229"/>
      <c r="L1449" s="2229"/>
      <c r="M1449" s="2229"/>
      <c r="Q1449" s="2118"/>
    </row>
    <row r="1450" spans="1:44" s="1853" customFormat="1" ht="14.1" customHeight="1">
      <c r="A1450" s="2106" t="s">
        <v>348</v>
      </c>
      <c r="B1450" s="1818" t="s">
        <v>2517</v>
      </c>
      <c r="C1450" s="1818"/>
      <c r="D1450" s="435"/>
      <c r="E1450" s="435"/>
      <c r="F1450" s="435"/>
      <c r="G1450" s="2229"/>
      <c r="H1450" s="2229"/>
      <c r="I1450" s="2272" t="s">
        <v>6378</v>
      </c>
      <c r="J1450" s="2229"/>
      <c r="K1450" s="2229"/>
      <c r="L1450" s="2229"/>
      <c r="M1450" s="2229"/>
      <c r="O1450" s="2225" t="s">
        <v>1780</v>
      </c>
      <c r="P1450" s="1719"/>
      <c r="Q1450" s="1719"/>
    </row>
    <row r="1451" spans="1:44" s="1853" customFormat="1" ht="12.75" customHeight="1">
      <c r="B1451" s="2113" t="s">
        <v>6448</v>
      </c>
      <c r="N1451" s="2052"/>
      <c r="P1451" s="2231" t="str">
        <f>'Part VIII-Threshold Criteria'!P211</f>
        <v>No</v>
      </c>
      <c r="Q1451" s="2165"/>
      <c r="S1451" s="2270"/>
      <c r="T1451" s="2270"/>
      <c r="U1451" s="2270"/>
      <c r="V1451" s="2270"/>
      <c r="W1451" s="2270"/>
      <c r="X1451" s="2270"/>
      <c r="Y1451" s="2270"/>
      <c r="Z1451" s="2270"/>
      <c r="AA1451" s="2270"/>
      <c r="AB1451" s="2270"/>
      <c r="AC1451" s="2270"/>
      <c r="AD1451" s="2270"/>
      <c r="AE1451" s="2270"/>
      <c r="AF1451" s="2270"/>
      <c r="AG1451" s="2270"/>
      <c r="AH1451" s="2270"/>
      <c r="AI1451" s="2270"/>
      <c r="AJ1451" s="2270"/>
      <c r="AK1451" s="2270"/>
      <c r="AL1451" s="2270"/>
      <c r="AM1451" s="2270"/>
      <c r="AN1451" s="2270"/>
      <c r="AO1451" s="2270"/>
      <c r="AP1451" s="2270"/>
      <c r="AQ1451" s="2270"/>
      <c r="AR1451" s="2270"/>
    </row>
    <row r="1452" spans="1:44" s="1853" customFormat="1" ht="12.75" customHeight="1">
      <c r="A1452" s="2225" t="s">
        <v>1892</v>
      </c>
      <c r="B1452" s="2224" t="s">
        <v>1762</v>
      </c>
      <c r="C1452" s="2224"/>
      <c r="D1452" s="2224"/>
      <c r="E1452" s="2224"/>
      <c r="F1452" s="2224"/>
      <c r="G1452" s="2224"/>
      <c r="H1452" s="2256" t="s">
        <v>1658</v>
      </c>
      <c r="I1452" s="435" t="s">
        <v>605</v>
      </c>
      <c r="J1452" s="2112" t="str">
        <f>'Part VIII-Threshold Criteria'!J212</f>
        <v>City of West Point</v>
      </c>
      <c r="K1452" s="2112"/>
      <c r="L1452" s="2112"/>
      <c r="M1452" s="2112"/>
      <c r="N1452" s="2112"/>
      <c r="O1452" s="2225" t="s">
        <v>1427</v>
      </c>
      <c r="P1452" s="2231" t="str">
        <f>'Part VIII-Threshold Criteria'!P212</f>
        <v>Yes</v>
      </c>
      <c r="Q1452" s="2165"/>
    </row>
    <row r="1453" spans="1:44" s="1853" customFormat="1" ht="12.75" customHeight="1">
      <c r="A1453" s="1818"/>
      <c r="B1453" s="2224"/>
      <c r="C1453" s="2224"/>
      <c r="D1453" s="2224"/>
      <c r="E1453" s="2224"/>
      <c r="F1453" s="2224"/>
      <c r="G1453" s="2224"/>
      <c r="H1453" s="2256" t="s">
        <v>1659</v>
      </c>
      <c r="I1453" s="435" t="s">
        <v>109</v>
      </c>
      <c r="J1453" s="2112" t="str">
        <f>'Part VIII-Threshold Criteria'!J213</f>
        <v>City of West Point</v>
      </c>
      <c r="K1453" s="2112"/>
      <c r="L1453" s="2112"/>
      <c r="M1453" s="2112"/>
      <c r="N1453" s="2112"/>
      <c r="O1453" s="2225" t="s">
        <v>1659</v>
      </c>
      <c r="P1453" s="2231" t="str">
        <f>'Part VIII-Threshold Criteria'!P213</f>
        <v>Yes</v>
      </c>
      <c r="Q1453" s="2165"/>
    </row>
    <row r="1454" spans="1:44" s="1853" customFormat="1" ht="12.75" customHeight="1">
      <c r="A1454" s="2225" t="s">
        <v>1894</v>
      </c>
      <c r="B1454" s="435" t="s">
        <v>3448</v>
      </c>
      <c r="D1454" s="435"/>
      <c r="E1454" s="435"/>
      <c r="F1454" s="435"/>
      <c r="G1454" s="435"/>
      <c r="H1454" s="435"/>
      <c r="I1454" s="435"/>
      <c r="J1454" s="435"/>
      <c r="K1454" s="1818"/>
      <c r="L1454" s="435"/>
      <c r="M1454" s="435"/>
      <c r="O1454" s="2256" t="s">
        <v>1894</v>
      </c>
      <c r="P1454" s="2231" t="str">
        <f>'Part VIII-Threshold Criteria'!P214</f>
        <v>Yes</v>
      </c>
      <c r="Q1454" s="2165"/>
    </row>
    <row r="1455" spans="1:44" s="1853" customFormat="1" ht="12.75" customHeight="1">
      <c r="A1455" s="2256" t="s">
        <v>719</v>
      </c>
      <c r="B1455" s="435" t="s">
        <v>3449</v>
      </c>
      <c r="D1455" s="435"/>
      <c r="E1455" s="435"/>
      <c r="F1455" s="435"/>
      <c r="G1455" s="435"/>
      <c r="H1455" s="435"/>
      <c r="I1455" s="435"/>
      <c r="J1455" s="435"/>
      <c r="K1455" s="1818"/>
      <c r="L1455" s="435"/>
      <c r="M1455" s="435"/>
      <c r="O1455" s="2256" t="s">
        <v>719</v>
      </c>
      <c r="P1455" s="2231" t="str">
        <f>'Part VIII-Threshold Criteria'!P215</f>
        <v>No</v>
      </c>
      <c r="Q1455" s="2165"/>
    </row>
    <row r="1456" spans="1:44" s="1853" customFormat="1" ht="12.75" customHeight="1">
      <c r="B1456" s="2171" t="s">
        <v>3372</v>
      </c>
      <c r="D1456" s="2171"/>
      <c r="E1456" s="2171"/>
      <c r="F1456" s="2171"/>
      <c r="G1456" s="2171"/>
      <c r="H1456" s="2122"/>
      <c r="I1456" s="2165"/>
      <c r="J1456" s="2165"/>
      <c r="K1456" s="2165"/>
      <c r="L1456" s="2118"/>
      <c r="M1456" s="2118"/>
      <c r="N1456" s="2118"/>
      <c r="O1456" s="2118"/>
      <c r="P1456" s="2118"/>
      <c r="Q1456" s="2118"/>
    </row>
    <row r="1457" spans="1:44" s="1853" customFormat="1" ht="12.75" customHeight="1">
      <c r="A1457" s="2227" t="str">
        <f>'Part VIII-Threshold Criteria'!A217</f>
        <v>The City of West Point  has provided written confirmation of water availability and sewer capacity and is included in the application in Tab 12.</v>
      </c>
      <c r="B1457" s="2227"/>
      <c r="C1457" s="2227"/>
      <c r="D1457" s="2227"/>
      <c r="E1457" s="2227"/>
      <c r="F1457" s="2227"/>
      <c r="G1457" s="2227"/>
      <c r="H1457" s="2227"/>
      <c r="I1457" s="2227"/>
      <c r="J1457" s="2227"/>
      <c r="K1457" s="2227"/>
      <c r="L1457" s="2227"/>
      <c r="M1457" s="2227"/>
      <c r="N1457" s="2227"/>
      <c r="O1457" s="2227"/>
      <c r="P1457" s="2227"/>
      <c r="Q1457" s="2227"/>
      <c r="U1457" s="1719"/>
      <c r="V1457" s="1719"/>
      <c r="W1457" s="1719"/>
      <c r="X1457" s="1719"/>
      <c r="Y1457" s="1719"/>
      <c r="Z1457" s="1719"/>
      <c r="AA1457" s="1719"/>
      <c r="AB1457" s="1719"/>
      <c r="AC1457" s="1719"/>
      <c r="AD1457" s="1719"/>
      <c r="AE1457" s="1719"/>
    </row>
    <row r="1458" spans="1:44" s="1853" customFormat="1" ht="12.75" customHeight="1">
      <c r="B1458" s="2228" t="s">
        <v>1779</v>
      </c>
      <c r="C1458" s="2228"/>
      <c r="D1458" s="2229"/>
      <c r="E1458" s="2229"/>
      <c r="F1458" s="2229"/>
      <c r="G1458" s="2229"/>
      <c r="H1458" s="2229"/>
      <c r="I1458" s="2229"/>
      <c r="J1458" s="2229"/>
      <c r="K1458" s="2229"/>
      <c r="L1458" s="2229"/>
      <c r="M1458" s="2229"/>
      <c r="N1458" s="2229"/>
      <c r="O1458" s="2229"/>
      <c r="P1458" s="2229"/>
      <c r="Q1458" s="2229"/>
    </row>
    <row r="1459" spans="1:44" s="1853" customFormat="1" ht="12.75" customHeight="1">
      <c r="A1459" s="2224"/>
      <c r="B1459" s="2224"/>
      <c r="C1459" s="2224"/>
      <c r="D1459" s="2224"/>
      <c r="E1459" s="2224"/>
      <c r="F1459" s="2224"/>
      <c r="G1459" s="2224"/>
      <c r="H1459" s="2224"/>
      <c r="I1459" s="2224"/>
      <c r="J1459" s="2224"/>
      <c r="K1459" s="2224"/>
      <c r="L1459" s="2224"/>
      <c r="M1459" s="2224"/>
      <c r="N1459" s="2224"/>
      <c r="O1459" s="2224"/>
      <c r="P1459" s="2224"/>
      <c r="Q1459" s="2224"/>
      <c r="S1459" s="2270"/>
      <c r="T1459" s="2270"/>
      <c r="U1459" s="2270"/>
      <c r="V1459" s="2270"/>
      <c r="W1459" s="2270"/>
      <c r="X1459" s="2270"/>
      <c r="Y1459" s="2270"/>
      <c r="Z1459" s="2270"/>
      <c r="AA1459" s="2270"/>
      <c r="AB1459" s="2270"/>
      <c r="AC1459" s="2270"/>
      <c r="AD1459" s="2270"/>
      <c r="AE1459" s="2270"/>
      <c r="AF1459" s="2270"/>
      <c r="AG1459" s="2270"/>
      <c r="AH1459" s="2270"/>
      <c r="AI1459" s="2270"/>
      <c r="AJ1459" s="2270"/>
      <c r="AK1459" s="2270"/>
      <c r="AL1459" s="2270"/>
      <c r="AM1459" s="2270"/>
      <c r="AN1459" s="2270"/>
      <c r="AO1459" s="2270"/>
      <c r="AP1459" s="2270"/>
      <c r="AQ1459" s="2270"/>
      <c r="AR1459" s="2270"/>
    </row>
    <row r="1460" spans="1:44" s="1853" customFormat="1" ht="3" customHeight="1">
      <c r="A1460" s="2118"/>
      <c r="B1460" s="2165"/>
      <c r="C1460" s="2229"/>
      <c r="D1460" s="2229"/>
      <c r="E1460" s="2229"/>
      <c r="F1460" s="2229"/>
      <c r="G1460" s="2229"/>
      <c r="H1460" s="2229"/>
      <c r="I1460" s="2229"/>
      <c r="J1460" s="2229"/>
      <c r="K1460" s="2229"/>
      <c r="L1460" s="2229"/>
      <c r="M1460" s="2229"/>
      <c r="Q1460" s="2118"/>
      <c r="S1460" s="2270"/>
      <c r="T1460" s="2270"/>
      <c r="U1460" s="2270"/>
      <c r="V1460" s="2270"/>
      <c r="W1460" s="2270"/>
      <c r="X1460" s="2270"/>
      <c r="Y1460" s="2270"/>
      <c r="Z1460" s="2270"/>
      <c r="AA1460" s="2270"/>
      <c r="AB1460" s="2270"/>
      <c r="AC1460" s="2270"/>
      <c r="AD1460" s="2270"/>
      <c r="AE1460" s="2270"/>
      <c r="AF1460" s="2270"/>
      <c r="AG1460" s="2270"/>
      <c r="AH1460" s="2270"/>
      <c r="AI1460" s="2270"/>
      <c r="AJ1460" s="2270"/>
      <c r="AK1460" s="2270"/>
      <c r="AL1460" s="2270"/>
      <c r="AM1460" s="2270"/>
      <c r="AN1460" s="2270"/>
      <c r="AO1460" s="2270"/>
      <c r="AP1460" s="2270"/>
      <c r="AQ1460" s="2270"/>
      <c r="AR1460" s="2270"/>
    </row>
    <row r="1461" spans="1:44" s="1853" customFormat="1" ht="14.1" customHeight="1">
      <c r="A1461" s="2106" t="s">
        <v>1648</v>
      </c>
      <c r="B1461" s="2106" t="s">
        <v>2518</v>
      </c>
      <c r="C1461" s="2122"/>
      <c r="D1461" s="2229"/>
      <c r="E1461" s="2229"/>
      <c r="F1461" s="2229"/>
      <c r="G1461" s="2229"/>
      <c r="H1461" s="2229"/>
      <c r="I1461" s="2229"/>
      <c r="J1461" s="2229"/>
      <c r="K1461" s="2229"/>
      <c r="L1461" s="2229"/>
      <c r="M1461" s="2229"/>
      <c r="O1461" s="2225" t="s">
        <v>1780</v>
      </c>
      <c r="P1461" s="1719"/>
      <c r="Q1461" s="1719"/>
      <c r="S1461" s="2270"/>
      <c r="T1461" s="2270"/>
      <c r="U1461" s="2270"/>
      <c r="V1461" s="2270"/>
      <c r="W1461" s="2270"/>
      <c r="X1461" s="2270"/>
      <c r="Y1461" s="2270"/>
      <c r="Z1461" s="2270"/>
      <c r="AA1461" s="2270"/>
      <c r="AB1461" s="2270"/>
      <c r="AC1461" s="2270"/>
      <c r="AD1461" s="2270"/>
      <c r="AE1461" s="2270"/>
      <c r="AF1461" s="2270"/>
      <c r="AG1461" s="2270"/>
      <c r="AH1461" s="2270"/>
      <c r="AI1461" s="2270"/>
      <c r="AJ1461" s="2270"/>
      <c r="AK1461" s="2270"/>
      <c r="AL1461" s="2270"/>
      <c r="AM1461" s="2270"/>
      <c r="AN1461" s="2270"/>
      <c r="AO1461" s="2270"/>
      <c r="AP1461" s="2270"/>
      <c r="AQ1461" s="2270"/>
      <c r="AR1461" s="2270"/>
    </row>
    <row r="1462" spans="1:44" s="1853" customFormat="1" ht="12.75" customHeight="1">
      <c r="B1462" s="2113" t="s">
        <v>1147</v>
      </c>
      <c r="N1462" s="2052"/>
      <c r="P1462" s="2231" t="str">
        <f>'Part VIII-Threshold Criteria'!P222</f>
        <v>No</v>
      </c>
      <c r="Q1462" s="2165"/>
      <c r="S1462" s="2270"/>
      <c r="T1462" s="2270"/>
      <c r="U1462" s="2270"/>
      <c r="V1462" s="2270"/>
      <c r="W1462" s="2270"/>
      <c r="X1462" s="2270"/>
      <c r="Y1462" s="2270"/>
      <c r="Z1462" s="2270"/>
      <c r="AA1462" s="2270"/>
      <c r="AB1462" s="2270"/>
      <c r="AC1462" s="2270"/>
      <c r="AD1462" s="2270"/>
      <c r="AE1462" s="2270"/>
      <c r="AF1462" s="2270"/>
      <c r="AG1462" s="2270"/>
      <c r="AH1462" s="2270"/>
      <c r="AI1462" s="2270"/>
      <c r="AJ1462" s="2270"/>
      <c r="AK1462" s="2270"/>
      <c r="AL1462" s="2270"/>
      <c r="AM1462" s="2270"/>
      <c r="AN1462" s="2270"/>
      <c r="AO1462" s="2270"/>
      <c r="AP1462" s="2270"/>
      <c r="AQ1462" s="2270"/>
      <c r="AR1462" s="2270"/>
    </row>
    <row r="1463" spans="1:44" s="1853" customFormat="1" ht="12.75" customHeight="1">
      <c r="A1463" s="2256" t="s">
        <v>1892</v>
      </c>
      <c r="B1463" s="435" t="s">
        <v>7158</v>
      </c>
      <c r="D1463" s="1818"/>
      <c r="E1463" s="1818"/>
      <c r="F1463" s="1818"/>
      <c r="G1463" s="1818"/>
      <c r="H1463" s="1818"/>
      <c r="I1463" s="1818"/>
      <c r="J1463" s="1818"/>
      <c r="K1463" s="1818"/>
      <c r="L1463" s="1818"/>
      <c r="M1463" s="1818"/>
      <c r="O1463" s="2256" t="s">
        <v>1892</v>
      </c>
      <c r="P1463" s="2231" t="str">
        <f>'Part VIII-Threshold Criteria'!P223</f>
        <v>Agree</v>
      </c>
      <c r="Q1463" s="2165"/>
      <c r="S1463" s="2270"/>
      <c r="T1463" s="2270"/>
      <c r="U1463" s="2270"/>
      <c r="V1463" s="2270"/>
      <c r="W1463" s="2270"/>
      <c r="X1463" s="2270"/>
      <c r="Y1463" s="2270"/>
      <c r="Z1463" s="2270"/>
      <c r="AA1463" s="2270"/>
      <c r="AB1463" s="2270"/>
      <c r="AC1463" s="2270"/>
      <c r="AD1463" s="2270"/>
      <c r="AE1463" s="2270"/>
      <c r="AF1463" s="2270"/>
      <c r="AG1463" s="2270"/>
      <c r="AH1463" s="2270"/>
      <c r="AI1463" s="2270"/>
      <c r="AJ1463" s="2270"/>
      <c r="AK1463" s="2270"/>
      <c r="AL1463" s="2270"/>
      <c r="AM1463" s="2270"/>
      <c r="AN1463" s="2270"/>
      <c r="AO1463" s="2270"/>
      <c r="AP1463" s="2270"/>
      <c r="AQ1463" s="2270"/>
      <c r="AR1463" s="2270"/>
    </row>
    <row r="1464" spans="1:44" s="1853" customFormat="1" ht="12.75" customHeight="1">
      <c r="A1464" s="2256"/>
      <c r="B1464" s="2122" t="s">
        <v>1658</v>
      </c>
      <c r="C1464" s="435" t="s">
        <v>1841</v>
      </c>
      <c r="E1464" s="435"/>
      <c r="F1464" s="435"/>
      <c r="G1464" s="435"/>
      <c r="H1464" s="435"/>
      <c r="I1464" s="1818"/>
      <c r="J1464" s="2256" t="s">
        <v>1427</v>
      </c>
      <c r="K1464" s="2112" t="str">
        <f>'Part VIII-Threshold Criteria'!K224</f>
        <v>Room</v>
      </c>
      <c r="L1464" s="2112"/>
      <c r="Q1464" s="2165"/>
      <c r="S1464" s="2270"/>
      <c r="T1464" s="2270"/>
      <c r="U1464" s="2270"/>
      <c r="V1464" s="2270"/>
      <c r="W1464" s="2270"/>
      <c r="X1464" s="2270"/>
      <c r="Y1464" s="2270"/>
      <c r="Z1464" s="2270"/>
      <c r="AA1464" s="2270"/>
      <c r="AB1464" s="2270"/>
      <c r="AC1464" s="2270"/>
      <c r="AD1464" s="2270"/>
      <c r="AE1464" s="2270"/>
      <c r="AF1464" s="2270"/>
      <c r="AG1464" s="2270"/>
      <c r="AH1464" s="2270"/>
      <c r="AI1464" s="2270"/>
      <c r="AJ1464" s="2270"/>
      <c r="AK1464" s="2270"/>
      <c r="AL1464" s="2270"/>
      <c r="AM1464" s="2270"/>
      <c r="AN1464" s="2270"/>
      <c r="AO1464" s="2270"/>
      <c r="AP1464" s="2270"/>
      <c r="AQ1464" s="2270"/>
      <c r="AR1464" s="2270"/>
    </row>
    <row r="1465" spans="1:44" s="1853" customFormat="1" ht="12.75" customHeight="1">
      <c r="A1465" s="2256"/>
      <c r="B1465" s="2122" t="s">
        <v>1659</v>
      </c>
      <c r="C1465" s="2122" t="s">
        <v>3944</v>
      </c>
      <c r="E1465" s="2122"/>
      <c r="F1465" s="2122"/>
      <c r="G1465" s="2122"/>
      <c r="H1465" s="2122"/>
      <c r="I1465" s="1818"/>
      <c r="J1465" s="2256" t="s">
        <v>1428</v>
      </c>
      <c r="K1465" s="2112" t="str">
        <f>'Part VIII-Threshold Criteria'!K225</f>
        <v>Covered Porch</v>
      </c>
      <c r="L1465" s="2112"/>
      <c r="M1465" s="2273" t="str">
        <f>'Part VIII-Threshold Criteria'!M225</f>
        <v>If "Other Pre-Approved", explain here</v>
      </c>
      <c r="N1465" s="2273"/>
      <c r="O1465" s="2273"/>
      <c r="P1465" s="2273"/>
      <c r="Q1465" s="2165"/>
      <c r="S1465" s="2270"/>
      <c r="T1465" s="2270"/>
      <c r="U1465" s="2270"/>
      <c r="V1465" s="2270"/>
      <c r="W1465" s="2270"/>
      <c r="X1465" s="2270"/>
      <c r="Y1465" s="2270"/>
      <c r="Z1465" s="2270"/>
      <c r="AA1465" s="2270"/>
      <c r="AB1465" s="2270"/>
      <c r="AC1465" s="2270"/>
      <c r="AD1465" s="2270"/>
      <c r="AE1465" s="2270"/>
      <c r="AF1465" s="2270"/>
      <c r="AG1465" s="2270"/>
      <c r="AH1465" s="2270"/>
      <c r="AI1465" s="2270"/>
      <c r="AJ1465" s="2270"/>
      <c r="AK1465" s="2270"/>
      <c r="AL1465" s="2270"/>
      <c r="AM1465" s="2270"/>
      <c r="AN1465" s="2270"/>
      <c r="AO1465" s="2270"/>
      <c r="AP1465" s="2270"/>
      <c r="AQ1465" s="2270"/>
      <c r="AR1465" s="2270"/>
    </row>
    <row r="1466" spans="1:44" s="1853" customFormat="1" ht="12.75" customHeight="1">
      <c r="A1466" s="2256"/>
      <c r="B1466" s="2122" t="s">
        <v>1660</v>
      </c>
      <c r="C1466" s="2122" t="s">
        <v>3945</v>
      </c>
      <c r="E1466" s="2122"/>
      <c r="F1466" s="2122"/>
      <c r="G1466" s="2122"/>
      <c r="H1466" s="2122"/>
      <c r="I1466" s="1818"/>
      <c r="J1466" s="2256" t="s">
        <v>1429</v>
      </c>
      <c r="K1466" s="2112" t="str">
        <f>'Part VIII-Threshold Criteria'!K226</f>
        <v>W&amp;D installed in each unit</v>
      </c>
      <c r="L1466" s="2112"/>
      <c r="M1466" s="2112"/>
      <c r="N1466" s="2112"/>
      <c r="Q1466" s="2165"/>
      <c r="R1466" s="1818"/>
      <c r="S1466" s="2270"/>
      <c r="T1466" s="2270"/>
      <c r="U1466" s="2270"/>
      <c r="V1466" s="2270"/>
      <c r="W1466" s="2270"/>
      <c r="X1466" s="2270"/>
      <c r="Y1466" s="2270"/>
      <c r="Z1466" s="2270"/>
      <c r="AA1466" s="2270"/>
      <c r="AB1466" s="2270"/>
      <c r="AC1466" s="2270"/>
      <c r="AD1466" s="2270"/>
      <c r="AE1466" s="2270"/>
      <c r="AF1466" s="2270"/>
      <c r="AG1466" s="2270"/>
      <c r="AH1466" s="2270"/>
      <c r="AI1466" s="2270"/>
      <c r="AJ1466" s="2270"/>
      <c r="AK1466" s="2270"/>
      <c r="AL1466" s="2270"/>
      <c r="AM1466" s="2270"/>
      <c r="AN1466" s="2270"/>
      <c r="AO1466" s="2270"/>
      <c r="AP1466" s="2270"/>
      <c r="AQ1466" s="2270"/>
      <c r="AR1466" s="2270"/>
    </row>
    <row r="1467" spans="1:44" s="1853" customFormat="1" ht="12.75" customHeight="1">
      <c r="A1467" s="2256" t="s">
        <v>1894</v>
      </c>
      <c r="B1467" s="435" t="s">
        <v>7159</v>
      </c>
      <c r="D1467" s="435"/>
      <c r="E1467" s="435"/>
      <c r="F1467" s="435"/>
      <c r="G1467" s="435"/>
      <c r="H1467" s="435"/>
      <c r="I1467" s="435"/>
      <c r="J1467" s="435"/>
      <c r="K1467" s="1818"/>
      <c r="L1467" s="1818"/>
      <c r="M1467" s="1818"/>
      <c r="N1467" s="1818"/>
      <c r="O1467" s="2256" t="s">
        <v>1894</v>
      </c>
      <c r="P1467" s="2231" t="str">
        <f>'Part VIII-Threshold Criteria'!P227</f>
        <v>Agree</v>
      </c>
      <c r="Q1467" s="2165"/>
      <c r="S1467" s="2270"/>
      <c r="T1467" s="2270"/>
      <c r="U1467" s="2270"/>
      <c r="V1467" s="2270"/>
      <c r="W1467" s="2270"/>
      <c r="X1467" s="2270"/>
      <c r="Y1467" s="2270"/>
      <c r="Z1467" s="2270"/>
      <c r="AA1467" s="2270"/>
      <c r="AB1467" s="2270"/>
      <c r="AC1467" s="2270"/>
      <c r="AD1467" s="2270"/>
      <c r="AE1467" s="2270"/>
      <c r="AF1467" s="2270"/>
      <c r="AG1467" s="2270"/>
      <c r="AH1467" s="2270"/>
      <c r="AI1467" s="2270"/>
      <c r="AJ1467" s="2270"/>
      <c r="AK1467" s="2270"/>
      <c r="AL1467" s="2270"/>
      <c r="AM1467" s="2270"/>
      <c r="AN1467" s="2270"/>
      <c r="AO1467" s="2270"/>
      <c r="AP1467" s="2270"/>
      <c r="AQ1467" s="2270"/>
      <c r="AR1467" s="2270"/>
    </row>
    <row r="1468" spans="1:44" s="1853" customFormat="1" ht="12.75" customHeight="1">
      <c r="A1468" s="2256"/>
      <c r="B1468" s="435" t="s">
        <v>7083</v>
      </c>
      <c r="D1468" s="435"/>
      <c r="E1468" s="435"/>
      <c r="F1468" s="435"/>
      <c r="G1468" s="435"/>
      <c r="H1468" s="435"/>
      <c r="I1468" s="435"/>
      <c r="J1468" s="435"/>
      <c r="K1468" s="1818"/>
      <c r="L1468" s="1818"/>
      <c r="M1468" s="1818"/>
      <c r="N1468" s="2256" t="s">
        <v>3272</v>
      </c>
      <c r="O1468" s="2274">
        <f>'Part VI-Revenues &amp; Expenses'!$P$67</f>
        <v>72</v>
      </c>
      <c r="P1468" s="2113" t="s">
        <v>4035</v>
      </c>
      <c r="Q1468" s="2113"/>
      <c r="S1468" s="2270"/>
      <c r="T1468" s="2270"/>
      <c r="U1468" s="2270"/>
      <c r="V1468" s="2270"/>
      <c r="W1468" s="2270"/>
      <c r="X1468" s="2270"/>
      <c r="Y1468" s="2270"/>
      <c r="Z1468" s="2270"/>
      <c r="AA1468" s="2270"/>
      <c r="AB1468" s="2270"/>
      <c r="AC1468" s="2270"/>
      <c r="AD1468" s="2270"/>
      <c r="AE1468" s="2270"/>
      <c r="AF1468" s="2270"/>
      <c r="AG1468" s="2270"/>
      <c r="AH1468" s="2270"/>
      <c r="AI1468" s="2270"/>
      <c r="AJ1468" s="2270"/>
      <c r="AK1468" s="2270"/>
      <c r="AL1468" s="2270"/>
      <c r="AM1468" s="2270"/>
      <c r="AN1468" s="2270"/>
      <c r="AO1468" s="2270"/>
      <c r="AP1468" s="2270"/>
      <c r="AQ1468" s="2270"/>
      <c r="AR1468" s="2270"/>
    </row>
    <row r="1469" spans="1:44" s="1853" customFormat="1" ht="12.75" customHeight="1">
      <c r="A1469" s="2256"/>
      <c r="B1469" s="2122" t="s">
        <v>1658</v>
      </c>
      <c r="C1469" s="435" t="s">
        <v>4036</v>
      </c>
      <c r="D1469" s="435"/>
      <c r="E1469" s="435"/>
      <c r="F1469" s="435"/>
      <c r="H1469" s="2256" t="s">
        <v>4037</v>
      </c>
      <c r="I1469" s="435" t="s">
        <v>7160</v>
      </c>
      <c r="M1469" s="1818"/>
      <c r="N1469" s="1818"/>
      <c r="O1469" s="2045"/>
      <c r="P1469" s="2130" t="s">
        <v>743</v>
      </c>
      <c r="Q1469" s="2130" t="s">
        <v>4034</v>
      </c>
      <c r="S1469" s="2270"/>
      <c r="T1469" s="2270"/>
      <c r="U1469" s="2270"/>
      <c r="V1469" s="2270"/>
      <c r="W1469" s="2270"/>
      <c r="X1469" s="2270"/>
      <c r="Y1469" s="2270"/>
      <c r="Z1469" s="2270"/>
      <c r="AA1469" s="2270"/>
      <c r="AB1469" s="2270"/>
      <c r="AC1469" s="2270"/>
      <c r="AD1469" s="2270"/>
      <c r="AE1469" s="2270"/>
      <c r="AF1469" s="2270"/>
      <c r="AG1469" s="2270"/>
      <c r="AH1469" s="2270"/>
      <c r="AI1469" s="2270"/>
      <c r="AJ1469" s="2270"/>
      <c r="AK1469" s="2270"/>
      <c r="AL1469" s="2270"/>
      <c r="AM1469" s="2270"/>
      <c r="AN1469" s="2270"/>
      <c r="AO1469" s="2270"/>
      <c r="AP1469" s="2270"/>
      <c r="AQ1469" s="2270"/>
      <c r="AR1469" s="2270"/>
    </row>
    <row r="1470" spans="1:44" s="2275" customFormat="1" ht="12.75" customHeight="1">
      <c r="A1470" s="2165"/>
      <c r="B1470" s="2256" t="s">
        <v>2021</v>
      </c>
      <c r="C1470" s="2227" t="str">
        <f>'Part VIII-Threshold Criteria'!C230</f>
        <v xml:space="preserve">Equipped Computer Center and WiFi </v>
      </c>
      <c r="D1470" s="2227"/>
      <c r="E1470" s="2227"/>
      <c r="F1470" s="2227"/>
      <c r="G1470" s="2227"/>
      <c r="H1470" s="2256" t="s">
        <v>2021</v>
      </c>
      <c r="I1470" s="1952" t="str">
        <f>'Part VIII-Threshold Criteria'!I230</f>
        <v xml:space="preserve">  </v>
      </c>
      <c r="J1470" s="1952"/>
      <c r="K1470" s="1952"/>
      <c r="L1470" s="1952"/>
      <c r="M1470" s="1952"/>
      <c r="N1470" s="1952"/>
      <c r="O1470" s="1952"/>
      <c r="P1470" s="2165"/>
      <c r="Q1470" s="2165"/>
      <c r="S1470" s="2276"/>
      <c r="T1470" s="2276"/>
      <c r="U1470" s="2276"/>
      <c r="V1470" s="2276"/>
      <c r="W1470" s="2276"/>
      <c r="X1470" s="2276"/>
      <c r="Y1470" s="2276"/>
      <c r="Z1470" s="2276"/>
      <c r="AA1470" s="2276"/>
      <c r="AB1470" s="2276"/>
      <c r="AC1470" s="2276"/>
      <c r="AD1470" s="2276"/>
      <c r="AE1470" s="2276"/>
      <c r="AF1470" s="2276"/>
      <c r="AG1470" s="2276"/>
      <c r="AH1470" s="2276"/>
      <c r="AI1470" s="2276"/>
      <c r="AJ1470" s="2276"/>
      <c r="AK1470" s="2276"/>
      <c r="AL1470" s="2276"/>
      <c r="AM1470" s="2276"/>
      <c r="AN1470" s="2276"/>
      <c r="AO1470" s="2276"/>
      <c r="AP1470" s="2276"/>
      <c r="AQ1470" s="2276"/>
      <c r="AR1470" s="2276"/>
    </row>
    <row r="1471" spans="1:44" s="2275" customFormat="1" ht="12.75" customHeight="1">
      <c r="A1471" s="2165"/>
      <c r="B1471" s="2256" t="s">
        <v>2022</v>
      </c>
      <c r="C1471" s="2227" t="str">
        <f>'Part VIII-Threshold Criteria'!C231</f>
        <v>Furnished Exercise /Fitness Center</v>
      </c>
      <c r="D1471" s="2227"/>
      <c r="E1471" s="2227"/>
      <c r="F1471" s="2227"/>
      <c r="G1471" s="2227"/>
      <c r="H1471" s="2256" t="s">
        <v>2022</v>
      </c>
      <c r="I1471" s="1952">
        <f>'Part VIII-Threshold Criteria'!I231</f>
        <v>0</v>
      </c>
      <c r="J1471" s="1952"/>
      <c r="K1471" s="1952"/>
      <c r="L1471" s="1952"/>
      <c r="M1471" s="1952"/>
      <c r="N1471" s="1952"/>
      <c r="O1471" s="1952"/>
      <c r="P1471" s="2165"/>
      <c r="Q1471" s="2165"/>
      <c r="S1471" s="2276"/>
      <c r="T1471" s="2276"/>
      <c r="U1471" s="2276"/>
      <c r="V1471" s="2276"/>
      <c r="W1471" s="2276"/>
      <c r="X1471" s="2276"/>
      <c r="Y1471" s="2276"/>
      <c r="Z1471" s="2276"/>
      <c r="AA1471" s="2276"/>
      <c r="AB1471" s="2276"/>
      <c r="AC1471" s="2276"/>
      <c r="AD1471" s="2276"/>
      <c r="AE1471" s="2276"/>
      <c r="AF1471" s="2276"/>
      <c r="AG1471" s="2276"/>
      <c r="AH1471" s="2276"/>
      <c r="AI1471" s="2276"/>
      <c r="AJ1471" s="2276"/>
      <c r="AK1471" s="2276"/>
      <c r="AL1471" s="2276"/>
      <c r="AM1471" s="2276"/>
      <c r="AN1471" s="2276"/>
      <c r="AO1471" s="2276"/>
      <c r="AP1471" s="2276"/>
      <c r="AQ1471" s="2276"/>
      <c r="AR1471" s="2276"/>
    </row>
    <row r="1472" spans="1:44" s="2275" customFormat="1" ht="12.75" customHeight="1">
      <c r="A1472" s="2165"/>
      <c r="B1472" s="2256" t="s">
        <v>1655</v>
      </c>
      <c r="C1472" s="2227" t="str">
        <f>'Part VIII-Threshold Criteria'!C232</f>
        <v>(Select an amenity from options provided here)</v>
      </c>
      <c r="D1472" s="2227"/>
      <c r="E1472" s="2227"/>
      <c r="F1472" s="2227"/>
      <c r="G1472" s="2227"/>
      <c r="H1472" s="2256" t="s">
        <v>1655</v>
      </c>
      <c r="I1472" s="1952" t="str">
        <f>'Part VIII-Threshold Criteria'!I232</f>
        <v xml:space="preserve">  </v>
      </c>
      <c r="J1472" s="1952"/>
      <c r="K1472" s="1952"/>
      <c r="L1472" s="1952"/>
      <c r="M1472" s="1952"/>
      <c r="N1472" s="1952"/>
      <c r="O1472" s="1952"/>
      <c r="P1472" s="2165"/>
      <c r="Q1472" s="2165"/>
      <c r="S1472" s="2276"/>
      <c r="T1472" s="2276"/>
      <c r="U1472" s="2276"/>
      <c r="V1472" s="2276"/>
      <c r="W1472" s="2276"/>
      <c r="X1472" s="2276"/>
      <c r="Y1472" s="2276"/>
      <c r="Z1472" s="2276"/>
      <c r="AA1472" s="2276"/>
      <c r="AB1472" s="2276"/>
      <c r="AC1472" s="2276"/>
      <c r="AD1472" s="2276"/>
      <c r="AE1472" s="2276"/>
      <c r="AF1472" s="2276"/>
      <c r="AG1472" s="2276"/>
      <c r="AH1472" s="2276"/>
      <c r="AI1472" s="2276"/>
      <c r="AJ1472" s="2276"/>
      <c r="AK1472" s="2276"/>
      <c r="AL1472" s="2276"/>
      <c r="AM1472" s="2276"/>
      <c r="AN1472" s="2276"/>
      <c r="AO1472" s="2276"/>
      <c r="AP1472" s="2276"/>
      <c r="AQ1472" s="2276"/>
      <c r="AR1472" s="2276"/>
    </row>
    <row r="1473" spans="1:44" s="2275" customFormat="1" ht="12.75" customHeight="1">
      <c r="A1473" s="2165"/>
      <c r="B1473" s="2256" t="s">
        <v>4045</v>
      </c>
      <c r="C1473" s="2227" t="str">
        <f>'Part VIII-Threshold Criteria'!C233</f>
        <v>(Select an amenity from options provided here)</v>
      </c>
      <c r="D1473" s="2227"/>
      <c r="E1473" s="2227"/>
      <c r="F1473" s="2227"/>
      <c r="G1473" s="2227"/>
      <c r="H1473" s="2256" t="s">
        <v>4045</v>
      </c>
      <c r="I1473" s="1952">
        <f>'Part VIII-Threshold Criteria'!I233</f>
        <v>0</v>
      </c>
      <c r="J1473" s="1952"/>
      <c r="K1473" s="1952"/>
      <c r="L1473" s="1952"/>
      <c r="M1473" s="1952"/>
      <c r="N1473" s="1952"/>
      <c r="O1473" s="1952"/>
      <c r="P1473" s="2165"/>
      <c r="Q1473" s="2165"/>
      <c r="S1473" s="2276"/>
      <c r="T1473" s="2276"/>
      <c r="U1473" s="2276"/>
      <c r="V1473" s="2276"/>
      <c r="W1473" s="2276"/>
      <c r="X1473" s="2276"/>
      <c r="Y1473" s="2276"/>
      <c r="Z1473" s="2276"/>
      <c r="AA1473" s="2276"/>
      <c r="AB1473" s="2276"/>
      <c r="AC1473" s="2276"/>
      <c r="AD1473" s="2276"/>
      <c r="AE1473" s="2276"/>
      <c r="AF1473" s="2276"/>
      <c r="AG1473" s="2276"/>
      <c r="AH1473" s="2276"/>
      <c r="AI1473" s="2276"/>
      <c r="AJ1473" s="2276"/>
      <c r="AK1473" s="2276"/>
      <c r="AL1473" s="2276"/>
      <c r="AM1473" s="2276"/>
      <c r="AN1473" s="2276"/>
      <c r="AO1473" s="2276"/>
      <c r="AP1473" s="2276"/>
      <c r="AQ1473" s="2276"/>
      <c r="AR1473" s="2276"/>
    </row>
    <row r="1474" spans="1:44" s="1853" customFormat="1" ht="12.75" customHeight="1">
      <c r="A1474" s="2256" t="s">
        <v>719</v>
      </c>
      <c r="B1474" s="435" t="s">
        <v>1332</v>
      </c>
      <c r="C1474" s="435"/>
      <c r="E1474" s="435"/>
      <c r="F1474" s="435"/>
      <c r="G1474" s="435"/>
      <c r="H1474" s="435"/>
      <c r="I1474" s="435"/>
      <c r="J1474" s="435"/>
      <c r="K1474" s="1818"/>
      <c r="L1474" s="435"/>
      <c r="M1474" s="435"/>
      <c r="O1474" s="2256" t="s">
        <v>719</v>
      </c>
      <c r="P1474" s="2231" t="str">
        <f>'Part VIII-Threshold Criteria'!P234</f>
        <v>Agree</v>
      </c>
      <c r="Q1474" s="2165"/>
      <c r="S1474" s="2270"/>
      <c r="T1474" s="2270"/>
      <c r="U1474" s="2270"/>
      <c r="V1474" s="2270"/>
      <c r="W1474" s="2270"/>
      <c r="X1474" s="2270"/>
      <c r="Y1474" s="2270"/>
      <c r="Z1474" s="2270"/>
      <c r="AA1474" s="2270"/>
      <c r="AB1474" s="2270"/>
      <c r="AC1474" s="2270"/>
      <c r="AD1474" s="2270"/>
      <c r="AE1474" s="2270"/>
      <c r="AF1474" s="2270"/>
      <c r="AG1474" s="2270"/>
      <c r="AH1474" s="2270"/>
      <c r="AI1474" s="2270"/>
      <c r="AJ1474" s="2270"/>
      <c r="AK1474" s="2270"/>
      <c r="AL1474" s="2270"/>
      <c r="AM1474" s="2270"/>
      <c r="AN1474" s="2270"/>
      <c r="AO1474" s="2270"/>
      <c r="AP1474" s="2270"/>
      <c r="AQ1474" s="2270"/>
      <c r="AR1474" s="2270"/>
    </row>
    <row r="1475" spans="1:44" s="1853" customFormat="1" ht="12.75" customHeight="1">
      <c r="A1475" s="2256"/>
      <c r="B1475" s="2122" t="s">
        <v>1658</v>
      </c>
      <c r="C1475" s="435" t="s">
        <v>3193</v>
      </c>
      <c r="E1475" s="435"/>
      <c r="F1475" s="435"/>
      <c r="L1475" s="1818"/>
      <c r="M1475" s="1818"/>
      <c r="O1475" s="2256" t="s">
        <v>1658</v>
      </c>
      <c r="P1475" s="2231" t="str">
        <f>'Part VIII-Threshold Criteria'!P235</f>
        <v>Yes</v>
      </c>
      <c r="Q1475" s="2165"/>
      <c r="S1475" s="2270"/>
      <c r="T1475" s="2270"/>
      <c r="U1475" s="2270"/>
      <c r="V1475" s="2270"/>
      <c r="W1475" s="2270"/>
      <c r="X1475" s="2270"/>
      <c r="Y1475" s="2270"/>
      <c r="Z1475" s="2270"/>
      <c r="AA1475" s="2270"/>
      <c r="AB1475" s="2270"/>
      <c r="AC1475" s="2270"/>
      <c r="AD1475" s="2270"/>
      <c r="AE1475" s="2270"/>
      <c r="AF1475" s="2270"/>
      <c r="AG1475" s="2270"/>
      <c r="AH1475" s="2270"/>
      <c r="AI1475" s="2270"/>
      <c r="AJ1475" s="2270"/>
      <c r="AK1475" s="2270"/>
      <c r="AL1475" s="2270"/>
      <c r="AM1475" s="2270"/>
      <c r="AN1475" s="2270"/>
      <c r="AO1475" s="2270"/>
      <c r="AP1475" s="2270"/>
      <c r="AQ1475" s="2270"/>
      <c r="AR1475" s="2270"/>
    </row>
    <row r="1476" spans="1:44" s="1853" customFormat="1" ht="12.75" customHeight="1">
      <c r="B1476" s="2122" t="s">
        <v>1659</v>
      </c>
      <c r="C1476" s="2122" t="s">
        <v>2613</v>
      </c>
      <c r="E1476" s="2122"/>
      <c r="F1476" s="2122"/>
      <c r="L1476" s="1818"/>
      <c r="M1476" s="1818"/>
      <c r="O1476" s="2256" t="s">
        <v>1659</v>
      </c>
      <c r="P1476" s="2231" t="str">
        <f>'Part VIII-Threshold Criteria'!P236</f>
        <v>Yes</v>
      </c>
      <c r="Q1476" s="2165"/>
      <c r="S1476" s="2270"/>
      <c r="T1476" s="2270"/>
      <c r="U1476" s="2270"/>
      <c r="V1476" s="2270"/>
      <c r="W1476" s="2270"/>
      <c r="X1476" s="2270"/>
      <c r="Y1476" s="2270"/>
      <c r="Z1476" s="2270"/>
      <c r="AA1476" s="2270"/>
      <c r="AB1476" s="2270"/>
      <c r="AC1476" s="2270"/>
      <c r="AD1476" s="2270"/>
      <c r="AE1476" s="2270"/>
      <c r="AF1476" s="2270"/>
      <c r="AG1476" s="2270"/>
      <c r="AH1476" s="2270"/>
      <c r="AI1476" s="2270"/>
      <c r="AJ1476" s="2270"/>
      <c r="AK1476" s="2270"/>
      <c r="AL1476" s="2270"/>
      <c r="AM1476" s="2270"/>
      <c r="AN1476" s="2270"/>
      <c r="AO1476" s="2270"/>
      <c r="AP1476" s="2270"/>
      <c r="AQ1476" s="2270"/>
      <c r="AR1476" s="2270"/>
    </row>
    <row r="1477" spans="1:44" s="1853" customFormat="1" ht="12.75" customHeight="1">
      <c r="B1477" s="2122" t="s">
        <v>1660</v>
      </c>
      <c r="C1477" s="2122" t="s">
        <v>6335</v>
      </c>
      <c r="E1477" s="2122"/>
      <c r="F1477" s="2122"/>
      <c r="G1477" s="2122"/>
      <c r="H1477" s="2122"/>
      <c r="I1477" s="1818"/>
      <c r="J1477" s="1818"/>
      <c r="K1477" s="1818"/>
      <c r="L1477" s="1818"/>
      <c r="M1477" s="1818"/>
      <c r="O1477" s="2256" t="s">
        <v>1660</v>
      </c>
      <c r="P1477" s="2231" t="str">
        <f>'Part VIII-Threshold Criteria'!P237</f>
        <v>Yes</v>
      </c>
      <c r="Q1477" s="2165"/>
      <c r="S1477" s="2270"/>
      <c r="T1477" s="2270"/>
      <c r="U1477" s="2270"/>
      <c r="V1477" s="2270"/>
      <c r="W1477" s="2270"/>
      <c r="X1477" s="2270"/>
      <c r="Y1477" s="2270"/>
      <c r="Z1477" s="2270"/>
      <c r="AA1477" s="2270"/>
      <c r="AB1477" s="2270"/>
      <c r="AC1477" s="2270"/>
      <c r="AD1477" s="2270"/>
      <c r="AE1477" s="2270"/>
      <c r="AF1477" s="2270"/>
      <c r="AG1477" s="2270"/>
      <c r="AH1477" s="2270"/>
      <c r="AI1477" s="2270"/>
      <c r="AJ1477" s="2270"/>
      <c r="AK1477" s="2270"/>
      <c r="AL1477" s="2270"/>
      <c r="AM1477" s="2270"/>
      <c r="AN1477" s="2270"/>
      <c r="AO1477" s="2270"/>
      <c r="AP1477" s="2270"/>
      <c r="AQ1477" s="2270"/>
      <c r="AR1477" s="2270"/>
    </row>
    <row r="1478" spans="1:44" s="1853" customFormat="1" ht="12.75" customHeight="1">
      <c r="A1478" s="2256"/>
      <c r="B1478" s="2122" t="s">
        <v>2259</v>
      </c>
      <c r="C1478" s="2122" t="s">
        <v>2614</v>
      </c>
      <c r="E1478" s="2122"/>
      <c r="F1478" s="2122"/>
      <c r="G1478" s="2122"/>
      <c r="H1478" s="2122"/>
      <c r="I1478" s="1818"/>
      <c r="J1478" s="1818"/>
      <c r="K1478" s="1818"/>
      <c r="L1478" s="1818"/>
      <c r="M1478" s="1818"/>
      <c r="O1478" s="2256" t="s">
        <v>2259</v>
      </c>
      <c r="P1478" s="2231" t="str">
        <f>'Part VIII-Threshold Criteria'!P238</f>
        <v>Yes</v>
      </c>
      <c r="Q1478" s="2165"/>
      <c r="S1478" s="2270"/>
      <c r="T1478" s="2270"/>
      <c r="U1478" s="2270"/>
      <c r="V1478" s="2270"/>
      <c r="W1478" s="2270"/>
      <c r="X1478" s="2270"/>
      <c r="Y1478" s="2270"/>
      <c r="Z1478" s="2270"/>
      <c r="AA1478" s="2270"/>
      <c r="AB1478" s="2270"/>
      <c r="AC1478" s="2270"/>
      <c r="AD1478" s="2270"/>
      <c r="AE1478" s="2270"/>
      <c r="AF1478" s="2270"/>
      <c r="AG1478" s="2270"/>
      <c r="AH1478" s="2270"/>
      <c r="AI1478" s="2270"/>
      <c r="AJ1478" s="2270"/>
      <c r="AK1478" s="2270"/>
      <c r="AL1478" s="2270"/>
      <c r="AM1478" s="2270"/>
      <c r="AN1478" s="2270"/>
      <c r="AO1478" s="2270"/>
      <c r="AP1478" s="2270"/>
      <c r="AQ1478" s="2270"/>
      <c r="AR1478" s="2270"/>
    </row>
    <row r="1479" spans="1:44" s="1853" customFormat="1" ht="12.75" customHeight="1">
      <c r="A1479" s="2256"/>
      <c r="B1479" s="2122" t="s">
        <v>1487</v>
      </c>
      <c r="C1479" s="2122" t="s">
        <v>2615</v>
      </c>
      <c r="E1479" s="2122"/>
      <c r="F1479" s="2122"/>
      <c r="G1479" s="2122"/>
      <c r="H1479" s="2122"/>
      <c r="I1479" s="1818"/>
      <c r="J1479" s="1818"/>
      <c r="K1479" s="1818"/>
      <c r="L1479" s="1818"/>
      <c r="M1479" s="1818"/>
      <c r="O1479" s="2256" t="s">
        <v>1487</v>
      </c>
      <c r="P1479" s="2231" t="str">
        <f>'Part VIII-Threshold Criteria'!P239</f>
        <v>Yes</v>
      </c>
      <c r="Q1479" s="2165"/>
      <c r="S1479" s="2270"/>
      <c r="T1479" s="2270"/>
      <c r="U1479" s="2270"/>
      <c r="V1479" s="2270"/>
      <c r="W1479" s="2270"/>
      <c r="X1479" s="2270"/>
      <c r="Y1479" s="2270"/>
      <c r="Z1479" s="2270"/>
      <c r="AA1479" s="2270"/>
      <c r="AB1479" s="2270"/>
      <c r="AC1479" s="2270"/>
      <c r="AD1479" s="2270"/>
      <c r="AE1479" s="2270"/>
      <c r="AF1479" s="2270"/>
      <c r="AG1479" s="2270"/>
      <c r="AH1479" s="2270"/>
      <c r="AI1479" s="2270"/>
      <c r="AJ1479" s="2270"/>
      <c r="AK1479" s="2270"/>
      <c r="AL1479" s="2270"/>
      <c r="AM1479" s="2270"/>
      <c r="AN1479" s="2270"/>
      <c r="AO1479" s="2270"/>
      <c r="AP1479" s="2270"/>
      <c r="AQ1479" s="2270"/>
      <c r="AR1479" s="2270"/>
    </row>
    <row r="1480" spans="1:44" s="1853" customFormat="1" ht="23.25" customHeight="1">
      <c r="A1480" s="2256"/>
      <c r="B1480" s="2229" t="s">
        <v>1488</v>
      </c>
      <c r="C1480" s="435" t="s">
        <v>6450</v>
      </c>
      <c r="D1480" s="435"/>
      <c r="E1480" s="435"/>
      <c r="F1480" s="435"/>
      <c r="G1480" s="435"/>
      <c r="H1480" s="435"/>
      <c r="I1480" s="435"/>
      <c r="J1480" s="435"/>
      <c r="K1480" s="435"/>
      <c r="L1480" s="435"/>
      <c r="M1480" s="435"/>
      <c r="N1480" s="435"/>
      <c r="O1480" s="2225" t="s">
        <v>1488</v>
      </c>
      <c r="P1480" s="2231" t="str">
        <f>'Part VIII-Threshold Criteria'!P240</f>
        <v>Yes</v>
      </c>
      <c r="Q1480" s="2253"/>
      <c r="S1480" s="2270"/>
      <c r="T1480" s="2270"/>
      <c r="U1480" s="2270"/>
      <c r="V1480" s="2270"/>
      <c r="W1480" s="2270"/>
      <c r="X1480" s="2270"/>
      <c r="Y1480" s="2270"/>
      <c r="Z1480" s="2270"/>
      <c r="AA1480" s="2270"/>
      <c r="AB1480" s="2270"/>
      <c r="AC1480" s="2270"/>
      <c r="AD1480" s="2270"/>
      <c r="AE1480" s="2270"/>
      <c r="AF1480" s="2270"/>
      <c r="AG1480" s="2270"/>
      <c r="AH1480" s="2270"/>
      <c r="AI1480" s="2270"/>
      <c r="AJ1480" s="2270"/>
      <c r="AK1480" s="2270"/>
      <c r="AL1480" s="2270"/>
      <c r="AM1480" s="2270"/>
      <c r="AN1480" s="2270"/>
      <c r="AO1480" s="2270"/>
      <c r="AP1480" s="2270"/>
      <c r="AQ1480" s="2270"/>
      <c r="AR1480" s="2270"/>
    </row>
    <row r="1481" spans="1:44" s="1853" customFormat="1" ht="12" customHeight="1">
      <c r="A1481" s="2256" t="s">
        <v>2020</v>
      </c>
      <c r="B1481" s="435" t="s">
        <v>6311</v>
      </c>
      <c r="C1481" s="435"/>
      <c r="E1481" s="435"/>
      <c r="F1481" s="435"/>
      <c r="G1481" s="435"/>
      <c r="H1481" s="435"/>
      <c r="I1481" s="435"/>
      <c r="J1481" s="435"/>
      <c r="K1481" s="1818"/>
      <c r="M1481" s="2122" t="str">
        <f>'Part I-Project Information'!$H$77</f>
        <v>Family</v>
      </c>
      <c r="O1481" s="2256" t="s">
        <v>2020</v>
      </c>
      <c r="P1481" s="2231" t="str">
        <f>'Part VIII-Threshold Criteria'!P241</f>
        <v>N/A</v>
      </c>
      <c r="Q1481" s="2165"/>
      <c r="S1481" s="2270"/>
      <c r="T1481" s="2270"/>
      <c r="U1481" s="2270"/>
      <c r="V1481" s="2270"/>
      <c r="W1481" s="2270"/>
      <c r="X1481" s="2270"/>
      <c r="Y1481" s="2270"/>
      <c r="Z1481" s="2270"/>
      <c r="AA1481" s="2270"/>
      <c r="AB1481" s="2270"/>
      <c r="AC1481" s="2270"/>
      <c r="AD1481" s="2270"/>
      <c r="AE1481" s="2270"/>
      <c r="AF1481" s="2270"/>
      <c r="AG1481" s="2270"/>
      <c r="AH1481" s="2270"/>
      <c r="AI1481" s="2270"/>
      <c r="AJ1481" s="2270"/>
      <c r="AK1481" s="2270"/>
      <c r="AL1481" s="2270"/>
      <c r="AM1481" s="2270"/>
      <c r="AN1481" s="2270"/>
      <c r="AO1481" s="2270"/>
      <c r="AP1481" s="2270"/>
      <c r="AQ1481" s="2270"/>
      <c r="AR1481" s="2270"/>
    </row>
    <row r="1482" spans="1:44" s="1853" customFormat="1" ht="12" customHeight="1">
      <c r="B1482" s="2122" t="s">
        <v>1658</v>
      </c>
      <c r="C1482" s="435" t="s">
        <v>1209</v>
      </c>
      <c r="E1482" s="1818"/>
      <c r="F1482" s="1818"/>
      <c r="G1482" s="435"/>
      <c r="H1482" s="2122"/>
      <c r="I1482" s="1818"/>
      <c r="J1482" s="2122"/>
      <c r="K1482" s="1818"/>
      <c r="L1482" s="2122"/>
      <c r="M1482" s="2122"/>
      <c r="O1482" s="2256" t="s">
        <v>1658</v>
      </c>
      <c r="P1482" s="2231">
        <f>'Part VIII-Threshold Criteria'!P242</f>
        <v>0</v>
      </c>
      <c r="Q1482" s="2165"/>
      <c r="S1482" s="2270"/>
      <c r="T1482" s="2270"/>
      <c r="U1482" s="2270"/>
      <c r="V1482" s="2270"/>
      <c r="W1482" s="2270"/>
      <c r="X1482" s="2270"/>
      <c r="Y1482" s="2270"/>
      <c r="Z1482" s="2270"/>
      <c r="AA1482" s="2270"/>
      <c r="AB1482" s="2270"/>
      <c r="AC1482" s="2270"/>
      <c r="AD1482" s="2270"/>
      <c r="AE1482" s="2270"/>
      <c r="AF1482" s="2270"/>
      <c r="AG1482" s="2270"/>
      <c r="AH1482" s="2270"/>
      <c r="AI1482" s="2270"/>
      <c r="AJ1482" s="2270"/>
      <c r="AK1482" s="2270"/>
      <c r="AL1482" s="2270"/>
      <c r="AM1482" s="2270"/>
      <c r="AN1482" s="2270"/>
      <c r="AO1482" s="2270"/>
      <c r="AP1482" s="2270"/>
      <c r="AQ1482" s="2270"/>
      <c r="AR1482" s="2270"/>
    </row>
    <row r="1483" spans="1:44" s="1853" customFormat="1" ht="12" customHeight="1">
      <c r="B1483" s="2122" t="s">
        <v>1659</v>
      </c>
      <c r="C1483" s="435" t="s">
        <v>3959</v>
      </c>
      <c r="E1483" s="1818"/>
      <c r="F1483" s="1818"/>
      <c r="G1483" s="2122"/>
      <c r="H1483" s="2122"/>
      <c r="I1483" s="1818"/>
      <c r="J1483" s="2122"/>
      <c r="K1483" s="1818"/>
      <c r="L1483" s="2122"/>
      <c r="M1483" s="2122"/>
      <c r="O1483" s="2256" t="s">
        <v>1659</v>
      </c>
      <c r="P1483" s="2231">
        <f>'Part VIII-Threshold Criteria'!P243</f>
        <v>0</v>
      </c>
      <c r="Q1483" s="2165"/>
      <c r="S1483" s="2270"/>
      <c r="T1483" s="2270"/>
      <c r="U1483" s="2270"/>
      <c r="V1483" s="2270"/>
      <c r="W1483" s="2270"/>
      <c r="X1483" s="2270"/>
      <c r="Y1483" s="2270"/>
      <c r="Z1483" s="2270"/>
      <c r="AA1483" s="2270"/>
      <c r="AB1483" s="2270"/>
      <c r="AC1483" s="2270"/>
      <c r="AD1483" s="2270"/>
      <c r="AE1483" s="2270"/>
      <c r="AF1483" s="2270"/>
      <c r="AG1483" s="2270"/>
      <c r="AH1483" s="2270"/>
      <c r="AI1483" s="2270"/>
      <c r="AJ1483" s="2270"/>
      <c r="AK1483" s="2270"/>
      <c r="AL1483" s="2270"/>
      <c r="AM1483" s="2270"/>
      <c r="AN1483" s="2270"/>
      <c r="AO1483" s="2270"/>
      <c r="AP1483" s="2270"/>
      <c r="AQ1483" s="2270"/>
      <c r="AR1483" s="2270"/>
    </row>
    <row r="1484" spans="1:44" s="1853" customFormat="1" ht="11.25" customHeight="1">
      <c r="B1484" s="2171" t="s">
        <v>3372</v>
      </c>
      <c r="D1484" s="2171"/>
      <c r="E1484" s="2171"/>
      <c r="F1484" s="2171"/>
      <c r="G1484" s="2171"/>
      <c r="H1484" s="2122"/>
      <c r="I1484" s="2165"/>
      <c r="J1484" s="2165"/>
      <c r="K1484" s="2165"/>
      <c r="L1484" s="2118"/>
      <c r="M1484" s="2118"/>
      <c r="N1484" s="2118"/>
      <c r="O1484" s="2118"/>
      <c r="P1484" s="2118"/>
      <c r="Q1484" s="2118"/>
      <c r="S1484" s="2270"/>
      <c r="T1484" s="2270"/>
      <c r="U1484" s="2270"/>
      <c r="V1484" s="2270"/>
      <c r="W1484" s="2270"/>
      <c r="X1484" s="2270"/>
      <c r="Y1484" s="2270"/>
      <c r="Z1484" s="2270"/>
      <c r="AA1484" s="2270"/>
      <c r="AB1484" s="2270"/>
      <c r="AC1484" s="2270"/>
      <c r="AD1484" s="2270"/>
      <c r="AE1484" s="2270"/>
      <c r="AF1484" s="2270"/>
      <c r="AG1484" s="2270"/>
      <c r="AH1484" s="2270"/>
      <c r="AI1484" s="2270"/>
      <c r="AJ1484" s="2270"/>
      <c r="AK1484" s="2270"/>
      <c r="AL1484" s="2270"/>
      <c r="AM1484" s="2270"/>
      <c r="AN1484" s="2270"/>
      <c r="AO1484" s="2270"/>
      <c r="AP1484" s="2270"/>
      <c r="AQ1484" s="2270"/>
      <c r="AR1484" s="2270"/>
    </row>
    <row r="1485" spans="1:44" s="1853" customFormat="1" ht="12" customHeight="1">
      <c r="A1485" s="2227" t="str">
        <f>'Part VIII-Threshold Criteria'!A245</f>
        <v>The proposed development consists of 72 units; only two additional site amenities are required. All DCA amenity guidelines will be adhered to. Additionally, all amenities have been identified on the Conceptual Site Development Plan included in Tab 16.</v>
      </c>
      <c r="B1485" s="2227"/>
      <c r="C1485" s="2227"/>
      <c r="D1485" s="2227"/>
      <c r="E1485" s="2227"/>
      <c r="F1485" s="2227"/>
      <c r="G1485" s="2227"/>
      <c r="H1485" s="2227"/>
      <c r="I1485" s="2227"/>
      <c r="J1485" s="2227"/>
      <c r="K1485" s="2227"/>
      <c r="L1485" s="2227"/>
      <c r="M1485" s="2227"/>
      <c r="N1485" s="2227"/>
      <c r="O1485" s="2227"/>
      <c r="P1485" s="2227"/>
      <c r="Q1485" s="2227"/>
      <c r="R1485" s="1856" t="s">
        <v>1208</v>
      </c>
      <c r="S1485" s="2277"/>
      <c r="T1485" s="2270"/>
      <c r="U1485" s="2184"/>
      <c r="V1485" s="2184"/>
      <c r="W1485" s="2184"/>
      <c r="X1485" s="2184"/>
      <c r="Y1485" s="2184"/>
      <c r="Z1485" s="2184"/>
      <c r="AA1485" s="2184"/>
      <c r="AB1485" s="2184"/>
      <c r="AC1485" s="2184"/>
      <c r="AD1485" s="2184"/>
      <c r="AE1485" s="2184"/>
      <c r="AF1485" s="2270"/>
      <c r="AG1485" s="2270"/>
      <c r="AH1485" s="2270"/>
      <c r="AI1485" s="2270"/>
      <c r="AJ1485" s="2270"/>
      <c r="AK1485" s="2270"/>
      <c r="AL1485" s="2270"/>
      <c r="AM1485" s="2270"/>
      <c r="AN1485" s="2270"/>
      <c r="AO1485" s="2270"/>
      <c r="AP1485" s="2270"/>
      <c r="AQ1485" s="2270"/>
      <c r="AR1485" s="2270"/>
    </row>
    <row r="1486" spans="1:44" s="1853" customFormat="1" ht="11.25" customHeight="1">
      <c r="B1486" s="2228" t="s">
        <v>1779</v>
      </c>
      <c r="C1486" s="2228"/>
      <c r="D1486" s="2229"/>
      <c r="E1486" s="2229"/>
      <c r="F1486" s="2229"/>
      <c r="G1486" s="2229"/>
      <c r="H1486" s="2229"/>
      <c r="I1486" s="2229"/>
      <c r="J1486" s="2229"/>
      <c r="K1486" s="2229"/>
      <c r="L1486" s="2229"/>
      <c r="M1486" s="2229"/>
      <c r="N1486" s="2229"/>
      <c r="O1486" s="2229"/>
      <c r="P1486" s="2229"/>
      <c r="Q1486" s="2229"/>
      <c r="S1486" s="2270"/>
      <c r="T1486" s="2270"/>
      <c r="U1486" s="2270"/>
      <c r="V1486" s="2270"/>
      <c r="W1486" s="2270"/>
      <c r="X1486" s="2270"/>
      <c r="Y1486" s="2270"/>
      <c r="Z1486" s="2270"/>
      <c r="AA1486" s="2270"/>
      <c r="AB1486" s="2270"/>
      <c r="AC1486" s="2270"/>
      <c r="AD1486" s="2270"/>
      <c r="AE1486" s="2270"/>
      <c r="AF1486" s="2270"/>
      <c r="AG1486" s="2270"/>
      <c r="AH1486" s="2270"/>
      <c r="AI1486" s="2270"/>
      <c r="AJ1486" s="2270"/>
      <c r="AK1486" s="2270"/>
      <c r="AL1486" s="2270"/>
      <c r="AM1486" s="2270"/>
      <c r="AN1486" s="2270"/>
      <c r="AO1486" s="2270"/>
      <c r="AP1486" s="2270"/>
      <c r="AQ1486" s="2270"/>
      <c r="AR1486" s="2270"/>
    </row>
    <row r="1487" spans="1:44" s="1853" customFormat="1" ht="12" customHeight="1">
      <c r="A1487" s="2224"/>
      <c r="B1487" s="2224"/>
      <c r="C1487" s="2224"/>
      <c r="D1487" s="2224"/>
      <c r="E1487" s="2224"/>
      <c r="F1487" s="2224"/>
      <c r="G1487" s="2224"/>
      <c r="H1487" s="2224"/>
      <c r="I1487" s="2224"/>
      <c r="J1487" s="2224"/>
      <c r="K1487" s="2224"/>
      <c r="L1487" s="2224"/>
      <c r="M1487" s="2224"/>
      <c r="N1487" s="2224"/>
      <c r="O1487" s="2224"/>
      <c r="P1487" s="2224"/>
      <c r="Q1487" s="2224"/>
      <c r="S1487" s="2270"/>
      <c r="T1487" s="2270"/>
      <c r="U1487" s="2270"/>
      <c r="V1487" s="2270"/>
      <c r="W1487" s="2270"/>
      <c r="X1487" s="2270"/>
      <c r="Y1487" s="2270"/>
      <c r="Z1487" s="2270"/>
      <c r="AA1487" s="2270"/>
      <c r="AB1487" s="2270"/>
      <c r="AC1487" s="2270"/>
      <c r="AD1487" s="2270"/>
      <c r="AE1487" s="2270"/>
      <c r="AF1487" s="2270"/>
      <c r="AG1487" s="2270"/>
      <c r="AH1487" s="2270"/>
      <c r="AI1487" s="2270"/>
      <c r="AJ1487" s="2270"/>
      <c r="AK1487" s="2270"/>
      <c r="AL1487" s="2270"/>
      <c r="AM1487" s="2270"/>
      <c r="AN1487" s="2270"/>
      <c r="AO1487" s="2270"/>
      <c r="AP1487" s="2270"/>
      <c r="AQ1487" s="2270"/>
      <c r="AR1487" s="2270"/>
    </row>
    <row r="1488" spans="1:44" s="1853" customFormat="1" ht="14.1" customHeight="1">
      <c r="A1488" s="2106" t="s">
        <v>2604</v>
      </c>
      <c r="B1488" s="2106" t="s">
        <v>6336</v>
      </c>
      <c r="C1488" s="2122"/>
      <c r="D1488" s="2229"/>
      <c r="E1488" s="2229"/>
      <c r="F1488" s="2229"/>
      <c r="G1488" s="2229"/>
      <c r="H1488" s="2229"/>
      <c r="I1488" s="2229"/>
      <c r="J1488" s="2229"/>
      <c r="K1488" s="2165" t="s">
        <v>431</v>
      </c>
      <c r="L1488" s="2165" t="str">
        <f>'Part I-Project Information'!$N$40</f>
        <v>No</v>
      </c>
      <c r="M1488" s="2229"/>
      <c r="O1488" s="2225" t="s">
        <v>1780</v>
      </c>
      <c r="P1488" s="1719"/>
      <c r="Q1488" s="1719"/>
    </row>
    <row r="1489" spans="1:44" s="1853" customFormat="1" ht="11.25" customHeight="1">
      <c r="A1489" s="2225" t="s">
        <v>1892</v>
      </c>
      <c r="B1489" s="2224" t="s">
        <v>6339</v>
      </c>
    </row>
    <row r="1490" spans="1:44" s="1853" customFormat="1" ht="10.5" customHeight="1">
      <c r="A1490" s="2225"/>
      <c r="B1490" s="435" t="s">
        <v>6341</v>
      </c>
      <c r="C1490" s="1818"/>
      <c r="D1490" s="1818"/>
      <c r="E1490" s="1818"/>
      <c r="F1490" s="1818"/>
      <c r="G1490" s="1818"/>
      <c r="H1490" s="1818"/>
      <c r="I1490" s="1818"/>
      <c r="J1490" s="2045" t="s">
        <v>6340</v>
      </c>
      <c r="K1490" s="435" t="s">
        <v>6341</v>
      </c>
      <c r="L1490" s="1818"/>
      <c r="M1490" s="1818"/>
      <c r="N1490" s="1818"/>
      <c r="O1490" s="1818"/>
      <c r="P1490" s="1818"/>
      <c r="Q1490" s="2045" t="s">
        <v>6340</v>
      </c>
    </row>
    <row r="1491" spans="1:44" s="2159" customFormat="1" ht="12" customHeight="1">
      <c r="B1491" s="1952">
        <f>'Part VIII-Threshold Criteria'!B251</f>
        <v>0</v>
      </c>
      <c r="C1491" s="1952"/>
      <c r="D1491" s="1952"/>
      <c r="E1491" s="1952"/>
      <c r="F1491" s="1952"/>
      <c r="G1491" s="1952"/>
      <c r="H1491" s="1952"/>
      <c r="I1491" s="1952"/>
      <c r="J1491" s="2278">
        <f>-'Part VIII-Threshold Criteria'!J251</f>
        <v>0</v>
      </c>
      <c r="K1491" s="1952">
        <f>-'Part VIII-Threshold Criteria'!K251</f>
        <v>0</v>
      </c>
      <c r="L1491" s="1952"/>
      <c r="M1491" s="1952"/>
      <c r="N1491" s="1952"/>
      <c r="O1491" s="1952"/>
      <c r="P1491" s="1952"/>
      <c r="Q1491" s="2278">
        <f>-'Part VIII-Threshold Criteria'!Q251</f>
        <v>0</v>
      </c>
    </row>
    <row r="1492" spans="1:44" s="2159" customFormat="1" ht="12" customHeight="1">
      <c r="A1492" s="2225"/>
      <c r="B1492" s="1952">
        <f>'Part VIII-Threshold Criteria'!B252</f>
        <v>0</v>
      </c>
      <c r="C1492" s="1952"/>
      <c r="D1492" s="1952"/>
      <c r="E1492" s="1952"/>
      <c r="F1492" s="1952"/>
      <c r="G1492" s="1952"/>
      <c r="H1492" s="1952"/>
      <c r="I1492" s="1952"/>
      <c r="J1492" s="2278">
        <f>-'Part VIII-Threshold Criteria'!J252</f>
        <v>0</v>
      </c>
      <c r="K1492" s="1952">
        <f>-'Part VIII-Threshold Criteria'!K252</f>
        <v>0</v>
      </c>
      <c r="L1492" s="1952"/>
      <c r="M1492" s="1952"/>
      <c r="N1492" s="1952"/>
      <c r="O1492" s="1952"/>
      <c r="P1492" s="1952"/>
      <c r="Q1492" s="2278">
        <f>-'Part VIII-Threshold Criteria'!Q252</f>
        <v>0</v>
      </c>
    </row>
    <row r="1493" spans="1:44" s="2159" customFormat="1" ht="12" customHeight="1">
      <c r="A1493" s="2225"/>
      <c r="B1493" s="1952">
        <f>'Part VIII-Threshold Criteria'!B253</f>
        <v>0</v>
      </c>
      <c r="C1493" s="1952"/>
      <c r="D1493" s="1952"/>
      <c r="E1493" s="1952"/>
      <c r="F1493" s="1952"/>
      <c r="G1493" s="1952"/>
      <c r="H1493" s="1952"/>
      <c r="I1493" s="1952"/>
      <c r="J1493" s="2278">
        <f>-'Part VIII-Threshold Criteria'!J253</f>
        <v>0</v>
      </c>
      <c r="K1493" s="1952">
        <f>-'Part VIII-Threshold Criteria'!K253</f>
        <v>0</v>
      </c>
      <c r="L1493" s="1952"/>
      <c r="M1493" s="1952"/>
      <c r="N1493" s="1952"/>
      <c r="O1493" s="1952"/>
      <c r="P1493" s="1952"/>
      <c r="Q1493" s="2278">
        <f>-'Part VIII-Threshold Criteria'!Q253</f>
        <v>0</v>
      </c>
    </row>
    <row r="1494" spans="1:44" s="2159" customFormat="1" ht="12" customHeight="1">
      <c r="A1494" s="2225"/>
      <c r="B1494" s="1952">
        <f>'Part VIII-Threshold Criteria'!B254</f>
        <v>0</v>
      </c>
      <c r="C1494" s="1952"/>
      <c r="D1494" s="1952"/>
      <c r="E1494" s="1952"/>
      <c r="F1494" s="1952"/>
      <c r="G1494" s="1952"/>
      <c r="H1494" s="1952"/>
      <c r="I1494" s="1952"/>
      <c r="J1494" s="2278">
        <f>-'Part VIII-Threshold Criteria'!J254</f>
        <v>0</v>
      </c>
      <c r="K1494" s="1952">
        <f>-'Part VIII-Threshold Criteria'!K254</f>
        <v>0</v>
      </c>
      <c r="L1494" s="1952"/>
      <c r="M1494" s="1952"/>
      <c r="N1494" s="1952"/>
      <c r="O1494" s="1952"/>
      <c r="P1494" s="1952"/>
      <c r="Q1494" s="2278">
        <f>-'Part VIII-Threshold Criteria'!Q254</f>
        <v>0</v>
      </c>
    </row>
    <row r="1495" spans="1:44" s="2159" customFormat="1" ht="12" customHeight="1">
      <c r="A1495" s="2225"/>
      <c r="B1495" s="1952">
        <f>'Part VIII-Threshold Criteria'!B255</f>
        <v>0</v>
      </c>
      <c r="C1495" s="1952"/>
      <c r="D1495" s="1952"/>
      <c r="E1495" s="1952"/>
      <c r="F1495" s="1952"/>
      <c r="G1495" s="1952"/>
      <c r="H1495" s="1952"/>
      <c r="I1495" s="1952"/>
      <c r="J1495" s="2278">
        <f>-'Part VIII-Threshold Criteria'!J255</f>
        <v>0</v>
      </c>
      <c r="K1495" s="1952">
        <f>-'Part VIII-Threshold Criteria'!K255</f>
        <v>0</v>
      </c>
      <c r="L1495" s="1952"/>
      <c r="M1495" s="1952"/>
      <c r="N1495" s="1952"/>
      <c r="O1495" s="1952"/>
      <c r="P1495" s="1952"/>
      <c r="Q1495" s="2278">
        <f>-'Part VIII-Threshold Criteria'!Q255</f>
        <v>0</v>
      </c>
    </row>
    <row r="1496" spans="1:44" s="2159" customFormat="1" ht="12" customHeight="1">
      <c r="A1496" s="2225"/>
      <c r="B1496" s="1952">
        <f>'Part VIII-Threshold Criteria'!B256</f>
        <v>0</v>
      </c>
      <c r="C1496" s="1952"/>
      <c r="D1496" s="1952"/>
      <c r="E1496" s="1952"/>
      <c r="F1496" s="1952"/>
      <c r="G1496" s="1952"/>
      <c r="H1496" s="1952"/>
      <c r="I1496" s="1952"/>
      <c r="J1496" s="2278">
        <f>-'Part VIII-Threshold Criteria'!J256</f>
        <v>0</v>
      </c>
      <c r="K1496" s="1952">
        <f>-'Part VIII-Threshold Criteria'!K256</f>
        <v>0</v>
      </c>
      <c r="L1496" s="1952"/>
      <c r="M1496" s="1952"/>
      <c r="N1496" s="1952"/>
      <c r="O1496" s="1952"/>
      <c r="P1496" s="1952"/>
      <c r="Q1496" s="2278">
        <f>-'Part VIII-Threshold Criteria'!Q256</f>
        <v>0</v>
      </c>
    </row>
    <row r="1497" spans="1:44" s="2159" customFormat="1" ht="12" customHeight="1">
      <c r="A1497" s="2225"/>
      <c r="B1497" s="1952">
        <f>'Part VIII-Threshold Criteria'!B257</f>
        <v>0</v>
      </c>
      <c r="C1497" s="1952"/>
      <c r="D1497" s="1952"/>
      <c r="E1497" s="1952"/>
      <c r="F1497" s="1952"/>
      <c r="G1497" s="1952"/>
      <c r="H1497" s="1952"/>
      <c r="I1497" s="1952"/>
      <c r="J1497" s="2278">
        <f>-'Part VIII-Threshold Criteria'!J257</f>
        <v>0</v>
      </c>
      <c r="K1497" s="1952">
        <f>-'Part VIII-Threshold Criteria'!K257</f>
        <v>0</v>
      </c>
      <c r="L1497" s="1952"/>
      <c r="M1497" s="1952"/>
      <c r="N1497" s="1952"/>
      <c r="O1497" s="1952"/>
      <c r="P1497" s="1952"/>
      <c r="Q1497" s="2278">
        <f>-'Part VIII-Threshold Criteria'!Q257</f>
        <v>0</v>
      </c>
    </row>
    <row r="1498" spans="1:44" s="2159" customFormat="1" ht="12" customHeight="1">
      <c r="B1498" s="1952">
        <f>'Part VIII-Threshold Criteria'!B258</f>
        <v>0</v>
      </c>
      <c r="C1498" s="1952"/>
      <c r="D1498" s="1952"/>
      <c r="E1498" s="1952"/>
      <c r="F1498" s="1952"/>
      <c r="G1498" s="1952"/>
      <c r="H1498" s="1952"/>
      <c r="I1498" s="1952"/>
      <c r="J1498" s="2278">
        <f>-'Part VIII-Threshold Criteria'!J258</f>
        <v>0</v>
      </c>
      <c r="K1498" s="1952">
        <f>-'Part VIII-Threshold Criteria'!K258</f>
        <v>0</v>
      </c>
      <c r="L1498" s="1952"/>
      <c r="M1498" s="1952"/>
      <c r="N1498" s="1952"/>
      <c r="O1498" s="1952"/>
      <c r="P1498" s="1952"/>
      <c r="Q1498" s="2278">
        <f>-'Part VIII-Threshold Criteria'!Q258</f>
        <v>0</v>
      </c>
    </row>
    <row r="1499" spans="1:44" s="1853" customFormat="1" ht="12" customHeight="1">
      <c r="A1499" s="2225" t="s">
        <v>1894</v>
      </c>
      <c r="B1499" s="435" t="s">
        <v>6342</v>
      </c>
      <c r="D1499" s="435"/>
      <c r="E1499" s="435"/>
      <c r="F1499" s="435"/>
      <c r="G1499" s="435"/>
      <c r="H1499" s="435"/>
      <c r="I1499" s="1818"/>
      <c r="J1499" s="1818"/>
      <c r="K1499" s="435"/>
      <c r="L1499" s="2122"/>
      <c r="O1499" s="2225" t="s">
        <v>1894</v>
      </c>
      <c r="P1499" s="2231">
        <f>'Part VIII-Threshold Criteria'!P259</f>
        <v>0</v>
      </c>
      <c r="Q1499" s="2165"/>
    </row>
    <row r="1500" spans="1:44" s="2159" customFormat="1" ht="23.25" customHeight="1">
      <c r="A1500" s="2225" t="s">
        <v>719</v>
      </c>
      <c r="B1500" s="2224" t="s">
        <v>6338</v>
      </c>
      <c r="C1500" s="2224"/>
      <c r="D1500" s="2224"/>
      <c r="E1500" s="2224"/>
      <c r="F1500" s="2224"/>
      <c r="G1500" s="2224"/>
      <c r="H1500" s="2224"/>
      <c r="I1500" s="2224"/>
      <c r="J1500" s="2224"/>
      <c r="K1500" s="2224"/>
      <c r="L1500" s="2224"/>
      <c r="M1500" s="2224"/>
      <c r="N1500" s="2224"/>
      <c r="O1500" s="2225" t="s">
        <v>719</v>
      </c>
      <c r="P1500" s="2231">
        <f>'Part VIII-Threshold Criteria'!P260</f>
        <v>0</v>
      </c>
      <c r="Q1500" s="2253"/>
      <c r="S1500" s="2044"/>
      <c r="T1500" s="2044"/>
      <c r="U1500" s="2044"/>
      <c r="V1500" s="2044"/>
      <c r="W1500" s="2044"/>
      <c r="X1500" s="2044"/>
      <c r="Y1500" s="2044"/>
      <c r="Z1500" s="2044"/>
      <c r="AA1500" s="2044"/>
      <c r="AB1500" s="2044"/>
      <c r="AC1500" s="2044"/>
      <c r="AD1500" s="2044"/>
      <c r="AE1500" s="2044"/>
      <c r="AF1500" s="2044"/>
      <c r="AG1500" s="2044"/>
      <c r="AH1500" s="2044"/>
      <c r="AI1500" s="2044"/>
      <c r="AJ1500" s="2044"/>
      <c r="AK1500" s="2044"/>
      <c r="AL1500" s="2044"/>
      <c r="AM1500" s="2044"/>
      <c r="AN1500" s="2044"/>
      <c r="AO1500" s="2044"/>
      <c r="AP1500" s="2044"/>
      <c r="AQ1500" s="2044"/>
      <c r="AR1500" s="2044"/>
    </row>
    <row r="1501" spans="1:44" s="2159" customFormat="1" ht="12" customHeight="1">
      <c r="A1501" s="2256" t="s">
        <v>2020</v>
      </c>
      <c r="B1501" s="2224" t="s">
        <v>6337</v>
      </c>
      <c r="D1501" s="2224"/>
      <c r="E1501" s="2224"/>
      <c r="F1501" s="2224"/>
      <c r="G1501" s="2224"/>
      <c r="H1501" s="2224"/>
      <c r="I1501" s="2224"/>
      <c r="J1501" s="2224"/>
      <c r="K1501" s="2224"/>
      <c r="L1501" s="2224"/>
      <c r="M1501" s="2224"/>
      <c r="O1501" s="2256" t="s">
        <v>2020</v>
      </c>
      <c r="P1501" s="2231">
        <f>'Part VIII-Threshold Criteria'!P261</f>
        <v>0</v>
      </c>
      <c r="Q1501" s="2253"/>
      <c r="S1501" s="2044"/>
      <c r="T1501" s="2044"/>
      <c r="U1501" s="2044"/>
      <c r="V1501" s="2044"/>
      <c r="W1501" s="2044"/>
      <c r="X1501" s="2044"/>
      <c r="Y1501" s="2044"/>
      <c r="Z1501" s="2044"/>
      <c r="AA1501" s="2044"/>
      <c r="AB1501" s="2044"/>
      <c r="AC1501" s="2044"/>
      <c r="AD1501" s="2044"/>
      <c r="AE1501" s="2044"/>
      <c r="AF1501" s="2044"/>
      <c r="AG1501" s="2044"/>
      <c r="AH1501" s="2044"/>
      <c r="AI1501" s="2044"/>
      <c r="AJ1501" s="2044"/>
      <c r="AK1501" s="2044"/>
      <c r="AL1501" s="2044"/>
      <c r="AM1501" s="2044"/>
      <c r="AN1501" s="2044"/>
      <c r="AO1501" s="2044"/>
      <c r="AP1501" s="2044"/>
      <c r="AQ1501" s="2044"/>
      <c r="AR1501" s="2044"/>
    </row>
    <row r="1502" spans="1:44" s="1853" customFormat="1" ht="11.25" customHeight="1">
      <c r="B1502" s="2171" t="s">
        <v>3372</v>
      </c>
      <c r="D1502" s="2171"/>
      <c r="E1502" s="2171"/>
      <c r="F1502" s="2171"/>
      <c r="G1502" s="2171"/>
      <c r="H1502" s="2122"/>
      <c r="I1502" s="2165"/>
      <c r="J1502" s="2165"/>
      <c r="K1502" s="2165"/>
      <c r="L1502" s="2118"/>
      <c r="M1502" s="2118"/>
      <c r="N1502" s="2118"/>
      <c r="O1502" s="2118"/>
      <c r="P1502" s="2118"/>
      <c r="Q1502" s="2118"/>
      <c r="S1502" s="2270"/>
      <c r="T1502" s="2270"/>
      <c r="U1502" s="2270"/>
      <c r="V1502" s="2270"/>
      <c r="W1502" s="2270"/>
      <c r="X1502" s="2270"/>
      <c r="Y1502" s="2270"/>
      <c r="Z1502" s="2270"/>
      <c r="AA1502" s="2270"/>
      <c r="AB1502" s="2270"/>
      <c r="AC1502" s="2270"/>
      <c r="AD1502" s="2270"/>
      <c r="AE1502" s="2270"/>
      <c r="AF1502" s="2270"/>
      <c r="AG1502" s="2270"/>
      <c r="AH1502" s="2270"/>
      <c r="AI1502" s="2270"/>
      <c r="AJ1502" s="2270"/>
      <c r="AK1502" s="2270"/>
      <c r="AL1502" s="2270"/>
      <c r="AM1502" s="2270"/>
      <c r="AN1502" s="2270"/>
      <c r="AO1502" s="2270"/>
      <c r="AP1502" s="2270"/>
      <c r="AQ1502" s="2270"/>
      <c r="AR1502" s="2270"/>
    </row>
    <row r="1503" spans="1:44" s="1853" customFormat="1" ht="12" customHeight="1">
      <c r="A1503" s="2227" t="str">
        <f>'Part VIII-Threshold Criteria'!A263</f>
        <v>The applicant is not proposing a Community Service Facility.  This section does not apply and has been intentionally left blank.</v>
      </c>
      <c r="B1503" s="2227"/>
      <c r="C1503" s="2227"/>
      <c r="D1503" s="2227"/>
      <c r="E1503" s="2227"/>
      <c r="F1503" s="2227"/>
      <c r="G1503" s="2227"/>
      <c r="H1503" s="2227"/>
      <c r="I1503" s="2227"/>
      <c r="J1503" s="2227"/>
      <c r="K1503" s="2227"/>
      <c r="L1503" s="2227"/>
      <c r="M1503" s="2227"/>
      <c r="N1503" s="2227"/>
      <c r="O1503" s="2227"/>
      <c r="P1503" s="2227"/>
      <c r="Q1503" s="2227"/>
      <c r="R1503" s="1856" t="s">
        <v>1208</v>
      </c>
      <c r="S1503" s="2277"/>
      <c r="T1503" s="2270"/>
      <c r="U1503" s="2184"/>
      <c r="V1503" s="2184"/>
      <c r="W1503" s="2184"/>
      <c r="X1503" s="2184"/>
      <c r="Y1503" s="2184"/>
      <c r="Z1503" s="2184"/>
      <c r="AA1503" s="2184"/>
      <c r="AB1503" s="2184"/>
      <c r="AC1503" s="2184"/>
      <c r="AD1503" s="2184"/>
      <c r="AE1503" s="2184"/>
      <c r="AF1503" s="2270"/>
      <c r="AG1503" s="2270"/>
      <c r="AH1503" s="2270"/>
      <c r="AI1503" s="2270"/>
      <c r="AJ1503" s="2270"/>
      <c r="AK1503" s="2270"/>
      <c r="AL1503" s="2270"/>
      <c r="AM1503" s="2270"/>
      <c r="AN1503" s="2270"/>
      <c r="AO1503" s="2270"/>
      <c r="AP1503" s="2270"/>
      <c r="AQ1503" s="2270"/>
      <c r="AR1503" s="2270"/>
    </row>
    <row r="1504" spans="1:44" s="1853" customFormat="1" ht="11.25" customHeight="1">
      <c r="B1504" s="2228" t="s">
        <v>1779</v>
      </c>
      <c r="C1504" s="2228"/>
      <c r="D1504" s="2229"/>
      <c r="E1504" s="2229"/>
      <c r="F1504" s="2229"/>
      <c r="G1504" s="2229"/>
      <c r="H1504" s="2229"/>
      <c r="I1504" s="2229"/>
      <c r="J1504" s="2229"/>
      <c r="K1504" s="2229"/>
      <c r="L1504" s="2229"/>
      <c r="M1504" s="2229"/>
      <c r="N1504" s="2229"/>
      <c r="O1504" s="2229"/>
      <c r="P1504" s="2229"/>
      <c r="Q1504" s="2229"/>
      <c r="S1504" s="2270"/>
      <c r="T1504" s="2270"/>
      <c r="U1504" s="2270"/>
      <c r="V1504" s="2270"/>
      <c r="W1504" s="2270"/>
      <c r="X1504" s="2270"/>
      <c r="Y1504" s="2270"/>
      <c r="Z1504" s="2270"/>
      <c r="AA1504" s="2270"/>
      <c r="AB1504" s="2270"/>
      <c r="AC1504" s="2270"/>
      <c r="AD1504" s="2270"/>
      <c r="AE1504" s="2270"/>
      <c r="AF1504" s="2270"/>
      <c r="AG1504" s="2270"/>
      <c r="AH1504" s="2270"/>
      <c r="AI1504" s="2270"/>
      <c r="AJ1504" s="2270"/>
      <c r="AK1504" s="2270"/>
      <c r="AL1504" s="2270"/>
      <c r="AM1504" s="2270"/>
      <c r="AN1504" s="2270"/>
      <c r="AO1504" s="2270"/>
      <c r="AP1504" s="2270"/>
      <c r="AQ1504" s="2270"/>
      <c r="AR1504" s="2270"/>
    </row>
    <row r="1505" spans="1:44" s="1853" customFormat="1" ht="12" customHeight="1">
      <c r="A1505" s="2224"/>
      <c r="B1505" s="2224"/>
      <c r="C1505" s="2224"/>
      <c r="D1505" s="2224"/>
      <c r="E1505" s="2224"/>
      <c r="F1505" s="2224"/>
      <c r="G1505" s="2224"/>
      <c r="H1505" s="2224"/>
      <c r="I1505" s="2224"/>
      <c r="J1505" s="2224"/>
      <c r="K1505" s="2224"/>
      <c r="L1505" s="2224"/>
      <c r="M1505" s="2224"/>
      <c r="N1505" s="2224"/>
      <c r="O1505" s="2224"/>
      <c r="P1505" s="2224"/>
      <c r="Q1505" s="2224"/>
      <c r="S1505" s="2270"/>
      <c r="T1505" s="2270"/>
      <c r="U1505" s="2270"/>
      <c r="V1505" s="2270"/>
      <c r="W1505" s="2270"/>
      <c r="X1505" s="2270"/>
      <c r="Y1505" s="2270"/>
      <c r="Z1505" s="2270"/>
      <c r="AA1505" s="2270"/>
      <c r="AB1505" s="2270"/>
      <c r="AC1505" s="2270"/>
      <c r="AD1505" s="2270"/>
      <c r="AE1505" s="2270"/>
      <c r="AF1505" s="2270"/>
      <c r="AG1505" s="2270"/>
      <c r="AH1505" s="2270"/>
      <c r="AI1505" s="2270"/>
      <c r="AJ1505" s="2270"/>
      <c r="AK1505" s="2270"/>
      <c r="AL1505" s="2270"/>
      <c r="AM1505" s="2270"/>
      <c r="AN1505" s="2270"/>
      <c r="AO1505" s="2270"/>
      <c r="AP1505" s="2270"/>
      <c r="AQ1505" s="2270"/>
      <c r="AR1505" s="2270"/>
    </row>
    <row r="1506" spans="1:44" s="1853" customFormat="1" ht="3" customHeight="1">
      <c r="A1506" s="2118"/>
      <c r="B1506" s="2165"/>
      <c r="C1506" s="2229"/>
      <c r="D1506" s="2229"/>
      <c r="E1506" s="2229"/>
      <c r="F1506" s="2229"/>
      <c r="G1506" s="2229"/>
      <c r="H1506" s="2229"/>
      <c r="I1506" s="2229"/>
      <c r="J1506" s="2229"/>
      <c r="K1506" s="2229"/>
      <c r="L1506" s="2229"/>
      <c r="M1506" s="2229"/>
      <c r="Q1506" s="2118"/>
      <c r="S1506" s="2270"/>
      <c r="T1506" s="2270"/>
      <c r="U1506" s="2270"/>
      <c r="V1506" s="2270"/>
      <c r="W1506" s="2270"/>
      <c r="X1506" s="2270"/>
      <c r="Y1506" s="2270"/>
      <c r="Z1506" s="2270"/>
      <c r="AA1506" s="2270"/>
      <c r="AB1506" s="2270"/>
      <c r="AC1506" s="2270"/>
      <c r="AD1506" s="2270"/>
      <c r="AE1506" s="2270"/>
      <c r="AF1506" s="2270"/>
      <c r="AG1506" s="2270"/>
      <c r="AH1506" s="2270"/>
      <c r="AI1506" s="2270"/>
      <c r="AJ1506" s="2270"/>
      <c r="AK1506" s="2270"/>
      <c r="AL1506" s="2270"/>
      <c r="AM1506" s="2270"/>
      <c r="AN1506" s="2270"/>
      <c r="AO1506" s="2270"/>
      <c r="AP1506" s="2270"/>
      <c r="AQ1506" s="2270"/>
      <c r="AR1506" s="2270"/>
    </row>
    <row r="1507" spans="1:44" s="1853" customFormat="1" ht="14.1" customHeight="1">
      <c r="A1507" s="2106" t="s">
        <v>2148</v>
      </c>
      <c r="B1507" s="1818" t="s">
        <v>4151</v>
      </c>
      <c r="C1507" s="1818"/>
      <c r="D1507" s="435"/>
      <c r="E1507" s="435"/>
      <c r="F1507" s="435"/>
      <c r="G1507" s="435"/>
      <c r="H1507" s="2229"/>
      <c r="I1507" s="2229"/>
      <c r="J1507" s="2229"/>
      <c r="K1507" s="2229"/>
      <c r="L1507" s="2199"/>
      <c r="M1507" s="2279"/>
      <c r="O1507" s="2225" t="s">
        <v>1780</v>
      </c>
      <c r="P1507" s="1719"/>
      <c r="Q1507" s="1719"/>
      <c r="S1507" s="2270"/>
      <c r="T1507" s="2270"/>
      <c r="U1507" s="2270"/>
      <c r="V1507" s="2270"/>
      <c r="W1507" s="2270"/>
      <c r="X1507" s="2270"/>
      <c r="Y1507" s="2270"/>
      <c r="Z1507" s="2270"/>
      <c r="AA1507" s="2270"/>
      <c r="AB1507" s="2270"/>
      <c r="AC1507" s="2270"/>
      <c r="AD1507" s="2270"/>
      <c r="AE1507" s="2270"/>
      <c r="AF1507" s="2270"/>
      <c r="AG1507" s="2270"/>
      <c r="AH1507" s="2270"/>
      <c r="AI1507" s="2270"/>
      <c r="AJ1507" s="2270"/>
      <c r="AK1507" s="2270"/>
      <c r="AL1507" s="2270"/>
      <c r="AM1507" s="2270"/>
      <c r="AN1507" s="2270"/>
      <c r="AO1507" s="2270"/>
      <c r="AP1507" s="2270"/>
      <c r="AQ1507" s="2270"/>
      <c r="AR1507" s="2270"/>
    </row>
    <row r="1508" spans="1:44" s="1853" customFormat="1" ht="12" customHeight="1">
      <c r="B1508" s="2113" t="s">
        <v>6451</v>
      </c>
      <c r="N1508" s="2052"/>
      <c r="P1508" s="2231">
        <f>'Part VIII-Threshold Criteria'!P268</f>
        <v>0</v>
      </c>
      <c r="Q1508" s="2165"/>
      <c r="S1508" s="2270"/>
      <c r="T1508" s="2270"/>
      <c r="U1508" s="2270"/>
      <c r="V1508" s="2270"/>
      <c r="W1508" s="2270"/>
      <c r="X1508" s="2270"/>
      <c r="Y1508" s="2270"/>
      <c r="Z1508" s="2270"/>
      <c r="AA1508" s="2270"/>
      <c r="AB1508" s="2270"/>
      <c r="AC1508" s="2270"/>
      <c r="AD1508" s="2270"/>
      <c r="AE1508" s="2270"/>
      <c r="AF1508" s="2270"/>
      <c r="AG1508" s="2270"/>
      <c r="AH1508" s="2270"/>
      <c r="AI1508" s="2270"/>
      <c r="AJ1508" s="2270"/>
      <c r="AK1508" s="2270"/>
      <c r="AL1508" s="2270"/>
      <c r="AM1508" s="2270"/>
      <c r="AN1508" s="2270"/>
      <c r="AO1508" s="2270"/>
      <c r="AP1508" s="2270"/>
      <c r="AQ1508" s="2270"/>
      <c r="AR1508" s="2270"/>
    </row>
    <row r="1509" spans="1:44" s="1853" customFormat="1" ht="11.45" customHeight="1">
      <c r="A1509" s="2256" t="s">
        <v>1892</v>
      </c>
      <c r="B1509" s="435" t="s">
        <v>1220</v>
      </c>
      <c r="D1509" s="1818"/>
      <c r="E1509" s="435"/>
      <c r="F1509" s="435"/>
      <c r="J1509" s="2256" t="s">
        <v>1892</v>
      </c>
      <c r="K1509" s="2112">
        <f>'Part VIII-Threshold Criteria'!K269</f>
        <v>0</v>
      </c>
      <c r="L1509" s="2112"/>
      <c r="M1509" s="2112"/>
      <c r="N1509" s="2112"/>
      <c r="O1509" s="2112"/>
      <c r="P1509" s="435" t="s">
        <v>1691</v>
      </c>
      <c r="Q1509" s="435"/>
      <c r="S1509" s="2270"/>
      <c r="T1509" s="2270"/>
      <c r="U1509" s="2270"/>
      <c r="V1509" s="2270"/>
      <c r="W1509" s="2270"/>
      <c r="X1509" s="2270"/>
      <c r="Y1509" s="2270"/>
      <c r="Z1509" s="2270"/>
      <c r="AA1509" s="2270"/>
      <c r="AB1509" s="2270"/>
      <c r="AC1509" s="2270"/>
      <c r="AD1509" s="2270"/>
      <c r="AE1509" s="2270"/>
      <c r="AF1509" s="2270"/>
      <c r="AG1509" s="2270"/>
      <c r="AH1509" s="2270"/>
      <c r="AI1509" s="2270"/>
      <c r="AJ1509" s="2270"/>
      <c r="AK1509" s="2270"/>
      <c r="AL1509" s="2270"/>
      <c r="AM1509" s="2270"/>
      <c r="AN1509" s="2270"/>
      <c r="AO1509" s="2270"/>
      <c r="AP1509" s="2270"/>
      <c r="AQ1509" s="2270"/>
      <c r="AR1509" s="2270"/>
    </row>
    <row r="1510" spans="1:44" s="1853" customFormat="1" ht="34.5" customHeight="1">
      <c r="B1510" s="2224" t="s">
        <v>6452</v>
      </c>
      <c r="C1510" s="2224"/>
      <c r="D1510" s="2224"/>
      <c r="E1510" s="2224"/>
      <c r="F1510" s="2224"/>
      <c r="G1510" s="2224"/>
      <c r="H1510" s="2224"/>
      <c r="I1510" s="2224"/>
      <c r="J1510" s="2224"/>
      <c r="K1510" s="2224"/>
      <c r="L1510" s="2224"/>
      <c r="M1510" s="2224"/>
      <c r="N1510" s="2224"/>
      <c r="O1510" s="2224"/>
      <c r="P1510" s="2231">
        <f>'Part VIII-Threshold Criteria'!P270</f>
        <v>0</v>
      </c>
      <c r="Q1510" s="2253"/>
      <c r="S1510" s="2270"/>
      <c r="T1510" s="2270"/>
      <c r="U1510" s="2270"/>
      <c r="V1510" s="2270"/>
      <c r="W1510" s="2270"/>
      <c r="X1510" s="2270"/>
      <c r="Y1510" s="2270"/>
      <c r="Z1510" s="2270"/>
      <c r="AA1510" s="2270"/>
      <c r="AB1510" s="2270"/>
      <c r="AC1510" s="2270"/>
      <c r="AD1510" s="2270"/>
      <c r="AE1510" s="2270"/>
      <c r="AF1510" s="2270"/>
      <c r="AG1510" s="2270"/>
      <c r="AH1510" s="2270"/>
      <c r="AI1510" s="2270"/>
      <c r="AJ1510" s="2270"/>
      <c r="AK1510" s="2270"/>
      <c r="AL1510" s="2270"/>
      <c r="AM1510" s="2270"/>
      <c r="AN1510" s="2270"/>
      <c r="AO1510" s="2270"/>
      <c r="AP1510" s="2270"/>
      <c r="AQ1510" s="2270"/>
      <c r="AR1510" s="2270"/>
    </row>
    <row r="1511" spans="1:44" s="1853" customFormat="1" ht="12" customHeight="1">
      <c r="A1511" s="2256" t="s">
        <v>1894</v>
      </c>
      <c r="B1511" s="435" t="s">
        <v>2616</v>
      </c>
      <c r="D1511" s="435"/>
      <c r="E1511" s="435"/>
      <c r="F1511" s="435"/>
      <c r="J1511" s="2256" t="s">
        <v>1894</v>
      </c>
      <c r="K1511" s="2280">
        <f>'Part VIII-Threshold Criteria'!K271</f>
        <v>0</v>
      </c>
      <c r="L1511" s="2280"/>
      <c r="M1511" s="2280"/>
      <c r="N1511" s="2280"/>
      <c r="O1511" s="2280"/>
      <c r="P1511" s="2281"/>
      <c r="Q1511" s="2281"/>
      <c r="S1511" s="2270"/>
      <c r="T1511" s="2270"/>
      <c r="U1511" s="2270"/>
      <c r="V1511" s="2270"/>
      <c r="W1511" s="2270"/>
      <c r="X1511" s="2270"/>
      <c r="Y1511" s="2270"/>
      <c r="Z1511" s="2270"/>
      <c r="AA1511" s="2270"/>
      <c r="AB1511" s="2270"/>
      <c r="AC1511" s="2270"/>
      <c r="AD1511" s="2270"/>
      <c r="AE1511" s="2270"/>
      <c r="AF1511" s="2270"/>
      <c r="AG1511" s="2270"/>
      <c r="AH1511" s="2270"/>
      <c r="AI1511" s="2270"/>
      <c r="AJ1511" s="2270"/>
      <c r="AK1511" s="2270"/>
      <c r="AL1511" s="2270"/>
      <c r="AM1511" s="2270"/>
      <c r="AN1511" s="2270"/>
      <c r="AO1511" s="2270"/>
      <c r="AP1511" s="2270"/>
      <c r="AQ1511" s="2270"/>
      <c r="AR1511" s="2270"/>
    </row>
    <row r="1512" spans="1:44" s="1853" customFormat="1" ht="12" customHeight="1">
      <c r="A1512" s="2256"/>
      <c r="B1512" s="2229" t="s">
        <v>1658</v>
      </c>
      <c r="C1512" s="435" t="s">
        <v>1855</v>
      </c>
      <c r="D1512" s="435"/>
      <c r="E1512" s="435"/>
      <c r="F1512" s="435"/>
      <c r="J1512" s="2256" t="s">
        <v>1658</v>
      </c>
      <c r="K1512" s="2112">
        <f>'Part VIII-Threshold Criteria'!K272</f>
        <v>0</v>
      </c>
      <c r="L1512" s="2112"/>
      <c r="M1512" s="2112"/>
      <c r="N1512" s="2112"/>
      <c r="O1512" s="2112"/>
      <c r="P1512" s="435"/>
      <c r="Q1512" s="435"/>
      <c r="S1512" s="2270"/>
      <c r="T1512" s="2270"/>
      <c r="U1512" s="2270"/>
      <c r="V1512" s="2270"/>
      <c r="W1512" s="2270"/>
      <c r="X1512" s="2270"/>
      <c r="Y1512" s="2270"/>
      <c r="Z1512" s="2270"/>
      <c r="AA1512" s="2270"/>
      <c r="AB1512" s="2270"/>
      <c r="AC1512" s="2270"/>
      <c r="AD1512" s="2270"/>
      <c r="AE1512" s="2270"/>
      <c r="AF1512" s="2270"/>
      <c r="AG1512" s="2270"/>
      <c r="AH1512" s="2270"/>
      <c r="AI1512" s="2270"/>
      <c r="AJ1512" s="2270"/>
      <c r="AK1512" s="2270"/>
      <c r="AL1512" s="2270"/>
      <c r="AM1512" s="2270"/>
      <c r="AN1512" s="2270"/>
      <c r="AO1512" s="2270"/>
      <c r="AP1512" s="2270"/>
      <c r="AQ1512" s="2270"/>
      <c r="AR1512" s="2270"/>
    </row>
    <row r="1513" spans="1:44" s="1853" customFormat="1" ht="12" customHeight="1">
      <c r="A1513" s="2256"/>
      <c r="B1513" s="2229" t="s">
        <v>1659</v>
      </c>
      <c r="C1513" s="435" t="s">
        <v>6453</v>
      </c>
      <c r="D1513" s="435"/>
      <c r="E1513" s="435"/>
      <c r="F1513" s="435"/>
      <c r="G1513" s="435"/>
      <c r="H1513" s="435"/>
      <c r="I1513" s="1818"/>
      <c r="J1513" s="1818"/>
      <c r="M1513" s="435"/>
      <c r="N1513" s="2282"/>
      <c r="O1513" s="2256" t="s">
        <v>1659</v>
      </c>
      <c r="P1513" s="2231">
        <f>'Part VIII-Threshold Criteria'!P273</f>
        <v>0</v>
      </c>
      <c r="Q1513" s="2165"/>
      <c r="S1513" s="2270"/>
      <c r="T1513" s="2270"/>
      <c r="U1513" s="2270"/>
      <c r="V1513" s="2270"/>
      <c r="W1513" s="2270"/>
      <c r="X1513" s="2270"/>
      <c r="Y1513" s="2270"/>
      <c r="Z1513" s="2270"/>
      <c r="AA1513" s="2270"/>
      <c r="AB1513" s="2270"/>
      <c r="AC1513" s="2270"/>
      <c r="AD1513" s="2270"/>
      <c r="AE1513" s="2270"/>
      <c r="AF1513" s="2270"/>
      <c r="AG1513" s="2270"/>
      <c r="AH1513" s="2270"/>
      <c r="AI1513" s="2270"/>
      <c r="AJ1513" s="2270"/>
      <c r="AK1513" s="2270"/>
      <c r="AL1513" s="2270"/>
      <c r="AM1513" s="2270"/>
      <c r="AN1513" s="2270"/>
      <c r="AO1513" s="2270"/>
      <c r="AP1513" s="2270"/>
      <c r="AQ1513" s="2270"/>
      <c r="AR1513" s="2270"/>
    </row>
    <row r="1514" spans="1:44" s="1853" customFormat="1" ht="34.5" customHeight="1">
      <c r="A1514" s="2256"/>
      <c r="B1514" s="2229" t="s">
        <v>1660</v>
      </c>
      <c r="C1514" s="2224" t="s">
        <v>6463</v>
      </c>
      <c r="D1514" s="2224"/>
      <c r="E1514" s="2224"/>
      <c r="F1514" s="2224"/>
      <c r="G1514" s="2224"/>
      <c r="H1514" s="2224"/>
      <c r="I1514" s="2224"/>
      <c r="J1514" s="2224"/>
      <c r="K1514" s="2224"/>
      <c r="L1514" s="2224"/>
      <c r="M1514" s="2224"/>
      <c r="N1514" s="2224"/>
      <c r="O1514" s="2225" t="s">
        <v>1660</v>
      </c>
      <c r="P1514" s="2231">
        <f>'Part VIII-Threshold Criteria'!P274</f>
        <v>0</v>
      </c>
      <c r="Q1514" s="2253"/>
      <c r="S1514" s="2270"/>
      <c r="T1514" s="2270"/>
      <c r="U1514" s="2270"/>
      <c r="V1514" s="2270"/>
      <c r="W1514" s="2270"/>
      <c r="X1514" s="2270"/>
      <c r="Y1514" s="2270"/>
      <c r="Z1514" s="2270"/>
      <c r="AA1514" s="2270"/>
      <c r="AB1514" s="2270"/>
      <c r="AC1514" s="2270"/>
      <c r="AD1514" s="2270"/>
      <c r="AE1514" s="2270"/>
      <c r="AF1514" s="2270"/>
      <c r="AG1514" s="2270"/>
      <c r="AH1514" s="2270"/>
      <c r="AI1514" s="2270"/>
      <c r="AJ1514" s="2270"/>
      <c r="AK1514" s="2270"/>
      <c r="AL1514" s="2270"/>
      <c r="AM1514" s="2270"/>
      <c r="AN1514" s="2270"/>
      <c r="AO1514" s="2270"/>
      <c r="AP1514" s="2270"/>
      <c r="AQ1514" s="2270"/>
      <c r="AR1514" s="2270"/>
    </row>
    <row r="1515" spans="1:44" s="1853" customFormat="1" ht="24" customHeight="1">
      <c r="A1515" s="2256"/>
      <c r="B1515" s="2229" t="s">
        <v>2259</v>
      </c>
      <c r="C1515" s="2224" t="s">
        <v>6464</v>
      </c>
      <c r="D1515" s="2224"/>
      <c r="E1515" s="2224"/>
      <c r="F1515" s="2224"/>
      <c r="G1515" s="2224"/>
      <c r="H1515" s="2224"/>
      <c r="I1515" s="2224"/>
      <c r="J1515" s="2224"/>
      <c r="K1515" s="2224"/>
      <c r="L1515" s="2224"/>
      <c r="M1515" s="2224"/>
      <c r="N1515" s="2224"/>
      <c r="O1515" s="2225" t="s">
        <v>2259</v>
      </c>
      <c r="P1515" s="2231">
        <f>'Part VIII-Threshold Criteria'!P275</f>
        <v>0</v>
      </c>
      <c r="Q1515" s="2253"/>
      <c r="S1515" s="2270"/>
      <c r="T1515" s="2270"/>
      <c r="U1515" s="2270"/>
      <c r="V1515" s="2270"/>
      <c r="W1515" s="2270"/>
      <c r="X1515" s="2270"/>
      <c r="Y1515" s="2270"/>
      <c r="Z1515" s="2270"/>
      <c r="AA1515" s="2270"/>
      <c r="AB1515" s="2270"/>
      <c r="AC1515" s="2270"/>
      <c r="AD1515" s="2270"/>
      <c r="AE1515" s="2270"/>
      <c r="AF1515" s="2270"/>
      <c r="AG1515" s="2270"/>
      <c r="AH1515" s="2270"/>
      <c r="AI1515" s="2270"/>
      <c r="AJ1515" s="2270"/>
      <c r="AK1515" s="2270"/>
      <c r="AL1515" s="2270"/>
      <c r="AM1515" s="2270"/>
      <c r="AN1515" s="2270"/>
      <c r="AO1515" s="2270"/>
      <c r="AP1515" s="2270"/>
      <c r="AQ1515" s="2270"/>
      <c r="AR1515" s="2270"/>
    </row>
    <row r="1516" spans="1:44" s="1853" customFormat="1" ht="12" customHeight="1">
      <c r="A1516" s="2256" t="s">
        <v>719</v>
      </c>
      <c r="B1516" s="435" t="s">
        <v>3450</v>
      </c>
      <c r="D1516" s="435"/>
      <c r="E1516" s="435"/>
      <c r="F1516" s="435"/>
      <c r="G1516" s="435"/>
      <c r="H1516" s="435"/>
      <c r="I1516" s="1818"/>
      <c r="J1516" s="1818"/>
      <c r="K1516" s="1818"/>
      <c r="M1516" s="435"/>
      <c r="N1516" s="2282"/>
      <c r="P1516" s="2231">
        <f>'Part VIII-Threshold Criteria'!P276</f>
        <v>0</v>
      </c>
      <c r="Q1516" s="2165"/>
      <c r="S1516" s="2270"/>
      <c r="T1516" s="2270"/>
      <c r="U1516" s="2270"/>
      <c r="V1516" s="2270"/>
      <c r="W1516" s="2270"/>
      <c r="X1516" s="2270"/>
      <c r="Y1516" s="2270"/>
      <c r="Z1516" s="2270"/>
      <c r="AA1516" s="2270"/>
      <c r="AB1516" s="2270"/>
      <c r="AC1516" s="2270"/>
      <c r="AD1516" s="2270"/>
      <c r="AE1516" s="2270"/>
      <c r="AF1516" s="2270"/>
      <c r="AG1516" s="2270"/>
      <c r="AH1516" s="2270"/>
      <c r="AI1516" s="2270"/>
      <c r="AJ1516" s="2270"/>
      <c r="AK1516" s="2270"/>
      <c r="AL1516" s="2270"/>
      <c r="AM1516" s="2270"/>
      <c r="AN1516" s="2270"/>
      <c r="AO1516" s="2270"/>
      <c r="AP1516" s="2270"/>
      <c r="AQ1516" s="2270"/>
      <c r="AR1516" s="2270"/>
    </row>
    <row r="1517" spans="1:44" s="1853" customFormat="1" ht="12" customHeight="1">
      <c r="A1517" s="2256"/>
      <c r="B1517" s="2224" t="s">
        <v>3377</v>
      </c>
      <c r="C1517" s="2224"/>
      <c r="D1517" s="2224"/>
      <c r="E1517" s="2224"/>
      <c r="F1517" s="2224"/>
      <c r="G1517" s="2224"/>
      <c r="H1517" s="2113" t="s">
        <v>3531</v>
      </c>
      <c r="K1517" s="1818"/>
      <c r="M1517" s="435"/>
      <c r="N1517" s="2282"/>
      <c r="O1517" s="2256" t="s">
        <v>1658</v>
      </c>
      <c r="P1517" s="2231">
        <f>'Part VIII-Threshold Criteria'!P277</f>
        <v>0</v>
      </c>
      <c r="Q1517" s="2165"/>
      <c r="S1517" s="2270"/>
      <c r="T1517" s="2270"/>
      <c r="U1517" s="2270"/>
      <c r="V1517" s="2270"/>
      <c r="W1517" s="2270"/>
      <c r="X1517" s="2270"/>
      <c r="Y1517" s="2270"/>
      <c r="Z1517" s="2270"/>
      <c r="AA1517" s="2270"/>
      <c r="AB1517" s="2270"/>
      <c r="AC1517" s="2270"/>
      <c r="AD1517" s="2270"/>
      <c r="AE1517" s="2270"/>
      <c r="AF1517" s="2270"/>
      <c r="AG1517" s="2270"/>
      <c r="AH1517" s="2270"/>
      <c r="AI1517" s="2270"/>
      <c r="AJ1517" s="2270"/>
      <c r="AK1517" s="2270"/>
      <c r="AL1517" s="2270"/>
      <c r="AM1517" s="2270"/>
      <c r="AN1517" s="2270"/>
      <c r="AO1517" s="2270"/>
      <c r="AP1517" s="2270"/>
      <c r="AQ1517" s="2270"/>
      <c r="AR1517" s="2270"/>
    </row>
    <row r="1518" spans="1:44" s="1853" customFormat="1" ht="12" customHeight="1">
      <c r="A1518" s="2256"/>
      <c r="B1518" s="2224"/>
      <c r="C1518" s="2224"/>
      <c r="D1518" s="2224"/>
      <c r="E1518" s="2224"/>
      <c r="F1518" s="2224"/>
      <c r="G1518" s="2224"/>
      <c r="H1518" s="2113" t="s">
        <v>3532</v>
      </c>
      <c r="K1518" s="1818"/>
      <c r="M1518" s="435"/>
      <c r="N1518" s="2282"/>
      <c r="O1518" s="2256" t="s">
        <v>1659</v>
      </c>
      <c r="P1518" s="2231">
        <f>'Part VIII-Threshold Criteria'!P278</f>
        <v>0</v>
      </c>
      <c r="Q1518" s="2165"/>
      <c r="S1518" s="2270"/>
      <c r="T1518" s="2270"/>
      <c r="U1518" s="2270"/>
      <c r="V1518" s="2270"/>
      <c r="W1518" s="2270"/>
      <c r="X1518" s="2270"/>
      <c r="Y1518" s="2270"/>
      <c r="Z1518" s="2270"/>
      <c r="AA1518" s="2270"/>
      <c r="AB1518" s="2270"/>
      <c r="AC1518" s="2270"/>
      <c r="AD1518" s="2270"/>
      <c r="AE1518" s="2270"/>
      <c r="AF1518" s="2270"/>
      <c r="AG1518" s="2270"/>
      <c r="AH1518" s="2270"/>
      <c r="AI1518" s="2270"/>
      <c r="AJ1518" s="2270"/>
      <c r="AK1518" s="2270"/>
      <c r="AL1518" s="2270"/>
      <c r="AM1518" s="2270"/>
      <c r="AN1518" s="2270"/>
      <c r="AO1518" s="2270"/>
      <c r="AP1518" s="2270"/>
      <c r="AQ1518" s="2270"/>
      <c r="AR1518" s="2270"/>
    </row>
    <row r="1519" spans="1:44" s="1853" customFormat="1" ht="12" customHeight="1">
      <c r="A1519" s="2256"/>
      <c r="B1519" s="435"/>
      <c r="D1519" s="435"/>
      <c r="E1519" s="435"/>
      <c r="F1519" s="435"/>
      <c r="G1519" s="435"/>
      <c r="H1519" s="2113" t="s">
        <v>3533</v>
      </c>
      <c r="K1519" s="1818"/>
      <c r="M1519" s="435"/>
      <c r="N1519" s="2282"/>
      <c r="O1519" s="2256" t="s">
        <v>1660</v>
      </c>
      <c r="P1519" s="2231">
        <f>'Part VIII-Threshold Criteria'!P279</f>
        <v>0</v>
      </c>
      <c r="Q1519" s="2165"/>
      <c r="S1519" s="2270"/>
      <c r="T1519" s="2270"/>
      <c r="U1519" s="2270"/>
      <c r="V1519" s="2270"/>
      <c r="W1519" s="2270"/>
      <c r="X1519" s="2270"/>
      <c r="Y1519" s="2270"/>
      <c r="Z1519" s="2270"/>
      <c r="AA1519" s="2270"/>
      <c r="AB1519" s="2270"/>
      <c r="AC1519" s="2270"/>
      <c r="AD1519" s="2270"/>
      <c r="AE1519" s="2270"/>
      <c r="AF1519" s="2270"/>
      <c r="AG1519" s="2270"/>
      <c r="AH1519" s="2270"/>
      <c r="AI1519" s="2270"/>
      <c r="AJ1519" s="2270"/>
      <c r="AK1519" s="2270"/>
      <c r="AL1519" s="2270"/>
      <c r="AM1519" s="2270"/>
      <c r="AN1519" s="2270"/>
      <c r="AO1519" s="2270"/>
      <c r="AP1519" s="2270"/>
      <c r="AQ1519" s="2270"/>
      <c r="AR1519" s="2270"/>
    </row>
    <row r="1520" spans="1:44" s="1853" customFormat="1" ht="12" customHeight="1">
      <c r="A1520" s="2256"/>
      <c r="B1520" s="435"/>
      <c r="D1520" s="435"/>
      <c r="E1520" s="435"/>
      <c r="F1520" s="435"/>
      <c r="G1520" s="435"/>
      <c r="H1520" s="2113" t="s">
        <v>3534</v>
      </c>
      <c r="K1520" s="1818"/>
      <c r="M1520" s="435"/>
      <c r="N1520" s="2282"/>
      <c r="O1520" s="2256" t="s">
        <v>2259</v>
      </c>
      <c r="P1520" s="2231">
        <f>'Part VIII-Threshold Criteria'!P280</f>
        <v>0</v>
      </c>
      <c r="Q1520" s="2165"/>
      <c r="S1520" s="2270"/>
      <c r="T1520" s="2270"/>
      <c r="U1520" s="2270"/>
      <c r="V1520" s="2270"/>
      <c r="W1520" s="2270"/>
      <c r="X1520" s="2270"/>
      <c r="Y1520" s="2270"/>
      <c r="Z1520" s="2270"/>
      <c r="AA1520" s="2270"/>
      <c r="AB1520" s="2270"/>
      <c r="AC1520" s="2270"/>
      <c r="AD1520" s="2270"/>
      <c r="AE1520" s="2270"/>
      <c r="AF1520" s="2270"/>
      <c r="AG1520" s="2270"/>
      <c r="AH1520" s="2270"/>
      <c r="AI1520" s="2270"/>
      <c r="AJ1520" s="2270"/>
      <c r="AK1520" s="2270"/>
      <c r="AL1520" s="2270"/>
      <c r="AM1520" s="2270"/>
      <c r="AN1520" s="2270"/>
      <c r="AO1520" s="2270"/>
      <c r="AP1520" s="2270"/>
      <c r="AQ1520" s="2270"/>
      <c r="AR1520" s="2270"/>
    </row>
    <row r="1521" spans="1:44" s="1853" customFormat="1" ht="23.25" customHeight="1">
      <c r="B1521" s="2224" t="s">
        <v>6824</v>
      </c>
      <c r="C1521" s="2224" t="s">
        <v>7161</v>
      </c>
      <c r="D1521" s="2224"/>
      <c r="E1521" s="2224"/>
      <c r="F1521" s="2224"/>
      <c r="G1521" s="2224"/>
      <c r="H1521" s="2224"/>
      <c r="I1521" s="2224"/>
      <c r="J1521" s="2224"/>
      <c r="K1521" s="2224"/>
      <c r="L1521" s="2224"/>
      <c r="M1521" s="2224"/>
      <c r="N1521" s="2224"/>
      <c r="O1521" s="2225" t="s">
        <v>1487</v>
      </c>
      <c r="P1521" s="2231">
        <f>'Part VIII-Threshold Criteria'!P281</f>
        <v>0</v>
      </c>
      <c r="Q1521" s="2253"/>
      <c r="S1521" s="2270"/>
      <c r="T1521" s="2270"/>
      <c r="U1521" s="2270"/>
      <c r="V1521" s="2270"/>
      <c r="W1521" s="2270"/>
      <c r="X1521" s="2270"/>
      <c r="Y1521" s="2270"/>
      <c r="Z1521" s="2270"/>
      <c r="AA1521" s="2270"/>
      <c r="AB1521" s="2270"/>
      <c r="AC1521" s="2270"/>
      <c r="AD1521" s="2270"/>
      <c r="AE1521" s="2270"/>
      <c r="AF1521" s="2270"/>
      <c r="AG1521" s="2270"/>
      <c r="AH1521" s="2270"/>
      <c r="AI1521" s="2270"/>
      <c r="AJ1521" s="2270"/>
      <c r="AK1521" s="2270"/>
      <c r="AL1521" s="2270"/>
      <c r="AM1521" s="2270"/>
      <c r="AN1521" s="2270"/>
      <c r="AO1521" s="2270"/>
      <c r="AP1521" s="2270"/>
      <c r="AQ1521" s="2270"/>
      <c r="AR1521" s="2270"/>
    </row>
    <row r="1522" spans="1:44" s="1853" customFormat="1" ht="12" customHeight="1">
      <c r="B1522" s="2171" t="s">
        <v>3372</v>
      </c>
      <c r="D1522" s="2171"/>
      <c r="E1522" s="2171"/>
      <c r="F1522" s="2171"/>
      <c r="G1522" s="2171"/>
      <c r="H1522" s="2122"/>
      <c r="I1522" s="2165"/>
      <c r="J1522" s="2165"/>
      <c r="K1522" s="2165"/>
      <c r="L1522" s="2118"/>
      <c r="M1522" s="2118"/>
      <c r="N1522" s="2118"/>
      <c r="O1522" s="2118"/>
      <c r="P1522" s="2118"/>
      <c r="Q1522" s="2118"/>
      <c r="S1522" s="2270"/>
      <c r="T1522" s="2270"/>
      <c r="U1522" s="2270"/>
      <c r="V1522" s="2270"/>
      <c r="W1522" s="2270"/>
      <c r="X1522" s="2270"/>
      <c r="Y1522" s="2270"/>
      <c r="Z1522" s="2270"/>
      <c r="AA1522" s="2270"/>
      <c r="AB1522" s="2270"/>
      <c r="AC1522" s="2270"/>
      <c r="AD1522" s="2270"/>
      <c r="AE1522" s="2270"/>
      <c r="AF1522" s="2270"/>
      <c r="AG1522" s="2270"/>
      <c r="AH1522" s="2270"/>
      <c r="AI1522" s="2270"/>
      <c r="AJ1522" s="2270"/>
      <c r="AK1522" s="2270"/>
      <c r="AL1522" s="2270"/>
      <c r="AM1522" s="2270"/>
      <c r="AN1522" s="2270"/>
      <c r="AO1522" s="2270"/>
      <c r="AP1522" s="2270"/>
      <c r="AQ1522" s="2270"/>
      <c r="AR1522" s="2270"/>
    </row>
    <row r="1523" spans="1:44" s="1853" customFormat="1" ht="12" customHeight="1">
      <c r="A1523" s="2227" t="str">
        <f>'Part VIII-Threshold Criteria'!A283</f>
        <v>The proposed project does not include any rehabilitation. This section does not apply and has been intentionally left blank.</v>
      </c>
      <c r="B1523" s="2227"/>
      <c r="C1523" s="2227"/>
      <c r="D1523" s="2227"/>
      <c r="E1523" s="2227"/>
      <c r="F1523" s="2227"/>
      <c r="G1523" s="2227"/>
      <c r="H1523" s="2227"/>
      <c r="I1523" s="2227"/>
      <c r="J1523" s="2227"/>
      <c r="K1523" s="2227"/>
      <c r="L1523" s="2227"/>
      <c r="M1523" s="2227"/>
      <c r="N1523" s="2227"/>
      <c r="O1523" s="2227"/>
      <c r="P1523" s="2227"/>
      <c r="Q1523" s="2227"/>
      <c r="R1523" s="1856" t="s">
        <v>1208</v>
      </c>
      <c r="S1523" s="2277"/>
      <c r="T1523" s="2270"/>
      <c r="U1523" s="2184"/>
      <c r="V1523" s="2184"/>
      <c r="W1523" s="2184"/>
      <c r="X1523" s="2184"/>
      <c r="Y1523" s="2184"/>
      <c r="Z1523" s="2184"/>
      <c r="AA1523" s="2184"/>
      <c r="AB1523" s="2184"/>
      <c r="AC1523" s="2184"/>
      <c r="AD1523" s="2184"/>
      <c r="AE1523" s="2184"/>
      <c r="AF1523" s="2270"/>
      <c r="AG1523" s="2270"/>
      <c r="AH1523" s="2270"/>
      <c r="AI1523" s="2270"/>
      <c r="AJ1523" s="2270"/>
      <c r="AK1523" s="2270"/>
      <c r="AL1523" s="2270"/>
      <c r="AM1523" s="2270"/>
      <c r="AN1523" s="2270"/>
      <c r="AO1523" s="2270"/>
      <c r="AP1523" s="2270"/>
      <c r="AQ1523" s="2270"/>
      <c r="AR1523" s="2270"/>
    </row>
    <row r="1524" spans="1:44" s="1853" customFormat="1" ht="12" customHeight="1">
      <c r="B1524" s="2228" t="s">
        <v>1779</v>
      </c>
      <c r="C1524" s="2228"/>
      <c r="D1524" s="2229"/>
      <c r="E1524" s="2229"/>
      <c r="F1524" s="2229"/>
      <c r="G1524" s="2229"/>
      <c r="H1524" s="2229"/>
      <c r="I1524" s="2229"/>
      <c r="J1524" s="2229"/>
      <c r="K1524" s="2229"/>
      <c r="L1524" s="2229"/>
      <c r="M1524" s="2229"/>
      <c r="N1524" s="2229"/>
      <c r="O1524" s="2229"/>
      <c r="P1524" s="2229"/>
      <c r="Q1524" s="2229"/>
      <c r="S1524" s="2270"/>
      <c r="T1524" s="2270"/>
      <c r="U1524" s="2270"/>
      <c r="V1524" s="2270"/>
      <c r="W1524" s="2270"/>
      <c r="X1524" s="2270"/>
      <c r="Y1524" s="2270"/>
      <c r="Z1524" s="2270"/>
      <c r="AA1524" s="2270"/>
      <c r="AB1524" s="2270"/>
      <c r="AC1524" s="2270"/>
      <c r="AD1524" s="2270"/>
      <c r="AE1524" s="2270"/>
      <c r="AF1524" s="2270"/>
      <c r="AG1524" s="2270"/>
      <c r="AH1524" s="2270"/>
      <c r="AI1524" s="2270"/>
      <c r="AJ1524" s="2270"/>
      <c r="AK1524" s="2270"/>
      <c r="AL1524" s="2270"/>
      <c r="AM1524" s="2270"/>
      <c r="AN1524" s="2270"/>
      <c r="AO1524" s="2270"/>
      <c r="AP1524" s="2270"/>
      <c r="AQ1524" s="2270"/>
      <c r="AR1524" s="2270"/>
    </row>
    <row r="1525" spans="1:44" s="1853" customFormat="1" ht="12" customHeight="1">
      <c r="A1525" s="2224"/>
      <c r="B1525" s="2224"/>
      <c r="C1525" s="2224"/>
      <c r="D1525" s="2224"/>
      <c r="E1525" s="2224"/>
      <c r="F1525" s="2224"/>
      <c r="G1525" s="2224"/>
      <c r="H1525" s="2224"/>
      <c r="I1525" s="2224"/>
      <c r="J1525" s="2224"/>
      <c r="K1525" s="2224"/>
      <c r="L1525" s="2224"/>
      <c r="M1525" s="2224"/>
      <c r="N1525" s="2224"/>
      <c r="O1525" s="2224"/>
      <c r="P1525" s="2224"/>
      <c r="Q1525" s="2224"/>
      <c r="S1525" s="2270"/>
      <c r="T1525" s="2270"/>
      <c r="U1525" s="2270"/>
      <c r="V1525" s="2270"/>
      <c r="W1525" s="2270"/>
      <c r="X1525" s="2270"/>
      <c r="Y1525" s="2270"/>
      <c r="Z1525" s="2270"/>
      <c r="AA1525" s="2270"/>
      <c r="AB1525" s="2270"/>
      <c r="AC1525" s="2270"/>
      <c r="AD1525" s="2270"/>
      <c r="AE1525" s="2270"/>
      <c r="AF1525" s="2270"/>
      <c r="AG1525" s="2270"/>
      <c r="AH1525" s="2270"/>
      <c r="AI1525" s="2270"/>
      <c r="AJ1525" s="2270"/>
      <c r="AK1525" s="2270"/>
      <c r="AL1525" s="2270"/>
      <c r="AM1525" s="2270"/>
      <c r="AN1525" s="2270"/>
      <c r="AO1525" s="2270"/>
      <c r="AP1525" s="2270"/>
      <c r="AQ1525" s="2270"/>
      <c r="AR1525" s="2270"/>
    </row>
    <row r="1526" spans="1:44" s="1853" customFormat="1" ht="3" customHeight="1">
      <c r="A1526" s="2118"/>
      <c r="B1526" s="2165"/>
      <c r="C1526" s="2229"/>
      <c r="D1526" s="2229"/>
      <c r="E1526" s="2229"/>
      <c r="F1526" s="2229"/>
      <c r="G1526" s="2229"/>
      <c r="H1526" s="2229"/>
      <c r="I1526" s="2229"/>
      <c r="J1526" s="2229"/>
      <c r="K1526" s="2229"/>
      <c r="L1526" s="2229"/>
      <c r="M1526" s="2229"/>
      <c r="Q1526" s="2118"/>
      <c r="S1526" s="2270"/>
      <c r="T1526" s="2270"/>
      <c r="U1526" s="2270"/>
      <c r="V1526" s="2270"/>
      <c r="W1526" s="2270"/>
      <c r="X1526" s="2270"/>
      <c r="Y1526" s="2270"/>
      <c r="Z1526" s="2270"/>
      <c r="AA1526" s="2270"/>
      <c r="AB1526" s="2270"/>
      <c r="AC1526" s="2270"/>
      <c r="AD1526" s="2270"/>
      <c r="AE1526" s="2270"/>
      <c r="AF1526" s="2270"/>
      <c r="AG1526" s="2270"/>
      <c r="AH1526" s="2270"/>
      <c r="AI1526" s="2270"/>
      <c r="AJ1526" s="2270"/>
      <c r="AK1526" s="2270"/>
      <c r="AL1526" s="2270"/>
      <c r="AM1526" s="2270"/>
      <c r="AN1526" s="2270"/>
      <c r="AO1526" s="2270"/>
      <c r="AP1526" s="2270"/>
      <c r="AQ1526" s="2270"/>
      <c r="AR1526" s="2270"/>
    </row>
    <row r="1527" spans="1:44" s="1853" customFormat="1" ht="14.1" customHeight="1">
      <c r="A1527" s="2106" t="s">
        <v>3519</v>
      </c>
      <c r="B1527" s="1818" t="s">
        <v>2519</v>
      </c>
      <c r="C1527" s="1818"/>
      <c r="D1527" s="435"/>
      <c r="E1527" s="435"/>
      <c r="F1527" s="435"/>
      <c r="G1527" s="435"/>
      <c r="H1527" s="2229"/>
      <c r="I1527" s="2229"/>
      <c r="J1527" s="2229"/>
      <c r="K1527" s="2229"/>
      <c r="L1527" s="2229"/>
      <c r="M1527" s="2229"/>
      <c r="O1527" s="2225" t="s">
        <v>1780</v>
      </c>
      <c r="P1527" s="1719"/>
      <c r="Q1527" s="1719"/>
      <c r="S1527" s="2270"/>
      <c r="T1527" s="2270"/>
      <c r="U1527" s="2270"/>
      <c r="V1527" s="2270"/>
      <c r="W1527" s="2270"/>
      <c r="X1527" s="2270"/>
      <c r="Y1527" s="2270"/>
      <c r="Z1527" s="2270"/>
      <c r="AA1527" s="2270"/>
      <c r="AB1527" s="2270"/>
      <c r="AC1527" s="2270"/>
      <c r="AD1527" s="2270"/>
      <c r="AE1527" s="2270"/>
      <c r="AF1527" s="2270"/>
      <c r="AG1527" s="2270"/>
      <c r="AH1527" s="2270"/>
      <c r="AI1527" s="2270"/>
      <c r="AJ1527" s="2270"/>
      <c r="AK1527" s="2270"/>
      <c r="AL1527" s="2270"/>
      <c r="AM1527" s="2270"/>
      <c r="AN1527" s="2270"/>
      <c r="AO1527" s="2270"/>
      <c r="AP1527" s="2270"/>
      <c r="AQ1527" s="2270"/>
      <c r="AR1527" s="2270"/>
    </row>
    <row r="1528" spans="1:44" s="2159" customFormat="1" ht="21.75" customHeight="1">
      <c r="A1528" s="2225" t="s">
        <v>1892</v>
      </c>
      <c r="B1528" s="2229" t="s">
        <v>1658</v>
      </c>
      <c r="C1528" s="2224" t="s">
        <v>4233</v>
      </c>
      <c r="D1528" s="2224"/>
      <c r="E1528" s="2224"/>
      <c r="F1528" s="2224"/>
      <c r="G1528" s="2224"/>
      <c r="H1528" s="2224"/>
      <c r="I1528" s="2224"/>
      <c r="J1528" s="2224"/>
      <c r="K1528" s="2224"/>
      <c r="L1528" s="2224"/>
      <c r="M1528" s="2224"/>
      <c r="N1528" s="2224"/>
      <c r="O1528" s="2225" t="s">
        <v>1427</v>
      </c>
      <c r="P1528" s="2265" t="str">
        <f>'Part VIII-Threshold Criteria'!P288</f>
        <v>Yes</v>
      </c>
      <c r="Q1528" s="2253"/>
      <c r="S1528" s="2044"/>
      <c r="T1528" s="2044"/>
      <c r="U1528" s="2044"/>
      <c r="V1528" s="2044"/>
      <c r="W1528" s="2044"/>
      <c r="X1528" s="2044"/>
      <c r="Y1528" s="2044"/>
      <c r="Z1528" s="2044"/>
      <c r="AA1528" s="2044"/>
      <c r="AB1528" s="2044"/>
      <c r="AC1528" s="2044"/>
      <c r="AD1528" s="2044"/>
      <c r="AE1528" s="2044"/>
      <c r="AF1528" s="2044"/>
      <c r="AG1528" s="2044"/>
      <c r="AH1528" s="2044"/>
      <c r="AI1528" s="2044"/>
      <c r="AJ1528" s="2044"/>
      <c r="AK1528" s="2044"/>
      <c r="AL1528" s="2044"/>
      <c r="AM1528" s="2044"/>
      <c r="AN1528" s="2044"/>
      <c r="AO1528" s="2044"/>
      <c r="AP1528" s="2044"/>
      <c r="AQ1528" s="2044"/>
      <c r="AR1528" s="2044"/>
    </row>
    <row r="1529" spans="1:44" s="1853" customFormat="1" ht="11.45" customHeight="1">
      <c r="A1529" s="2256"/>
      <c r="B1529" s="2229" t="s">
        <v>1659</v>
      </c>
      <c r="C1529" s="435" t="s">
        <v>3374</v>
      </c>
      <c r="D1529" s="435"/>
      <c r="E1529" s="435"/>
      <c r="F1529" s="435"/>
      <c r="G1529" s="435"/>
      <c r="H1529" s="435"/>
      <c r="I1529" s="435"/>
      <c r="J1529" s="435"/>
      <c r="K1529" s="435"/>
      <c r="L1529" s="435"/>
      <c r="M1529" s="435"/>
      <c r="O1529" s="2225" t="s">
        <v>1659</v>
      </c>
      <c r="P1529" s="2231" t="str">
        <f>'Part VIII-Threshold Criteria'!P289</f>
        <v>Yes</v>
      </c>
      <c r="Q1529" s="2165"/>
      <c r="S1529" s="2270"/>
      <c r="T1529" s="2270"/>
      <c r="U1529" s="2270"/>
      <c r="V1529" s="2270"/>
      <c r="W1529" s="2270"/>
      <c r="X1529" s="2270"/>
      <c r="Y1529" s="2270"/>
      <c r="Z1529" s="2270"/>
      <c r="AA1529" s="2270"/>
      <c r="AB1529" s="2270"/>
      <c r="AC1529" s="2270"/>
      <c r="AD1529" s="2270"/>
      <c r="AE1529" s="2270"/>
      <c r="AF1529" s="2270"/>
      <c r="AG1529" s="2270"/>
      <c r="AH1529" s="2270"/>
      <c r="AI1529" s="2270"/>
      <c r="AJ1529" s="2270"/>
      <c r="AK1529" s="2270"/>
      <c r="AL1529" s="2270"/>
      <c r="AM1529" s="2270"/>
      <c r="AN1529" s="2270"/>
      <c r="AO1529" s="2270"/>
      <c r="AP1529" s="2270"/>
      <c r="AQ1529" s="2270"/>
      <c r="AR1529" s="2270"/>
    </row>
    <row r="1530" spans="1:44" s="1853" customFormat="1" ht="11.45" customHeight="1">
      <c r="A1530" s="2256" t="s">
        <v>1894</v>
      </c>
      <c r="B1530" s="435" t="s">
        <v>3375</v>
      </c>
      <c r="D1530" s="435"/>
      <c r="E1530" s="435"/>
      <c r="F1530" s="435"/>
      <c r="G1530" s="435"/>
      <c r="H1530" s="435"/>
      <c r="I1530" s="435"/>
      <c r="J1530" s="435"/>
      <c r="K1530" s="435"/>
      <c r="L1530" s="435"/>
      <c r="M1530" s="435"/>
      <c r="O1530" s="2256" t="s">
        <v>1894</v>
      </c>
      <c r="P1530" s="2231" t="str">
        <f>'Part VIII-Threshold Criteria'!P290</f>
        <v>Yes</v>
      </c>
      <c r="Q1530" s="2165"/>
      <c r="S1530" s="2270"/>
      <c r="T1530" s="2270"/>
      <c r="U1530" s="2270"/>
      <c r="V1530" s="2270"/>
      <c r="W1530" s="2270"/>
      <c r="X1530" s="2270"/>
      <c r="Y1530" s="2270"/>
      <c r="Z1530" s="2270"/>
      <c r="AA1530" s="2270"/>
      <c r="AB1530" s="2270"/>
      <c r="AC1530" s="2270"/>
      <c r="AD1530" s="2270"/>
      <c r="AE1530" s="2270"/>
      <c r="AF1530" s="2270"/>
      <c r="AG1530" s="2270"/>
      <c r="AH1530" s="2270"/>
      <c r="AI1530" s="2270"/>
      <c r="AJ1530" s="2270"/>
      <c r="AK1530" s="2270"/>
      <c r="AL1530" s="2270"/>
      <c r="AM1530" s="2270"/>
      <c r="AN1530" s="2270"/>
      <c r="AO1530" s="2270"/>
      <c r="AP1530" s="2270"/>
      <c r="AQ1530" s="2270"/>
      <c r="AR1530" s="2270"/>
    </row>
    <row r="1531" spans="1:44" s="2159" customFormat="1" ht="23.25" customHeight="1">
      <c r="A1531" s="2225" t="s">
        <v>719</v>
      </c>
      <c r="B1531" s="2229" t="s">
        <v>1658</v>
      </c>
      <c r="C1531" s="2224" t="s">
        <v>4260</v>
      </c>
      <c r="D1531" s="2224"/>
      <c r="E1531" s="2224"/>
      <c r="F1531" s="2224"/>
      <c r="G1531" s="2224"/>
      <c r="H1531" s="2224"/>
      <c r="I1531" s="2224"/>
      <c r="J1531" s="2224"/>
      <c r="K1531" s="2224"/>
      <c r="L1531" s="2224"/>
      <c r="M1531" s="2224"/>
      <c r="N1531" s="2224"/>
      <c r="O1531" s="2225" t="s">
        <v>4261</v>
      </c>
      <c r="P1531" s="2265" t="str">
        <f>'Part VIII-Threshold Criteria'!P291</f>
        <v>Yes</v>
      </c>
      <c r="Q1531" s="2253"/>
      <c r="S1531" s="2044"/>
      <c r="T1531" s="2044"/>
      <c r="U1531" s="2044"/>
      <c r="V1531" s="2044"/>
      <c r="W1531" s="2044"/>
      <c r="X1531" s="2044"/>
      <c r="Y1531" s="2044"/>
      <c r="Z1531" s="2044"/>
      <c r="AA1531" s="2044"/>
      <c r="AB1531" s="2044"/>
      <c r="AC1531" s="2044"/>
      <c r="AD1531" s="2044"/>
      <c r="AE1531" s="2044"/>
      <c r="AF1531" s="2044"/>
      <c r="AG1531" s="2044"/>
      <c r="AH1531" s="2044"/>
      <c r="AI1531" s="2044"/>
      <c r="AJ1531" s="2044"/>
      <c r="AK1531" s="2044"/>
      <c r="AL1531" s="2044"/>
      <c r="AM1531" s="2044"/>
      <c r="AN1531" s="2044"/>
      <c r="AO1531" s="2044"/>
      <c r="AP1531" s="2044"/>
      <c r="AQ1531" s="2044"/>
      <c r="AR1531" s="2044"/>
    </row>
    <row r="1532" spans="1:44" s="1853" customFormat="1" ht="11.45" customHeight="1">
      <c r="A1532" s="2256"/>
      <c r="B1532" s="2229" t="s">
        <v>1659</v>
      </c>
      <c r="C1532" s="435" t="s">
        <v>3376</v>
      </c>
      <c r="D1532" s="435"/>
      <c r="E1532" s="435"/>
      <c r="F1532" s="435"/>
      <c r="G1532" s="435"/>
      <c r="H1532" s="435"/>
      <c r="I1532" s="435"/>
      <c r="J1532" s="435"/>
      <c r="K1532" s="435"/>
      <c r="L1532" s="435"/>
      <c r="M1532" s="435"/>
      <c r="O1532" s="2225" t="s">
        <v>1659</v>
      </c>
      <c r="P1532" s="2231" t="str">
        <f>'Part VIII-Threshold Criteria'!P292</f>
        <v>Yes</v>
      </c>
      <c r="Q1532" s="2165"/>
      <c r="S1532" s="2270"/>
      <c r="T1532" s="2270"/>
      <c r="U1532" s="2270"/>
      <c r="V1532" s="2270"/>
      <c r="W1532" s="2270"/>
      <c r="X1532" s="2270"/>
      <c r="Y1532" s="2270"/>
      <c r="Z1532" s="2270"/>
      <c r="AA1532" s="2270"/>
      <c r="AB1532" s="2270"/>
      <c r="AC1532" s="2270"/>
      <c r="AD1532" s="2270"/>
      <c r="AE1532" s="2270"/>
      <c r="AF1532" s="2270"/>
      <c r="AG1532" s="2270"/>
      <c r="AH1532" s="2270"/>
      <c r="AI1532" s="2270"/>
      <c r="AJ1532" s="2270"/>
      <c r="AK1532" s="2270"/>
      <c r="AL1532" s="2270"/>
      <c r="AM1532" s="2270"/>
      <c r="AN1532" s="2270"/>
      <c r="AO1532" s="2270"/>
      <c r="AP1532" s="2270"/>
      <c r="AQ1532" s="2270"/>
      <c r="AR1532" s="2270"/>
    </row>
    <row r="1533" spans="1:44" s="1853" customFormat="1" ht="22.5" customHeight="1">
      <c r="A1533" s="2225" t="s">
        <v>2020</v>
      </c>
      <c r="B1533" s="2224" t="s">
        <v>6343</v>
      </c>
      <c r="C1533" s="2224"/>
      <c r="D1533" s="2224"/>
      <c r="E1533" s="2224"/>
      <c r="F1533" s="2224"/>
      <c r="G1533" s="2224"/>
      <c r="H1533" s="2224"/>
      <c r="I1533" s="2224"/>
      <c r="J1533" s="2224"/>
      <c r="K1533" s="2224"/>
      <c r="L1533" s="2224"/>
      <c r="M1533" s="2224"/>
      <c r="N1533" s="2224"/>
      <c r="O1533" s="2225" t="s">
        <v>2020</v>
      </c>
      <c r="P1533" s="2265" t="str">
        <f>'Part VIII-Threshold Criteria'!P293</f>
        <v>Yes</v>
      </c>
      <c r="Q1533" s="2253"/>
      <c r="S1533" s="2270"/>
      <c r="T1533" s="2270"/>
      <c r="U1533" s="2270"/>
      <c r="V1533" s="2270"/>
      <c r="W1533" s="2270"/>
      <c r="X1533" s="2270"/>
      <c r="Y1533" s="2270"/>
      <c r="Z1533" s="2270"/>
      <c r="AA1533" s="2270"/>
      <c r="AB1533" s="2270"/>
      <c r="AC1533" s="2270"/>
      <c r="AD1533" s="2270"/>
      <c r="AE1533" s="2270"/>
      <c r="AF1533" s="2270"/>
      <c r="AG1533" s="2270"/>
      <c r="AH1533" s="2270"/>
      <c r="AI1533" s="2270"/>
      <c r="AJ1533" s="2270"/>
      <c r="AK1533" s="2270"/>
      <c r="AL1533" s="2270"/>
      <c r="AM1533" s="2270"/>
      <c r="AN1533" s="2270"/>
      <c r="AO1533" s="2270"/>
      <c r="AP1533" s="2270"/>
      <c r="AQ1533" s="2270"/>
      <c r="AR1533" s="2270"/>
    </row>
    <row r="1534" spans="1:44" s="1853" customFormat="1" ht="11.25" customHeight="1">
      <c r="B1534" s="2171" t="s">
        <v>3372</v>
      </c>
      <c r="D1534" s="2171"/>
      <c r="E1534" s="2171"/>
      <c r="F1534" s="2171"/>
      <c r="G1534" s="2171"/>
      <c r="H1534" s="2122"/>
      <c r="I1534" s="2165"/>
      <c r="J1534" s="2165"/>
      <c r="K1534" s="2165"/>
      <c r="L1534" s="2118"/>
      <c r="M1534" s="2118"/>
      <c r="N1534" s="2118"/>
      <c r="O1534" s="2118"/>
      <c r="P1534" s="2118"/>
      <c r="Q1534" s="2118"/>
      <c r="S1534" s="2270"/>
      <c r="T1534" s="2270"/>
      <c r="U1534" s="2270"/>
      <c r="V1534" s="2270"/>
      <c r="W1534" s="2270"/>
      <c r="X1534" s="2270"/>
      <c r="Y1534" s="2270"/>
      <c r="Z1534" s="2270"/>
      <c r="AA1534" s="2270"/>
      <c r="AB1534" s="2270"/>
      <c r="AC1534" s="2270"/>
      <c r="AD1534" s="2270"/>
      <c r="AE1534" s="2270"/>
      <c r="AF1534" s="2270"/>
      <c r="AG1534" s="2270"/>
      <c r="AH1534" s="2270"/>
      <c r="AI1534" s="2270"/>
      <c r="AJ1534" s="2270"/>
      <c r="AK1534" s="2270"/>
      <c r="AL1534" s="2270"/>
      <c r="AM1534" s="2270"/>
      <c r="AN1534" s="2270"/>
      <c r="AO1534" s="2270"/>
      <c r="AP1534" s="2270"/>
      <c r="AQ1534" s="2270"/>
      <c r="AR1534" s="2270"/>
    </row>
    <row r="1535" spans="1:44" s="1853" customFormat="1" ht="13.35" customHeight="1">
      <c r="A1535" s="2227" t="str">
        <f>'Part VIII-Threshold Criteria'!A295</f>
        <v>The Conceptual Site Development Plan meets all DCA requirements.  Location and Vicinity Maps show geo-coordinates and entire municipality. Site pictures are in color, numbered, dated and include descriptions. All site photos are keyed to site map. The most recent satellite aerial photo is included.. See Tab 15.</v>
      </c>
      <c r="B1535" s="2227"/>
      <c r="C1535" s="2227"/>
      <c r="D1535" s="2227"/>
      <c r="E1535" s="2227"/>
      <c r="F1535" s="2227"/>
      <c r="G1535" s="2227"/>
      <c r="H1535" s="2227"/>
      <c r="I1535" s="2227"/>
      <c r="J1535" s="2227"/>
      <c r="K1535" s="2227"/>
      <c r="L1535" s="2227"/>
      <c r="M1535" s="2227"/>
      <c r="N1535" s="2227"/>
      <c r="O1535" s="2227"/>
      <c r="P1535" s="2227"/>
      <c r="Q1535" s="2227"/>
      <c r="R1535" s="1856" t="s">
        <v>1208</v>
      </c>
      <c r="S1535" s="2277"/>
      <c r="T1535" s="2270"/>
      <c r="U1535" s="2184"/>
      <c r="V1535" s="2184"/>
      <c r="W1535" s="2184"/>
      <c r="X1535" s="2184"/>
      <c r="Y1535" s="2184"/>
      <c r="Z1535" s="2184"/>
      <c r="AA1535" s="2184"/>
      <c r="AB1535" s="2184"/>
      <c r="AC1535" s="2184"/>
      <c r="AD1535" s="2184"/>
      <c r="AE1535" s="2184"/>
      <c r="AF1535" s="2270"/>
      <c r="AG1535" s="2270"/>
      <c r="AH1535" s="2270"/>
      <c r="AI1535" s="2270"/>
      <c r="AJ1535" s="2270"/>
      <c r="AK1535" s="2270"/>
      <c r="AL1535" s="2270"/>
      <c r="AM1535" s="2270"/>
      <c r="AN1535" s="2270"/>
      <c r="AO1535" s="2270"/>
      <c r="AP1535" s="2270"/>
      <c r="AQ1535" s="2270"/>
      <c r="AR1535" s="2270"/>
    </row>
    <row r="1536" spans="1:44" s="1853" customFormat="1" ht="11.25" customHeight="1">
      <c r="B1536" s="2228" t="s">
        <v>1779</v>
      </c>
      <c r="C1536" s="2228"/>
      <c r="D1536" s="2229"/>
      <c r="E1536" s="2229"/>
      <c r="F1536" s="2229"/>
      <c r="G1536" s="2229"/>
      <c r="H1536" s="2229"/>
      <c r="I1536" s="2229"/>
      <c r="J1536" s="2229"/>
      <c r="K1536" s="2229"/>
      <c r="L1536" s="2229"/>
      <c r="M1536" s="2229"/>
      <c r="N1536" s="2229"/>
      <c r="O1536" s="2229"/>
      <c r="P1536" s="2229"/>
      <c r="Q1536" s="2229"/>
      <c r="S1536" s="2270"/>
      <c r="T1536" s="2270"/>
      <c r="U1536" s="2270"/>
      <c r="V1536" s="2270"/>
      <c r="W1536" s="2270"/>
      <c r="X1536" s="2270"/>
      <c r="Y1536" s="2270"/>
      <c r="Z1536" s="2270"/>
      <c r="AA1536" s="2270"/>
      <c r="AB1536" s="2270"/>
      <c r="AC1536" s="2270"/>
      <c r="AD1536" s="2270"/>
      <c r="AE1536" s="2270"/>
      <c r="AF1536" s="2270"/>
      <c r="AG1536" s="2270"/>
      <c r="AH1536" s="2270"/>
      <c r="AI1536" s="2270"/>
      <c r="AJ1536" s="2270"/>
      <c r="AK1536" s="2270"/>
      <c r="AL1536" s="2270"/>
      <c r="AM1536" s="2270"/>
      <c r="AN1536" s="2270"/>
      <c r="AO1536" s="2270"/>
      <c r="AP1536" s="2270"/>
      <c r="AQ1536" s="2270"/>
      <c r="AR1536" s="2270"/>
    </row>
    <row r="1537" spans="1:44" s="1853" customFormat="1" ht="13.35" customHeight="1">
      <c r="A1537" s="2224"/>
      <c r="B1537" s="2224"/>
      <c r="C1537" s="2224"/>
      <c r="D1537" s="2224"/>
      <c r="E1537" s="2224"/>
      <c r="F1537" s="2224"/>
      <c r="G1537" s="2224"/>
      <c r="H1537" s="2224"/>
      <c r="I1537" s="2224"/>
      <c r="J1537" s="2224"/>
      <c r="K1537" s="2224"/>
      <c r="L1537" s="2224"/>
      <c r="M1537" s="2224"/>
      <c r="N1537" s="2224"/>
      <c r="O1537" s="2224"/>
      <c r="P1537" s="2224"/>
      <c r="Q1537" s="2224"/>
      <c r="S1537" s="2270"/>
      <c r="T1537" s="2270"/>
      <c r="U1537" s="2270"/>
      <c r="V1537" s="2270"/>
      <c r="W1537" s="2270"/>
      <c r="X1537" s="2270"/>
      <c r="Y1537" s="2270"/>
      <c r="Z1537" s="2270"/>
      <c r="AA1537" s="2270"/>
      <c r="AB1537" s="2270"/>
      <c r="AC1537" s="2270"/>
      <c r="AD1537" s="2270"/>
      <c r="AE1537" s="2270"/>
      <c r="AF1537" s="2270"/>
      <c r="AG1537" s="2270"/>
      <c r="AH1537" s="2270"/>
      <c r="AI1537" s="2270"/>
      <c r="AJ1537" s="2270"/>
      <c r="AK1537" s="2270"/>
      <c r="AL1537" s="2270"/>
      <c r="AM1537" s="2270"/>
      <c r="AN1537" s="2270"/>
      <c r="AO1537" s="2270"/>
      <c r="AP1537" s="2270"/>
      <c r="AQ1537" s="2270"/>
      <c r="AR1537" s="2270"/>
    </row>
    <row r="1538" spans="1:44" s="1853" customFormat="1" ht="3" customHeight="1">
      <c r="S1538" s="2270"/>
      <c r="T1538" s="2270"/>
      <c r="U1538" s="2270"/>
      <c r="V1538" s="2270"/>
      <c r="W1538" s="2270"/>
      <c r="X1538" s="2270"/>
      <c r="Y1538" s="2270"/>
      <c r="Z1538" s="2270"/>
      <c r="AA1538" s="2270"/>
      <c r="AB1538" s="2270"/>
      <c r="AC1538" s="2270"/>
      <c r="AD1538" s="2270"/>
      <c r="AE1538" s="2270"/>
      <c r="AF1538" s="2270"/>
      <c r="AG1538" s="2270"/>
      <c r="AH1538" s="2270"/>
      <c r="AI1538" s="2270"/>
      <c r="AJ1538" s="2270"/>
      <c r="AK1538" s="2270"/>
      <c r="AL1538" s="2270"/>
      <c r="AM1538" s="2270"/>
      <c r="AN1538" s="2270"/>
      <c r="AO1538" s="2270"/>
      <c r="AP1538" s="2270"/>
      <c r="AQ1538" s="2270"/>
      <c r="AR1538" s="2270"/>
    </row>
    <row r="1539" spans="1:44" s="1853" customFormat="1" ht="14.1" customHeight="1">
      <c r="A1539" s="2106" t="s">
        <v>3520</v>
      </c>
      <c r="B1539" s="2106" t="s">
        <v>2520</v>
      </c>
      <c r="C1539" s="2106"/>
      <c r="D1539" s="2229"/>
      <c r="E1539" s="2229"/>
      <c r="F1539" s="2229"/>
      <c r="G1539" s="2229"/>
      <c r="H1539" s="2229"/>
      <c r="I1539" s="2229"/>
      <c r="J1539" s="2229"/>
      <c r="K1539" s="2229"/>
      <c r="L1539" s="2229"/>
      <c r="M1539" s="2229"/>
      <c r="O1539" s="2225" t="s">
        <v>1780</v>
      </c>
      <c r="P1539" s="1719"/>
      <c r="Q1539" s="1719"/>
      <c r="S1539" s="2270"/>
      <c r="T1539" s="2270"/>
      <c r="U1539" s="2270"/>
      <c r="V1539" s="2270"/>
      <c r="W1539" s="2270"/>
      <c r="X1539" s="2270"/>
      <c r="Y1539" s="2270"/>
      <c r="Z1539" s="2270"/>
      <c r="AA1539" s="2270"/>
      <c r="AB1539" s="2270"/>
      <c r="AC1539" s="2270"/>
      <c r="AD1539" s="2270"/>
      <c r="AE1539" s="2270"/>
      <c r="AF1539" s="2270"/>
      <c r="AG1539" s="2270"/>
      <c r="AH1539" s="2270"/>
      <c r="AI1539" s="2270"/>
      <c r="AJ1539" s="2270"/>
      <c r="AK1539" s="2270"/>
      <c r="AL1539" s="2270"/>
      <c r="AM1539" s="2270"/>
      <c r="AN1539" s="2270"/>
      <c r="AO1539" s="2270"/>
      <c r="AP1539" s="2270"/>
      <c r="AQ1539" s="2270"/>
      <c r="AR1539" s="2270"/>
    </row>
    <row r="1540" spans="1:44" s="1853" customFormat="1" ht="11.45" customHeight="1">
      <c r="B1540" s="2113" t="s">
        <v>6451</v>
      </c>
      <c r="N1540" s="2052"/>
      <c r="P1540" s="2231" t="str">
        <f>'Part VIII-Threshold Criteria'!P300</f>
        <v>No</v>
      </c>
      <c r="Q1540" s="2165"/>
      <c r="S1540" s="2270"/>
      <c r="T1540" s="2270"/>
      <c r="U1540" s="2270"/>
      <c r="V1540" s="2270"/>
      <c r="W1540" s="2270"/>
      <c r="X1540" s="2270"/>
      <c r="Y1540" s="2270"/>
      <c r="Z1540" s="2270"/>
      <c r="AA1540" s="2270"/>
      <c r="AB1540" s="2270"/>
      <c r="AC1540" s="2270"/>
      <c r="AD1540" s="2270"/>
      <c r="AE1540" s="2270"/>
      <c r="AF1540" s="2270"/>
      <c r="AG1540" s="2270"/>
      <c r="AH1540" s="2270"/>
      <c r="AI1540" s="2270"/>
      <c r="AJ1540" s="2270"/>
      <c r="AK1540" s="2270"/>
      <c r="AL1540" s="2270"/>
      <c r="AM1540" s="2270"/>
      <c r="AN1540" s="2270"/>
      <c r="AO1540" s="2270"/>
      <c r="AP1540" s="2270"/>
      <c r="AQ1540" s="2270"/>
      <c r="AR1540" s="2270"/>
    </row>
    <row r="1541" spans="1:44" s="1818" customFormat="1" ht="11.45" customHeight="1">
      <c r="A1541" s="2256" t="s">
        <v>1892</v>
      </c>
      <c r="B1541" s="1719" t="s">
        <v>6455</v>
      </c>
      <c r="O1541" s="2225" t="s">
        <v>1892</v>
      </c>
      <c r="R1541" s="2283"/>
      <c r="S1541" s="1977"/>
      <c r="T1541" s="1977"/>
      <c r="U1541" s="1977"/>
      <c r="V1541" s="1977"/>
      <c r="W1541" s="1977"/>
      <c r="X1541" s="1977"/>
      <c r="Y1541" s="1977"/>
      <c r="Z1541" s="1977"/>
      <c r="AA1541" s="1977"/>
      <c r="AB1541" s="1977"/>
      <c r="AC1541" s="1977"/>
      <c r="AD1541" s="1977"/>
      <c r="AE1541" s="1977"/>
      <c r="AF1541" s="1977"/>
      <c r="AG1541" s="1977"/>
      <c r="AH1541" s="1977"/>
      <c r="AI1541" s="1977"/>
      <c r="AJ1541" s="1977"/>
      <c r="AK1541" s="1977"/>
      <c r="AL1541" s="1977"/>
      <c r="AM1541" s="1977"/>
      <c r="AN1541" s="1977"/>
      <c r="AO1541" s="1977"/>
      <c r="AP1541" s="1977"/>
      <c r="AQ1541" s="1977"/>
      <c r="AR1541" s="1977"/>
    </row>
    <row r="1542" spans="1:44" s="2159" customFormat="1" ht="33" customHeight="1">
      <c r="B1542" s="2224" t="s">
        <v>1658</v>
      </c>
      <c r="C1542" s="2224" t="s">
        <v>4026</v>
      </c>
      <c r="D1542" s="2224"/>
      <c r="E1542" s="2224"/>
      <c r="F1542" s="2224"/>
      <c r="G1542" s="2224"/>
      <c r="H1542" s="2224"/>
      <c r="I1542" s="2224"/>
      <c r="J1542" s="2224"/>
      <c r="K1542" s="2224"/>
      <c r="L1542" s="2224"/>
      <c r="M1542" s="2224"/>
      <c r="N1542" s="2224"/>
      <c r="O1542" s="2225" t="s">
        <v>1658</v>
      </c>
      <c r="P1542" s="2265" t="str">
        <f>'Part VIII-Threshold Criteria'!P302</f>
        <v>Agree</v>
      </c>
      <c r="Q1542" s="2253"/>
      <c r="S1542" s="2044"/>
      <c r="T1542" s="2044"/>
      <c r="U1542" s="2044"/>
      <c r="V1542" s="2044"/>
      <c r="W1542" s="2044"/>
      <c r="X1542" s="2044"/>
      <c r="Y1542" s="2044"/>
      <c r="Z1542" s="2044"/>
      <c r="AA1542" s="2044"/>
      <c r="AB1542" s="2044"/>
      <c r="AC1542" s="2044"/>
      <c r="AD1542" s="2044"/>
      <c r="AE1542" s="2044"/>
      <c r="AF1542" s="2044"/>
      <c r="AG1542" s="2044"/>
      <c r="AH1542" s="2044"/>
      <c r="AI1542" s="2044"/>
      <c r="AJ1542" s="2044"/>
      <c r="AK1542" s="2044"/>
      <c r="AL1542" s="2044"/>
      <c r="AM1542" s="2044"/>
      <c r="AN1542" s="2044"/>
      <c r="AO1542" s="2044"/>
      <c r="AP1542" s="2044"/>
      <c r="AQ1542" s="2044"/>
      <c r="AR1542" s="2044"/>
    </row>
    <row r="1543" spans="1:44" s="2159" customFormat="1" ht="21.75" customHeight="1">
      <c r="A1543" s="2225"/>
      <c r="B1543" s="2224" t="s">
        <v>1659</v>
      </c>
      <c r="C1543" s="2224" t="s">
        <v>2617</v>
      </c>
      <c r="D1543" s="2224"/>
      <c r="E1543" s="2224"/>
      <c r="F1543" s="2224"/>
      <c r="G1543" s="2224"/>
      <c r="H1543" s="2224"/>
      <c r="I1543" s="2224"/>
      <c r="J1543" s="2224"/>
      <c r="K1543" s="2224"/>
      <c r="L1543" s="2224"/>
      <c r="M1543" s="2224"/>
      <c r="N1543" s="2224"/>
      <c r="O1543" s="2225" t="s">
        <v>1659</v>
      </c>
      <c r="P1543" s="2265" t="str">
        <f>'Part VIII-Threshold Criteria'!P303</f>
        <v>Agree</v>
      </c>
      <c r="Q1543" s="2253"/>
      <c r="S1543" s="2044"/>
      <c r="T1543" s="2044"/>
      <c r="U1543" s="2044"/>
      <c r="V1543" s="2044"/>
      <c r="W1543" s="2044"/>
      <c r="X1543" s="2044"/>
      <c r="Y1543" s="2044"/>
      <c r="Z1543" s="2044"/>
      <c r="AA1543" s="2044"/>
      <c r="AB1543" s="2044"/>
      <c r="AC1543" s="2044"/>
      <c r="AD1543" s="2044"/>
      <c r="AE1543" s="2044"/>
      <c r="AF1543" s="2044"/>
      <c r="AG1543" s="2044"/>
      <c r="AH1543" s="2044"/>
      <c r="AI1543" s="2044"/>
      <c r="AJ1543" s="2044"/>
      <c r="AK1543" s="2044"/>
      <c r="AL1543" s="2044"/>
      <c r="AM1543" s="2044"/>
      <c r="AN1543" s="2044"/>
      <c r="AO1543" s="2044"/>
      <c r="AP1543" s="2044"/>
      <c r="AQ1543" s="2044"/>
      <c r="AR1543" s="2044"/>
    </row>
    <row r="1544" spans="1:44" s="1853" customFormat="1" ht="12.75" customHeight="1">
      <c r="A1544" s="2142" t="s">
        <v>1894</v>
      </c>
      <c r="B1544" s="1719" t="s">
        <v>299</v>
      </c>
      <c r="D1544" s="1818"/>
      <c r="E1544" s="1818"/>
      <c r="J1544" s="2256" t="s">
        <v>1894</v>
      </c>
      <c r="K1544" s="1870" t="str">
        <f>'Part VIII-Threshold Criteria'!K304</f>
        <v>Earth Craft House Multifamily</v>
      </c>
      <c r="L1544" s="1870"/>
      <c r="M1544" s="1870"/>
      <c r="N1544" s="1870"/>
      <c r="O1544" s="1870"/>
      <c r="P1544" s="1870"/>
      <c r="Q1544" s="2253"/>
      <c r="X1544" s="2270"/>
      <c r="Y1544" s="2270"/>
      <c r="Z1544" s="2270"/>
      <c r="AA1544" s="2270"/>
      <c r="AB1544" s="2270"/>
      <c r="AC1544" s="2270"/>
      <c r="AD1544" s="2270"/>
      <c r="AE1544" s="2270"/>
      <c r="AF1544" s="2270"/>
      <c r="AG1544" s="2270"/>
      <c r="AH1544" s="2270"/>
      <c r="AI1544" s="2270"/>
      <c r="AJ1544" s="2270"/>
      <c r="AK1544" s="2270"/>
      <c r="AL1544" s="2270"/>
      <c r="AM1544" s="2270"/>
      <c r="AN1544" s="2270"/>
      <c r="AO1544" s="2270"/>
      <c r="AP1544" s="2270"/>
      <c r="AQ1544" s="2270"/>
      <c r="AR1544" s="2270"/>
    </row>
    <row r="1545" spans="1:44" s="1818" customFormat="1" ht="11.45" customHeight="1">
      <c r="A1545" s="2142" t="s">
        <v>719</v>
      </c>
      <c r="B1545" s="1719" t="s">
        <v>6454</v>
      </c>
      <c r="R1545" s="2283"/>
      <c r="S1545" s="1977"/>
      <c r="T1545" s="1977"/>
      <c r="U1545" s="1977"/>
      <c r="V1545" s="1977"/>
      <c r="W1545" s="1977"/>
      <c r="X1545" s="1977"/>
      <c r="Y1545" s="1977"/>
      <c r="Z1545" s="1977"/>
      <c r="AA1545" s="1977"/>
      <c r="AB1545" s="1977"/>
      <c r="AC1545" s="1977"/>
      <c r="AD1545" s="1977"/>
      <c r="AE1545" s="1977"/>
      <c r="AF1545" s="1977"/>
      <c r="AG1545" s="1977"/>
      <c r="AH1545" s="1977"/>
      <c r="AI1545" s="1977"/>
      <c r="AJ1545" s="1977"/>
      <c r="AK1545" s="1977"/>
      <c r="AL1545" s="1977"/>
      <c r="AM1545" s="1977"/>
      <c r="AN1545" s="1977"/>
      <c r="AO1545" s="1977"/>
      <c r="AP1545" s="1977"/>
      <c r="AQ1545" s="1977"/>
      <c r="AR1545" s="1977"/>
    </row>
    <row r="1546" spans="1:44" s="1853" customFormat="1" ht="11.45" customHeight="1">
      <c r="A1546" s="2142"/>
      <c r="B1546" s="435" t="s">
        <v>6456</v>
      </c>
      <c r="D1546" s="1818"/>
      <c r="E1546" s="1818"/>
      <c r="N1546" s="2284" t="s">
        <v>6457</v>
      </c>
      <c r="O1546" s="2256" t="s">
        <v>719</v>
      </c>
      <c r="P1546" s="2265" t="str">
        <f>'Part VIII-Threshold Criteria'!P306</f>
        <v>Agree</v>
      </c>
      <c r="Q1546" s="2253"/>
      <c r="R1546" s="2256"/>
      <c r="S1546" s="2270"/>
      <c r="T1546" s="2270"/>
      <c r="U1546" s="2270"/>
      <c r="V1546" s="2270"/>
      <c r="W1546" s="2270"/>
      <c r="X1546" s="2270"/>
      <c r="Y1546" s="2270"/>
      <c r="Z1546" s="2270"/>
      <c r="AA1546" s="2270"/>
      <c r="AB1546" s="2270"/>
      <c r="AC1546" s="2270"/>
      <c r="AD1546" s="2270"/>
      <c r="AE1546" s="2270"/>
      <c r="AF1546" s="2270"/>
      <c r="AG1546" s="2270"/>
      <c r="AH1546" s="2270"/>
      <c r="AI1546" s="2270"/>
      <c r="AJ1546" s="2270"/>
      <c r="AK1546" s="2270"/>
      <c r="AL1546" s="2270"/>
      <c r="AM1546" s="2270"/>
      <c r="AN1546" s="2270"/>
      <c r="AO1546" s="2270"/>
      <c r="AP1546" s="2270"/>
      <c r="AQ1546" s="2270"/>
      <c r="AR1546" s="2270"/>
    </row>
    <row r="1547" spans="1:44" s="2285" customFormat="1" ht="11.45" customHeight="1">
      <c r="A1547" s="1818"/>
      <c r="B1547" s="2171" t="s">
        <v>3372</v>
      </c>
      <c r="C1547" s="1818"/>
      <c r="D1547" s="1719"/>
      <c r="E1547" s="1719"/>
      <c r="F1547" s="1719"/>
      <c r="G1547" s="1719"/>
      <c r="K1547" s="435"/>
      <c r="M1547" s="2109"/>
      <c r="N1547" s="2109"/>
      <c r="O1547" s="2193"/>
      <c r="P1547" s="2109"/>
      <c r="S1547" s="2286"/>
      <c r="T1547" s="2286"/>
      <c r="U1547" s="2286"/>
      <c r="V1547" s="2286"/>
      <c r="W1547" s="2286"/>
      <c r="X1547" s="2286"/>
      <c r="Y1547" s="2286"/>
      <c r="Z1547" s="2286"/>
      <c r="AA1547" s="2286"/>
      <c r="AB1547" s="2286"/>
      <c r="AC1547" s="2286"/>
      <c r="AD1547" s="2286"/>
      <c r="AE1547" s="2286"/>
      <c r="AF1547" s="2286"/>
      <c r="AG1547" s="2286"/>
      <c r="AH1547" s="2286"/>
      <c r="AI1547" s="2286"/>
      <c r="AJ1547" s="2286"/>
      <c r="AK1547" s="2286"/>
      <c r="AL1547" s="2286"/>
      <c r="AM1547" s="2286"/>
      <c r="AN1547" s="2286"/>
      <c r="AO1547" s="2286"/>
      <c r="AP1547" s="2286"/>
      <c r="AQ1547" s="2286"/>
      <c r="AR1547" s="2286"/>
    </row>
    <row r="1548" spans="1:44" s="2275" customFormat="1" ht="21.75" customHeight="1">
      <c r="A1548" s="2227" t="str">
        <f>'Part VIII-Threshold Criteria'!A308</f>
        <v>The applicant agrees to comply with DCA's building sustainability standards. Several staff members of the general partner entities have participated in the DCA Green Building Webinar. A draft EarthCraft worksheet and copies of the Green Building Certification is included in Tab 17.</v>
      </c>
      <c r="B1548" s="2227"/>
      <c r="C1548" s="2227"/>
      <c r="D1548" s="2227"/>
      <c r="E1548" s="2227"/>
      <c r="F1548" s="2227"/>
      <c r="G1548" s="2227"/>
      <c r="H1548" s="2227"/>
      <c r="I1548" s="2227"/>
      <c r="J1548" s="2227"/>
      <c r="K1548" s="2227"/>
      <c r="L1548" s="2227"/>
      <c r="M1548" s="2227"/>
      <c r="N1548" s="2227"/>
      <c r="O1548" s="2227"/>
      <c r="P1548" s="2227"/>
      <c r="Q1548" s="2227"/>
      <c r="R1548" s="1856" t="s">
        <v>1208</v>
      </c>
      <c r="S1548" s="2276"/>
      <c r="T1548" s="2276"/>
      <c r="U1548" s="2276"/>
      <c r="V1548" s="2276"/>
      <c r="W1548" s="2276"/>
      <c r="X1548" s="2276"/>
      <c r="Y1548" s="2276"/>
      <c r="Z1548" s="2276"/>
      <c r="AA1548" s="2276"/>
      <c r="AB1548" s="2276"/>
      <c r="AC1548" s="2276"/>
      <c r="AD1548" s="2276"/>
      <c r="AE1548" s="2276"/>
      <c r="AF1548" s="2276"/>
      <c r="AG1548" s="2276"/>
      <c r="AH1548" s="2276"/>
      <c r="AI1548" s="2276"/>
      <c r="AJ1548" s="2276"/>
      <c r="AK1548" s="2276"/>
      <c r="AL1548" s="2276"/>
      <c r="AM1548" s="2276"/>
      <c r="AN1548" s="2276"/>
      <c r="AO1548" s="2276"/>
      <c r="AP1548" s="2276"/>
      <c r="AQ1548" s="2276"/>
      <c r="AR1548" s="2276"/>
    </row>
    <row r="1549" spans="1:44" s="2275" customFormat="1" ht="11.25" customHeight="1">
      <c r="A1549" s="1853"/>
      <c r="B1549" s="2228" t="s">
        <v>1779</v>
      </c>
      <c r="C1549" s="2228"/>
      <c r="D1549" s="2229"/>
      <c r="E1549" s="2229"/>
      <c r="F1549" s="2229"/>
      <c r="G1549" s="2229"/>
      <c r="H1549" s="2229"/>
      <c r="I1549" s="2229"/>
      <c r="J1549" s="2229"/>
      <c r="K1549" s="2229"/>
      <c r="L1549" s="2229"/>
      <c r="M1549" s="2229"/>
      <c r="N1549" s="2229"/>
      <c r="O1549" s="2229"/>
      <c r="P1549" s="2229"/>
      <c r="Q1549" s="2229"/>
      <c r="R1549" s="1853"/>
      <c r="S1549" s="2276"/>
      <c r="T1549" s="2276"/>
      <c r="U1549" s="2276"/>
      <c r="V1549" s="2276"/>
      <c r="W1549" s="2276"/>
      <c r="X1549" s="2276"/>
      <c r="Y1549" s="2276"/>
      <c r="Z1549" s="2276"/>
      <c r="AA1549" s="2276"/>
      <c r="AB1549" s="2276"/>
      <c r="AC1549" s="2276"/>
      <c r="AD1549" s="2276"/>
      <c r="AE1549" s="2276"/>
      <c r="AF1549" s="2276"/>
      <c r="AG1549" s="2276"/>
      <c r="AH1549" s="2276"/>
      <c r="AI1549" s="2276"/>
      <c r="AJ1549" s="2276"/>
      <c r="AK1549" s="2276"/>
      <c r="AL1549" s="2276"/>
      <c r="AM1549" s="2276"/>
      <c r="AN1549" s="2276"/>
      <c r="AO1549" s="2276"/>
      <c r="AP1549" s="2276"/>
      <c r="AQ1549" s="2276"/>
      <c r="AR1549" s="2276"/>
    </row>
    <row r="1550" spans="1:44" s="2275" customFormat="1" ht="11.25" customHeight="1">
      <c r="A1550" s="2224"/>
      <c r="B1550" s="2224"/>
      <c r="C1550" s="2224"/>
      <c r="D1550" s="2224"/>
      <c r="E1550" s="2224"/>
      <c r="F1550" s="2224"/>
      <c r="G1550" s="2224"/>
      <c r="H1550" s="2224"/>
      <c r="I1550" s="2224"/>
      <c r="J1550" s="2224"/>
      <c r="K1550" s="2224"/>
      <c r="L1550" s="2224"/>
      <c r="M1550" s="2224"/>
      <c r="N1550" s="2224"/>
      <c r="O1550" s="2224"/>
      <c r="P1550" s="2224"/>
      <c r="Q1550" s="2224"/>
      <c r="R1550" s="1853"/>
      <c r="S1550" s="2276"/>
      <c r="T1550" s="2276"/>
      <c r="U1550" s="2276"/>
      <c r="V1550" s="2276"/>
      <c r="W1550" s="2276"/>
      <c r="X1550" s="2276"/>
      <c r="Y1550" s="2276"/>
      <c r="Z1550" s="2276"/>
      <c r="AA1550" s="2276"/>
      <c r="AB1550" s="2276"/>
      <c r="AC1550" s="2276"/>
      <c r="AD1550" s="2276"/>
      <c r="AE1550" s="2276"/>
      <c r="AF1550" s="2276"/>
      <c r="AG1550" s="2276"/>
      <c r="AH1550" s="2276"/>
      <c r="AI1550" s="2276"/>
      <c r="AJ1550" s="2276"/>
      <c r="AK1550" s="2276"/>
      <c r="AL1550" s="2276"/>
      <c r="AM1550" s="2276"/>
      <c r="AN1550" s="2276"/>
      <c r="AO1550" s="2276"/>
      <c r="AP1550" s="2276"/>
      <c r="AQ1550" s="2276"/>
      <c r="AR1550" s="2276"/>
    </row>
    <row r="1551" spans="1:44" s="2275" customFormat="1" ht="3" customHeight="1">
      <c r="A1551" s="1818"/>
      <c r="D1551" s="435"/>
      <c r="E1551" s="435"/>
      <c r="F1551" s="2109"/>
      <c r="G1551" s="2109"/>
      <c r="H1551" s="2109"/>
      <c r="I1551" s="2109"/>
      <c r="J1551" s="2122"/>
      <c r="K1551" s="2122"/>
      <c r="L1551" s="2122"/>
      <c r="M1551" s="2165"/>
      <c r="N1551" s="2109"/>
      <c r="O1551" s="2052"/>
      <c r="P1551" s="2193"/>
      <c r="S1551" s="2276"/>
      <c r="T1551" s="2276"/>
      <c r="U1551" s="2276"/>
      <c r="V1551" s="2276"/>
      <c r="W1551" s="2276"/>
      <c r="X1551" s="2276"/>
      <c r="Y1551" s="2276"/>
      <c r="Z1551" s="2276"/>
      <c r="AA1551" s="2276"/>
      <c r="AB1551" s="2276"/>
      <c r="AC1551" s="2276"/>
      <c r="AD1551" s="2276"/>
      <c r="AE1551" s="2276"/>
      <c r="AF1551" s="2276"/>
      <c r="AG1551" s="2276"/>
      <c r="AH1551" s="2276"/>
      <c r="AI1551" s="2276"/>
      <c r="AJ1551" s="2276"/>
      <c r="AK1551" s="2276"/>
      <c r="AL1551" s="2276"/>
      <c r="AM1551" s="2276"/>
      <c r="AN1551" s="2276"/>
      <c r="AO1551" s="2276"/>
      <c r="AP1551" s="2276"/>
      <c r="AQ1551" s="2276"/>
      <c r="AR1551" s="2276"/>
    </row>
    <row r="1552" spans="1:44" s="1853" customFormat="1" ht="14.1" customHeight="1">
      <c r="A1552" s="2106" t="s">
        <v>3518</v>
      </c>
      <c r="B1552" s="2106" t="s">
        <v>2521</v>
      </c>
      <c r="C1552" s="2223"/>
      <c r="D1552" s="2229"/>
      <c r="E1552" s="2229"/>
      <c r="F1552" s="2229"/>
      <c r="G1552" s="2229"/>
      <c r="H1552" s="2229"/>
      <c r="I1552" s="2229"/>
      <c r="J1552" s="2229"/>
      <c r="K1552" s="2229"/>
      <c r="L1552" s="2229"/>
      <c r="M1552" s="2229"/>
      <c r="O1552" s="2225" t="s">
        <v>1780</v>
      </c>
      <c r="P1552" s="1719"/>
      <c r="Q1552" s="1719"/>
      <c r="S1552" s="2270"/>
      <c r="T1552" s="2270"/>
      <c r="U1552" s="2270"/>
      <c r="V1552" s="2270"/>
      <c r="W1552" s="2270"/>
      <c r="X1552" s="2270"/>
      <c r="Y1552" s="2270"/>
      <c r="Z1552" s="2270"/>
      <c r="AA1552" s="2270"/>
      <c r="AB1552" s="2270"/>
      <c r="AC1552" s="2270"/>
      <c r="AD1552" s="2270"/>
      <c r="AE1552" s="2270"/>
      <c r="AF1552" s="2270"/>
      <c r="AG1552" s="2270"/>
      <c r="AH1552" s="2270"/>
      <c r="AI1552" s="2270"/>
      <c r="AJ1552" s="2270"/>
      <c r="AK1552" s="2270"/>
      <c r="AL1552" s="2270"/>
      <c r="AM1552" s="2270"/>
      <c r="AN1552" s="2270"/>
      <c r="AO1552" s="2270"/>
      <c r="AP1552" s="2270"/>
      <c r="AQ1552" s="2270"/>
      <c r="AR1552" s="2270"/>
    </row>
    <row r="1553" spans="1:44" s="1853" customFormat="1" ht="11.45" customHeight="1">
      <c r="B1553" s="2113" t="s">
        <v>6451</v>
      </c>
      <c r="N1553" s="2052"/>
      <c r="P1553" s="2231" t="str">
        <f>'Part VIII-Threshold Criteria'!P313</f>
        <v>No</v>
      </c>
      <c r="Q1553" s="2165"/>
      <c r="S1553" s="2270"/>
      <c r="T1553" s="2270"/>
      <c r="U1553" s="2270"/>
      <c r="V1553" s="2270"/>
      <c r="W1553" s="2270"/>
      <c r="X1553" s="2270"/>
      <c r="Y1553" s="2270"/>
      <c r="Z1553" s="2270"/>
      <c r="AA1553" s="2270"/>
      <c r="AB1553" s="2270"/>
      <c r="AC1553" s="2270"/>
      <c r="AD1553" s="2270"/>
      <c r="AE1553" s="2270"/>
      <c r="AF1553" s="2270"/>
      <c r="AG1553" s="2270"/>
      <c r="AH1553" s="2270"/>
      <c r="AI1553" s="2270"/>
      <c r="AJ1553" s="2270"/>
      <c r="AK1553" s="2270"/>
      <c r="AL1553" s="2270"/>
      <c r="AM1553" s="2270"/>
      <c r="AN1553" s="2270"/>
      <c r="AO1553" s="2270"/>
      <c r="AP1553" s="2270"/>
      <c r="AQ1553" s="2270"/>
      <c r="AR1553" s="2270"/>
    </row>
    <row r="1554" spans="1:44" s="1853" customFormat="1" ht="12.75" customHeight="1">
      <c r="A1554" s="2142" t="s">
        <v>1892</v>
      </c>
      <c r="B1554" s="2116" t="s">
        <v>7084</v>
      </c>
      <c r="S1554" s="2270"/>
      <c r="T1554" s="2270"/>
      <c r="U1554" s="2270"/>
      <c r="V1554" s="2270"/>
      <c r="W1554" s="2270"/>
      <c r="X1554" s="2270"/>
      <c r="Y1554" s="2270"/>
      <c r="Z1554" s="2270"/>
      <c r="AA1554" s="2270"/>
      <c r="AB1554" s="2270"/>
      <c r="AC1554" s="2270"/>
      <c r="AD1554" s="2270"/>
      <c r="AE1554" s="2270"/>
      <c r="AF1554" s="2270"/>
      <c r="AG1554" s="2270"/>
      <c r="AH1554" s="2270"/>
      <c r="AI1554" s="2270"/>
      <c r="AJ1554" s="2270"/>
      <c r="AK1554" s="2270"/>
      <c r="AL1554" s="2270"/>
      <c r="AM1554" s="2270"/>
      <c r="AN1554" s="2270"/>
      <c r="AO1554" s="2270"/>
      <c r="AP1554" s="2270"/>
      <c r="AQ1554" s="2270"/>
      <c r="AR1554" s="2270"/>
    </row>
    <row r="1555" spans="1:44" s="1853" customFormat="1" ht="44.25" customHeight="1">
      <c r="A1555" s="2225"/>
      <c r="B1555" s="2229" t="s">
        <v>1658</v>
      </c>
      <c r="C1555" s="2224" t="s">
        <v>3451</v>
      </c>
      <c r="D1555" s="2224"/>
      <c r="E1555" s="2224"/>
      <c r="F1555" s="2224"/>
      <c r="G1555" s="2224"/>
      <c r="H1555" s="2224"/>
      <c r="I1555" s="2224"/>
      <c r="J1555" s="2224"/>
      <c r="K1555" s="2224"/>
      <c r="L1555" s="2224"/>
      <c r="M1555" s="2224"/>
      <c r="N1555" s="2224"/>
      <c r="O1555" s="2225" t="s">
        <v>2567</v>
      </c>
      <c r="P1555" s="2265" t="str">
        <f>'Part VIII-Threshold Criteria'!P315</f>
        <v>Yes</v>
      </c>
      <c r="Q1555" s="2253"/>
      <c r="S1555" s="2270"/>
      <c r="T1555" s="2270"/>
      <c r="U1555" s="2270"/>
      <c r="V1555" s="2270"/>
      <c r="W1555" s="2270"/>
      <c r="X1555" s="2270"/>
      <c r="Y1555" s="2270"/>
      <c r="Z1555" s="2270"/>
      <c r="AA1555" s="2270"/>
      <c r="AB1555" s="2270"/>
      <c r="AC1555" s="2270"/>
      <c r="AD1555" s="2270"/>
      <c r="AE1555" s="2270"/>
      <c r="AF1555" s="2270"/>
      <c r="AG1555" s="2270"/>
      <c r="AH1555" s="2270"/>
      <c r="AI1555" s="2270"/>
      <c r="AJ1555" s="2270"/>
      <c r="AK1555" s="2270"/>
      <c r="AL1555" s="2270"/>
      <c r="AM1555" s="2270"/>
      <c r="AN1555" s="2270"/>
      <c r="AO1555" s="2270"/>
      <c r="AP1555" s="2270"/>
      <c r="AQ1555" s="2270"/>
      <c r="AR1555" s="2270"/>
    </row>
    <row r="1556" spans="1:44" s="2159" customFormat="1" ht="12" customHeight="1">
      <c r="A1556" s="2225"/>
      <c r="B1556" s="2229" t="s">
        <v>1659</v>
      </c>
      <c r="C1556" s="2224" t="s">
        <v>4259</v>
      </c>
      <c r="D1556" s="2224"/>
      <c r="E1556" s="2224"/>
      <c r="F1556" s="2224"/>
      <c r="G1556" s="2224"/>
      <c r="H1556" s="2224"/>
      <c r="I1556" s="2224"/>
      <c r="J1556" s="2224"/>
      <c r="K1556" s="2224"/>
      <c r="L1556" s="2224"/>
      <c r="M1556" s="2224"/>
      <c r="N1556" s="2224"/>
      <c r="O1556" s="2225" t="s">
        <v>1659</v>
      </c>
      <c r="P1556" s="2265" t="str">
        <f>'Part VIII-Threshold Criteria'!P316</f>
        <v>Yes</v>
      </c>
      <c r="Q1556" s="2253"/>
      <c r="S1556" s="2044"/>
      <c r="T1556" s="2044"/>
      <c r="U1556" s="2044"/>
      <c r="V1556" s="2044"/>
      <c r="W1556" s="2044"/>
      <c r="X1556" s="2044"/>
      <c r="Y1556" s="2044"/>
      <c r="Z1556" s="2044"/>
      <c r="AA1556" s="2044"/>
      <c r="AB1556" s="2044"/>
      <c r="AC1556" s="2044"/>
      <c r="AD1556" s="2044"/>
      <c r="AE1556" s="2044"/>
      <c r="AF1556" s="2044"/>
      <c r="AG1556" s="2044"/>
      <c r="AH1556" s="2044"/>
      <c r="AI1556" s="2044"/>
      <c r="AJ1556" s="2044"/>
      <c r="AK1556" s="2044"/>
      <c r="AL1556" s="2044"/>
      <c r="AM1556" s="2044"/>
      <c r="AN1556" s="2044"/>
      <c r="AO1556" s="2044"/>
      <c r="AP1556" s="2044"/>
      <c r="AQ1556" s="2044"/>
      <c r="AR1556" s="2044"/>
    </row>
    <row r="1557" spans="1:44" s="2159" customFormat="1" ht="21.75" customHeight="1">
      <c r="A1557" s="2225"/>
      <c r="B1557" s="2229" t="s">
        <v>1660</v>
      </c>
      <c r="C1557" s="2224" t="s">
        <v>6458</v>
      </c>
      <c r="D1557" s="2224"/>
      <c r="E1557" s="2224"/>
      <c r="F1557" s="2224"/>
      <c r="G1557" s="2224"/>
      <c r="H1557" s="2224"/>
      <c r="I1557" s="2224"/>
      <c r="J1557" s="2224"/>
      <c r="K1557" s="2224"/>
      <c r="L1557" s="2224"/>
      <c r="M1557" s="2224"/>
      <c r="N1557" s="2224"/>
      <c r="O1557" s="2225" t="s">
        <v>1660</v>
      </c>
      <c r="P1557" s="2265">
        <f>'Part VIII-Threshold Criteria'!P317</f>
        <v>0</v>
      </c>
      <c r="Q1557" s="2253"/>
      <c r="S1557" s="2044"/>
      <c r="T1557" s="2044"/>
      <c r="U1557" s="2044"/>
      <c r="V1557" s="2044"/>
      <c r="W1557" s="2044"/>
      <c r="X1557" s="2044"/>
      <c r="Y1557" s="2044"/>
      <c r="Z1557" s="2044"/>
      <c r="AA1557" s="2044"/>
      <c r="AB1557" s="2044"/>
      <c r="AC1557" s="2044"/>
      <c r="AD1557" s="2044"/>
      <c r="AE1557" s="2044"/>
      <c r="AF1557" s="2044"/>
      <c r="AG1557" s="2044"/>
      <c r="AH1557" s="2044"/>
      <c r="AI1557" s="2044"/>
      <c r="AJ1557" s="2044"/>
      <c r="AK1557" s="2044"/>
      <c r="AL1557" s="2044"/>
      <c r="AM1557" s="2044"/>
      <c r="AN1557" s="2044"/>
      <c r="AO1557" s="2044"/>
      <c r="AP1557" s="2044"/>
      <c r="AQ1557" s="2044"/>
      <c r="AR1557" s="2044"/>
    </row>
    <row r="1558" spans="1:44" s="1818" customFormat="1" ht="12.75" customHeight="1">
      <c r="A1558" s="2142" t="s">
        <v>1894</v>
      </c>
      <c r="B1558" s="2116" t="s">
        <v>3431</v>
      </c>
      <c r="D1558" s="2287"/>
      <c r="E1558" s="2287"/>
      <c r="F1558" s="2287"/>
      <c r="G1558" s="2287"/>
      <c r="H1558" s="2287"/>
      <c r="I1558" s="2287"/>
      <c r="J1558" s="2287"/>
      <c r="K1558" s="2287"/>
      <c r="L1558" s="2287"/>
      <c r="M1558" s="2287"/>
      <c r="N1558" s="2287"/>
      <c r="O1558" s="2256"/>
      <c r="P1558" s="2256"/>
      <c r="Q1558" s="2256"/>
      <c r="S1558" s="1977"/>
      <c r="T1558" s="1977"/>
      <c r="U1558" s="1977"/>
      <c r="V1558" s="1977"/>
      <c r="W1558" s="1977"/>
      <c r="X1558" s="1977"/>
      <c r="Y1558" s="1977"/>
      <c r="Z1558" s="1977"/>
      <c r="AA1558" s="1977"/>
      <c r="AB1558" s="1977"/>
      <c r="AC1558" s="1977"/>
      <c r="AD1558" s="1977"/>
      <c r="AE1558" s="1977"/>
      <c r="AF1558" s="1977"/>
      <c r="AG1558" s="1977"/>
      <c r="AH1558" s="1977"/>
      <c r="AI1558" s="1977"/>
      <c r="AJ1558" s="1977"/>
      <c r="AK1558" s="1977"/>
      <c r="AL1558" s="1977"/>
      <c r="AM1558" s="1977"/>
      <c r="AN1558" s="1977"/>
      <c r="AO1558" s="1977"/>
      <c r="AP1558" s="1977"/>
      <c r="AQ1558" s="1977"/>
      <c r="AR1558" s="1977"/>
    </row>
    <row r="1559" spans="1:44" s="1818" customFormat="1" ht="11.25" customHeight="1">
      <c r="A1559" s="2188"/>
      <c r="B1559" s="2229" t="s">
        <v>1658</v>
      </c>
      <c r="C1559" s="435" t="s">
        <v>2021</v>
      </c>
      <c r="D1559" s="2224" t="s">
        <v>7085</v>
      </c>
      <c r="E1559" s="2224"/>
      <c r="F1559" s="2224"/>
      <c r="G1559" s="2224"/>
      <c r="H1559" s="2224"/>
      <c r="I1559" s="2224"/>
      <c r="J1559" s="2113" t="s">
        <v>3400</v>
      </c>
      <c r="K1559" s="2113"/>
      <c r="L1559" s="2113"/>
      <c r="M1559" s="2288" t="s">
        <v>3379</v>
      </c>
      <c r="N1559" s="2288"/>
      <c r="S1559" s="1977"/>
      <c r="T1559" s="1977"/>
      <c r="U1559" s="1977"/>
      <c r="V1559" s="1977"/>
      <c r="W1559" s="1977"/>
      <c r="X1559" s="1977"/>
      <c r="Y1559" s="1977"/>
      <c r="Z1559" s="1977"/>
      <c r="AA1559" s="1977"/>
      <c r="AB1559" s="1977"/>
      <c r="AC1559" s="1977"/>
      <c r="AD1559" s="1977"/>
      <c r="AE1559" s="1977"/>
      <c r="AF1559" s="1977"/>
      <c r="AG1559" s="1977"/>
      <c r="AH1559" s="1977"/>
      <c r="AI1559" s="1977"/>
      <c r="AJ1559" s="1977"/>
      <c r="AK1559" s="1977"/>
      <c r="AL1559" s="1977"/>
      <c r="AM1559" s="1977"/>
      <c r="AN1559" s="1977"/>
      <c r="AO1559" s="1977"/>
      <c r="AP1559" s="1977"/>
      <c r="AQ1559" s="1977"/>
      <c r="AR1559" s="1977"/>
    </row>
    <row r="1560" spans="1:44" s="1857" customFormat="1" ht="10.5" customHeight="1">
      <c r="A1560" s="1861"/>
      <c r="B1560" s="1859"/>
      <c r="D1560" s="2224"/>
      <c r="E1560" s="2224"/>
      <c r="F1560" s="2224"/>
      <c r="G1560" s="2224"/>
      <c r="H1560" s="2224"/>
      <c r="I1560" s="1858"/>
      <c r="J1560" s="2113"/>
      <c r="K1560" s="2113"/>
      <c r="L1560" s="2113"/>
      <c r="M1560" s="435" t="s">
        <v>3380</v>
      </c>
      <c r="N1560" s="2165" t="s">
        <v>3399</v>
      </c>
      <c r="P1560" s="1881"/>
      <c r="S1560" s="1864"/>
      <c r="T1560" s="1864"/>
      <c r="U1560" s="1864"/>
      <c r="V1560" s="1864"/>
      <c r="W1560" s="1864"/>
      <c r="X1560" s="1864"/>
      <c r="Y1560" s="1864"/>
      <c r="Z1560" s="1864"/>
      <c r="AA1560" s="1864"/>
      <c r="AB1560" s="1864"/>
      <c r="AC1560" s="1864"/>
      <c r="AD1560" s="1864"/>
      <c r="AE1560" s="1864"/>
      <c r="AF1560" s="1864"/>
      <c r="AG1560" s="1864"/>
      <c r="AH1560" s="1864"/>
      <c r="AI1560" s="1864"/>
      <c r="AJ1560" s="1864"/>
      <c r="AK1560" s="1864"/>
      <c r="AL1560" s="1864"/>
      <c r="AM1560" s="1864"/>
      <c r="AN1560" s="1864"/>
      <c r="AO1560" s="1864"/>
      <c r="AP1560" s="1864"/>
      <c r="AQ1560" s="1864"/>
      <c r="AR1560" s="1864"/>
    </row>
    <row r="1561" spans="1:44" s="1857" customFormat="1" ht="13.35" customHeight="1">
      <c r="A1561" s="1861"/>
      <c r="B1561" s="1859"/>
      <c r="D1561" s="2224"/>
      <c r="E1561" s="2224"/>
      <c r="F1561" s="2224"/>
      <c r="G1561" s="2224"/>
      <c r="H1561" s="2224"/>
      <c r="I1561" s="435" t="s">
        <v>3536</v>
      </c>
      <c r="K1561" s="2289">
        <f>'Part VIII-Threshold Criteria'!K321</f>
        <v>4</v>
      </c>
      <c r="L1561" s="1859" t="str">
        <f>IF(K1561&lt;M1561,"Check!!!","")</f>
        <v/>
      </c>
      <c r="M1561" s="2255">
        <f>ROUNDUP('Part VI-Revenues &amp; Expenses'!$P$67*'Part VIII-Threshold Criteria'!N1511,0)</f>
        <v>0</v>
      </c>
      <c r="N1561" s="2290">
        <f>'DCA Underwriting Assumptions'!$Q$155</f>
        <v>0.05</v>
      </c>
      <c r="O1561" s="2256" t="s">
        <v>3287</v>
      </c>
      <c r="P1561" s="2231" t="str">
        <f>'Part VIII-Threshold Criteria'!P321</f>
        <v>Yes</v>
      </c>
      <c r="Q1561" s="2165"/>
      <c r="S1561" s="1864"/>
      <c r="T1561" s="1864"/>
      <c r="U1561" s="1864"/>
      <c r="V1561" s="2112"/>
      <c r="W1561" s="1864"/>
      <c r="X1561" s="2112"/>
      <c r="Y1561" s="1864"/>
      <c r="Z1561" s="1889" t="str">
        <f>IF(AA1561="","",IF(AA1561&lt;AC1561,"Check!!!",""))</f>
        <v/>
      </c>
      <c r="AA1561" s="1889" t="str">
        <f t="shared" ref="AA1561:AG1561" si="378">IF(AB1561="","",IF(AB1561&lt;AD1561,"Check!!!",""))</f>
        <v/>
      </c>
      <c r="AB1561" s="1889" t="str">
        <f t="shared" si="378"/>
        <v/>
      </c>
      <c r="AC1561" s="1889" t="str">
        <f t="shared" si="378"/>
        <v/>
      </c>
      <c r="AD1561" s="1889" t="str">
        <f t="shared" si="378"/>
        <v/>
      </c>
      <c r="AE1561" s="1889" t="str">
        <f t="shared" si="378"/>
        <v/>
      </c>
      <c r="AF1561" s="1889" t="str">
        <f t="shared" si="378"/>
        <v/>
      </c>
      <c r="AG1561" s="1889" t="str">
        <f t="shared" si="378"/>
        <v/>
      </c>
      <c r="AH1561" s="1864"/>
      <c r="AI1561" s="1864"/>
      <c r="AJ1561" s="1864"/>
      <c r="AK1561" s="1864"/>
      <c r="AL1561" s="1864"/>
      <c r="AM1561" s="1864"/>
      <c r="AN1561" s="1864"/>
      <c r="AO1561" s="1864"/>
      <c r="AP1561" s="1864"/>
      <c r="AQ1561" s="1864"/>
      <c r="AR1561" s="1864"/>
    </row>
    <row r="1562" spans="1:44" s="1818" customFormat="1" ht="12.75" customHeight="1">
      <c r="A1562" s="2225"/>
      <c r="B1562" s="2229"/>
      <c r="C1562" s="435" t="s">
        <v>2022</v>
      </c>
      <c r="D1562" s="2224" t="s">
        <v>7086</v>
      </c>
      <c r="E1562" s="2224"/>
      <c r="F1562" s="2224"/>
      <c r="G1562" s="2224"/>
      <c r="H1562" s="2224"/>
      <c r="I1562" s="2291" t="s">
        <v>3537</v>
      </c>
      <c r="J1562" s="1857"/>
      <c r="K1562" s="2289">
        <f>'Part VIII-Threshold Criteria'!K322</f>
        <v>2</v>
      </c>
      <c r="L1562" s="1859" t="str">
        <f>IF(K1562&lt;M1562,"Check!!!","")</f>
        <v/>
      </c>
      <c r="M1562" s="2255">
        <f>ROUNDUP(K1561*'Part VIII-Threshold Criteria'!N1512,0)</f>
        <v>0</v>
      </c>
      <c r="N1562" s="2290">
        <f>'DCA Underwriting Assumptions'!$Q$156</f>
        <v>0.4</v>
      </c>
      <c r="O1562" s="2256" t="s">
        <v>2022</v>
      </c>
      <c r="P1562" s="2227" t="str">
        <f>'Part VIII-Threshold Criteria'!P322</f>
        <v>Yes</v>
      </c>
      <c r="Q1562" s="2224"/>
      <c r="S1562" s="1977"/>
      <c r="T1562" s="2227"/>
      <c r="U1562" s="2227"/>
      <c r="V1562" s="2227"/>
      <c r="W1562" s="2227"/>
      <c r="X1562" s="2227"/>
      <c r="Y1562" s="2227"/>
      <c r="Z1562" s="2227"/>
      <c r="AA1562" s="2227"/>
      <c r="AB1562" s="2227"/>
      <c r="AC1562" s="2227"/>
      <c r="AD1562" s="2227"/>
      <c r="AE1562" s="2227"/>
      <c r="AF1562" s="2227"/>
      <c r="AG1562" s="2227"/>
      <c r="AH1562" s="1977"/>
      <c r="AI1562" s="1977"/>
      <c r="AJ1562" s="1977"/>
      <c r="AK1562" s="1977"/>
      <c r="AL1562" s="1977"/>
      <c r="AM1562" s="1977"/>
      <c r="AN1562" s="1977"/>
      <c r="AO1562" s="1977"/>
      <c r="AP1562" s="1977"/>
      <c r="AQ1562" s="1977"/>
      <c r="AR1562" s="1977"/>
    </row>
    <row r="1563" spans="1:44" s="1857" customFormat="1" ht="10.5" customHeight="1">
      <c r="A1563" s="1861"/>
      <c r="B1563" s="1859"/>
      <c r="C1563" s="2224"/>
      <c r="D1563" s="2224"/>
      <c r="E1563" s="2224"/>
      <c r="F1563" s="2224"/>
      <c r="G1563" s="2224"/>
      <c r="H1563" s="2224"/>
      <c r="O1563" s="2122"/>
      <c r="P1563" s="2227">
        <f>'Part VIII-Threshold Criteria'!P323</f>
        <v>0</v>
      </c>
      <c r="Q1563" s="2224"/>
      <c r="S1563" s="1864"/>
      <c r="T1563" s="1864"/>
      <c r="U1563" s="1864"/>
      <c r="V1563" s="2112"/>
      <c r="W1563" s="2292"/>
      <c r="X1563" s="2112"/>
      <c r="Y1563" s="1864"/>
      <c r="Z1563" s="1889" t="str">
        <f>IF(AA1563="","",IF(AA1563&lt;AC1563,"Check!!!",""))</f>
        <v/>
      </c>
      <c r="AA1563" s="1889" t="str">
        <f t="shared" ref="AA1563:AG1563" si="379">IF(AB1563="","",IF(AB1563&lt;AD1563,"Check!!!",""))</f>
        <v/>
      </c>
      <c r="AB1563" s="1889" t="str">
        <f t="shared" si="379"/>
        <v/>
      </c>
      <c r="AC1563" s="1889" t="str">
        <f t="shared" si="379"/>
        <v/>
      </c>
      <c r="AD1563" s="1889" t="str">
        <f t="shared" si="379"/>
        <v/>
      </c>
      <c r="AE1563" s="1889" t="str">
        <f t="shared" si="379"/>
        <v/>
      </c>
      <c r="AF1563" s="1889" t="str">
        <f t="shared" si="379"/>
        <v/>
      </c>
      <c r="AG1563" s="1889" t="str">
        <f t="shared" si="379"/>
        <v/>
      </c>
      <c r="AH1563" s="1864"/>
      <c r="AI1563" s="1864"/>
      <c r="AJ1563" s="1864"/>
      <c r="AK1563" s="1864"/>
      <c r="AL1563" s="1864"/>
      <c r="AM1563" s="1864"/>
      <c r="AN1563" s="1864"/>
      <c r="AO1563" s="1864"/>
      <c r="AP1563" s="1864"/>
      <c r="AQ1563" s="1864"/>
      <c r="AR1563" s="1864"/>
    </row>
    <row r="1564" spans="1:44" s="1818" customFormat="1" ht="12.75" customHeight="1">
      <c r="A1564" s="2225"/>
      <c r="B1564" s="2229" t="s">
        <v>1659</v>
      </c>
      <c r="C1564" s="2224" t="s">
        <v>7087</v>
      </c>
      <c r="D1564" s="2224"/>
      <c r="E1564" s="2224"/>
      <c r="F1564" s="2224"/>
      <c r="G1564" s="2224"/>
      <c r="H1564" s="2224"/>
      <c r="I1564" s="435" t="s">
        <v>3538</v>
      </c>
      <c r="J1564" s="1857"/>
      <c r="K1564" s="2289">
        <f>'Part VIII-Threshold Criteria'!K324</f>
        <v>2</v>
      </c>
      <c r="L1564" s="1859" t="str">
        <f>IF(K1564&lt;M1564,"Check!!!","")</f>
        <v/>
      </c>
      <c r="M1564" s="2255">
        <f>ROUNDUP('Part VI-Revenues &amp; Expenses'!$P$67*'Part VIII-Threshold Criteria'!N1514,0)</f>
        <v>0</v>
      </c>
      <c r="N1564" s="2290">
        <f>'DCA Underwriting Assumptions'!$Q$157</f>
        <v>0.02</v>
      </c>
      <c r="O1564" s="2256" t="s">
        <v>1659</v>
      </c>
      <c r="P1564" s="2231" t="str">
        <f>'Part VIII-Threshold Criteria'!P324</f>
        <v>Yes</v>
      </c>
      <c r="Q1564" s="2165"/>
      <c r="S1564" s="1977"/>
      <c r="T1564" s="2227"/>
      <c r="U1564" s="2227"/>
      <c r="V1564" s="2227"/>
      <c r="W1564" s="2227"/>
      <c r="X1564" s="2227"/>
      <c r="Y1564" s="2227"/>
      <c r="Z1564" s="2227"/>
      <c r="AA1564" s="2227"/>
      <c r="AB1564" s="2227"/>
      <c r="AC1564" s="2227"/>
      <c r="AD1564" s="2227"/>
      <c r="AE1564" s="2227"/>
      <c r="AF1564" s="2227"/>
      <c r="AG1564" s="2227"/>
      <c r="AH1564" s="1977"/>
      <c r="AI1564" s="1977"/>
      <c r="AJ1564" s="1977"/>
      <c r="AK1564" s="1977"/>
      <c r="AL1564" s="1977"/>
      <c r="AM1564" s="1977"/>
      <c r="AN1564" s="1977"/>
      <c r="AO1564" s="1977"/>
      <c r="AP1564" s="1977"/>
      <c r="AQ1564" s="1977"/>
      <c r="AR1564" s="1977"/>
    </row>
    <row r="1565" spans="1:44" s="1857" customFormat="1" ht="3" customHeight="1">
      <c r="A1565" s="1861"/>
      <c r="C1565" s="2224"/>
      <c r="D1565" s="2224"/>
      <c r="E1565" s="2224"/>
      <c r="F1565" s="2224"/>
      <c r="G1565" s="2224"/>
      <c r="H1565" s="2224"/>
      <c r="J1565" s="435"/>
      <c r="K1565" s="435"/>
      <c r="L1565" s="2122"/>
      <c r="M1565" s="2165"/>
      <c r="O1565" s="435"/>
      <c r="P1565" s="2165"/>
      <c r="Q1565" s="435"/>
      <c r="S1565" s="1864"/>
      <c r="T1565" s="2112"/>
      <c r="U1565" s="2292"/>
      <c r="V1565" s="2112"/>
      <c r="W1565" s="2292"/>
      <c r="X1565" s="2112"/>
      <c r="Y1565" s="2112"/>
      <c r="Z1565" s="2112"/>
      <c r="AA1565" s="2112"/>
      <c r="AB1565" s="2112"/>
      <c r="AC1565" s="2112"/>
      <c r="AD1565" s="2112"/>
      <c r="AE1565" s="2112"/>
      <c r="AF1565" s="2112"/>
      <c r="AG1565" s="2112"/>
      <c r="AH1565" s="1864"/>
      <c r="AI1565" s="1864"/>
      <c r="AJ1565" s="1864"/>
      <c r="AK1565" s="1864"/>
      <c r="AL1565" s="1864"/>
      <c r="AM1565" s="1864"/>
      <c r="AN1565" s="1864"/>
      <c r="AO1565" s="1864"/>
      <c r="AP1565" s="1864"/>
      <c r="AQ1565" s="1864"/>
      <c r="AR1565" s="1864"/>
    </row>
    <row r="1566" spans="1:44" s="1857" customFormat="1" ht="10.5" customHeight="1">
      <c r="A1566" s="1861"/>
      <c r="C1566" s="2224"/>
      <c r="D1566" s="2224"/>
      <c r="E1566" s="2224"/>
      <c r="F1566" s="2224"/>
      <c r="G1566" s="2224"/>
      <c r="H1566" s="2224"/>
      <c r="O1566" s="2122"/>
      <c r="P1566" s="2256"/>
      <c r="S1566" s="1864"/>
      <c r="T1566" s="1864"/>
      <c r="U1566" s="1864"/>
      <c r="V1566" s="2112"/>
      <c r="W1566" s="2292"/>
      <c r="X1566" s="2112"/>
      <c r="Y1566" s="1864"/>
      <c r="Z1566" s="1889" t="str">
        <f>IF(AA1566="","",IF(AA1566&lt;AC1566,"Check!!!",""))</f>
        <v/>
      </c>
      <c r="AA1566" s="1889" t="str">
        <f t="shared" ref="AA1566:AG1566" si="380">IF(AB1566="","",IF(AB1566&lt;AD1566,"Check!!!",""))</f>
        <v/>
      </c>
      <c r="AB1566" s="1889" t="str">
        <f t="shared" si="380"/>
        <v/>
      </c>
      <c r="AC1566" s="1889" t="str">
        <f t="shared" si="380"/>
        <v/>
      </c>
      <c r="AD1566" s="1889" t="str">
        <f t="shared" si="380"/>
        <v/>
      </c>
      <c r="AE1566" s="1889" t="str">
        <f t="shared" si="380"/>
        <v/>
      </c>
      <c r="AF1566" s="1889" t="str">
        <f t="shared" si="380"/>
        <v/>
      </c>
      <c r="AG1566" s="1889" t="str">
        <f t="shared" si="380"/>
        <v/>
      </c>
      <c r="AH1566" s="1864"/>
      <c r="AI1566" s="1864"/>
      <c r="AJ1566" s="1864"/>
      <c r="AK1566" s="1864"/>
      <c r="AL1566" s="1864"/>
      <c r="AM1566" s="1864"/>
      <c r="AN1566" s="1864"/>
      <c r="AO1566" s="1864"/>
      <c r="AP1566" s="1864"/>
      <c r="AQ1566" s="1864"/>
      <c r="AR1566" s="1864"/>
    </row>
    <row r="1567" spans="1:44" s="1857" customFormat="1" ht="10.5" customHeight="1">
      <c r="A1567" s="2142" t="s">
        <v>719</v>
      </c>
      <c r="B1567" s="2116" t="s">
        <v>3432</v>
      </c>
      <c r="D1567" s="2229"/>
      <c r="E1567" s="2229"/>
      <c r="F1567" s="2229"/>
      <c r="G1567" s="2229"/>
      <c r="H1567" s="2229"/>
      <c r="O1567" s="2122"/>
      <c r="P1567" s="2256"/>
      <c r="S1567" s="1864"/>
      <c r="T1567" s="1864"/>
      <c r="U1567" s="1864"/>
      <c r="V1567" s="2112"/>
      <c r="W1567" s="2292"/>
      <c r="X1567" s="2112"/>
      <c r="Y1567" s="1864"/>
      <c r="Z1567" s="1889"/>
      <c r="AA1567" s="1889"/>
      <c r="AB1567" s="1889"/>
      <c r="AC1567" s="1889"/>
      <c r="AD1567" s="1889"/>
      <c r="AE1567" s="1889"/>
      <c r="AF1567" s="1889"/>
      <c r="AG1567" s="1889"/>
      <c r="AH1567" s="1864"/>
      <c r="AI1567" s="1864"/>
      <c r="AJ1567" s="1864"/>
      <c r="AK1567" s="1864"/>
      <c r="AL1567" s="1864"/>
      <c r="AM1567" s="1864"/>
      <c r="AN1567" s="1864"/>
      <c r="AO1567" s="1864"/>
      <c r="AP1567" s="1864"/>
      <c r="AQ1567" s="1864"/>
      <c r="AR1567" s="1864"/>
    </row>
    <row r="1568" spans="1:44" s="1818" customFormat="1" ht="21.75" customHeight="1">
      <c r="B1568" s="2224" t="s">
        <v>3289</v>
      </c>
      <c r="C1568" s="2224"/>
      <c r="D1568" s="2224"/>
      <c r="E1568" s="2224"/>
      <c r="F1568" s="2224"/>
      <c r="G1568" s="2224"/>
      <c r="H1568" s="2224"/>
      <c r="I1568" s="2224"/>
      <c r="J1568" s="2224"/>
      <c r="K1568" s="2224"/>
      <c r="L1568" s="2224"/>
      <c r="M1568" s="2224"/>
      <c r="N1568" s="2224"/>
      <c r="O1568" s="2225" t="s">
        <v>719</v>
      </c>
      <c r="P1568" s="2265" t="str">
        <f>'Part VIII-Threshold Criteria'!P328</f>
        <v>Yes</v>
      </c>
      <c r="Q1568" s="2253"/>
      <c r="S1568" s="1977"/>
      <c r="T1568" s="1977"/>
      <c r="U1568" s="1977"/>
      <c r="V1568" s="1977"/>
      <c r="W1568" s="1977"/>
      <c r="X1568" s="1977"/>
      <c r="Y1568" s="1977"/>
      <c r="Z1568" s="1977"/>
      <c r="AA1568" s="1977"/>
      <c r="AB1568" s="1977"/>
      <c r="AC1568" s="1977"/>
      <c r="AD1568" s="1977"/>
      <c r="AE1568" s="1977"/>
      <c r="AF1568" s="1977"/>
      <c r="AG1568" s="1977"/>
      <c r="AH1568" s="1977"/>
      <c r="AI1568" s="1977"/>
      <c r="AJ1568" s="1977"/>
      <c r="AK1568" s="1977"/>
      <c r="AL1568" s="1977"/>
      <c r="AM1568" s="1977"/>
      <c r="AN1568" s="1977"/>
      <c r="AO1568" s="1977"/>
      <c r="AP1568" s="1977"/>
      <c r="AQ1568" s="1977"/>
      <c r="AR1568" s="1977"/>
    </row>
    <row r="1569" spans="1:44" s="1818" customFormat="1" ht="11.25" customHeight="1">
      <c r="B1569" s="2224" t="s">
        <v>3290</v>
      </c>
      <c r="D1569" s="2224"/>
      <c r="E1569" s="2224"/>
      <c r="F1569" s="2224"/>
      <c r="G1569" s="2224"/>
      <c r="H1569" s="2224"/>
      <c r="I1569" s="2224" t="s">
        <v>3378</v>
      </c>
      <c r="J1569" s="2224"/>
      <c r="K1569" s="2224"/>
      <c r="L1569" s="2227" t="str">
        <f>'Part VIII-Threshold Criteria'!L329</f>
        <v>Terracon</v>
      </c>
      <c r="M1569" s="2227"/>
      <c r="N1569" s="2227"/>
      <c r="O1569" s="2227"/>
      <c r="P1569" s="2227"/>
      <c r="Q1569" s="2227"/>
      <c r="R1569" s="2224"/>
      <c r="S1569" s="1977"/>
      <c r="T1569" s="1977"/>
      <c r="U1569" s="1977"/>
      <c r="V1569" s="1977"/>
      <c r="W1569" s="1977"/>
      <c r="X1569" s="1977"/>
      <c r="Y1569" s="1977"/>
      <c r="Z1569" s="1977"/>
      <c r="AA1569" s="1977"/>
      <c r="AB1569" s="1977"/>
      <c r="AC1569" s="1977"/>
      <c r="AD1569" s="1977"/>
      <c r="AE1569" s="1977"/>
      <c r="AF1569" s="1977"/>
      <c r="AG1569" s="1977"/>
      <c r="AH1569" s="1977"/>
      <c r="AI1569" s="1977"/>
      <c r="AJ1569" s="1977"/>
      <c r="AK1569" s="1977"/>
      <c r="AL1569" s="1977"/>
      <c r="AM1569" s="1977"/>
      <c r="AN1569" s="1977"/>
      <c r="AO1569" s="1977"/>
      <c r="AP1569" s="1977"/>
      <c r="AQ1569" s="1977"/>
      <c r="AR1569" s="1977"/>
    </row>
    <row r="1570" spans="1:44" s="2159" customFormat="1" ht="44.25" customHeight="1">
      <c r="B1570" s="2229" t="s">
        <v>1658</v>
      </c>
      <c r="C1570" s="2224" t="s">
        <v>3288</v>
      </c>
      <c r="D1570" s="2224"/>
      <c r="E1570" s="2224"/>
      <c r="F1570" s="2224"/>
      <c r="G1570" s="2224"/>
      <c r="H1570" s="2224"/>
      <c r="I1570" s="2224"/>
      <c r="J1570" s="2224"/>
      <c r="K1570" s="2224"/>
      <c r="L1570" s="2224"/>
      <c r="M1570" s="2224"/>
      <c r="N1570" s="2224"/>
      <c r="O1570" s="2225" t="s">
        <v>3293</v>
      </c>
      <c r="P1570" s="2265" t="str">
        <f>'Part VIII-Threshold Criteria'!P330</f>
        <v>Yes</v>
      </c>
      <c r="Q1570" s="2253"/>
      <c r="S1570" s="2044"/>
      <c r="T1570" s="2044"/>
      <c r="U1570" s="2044"/>
      <c r="V1570" s="2044"/>
      <c r="W1570" s="2044"/>
      <c r="X1570" s="2044"/>
      <c r="Y1570" s="2044"/>
      <c r="Z1570" s="2044"/>
      <c r="AA1570" s="2044"/>
      <c r="AB1570" s="2044"/>
      <c r="AC1570" s="2044"/>
      <c r="AD1570" s="2044"/>
      <c r="AE1570" s="2044"/>
      <c r="AF1570" s="2044"/>
      <c r="AG1570" s="2044"/>
      <c r="AH1570" s="2044"/>
      <c r="AI1570" s="2044"/>
      <c r="AJ1570" s="2044"/>
      <c r="AK1570" s="2044"/>
      <c r="AL1570" s="2044"/>
      <c r="AM1570" s="2044"/>
      <c r="AN1570" s="2044"/>
      <c r="AO1570" s="2044"/>
      <c r="AP1570" s="2044"/>
      <c r="AQ1570" s="2044"/>
      <c r="AR1570" s="2044"/>
    </row>
    <row r="1571" spans="1:44" s="2159" customFormat="1" ht="34.5" customHeight="1">
      <c r="B1571" s="2229" t="s">
        <v>1659</v>
      </c>
      <c r="C1571" s="2224" t="s">
        <v>4007</v>
      </c>
      <c r="D1571" s="2224"/>
      <c r="E1571" s="2224"/>
      <c r="F1571" s="2224"/>
      <c r="G1571" s="2224"/>
      <c r="H1571" s="2224"/>
      <c r="I1571" s="2224"/>
      <c r="J1571" s="2224"/>
      <c r="K1571" s="2224"/>
      <c r="L1571" s="2224"/>
      <c r="M1571" s="2224"/>
      <c r="N1571" s="2224"/>
      <c r="O1571" s="2225" t="s">
        <v>3294</v>
      </c>
      <c r="P1571" s="2265" t="str">
        <f>'Part VIII-Threshold Criteria'!P331</f>
        <v>Yes</v>
      </c>
      <c r="Q1571" s="2253"/>
      <c r="S1571" s="2044"/>
      <c r="T1571" s="2044"/>
      <c r="U1571" s="2044"/>
      <c r="V1571" s="2044"/>
      <c r="W1571" s="2044"/>
      <c r="X1571" s="2044"/>
      <c r="Y1571" s="2044"/>
      <c r="Z1571" s="2044"/>
      <c r="AA1571" s="2044"/>
      <c r="AB1571" s="2044"/>
      <c r="AC1571" s="2044"/>
      <c r="AD1571" s="2044"/>
      <c r="AE1571" s="2044"/>
      <c r="AF1571" s="2044"/>
      <c r="AG1571" s="2044"/>
      <c r="AH1571" s="2044"/>
      <c r="AI1571" s="2044"/>
      <c r="AJ1571" s="2044"/>
      <c r="AK1571" s="2044"/>
      <c r="AL1571" s="2044"/>
      <c r="AM1571" s="2044"/>
      <c r="AN1571" s="2044"/>
      <c r="AO1571" s="2044"/>
      <c r="AP1571" s="2044"/>
      <c r="AQ1571" s="2044"/>
      <c r="AR1571" s="2044"/>
    </row>
    <row r="1572" spans="1:44" s="2159" customFormat="1" ht="22.5" customHeight="1">
      <c r="B1572" s="2229" t="s">
        <v>1660</v>
      </c>
      <c r="C1572" s="2224" t="s">
        <v>3291</v>
      </c>
      <c r="D1572" s="2224"/>
      <c r="E1572" s="2224"/>
      <c r="F1572" s="2224"/>
      <c r="G1572" s="2224"/>
      <c r="H1572" s="2224"/>
      <c r="I1572" s="2224"/>
      <c r="J1572" s="2224"/>
      <c r="K1572" s="2224"/>
      <c r="L1572" s="2224"/>
      <c r="M1572" s="2224"/>
      <c r="N1572" s="2224"/>
      <c r="O1572" s="2225" t="s">
        <v>3295</v>
      </c>
      <c r="P1572" s="2265" t="str">
        <f>'Part VIII-Threshold Criteria'!P332</f>
        <v>Yes</v>
      </c>
      <c r="Q1572" s="2253"/>
      <c r="S1572" s="2044"/>
      <c r="T1572" s="2044"/>
      <c r="U1572" s="2044"/>
      <c r="V1572" s="2044"/>
      <c r="W1572" s="2044"/>
      <c r="X1572" s="2044"/>
      <c r="Y1572" s="2044"/>
      <c r="Z1572" s="2044"/>
      <c r="AA1572" s="2044"/>
      <c r="AB1572" s="2044"/>
      <c r="AC1572" s="2044"/>
      <c r="AD1572" s="2044"/>
      <c r="AE1572" s="2044"/>
      <c r="AF1572" s="2044"/>
      <c r="AG1572" s="2044"/>
      <c r="AH1572" s="2044"/>
      <c r="AI1572" s="2044"/>
      <c r="AJ1572" s="2044"/>
      <c r="AK1572" s="2044"/>
      <c r="AL1572" s="2044"/>
      <c r="AM1572" s="2044"/>
      <c r="AN1572" s="2044"/>
      <c r="AO1572" s="2044"/>
      <c r="AP1572" s="2044"/>
      <c r="AQ1572" s="2044"/>
      <c r="AR1572" s="2044"/>
    </row>
    <row r="1573" spans="1:44" s="2159" customFormat="1" ht="34.5" customHeight="1">
      <c r="B1573" s="2229" t="s">
        <v>2259</v>
      </c>
      <c r="C1573" s="2224" t="s">
        <v>3292</v>
      </c>
      <c r="D1573" s="2224"/>
      <c r="E1573" s="2224"/>
      <c r="F1573" s="2224"/>
      <c r="G1573" s="2224"/>
      <c r="H1573" s="2224"/>
      <c r="I1573" s="2224"/>
      <c r="J1573" s="2224"/>
      <c r="K1573" s="2224"/>
      <c r="L1573" s="2224"/>
      <c r="M1573" s="2224"/>
      <c r="N1573" s="2224"/>
      <c r="O1573" s="2225" t="s">
        <v>3296</v>
      </c>
      <c r="P1573" s="2265" t="str">
        <f>'Part VIII-Threshold Criteria'!P333</f>
        <v>Yes</v>
      </c>
      <c r="Q1573" s="2253"/>
      <c r="S1573" s="2044"/>
      <c r="T1573" s="2044"/>
      <c r="U1573" s="2044"/>
      <c r="V1573" s="2044"/>
      <c r="W1573" s="2044"/>
      <c r="X1573" s="2044"/>
      <c r="Y1573" s="2044"/>
      <c r="Z1573" s="2044"/>
      <c r="AA1573" s="2044"/>
      <c r="AB1573" s="2044"/>
      <c r="AC1573" s="2044"/>
      <c r="AD1573" s="2044"/>
      <c r="AE1573" s="2044"/>
      <c r="AF1573" s="2044"/>
      <c r="AG1573" s="2044"/>
      <c r="AH1573" s="2044"/>
      <c r="AI1573" s="2044"/>
      <c r="AJ1573" s="2044"/>
      <c r="AK1573" s="2044"/>
      <c r="AL1573" s="2044"/>
      <c r="AM1573" s="2044"/>
      <c r="AN1573" s="2044"/>
      <c r="AO1573" s="2044"/>
      <c r="AP1573" s="2044"/>
      <c r="AQ1573" s="2044"/>
      <c r="AR1573" s="2044"/>
    </row>
    <row r="1574" spans="1:44" s="1853" customFormat="1" ht="11.25" customHeight="1">
      <c r="B1574" s="2171" t="s">
        <v>3372</v>
      </c>
      <c r="D1574" s="2171"/>
      <c r="E1574" s="2171"/>
      <c r="F1574" s="2171"/>
      <c r="G1574" s="2171"/>
      <c r="H1574" s="2122"/>
      <c r="I1574" s="2165"/>
      <c r="J1574" s="2165"/>
      <c r="K1574" s="2165"/>
      <c r="L1574" s="2118"/>
      <c r="M1574" s="2118"/>
      <c r="N1574" s="2118"/>
      <c r="O1574" s="2118"/>
      <c r="P1574" s="2118"/>
      <c r="Q1574" s="2118"/>
      <c r="S1574" s="2270"/>
      <c r="T1574" s="2270"/>
      <c r="U1574" s="2270"/>
      <c r="V1574" s="2270"/>
      <c r="W1574" s="2270"/>
      <c r="X1574" s="2270"/>
      <c r="Y1574" s="2270"/>
      <c r="Z1574" s="2270"/>
      <c r="AA1574" s="2270"/>
      <c r="AB1574" s="2270"/>
      <c r="AC1574" s="2270"/>
      <c r="AD1574" s="2270"/>
      <c r="AE1574" s="2270"/>
      <c r="AF1574" s="2270"/>
      <c r="AG1574" s="2270"/>
      <c r="AH1574" s="2270"/>
      <c r="AI1574" s="2270"/>
      <c r="AJ1574" s="2270"/>
      <c r="AK1574" s="2270"/>
      <c r="AL1574" s="2270"/>
      <c r="AM1574" s="2270"/>
      <c r="AN1574" s="2270"/>
      <c r="AO1574" s="2270"/>
      <c r="AP1574" s="2270"/>
      <c r="AQ1574" s="2270"/>
      <c r="AR1574" s="2270"/>
    </row>
    <row r="1575" spans="1:44" s="1853" customFormat="1" ht="32.25" customHeight="1">
      <c r="A1575" s="2227" t="str">
        <f>'Part VIII-Threshold Criteria'!A335</f>
        <v>Applicant agrees to comply with all required DCA accessibility regulations and standards. The proposed project is not for senior tenancy, therefore question A.3) does not apply and has been intentionally left blank.</v>
      </c>
      <c r="B1575" s="2227"/>
      <c r="C1575" s="2227"/>
      <c r="D1575" s="2227"/>
      <c r="E1575" s="2227"/>
      <c r="F1575" s="2227"/>
      <c r="G1575" s="2227"/>
      <c r="H1575" s="2227"/>
      <c r="I1575" s="2227"/>
      <c r="J1575" s="2227"/>
      <c r="K1575" s="2227"/>
      <c r="L1575" s="2227"/>
      <c r="M1575" s="2227"/>
      <c r="N1575" s="2227"/>
      <c r="O1575" s="2227"/>
      <c r="P1575" s="2227"/>
      <c r="Q1575" s="2227"/>
      <c r="R1575" s="1856" t="s">
        <v>1208</v>
      </c>
      <c r="S1575" s="2277"/>
      <c r="T1575" s="2270"/>
      <c r="U1575" s="2184"/>
      <c r="V1575" s="2184"/>
      <c r="W1575" s="2184"/>
      <c r="X1575" s="2184"/>
      <c r="Y1575" s="2184"/>
      <c r="Z1575" s="2184"/>
      <c r="AA1575" s="2184"/>
      <c r="AB1575" s="2184"/>
      <c r="AC1575" s="2184"/>
      <c r="AD1575" s="2184"/>
      <c r="AE1575" s="2184"/>
      <c r="AF1575" s="2270"/>
      <c r="AG1575" s="2270"/>
      <c r="AH1575" s="2270"/>
      <c r="AI1575" s="2270"/>
      <c r="AJ1575" s="2270"/>
      <c r="AK1575" s="2270"/>
      <c r="AL1575" s="2270"/>
      <c r="AM1575" s="2270"/>
      <c r="AN1575" s="2270"/>
      <c r="AO1575" s="2270"/>
      <c r="AP1575" s="2270"/>
      <c r="AQ1575" s="2270"/>
      <c r="AR1575" s="2270"/>
    </row>
    <row r="1576" spans="1:44" s="1853" customFormat="1" ht="11.25" customHeight="1">
      <c r="B1576" s="2228" t="s">
        <v>1779</v>
      </c>
      <c r="C1576" s="2228"/>
      <c r="D1576" s="2229"/>
      <c r="E1576" s="2229"/>
      <c r="F1576" s="2229"/>
      <c r="G1576" s="2229"/>
      <c r="H1576" s="2229"/>
      <c r="I1576" s="2229"/>
      <c r="J1576" s="2229"/>
      <c r="K1576" s="2229"/>
      <c r="L1576" s="2229"/>
      <c r="M1576" s="2229"/>
      <c r="N1576" s="2229"/>
      <c r="O1576" s="2229"/>
      <c r="P1576" s="2229"/>
      <c r="Q1576" s="2229"/>
      <c r="S1576" s="2270"/>
      <c r="T1576" s="2270"/>
      <c r="U1576" s="2270"/>
      <c r="V1576" s="2270"/>
      <c r="W1576" s="2270"/>
      <c r="X1576" s="2270"/>
      <c r="Y1576" s="2270"/>
      <c r="Z1576" s="2270"/>
      <c r="AA1576" s="2270"/>
      <c r="AB1576" s="2270"/>
      <c r="AC1576" s="2270"/>
      <c r="AD1576" s="2270"/>
      <c r="AE1576" s="2270"/>
      <c r="AF1576" s="2270"/>
      <c r="AG1576" s="2270"/>
      <c r="AH1576" s="2270"/>
      <c r="AI1576" s="2270"/>
      <c r="AJ1576" s="2270"/>
      <c r="AK1576" s="2270"/>
      <c r="AL1576" s="2270"/>
      <c r="AM1576" s="2270"/>
      <c r="AN1576" s="2270"/>
      <c r="AO1576" s="2270"/>
      <c r="AP1576" s="2270"/>
      <c r="AQ1576" s="2270"/>
      <c r="AR1576" s="2270"/>
    </row>
    <row r="1577" spans="1:44" s="1853" customFormat="1" ht="45.75" customHeight="1">
      <c r="A1577" s="2224"/>
      <c r="B1577" s="2224"/>
      <c r="C1577" s="2224"/>
      <c r="D1577" s="2224"/>
      <c r="E1577" s="2224"/>
      <c r="F1577" s="2224"/>
      <c r="G1577" s="2224"/>
      <c r="H1577" s="2224"/>
      <c r="I1577" s="2224"/>
      <c r="J1577" s="2224"/>
      <c r="K1577" s="2224"/>
      <c r="L1577" s="2224"/>
      <c r="M1577" s="2224"/>
      <c r="N1577" s="2224"/>
      <c r="O1577" s="2224"/>
      <c r="P1577" s="2224"/>
      <c r="Q1577" s="2224"/>
      <c r="S1577" s="2270"/>
      <c r="T1577" s="2270"/>
      <c r="U1577" s="2270"/>
      <c r="V1577" s="2270"/>
      <c r="W1577" s="2270"/>
      <c r="X1577" s="2270"/>
      <c r="Y1577" s="2270"/>
      <c r="Z1577" s="2270"/>
      <c r="AA1577" s="2270"/>
      <c r="AB1577" s="2270"/>
      <c r="AC1577" s="2270"/>
      <c r="AD1577" s="2270"/>
      <c r="AE1577" s="2270"/>
      <c r="AF1577" s="2270"/>
      <c r="AG1577" s="2270"/>
      <c r="AH1577" s="2270"/>
      <c r="AI1577" s="2270"/>
      <c r="AJ1577" s="2270"/>
      <c r="AK1577" s="2270"/>
      <c r="AL1577" s="2270"/>
      <c r="AM1577" s="2270"/>
      <c r="AN1577" s="2270"/>
      <c r="AO1577" s="2270"/>
      <c r="AP1577" s="2270"/>
      <c r="AQ1577" s="2270"/>
      <c r="AR1577" s="2270"/>
    </row>
    <row r="1578" spans="1:44" s="1853" customFormat="1" ht="14.1" customHeight="1">
      <c r="A1578" s="2106" t="s">
        <v>3521</v>
      </c>
      <c r="B1578" s="1818" t="s">
        <v>2522</v>
      </c>
      <c r="C1578" s="1818"/>
      <c r="D1578" s="1818"/>
      <c r="E1578" s="1818"/>
      <c r="F1578" s="1818"/>
      <c r="G1578" s="1818"/>
      <c r="H1578" s="2229"/>
      <c r="I1578" s="2229"/>
      <c r="J1578" s="2229"/>
      <c r="K1578" s="2229"/>
      <c r="L1578" s="2229"/>
      <c r="M1578" s="2229"/>
      <c r="O1578" s="2225" t="s">
        <v>1780</v>
      </c>
      <c r="P1578" s="1719"/>
      <c r="Q1578" s="1719"/>
      <c r="S1578" s="2270"/>
      <c r="T1578" s="2270"/>
      <c r="U1578" s="2270"/>
      <c r="V1578" s="2270"/>
      <c r="W1578" s="2270"/>
      <c r="X1578" s="2270"/>
      <c r="Y1578" s="2270"/>
      <c r="Z1578" s="2270"/>
      <c r="AA1578" s="2270"/>
      <c r="AB1578" s="2270"/>
      <c r="AC1578" s="2270"/>
      <c r="AD1578" s="2270"/>
      <c r="AE1578" s="2270"/>
      <c r="AF1578" s="2270"/>
      <c r="AG1578" s="2270"/>
      <c r="AH1578" s="2270"/>
      <c r="AI1578" s="2270"/>
      <c r="AJ1578" s="2270"/>
      <c r="AK1578" s="2270"/>
      <c r="AL1578" s="2270"/>
      <c r="AM1578" s="2270"/>
      <c r="AN1578" s="2270"/>
      <c r="AO1578" s="2270"/>
      <c r="AP1578" s="2270"/>
      <c r="AQ1578" s="2270"/>
      <c r="AR1578" s="2270"/>
    </row>
    <row r="1579" spans="1:44" s="1853" customFormat="1" ht="11.45" customHeight="1">
      <c r="B1579" s="2113" t="s">
        <v>2149</v>
      </c>
      <c r="P1579" s="2231" t="str">
        <f>'Part VIII-Threshold Criteria'!P339</f>
        <v>No</v>
      </c>
      <c r="Q1579" s="2165"/>
      <c r="S1579" s="2270"/>
      <c r="T1579" s="2270"/>
      <c r="U1579" s="2270"/>
      <c r="V1579" s="2270"/>
      <c r="W1579" s="2270"/>
      <c r="X1579" s="2270"/>
      <c r="Y1579" s="2270"/>
      <c r="Z1579" s="2270"/>
      <c r="AA1579" s="2270"/>
      <c r="AB1579" s="2270"/>
      <c r="AC1579" s="2270"/>
      <c r="AD1579" s="2270"/>
      <c r="AE1579" s="2270"/>
      <c r="AF1579" s="2270"/>
      <c r="AG1579" s="2270"/>
      <c r="AH1579" s="2270"/>
      <c r="AI1579" s="2270"/>
      <c r="AJ1579" s="2270"/>
      <c r="AK1579" s="2270"/>
      <c r="AL1579" s="2270"/>
      <c r="AM1579" s="2270"/>
      <c r="AN1579" s="2270"/>
      <c r="AO1579" s="2270"/>
      <c r="AP1579" s="2270"/>
      <c r="AQ1579" s="2270"/>
      <c r="AR1579" s="2270"/>
    </row>
    <row r="1580" spans="1:44" s="1853" customFormat="1" ht="12" customHeight="1">
      <c r="B1580" s="2229" t="s">
        <v>2109</v>
      </c>
      <c r="C1580" s="2229"/>
      <c r="D1580" s="2229"/>
      <c r="E1580" s="2229"/>
      <c r="F1580" s="2229"/>
      <c r="G1580" s="2229"/>
      <c r="H1580" s="2229"/>
      <c r="I1580" s="2229"/>
      <c r="J1580" s="2229"/>
      <c r="K1580" s="2229"/>
      <c r="L1580" s="2229"/>
      <c r="P1580" s="2231" t="str">
        <f>'Part VIII-Threshold Criteria'!P340</f>
        <v>Yes</v>
      </c>
      <c r="Q1580" s="2165"/>
      <c r="S1580" s="2270"/>
      <c r="T1580" s="2270"/>
      <c r="U1580" s="2270"/>
      <c r="V1580" s="2270"/>
      <c r="W1580" s="2270"/>
      <c r="X1580" s="2270"/>
      <c r="Y1580" s="2270"/>
      <c r="Z1580" s="2270"/>
      <c r="AA1580" s="2270"/>
      <c r="AB1580" s="2270"/>
      <c r="AC1580" s="2270"/>
      <c r="AD1580" s="2270"/>
      <c r="AE1580" s="2270"/>
      <c r="AF1580" s="2270"/>
      <c r="AG1580" s="2270"/>
      <c r="AH1580" s="2270"/>
      <c r="AI1580" s="2270"/>
      <c r="AJ1580" s="2270"/>
      <c r="AK1580" s="2270"/>
      <c r="AL1580" s="2270"/>
      <c r="AM1580" s="2270"/>
      <c r="AN1580" s="2270"/>
      <c r="AO1580" s="2270"/>
      <c r="AP1580" s="2270"/>
      <c r="AQ1580" s="2270"/>
      <c r="AR1580" s="2270"/>
    </row>
    <row r="1581" spans="1:44" ht="11.45" customHeight="1">
      <c r="A1581" s="2293"/>
      <c r="B1581" s="2294" t="s">
        <v>3946</v>
      </c>
      <c r="E1581" s="2294"/>
      <c r="F1581" s="2294"/>
      <c r="G1581" s="2294"/>
      <c r="H1581" s="2294"/>
      <c r="I1581" s="2114"/>
      <c r="J1581" s="2293"/>
      <c r="K1581" s="2112" t="str">
        <f>'Part VIII-Threshold Criteria'!K341</f>
        <v>Yes - W&amp;D hookups installed in each unit</v>
      </c>
      <c r="L1581" s="2112"/>
      <c r="M1581" s="2112"/>
      <c r="N1581" s="2112"/>
      <c r="O1581" s="2161"/>
      <c r="Q1581" s="2146"/>
      <c r="R1581" s="2114"/>
      <c r="S1581" s="2270"/>
      <c r="T1581" s="2270"/>
      <c r="U1581" s="2270"/>
      <c r="V1581" s="2270"/>
      <c r="W1581" s="2270"/>
      <c r="X1581" s="2270"/>
      <c r="Y1581" s="2270"/>
      <c r="Z1581" s="2270"/>
      <c r="AA1581" s="2270"/>
      <c r="AB1581" s="2270"/>
      <c r="AC1581" s="2270"/>
      <c r="AD1581" s="2270"/>
      <c r="AE1581" s="2270"/>
      <c r="AF1581" s="2270"/>
      <c r="AG1581" s="2270"/>
      <c r="AH1581" s="2270"/>
      <c r="AI1581" s="2270"/>
      <c r="AJ1581" s="2270"/>
      <c r="AK1581" s="2270"/>
      <c r="AL1581" s="2270"/>
      <c r="AM1581" s="2270"/>
      <c r="AN1581" s="2270"/>
      <c r="AO1581" s="2270"/>
      <c r="AP1581" s="2270"/>
      <c r="AQ1581" s="2270"/>
      <c r="AR1581" s="2270"/>
    </row>
    <row r="1582" spans="1:44" s="1853" customFormat="1" ht="11.45" customHeight="1">
      <c r="A1582" s="2225" t="s">
        <v>1892</v>
      </c>
      <c r="B1582" s="2122" t="s">
        <v>7088</v>
      </c>
      <c r="D1582" s="2122"/>
      <c r="E1582" s="2122"/>
      <c r="F1582" s="2122"/>
      <c r="G1582" s="2122"/>
      <c r="H1582" s="2122"/>
      <c r="I1582" s="2122"/>
      <c r="J1582" s="2122"/>
      <c r="K1582" s="2122"/>
      <c r="L1582" s="2122"/>
      <c r="M1582" s="2122"/>
      <c r="N1582" s="2225"/>
      <c r="S1582" s="2270"/>
      <c r="T1582" s="2270"/>
      <c r="U1582" s="2270"/>
      <c r="V1582" s="2270"/>
      <c r="W1582" s="2270"/>
      <c r="X1582" s="2270"/>
      <c r="Y1582" s="2270"/>
      <c r="Z1582" s="2270"/>
      <c r="AA1582" s="2270"/>
      <c r="AB1582" s="2270"/>
      <c r="AC1582" s="2270"/>
      <c r="AD1582" s="2270"/>
      <c r="AE1582" s="2270"/>
      <c r="AF1582" s="2270"/>
      <c r="AG1582" s="2270"/>
      <c r="AH1582" s="2270"/>
      <c r="AI1582" s="2270"/>
      <c r="AJ1582" s="2270"/>
      <c r="AK1582" s="2270"/>
      <c r="AL1582" s="2270"/>
      <c r="AM1582" s="2270"/>
      <c r="AN1582" s="2270"/>
      <c r="AO1582" s="2270"/>
      <c r="AP1582" s="2270"/>
      <c r="AQ1582" s="2270"/>
      <c r="AR1582" s="2270"/>
    </row>
    <row r="1583" spans="1:44" s="1853" customFormat="1" ht="22.5" customHeight="1">
      <c r="B1583" s="2224" t="s">
        <v>2672</v>
      </c>
      <c r="C1583" s="2224"/>
      <c r="D1583" s="2224"/>
      <c r="E1583" s="2224"/>
      <c r="F1583" s="2224"/>
      <c r="G1583" s="2224"/>
      <c r="H1583" s="2224"/>
      <c r="I1583" s="2224"/>
      <c r="J1583" s="2224"/>
      <c r="K1583" s="2224"/>
      <c r="L1583" s="2224"/>
      <c r="M1583" s="2224"/>
      <c r="N1583" s="2224"/>
      <c r="O1583" s="2225" t="s">
        <v>1892</v>
      </c>
      <c r="P1583" s="2265">
        <f>'Part VIII-Threshold Criteria'!P343</f>
        <v>0</v>
      </c>
      <c r="Q1583" s="2253"/>
      <c r="S1583" s="2270"/>
      <c r="T1583" s="2270"/>
      <c r="U1583" s="2270"/>
      <c r="V1583" s="2270"/>
      <c r="W1583" s="2270"/>
      <c r="X1583" s="2270"/>
      <c r="Y1583" s="2270"/>
      <c r="Z1583" s="2270"/>
      <c r="AA1583" s="2270"/>
      <c r="AB1583" s="2270"/>
      <c r="AC1583" s="2270"/>
      <c r="AD1583" s="2270"/>
      <c r="AE1583" s="2270"/>
      <c r="AF1583" s="2270"/>
      <c r="AG1583" s="2270"/>
      <c r="AH1583" s="2270"/>
      <c r="AI1583" s="2270"/>
      <c r="AJ1583" s="2270"/>
      <c r="AK1583" s="2270"/>
      <c r="AL1583" s="2270"/>
      <c r="AM1583" s="2270"/>
      <c r="AN1583" s="2270"/>
      <c r="AO1583" s="2270"/>
      <c r="AP1583" s="2270"/>
      <c r="AQ1583" s="2270"/>
      <c r="AR1583" s="2270"/>
    </row>
    <row r="1584" spans="1:44" s="1853" customFormat="1" ht="12.6" customHeight="1">
      <c r="A1584" s="2225" t="s">
        <v>1894</v>
      </c>
      <c r="B1584" s="435" t="s">
        <v>440</v>
      </c>
      <c r="D1584" s="435"/>
      <c r="E1584" s="435"/>
      <c r="F1584" s="435"/>
      <c r="G1584" s="435"/>
      <c r="H1584" s="435"/>
      <c r="I1584" s="435"/>
      <c r="J1584" s="435"/>
      <c r="K1584" s="435"/>
      <c r="L1584" s="435"/>
      <c r="M1584" s="435"/>
      <c r="O1584" s="2225" t="s">
        <v>1894</v>
      </c>
      <c r="P1584" s="2118"/>
      <c r="Q1584" s="2118"/>
      <c r="S1584" s="2270"/>
      <c r="T1584" s="2270"/>
      <c r="U1584" s="2270"/>
      <c r="V1584" s="2270"/>
      <c r="W1584" s="2270"/>
      <c r="X1584" s="2270"/>
      <c r="Y1584" s="2270"/>
      <c r="Z1584" s="2270"/>
      <c r="AA1584" s="2270"/>
      <c r="AB1584" s="2270"/>
      <c r="AC1584" s="2270"/>
      <c r="AD1584" s="2270"/>
      <c r="AE1584" s="2270"/>
      <c r="AF1584" s="2270"/>
      <c r="AG1584" s="2270"/>
      <c r="AH1584" s="2270"/>
      <c r="AI1584" s="2270"/>
      <c r="AJ1584" s="2270"/>
      <c r="AK1584" s="2270"/>
      <c r="AL1584" s="2270"/>
      <c r="AM1584" s="2270"/>
      <c r="AN1584" s="2270"/>
      <c r="AO1584" s="2270"/>
      <c r="AP1584" s="2270"/>
      <c r="AQ1584" s="2270"/>
      <c r="AR1584" s="2270"/>
    </row>
    <row r="1585" spans="1:256 1523:1523" s="1853" customFormat="1" ht="38.25" customHeight="1">
      <c r="B1585" s="2229" t="s">
        <v>1658</v>
      </c>
      <c r="C1585" s="2224" t="s">
        <v>1090</v>
      </c>
      <c r="E1585" s="2159"/>
      <c r="F1585" s="2159"/>
      <c r="G1585" s="1952" t="str">
        <f>'Part VIII-Threshold Criteria'!G345</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585" s="1855"/>
      <c r="I1585" s="1855"/>
      <c r="J1585" s="1855"/>
      <c r="K1585" s="1855"/>
      <c r="L1585" s="1855"/>
      <c r="M1585" s="1855"/>
      <c r="N1585" s="1855"/>
      <c r="O1585" s="2225" t="s">
        <v>1658</v>
      </c>
      <c r="P1585" s="2265" t="str">
        <f>'Part VIII-Threshold Criteria'!P345</f>
        <v>Yes</v>
      </c>
      <c r="Q1585" s="2253"/>
      <c r="S1585" s="2270"/>
      <c r="T1585" s="2270"/>
      <c r="U1585" s="2270"/>
      <c r="V1585" s="2270"/>
      <c r="W1585" s="2270"/>
      <c r="X1585" s="2270"/>
      <c r="Y1585" s="2270"/>
      <c r="Z1585" s="2270"/>
      <c r="AA1585" s="2270"/>
      <c r="AB1585" s="2270"/>
      <c r="AC1585" s="2270"/>
      <c r="AD1585" s="2270"/>
      <c r="AE1585" s="2270"/>
      <c r="AF1585" s="2270"/>
      <c r="AG1585" s="2270"/>
      <c r="AH1585" s="2270"/>
      <c r="AI1585" s="2270"/>
      <c r="AJ1585" s="2270"/>
      <c r="AK1585" s="2270"/>
      <c r="AL1585" s="2270"/>
      <c r="AM1585" s="2270"/>
      <c r="AN1585" s="2270"/>
      <c r="AO1585" s="2270"/>
      <c r="AP1585" s="2270"/>
      <c r="AQ1585" s="2270"/>
      <c r="AR1585" s="2270"/>
      <c r="BFO1585" s="1853" t="s">
        <v>2568</v>
      </c>
    </row>
    <row r="1586" spans="1:256 1523:1523" s="1853" customFormat="1" ht="23.25" customHeight="1">
      <c r="B1586" s="2229" t="s">
        <v>1659</v>
      </c>
      <c r="C1586" s="2224" t="s">
        <v>1091</v>
      </c>
      <c r="D1586" s="2224"/>
      <c r="E1586" s="2224"/>
      <c r="F1586" s="2224"/>
      <c r="G1586" s="1952" t="str">
        <f>'Part VIII-Threshold Criteria'!G346</f>
        <v>Upgraded "architectural dimensional" shingles, or roofing materials  (warranty 40 years or greater)</v>
      </c>
      <c r="H1586" s="1855"/>
      <c r="I1586" s="1855"/>
      <c r="J1586" s="1855"/>
      <c r="K1586" s="1855"/>
      <c r="L1586" s="1855"/>
      <c r="M1586" s="1855"/>
      <c r="N1586" s="1855"/>
      <c r="O1586" s="2225" t="s">
        <v>1659</v>
      </c>
      <c r="P1586" s="2265" t="str">
        <f>'Part VIII-Threshold Criteria'!P346</f>
        <v>Yes</v>
      </c>
      <c r="Q1586" s="2253"/>
      <c r="S1586" s="2270"/>
      <c r="T1586" s="2270"/>
      <c r="U1586" s="2270"/>
      <c r="V1586" s="2270"/>
      <c r="W1586" s="2270"/>
      <c r="X1586" s="2270"/>
      <c r="Y1586" s="2270"/>
      <c r="Z1586" s="2270"/>
      <c r="AA1586" s="2270"/>
      <c r="AB1586" s="2270"/>
      <c r="AC1586" s="2270"/>
      <c r="AD1586" s="2270"/>
      <c r="AE1586" s="2270"/>
      <c r="AF1586" s="2270"/>
      <c r="AG1586" s="2270"/>
      <c r="AH1586" s="2270"/>
      <c r="AI1586" s="2270"/>
      <c r="AJ1586" s="2270"/>
      <c r="AK1586" s="2270"/>
      <c r="AL1586" s="2270"/>
      <c r="AM1586" s="2270"/>
      <c r="AN1586" s="2270"/>
      <c r="AO1586" s="2270"/>
      <c r="AP1586" s="2270"/>
      <c r="AQ1586" s="2270"/>
      <c r="AR1586" s="2270"/>
    </row>
    <row r="1587" spans="1:256 1523:1523" s="1853" customFormat="1" ht="3" customHeight="1">
      <c r="A1587" s="2118"/>
      <c r="B1587" s="2124"/>
      <c r="C1587" s="2118"/>
      <c r="D1587" s="2118"/>
      <c r="E1587" s="2118"/>
      <c r="F1587" s="2118"/>
      <c r="G1587" s="2118"/>
      <c r="H1587" s="2118"/>
      <c r="I1587" s="2118"/>
      <c r="J1587" s="2118"/>
      <c r="K1587" s="2118"/>
      <c r="L1587" s="2118"/>
      <c r="M1587" s="2118"/>
      <c r="N1587" s="2118"/>
      <c r="O1587" s="2118"/>
      <c r="P1587" s="2118"/>
      <c r="Q1587" s="2118"/>
      <c r="R1587" s="2118"/>
      <c r="S1587" s="2138"/>
      <c r="T1587" s="2138"/>
      <c r="U1587" s="2138"/>
      <c r="V1587" s="2138"/>
      <c r="W1587" s="2138"/>
      <c r="X1587" s="2138"/>
      <c r="Y1587" s="2138"/>
      <c r="Z1587" s="2138"/>
      <c r="AA1587" s="2138"/>
      <c r="AB1587" s="2138"/>
      <c r="AC1587" s="2138"/>
      <c r="AD1587" s="2138"/>
      <c r="AE1587" s="2138"/>
      <c r="AF1587" s="2138"/>
      <c r="AG1587" s="2138"/>
      <c r="AH1587" s="2138"/>
      <c r="AI1587" s="2138"/>
      <c r="AJ1587" s="2138"/>
      <c r="AK1587" s="2138"/>
      <c r="AL1587" s="2138"/>
      <c r="AM1587" s="2138"/>
      <c r="AN1587" s="2138"/>
      <c r="AO1587" s="2138"/>
      <c r="AP1587" s="2138"/>
      <c r="AQ1587" s="2138"/>
      <c r="AR1587" s="2138"/>
      <c r="AS1587" s="2118"/>
      <c r="AT1587" s="2118"/>
      <c r="AU1587" s="2118"/>
      <c r="AV1587" s="2118"/>
      <c r="AW1587" s="2118"/>
      <c r="AX1587" s="2118"/>
      <c r="AY1587" s="2118"/>
      <c r="AZ1587" s="2118"/>
      <c r="BA1587" s="2118"/>
      <c r="BB1587" s="2118"/>
      <c r="BC1587" s="2118"/>
      <c r="BD1587" s="2118"/>
      <c r="BE1587" s="2118"/>
      <c r="BF1587" s="2118"/>
      <c r="BG1587" s="2118"/>
      <c r="BH1587" s="2118"/>
      <c r="BI1587" s="2118"/>
      <c r="BJ1587" s="2118"/>
      <c r="BK1587" s="2118"/>
      <c r="BL1587" s="2118"/>
      <c r="BM1587" s="2118"/>
      <c r="BN1587" s="2118"/>
      <c r="BO1587" s="2118"/>
      <c r="BP1587" s="2118"/>
      <c r="BQ1587" s="2118"/>
      <c r="BR1587" s="2118"/>
      <c r="BS1587" s="2118"/>
      <c r="BT1587" s="2118"/>
      <c r="BU1587" s="2118"/>
      <c r="BV1587" s="2118"/>
      <c r="BW1587" s="2118"/>
      <c r="BX1587" s="2118"/>
      <c r="BY1587" s="2118"/>
      <c r="BZ1587" s="2118"/>
      <c r="CA1587" s="2118"/>
      <c r="CB1587" s="2118"/>
      <c r="CC1587" s="2118"/>
      <c r="CD1587" s="2118"/>
      <c r="CE1587" s="2118"/>
      <c r="CF1587" s="2118"/>
      <c r="CG1587" s="2118"/>
      <c r="CH1587" s="2118"/>
      <c r="CI1587" s="2118"/>
      <c r="CJ1587" s="2118"/>
      <c r="CK1587" s="2118"/>
      <c r="CL1587" s="2118"/>
      <c r="CM1587" s="2118"/>
      <c r="CN1587" s="2118"/>
      <c r="CO1587" s="2118"/>
      <c r="CP1587" s="2118"/>
      <c r="CQ1587" s="2118"/>
      <c r="CR1587" s="2118"/>
      <c r="CS1587" s="2118"/>
      <c r="CT1587" s="2118"/>
      <c r="CU1587" s="2118"/>
      <c r="CV1587" s="2118"/>
      <c r="CW1587" s="2118"/>
      <c r="CX1587" s="2118"/>
      <c r="CY1587" s="2118"/>
      <c r="CZ1587" s="2118"/>
      <c r="DA1587" s="2118"/>
      <c r="DB1587" s="2118"/>
      <c r="DC1587" s="2118"/>
      <c r="DD1587" s="2118"/>
      <c r="DE1587" s="2118"/>
      <c r="DF1587" s="2118"/>
      <c r="DG1587" s="2118"/>
      <c r="DH1587" s="2118"/>
      <c r="DI1587" s="2118"/>
      <c r="DJ1587" s="2118"/>
      <c r="DK1587" s="2118"/>
      <c r="DL1587" s="2118"/>
      <c r="DM1587" s="2118"/>
      <c r="DN1587" s="2118"/>
      <c r="DO1587" s="2118"/>
      <c r="DP1587" s="2118"/>
      <c r="DQ1587" s="2118"/>
      <c r="DR1587" s="2118"/>
      <c r="DS1587" s="2118"/>
      <c r="DT1587" s="2118"/>
      <c r="DU1587" s="2118"/>
      <c r="DV1587" s="2118"/>
      <c r="DW1587" s="2118"/>
      <c r="DX1587" s="2118"/>
      <c r="DY1587" s="2118"/>
      <c r="DZ1587" s="2118"/>
      <c r="EA1587" s="2118"/>
      <c r="EB1587" s="2118"/>
      <c r="EC1587" s="2118"/>
      <c r="ED1587" s="2118"/>
      <c r="EE1587" s="2118"/>
      <c r="EF1587" s="2118"/>
      <c r="EG1587" s="2118"/>
      <c r="EH1587" s="2118"/>
      <c r="EI1587" s="2118"/>
      <c r="EJ1587" s="2118"/>
      <c r="EK1587" s="2118"/>
      <c r="EL1587" s="2118"/>
      <c r="EM1587" s="2118"/>
      <c r="EN1587" s="2118"/>
      <c r="EO1587" s="2118"/>
      <c r="EP1587" s="2118"/>
      <c r="EQ1587" s="2118"/>
      <c r="ER1587" s="2118"/>
      <c r="ES1587" s="2118"/>
      <c r="ET1587" s="2118"/>
      <c r="EU1587" s="2118"/>
      <c r="EV1587" s="2118"/>
      <c r="EW1587" s="2118"/>
      <c r="EX1587" s="2118"/>
      <c r="EY1587" s="2118"/>
      <c r="EZ1587" s="2118"/>
      <c r="FA1587" s="2118"/>
      <c r="FB1587" s="2118"/>
      <c r="FC1587" s="2118"/>
      <c r="FD1587" s="2118"/>
      <c r="FE1587" s="2118"/>
      <c r="FF1587" s="2118"/>
      <c r="FG1587" s="2118"/>
      <c r="FH1587" s="2118"/>
      <c r="FI1587" s="2118"/>
      <c r="FJ1587" s="2118"/>
      <c r="FK1587" s="2118"/>
      <c r="FL1587" s="2118"/>
      <c r="FM1587" s="2118"/>
      <c r="FN1587" s="2118"/>
      <c r="FO1587" s="2118"/>
      <c r="FP1587" s="2118"/>
      <c r="FQ1587" s="2118"/>
      <c r="FR1587" s="2118"/>
      <c r="FS1587" s="2118"/>
      <c r="FT1587" s="2118"/>
      <c r="FU1587" s="2118"/>
      <c r="FV1587" s="2118"/>
      <c r="FW1587" s="2118"/>
      <c r="FX1587" s="2118"/>
      <c r="FY1587" s="2118"/>
      <c r="FZ1587" s="2118"/>
      <c r="GA1587" s="2118"/>
      <c r="GB1587" s="2118"/>
      <c r="GC1587" s="2118"/>
      <c r="GD1587" s="2118"/>
      <c r="GE1587" s="2118"/>
      <c r="GF1587" s="2118"/>
      <c r="GG1587" s="2118"/>
      <c r="GH1587" s="2118"/>
      <c r="GI1587" s="2118"/>
      <c r="GJ1587" s="2118"/>
      <c r="GK1587" s="2118"/>
      <c r="GL1587" s="2118"/>
      <c r="GM1587" s="2118"/>
      <c r="GN1587" s="2118"/>
      <c r="GO1587" s="2118"/>
      <c r="GP1587" s="2118"/>
      <c r="GQ1587" s="2118"/>
      <c r="GR1587" s="2118"/>
      <c r="GS1587" s="2118"/>
      <c r="GT1587" s="2118"/>
      <c r="GU1587" s="2118"/>
      <c r="GV1587" s="2118"/>
      <c r="GW1587" s="2118"/>
      <c r="GX1587" s="2118"/>
      <c r="GY1587" s="2118"/>
      <c r="GZ1587" s="2118"/>
      <c r="HA1587" s="2118"/>
      <c r="HB1587" s="2118"/>
      <c r="HC1587" s="2118"/>
      <c r="HD1587" s="2118"/>
      <c r="HE1587" s="2118"/>
      <c r="HF1587" s="2118"/>
      <c r="HG1587" s="2118"/>
      <c r="HH1587" s="2118"/>
      <c r="HI1587" s="2118"/>
      <c r="HJ1587" s="2118"/>
      <c r="HK1587" s="2118"/>
      <c r="HL1587" s="2118"/>
      <c r="HM1587" s="2118"/>
      <c r="HN1587" s="2118"/>
      <c r="HO1587" s="2118"/>
      <c r="HP1587" s="2118"/>
      <c r="HQ1587" s="2118"/>
      <c r="HR1587" s="2118"/>
      <c r="HS1587" s="2118"/>
      <c r="HT1587" s="2118"/>
      <c r="HU1587" s="2118"/>
      <c r="HV1587" s="2118"/>
      <c r="HW1587" s="2118"/>
      <c r="HX1587" s="2118"/>
      <c r="HY1587" s="2118"/>
      <c r="HZ1587" s="2118"/>
      <c r="IA1587" s="2118"/>
      <c r="IB1587" s="2118"/>
      <c r="IC1587" s="2118"/>
      <c r="ID1587" s="2118"/>
      <c r="IE1587" s="2118"/>
      <c r="IF1587" s="2118"/>
      <c r="IG1587" s="2118"/>
      <c r="IH1587" s="2118"/>
      <c r="II1587" s="2118"/>
      <c r="IJ1587" s="2118"/>
      <c r="IK1587" s="2118"/>
      <c r="IL1587" s="2118"/>
      <c r="IM1587" s="2118"/>
      <c r="IN1587" s="2118"/>
      <c r="IO1587" s="2118"/>
      <c r="IP1587" s="2118"/>
      <c r="IQ1587" s="2118"/>
      <c r="IR1587" s="2118"/>
      <c r="IS1587" s="2118"/>
      <c r="IT1587" s="2118"/>
      <c r="IU1587" s="2118"/>
      <c r="IV1587" s="2118"/>
    </row>
    <row r="1588" spans="1:256 1523:1523" s="2159" customFormat="1" ht="22.5" customHeight="1">
      <c r="A1588" s="2225"/>
      <c r="B1588" s="2229" t="s">
        <v>1660</v>
      </c>
      <c r="C1588" s="2224" t="s">
        <v>6344</v>
      </c>
      <c r="D1588" s="2224"/>
      <c r="E1588" s="2224"/>
      <c r="F1588" s="2224"/>
      <c r="G1588" s="1865" t="s">
        <v>6345</v>
      </c>
      <c r="H1588" s="1865"/>
      <c r="I1588" s="1865"/>
      <c r="J1588" s="1865"/>
      <c r="K1588" s="1865"/>
      <c r="L1588" s="1865"/>
      <c r="M1588" s="1865"/>
      <c r="N1588" s="1865"/>
      <c r="O1588" s="2271"/>
      <c r="P1588" s="2118"/>
      <c r="Q1588" s="2118"/>
      <c r="S1588" s="2044"/>
      <c r="T1588" s="2044"/>
      <c r="U1588" s="2044"/>
      <c r="V1588" s="2044"/>
      <c r="W1588" s="2044"/>
      <c r="X1588" s="2044"/>
      <c r="Y1588" s="2044"/>
      <c r="Z1588" s="2044"/>
      <c r="AA1588" s="2044"/>
      <c r="AB1588" s="2044"/>
      <c r="AC1588" s="2044"/>
      <c r="AD1588" s="2044"/>
      <c r="AE1588" s="2044"/>
      <c r="AF1588" s="2044"/>
      <c r="AG1588" s="2044"/>
      <c r="AH1588" s="2044"/>
      <c r="AI1588" s="2044"/>
      <c r="AJ1588" s="2044"/>
      <c r="AK1588" s="2044"/>
      <c r="AL1588" s="2044"/>
      <c r="AM1588" s="2044"/>
      <c r="AN1588" s="2044"/>
      <c r="AO1588" s="2044"/>
      <c r="AP1588" s="2044"/>
      <c r="AQ1588" s="2044"/>
      <c r="AR1588" s="2044"/>
    </row>
    <row r="1589" spans="1:256 1523:1523" s="2159" customFormat="1" ht="11.25" customHeight="1">
      <c r="A1589" s="2258"/>
      <c r="B1589" s="2225" t="s">
        <v>2323</v>
      </c>
      <c r="C1589" s="2227">
        <f>'Part VIII-Threshold Criteria'!C349</f>
        <v>0</v>
      </c>
      <c r="D1589" s="2227"/>
      <c r="E1589" s="2227"/>
      <c r="F1589" s="2227"/>
      <c r="G1589" s="2227"/>
      <c r="H1589" s="2227"/>
      <c r="I1589" s="2227"/>
      <c r="J1589" s="2227"/>
      <c r="K1589" s="2227"/>
      <c r="L1589" s="2227"/>
      <c r="M1589" s="2227"/>
      <c r="N1589" s="2227"/>
      <c r="O1589" s="2225" t="s">
        <v>6611</v>
      </c>
      <c r="P1589" s="2265">
        <f>'Part VIII-Threshold Criteria'!P349</f>
        <v>0</v>
      </c>
      <c r="Q1589" s="2253"/>
      <c r="S1589" s="2044"/>
      <c r="T1589" s="2044"/>
      <c r="U1589" s="2044"/>
      <c r="V1589" s="2044"/>
      <c r="W1589" s="2044"/>
      <c r="X1589" s="2044"/>
      <c r="Y1589" s="2044"/>
      <c r="Z1589" s="2044"/>
      <c r="AA1589" s="2044"/>
      <c r="AB1589" s="2044"/>
      <c r="AC1589" s="2044"/>
      <c r="AD1589" s="2044"/>
      <c r="AE1589" s="2044"/>
      <c r="AF1589" s="2044"/>
      <c r="AG1589" s="2044"/>
      <c r="AH1589" s="2044"/>
      <c r="AI1589" s="2044"/>
      <c r="AJ1589" s="2044"/>
      <c r="AK1589" s="2044"/>
      <c r="AL1589" s="2044"/>
      <c r="AM1589" s="2044"/>
      <c r="AN1589" s="2044"/>
      <c r="AO1589" s="2044"/>
      <c r="AP1589" s="2044"/>
      <c r="AQ1589" s="2044"/>
      <c r="AR1589" s="2044"/>
    </row>
    <row r="1590" spans="1:256 1523:1523" s="2159" customFormat="1" ht="11.25" customHeight="1">
      <c r="A1590" s="2258"/>
      <c r="B1590" s="2225" t="s">
        <v>2324</v>
      </c>
      <c r="C1590" s="2227">
        <f>'Part VIII-Threshold Criteria'!C350</f>
        <v>0</v>
      </c>
      <c r="D1590" s="2227"/>
      <c r="E1590" s="2227"/>
      <c r="F1590" s="2227"/>
      <c r="G1590" s="2227"/>
      <c r="H1590" s="2227"/>
      <c r="I1590" s="2227"/>
      <c r="J1590" s="2227"/>
      <c r="K1590" s="2227"/>
      <c r="L1590" s="2227"/>
      <c r="M1590" s="2227"/>
      <c r="N1590" s="2227"/>
      <c r="O1590" s="2225" t="s">
        <v>6612</v>
      </c>
      <c r="P1590" s="2265">
        <f>'Part VIII-Threshold Criteria'!P350</f>
        <v>0</v>
      </c>
      <c r="Q1590" s="2253"/>
      <c r="S1590" s="2044"/>
      <c r="T1590" s="2044"/>
      <c r="U1590" s="2044"/>
      <c r="V1590" s="2044"/>
      <c r="W1590" s="2044"/>
      <c r="X1590" s="2044"/>
      <c r="Y1590" s="2044"/>
      <c r="Z1590" s="2044"/>
      <c r="AA1590" s="2044"/>
      <c r="AB1590" s="2044"/>
      <c r="AC1590" s="2044"/>
      <c r="AD1590" s="2044"/>
      <c r="AE1590" s="2044"/>
      <c r="AF1590" s="2044"/>
      <c r="AG1590" s="2044"/>
      <c r="AH1590" s="2044"/>
      <c r="AI1590" s="2044"/>
      <c r="AJ1590" s="2044"/>
      <c r="AK1590" s="2044"/>
      <c r="AL1590" s="2044"/>
      <c r="AM1590" s="2044"/>
      <c r="AN1590" s="2044"/>
      <c r="AO1590" s="2044"/>
      <c r="AP1590" s="2044"/>
      <c r="AQ1590" s="2044"/>
      <c r="AR1590" s="2044"/>
    </row>
    <row r="1591" spans="1:256 1523:1523" s="1853" customFormat="1" ht="22.5" customHeight="1">
      <c r="A1591" s="2225" t="s">
        <v>2020</v>
      </c>
      <c r="B1591" s="2224" t="s">
        <v>7089</v>
      </c>
      <c r="C1591" s="2224"/>
      <c r="D1591" s="2224"/>
      <c r="E1591" s="2224"/>
      <c r="F1591" s="2224"/>
      <c r="G1591" s="2224"/>
      <c r="H1591" s="2224"/>
      <c r="I1591" s="2224"/>
      <c r="J1591" s="2224"/>
      <c r="K1591" s="2224"/>
      <c r="L1591" s="2224"/>
      <c r="M1591" s="2224"/>
      <c r="N1591" s="2224"/>
      <c r="O1591" s="2225" t="s">
        <v>2020</v>
      </c>
      <c r="P1591" s="2265" t="str">
        <f>'Part VIII-Threshold Criteria'!P351</f>
        <v>Agree</v>
      </c>
      <c r="Q1591" s="2253"/>
    </row>
    <row r="1592" spans="1:256 1523:1523" s="1853" customFormat="1" ht="3" customHeight="1">
      <c r="A1592" s="2118"/>
      <c r="B1592" s="2118"/>
      <c r="C1592" s="2118"/>
      <c r="D1592" s="2118"/>
      <c r="E1592" s="2118"/>
      <c r="F1592" s="2118"/>
      <c r="G1592" s="2118"/>
      <c r="H1592" s="2118"/>
      <c r="I1592" s="2118"/>
      <c r="J1592" s="2118"/>
      <c r="K1592" s="2118"/>
      <c r="L1592" s="2118"/>
      <c r="M1592" s="2118"/>
      <c r="N1592" s="2118"/>
      <c r="O1592" s="2118"/>
      <c r="P1592" s="2118"/>
      <c r="Q1592" s="2118"/>
      <c r="R1592" s="2118"/>
      <c r="S1592" s="2138"/>
      <c r="T1592" s="2138"/>
      <c r="U1592" s="2138"/>
      <c r="V1592" s="2138"/>
      <c r="W1592" s="2138"/>
      <c r="X1592" s="2138"/>
      <c r="Y1592" s="2138"/>
      <c r="Z1592" s="2138"/>
      <c r="AA1592" s="2138"/>
      <c r="AB1592" s="2138"/>
      <c r="AC1592" s="2138"/>
      <c r="AD1592" s="2138"/>
      <c r="AE1592" s="2138"/>
      <c r="AF1592" s="2138"/>
      <c r="AG1592" s="2138"/>
      <c r="AH1592" s="2138"/>
      <c r="AI1592" s="2138"/>
      <c r="AJ1592" s="2138"/>
      <c r="AK1592" s="2138"/>
      <c r="AL1592" s="2138"/>
      <c r="AM1592" s="2138"/>
      <c r="AN1592" s="2138"/>
      <c r="AO1592" s="2138"/>
      <c r="AP1592" s="2138"/>
      <c r="AQ1592" s="2138"/>
      <c r="AR1592" s="2138"/>
      <c r="AS1592" s="2118"/>
      <c r="AT1592" s="2118"/>
      <c r="AU1592" s="2118"/>
      <c r="AV1592" s="2118"/>
      <c r="AW1592" s="2118"/>
      <c r="AX1592" s="2118"/>
      <c r="AY1592" s="2118"/>
      <c r="AZ1592" s="2118"/>
      <c r="BA1592" s="2118"/>
      <c r="BB1592" s="2118"/>
      <c r="BC1592" s="2118"/>
      <c r="BD1592" s="2118"/>
      <c r="BE1592" s="2118"/>
      <c r="BF1592" s="2118"/>
      <c r="BG1592" s="2118"/>
      <c r="BH1592" s="2118"/>
      <c r="BI1592" s="2118"/>
      <c r="BJ1592" s="2118"/>
      <c r="BK1592" s="2118"/>
      <c r="BL1592" s="2118"/>
      <c r="BM1592" s="2118"/>
      <c r="BN1592" s="2118"/>
      <c r="BO1592" s="2118"/>
      <c r="BP1592" s="2118"/>
      <c r="BQ1592" s="2118"/>
      <c r="BR1592" s="2118"/>
      <c r="BS1592" s="2118"/>
      <c r="BT1592" s="2118"/>
      <c r="BU1592" s="2118"/>
      <c r="BV1592" s="2118"/>
      <c r="BW1592" s="2118"/>
      <c r="BX1592" s="2118"/>
      <c r="BY1592" s="2118"/>
      <c r="BZ1592" s="2118"/>
      <c r="CA1592" s="2118"/>
      <c r="CB1592" s="2118"/>
      <c r="CC1592" s="2118"/>
      <c r="CD1592" s="2118"/>
      <c r="CE1592" s="2118"/>
      <c r="CF1592" s="2118"/>
      <c r="CG1592" s="2118"/>
      <c r="CH1592" s="2118"/>
      <c r="CI1592" s="2118"/>
      <c r="CJ1592" s="2118"/>
      <c r="CK1592" s="2118"/>
      <c r="CL1592" s="2118"/>
      <c r="CM1592" s="2118"/>
      <c r="CN1592" s="2118"/>
      <c r="CO1592" s="2118"/>
      <c r="CP1592" s="2118"/>
      <c r="CQ1592" s="2118"/>
      <c r="CR1592" s="2118"/>
      <c r="CS1592" s="2118"/>
      <c r="CT1592" s="2118"/>
      <c r="CU1592" s="2118"/>
      <c r="CV1592" s="2118"/>
      <c r="CW1592" s="2118"/>
      <c r="CX1592" s="2118"/>
      <c r="CY1592" s="2118"/>
      <c r="CZ1592" s="2118"/>
      <c r="DA1592" s="2118"/>
      <c r="DB1592" s="2118"/>
      <c r="DC1592" s="2118"/>
      <c r="DD1592" s="2118"/>
      <c r="DE1592" s="2118"/>
      <c r="DF1592" s="2118"/>
      <c r="DG1592" s="2118"/>
      <c r="DH1592" s="2118"/>
      <c r="DI1592" s="2118"/>
      <c r="DJ1592" s="2118"/>
      <c r="DK1592" s="2118"/>
      <c r="DL1592" s="2118"/>
      <c r="DM1592" s="2118"/>
      <c r="DN1592" s="2118"/>
      <c r="DO1592" s="2118"/>
      <c r="DP1592" s="2118"/>
      <c r="DQ1592" s="2118"/>
      <c r="DR1592" s="2118"/>
      <c r="DS1592" s="2118"/>
      <c r="DT1592" s="2118"/>
      <c r="DU1592" s="2118"/>
      <c r="DV1592" s="2118"/>
      <c r="DW1592" s="2118"/>
      <c r="DX1592" s="2118"/>
      <c r="DY1592" s="2118"/>
      <c r="DZ1592" s="2118"/>
      <c r="EA1592" s="2118"/>
      <c r="EB1592" s="2118"/>
      <c r="EC1592" s="2118"/>
      <c r="ED1592" s="2118"/>
      <c r="EE1592" s="2118"/>
      <c r="EF1592" s="2118"/>
      <c r="EG1592" s="2118"/>
      <c r="EH1592" s="2118"/>
      <c r="EI1592" s="2118"/>
      <c r="EJ1592" s="2118"/>
      <c r="EK1592" s="2118"/>
      <c r="EL1592" s="2118"/>
      <c r="EM1592" s="2118"/>
      <c r="EN1592" s="2118"/>
      <c r="EO1592" s="2118"/>
      <c r="EP1592" s="2118"/>
      <c r="EQ1592" s="2118"/>
      <c r="ER1592" s="2118"/>
      <c r="ES1592" s="2118"/>
      <c r="ET1592" s="2118"/>
      <c r="EU1592" s="2118"/>
      <c r="EV1592" s="2118"/>
      <c r="EW1592" s="2118"/>
      <c r="EX1592" s="2118"/>
      <c r="EY1592" s="2118"/>
      <c r="EZ1592" s="2118"/>
      <c r="FA1592" s="2118"/>
      <c r="FB1592" s="2118"/>
      <c r="FC1592" s="2118"/>
      <c r="FD1592" s="2118"/>
      <c r="FE1592" s="2118"/>
      <c r="FF1592" s="2118"/>
      <c r="FG1592" s="2118"/>
      <c r="FH1592" s="2118"/>
      <c r="FI1592" s="2118"/>
      <c r="FJ1592" s="2118"/>
      <c r="FK1592" s="2118"/>
      <c r="FL1592" s="2118"/>
      <c r="FM1592" s="2118"/>
      <c r="FN1592" s="2118"/>
      <c r="FO1592" s="2118"/>
      <c r="FP1592" s="2118"/>
      <c r="FQ1592" s="2118"/>
      <c r="FR1592" s="2118"/>
      <c r="FS1592" s="2118"/>
      <c r="FT1592" s="2118"/>
      <c r="FU1592" s="2118"/>
      <c r="FV1592" s="2118"/>
      <c r="FW1592" s="2118"/>
      <c r="FX1592" s="2118"/>
      <c r="FY1592" s="2118"/>
      <c r="FZ1592" s="2118"/>
      <c r="GA1592" s="2118"/>
      <c r="GB1592" s="2118"/>
      <c r="GC1592" s="2118"/>
      <c r="GD1592" s="2118"/>
      <c r="GE1592" s="2118"/>
      <c r="GF1592" s="2118"/>
      <c r="GG1592" s="2118"/>
      <c r="GH1592" s="2118"/>
      <c r="GI1592" s="2118"/>
      <c r="GJ1592" s="2118"/>
      <c r="GK1592" s="2118"/>
      <c r="GL1592" s="2118"/>
      <c r="GM1592" s="2118"/>
      <c r="GN1592" s="2118"/>
      <c r="GO1592" s="2118"/>
      <c r="GP1592" s="2118"/>
      <c r="GQ1592" s="2118"/>
      <c r="GR1592" s="2118"/>
      <c r="GS1592" s="2118"/>
      <c r="GT1592" s="2118"/>
      <c r="GU1592" s="2118"/>
      <c r="GV1592" s="2118"/>
      <c r="GW1592" s="2118"/>
      <c r="GX1592" s="2118"/>
      <c r="GY1592" s="2118"/>
      <c r="GZ1592" s="2118"/>
      <c r="HA1592" s="2118"/>
      <c r="HB1592" s="2118"/>
      <c r="HC1592" s="2118"/>
      <c r="HD1592" s="2118"/>
      <c r="HE1592" s="2118"/>
      <c r="HF1592" s="2118"/>
      <c r="HG1592" s="2118"/>
      <c r="HH1592" s="2118"/>
      <c r="HI1592" s="2118"/>
      <c r="HJ1592" s="2118"/>
      <c r="HK1592" s="2118"/>
      <c r="HL1592" s="2118"/>
      <c r="HM1592" s="2118"/>
      <c r="HN1592" s="2118"/>
      <c r="HO1592" s="2118"/>
      <c r="HP1592" s="2118"/>
      <c r="HQ1592" s="2118"/>
      <c r="HR1592" s="2118"/>
      <c r="HS1592" s="2118"/>
      <c r="HT1592" s="2118"/>
      <c r="HU1592" s="2118"/>
      <c r="HV1592" s="2118"/>
      <c r="HW1592" s="2118"/>
      <c r="HX1592" s="2118"/>
      <c r="HY1592" s="2118"/>
      <c r="HZ1592" s="2118"/>
      <c r="IA1592" s="2118"/>
      <c r="IB1592" s="2118"/>
      <c r="IC1592" s="2118"/>
      <c r="ID1592" s="2118"/>
      <c r="IE1592" s="2118"/>
      <c r="IF1592" s="2118"/>
      <c r="IG1592" s="2118"/>
      <c r="IH1592" s="2118"/>
      <c r="II1592" s="2118"/>
      <c r="IJ1592" s="2118"/>
      <c r="IK1592" s="2118"/>
      <c r="IL1592" s="2118"/>
      <c r="IM1592" s="2118"/>
      <c r="IN1592" s="2118"/>
      <c r="IO1592" s="2118"/>
      <c r="IP1592" s="2118"/>
      <c r="IQ1592" s="2118"/>
      <c r="IR1592" s="2118"/>
      <c r="IS1592" s="2118"/>
      <c r="IT1592" s="2118"/>
      <c r="IU1592" s="2118"/>
      <c r="IV1592" s="2118"/>
    </row>
    <row r="1593" spans="1:256 1523:1523" s="1853" customFormat="1" ht="11.25" customHeight="1">
      <c r="B1593" s="2171" t="s">
        <v>3372</v>
      </c>
      <c r="D1593" s="2171"/>
      <c r="E1593" s="2171"/>
      <c r="F1593" s="2171"/>
      <c r="G1593" s="2171"/>
      <c r="H1593" s="2122"/>
      <c r="I1593" s="2165"/>
      <c r="J1593" s="2165"/>
      <c r="K1593" s="2165"/>
      <c r="L1593" s="2118"/>
      <c r="M1593" s="2118"/>
      <c r="N1593" s="2118"/>
      <c r="O1593" s="2118"/>
      <c r="P1593" s="2118"/>
      <c r="Q1593" s="2118"/>
      <c r="S1593" s="2270"/>
      <c r="T1593" s="2270"/>
      <c r="U1593" s="2270"/>
      <c r="V1593" s="2270"/>
      <c r="W1593" s="2270"/>
      <c r="X1593" s="2270"/>
      <c r="Y1593" s="2270"/>
      <c r="Z1593" s="2270"/>
      <c r="AA1593" s="2270"/>
      <c r="AB1593" s="2270"/>
      <c r="AC1593" s="2270"/>
      <c r="AD1593" s="2270"/>
      <c r="AE1593" s="2270"/>
      <c r="AF1593" s="2270"/>
      <c r="AG1593" s="2270"/>
      <c r="AH1593" s="2270"/>
      <c r="AI1593" s="2270"/>
      <c r="AJ1593" s="2270"/>
      <c r="AK1593" s="2270"/>
      <c r="AL1593" s="2270"/>
      <c r="AM1593" s="2270"/>
      <c r="AN1593" s="2270"/>
      <c r="AO1593" s="2270"/>
      <c r="AP1593" s="2270"/>
      <c r="AQ1593" s="2270"/>
      <c r="AR1593" s="2270"/>
    </row>
    <row r="1594" spans="1:256 1523:1523" s="1853" customFormat="1" ht="11.45" customHeight="1">
      <c r="A1594" s="2227" t="str">
        <f>'Part VIII-Threshold Criteria'!A354</f>
        <v>The project will comply with all applicable DCA 2021 architectural design and quality standards. The proppsed project does not include any rehabilitation, therefore question A does not apply and has been intentionally left blank. No additional design options are included, therefore question B.3)b) does not apply and has been intentionally left blank.</v>
      </c>
      <c r="B1594" s="2227"/>
      <c r="C1594" s="2227"/>
      <c r="D1594" s="2227"/>
      <c r="E1594" s="2227"/>
      <c r="F1594" s="2227"/>
      <c r="G1594" s="2227"/>
      <c r="H1594" s="2227"/>
      <c r="I1594" s="2227"/>
      <c r="J1594" s="2227"/>
      <c r="K1594" s="2227"/>
      <c r="L1594" s="2227"/>
      <c r="M1594" s="2227"/>
      <c r="N1594" s="2227"/>
      <c r="O1594" s="2227"/>
      <c r="P1594" s="2227"/>
      <c r="Q1594" s="2227"/>
      <c r="R1594" s="2245" t="s">
        <v>1208</v>
      </c>
      <c r="S1594" s="1977"/>
      <c r="T1594" s="2270"/>
      <c r="U1594" s="2184"/>
      <c r="V1594" s="2184"/>
      <c r="W1594" s="2184"/>
      <c r="X1594" s="2184"/>
      <c r="Y1594" s="2184"/>
      <c r="Z1594" s="2184"/>
      <c r="AA1594" s="2184"/>
      <c r="AB1594" s="2184"/>
      <c r="AC1594" s="2184"/>
      <c r="AD1594" s="2184"/>
      <c r="AE1594" s="2184"/>
      <c r="AF1594" s="2270"/>
      <c r="AG1594" s="2270"/>
      <c r="AH1594" s="2270"/>
      <c r="AI1594" s="2270"/>
      <c r="AJ1594" s="2270"/>
      <c r="AK1594" s="2270"/>
      <c r="AL1594" s="2270"/>
      <c r="AM1594" s="2270"/>
      <c r="AN1594" s="2270"/>
      <c r="AO1594" s="2270"/>
      <c r="AP1594" s="2270"/>
      <c r="AQ1594" s="2270"/>
      <c r="AR1594" s="2270"/>
    </row>
    <row r="1595" spans="1:256 1523:1523" s="1853" customFormat="1" ht="11.25" customHeight="1">
      <c r="B1595" s="2228" t="s">
        <v>1779</v>
      </c>
      <c r="C1595" s="2228"/>
      <c r="D1595" s="2229"/>
      <c r="E1595" s="2229"/>
      <c r="F1595" s="2229"/>
      <c r="G1595" s="2229"/>
      <c r="H1595" s="2229"/>
      <c r="I1595" s="2229"/>
      <c r="J1595" s="2229"/>
      <c r="K1595" s="2229"/>
      <c r="L1595" s="2229"/>
      <c r="M1595" s="2229"/>
      <c r="N1595" s="2229"/>
      <c r="O1595" s="2229"/>
      <c r="P1595" s="2229"/>
      <c r="Q1595" s="2229"/>
      <c r="S1595" s="2270"/>
      <c r="T1595" s="2270"/>
      <c r="U1595" s="2270"/>
      <c r="V1595" s="2270"/>
      <c r="W1595" s="2270"/>
      <c r="X1595" s="2270"/>
      <c r="Y1595" s="2270"/>
      <c r="Z1595" s="2270"/>
      <c r="AA1595" s="2270"/>
      <c r="AB1595" s="2270"/>
      <c r="AC1595" s="2270"/>
      <c r="AD1595" s="2270"/>
      <c r="AE1595" s="2270"/>
      <c r="AF1595" s="2270"/>
      <c r="AG1595" s="2270"/>
      <c r="AH1595" s="2270"/>
      <c r="AI1595" s="2270"/>
      <c r="AJ1595" s="2270"/>
      <c r="AK1595" s="2270"/>
      <c r="AL1595" s="2270"/>
      <c r="AM1595" s="2270"/>
      <c r="AN1595" s="2270"/>
      <c r="AO1595" s="2270"/>
      <c r="AP1595" s="2270"/>
      <c r="AQ1595" s="2270"/>
      <c r="AR1595" s="2270"/>
    </row>
    <row r="1596" spans="1:256 1523:1523" s="1853" customFormat="1" ht="11.45" customHeight="1">
      <c r="A1596" s="2224"/>
      <c r="B1596" s="2224"/>
      <c r="C1596" s="2224"/>
      <c r="D1596" s="2224"/>
      <c r="E1596" s="2224"/>
      <c r="F1596" s="2224"/>
      <c r="G1596" s="2224"/>
      <c r="H1596" s="2224"/>
      <c r="I1596" s="2224"/>
      <c r="J1596" s="2224"/>
      <c r="K1596" s="2224"/>
      <c r="L1596" s="2224"/>
      <c r="M1596" s="2224"/>
      <c r="N1596" s="2224"/>
      <c r="O1596" s="2224"/>
      <c r="P1596" s="2224"/>
      <c r="Q1596" s="2224"/>
      <c r="S1596" s="2270"/>
      <c r="T1596" s="2270"/>
      <c r="U1596" s="2270"/>
      <c r="V1596" s="2270"/>
      <c r="W1596" s="2270"/>
      <c r="X1596" s="2270"/>
      <c r="Y1596" s="2270"/>
      <c r="Z1596" s="2270"/>
      <c r="AA1596" s="2270"/>
      <c r="AB1596" s="2270"/>
      <c r="AC1596" s="2270"/>
      <c r="AD1596" s="2270"/>
      <c r="AE1596" s="2270"/>
      <c r="AF1596" s="2270"/>
      <c r="AG1596" s="2270"/>
      <c r="AH1596" s="2270"/>
      <c r="AI1596" s="2270"/>
      <c r="AJ1596" s="2270"/>
      <c r="AK1596" s="2270"/>
      <c r="AL1596" s="2270"/>
      <c r="AM1596" s="2270"/>
      <c r="AN1596" s="2270"/>
      <c r="AO1596" s="2270"/>
      <c r="AP1596" s="2270"/>
      <c r="AQ1596" s="2270"/>
      <c r="AR1596" s="2270"/>
    </row>
    <row r="1597" spans="1:256 1523:1523" s="1853" customFormat="1" ht="14.1" customHeight="1">
      <c r="A1597" s="2106" t="s">
        <v>3522</v>
      </c>
      <c r="B1597" s="2116" t="s">
        <v>3540</v>
      </c>
      <c r="C1597" s="2106"/>
      <c r="D1597" s="2229"/>
      <c r="E1597" s="2229"/>
      <c r="F1597" s="2229"/>
      <c r="G1597" s="2229"/>
      <c r="H1597" s="2229"/>
      <c r="O1597" s="2225" t="s">
        <v>1780</v>
      </c>
      <c r="P1597" s="1719"/>
      <c r="Q1597" s="1719"/>
    </row>
    <row r="1598" spans="1:256 1523:1523" s="1853" customFormat="1" ht="11.45" customHeight="1">
      <c r="A1598" s="2256" t="s">
        <v>1892</v>
      </c>
      <c r="B1598" s="2113" t="s">
        <v>6376</v>
      </c>
      <c r="O1598" s="2225" t="s">
        <v>1892</v>
      </c>
      <c r="P1598" s="2231" t="str">
        <f>'Part VIII-Threshold Criteria'!P358</f>
        <v>Yes</v>
      </c>
      <c r="Q1598" s="2165"/>
    </row>
    <row r="1599" spans="1:256 1523:1523" s="1853" customFormat="1" ht="11.45" customHeight="1">
      <c r="A1599" s="2225" t="s">
        <v>1894</v>
      </c>
      <c r="B1599" s="2113" t="s">
        <v>3512</v>
      </c>
      <c r="O1599" s="2225" t="s">
        <v>1894</v>
      </c>
      <c r="P1599" s="2231" t="str">
        <f>'Part VIII-Threshold Criteria'!P359</f>
        <v>Yes</v>
      </c>
      <c r="Q1599" s="2165"/>
    </row>
    <row r="1600" spans="1:256 1523:1523" s="1853" customFormat="1" ht="11.45" customHeight="1">
      <c r="A1600" s="2225" t="s">
        <v>719</v>
      </c>
      <c r="B1600" s="2113" t="s">
        <v>2245</v>
      </c>
      <c r="O1600" s="2225" t="s">
        <v>719</v>
      </c>
      <c r="P1600" s="2231" t="str">
        <f>'Part VIII-Threshold Criteria'!P360</f>
        <v>No</v>
      </c>
      <c r="Q1600" s="2165"/>
    </row>
    <row r="1601" spans="1:44" s="1853" customFormat="1" ht="11.45" customHeight="1">
      <c r="A1601" s="2256" t="s">
        <v>2020</v>
      </c>
      <c r="B1601" s="2113" t="s">
        <v>3415</v>
      </c>
      <c r="O1601" s="2256" t="s">
        <v>2020</v>
      </c>
      <c r="P1601" s="2231" t="str">
        <f>'Part VIII-Threshold Criteria'!P361</f>
        <v>No</v>
      </c>
      <c r="Q1601" s="2165"/>
    </row>
    <row r="1602" spans="1:44" s="1853" customFormat="1" ht="11.45" customHeight="1">
      <c r="A1602" s="2225" t="s">
        <v>1656</v>
      </c>
      <c r="B1602" s="2113" t="s">
        <v>2673</v>
      </c>
      <c r="N1602" s="2225" t="s">
        <v>1656</v>
      </c>
      <c r="O1602" s="2295" t="str">
        <f>'Part VIII-Threshold Criteria'!O362</f>
        <v>Certifying GP/Developer</v>
      </c>
      <c r="P1602" s="2295"/>
      <c r="Q1602" s="2295"/>
    </row>
    <row r="1603" spans="1:44" s="1853" customFormat="1" ht="11.45" customHeight="1">
      <c r="A1603" s="2225" t="s">
        <v>1657</v>
      </c>
      <c r="B1603" s="2113" t="s">
        <v>2246</v>
      </c>
      <c r="N1603" s="2225" t="s">
        <v>1657</v>
      </c>
      <c r="O1603" s="2115"/>
      <c r="P1603" s="2115"/>
      <c r="Q1603" s="2115"/>
    </row>
    <row r="1604" spans="1:44" s="1853" customFormat="1" ht="11.25" customHeight="1">
      <c r="B1604" s="2171" t="s">
        <v>3372</v>
      </c>
      <c r="D1604" s="2171"/>
      <c r="E1604" s="2171"/>
      <c r="F1604" s="2171"/>
      <c r="G1604" s="2171"/>
      <c r="H1604" s="2122"/>
      <c r="I1604" s="2165"/>
      <c r="J1604" s="2165"/>
      <c r="K1604" s="2165"/>
      <c r="L1604" s="2118"/>
      <c r="M1604" s="2118"/>
      <c r="N1604" s="2118"/>
      <c r="O1604" s="2118"/>
      <c r="P1604" s="2118"/>
      <c r="Q1604" s="2118"/>
    </row>
    <row r="1605" spans="1:44" s="1853" customFormat="1" ht="13.35" customHeight="1">
      <c r="A1605" s="2227" t="str">
        <f>'Part VIII-Threshold Criteria'!A365</f>
        <v>The project team was deemed "Qualified" at pre-application, and a copy of the Qualification Determination letter has been included in the application.</v>
      </c>
      <c r="B1605" s="2227"/>
      <c r="C1605" s="2227"/>
      <c r="D1605" s="2227"/>
      <c r="E1605" s="2227"/>
      <c r="F1605" s="2227"/>
      <c r="G1605" s="2227"/>
      <c r="H1605" s="2227"/>
      <c r="I1605" s="2227"/>
      <c r="J1605" s="2227"/>
      <c r="K1605" s="2227"/>
      <c r="L1605" s="2227"/>
      <c r="M1605" s="2227"/>
      <c r="N1605" s="2227"/>
      <c r="O1605" s="2227"/>
      <c r="P1605" s="2227"/>
      <c r="Q1605" s="2227"/>
      <c r="R1605" s="1856" t="s">
        <v>1208</v>
      </c>
      <c r="S1605" s="1856"/>
      <c r="U1605" s="1719"/>
      <c r="V1605" s="1719"/>
      <c r="W1605" s="1719"/>
      <c r="X1605" s="1719"/>
      <c r="Y1605" s="1719"/>
      <c r="Z1605" s="1719"/>
      <c r="AA1605" s="1719"/>
      <c r="AB1605" s="1719"/>
      <c r="AC1605" s="1719"/>
      <c r="AD1605" s="1719"/>
      <c r="AE1605" s="1719"/>
    </row>
    <row r="1606" spans="1:44" s="1853" customFormat="1" ht="11.25" customHeight="1">
      <c r="B1606" s="2228" t="s">
        <v>1779</v>
      </c>
      <c r="C1606" s="2228"/>
      <c r="D1606" s="2229"/>
      <c r="E1606" s="2229"/>
      <c r="F1606" s="2229"/>
      <c r="G1606" s="2229"/>
      <c r="H1606" s="2229"/>
      <c r="I1606" s="2229"/>
      <c r="J1606" s="2229"/>
      <c r="K1606" s="2229"/>
      <c r="L1606" s="2229"/>
      <c r="M1606" s="2229"/>
      <c r="N1606" s="2229"/>
      <c r="O1606" s="2229"/>
      <c r="P1606" s="2229"/>
      <c r="Q1606" s="2229"/>
    </row>
    <row r="1607" spans="1:44" s="1853" customFormat="1" ht="13.35" customHeight="1">
      <c r="A1607" s="2224"/>
      <c r="B1607" s="2224"/>
      <c r="C1607" s="2224"/>
      <c r="D1607" s="2224"/>
      <c r="E1607" s="2224"/>
      <c r="F1607" s="2224"/>
      <c r="G1607" s="2224"/>
      <c r="H1607" s="2224"/>
      <c r="I1607" s="2224"/>
      <c r="J1607" s="2224"/>
      <c r="K1607" s="2224"/>
      <c r="L1607" s="2224"/>
      <c r="M1607" s="2224"/>
      <c r="N1607" s="2224"/>
      <c r="O1607" s="2224"/>
      <c r="P1607" s="2224"/>
      <c r="Q1607" s="2224"/>
    </row>
    <row r="1608" spans="1:44" s="1853" customFormat="1" ht="2.25" customHeight="1">
      <c r="A1608" s="2118"/>
      <c r="B1608" s="2165"/>
      <c r="C1608" s="2229"/>
      <c r="D1608" s="2229"/>
      <c r="E1608" s="2229"/>
      <c r="F1608" s="2229"/>
      <c r="G1608" s="2229"/>
      <c r="H1608" s="2229"/>
      <c r="I1608" s="2229"/>
      <c r="J1608" s="2229"/>
      <c r="K1608" s="2229"/>
      <c r="L1608" s="2229"/>
      <c r="M1608" s="2229"/>
      <c r="N1608" s="2229"/>
      <c r="O1608" s="2229"/>
      <c r="P1608" s="2229"/>
      <c r="Q1608" s="2118"/>
    </row>
    <row r="1609" spans="1:44" s="1853" customFormat="1" ht="14.1" customHeight="1">
      <c r="A1609" s="2106" t="s">
        <v>3525</v>
      </c>
      <c r="B1609" s="1818" t="s">
        <v>6347</v>
      </c>
      <c r="C1609" s="1818"/>
      <c r="D1609" s="1818"/>
      <c r="E1609" s="1818"/>
      <c r="F1609" s="1818"/>
      <c r="G1609" s="1818"/>
      <c r="H1609" s="2229"/>
      <c r="I1609" s="2229"/>
      <c r="J1609" s="2229"/>
      <c r="K1609" s="2229"/>
      <c r="L1609" s="2229"/>
      <c r="M1609" s="2229"/>
      <c r="N1609" s="2256" t="str">
        <f>IF('Part I-Project Information'!$P$101="yes","Applicant has applied for the RAD Setaside.","Applicant has NOT applied for the RAD Setaside.")</f>
        <v>Applicant has NOT applied for the RAD Setaside.</v>
      </c>
      <c r="O1609" s="2225" t="s">
        <v>1780</v>
      </c>
      <c r="P1609" s="1719"/>
      <c r="Q1609" s="1719"/>
    </row>
    <row r="1610" spans="1:44" s="1853" customFormat="1" ht="21.75" customHeight="1">
      <c r="A1610" s="2225" t="s">
        <v>1892</v>
      </c>
      <c r="B1610" s="435" t="s">
        <v>7090</v>
      </c>
      <c r="C1610" s="435"/>
      <c r="D1610" s="435"/>
      <c r="E1610" s="435"/>
      <c r="F1610" s="435"/>
      <c r="G1610" s="435"/>
      <c r="H1610" s="435"/>
      <c r="I1610" s="435"/>
      <c r="J1610" s="435"/>
      <c r="K1610" s="435"/>
      <c r="L1610" s="435"/>
      <c r="M1610" s="435"/>
      <c r="N1610" s="435"/>
      <c r="O1610" s="2225" t="s">
        <v>1892</v>
      </c>
      <c r="P1610" s="2265">
        <f>'Part VIII-Threshold Criteria'!P370</f>
        <v>0</v>
      </c>
      <c r="Q1610" s="2253"/>
    </row>
    <row r="1611" spans="1:44" s="1853" customFormat="1">
      <c r="A1611" s="2225"/>
      <c r="B1611" s="2229"/>
      <c r="C1611" s="435" t="s">
        <v>1712</v>
      </c>
      <c r="D1611" s="435"/>
      <c r="E1611" s="2274">
        <f>'Part VI-Revenues &amp; Expenses'!$P$67</f>
        <v>72</v>
      </c>
      <c r="F1611" s="435" t="s">
        <v>4078</v>
      </c>
      <c r="G1611" s="2296">
        <f>'Part VI-Revenues &amp; Expenses'!$P$100</f>
        <v>32</v>
      </c>
      <c r="H1611" s="1818"/>
      <c r="I1611" s="435" t="s">
        <v>856</v>
      </c>
      <c r="J1611" s="1818"/>
      <c r="K1611" s="1818"/>
      <c r="L1611" s="2274">
        <f>'Part VI-Revenues &amp; Expenses'!$P$111</f>
        <v>0</v>
      </c>
      <c r="M1611" s="435" t="s">
        <v>2628</v>
      </c>
      <c r="N1611" s="2262">
        <f>IF(E1611=0,"",(G1611+L1611)/E1611)</f>
        <v>0.44444444444444442</v>
      </c>
      <c r="P1611" s="2224"/>
      <c r="Q1611" s="2224"/>
      <c r="S1611" s="2270"/>
      <c r="T1611" s="2270"/>
      <c r="U1611" s="2270"/>
      <c r="V1611" s="2270"/>
      <c r="W1611" s="2270"/>
      <c r="X1611" s="2270"/>
      <c r="Y1611" s="2270"/>
      <c r="Z1611" s="2270"/>
      <c r="AA1611" s="2270"/>
      <c r="AB1611" s="2270"/>
      <c r="AC1611" s="2270"/>
      <c r="AD1611" s="2270"/>
      <c r="AE1611" s="2270"/>
      <c r="AF1611" s="2270"/>
      <c r="AG1611" s="2270"/>
      <c r="AH1611" s="2270"/>
      <c r="AI1611" s="2270"/>
      <c r="AJ1611" s="2270"/>
      <c r="AK1611" s="2270"/>
      <c r="AL1611" s="2270"/>
      <c r="AM1611" s="2270"/>
      <c r="AN1611" s="2270"/>
      <c r="AO1611" s="2270"/>
      <c r="AP1611" s="2270"/>
      <c r="AQ1611" s="2270"/>
      <c r="AR1611" s="2270"/>
    </row>
    <row r="1612" spans="1:44" s="1853" customFormat="1" ht="12.75" customHeight="1">
      <c r="A1612" s="2225" t="s">
        <v>1894</v>
      </c>
      <c r="B1612" s="2224" t="s">
        <v>6348</v>
      </c>
      <c r="C1612" s="2224"/>
      <c r="D1612" s="2224"/>
      <c r="E1612" s="2224"/>
      <c r="F1612" s="2224"/>
      <c r="G1612" s="2224"/>
      <c r="H1612" s="2224"/>
      <c r="I1612" s="2224"/>
      <c r="J1612" s="2224"/>
      <c r="K1612" s="2224"/>
      <c r="L1612" s="2224"/>
      <c r="M1612" s="2224"/>
      <c r="N1612" s="2224"/>
      <c r="O1612" s="2225" t="s">
        <v>1894</v>
      </c>
      <c r="P1612" s="2265">
        <f>'Part VIII-Threshold Criteria'!P372</f>
        <v>0</v>
      </c>
      <c r="Q1612" s="2253"/>
    </row>
    <row r="1613" spans="1:44" s="1853" customFormat="1" ht="12.75" customHeight="1">
      <c r="A1613" s="2225"/>
      <c r="C1613" s="435" t="s">
        <v>6349</v>
      </c>
      <c r="D1613" s="435"/>
      <c r="E1613" s="435"/>
      <c r="F1613" s="435"/>
      <c r="G1613" s="435"/>
      <c r="H1613" s="435"/>
      <c r="I1613" s="435"/>
      <c r="J1613" s="435"/>
      <c r="M1613" s="2297">
        <f>'Part VIII-Threshold Criteria'!M373</f>
        <v>0</v>
      </c>
      <c r="N1613" s="2297"/>
    </row>
    <row r="1614" spans="1:44" s="1853" customFormat="1" ht="10.5" customHeight="1">
      <c r="B1614" s="2171" t="s">
        <v>3372</v>
      </c>
      <c r="D1614" s="2171"/>
      <c r="E1614" s="2171"/>
      <c r="F1614" s="2171"/>
      <c r="G1614" s="2171"/>
      <c r="H1614" s="2122"/>
      <c r="I1614" s="2165"/>
      <c r="J1614" s="2165"/>
      <c r="K1614" s="2165"/>
      <c r="L1614" s="2118"/>
      <c r="M1614" s="2118"/>
      <c r="N1614" s="2118"/>
      <c r="O1614" s="2118"/>
      <c r="P1614" s="2118"/>
      <c r="Q1614" s="2118"/>
    </row>
    <row r="1615" spans="1:44" s="1853" customFormat="1" ht="12" customHeight="1">
      <c r="A1615" s="2227" t="str">
        <f>'Part VIII-Threshold Criteria'!A375</f>
        <v>The applicant has not applied for the RAD setaside, therefore this section has been intentionally left blank.</v>
      </c>
      <c r="B1615" s="2227"/>
      <c r="C1615" s="2227"/>
      <c r="D1615" s="2227"/>
      <c r="E1615" s="2227"/>
      <c r="F1615" s="2227"/>
      <c r="G1615" s="2227"/>
      <c r="H1615" s="2227"/>
      <c r="I1615" s="2227"/>
      <c r="J1615" s="2227"/>
      <c r="K1615" s="2227"/>
      <c r="L1615" s="2227"/>
      <c r="M1615" s="2227"/>
      <c r="N1615" s="2227"/>
      <c r="O1615" s="2227"/>
      <c r="P1615" s="2227"/>
      <c r="Q1615" s="2227"/>
      <c r="U1615" s="1719"/>
      <c r="V1615" s="1719"/>
      <c r="W1615" s="1719"/>
      <c r="X1615" s="1719"/>
      <c r="Y1615" s="1719"/>
      <c r="Z1615" s="1719"/>
      <c r="AA1615" s="1719"/>
      <c r="AB1615" s="1719"/>
      <c r="AC1615" s="1719"/>
      <c r="AD1615" s="1719"/>
      <c r="AE1615" s="1719"/>
    </row>
    <row r="1616" spans="1:44" s="1853" customFormat="1" ht="10.5" customHeight="1">
      <c r="B1616" s="2228" t="s">
        <v>1779</v>
      </c>
      <c r="C1616" s="2228"/>
      <c r="D1616" s="2229"/>
      <c r="E1616" s="2229"/>
      <c r="F1616" s="2229"/>
      <c r="G1616" s="2229"/>
      <c r="H1616" s="2229"/>
      <c r="I1616" s="2229"/>
      <c r="J1616" s="2229"/>
      <c r="K1616" s="2229"/>
      <c r="L1616" s="2229"/>
      <c r="M1616" s="2229"/>
      <c r="N1616" s="2229"/>
      <c r="O1616" s="2229"/>
      <c r="P1616" s="2229"/>
      <c r="Q1616" s="2229"/>
    </row>
    <row r="1617" spans="1:31" s="1853" customFormat="1" ht="12" customHeight="1">
      <c r="A1617" s="2224"/>
      <c r="B1617" s="2224"/>
      <c r="C1617" s="2224"/>
      <c r="D1617" s="2224"/>
      <c r="E1617" s="2224"/>
      <c r="F1617" s="2224"/>
      <c r="G1617" s="2224"/>
      <c r="H1617" s="2224"/>
      <c r="I1617" s="2224"/>
      <c r="J1617" s="2224"/>
      <c r="K1617" s="2224"/>
      <c r="L1617" s="2224"/>
      <c r="M1617" s="2224"/>
      <c r="N1617" s="2224"/>
      <c r="O1617" s="2224"/>
      <c r="P1617" s="2224"/>
      <c r="Q1617" s="2224"/>
    </row>
    <row r="1618" spans="1:31" s="1853" customFormat="1" ht="2.25" customHeight="1">
      <c r="A1618" s="2118"/>
      <c r="B1618" s="2165"/>
      <c r="C1618" s="2229"/>
      <c r="D1618" s="2229"/>
      <c r="E1618" s="2229"/>
      <c r="F1618" s="2229"/>
      <c r="G1618" s="2229"/>
      <c r="H1618" s="2229"/>
      <c r="I1618" s="2229"/>
      <c r="J1618" s="2229"/>
      <c r="K1618" s="2229"/>
      <c r="L1618" s="2229"/>
      <c r="M1618" s="2229"/>
      <c r="N1618" s="2229"/>
      <c r="O1618" s="2229"/>
      <c r="P1618" s="2229"/>
      <c r="Q1618" s="2118"/>
    </row>
    <row r="1619" spans="1:31" s="1853" customFormat="1" ht="14.1" customHeight="1">
      <c r="A1619" s="2106" t="s">
        <v>3526</v>
      </c>
      <c r="B1619" s="1818" t="s">
        <v>3504</v>
      </c>
      <c r="C1619" s="1818"/>
      <c r="D1619" s="1818"/>
      <c r="E1619" s="1818"/>
      <c r="F1619" s="1818"/>
      <c r="G1619" s="1818"/>
      <c r="H1619" s="2229"/>
      <c r="I1619" s="2229"/>
      <c r="J1619" s="2229"/>
      <c r="K1619" s="2229"/>
      <c r="L1619" s="2229"/>
      <c r="M1619" s="2229"/>
      <c r="N1619" s="2256" t="str">
        <f>IF('Part I-Project Information'!$H$100="yes","Applicant has applied for Nonprofit Setaside.","Applicant has NOT applied for Nonprofit Setaside.")</f>
        <v>Applicant has NOT applied for Nonprofit Setaside.</v>
      </c>
      <c r="O1619" s="2225" t="s">
        <v>1780</v>
      </c>
      <c r="P1619" s="1719"/>
      <c r="Q1619" s="1719"/>
    </row>
    <row r="1620" spans="1:31" s="1853" customFormat="1" ht="10.5" customHeight="1">
      <c r="A1620" s="2256" t="s">
        <v>1892</v>
      </c>
      <c r="B1620" s="435" t="s">
        <v>3505</v>
      </c>
      <c r="D1620" s="1818"/>
      <c r="E1620" s="1818"/>
      <c r="F1620" s="1818"/>
      <c r="G1620" s="1818"/>
      <c r="H1620" s="2256" t="s">
        <v>1892</v>
      </c>
      <c r="I1620" s="2112">
        <f>'Part VIII-Threshold Criteria'!I380</f>
        <v>0</v>
      </c>
      <c r="J1620" s="2112"/>
      <c r="K1620" s="2112"/>
      <c r="L1620" s="2112"/>
      <c r="M1620" s="2112"/>
      <c r="N1620" s="2112"/>
      <c r="O1620" s="2112"/>
      <c r="P1620" s="2112"/>
      <c r="Q1620" s="2165"/>
    </row>
    <row r="1621" spans="1:31" s="1853" customFormat="1" ht="10.5" customHeight="1">
      <c r="A1621" s="2225" t="s">
        <v>1894</v>
      </c>
      <c r="B1621" s="435" t="s">
        <v>3506</v>
      </c>
      <c r="D1621" s="1818"/>
      <c r="E1621" s="1818"/>
      <c r="F1621" s="1818"/>
      <c r="G1621" s="1818"/>
      <c r="H1621" s="2225" t="s">
        <v>1894</v>
      </c>
      <c r="I1621" s="2112">
        <f>'Part VIII-Threshold Criteria'!I381</f>
        <v>0</v>
      </c>
      <c r="J1621" s="2112"/>
      <c r="K1621" s="2112"/>
      <c r="L1621" s="2112"/>
      <c r="M1621" s="2112"/>
      <c r="N1621" s="2112"/>
      <c r="O1621" s="2112"/>
      <c r="P1621" s="2112"/>
      <c r="Q1621" s="2165"/>
    </row>
    <row r="1622" spans="1:31" s="1853" customFormat="1" ht="21.75" customHeight="1">
      <c r="A1622" s="2225" t="s">
        <v>719</v>
      </c>
      <c r="B1622" s="435" t="s">
        <v>3497</v>
      </c>
      <c r="C1622" s="435"/>
      <c r="D1622" s="435"/>
      <c r="E1622" s="435"/>
      <c r="F1622" s="435"/>
      <c r="G1622" s="435"/>
      <c r="H1622" s="435"/>
      <c r="I1622" s="435"/>
      <c r="J1622" s="435"/>
      <c r="K1622" s="435"/>
      <c r="L1622" s="435"/>
      <c r="M1622" s="435"/>
      <c r="N1622" s="435"/>
      <c r="O1622" s="2225" t="s">
        <v>719</v>
      </c>
      <c r="P1622" s="2265">
        <f>'Part VIII-Threshold Criteria'!P382</f>
        <v>0</v>
      </c>
      <c r="Q1622" s="2253"/>
    </row>
    <row r="1623" spans="1:31" s="1853" customFormat="1" ht="21.75" customHeight="1">
      <c r="A1623" s="2225" t="s">
        <v>2020</v>
      </c>
      <c r="B1623" s="2224" t="s">
        <v>3498</v>
      </c>
      <c r="C1623" s="2224"/>
      <c r="D1623" s="2224"/>
      <c r="E1623" s="2224"/>
      <c r="F1623" s="2224"/>
      <c r="G1623" s="2224"/>
      <c r="H1623" s="2224"/>
      <c r="I1623" s="2224"/>
      <c r="J1623" s="2224"/>
      <c r="K1623" s="2224"/>
      <c r="L1623" s="2224"/>
      <c r="M1623" s="2224"/>
      <c r="N1623" s="2224"/>
      <c r="O1623" s="2225" t="s">
        <v>2020</v>
      </c>
      <c r="P1623" s="2265">
        <f>'Part VIII-Threshold Criteria'!P383</f>
        <v>0</v>
      </c>
      <c r="Q1623" s="2253"/>
    </row>
    <row r="1624" spans="1:31" s="1853" customFormat="1" ht="10.5" customHeight="1">
      <c r="A1624" s="2225" t="s">
        <v>1656</v>
      </c>
      <c r="B1624" s="435" t="s">
        <v>3499</v>
      </c>
      <c r="D1624" s="435"/>
      <c r="E1624" s="435"/>
      <c r="F1624" s="435"/>
      <c r="G1624" s="435"/>
      <c r="H1624" s="435"/>
      <c r="I1624" s="435"/>
      <c r="J1624" s="435"/>
      <c r="K1624" s="435"/>
      <c r="L1624" s="435"/>
      <c r="M1624" s="435"/>
      <c r="O1624" s="2225" t="s">
        <v>1656</v>
      </c>
      <c r="P1624" s="2231">
        <f>'Part VIII-Threshold Criteria'!P384</f>
        <v>0</v>
      </c>
      <c r="Q1624" s="2165"/>
    </row>
    <row r="1625" spans="1:31" s="2159" customFormat="1" ht="21.75" customHeight="1">
      <c r="A1625" s="2225" t="s">
        <v>1657</v>
      </c>
      <c r="B1625" s="2224" t="s">
        <v>3500</v>
      </c>
      <c r="C1625" s="2224"/>
      <c r="D1625" s="2224"/>
      <c r="E1625" s="2224"/>
      <c r="F1625" s="2224"/>
      <c r="G1625" s="2224"/>
      <c r="H1625" s="2224"/>
      <c r="I1625" s="2224"/>
      <c r="J1625" s="2224"/>
      <c r="K1625" s="2224"/>
      <c r="L1625" s="2224"/>
      <c r="M1625" s="2224"/>
      <c r="N1625" s="2224"/>
      <c r="O1625" s="2225" t="s">
        <v>1657</v>
      </c>
      <c r="P1625" s="2265">
        <f>'Part VIII-Threshold Criteria'!P385</f>
        <v>0</v>
      </c>
      <c r="Q1625" s="2253"/>
    </row>
    <row r="1626" spans="1:31" s="2159" customFormat="1" ht="10.5" customHeight="1">
      <c r="A1626" s="2225" t="s">
        <v>1857</v>
      </c>
      <c r="B1626" s="2224" t="s">
        <v>3501</v>
      </c>
      <c r="D1626" s="2224"/>
      <c r="E1626" s="2224"/>
      <c r="F1626" s="2224"/>
      <c r="G1626" s="2224"/>
      <c r="H1626" s="2224"/>
      <c r="I1626" s="2224"/>
      <c r="J1626" s="2224"/>
      <c r="K1626" s="2224"/>
      <c r="L1626" s="2224"/>
      <c r="M1626" s="2224"/>
      <c r="N1626" s="2224"/>
      <c r="O1626" s="2225" t="s">
        <v>1857</v>
      </c>
      <c r="P1626" s="2265">
        <f>'Part VIII-Threshold Criteria'!P386</f>
        <v>0</v>
      </c>
      <c r="Q1626" s="2253"/>
    </row>
    <row r="1627" spans="1:31" s="2159" customFormat="1" ht="10.5" customHeight="1">
      <c r="C1627" s="2229" t="s">
        <v>7162</v>
      </c>
      <c r="E1627" s="2229"/>
      <c r="F1627" s="2229"/>
      <c r="G1627" s="2229"/>
      <c r="H1627" s="2229"/>
      <c r="I1627" s="2229"/>
      <c r="J1627" s="2229"/>
      <c r="K1627" s="2229"/>
      <c r="L1627" s="2229"/>
      <c r="M1627" s="2229"/>
      <c r="N1627" s="2229"/>
      <c r="P1627" s="2265">
        <f>'Part VIII-Threshold Criteria'!P387</f>
        <v>0</v>
      </c>
      <c r="Q1627" s="2253"/>
    </row>
    <row r="1628" spans="1:31" s="1853" customFormat="1" ht="21.75" customHeight="1">
      <c r="A1628" s="2225" t="s">
        <v>3123</v>
      </c>
      <c r="B1628" s="2224" t="s">
        <v>3502</v>
      </c>
      <c r="C1628" s="2224"/>
      <c r="D1628" s="2224"/>
      <c r="E1628" s="2224"/>
      <c r="F1628" s="2224"/>
      <c r="G1628" s="2224"/>
      <c r="H1628" s="2224"/>
      <c r="I1628" s="2224"/>
      <c r="J1628" s="2224"/>
      <c r="K1628" s="2224"/>
      <c r="L1628" s="2224"/>
      <c r="M1628" s="2224"/>
      <c r="N1628" s="2224"/>
      <c r="O1628" s="2225" t="s">
        <v>3123</v>
      </c>
      <c r="P1628" s="2265">
        <f>'Part VIII-Threshold Criteria'!P388</f>
        <v>0</v>
      </c>
      <c r="Q1628" s="2253"/>
    </row>
    <row r="1629" spans="1:31" s="1853" customFormat="1" ht="33" customHeight="1">
      <c r="A1629" s="2225" t="s">
        <v>586</v>
      </c>
      <c r="B1629" s="2224" t="s">
        <v>3503</v>
      </c>
      <c r="C1629" s="2224"/>
      <c r="D1629" s="2224"/>
      <c r="E1629" s="2224"/>
      <c r="F1629" s="2224"/>
      <c r="G1629" s="2224"/>
      <c r="H1629" s="2224"/>
      <c r="I1629" s="2224"/>
      <c r="J1629" s="2224"/>
      <c r="K1629" s="2224"/>
      <c r="L1629" s="2224"/>
      <c r="M1629" s="2224"/>
      <c r="N1629" s="2224"/>
      <c r="O1629" s="2225" t="s">
        <v>586</v>
      </c>
      <c r="P1629" s="2265">
        <f>'Part VIII-Threshold Criteria'!P389</f>
        <v>0</v>
      </c>
      <c r="Q1629" s="2253"/>
    </row>
    <row r="1630" spans="1:31" s="1853" customFormat="1" ht="10.5" customHeight="1">
      <c r="B1630" s="2171" t="s">
        <v>3372</v>
      </c>
      <c r="D1630" s="2171"/>
      <c r="E1630" s="2171"/>
      <c r="F1630" s="2171"/>
      <c r="G1630" s="2171"/>
      <c r="H1630" s="2122"/>
      <c r="I1630" s="2165"/>
      <c r="J1630" s="2165"/>
      <c r="K1630" s="2165"/>
      <c r="L1630" s="2118"/>
      <c r="M1630" s="2118"/>
      <c r="N1630" s="2118"/>
      <c r="O1630" s="2118"/>
      <c r="P1630" s="2118"/>
      <c r="Q1630" s="2118"/>
    </row>
    <row r="1631" spans="1:31" s="1853" customFormat="1" ht="31.5" customHeight="1">
      <c r="A1631" s="2227" t="str">
        <f>'Part VIII-Threshold Criteria'!A391</f>
        <v>The applicant has not applied for the nonprofit setaside, therefore this section has been intentionally left blank.</v>
      </c>
      <c r="B1631" s="2227"/>
      <c r="C1631" s="2227"/>
      <c r="D1631" s="2227"/>
      <c r="E1631" s="2227"/>
      <c r="F1631" s="2227"/>
      <c r="G1631" s="2227"/>
      <c r="H1631" s="2227"/>
      <c r="I1631" s="2227"/>
      <c r="J1631" s="2227"/>
      <c r="K1631" s="2227"/>
      <c r="L1631" s="2227"/>
      <c r="M1631" s="2227"/>
      <c r="N1631" s="2227"/>
      <c r="O1631" s="2227"/>
      <c r="P1631" s="2227"/>
      <c r="Q1631" s="2227"/>
      <c r="U1631" s="1719"/>
      <c r="V1631" s="1719"/>
      <c r="W1631" s="1719"/>
      <c r="X1631" s="1719"/>
      <c r="Y1631" s="1719"/>
      <c r="Z1631" s="1719"/>
      <c r="AA1631" s="1719"/>
      <c r="AB1631" s="1719"/>
      <c r="AC1631" s="1719"/>
      <c r="AD1631" s="1719"/>
      <c r="AE1631" s="1719"/>
    </row>
    <row r="1632" spans="1:31" s="1853" customFormat="1" ht="10.5" customHeight="1">
      <c r="B1632" s="2228" t="s">
        <v>1779</v>
      </c>
      <c r="C1632" s="2228"/>
      <c r="D1632" s="2229"/>
      <c r="E1632" s="2229"/>
      <c r="F1632" s="2229"/>
      <c r="G1632" s="2229"/>
      <c r="H1632" s="2229"/>
      <c r="I1632" s="2229"/>
      <c r="J1632" s="2229"/>
      <c r="K1632" s="2229"/>
      <c r="L1632" s="2229"/>
      <c r="M1632" s="2229"/>
      <c r="N1632" s="2229"/>
      <c r="O1632" s="2229"/>
      <c r="P1632" s="2229"/>
      <c r="Q1632" s="2229"/>
    </row>
    <row r="1633" spans="1:31" s="1853" customFormat="1" ht="23.25" customHeight="1">
      <c r="A1633" s="2224"/>
      <c r="B1633" s="2224"/>
      <c r="C1633" s="2224"/>
      <c r="D1633" s="2224"/>
      <c r="E1633" s="2224"/>
      <c r="F1633" s="2224"/>
      <c r="G1633" s="2224"/>
      <c r="H1633" s="2224"/>
      <c r="I1633" s="2224"/>
      <c r="J1633" s="2224"/>
      <c r="K1633" s="2224"/>
      <c r="L1633" s="2224"/>
      <c r="M1633" s="2224"/>
      <c r="N1633" s="2224"/>
      <c r="O1633" s="2224"/>
      <c r="P1633" s="2224"/>
      <c r="Q1633" s="2224"/>
    </row>
    <row r="1634" spans="1:31" s="1853" customFormat="1" ht="3" customHeight="1">
      <c r="A1634" s="2118"/>
      <c r="B1634" s="2165"/>
      <c r="C1634" s="2229"/>
      <c r="D1634" s="2229"/>
      <c r="E1634" s="2229"/>
      <c r="F1634" s="2229"/>
      <c r="G1634" s="2229"/>
      <c r="H1634" s="2229"/>
      <c r="I1634" s="2229"/>
      <c r="J1634" s="2229"/>
      <c r="K1634" s="2229"/>
      <c r="L1634" s="2229"/>
      <c r="M1634" s="2229"/>
      <c r="Q1634" s="2118"/>
    </row>
    <row r="1635" spans="1:31" s="1853" customFormat="1" ht="3" customHeight="1">
      <c r="A1635" s="2118"/>
      <c r="B1635" s="2165"/>
      <c r="C1635" s="2229"/>
      <c r="D1635" s="2229"/>
      <c r="E1635" s="2229"/>
      <c r="F1635" s="2229"/>
      <c r="G1635" s="2229"/>
      <c r="H1635" s="2229"/>
      <c r="I1635" s="2229"/>
      <c r="J1635" s="2229"/>
      <c r="K1635" s="2229"/>
      <c r="L1635" s="2229"/>
      <c r="M1635" s="2229"/>
      <c r="Q1635" s="2118"/>
    </row>
    <row r="1636" spans="1:31" s="1853" customFormat="1" ht="14.1" customHeight="1">
      <c r="A1636" s="2106" t="s">
        <v>3527</v>
      </c>
      <c r="B1636" s="1818" t="s">
        <v>2537</v>
      </c>
      <c r="C1636" s="1818"/>
      <c r="D1636" s="1818"/>
      <c r="E1636" s="1818"/>
      <c r="F1636" s="1818"/>
      <c r="G1636" s="1818"/>
      <c r="H1636" s="2229"/>
      <c r="I1636" s="2229"/>
      <c r="J1636" s="2229"/>
      <c r="N1636" s="2256" t="str">
        <f>IF('Part I-Project Information'!$H$103="yes","Applicant has applied for CHDO Setaside.","Applicant has NOT applied for CHDO Setaside.")</f>
        <v>Applicant has NOT applied for CHDO Setaside.</v>
      </c>
      <c r="O1636" s="2225" t="s">
        <v>1780</v>
      </c>
      <c r="P1636" s="1719"/>
      <c r="Q1636" s="1719"/>
    </row>
    <row r="1637" spans="1:31" s="1853" customFormat="1" ht="11.45" customHeight="1">
      <c r="A1637" s="2256" t="s">
        <v>1892</v>
      </c>
      <c r="B1637" s="435" t="s">
        <v>995</v>
      </c>
      <c r="E1637" s="2112">
        <f>'Part VIII-Threshold Criteria'!E397</f>
        <v>0</v>
      </c>
      <c r="F1637" s="2112"/>
      <c r="G1637" s="2112"/>
      <c r="H1637" s="2112"/>
      <c r="I1637" s="2112"/>
      <c r="J1637" s="435" t="s">
        <v>2525</v>
      </c>
      <c r="K1637" s="435"/>
      <c r="L1637" s="435"/>
      <c r="M1637" s="2112">
        <f>'Part VIII-Threshold Criteria'!M397</f>
        <v>0</v>
      </c>
      <c r="N1637" s="2112"/>
      <c r="O1637" s="2112"/>
      <c r="P1637" s="2112"/>
      <c r="Q1637" s="2112"/>
    </row>
    <row r="1638" spans="1:31" s="2159" customFormat="1" ht="22.5" customHeight="1">
      <c r="A1638" s="2225" t="s">
        <v>1894</v>
      </c>
      <c r="B1638" s="2224" t="s">
        <v>3201</v>
      </c>
      <c r="C1638" s="2224"/>
      <c r="D1638" s="2224"/>
      <c r="E1638" s="2224"/>
      <c r="F1638" s="2224"/>
      <c r="G1638" s="2224"/>
      <c r="H1638" s="2224"/>
      <c r="I1638" s="2224"/>
      <c r="J1638" s="2224"/>
      <c r="K1638" s="2224"/>
      <c r="L1638" s="2224"/>
      <c r="M1638" s="2224"/>
      <c r="N1638" s="2224"/>
      <c r="O1638" s="2225" t="s">
        <v>1894</v>
      </c>
      <c r="P1638" s="2265">
        <f>'Part VIII-Threshold Criteria'!P398</f>
        <v>0</v>
      </c>
      <c r="Q1638" s="2253"/>
    </row>
    <row r="1639" spans="1:31" s="1853" customFormat="1">
      <c r="A1639" s="2225" t="s">
        <v>719</v>
      </c>
      <c r="B1639" s="2113" t="s">
        <v>3330</v>
      </c>
      <c r="G1639" s="2122"/>
      <c r="H1639" s="2122"/>
      <c r="I1639" s="2122"/>
      <c r="J1639" s="2122" t="s">
        <v>3331</v>
      </c>
      <c r="L1639" s="2122"/>
      <c r="M1639" s="2298">
        <f>'Part III-Sources of Funds'!H1196</f>
        <v>0</v>
      </c>
      <c r="N1639" s="2298"/>
      <c r="O1639" s="2225" t="s">
        <v>719</v>
      </c>
      <c r="P1639" s="2231">
        <f>'Part VIII-Threshold Criteria'!P399</f>
        <v>0</v>
      </c>
      <c r="Q1639" s="2165"/>
    </row>
    <row r="1640" spans="1:31" s="1853" customFormat="1" ht="11.25" customHeight="1">
      <c r="B1640" s="2171" t="s">
        <v>3372</v>
      </c>
      <c r="D1640" s="2171"/>
      <c r="E1640" s="2171"/>
      <c r="F1640" s="2171"/>
      <c r="G1640" s="2171"/>
      <c r="H1640" s="2122"/>
      <c r="I1640" s="2165"/>
      <c r="J1640" s="2165"/>
      <c r="K1640" s="2165"/>
      <c r="L1640" s="2118"/>
      <c r="M1640" s="2118"/>
      <c r="N1640" s="2118"/>
      <c r="O1640" s="2118"/>
      <c r="P1640" s="2118"/>
      <c r="Q1640" s="2118"/>
    </row>
    <row r="1641" spans="1:31" s="1853" customFormat="1" ht="11.45" customHeight="1">
      <c r="A1641" s="2227" t="str">
        <f>'Part VIII-Threshold Criteria'!A401</f>
        <v>The applicant has not applied for a HOME loan under the CHDO setaside, therefore this section has been intentionally left blank.</v>
      </c>
      <c r="B1641" s="2227"/>
      <c r="C1641" s="2227"/>
      <c r="D1641" s="2227"/>
      <c r="E1641" s="2227"/>
      <c r="F1641" s="2227"/>
      <c r="G1641" s="2227"/>
      <c r="H1641" s="2227"/>
      <c r="I1641" s="2227"/>
      <c r="J1641" s="2227"/>
      <c r="K1641" s="2227"/>
      <c r="L1641" s="2227"/>
      <c r="M1641" s="2227"/>
      <c r="N1641" s="2227"/>
      <c r="O1641" s="2227"/>
      <c r="P1641" s="2227"/>
      <c r="Q1641" s="2227"/>
      <c r="U1641" s="1719"/>
      <c r="V1641" s="1719"/>
      <c r="W1641" s="1719"/>
      <c r="X1641" s="1719"/>
      <c r="Y1641" s="1719"/>
      <c r="Z1641" s="1719"/>
      <c r="AA1641" s="1719"/>
      <c r="AB1641" s="1719"/>
      <c r="AC1641" s="1719"/>
      <c r="AD1641" s="1719"/>
      <c r="AE1641" s="1719"/>
    </row>
    <row r="1642" spans="1:31" s="1853" customFormat="1" ht="11.25" customHeight="1">
      <c r="B1642" s="2228" t="s">
        <v>1779</v>
      </c>
      <c r="C1642" s="2228"/>
      <c r="D1642" s="2229"/>
      <c r="E1642" s="2229"/>
      <c r="F1642" s="2229"/>
      <c r="G1642" s="2229"/>
      <c r="H1642" s="2229"/>
      <c r="I1642" s="2229"/>
      <c r="J1642" s="2229"/>
      <c r="K1642" s="2229"/>
      <c r="L1642" s="2229"/>
      <c r="M1642" s="2229"/>
      <c r="N1642" s="2229"/>
      <c r="O1642" s="2229"/>
      <c r="P1642" s="2229"/>
      <c r="Q1642" s="2229"/>
    </row>
    <row r="1643" spans="1:31" s="1853" customFormat="1" ht="11.45" customHeight="1">
      <c r="A1643" s="2224"/>
      <c r="B1643" s="2224"/>
      <c r="C1643" s="2224"/>
      <c r="D1643" s="2224"/>
      <c r="E1643" s="2224"/>
      <c r="F1643" s="2224"/>
      <c r="G1643" s="2224"/>
      <c r="H1643" s="2224"/>
      <c r="I1643" s="2224"/>
      <c r="J1643" s="2224"/>
      <c r="K1643" s="2224"/>
      <c r="L1643" s="2224"/>
      <c r="M1643" s="2224"/>
      <c r="N1643" s="2224"/>
      <c r="O1643" s="2224"/>
      <c r="P1643" s="2224"/>
      <c r="Q1643" s="2224"/>
    </row>
    <row r="1644" spans="1:31" s="1853" customFormat="1" ht="3.6" customHeight="1">
      <c r="A1644" s="2118"/>
      <c r="B1644" s="2165"/>
      <c r="C1644" s="2229"/>
      <c r="D1644" s="2229"/>
      <c r="E1644" s="2229"/>
      <c r="F1644" s="2229"/>
      <c r="G1644" s="2229"/>
      <c r="H1644" s="2229"/>
      <c r="I1644" s="2229"/>
      <c r="J1644" s="2229"/>
      <c r="K1644" s="2229"/>
      <c r="L1644" s="2229"/>
      <c r="M1644" s="2229"/>
      <c r="Q1644" s="2118"/>
    </row>
    <row r="1645" spans="1:31" s="1853" customFormat="1" ht="14.1" customHeight="1">
      <c r="A1645" s="2106" t="s">
        <v>3528</v>
      </c>
      <c r="B1645" s="1818" t="s">
        <v>2523</v>
      </c>
      <c r="C1645" s="1818"/>
      <c r="D1645" s="1818"/>
      <c r="E1645" s="2229"/>
      <c r="G1645" s="2224" t="s">
        <v>671</v>
      </c>
      <c r="H1645" s="2229"/>
      <c r="I1645" s="2229"/>
      <c r="J1645" s="2229"/>
      <c r="K1645" s="2229"/>
      <c r="L1645" s="2229"/>
      <c r="M1645" s="2229"/>
      <c r="O1645" s="2225" t="s">
        <v>1780</v>
      </c>
      <c r="P1645" s="1719"/>
      <c r="Q1645" s="1719"/>
    </row>
    <row r="1646" spans="1:31" s="1853" customFormat="1" ht="12" customHeight="1">
      <c r="A1646" s="2256" t="s">
        <v>1892</v>
      </c>
      <c r="B1646" s="435" t="s">
        <v>2526</v>
      </c>
      <c r="D1646" s="2224"/>
      <c r="E1646" s="2224"/>
      <c r="O1646" s="2256" t="s">
        <v>1892</v>
      </c>
      <c r="P1646" s="2231">
        <f>'Part VIII-Threshold Criteria'!P406</f>
        <v>0</v>
      </c>
      <c r="Q1646" s="2165"/>
    </row>
    <row r="1647" spans="1:31" s="1853" customFormat="1" ht="12" customHeight="1">
      <c r="A1647" s="2256" t="s">
        <v>1894</v>
      </c>
      <c r="B1647" s="435" t="s">
        <v>3263</v>
      </c>
      <c r="D1647" s="2224"/>
      <c r="E1647" s="2224"/>
      <c r="O1647" s="2256" t="s">
        <v>1894</v>
      </c>
      <c r="P1647" s="2231">
        <f>'Part VIII-Threshold Criteria'!P407</f>
        <v>0</v>
      </c>
      <c r="Q1647" s="2165"/>
    </row>
    <row r="1648" spans="1:31" s="1853" customFormat="1" ht="12" customHeight="1">
      <c r="A1648" s="2256" t="s">
        <v>719</v>
      </c>
      <c r="B1648" s="435" t="s">
        <v>4234</v>
      </c>
      <c r="D1648" s="2224"/>
      <c r="E1648" s="2224"/>
      <c r="O1648" s="2256" t="s">
        <v>719</v>
      </c>
      <c r="P1648" s="2231">
        <f>'Part VIII-Threshold Criteria'!P408</f>
        <v>0</v>
      </c>
      <c r="Q1648" s="2165"/>
    </row>
    <row r="1649" spans="1:31" s="1853" customFormat="1" ht="12" customHeight="1">
      <c r="A1649" s="2256" t="s">
        <v>2020</v>
      </c>
      <c r="B1649" s="435" t="s">
        <v>3264</v>
      </c>
      <c r="E1649" s="2224"/>
      <c r="O1649" s="2256" t="s">
        <v>2020</v>
      </c>
      <c r="P1649" s="2231">
        <f>'Part VIII-Threshold Criteria'!P409</f>
        <v>0</v>
      </c>
      <c r="Q1649" s="2165"/>
    </row>
    <row r="1650" spans="1:31" s="1853" customFormat="1" ht="12" customHeight="1">
      <c r="A1650" s="2256" t="s">
        <v>1656</v>
      </c>
      <c r="B1650" s="435" t="s">
        <v>1986</v>
      </c>
      <c r="E1650" s="2224"/>
      <c r="G1650" s="2256" t="s">
        <v>1656</v>
      </c>
      <c r="H1650" s="2112">
        <f>'Part VIII-Threshold Criteria'!H410</f>
        <v>0</v>
      </c>
      <c r="I1650" s="2112"/>
      <c r="J1650" s="2112"/>
      <c r="K1650" s="2112"/>
      <c r="L1650" s="2112"/>
      <c r="M1650" s="2112"/>
      <c r="N1650" s="2112"/>
      <c r="O1650" s="2112"/>
      <c r="P1650" s="2231">
        <f>'Part VIII-Threshold Criteria'!P410</f>
        <v>0</v>
      </c>
      <c r="Q1650" s="2165"/>
    </row>
    <row r="1651" spans="1:31" s="1853" customFormat="1" ht="11.25" customHeight="1">
      <c r="B1651" s="2171" t="s">
        <v>3372</v>
      </c>
      <c r="D1651" s="2171"/>
      <c r="E1651" s="2171"/>
      <c r="F1651" s="2171"/>
      <c r="G1651" s="2171"/>
      <c r="H1651" s="2122"/>
      <c r="I1651" s="2165"/>
      <c r="J1651" s="2165"/>
      <c r="K1651" s="2165"/>
      <c r="L1651" s="2118"/>
      <c r="M1651" s="2118"/>
      <c r="N1651" s="2118"/>
      <c r="O1651" s="2118"/>
      <c r="P1651" s="2118"/>
      <c r="Q1651" s="2118"/>
    </row>
    <row r="1652" spans="1:31" s="1853" customFormat="1" ht="11.45" customHeight="1">
      <c r="A1652" s="2227" t="str">
        <f>'Part VIII-Threshold Criteria'!A412</f>
        <v>The proposed project does not incldue any elements which require a legal opinion listed above, therefore this section has been intentionally left blank.</v>
      </c>
      <c r="B1652" s="2227"/>
      <c r="C1652" s="2227"/>
      <c r="D1652" s="2227"/>
      <c r="E1652" s="2227"/>
      <c r="F1652" s="2227"/>
      <c r="G1652" s="2227"/>
      <c r="H1652" s="2227"/>
      <c r="I1652" s="2227"/>
      <c r="J1652" s="2227"/>
      <c r="K1652" s="2227"/>
      <c r="L1652" s="2227"/>
      <c r="M1652" s="2227"/>
      <c r="N1652" s="2227"/>
      <c r="O1652" s="2227"/>
      <c r="P1652" s="2227"/>
      <c r="Q1652" s="2227"/>
      <c r="U1652" s="1719"/>
      <c r="V1652" s="1719"/>
      <c r="W1652" s="1719"/>
      <c r="X1652" s="1719"/>
      <c r="Y1652" s="1719"/>
      <c r="Z1652" s="1719"/>
      <c r="AA1652" s="1719"/>
      <c r="AB1652" s="1719"/>
      <c r="AC1652" s="1719"/>
      <c r="AD1652" s="1719"/>
      <c r="AE1652" s="1719"/>
    </row>
    <row r="1653" spans="1:31" s="1853" customFormat="1" ht="11.25" customHeight="1">
      <c r="B1653" s="2228" t="s">
        <v>1779</v>
      </c>
      <c r="C1653" s="2228"/>
      <c r="D1653" s="2229"/>
      <c r="E1653" s="2229"/>
      <c r="F1653" s="2229"/>
      <c r="G1653" s="2229"/>
      <c r="H1653" s="2229"/>
      <c r="I1653" s="2229"/>
      <c r="J1653" s="2229"/>
      <c r="K1653" s="2229"/>
      <c r="L1653" s="2229"/>
      <c r="M1653" s="2229"/>
      <c r="N1653" s="2229"/>
      <c r="O1653" s="2229"/>
      <c r="P1653" s="2229"/>
      <c r="Q1653" s="2229"/>
    </row>
    <row r="1654" spans="1:31" s="1853" customFormat="1" ht="11.45" customHeight="1">
      <c r="A1654" s="2224"/>
      <c r="B1654" s="2224"/>
      <c r="C1654" s="2224"/>
      <c r="D1654" s="2224"/>
      <c r="E1654" s="2224"/>
      <c r="F1654" s="2224"/>
      <c r="G1654" s="2224"/>
      <c r="H1654" s="2224"/>
      <c r="I1654" s="2224"/>
      <c r="J1654" s="2224"/>
      <c r="K1654" s="2224"/>
      <c r="L1654" s="2224"/>
      <c r="M1654" s="2224"/>
      <c r="N1654" s="2224"/>
      <c r="O1654" s="2224"/>
      <c r="P1654" s="2224"/>
      <c r="Q1654" s="2224"/>
    </row>
    <row r="1655" spans="1:31" s="1853" customFormat="1" ht="3" customHeight="1">
      <c r="A1655" s="2118"/>
      <c r="B1655" s="2165"/>
      <c r="C1655" s="2229"/>
      <c r="D1655" s="2229"/>
      <c r="E1655" s="2229"/>
      <c r="F1655" s="2229"/>
      <c r="G1655" s="2229"/>
      <c r="H1655" s="2229"/>
      <c r="I1655" s="2229"/>
      <c r="J1655" s="2229"/>
      <c r="K1655" s="2229"/>
      <c r="L1655" s="2229"/>
      <c r="M1655" s="2229"/>
      <c r="N1655" s="2229"/>
      <c r="O1655" s="2229"/>
      <c r="P1655" s="2229"/>
      <c r="Q1655" s="2118"/>
    </row>
    <row r="1656" spans="1:31" s="1853" customFormat="1" ht="14.1" customHeight="1">
      <c r="A1656" s="2106" t="s">
        <v>3529</v>
      </c>
      <c r="B1656" s="1818" t="s">
        <v>4136</v>
      </c>
      <c r="C1656" s="1818"/>
      <c r="D1656" s="1818"/>
      <c r="E1656" s="1818"/>
      <c r="F1656" s="1818"/>
      <c r="G1656" s="1818"/>
      <c r="H1656" s="2229"/>
      <c r="I1656" s="2229"/>
      <c r="J1656" s="2229"/>
      <c r="K1656" s="2229"/>
      <c r="L1656" s="2229"/>
      <c r="M1656" s="2229"/>
      <c r="O1656" s="2225" t="s">
        <v>1780</v>
      </c>
      <c r="P1656" s="1719"/>
      <c r="Q1656" s="1719"/>
    </row>
    <row r="1657" spans="1:31" s="1853" customFormat="1" ht="12" customHeight="1">
      <c r="B1657" s="2113" t="s">
        <v>6546</v>
      </c>
      <c r="O1657" s="2256"/>
      <c r="P1657" s="2231" t="str">
        <f>'Part VIII-Threshold Criteria'!P417</f>
        <v>Yes</v>
      </c>
      <c r="Q1657" s="2165"/>
    </row>
    <row r="1658" spans="1:31" s="1853" customFormat="1" ht="12" customHeight="1">
      <c r="A1658" s="2256" t="s">
        <v>1892</v>
      </c>
      <c r="B1658" s="435" t="s">
        <v>4135</v>
      </c>
      <c r="D1658" s="1818"/>
      <c r="E1658" s="1818"/>
      <c r="F1658" s="1818"/>
      <c r="G1658" s="1818"/>
      <c r="H1658" s="1818"/>
      <c r="I1658" s="1818"/>
      <c r="J1658" s="1818"/>
      <c r="K1658" s="1818"/>
      <c r="L1658" s="1818"/>
      <c r="M1658" s="1818"/>
      <c r="N1658" s="1818"/>
      <c r="O1658" s="1818"/>
      <c r="P1658" s="1818"/>
      <c r="Q1658" s="1818"/>
    </row>
    <row r="1659" spans="1:31" s="1853" customFormat="1" ht="12" customHeight="1">
      <c r="A1659" s="2256"/>
      <c r="B1659" s="2299" t="s">
        <v>1895</v>
      </c>
      <c r="C1659" s="2113" t="s">
        <v>722</v>
      </c>
      <c r="D1659" s="1818"/>
      <c r="E1659" s="1818"/>
      <c r="F1659" s="1818"/>
      <c r="G1659" s="1818"/>
      <c r="H1659" s="1818"/>
      <c r="I1659" s="1818"/>
      <c r="J1659" s="1818"/>
      <c r="K1659" s="1818"/>
      <c r="L1659" s="1818"/>
      <c r="M1659" s="1818"/>
      <c r="N1659" s="1818"/>
      <c r="O1659" s="2256">
        <v>1</v>
      </c>
      <c r="P1659" s="2231" t="str">
        <f>'Part VIII-Threshold Criteria'!P419</f>
        <v>Yes</v>
      </c>
      <c r="Q1659" s="2165"/>
    </row>
    <row r="1660" spans="1:31" s="1853" customFormat="1" ht="12" customHeight="1">
      <c r="B1660" s="435"/>
      <c r="C1660" s="435" t="s">
        <v>4235</v>
      </c>
      <c r="D1660" s="2113" t="s">
        <v>4236</v>
      </c>
      <c r="E1660" s="1818"/>
      <c r="F1660" s="1818"/>
      <c r="G1660" s="1818"/>
      <c r="H1660" s="1818"/>
      <c r="I1660" s="1818"/>
      <c r="J1660" s="1818"/>
      <c r="K1660" s="1818"/>
      <c r="L1660" s="1818"/>
      <c r="M1660" s="1818"/>
      <c r="N1660" s="1818"/>
      <c r="O1660" s="2256" t="s">
        <v>4235</v>
      </c>
      <c r="P1660" s="2227" t="str">
        <f>'Part VIII-Threshold Criteria'!P420</f>
        <v>Yes</v>
      </c>
      <c r="Q1660" s="2224"/>
    </row>
    <row r="1661" spans="1:31" s="1853" customFormat="1" ht="12" customHeight="1">
      <c r="A1661" s="2256"/>
      <c r="D1661" s="435" t="s">
        <v>1424</v>
      </c>
      <c r="E1661" s="435"/>
      <c r="F1661" s="435"/>
      <c r="G1661" s="435"/>
      <c r="H1661" s="435"/>
      <c r="I1661" s="435"/>
      <c r="J1661" s="435"/>
      <c r="K1661" s="435"/>
      <c r="L1661" s="435"/>
      <c r="M1661" s="435"/>
      <c r="N1661" s="1818"/>
      <c r="O1661" s="2208"/>
      <c r="P1661" s="2227">
        <f>'Part VIII-Threshold Criteria'!P421</f>
        <v>0</v>
      </c>
      <c r="Q1661" s="2224"/>
    </row>
    <row r="1662" spans="1:31" s="1853" customFormat="1" ht="12" customHeight="1">
      <c r="C1662" s="435" t="s">
        <v>2324</v>
      </c>
      <c r="D1662" s="435" t="s">
        <v>3202</v>
      </c>
      <c r="E1662" s="435"/>
      <c r="F1662" s="435"/>
      <c r="G1662" s="435"/>
      <c r="H1662" s="435"/>
      <c r="I1662" s="435"/>
      <c r="J1662" s="435"/>
      <c r="K1662" s="435"/>
      <c r="L1662" s="435"/>
      <c r="M1662" s="435"/>
      <c r="N1662" s="1818"/>
      <c r="O1662" s="2256" t="s">
        <v>2324</v>
      </c>
      <c r="P1662" s="2231" t="str">
        <f>'Part VIII-Threshold Criteria'!P422</f>
        <v>No</v>
      </c>
      <c r="Q1662" s="2165"/>
    </row>
    <row r="1663" spans="1:31" s="1853" customFormat="1" ht="12" customHeight="1">
      <c r="A1663" s="2256"/>
      <c r="C1663" s="435" t="s">
        <v>4139</v>
      </c>
      <c r="D1663" s="435" t="s">
        <v>3260</v>
      </c>
      <c r="E1663" s="435"/>
      <c r="F1663" s="435"/>
      <c r="G1663" s="435"/>
      <c r="H1663" s="435"/>
      <c r="I1663" s="435"/>
      <c r="J1663" s="435"/>
      <c r="K1663" s="435"/>
      <c r="L1663" s="435"/>
      <c r="M1663" s="435"/>
      <c r="N1663" s="1818"/>
      <c r="O1663" s="2256" t="s">
        <v>2325</v>
      </c>
      <c r="P1663" s="2231" t="str">
        <f>'Part VIII-Threshold Criteria'!P423</f>
        <v>Yes</v>
      </c>
      <c r="Q1663" s="2165"/>
    </row>
    <row r="1664" spans="1:31" s="1853" customFormat="1" ht="12" customHeight="1">
      <c r="A1664" s="2256"/>
      <c r="B1664" s="2299" t="s">
        <v>1897</v>
      </c>
      <c r="C1664" s="435" t="s">
        <v>2105</v>
      </c>
      <c r="E1664" s="435"/>
      <c r="F1664" s="435"/>
      <c r="G1664" s="435"/>
      <c r="H1664" s="435"/>
      <c r="I1664" s="435"/>
      <c r="J1664" s="435"/>
      <c r="K1664" s="435"/>
      <c r="L1664" s="435"/>
      <c r="M1664" s="435"/>
      <c r="N1664" s="435"/>
      <c r="O1664" s="2256">
        <v>2</v>
      </c>
      <c r="P1664" s="2231" t="str">
        <f>'Part VIII-Threshold Criteria'!P424</f>
        <v>Yes</v>
      </c>
      <c r="Q1664" s="2165"/>
    </row>
    <row r="1665" spans="1:44" s="1853" customFormat="1" ht="12" customHeight="1">
      <c r="A1665" s="2256"/>
      <c r="B1665" s="2299" t="s">
        <v>2415</v>
      </c>
      <c r="C1665" s="2224" t="s">
        <v>6400</v>
      </c>
      <c r="D1665" s="2224"/>
      <c r="E1665" s="2224"/>
      <c r="F1665" s="2224"/>
      <c r="G1665" s="435" t="s">
        <v>4140</v>
      </c>
      <c r="J1665" s="2138" t="str">
        <f>'Part VIII-Threshold Criteria'!J425</f>
        <v>N/A</v>
      </c>
      <c r="K1665" s="2118"/>
      <c r="M1665" s="435" t="s">
        <v>6492</v>
      </c>
      <c r="P1665" s="2138" t="str">
        <f>'Part VIII-Threshold Criteria'!P425</f>
        <v>N/A</v>
      </c>
      <c r="Q1665" s="2118"/>
    </row>
    <row r="1666" spans="1:44" s="1853" customFormat="1" ht="12" customHeight="1">
      <c r="A1666" s="2256"/>
      <c r="C1666" s="2224"/>
      <c r="D1666" s="2224"/>
      <c r="E1666" s="2224"/>
      <c r="F1666" s="2224"/>
      <c r="G1666" s="435" t="s">
        <v>6491</v>
      </c>
      <c r="J1666" s="2138" t="str">
        <f>'Part VIII-Threshold Criteria'!J426</f>
        <v>N/A</v>
      </c>
      <c r="K1666" s="2118"/>
      <c r="M1666" s="435" t="s">
        <v>6493</v>
      </c>
      <c r="P1666" s="2138" t="str">
        <f>'Part VIII-Threshold Criteria'!P426</f>
        <v>N/A</v>
      </c>
      <c r="Q1666" s="2118"/>
    </row>
    <row r="1667" spans="1:44" s="1853" customFormat="1" ht="8.25" customHeight="1">
      <c r="A1667" s="2256"/>
      <c r="C1667" s="2224"/>
      <c r="D1667" s="2224"/>
      <c r="E1667" s="2224"/>
      <c r="F1667" s="2224"/>
      <c r="L1667" s="2122"/>
      <c r="M1667" s="1818"/>
      <c r="N1667" s="2256"/>
    </row>
    <row r="1668" spans="1:44" s="1818" customFormat="1" ht="12.75" customHeight="1">
      <c r="A1668" s="2142"/>
      <c r="B1668" s="2116"/>
      <c r="D1668" s="2287"/>
      <c r="E1668" s="2287"/>
      <c r="F1668" s="2287"/>
      <c r="G1668" s="2287"/>
      <c r="H1668" s="2287"/>
      <c r="I1668" s="2113" t="s">
        <v>6434</v>
      </c>
      <c r="J1668" s="2113" t="s">
        <v>6435</v>
      </c>
      <c r="K1668" s="2113" t="s">
        <v>6437</v>
      </c>
      <c r="L1668" s="2113"/>
      <c r="M1668" s="2113"/>
      <c r="N1668" s="2113" t="s">
        <v>6436</v>
      </c>
      <c r="O1668" s="2256"/>
      <c r="P1668" s="2256"/>
      <c r="Q1668" s="2256"/>
      <c r="S1668" s="1977"/>
      <c r="T1668" s="1977"/>
      <c r="U1668" s="1977"/>
      <c r="V1668" s="1977"/>
      <c r="W1668" s="1977"/>
      <c r="X1668" s="1977"/>
      <c r="Y1668" s="1977"/>
      <c r="Z1668" s="1977"/>
      <c r="AA1668" s="1977"/>
      <c r="AB1668" s="1977"/>
      <c r="AC1668" s="1977"/>
      <c r="AD1668" s="1977"/>
      <c r="AE1668" s="1977"/>
      <c r="AF1668" s="1977"/>
      <c r="AG1668" s="1977"/>
      <c r="AH1668" s="1977"/>
      <c r="AI1668" s="1977"/>
      <c r="AJ1668" s="1977"/>
      <c r="AK1668" s="1977"/>
      <c r="AL1668" s="1977"/>
      <c r="AM1668" s="1977"/>
      <c r="AN1668" s="1977"/>
      <c r="AO1668" s="1977"/>
      <c r="AP1668" s="1977"/>
      <c r="AQ1668" s="1977"/>
      <c r="AR1668" s="1977"/>
    </row>
    <row r="1669" spans="1:44" s="1818" customFormat="1" ht="12.75" customHeight="1">
      <c r="A1669" s="2142"/>
      <c r="B1669" s="2116"/>
      <c r="D1669" s="2287"/>
      <c r="E1669" s="2287"/>
      <c r="F1669" s="2287"/>
      <c r="G1669" s="2287"/>
      <c r="H1669" s="2287"/>
      <c r="I1669" s="2113"/>
      <c r="J1669" s="2113"/>
      <c r="K1669" s="2113"/>
      <c r="L1669" s="2113"/>
      <c r="M1669" s="2113"/>
      <c r="N1669" s="2113"/>
      <c r="O1669" s="2256"/>
      <c r="P1669" s="2256"/>
      <c r="Q1669" s="2256"/>
      <c r="S1669" s="1977"/>
      <c r="T1669" s="1977"/>
      <c r="U1669" s="1977"/>
      <c r="V1669" s="1977"/>
      <c r="W1669" s="1977"/>
      <c r="X1669" s="1977"/>
      <c r="Y1669" s="1977"/>
      <c r="Z1669" s="1977"/>
      <c r="AA1669" s="1977"/>
      <c r="AB1669" s="1977"/>
      <c r="AC1669" s="1977"/>
      <c r="AD1669" s="1977"/>
      <c r="AE1669" s="1977"/>
      <c r="AF1669" s="1977"/>
      <c r="AG1669" s="1977"/>
      <c r="AH1669" s="1977"/>
      <c r="AI1669" s="1977"/>
      <c r="AJ1669" s="1977"/>
      <c r="AK1669" s="1977"/>
      <c r="AL1669" s="1977"/>
      <c r="AM1669" s="1977"/>
      <c r="AN1669" s="1977"/>
      <c r="AO1669" s="1977"/>
      <c r="AP1669" s="1977"/>
      <c r="AQ1669" s="1977"/>
      <c r="AR1669" s="1977"/>
    </row>
    <row r="1670" spans="1:44" s="1818" customFormat="1" ht="12.75" customHeight="1">
      <c r="A1670" s="2188"/>
      <c r="B1670" s="2229"/>
      <c r="C1670" s="2224" t="s">
        <v>6599</v>
      </c>
      <c r="D1670" s="2224"/>
      <c r="E1670" s="2224"/>
      <c r="F1670" s="2224"/>
      <c r="G1670" s="2224"/>
      <c r="H1670" s="2224"/>
      <c r="I1670" s="2011">
        <f>$K$323</f>
        <v>0</v>
      </c>
      <c r="J1670" s="2289">
        <f>'Part VIII-Threshold Criteria'!J430</f>
        <v>0</v>
      </c>
      <c r="K1670" s="2300">
        <f>'Part VIII-Threshold Criteria'!K430</f>
        <v>0</v>
      </c>
      <c r="L1670" s="2300"/>
      <c r="M1670" s="2300"/>
      <c r="N1670" s="2200">
        <f>MAX(J1670,K1670)</f>
        <v>0</v>
      </c>
      <c r="O1670" s="2256" t="s">
        <v>2327</v>
      </c>
      <c r="P1670" s="2231">
        <f>'Part VIII-Threshold Criteria'!P430</f>
        <v>0</v>
      </c>
      <c r="Q1670" s="2165"/>
      <c r="S1670" s="1977"/>
      <c r="T1670" s="1977"/>
      <c r="U1670" s="1977"/>
      <c r="V1670" s="1977"/>
      <c r="W1670" s="1977"/>
      <c r="X1670" s="1977"/>
      <c r="Y1670" s="1977"/>
      <c r="Z1670" s="1977"/>
      <c r="AA1670" s="1977"/>
      <c r="AB1670" s="1977"/>
      <c r="AC1670" s="1977"/>
      <c r="AD1670" s="1977"/>
      <c r="AE1670" s="1977"/>
      <c r="AF1670" s="1977"/>
      <c r="AG1670" s="1977"/>
      <c r="AH1670" s="1977"/>
      <c r="AI1670" s="1977"/>
      <c r="AJ1670" s="1977"/>
      <c r="AK1670" s="1977"/>
      <c r="AL1670" s="1977"/>
      <c r="AM1670" s="1977"/>
      <c r="AN1670" s="1977"/>
      <c r="AO1670" s="1977"/>
      <c r="AP1670" s="1977"/>
      <c r="AQ1670" s="1977"/>
      <c r="AR1670" s="1977"/>
    </row>
    <row r="1671" spans="1:44" s="1857" customFormat="1" ht="12.75" customHeight="1">
      <c r="A1671" s="1861"/>
      <c r="B1671" s="1859"/>
      <c r="C1671" s="2224"/>
      <c r="D1671" s="2224"/>
      <c r="E1671" s="2224"/>
      <c r="F1671" s="2224"/>
      <c r="G1671" s="2224"/>
      <c r="H1671" s="2224"/>
      <c r="I1671" s="1858"/>
      <c r="J1671" s="2301"/>
      <c r="K1671" s="2302"/>
      <c r="L1671" s="2302"/>
      <c r="M1671" s="2302"/>
      <c r="N1671" s="2200">
        <f>MAX(J1671,K1671)</f>
        <v>0</v>
      </c>
      <c r="P1671" s="1881"/>
      <c r="S1671" s="1864"/>
      <c r="T1671" s="1864"/>
      <c r="U1671" s="1864"/>
      <c r="V1671" s="1864"/>
      <c r="W1671" s="1864"/>
      <c r="X1671" s="1864"/>
      <c r="Y1671" s="1864"/>
      <c r="Z1671" s="1864"/>
      <c r="AA1671" s="1864"/>
      <c r="AB1671" s="1864"/>
      <c r="AC1671" s="1864"/>
      <c r="AD1671" s="1864"/>
      <c r="AE1671" s="1864"/>
      <c r="AF1671" s="1864"/>
      <c r="AG1671" s="1864"/>
      <c r="AH1671" s="1864"/>
      <c r="AI1671" s="1864"/>
      <c r="AJ1671" s="1864"/>
      <c r="AK1671" s="1864"/>
      <c r="AL1671" s="1864"/>
      <c r="AM1671" s="1864"/>
      <c r="AN1671" s="1864"/>
      <c r="AO1671" s="1864"/>
      <c r="AP1671" s="1864"/>
      <c r="AQ1671" s="1864"/>
      <c r="AR1671" s="1864"/>
    </row>
    <row r="1672" spans="1:44" s="1857" customFormat="1" ht="9" customHeight="1">
      <c r="A1672" s="1861"/>
      <c r="B1672" s="1859"/>
      <c r="C1672" s="2224"/>
      <c r="D1672" s="2224"/>
      <c r="E1672" s="2224"/>
      <c r="F1672" s="2224"/>
      <c r="G1672" s="2224"/>
      <c r="H1672" s="2224"/>
      <c r="I1672" s="435"/>
      <c r="J1672" s="2165"/>
      <c r="M1672" s="2287"/>
      <c r="N1672" s="2287"/>
      <c r="O1672" s="2256"/>
      <c r="S1672" s="1864"/>
      <c r="T1672" s="1864"/>
      <c r="U1672" s="1864"/>
      <c r="V1672" s="2112"/>
      <c r="W1672" s="1864"/>
      <c r="X1672" s="2112"/>
      <c r="Y1672" s="1864"/>
      <c r="Z1672" s="1889" t="str">
        <f>IF(AA1672="","",IF(AA1672&lt;AC1672,"Check!!!",""))</f>
        <v/>
      </c>
      <c r="AA1672" s="1889" t="str">
        <f t="shared" ref="AA1672:AG1672" si="381">IF(AB1672="","",IF(AB1672&lt;AD1672,"Check!!!",""))</f>
        <v/>
      </c>
      <c r="AB1672" s="1889" t="str">
        <f t="shared" si="381"/>
        <v/>
      </c>
      <c r="AC1672" s="1889" t="str">
        <f t="shared" si="381"/>
        <v/>
      </c>
      <c r="AD1672" s="1889" t="str">
        <f t="shared" si="381"/>
        <v/>
      </c>
      <c r="AE1672" s="1889" t="str">
        <f t="shared" si="381"/>
        <v/>
      </c>
      <c r="AF1672" s="1889" t="str">
        <f t="shared" si="381"/>
        <v/>
      </c>
      <c r="AG1672" s="1889" t="str">
        <f t="shared" si="381"/>
        <v/>
      </c>
      <c r="AH1672" s="1864"/>
      <c r="AI1672" s="1864"/>
      <c r="AJ1672" s="1864"/>
      <c r="AK1672" s="1864"/>
      <c r="AL1672" s="1864"/>
      <c r="AM1672" s="1864"/>
      <c r="AN1672" s="1864"/>
      <c r="AO1672" s="1864"/>
      <c r="AP1672" s="1864"/>
      <c r="AQ1672" s="1864"/>
      <c r="AR1672" s="1864"/>
    </row>
    <row r="1673" spans="1:44" s="1818" customFormat="1" ht="12.75" customHeight="1">
      <c r="A1673" s="2225"/>
      <c r="B1673" s="2229"/>
      <c r="D1673" s="2224" t="s">
        <v>6438</v>
      </c>
      <c r="E1673" s="2224"/>
      <c r="F1673" s="2224"/>
      <c r="G1673" s="2224"/>
      <c r="H1673" s="2224"/>
      <c r="I1673" s="2011" t="str">
        <f>$K$324</f>
        <v>(Enter 10-Digit phone nbrs w/out using hyphens, parentheses, etc - ex: 1234567890)</v>
      </c>
      <c r="J1673" s="2289">
        <f>'Part VIII-Threshold Criteria'!J433</f>
        <v>0</v>
      </c>
      <c r="K1673" s="2300">
        <f>'Part VIII-Threshold Criteria'!K433</f>
        <v>0</v>
      </c>
      <c r="L1673" s="2300"/>
      <c r="M1673" s="2300"/>
      <c r="N1673" s="2200">
        <f>MAX(J1673,K1673)</f>
        <v>0</v>
      </c>
      <c r="O1673" s="2256"/>
      <c r="P1673" s="2231">
        <f>'Part VIII-Threshold Criteria'!P433</f>
        <v>0</v>
      </c>
      <c r="Q1673" s="2224"/>
      <c r="S1673" s="1977"/>
      <c r="T1673" s="2227"/>
      <c r="U1673" s="2227"/>
      <c r="V1673" s="2227"/>
      <c r="W1673" s="2227"/>
      <c r="X1673" s="2227"/>
      <c r="Y1673" s="2227"/>
      <c r="Z1673" s="2227"/>
      <c r="AA1673" s="2227"/>
      <c r="AB1673" s="2227"/>
      <c r="AC1673" s="2227"/>
      <c r="AD1673" s="2227"/>
      <c r="AE1673" s="2227"/>
      <c r="AF1673" s="2227"/>
      <c r="AG1673" s="2227"/>
      <c r="AH1673" s="1977"/>
      <c r="AI1673" s="1977"/>
      <c r="AJ1673" s="1977"/>
      <c r="AK1673" s="1977"/>
      <c r="AL1673" s="1977"/>
      <c r="AM1673" s="1977"/>
      <c r="AN1673" s="1977"/>
      <c r="AO1673" s="1977"/>
      <c r="AP1673" s="1977"/>
      <c r="AQ1673" s="1977"/>
      <c r="AR1673" s="1977"/>
    </row>
    <row r="1674" spans="1:44" s="1857" customFormat="1" ht="12.75" customHeight="1">
      <c r="A1674" s="1861"/>
      <c r="B1674" s="1859"/>
      <c r="C1674" s="2224"/>
      <c r="D1674" s="2224"/>
      <c r="E1674" s="2224"/>
      <c r="F1674" s="2224"/>
      <c r="G1674" s="2224"/>
      <c r="H1674" s="2224"/>
      <c r="J1674" s="2301"/>
      <c r="K1674" s="2302"/>
      <c r="L1674" s="2302"/>
      <c r="M1674" s="2302"/>
      <c r="N1674" s="2200">
        <f>MAX(J1674,K1674)</f>
        <v>0</v>
      </c>
      <c r="O1674" s="2122"/>
      <c r="P1674" s="2122"/>
      <c r="Q1674" s="2122"/>
      <c r="S1674" s="1864"/>
      <c r="T1674" s="1864"/>
      <c r="U1674" s="1864"/>
      <c r="V1674" s="2112"/>
      <c r="W1674" s="2292"/>
      <c r="X1674" s="2112"/>
      <c r="Y1674" s="1864"/>
      <c r="Z1674" s="1889" t="str">
        <f>IF(AA1674="","",IF(AA1674&lt;AC1674,"Check!!!",""))</f>
        <v/>
      </c>
      <c r="AA1674" s="1889" t="str">
        <f t="shared" ref="AA1674:AG1674" si="382">IF(AB1674="","",IF(AB1674&lt;AD1674,"Check!!!",""))</f>
        <v/>
      </c>
      <c r="AB1674" s="1889" t="str">
        <f t="shared" si="382"/>
        <v/>
      </c>
      <c r="AC1674" s="1889" t="str">
        <f t="shared" si="382"/>
        <v/>
      </c>
      <c r="AD1674" s="1889" t="str">
        <f t="shared" si="382"/>
        <v/>
      </c>
      <c r="AE1674" s="1889" t="str">
        <f t="shared" si="382"/>
        <v/>
      </c>
      <c r="AF1674" s="1889" t="str">
        <f t="shared" si="382"/>
        <v/>
      </c>
      <c r="AG1674" s="1889" t="str">
        <f t="shared" si="382"/>
        <v/>
      </c>
      <c r="AH1674" s="1864"/>
      <c r="AI1674" s="1864"/>
      <c r="AJ1674" s="1864"/>
      <c r="AK1674" s="1864"/>
      <c r="AL1674" s="1864"/>
      <c r="AM1674" s="1864"/>
      <c r="AN1674" s="1864"/>
      <c r="AO1674" s="1864"/>
      <c r="AP1674" s="1864"/>
      <c r="AQ1674" s="1864"/>
      <c r="AR1674" s="1864"/>
    </row>
    <row r="1675" spans="1:44" s="1857" customFormat="1" ht="9" customHeight="1">
      <c r="A1675" s="1861"/>
      <c r="B1675" s="1859"/>
      <c r="C1675" s="2224"/>
      <c r="D1675" s="2224"/>
      <c r="E1675" s="2224"/>
      <c r="F1675" s="2224"/>
      <c r="G1675" s="2224"/>
      <c r="H1675" s="2224"/>
      <c r="J1675" s="1858"/>
      <c r="M1675" s="2287"/>
      <c r="N1675" s="2287"/>
      <c r="O1675" s="2122"/>
      <c r="P1675" s="2122"/>
      <c r="Q1675" s="2122"/>
      <c r="S1675" s="1864"/>
      <c r="T1675" s="1864"/>
      <c r="U1675" s="1864"/>
      <c r="V1675" s="2112"/>
      <c r="W1675" s="2292"/>
      <c r="X1675" s="2112"/>
      <c r="Y1675" s="1864"/>
      <c r="Z1675" s="1889"/>
      <c r="AA1675" s="1889"/>
      <c r="AB1675" s="1889"/>
      <c r="AC1675" s="1889"/>
      <c r="AD1675" s="1889"/>
      <c r="AE1675" s="1889"/>
      <c r="AF1675" s="1889"/>
      <c r="AG1675" s="1889"/>
      <c r="AH1675" s="1864"/>
      <c r="AI1675" s="1864"/>
      <c r="AJ1675" s="1864"/>
      <c r="AK1675" s="1864"/>
      <c r="AL1675" s="1864"/>
      <c r="AM1675" s="1864"/>
      <c r="AN1675" s="1864"/>
      <c r="AO1675" s="1864"/>
      <c r="AP1675" s="1864"/>
      <c r="AQ1675" s="1864"/>
      <c r="AR1675" s="1864"/>
    </row>
    <row r="1676" spans="1:44" s="1818" customFormat="1" ht="12.75" customHeight="1">
      <c r="A1676" s="2256"/>
      <c r="B1676" s="2122"/>
      <c r="C1676" s="2224" t="s">
        <v>6600</v>
      </c>
      <c r="D1676" s="2224"/>
      <c r="E1676" s="2224"/>
      <c r="F1676" s="2224"/>
      <c r="G1676" s="2224"/>
      <c r="H1676" s="2224"/>
      <c r="I1676" s="2011">
        <f>$K$326</f>
        <v>0</v>
      </c>
      <c r="J1676" s="2289">
        <f>'Part VIII-Threshold Criteria'!J436</f>
        <v>0</v>
      </c>
      <c r="K1676" s="2300">
        <f>'Part VIII-Threshold Criteria'!K436</f>
        <v>0</v>
      </c>
      <c r="L1676" s="2300"/>
      <c r="M1676" s="2300"/>
      <c r="N1676" s="2200">
        <f>MAX(J1676,K1676)</f>
        <v>0</v>
      </c>
      <c r="O1676" s="2256" t="s">
        <v>2343</v>
      </c>
      <c r="P1676" s="2231">
        <f>'Part VIII-Threshold Criteria'!P436</f>
        <v>0</v>
      </c>
      <c r="Q1676" s="2165"/>
      <c r="S1676" s="1977"/>
      <c r="T1676" s="2112"/>
      <c r="U1676" s="2112"/>
      <c r="V1676" s="2112"/>
      <c r="W1676" s="2112"/>
      <c r="X1676" s="2112"/>
      <c r="Y1676" s="2112"/>
      <c r="Z1676" s="2112"/>
      <c r="AA1676" s="2112"/>
      <c r="AB1676" s="2112"/>
      <c r="AC1676" s="2112"/>
      <c r="AD1676" s="2112"/>
      <c r="AE1676" s="2112"/>
      <c r="AF1676" s="2112"/>
      <c r="AG1676" s="2112"/>
      <c r="AH1676" s="1977"/>
      <c r="AI1676" s="1977"/>
      <c r="AJ1676" s="1977"/>
      <c r="AK1676" s="1977"/>
      <c r="AL1676" s="1977"/>
      <c r="AM1676" s="1977"/>
      <c r="AN1676" s="1977"/>
      <c r="AO1676" s="1977"/>
      <c r="AP1676" s="1977"/>
      <c r="AQ1676" s="1977"/>
      <c r="AR1676" s="1977"/>
    </row>
    <row r="1677" spans="1:44" s="1857" customFormat="1" ht="12.75" customHeight="1">
      <c r="A1677" s="1861"/>
      <c r="C1677" s="2224"/>
      <c r="D1677" s="2224"/>
      <c r="E1677" s="2224"/>
      <c r="F1677" s="2224"/>
      <c r="G1677" s="2224"/>
      <c r="H1677" s="2224"/>
      <c r="J1677" s="2301"/>
      <c r="K1677" s="2302"/>
      <c r="L1677" s="2302"/>
      <c r="M1677" s="2302"/>
      <c r="N1677" s="2200">
        <f>MAX(J1677,K1677)</f>
        <v>0</v>
      </c>
      <c r="O1677" s="435"/>
      <c r="P1677" s="2165"/>
      <c r="Q1677" s="435"/>
      <c r="S1677" s="1864"/>
      <c r="T1677" s="2112"/>
      <c r="U1677" s="2292"/>
      <c r="V1677" s="2112"/>
      <c r="W1677" s="2292"/>
      <c r="X1677" s="2112"/>
      <c r="Y1677" s="2112"/>
      <c r="Z1677" s="2112"/>
      <c r="AA1677" s="2112"/>
      <c r="AB1677" s="2112"/>
      <c r="AC1677" s="2112"/>
      <c r="AD1677" s="2112"/>
      <c r="AE1677" s="2112"/>
      <c r="AF1677" s="2112"/>
      <c r="AG1677" s="2112"/>
      <c r="AH1677" s="1864"/>
      <c r="AI1677" s="1864"/>
      <c r="AJ1677" s="1864"/>
      <c r="AK1677" s="1864"/>
      <c r="AL1677" s="1864"/>
      <c r="AM1677" s="1864"/>
      <c r="AN1677" s="1864"/>
      <c r="AO1677" s="1864"/>
      <c r="AP1677" s="1864"/>
      <c r="AQ1677" s="1864"/>
      <c r="AR1677" s="1864"/>
    </row>
    <row r="1678" spans="1:44" s="1857" customFormat="1" ht="3" customHeight="1">
      <c r="A1678" s="1861"/>
      <c r="C1678" s="2229"/>
      <c r="D1678" s="2229"/>
      <c r="E1678" s="2229"/>
      <c r="F1678" s="2229"/>
      <c r="G1678" s="2229"/>
      <c r="H1678" s="2229"/>
      <c r="O1678" s="2122"/>
      <c r="P1678" s="2256"/>
      <c r="S1678" s="1864"/>
      <c r="T1678" s="1864"/>
      <c r="U1678" s="1864"/>
      <c r="V1678" s="2112"/>
      <c r="W1678" s="2292"/>
      <c r="X1678" s="2112"/>
      <c r="Y1678" s="1864"/>
      <c r="Z1678" s="1889"/>
      <c r="AA1678" s="1889"/>
      <c r="AB1678" s="1889"/>
      <c r="AC1678" s="1889"/>
      <c r="AD1678" s="1889"/>
      <c r="AE1678" s="1889"/>
      <c r="AF1678" s="1889"/>
      <c r="AG1678" s="1889"/>
      <c r="AH1678" s="1864"/>
      <c r="AI1678" s="1864"/>
      <c r="AJ1678" s="1864"/>
      <c r="AK1678" s="1864"/>
      <c r="AL1678" s="1864"/>
      <c r="AM1678" s="1864"/>
      <c r="AN1678" s="1864"/>
      <c r="AO1678" s="1864"/>
      <c r="AP1678" s="1864"/>
      <c r="AQ1678" s="1864"/>
      <c r="AR1678" s="1864"/>
    </row>
    <row r="1679" spans="1:44" s="1853" customFormat="1" ht="12" customHeight="1">
      <c r="A1679" s="2256"/>
      <c r="B1679" s="2299" t="s">
        <v>1178</v>
      </c>
      <c r="C1679" s="2122" t="s">
        <v>4009</v>
      </c>
      <c r="E1679" s="2122"/>
      <c r="F1679" s="2122"/>
      <c r="G1679" s="2122"/>
      <c r="J1679" s="1818"/>
      <c r="K1679" s="2122"/>
      <c r="L1679" s="2122"/>
      <c r="M1679" s="1818"/>
      <c r="N1679" s="2256"/>
      <c r="P1679" s="2256"/>
      <c r="Q1679" s="2256"/>
    </row>
    <row r="1680" spans="1:44" s="1853" customFormat="1" ht="12" customHeight="1">
      <c r="A1680" s="2256"/>
      <c r="B1680" s="2113"/>
      <c r="C1680" s="2122" t="s">
        <v>6495</v>
      </c>
      <c r="E1680" s="2122"/>
      <c r="F1680" s="2122"/>
      <c r="L1680" s="2122"/>
      <c r="M1680" s="2122"/>
      <c r="O1680" s="2256" t="s">
        <v>2323</v>
      </c>
      <c r="P1680" s="2231" t="str">
        <f>'Part VIII-Threshold Criteria'!P440</f>
        <v>Applicant</v>
      </c>
      <c r="Q1680" s="2165"/>
    </row>
    <row r="1681" spans="1:31" s="1853" customFormat="1" ht="12" customHeight="1">
      <c r="A1681" s="1818"/>
      <c r="D1681" s="2113" t="s">
        <v>6496</v>
      </c>
      <c r="E1681" s="2271" t="s">
        <v>2346</v>
      </c>
      <c r="F1681" s="2113" t="s">
        <v>3425</v>
      </c>
      <c r="G1681" s="2112">
        <f>'Part VIII-Threshold Criteria'!G441</f>
        <v>0</v>
      </c>
      <c r="H1681" s="2112"/>
      <c r="I1681" s="2112"/>
      <c r="J1681" s="2112"/>
      <c r="K1681" s="2112"/>
      <c r="L1681" s="2271"/>
    </row>
    <row r="1682" spans="1:31" s="1853" customFormat="1" ht="12" customHeight="1">
      <c r="D1682" s="2113"/>
      <c r="E1682" s="2271" t="s">
        <v>4137</v>
      </c>
      <c r="F1682" s="2113" t="s">
        <v>4138</v>
      </c>
      <c r="G1682" s="2112" t="str">
        <f>'Part VIII-Threshold Criteria'!G442</f>
        <v>&lt;&lt; Select &gt;&gt;</v>
      </c>
      <c r="H1682" s="2112"/>
      <c r="I1682" s="2112"/>
      <c r="J1682" s="2113" t="s">
        <v>3964</v>
      </c>
      <c r="M1682" s="2112">
        <f>'Part VIII-Threshold Criteria'!M442</f>
        <v>0</v>
      </c>
      <c r="N1682" s="2112"/>
      <c r="O1682" s="2112"/>
      <c r="P1682" s="2112"/>
      <c r="Q1682" s="2112"/>
    </row>
    <row r="1683" spans="1:31" s="1853" customFormat="1" ht="12" customHeight="1">
      <c r="A1683" s="1818"/>
      <c r="C1683" s="2113" t="s">
        <v>6494</v>
      </c>
      <c r="E1683" s="2122"/>
      <c r="F1683" s="2122"/>
      <c r="G1683" s="2122"/>
      <c r="H1683" s="2122"/>
      <c r="I1683" s="2122"/>
      <c r="J1683" s="2122"/>
      <c r="K1683" s="2122"/>
      <c r="L1683" s="2122"/>
      <c r="M1683" s="2122"/>
      <c r="N1683" s="2122"/>
      <c r="O1683" s="2122"/>
      <c r="P1683" s="2122"/>
      <c r="Q1683" s="2122"/>
    </row>
    <row r="1684" spans="1:31" s="1853" customFormat="1" ht="44.45" customHeight="1">
      <c r="B1684" s="1952" t="str">
        <f>'Part VIII-Threshold Criteria'!B444</f>
        <v xml:space="preserve">     The Griffin Housing Authority (GHA) is serving as the management agent for the Housing Authority of the City of West Point (WPHA) and in this capacity, GHA staff members will be overseeing all aspects of the relocation of 32 households from WPHA’s public housing units to West Point Village Phase II once constructed, including the provision of relocation advisory services and tenant notices. GHA’s commitment to ensuring residents are prepared for relocation begins months before the physical relocation takes place. Resident meetings are held on an ongoing basis to explain the Redevelopment/Relocation efforts taking place in their community, informing the residents of their relocation rights and responsibilities, and gaining their input. Residents are encouraged to participate in our Ready to Rent Course, administered by the UGA Griffin Campus, Housing and Consumer Economics Department. Free to residents, participants receive educational training that will help them in understanding their lease and the terms of the rental agreement in the private market, positive landlord and tenant relationships and how to be a good neighbor. Throughout the relocation process, staff works with residents one-on-one to find suitable relocation housing, helps coordinate moves with local moving companies, provides packing materials and manpower for those residents unable to physically pack, as well as utility transfer assistance. Continued support services are available for residents once they have relocated. Staff encourages residents to communicate any concerns they may have in their new location and will work to resolve any issues.   
     In 2013, GHA was afforded the opportunity to update its current housing stock with the award of its first 9% LIHTC allocation for the multi-phased redevelopment of Meriwether Homes with new construction family and senior housing.  As such, GHA was successful in the relocation efforts of 120 families following the Uniform Relocation Act guidelines.  In 2018, GHA oversaw the voluntary relocation of residents from the Nine Oaks Homes development, a 50-unit senior housing complex into a newly constructed mid-rise senior development (The Iris at Park Pointe) just miles away from the former site. Since that time, GHA has constructed a second senior development (The Terraces at the Park), which also offers an option to relocate residents.  Most recently, GHA is involved in the relocation efforts of Fairmont Homes Development, an 80-unit family site. This is a two-phase relocation process in which residents have been relocated from the northern section of the property to the southern section of the site for extensive rehab work to be completed through a 4% LIHTC award andRAD Conversion. Once the first phase is complete residents from the southern sector of the site will be relocated to the newly renovated units and rehab efforts will then begin on the second phase of the site.
     GHA’s success is measured by both the quality of housing it provides, as well as its encouragement and support of residents who are progressing and ultimately achieving self-reliance and a higher quality of life. The agency continues to search for avenues to stay abreast of relocation amendments so that it may better serve families, making the relocation process as seamless as possible during what can be a difficult time.</v>
      </c>
      <c r="C1684" s="1952"/>
      <c r="D1684" s="1952"/>
      <c r="E1684" s="1952"/>
      <c r="F1684" s="1952"/>
      <c r="G1684" s="1952"/>
      <c r="H1684" s="1952"/>
      <c r="I1684" s="1952"/>
      <c r="J1684" s="1952"/>
      <c r="K1684" s="1952"/>
      <c r="L1684" s="1952"/>
      <c r="M1684" s="1952"/>
      <c r="N1684" s="1952"/>
      <c r="O1684" s="1952"/>
      <c r="P1684" s="1952"/>
      <c r="Q1684" s="1952"/>
      <c r="R1684" s="1856" t="s">
        <v>3960</v>
      </c>
      <c r="U1684" s="1719"/>
      <c r="V1684" s="1719"/>
      <c r="W1684" s="1719"/>
      <c r="X1684" s="1719"/>
      <c r="Y1684" s="1719"/>
      <c r="Z1684" s="1719"/>
      <c r="AA1684" s="1719"/>
      <c r="AB1684" s="1719"/>
      <c r="AC1684" s="1719"/>
      <c r="AD1684" s="1719"/>
      <c r="AE1684" s="1719"/>
    </row>
    <row r="1685" spans="1:31" s="1853" customFormat="1" ht="3" customHeight="1">
      <c r="A1685" s="2113"/>
      <c r="B1685" s="2113"/>
      <c r="C1685" s="2113"/>
      <c r="D1685" s="2113"/>
      <c r="E1685" s="2113"/>
      <c r="F1685" s="2113"/>
      <c r="G1685" s="2113"/>
      <c r="H1685" s="2113"/>
      <c r="I1685" s="2113"/>
      <c r="J1685" s="2113"/>
      <c r="K1685" s="2113"/>
      <c r="L1685" s="2113"/>
      <c r="M1685" s="2113"/>
      <c r="N1685" s="2113"/>
      <c r="O1685" s="2113"/>
      <c r="P1685" s="2113"/>
      <c r="Q1685" s="2113"/>
    </row>
    <row r="1686" spans="1:31" s="1853" customFormat="1" ht="12.75" customHeight="1">
      <c r="A1686" s="2225" t="s">
        <v>1894</v>
      </c>
      <c r="B1686" s="2224" t="s">
        <v>4237</v>
      </c>
      <c r="C1686" s="2224"/>
      <c r="D1686" s="2224"/>
      <c r="E1686" s="2224"/>
      <c r="F1686" s="2224"/>
      <c r="G1686" s="2224"/>
      <c r="H1686" s="2224"/>
      <c r="I1686" s="2224"/>
      <c r="J1686" s="2224"/>
      <c r="K1686" s="2224"/>
      <c r="L1686" s="2224"/>
      <c r="M1686" s="2224"/>
      <c r="N1686" s="2224"/>
    </row>
    <row r="1687" spans="1:31" s="1853" customFormat="1" ht="12" customHeight="1">
      <c r="A1687" s="2225"/>
      <c r="B1687" s="2229" t="s">
        <v>4141</v>
      </c>
      <c r="C1687" s="2229"/>
      <c r="D1687" s="2229"/>
      <c r="E1687" s="2229"/>
      <c r="F1687" s="2229"/>
      <c r="G1687" s="2229"/>
      <c r="H1687" s="2229"/>
      <c r="I1687" s="2229"/>
      <c r="J1687" s="2229"/>
      <c r="K1687" s="2229"/>
      <c r="L1687" s="2229"/>
      <c r="M1687" s="2229"/>
      <c r="N1687" s="2229"/>
    </row>
    <row r="1688" spans="1:31" s="1853" customFormat="1" ht="48" customHeight="1">
      <c r="B1688" s="2224" t="s">
        <v>7163</v>
      </c>
      <c r="C1688" s="2224"/>
      <c r="D1688" s="2224"/>
      <c r="E1688" s="2224"/>
      <c r="F1688" s="2224"/>
      <c r="G1688" s="2224"/>
      <c r="H1688" s="2224"/>
      <c r="I1688" s="2224"/>
      <c r="J1688" s="2224"/>
      <c r="K1688" s="2224"/>
      <c r="L1688" s="2224"/>
      <c r="M1688" s="2224"/>
      <c r="N1688" s="2224"/>
      <c r="O1688" s="2225" t="s">
        <v>1894</v>
      </c>
      <c r="P1688" s="2265" t="str">
        <f>'Part VIII-Threshold Criteria'!P448</f>
        <v>Agree</v>
      </c>
      <c r="Q1688" s="2253"/>
    </row>
    <row r="1689" spans="1:31" s="1853" customFormat="1" ht="12" customHeight="1">
      <c r="B1689" s="2171" t="s">
        <v>3372</v>
      </c>
      <c r="D1689" s="2171"/>
      <c r="E1689" s="2171"/>
      <c r="F1689" s="2171"/>
      <c r="G1689" s="2171"/>
      <c r="H1689" s="2122"/>
      <c r="I1689" s="2165"/>
      <c r="J1689" s="2165"/>
      <c r="K1689" s="2165"/>
    </row>
    <row r="1690" spans="1:31" s="1853" customFormat="1" ht="33.6" customHeight="1">
      <c r="A1690" s="2227" t="str">
        <f>'Part VIII-Threshold Criteria'!A450</f>
        <v xml:space="preserve">   West Point Village Phase II is a new construction, 72-unit family development that includes 32 RAD Section 8 PBRA-assisted units. Through the RAD program, the Applicant will utilize a Transfer of Assistance process in the RAD program to transfer the PBRA HAP Contract for 32 units from the West Point Housing Authority’s current portfolio of 223 existing public housing units to the new LIHTC/RAD project site.
   The Applicant will have a delayed HAP Contract that will begin on the new site upon completion of construction. At that time, 32 WPHA families residing in its current public housing will be selected to relocate to the new LIHTC/RAD project site through a lottery system overseen by WPHA that will be based on family size and lease compliance. If the project is successful in securing 9% LIHTCs in the 2021 Round, construction and resident relocation will commence 1st Quarter of 2024.
   Given that the 32 WPHA RAD families will not be relocated for more than 2 years from LIHTC application submittal, the Project Team submitted a QandA #0426 to DCA and we will comply with DCA’s answer on 5/12/21. Therefore, any tenant-specific documents are not included in this LIHTC Application, but will be submitted according to DCA’s required timeframes.
     The following documents are included in Tab 25 of this application:
-- RAD Information Notices – sent to all existing WPHA residents, with proof of delviery
-- Comprehensive Relocation Plan (which includes description of Resident Engagement activities)
-- Relocation Budget
-- Multifamily Tenant Relocation Plan Certification
-- Letter depicting the experience of the relocation team to provide relocation advisory services
-- Verification of completion of HUD URA Training by relocation team member
-- Tenant Selection Plan
   With respect to question XXV.A.1.b), the proposed project will not involuntarily displace any households, but existing public housing tentants will have the option to volunteer to be permanently relocated to the new development. The applicant understands that they will be required to seek DCA approval for this permanent relocation, and in accordance with the 2021 Relocation Manual will submit for a project concept change after award approval in order to secure this approval from DCA once the specific households have been identified.
 </v>
      </c>
      <c r="B1690" s="2227"/>
      <c r="C1690" s="2227"/>
      <c r="D1690" s="2227"/>
      <c r="E1690" s="2227"/>
      <c r="F1690" s="2227"/>
      <c r="G1690" s="2227"/>
      <c r="H1690" s="2227"/>
      <c r="I1690" s="2227"/>
      <c r="J1690" s="2227"/>
      <c r="K1690" s="2227"/>
      <c r="L1690" s="2227"/>
      <c r="M1690" s="2227"/>
      <c r="N1690" s="2227"/>
      <c r="O1690" s="2227"/>
      <c r="P1690" s="2227"/>
      <c r="Q1690" s="2227"/>
      <c r="U1690" s="1719"/>
      <c r="V1690" s="1719"/>
      <c r="W1690" s="1719"/>
      <c r="X1690" s="1719"/>
      <c r="Y1690" s="1719"/>
      <c r="Z1690" s="1719"/>
      <c r="AA1690" s="1719"/>
      <c r="AB1690" s="1719"/>
      <c r="AC1690" s="1719"/>
      <c r="AD1690" s="1719"/>
      <c r="AE1690" s="1719"/>
    </row>
    <row r="1691" spans="1:31" s="1853" customFormat="1" ht="12" customHeight="1">
      <c r="B1691" s="2228" t="s">
        <v>1779</v>
      </c>
      <c r="C1691" s="2228"/>
      <c r="D1691" s="2229"/>
      <c r="E1691" s="2229"/>
      <c r="F1691" s="2229"/>
      <c r="G1691" s="2229"/>
      <c r="H1691" s="2229"/>
      <c r="I1691" s="2229"/>
      <c r="J1691" s="2229"/>
      <c r="K1691" s="2229"/>
      <c r="L1691" s="2229"/>
      <c r="M1691" s="2229"/>
      <c r="N1691" s="2229"/>
      <c r="O1691" s="2229"/>
      <c r="P1691" s="2229"/>
      <c r="Q1691" s="2229"/>
    </row>
    <row r="1692" spans="1:31" s="1853" customFormat="1" ht="33.6" customHeight="1">
      <c r="A1692" s="2224"/>
      <c r="B1692" s="2224"/>
      <c r="C1692" s="2224"/>
      <c r="D1692" s="2224"/>
      <c r="E1692" s="2224"/>
      <c r="F1692" s="2224"/>
      <c r="G1692" s="2224"/>
      <c r="H1692" s="2224"/>
      <c r="I1692" s="2224"/>
      <c r="J1692" s="2224"/>
      <c r="K1692" s="2224"/>
      <c r="L1692" s="2224"/>
      <c r="M1692" s="2224"/>
      <c r="N1692" s="2224"/>
      <c r="O1692" s="2224"/>
      <c r="P1692" s="2224"/>
      <c r="Q1692" s="2224"/>
    </row>
    <row r="1693" spans="1:31" s="1853" customFormat="1" ht="3" customHeight="1">
      <c r="A1693" s="2118"/>
      <c r="B1693" s="2165"/>
      <c r="C1693" s="2229"/>
      <c r="D1693" s="2229"/>
      <c r="E1693" s="2229"/>
      <c r="F1693" s="2229"/>
      <c r="G1693" s="2229"/>
      <c r="H1693" s="2229"/>
      <c r="I1693" s="2229"/>
      <c r="J1693" s="2229"/>
      <c r="K1693" s="2229"/>
      <c r="L1693" s="2229"/>
      <c r="M1693" s="2229"/>
      <c r="Q1693" s="2118"/>
    </row>
    <row r="1694" spans="1:31" s="1853" customFormat="1" ht="14.1" customHeight="1">
      <c r="A1694" s="2106" t="s">
        <v>3530</v>
      </c>
      <c r="B1694" s="1818" t="s">
        <v>2618</v>
      </c>
      <c r="C1694" s="1818"/>
      <c r="D1694" s="435"/>
      <c r="E1694" s="2229"/>
      <c r="F1694" s="2229"/>
      <c r="G1694" s="2229"/>
      <c r="H1694" s="2229"/>
      <c r="O1694" s="2225" t="s">
        <v>1780</v>
      </c>
      <c r="P1694" s="1719"/>
      <c r="Q1694" s="1719"/>
    </row>
    <row r="1695" spans="1:31" s="1853" customFormat="1" ht="14.1" customHeight="1">
      <c r="B1695" s="435" t="s">
        <v>4081</v>
      </c>
      <c r="C1695" s="1818"/>
      <c r="D1695" s="435"/>
      <c r="E1695" s="2229"/>
      <c r="F1695" s="2229"/>
      <c r="G1695" s="2229"/>
      <c r="H1695" s="2229"/>
    </row>
    <row r="1696" spans="1:31" s="2159" customFormat="1" ht="21.75" customHeight="1">
      <c r="A1696" s="2225" t="s">
        <v>1892</v>
      </c>
      <c r="B1696" s="2224" t="s">
        <v>3454</v>
      </c>
      <c r="C1696" s="2224"/>
      <c r="D1696" s="2224"/>
      <c r="E1696" s="2224"/>
      <c r="F1696" s="2224"/>
      <c r="G1696" s="2224"/>
      <c r="H1696" s="2224"/>
      <c r="I1696" s="2224"/>
      <c r="J1696" s="2224"/>
      <c r="K1696" s="2224"/>
      <c r="L1696" s="2224"/>
      <c r="M1696" s="2224"/>
      <c r="N1696" s="2224"/>
      <c r="O1696" s="2225" t="s">
        <v>1892</v>
      </c>
      <c r="P1696" s="2265" t="str">
        <f>'Part VIII-Threshold Criteria'!P456</f>
        <v>Agree</v>
      </c>
      <c r="Q1696" s="2253"/>
    </row>
    <row r="1697" spans="1:31" s="2159" customFormat="1" ht="22.5" customHeight="1">
      <c r="A1697" s="2225" t="s">
        <v>1894</v>
      </c>
      <c r="B1697" s="2224" t="s">
        <v>3453</v>
      </c>
      <c r="C1697" s="2224"/>
      <c r="D1697" s="2224"/>
      <c r="E1697" s="2224"/>
      <c r="F1697" s="2224"/>
      <c r="G1697" s="2224"/>
      <c r="H1697" s="2224"/>
      <c r="I1697" s="2224"/>
      <c r="J1697" s="2224"/>
      <c r="K1697" s="2224"/>
      <c r="L1697" s="2224"/>
      <c r="M1697" s="2224"/>
      <c r="N1697" s="2224"/>
      <c r="O1697" s="2225" t="s">
        <v>1894</v>
      </c>
      <c r="P1697" s="2265" t="str">
        <f>'Part VIII-Threshold Criteria'!P457</f>
        <v>Agree</v>
      </c>
      <c r="Q1697" s="2253"/>
    </row>
    <row r="1698" spans="1:31" s="2159" customFormat="1" ht="22.5" customHeight="1">
      <c r="B1698" s="2229" t="s">
        <v>1658</v>
      </c>
      <c r="C1698" s="2224" t="s">
        <v>4047</v>
      </c>
      <c r="D1698" s="2224"/>
      <c r="E1698" s="2224"/>
      <c r="F1698" s="2224"/>
      <c r="G1698" s="2224"/>
      <c r="H1698" s="2224"/>
      <c r="I1698" s="2224"/>
      <c r="J1698" s="2224"/>
      <c r="K1698" s="2224"/>
      <c r="L1698" s="2224"/>
      <c r="M1698" s="2224"/>
      <c r="N1698" s="2224"/>
      <c r="O1698" s="2225" t="s">
        <v>1658</v>
      </c>
      <c r="P1698" s="2265" t="str">
        <f>'Part VIII-Threshold Criteria'!P458</f>
        <v>Agree</v>
      </c>
      <c r="Q1698" s="2253"/>
    </row>
    <row r="1699" spans="1:31" s="1818" customFormat="1" ht="12" customHeight="1">
      <c r="B1699" s="2229" t="s">
        <v>1659</v>
      </c>
      <c r="C1699" s="435" t="s">
        <v>4048</v>
      </c>
      <c r="D1699" s="435"/>
      <c r="E1699" s="435"/>
      <c r="F1699" s="435"/>
      <c r="G1699" s="435"/>
      <c r="H1699" s="435"/>
      <c r="I1699" s="435"/>
      <c r="J1699" s="435"/>
      <c r="K1699" s="435"/>
      <c r="L1699" s="435"/>
      <c r="M1699" s="435"/>
      <c r="N1699" s="435"/>
      <c r="O1699" s="2256" t="s">
        <v>1659</v>
      </c>
      <c r="P1699" s="2231" t="str">
        <f>'Part VIII-Threshold Criteria'!P459</f>
        <v>Agree</v>
      </c>
      <c r="Q1699" s="2165"/>
    </row>
    <row r="1700" spans="1:31" s="2159" customFormat="1" ht="33" customHeight="1">
      <c r="B1700" s="2229" t="s">
        <v>1660</v>
      </c>
      <c r="C1700" s="2224" t="s">
        <v>4049</v>
      </c>
      <c r="D1700" s="2224"/>
      <c r="E1700" s="2224"/>
      <c r="F1700" s="2224"/>
      <c r="G1700" s="2224"/>
      <c r="H1700" s="2224"/>
      <c r="I1700" s="2224"/>
      <c r="J1700" s="2224"/>
      <c r="K1700" s="2224"/>
      <c r="L1700" s="2224"/>
      <c r="M1700" s="2224"/>
      <c r="N1700" s="2224"/>
      <c r="O1700" s="2225" t="s">
        <v>1660</v>
      </c>
      <c r="P1700" s="2265" t="str">
        <f>'Part VIII-Threshold Criteria'!P460</f>
        <v>Agree</v>
      </c>
      <c r="Q1700" s="2253"/>
    </row>
    <row r="1701" spans="1:31" s="2159" customFormat="1" ht="22.5" customHeight="1">
      <c r="B1701" s="2229" t="s">
        <v>2259</v>
      </c>
      <c r="C1701" s="2224" t="s">
        <v>4050</v>
      </c>
      <c r="D1701" s="2224"/>
      <c r="E1701" s="2224"/>
      <c r="F1701" s="2224"/>
      <c r="G1701" s="2224"/>
      <c r="H1701" s="2224"/>
      <c r="I1701" s="2224"/>
      <c r="J1701" s="2224"/>
      <c r="K1701" s="2224"/>
      <c r="L1701" s="2224"/>
      <c r="M1701" s="2224"/>
      <c r="N1701" s="2224"/>
      <c r="O1701" s="2225" t="s">
        <v>2259</v>
      </c>
      <c r="P1701" s="2265" t="str">
        <f>'Part VIII-Threshold Criteria'!P461</f>
        <v>Agree</v>
      </c>
      <c r="Q1701" s="2253"/>
    </row>
    <row r="1702" spans="1:31" s="2159" customFormat="1" ht="22.5" customHeight="1">
      <c r="A1702" s="2225" t="s">
        <v>719</v>
      </c>
      <c r="B1702" s="2224" t="s">
        <v>3455</v>
      </c>
      <c r="C1702" s="2224"/>
      <c r="D1702" s="2224"/>
      <c r="E1702" s="2224"/>
      <c r="F1702" s="2224"/>
      <c r="G1702" s="2224"/>
      <c r="H1702" s="2224"/>
      <c r="I1702" s="2224"/>
      <c r="J1702" s="2224"/>
      <c r="K1702" s="2224"/>
      <c r="L1702" s="2224"/>
      <c r="M1702" s="2224"/>
      <c r="N1702" s="2224"/>
      <c r="O1702" s="2225" t="s">
        <v>719</v>
      </c>
      <c r="P1702" s="2265" t="str">
        <f>'Part VIII-Threshold Criteria'!P462</f>
        <v>Agree</v>
      </c>
      <c r="Q1702" s="2253"/>
    </row>
    <row r="1703" spans="1:31" s="2159" customFormat="1" ht="22.5" customHeight="1">
      <c r="A1703" s="2225" t="s">
        <v>2020</v>
      </c>
      <c r="B1703" s="2224" t="s">
        <v>4108</v>
      </c>
      <c r="C1703" s="2224"/>
      <c r="D1703" s="2224"/>
      <c r="E1703" s="2224"/>
      <c r="F1703" s="2224"/>
      <c r="G1703" s="2224"/>
      <c r="H1703" s="2224"/>
      <c r="I1703" s="2224"/>
      <c r="J1703" s="2224"/>
      <c r="K1703" s="2224"/>
      <c r="L1703" s="2224"/>
      <c r="M1703" s="2224"/>
      <c r="N1703" s="2224"/>
      <c r="O1703" s="2225" t="s">
        <v>2020</v>
      </c>
      <c r="P1703" s="2265" t="str">
        <f>'Part VIII-Threshold Criteria'!P463</f>
        <v>Agree</v>
      </c>
      <c r="Q1703" s="2253"/>
    </row>
    <row r="1704" spans="1:31" s="2159" customFormat="1" ht="21.75" customHeight="1">
      <c r="A1704" s="2225" t="s">
        <v>1656</v>
      </c>
      <c r="B1704" s="2224" t="s">
        <v>4109</v>
      </c>
      <c r="C1704" s="2224"/>
      <c r="D1704" s="2224"/>
      <c r="E1704" s="2224"/>
      <c r="F1704" s="2224"/>
      <c r="G1704" s="2224"/>
      <c r="H1704" s="2224"/>
      <c r="I1704" s="2224"/>
      <c r="J1704" s="2224"/>
      <c r="K1704" s="2224"/>
      <c r="L1704" s="2224"/>
      <c r="M1704" s="2224"/>
      <c r="N1704" s="2224"/>
      <c r="O1704" s="2225" t="s">
        <v>1656</v>
      </c>
      <c r="P1704" s="2265" t="str">
        <f>'Part VIII-Threshold Criteria'!P464</f>
        <v>Agree</v>
      </c>
      <c r="Q1704" s="2253"/>
    </row>
    <row r="1705" spans="1:31" s="2159" customFormat="1" ht="21.75" customHeight="1">
      <c r="A1705" s="2225" t="s">
        <v>1657</v>
      </c>
      <c r="B1705" s="2224" t="s">
        <v>4152</v>
      </c>
      <c r="C1705" s="2224"/>
      <c r="D1705" s="2224"/>
      <c r="E1705" s="2224"/>
      <c r="F1705" s="2224"/>
      <c r="G1705" s="2224"/>
      <c r="H1705" s="2224"/>
      <c r="I1705" s="2224"/>
      <c r="J1705" s="2224"/>
      <c r="K1705" s="2224"/>
      <c r="L1705" s="2224"/>
      <c r="M1705" s="2224"/>
      <c r="N1705" s="2224"/>
      <c r="O1705" s="2225" t="s">
        <v>1657</v>
      </c>
      <c r="P1705" s="2265" t="str">
        <f>'Part VIII-Threshold Criteria'!P465</f>
        <v>Agree</v>
      </c>
      <c r="Q1705" s="2253"/>
    </row>
    <row r="1706" spans="1:31" s="1853" customFormat="1" ht="11.25" customHeight="1">
      <c r="B1706" s="2171" t="s">
        <v>3372</v>
      </c>
      <c r="D1706" s="2171"/>
      <c r="E1706" s="2171"/>
      <c r="F1706" s="2171"/>
      <c r="G1706" s="2171"/>
      <c r="H1706" s="2122"/>
      <c r="I1706" s="2165"/>
      <c r="J1706" s="2165"/>
      <c r="K1706" s="2165"/>
      <c r="L1706" s="2118"/>
      <c r="M1706" s="2118"/>
      <c r="N1706" s="2118"/>
      <c r="O1706" s="2118"/>
      <c r="P1706" s="2118"/>
      <c r="Q1706" s="2118"/>
    </row>
    <row r="1707" spans="1:31" s="1853" customFormat="1" ht="12.75" customHeight="1">
      <c r="A1707" s="2227" t="str">
        <f>'Part VIII-Threshold Criteria'!A467</f>
        <v>This project will comply with all Affirmative Furthering Fair Housing Laws.</v>
      </c>
      <c r="B1707" s="2227"/>
      <c r="C1707" s="2227"/>
      <c r="D1707" s="2227"/>
      <c r="E1707" s="2227"/>
      <c r="F1707" s="2227"/>
      <c r="G1707" s="2227"/>
      <c r="H1707" s="2227"/>
      <c r="I1707" s="2227"/>
      <c r="J1707" s="2227"/>
      <c r="K1707" s="2227"/>
      <c r="L1707" s="2227"/>
      <c r="M1707" s="2227"/>
      <c r="N1707" s="2227"/>
      <c r="O1707" s="2227"/>
      <c r="P1707" s="2227"/>
      <c r="Q1707" s="2227"/>
      <c r="R1707" s="1856" t="s">
        <v>1208</v>
      </c>
      <c r="S1707" s="1856"/>
      <c r="U1707" s="1719"/>
      <c r="V1707" s="1719"/>
      <c r="W1707" s="1719"/>
      <c r="X1707" s="1719"/>
      <c r="Y1707" s="1719"/>
      <c r="Z1707" s="1719"/>
      <c r="AA1707" s="1719"/>
      <c r="AB1707" s="1719"/>
      <c r="AC1707" s="1719"/>
      <c r="AD1707" s="1719"/>
      <c r="AE1707" s="1719"/>
    </row>
    <row r="1708" spans="1:31" s="1853" customFormat="1" ht="11.25" customHeight="1">
      <c r="B1708" s="2228" t="s">
        <v>1779</v>
      </c>
      <c r="C1708" s="2228"/>
      <c r="D1708" s="2229"/>
      <c r="E1708" s="2229"/>
      <c r="F1708" s="2229"/>
      <c r="G1708" s="2229"/>
      <c r="H1708" s="2229"/>
      <c r="I1708" s="2229"/>
      <c r="J1708" s="2229"/>
      <c r="K1708" s="2229"/>
      <c r="L1708" s="2229"/>
      <c r="M1708" s="2229"/>
      <c r="N1708" s="2229"/>
      <c r="O1708" s="2229"/>
      <c r="P1708" s="2229"/>
      <c r="Q1708" s="2229"/>
    </row>
    <row r="1709" spans="1:31" s="1853" customFormat="1" ht="12.75" customHeight="1">
      <c r="A1709" s="2224"/>
      <c r="B1709" s="2224"/>
      <c r="C1709" s="2224"/>
      <c r="D1709" s="2224"/>
      <c r="E1709" s="2224"/>
      <c r="F1709" s="2224"/>
      <c r="G1709" s="2224"/>
      <c r="H1709" s="2224"/>
      <c r="I1709" s="2224"/>
      <c r="J1709" s="2224"/>
      <c r="K1709" s="2224"/>
      <c r="L1709" s="2224"/>
      <c r="M1709" s="2224"/>
      <c r="N1709" s="2224"/>
      <c r="O1709" s="2224"/>
      <c r="P1709" s="2224"/>
      <c r="Q1709" s="2224"/>
    </row>
    <row r="1710" spans="1:31" s="1853" customFormat="1" ht="3" customHeight="1">
      <c r="A1710" s="2118"/>
      <c r="B1710" s="2165"/>
      <c r="C1710" s="2229"/>
      <c r="D1710" s="2229"/>
      <c r="E1710" s="2229"/>
      <c r="F1710" s="2229"/>
      <c r="G1710" s="2229"/>
      <c r="H1710" s="2229"/>
      <c r="I1710" s="2229"/>
      <c r="J1710" s="2229"/>
      <c r="K1710" s="2229"/>
      <c r="L1710" s="2229"/>
      <c r="M1710" s="2229"/>
      <c r="Q1710" s="2118"/>
    </row>
    <row r="1711" spans="1:31" s="1853" customFormat="1" ht="14.1" customHeight="1">
      <c r="A1711" s="2106" t="s">
        <v>3965</v>
      </c>
      <c r="B1711" s="1818"/>
      <c r="C1711" s="1818" t="s">
        <v>2524</v>
      </c>
      <c r="D1711" s="435"/>
      <c r="E1711" s="2229"/>
      <c r="F1711" s="2229"/>
      <c r="G1711" s="2229"/>
      <c r="H1711" s="2229"/>
      <c r="J1711" s="2229"/>
      <c r="K1711" s="2229"/>
      <c r="L1711" s="2229"/>
      <c r="M1711" s="2229"/>
      <c r="O1711" s="2225" t="s">
        <v>1780</v>
      </c>
      <c r="P1711" s="1719"/>
      <c r="Q1711" s="1719"/>
    </row>
    <row r="1712" spans="1:31" s="1853" customFormat="1" ht="11.25" customHeight="1">
      <c r="A1712" s="2106"/>
      <c r="B1712" s="2171" t="s">
        <v>3372</v>
      </c>
      <c r="D1712" s="2171"/>
      <c r="E1712" s="2171"/>
      <c r="F1712" s="2171"/>
      <c r="G1712" s="2171"/>
      <c r="H1712" s="2122"/>
      <c r="I1712" s="2165"/>
      <c r="J1712" s="2165"/>
      <c r="K1712" s="2165"/>
      <c r="L1712" s="2118"/>
      <c r="M1712" s="2118"/>
      <c r="N1712" s="2118"/>
      <c r="O1712" s="2118"/>
      <c r="P1712" s="2118"/>
      <c r="Q1712" s="2118"/>
    </row>
    <row r="1713" spans="1:31" s="1853" customFormat="1" ht="12" customHeight="1">
      <c r="A1713" s="2227" t="str">
        <f>'Part VIII-Threshold Criteria'!A473</f>
        <v>The owners will ensure the complete, effective, efficient, and lawful utilization of the low income housing tax credits if awarded by DCA.</v>
      </c>
      <c r="B1713" s="2227"/>
      <c r="C1713" s="2227"/>
      <c r="D1713" s="2227"/>
      <c r="E1713" s="2227"/>
      <c r="F1713" s="2227"/>
      <c r="G1713" s="2227"/>
      <c r="H1713" s="2227"/>
      <c r="I1713" s="2227"/>
      <c r="J1713" s="2227"/>
      <c r="K1713" s="2227"/>
      <c r="L1713" s="2227"/>
      <c r="M1713" s="2227"/>
      <c r="N1713" s="2227"/>
      <c r="O1713" s="2227"/>
      <c r="P1713" s="2227"/>
      <c r="Q1713" s="2227"/>
      <c r="R1713" s="1856" t="s">
        <v>1208</v>
      </c>
      <c r="S1713" s="1856"/>
      <c r="U1713" s="1719"/>
      <c r="V1713" s="1719"/>
      <c r="W1713" s="1719"/>
      <c r="X1713" s="1719"/>
      <c r="Y1713" s="1719"/>
      <c r="Z1713" s="1719"/>
      <c r="AA1713" s="1719"/>
      <c r="AB1713" s="1719"/>
      <c r="AC1713" s="1719"/>
      <c r="AD1713" s="1719"/>
      <c r="AE1713" s="1719"/>
    </row>
    <row r="1714" spans="1:31" s="1853" customFormat="1" ht="11.25" customHeight="1">
      <c r="B1714" s="2228" t="s">
        <v>1779</v>
      </c>
      <c r="C1714" s="2228"/>
      <c r="D1714" s="2229"/>
      <c r="E1714" s="2229"/>
      <c r="F1714" s="2229"/>
      <c r="G1714" s="2229"/>
      <c r="H1714" s="2229"/>
      <c r="I1714" s="2229"/>
      <c r="J1714" s="2229"/>
      <c r="K1714" s="2229"/>
      <c r="L1714" s="2229"/>
      <c r="M1714" s="2229"/>
      <c r="N1714" s="2229"/>
      <c r="O1714" s="2229"/>
      <c r="P1714" s="2229"/>
      <c r="Q1714" s="2229"/>
    </row>
    <row r="1715" spans="1:31" s="1853" customFormat="1" ht="12" customHeight="1">
      <c r="A1715" s="2224"/>
      <c r="B1715" s="2224"/>
      <c r="C1715" s="2224"/>
      <c r="D1715" s="2224"/>
      <c r="E1715" s="2224"/>
      <c r="F1715" s="2224"/>
      <c r="G1715" s="2224"/>
      <c r="H1715" s="2224"/>
      <c r="I1715" s="2224"/>
      <c r="J1715" s="2224"/>
      <c r="K1715" s="2224"/>
      <c r="L1715" s="2224"/>
      <c r="M1715" s="2224"/>
      <c r="N1715" s="2224"/>
      <c r="O1715" s="2224"/>
      <c r="P1715" s="2224"/>
      <c r="Q1715" s="2224"/>
    </row>
    <row r="1720" spans="1:31" s="1853" customFormat="1" ht="14.1" customHeight="1">
      <c r="A1720" s="1818" t="str">
        <f>CONCATENATE("PART NINE - SCORING CRITERIA","  -  ",'Part I-Project Information'!$O$7," ",'Part I-Project Information'!$F$35,", ",'Part I-Project Information'!F1710,", ",'Part I-Project Information'!J1711," County")</f>
        <v>PART NINE - SCORING CRITERIA  -  2021-067 West Point Village Phase II, ,  County</v>
      </c>
      <c r="B1720" s="1818"/>
      <c r="C1720" s="1818"/>
      <c r="D1720" s="1818"/>
      <c r="E1720" s="1818"/>
      <c r="F1720" s="1818"/>
      <c r="G1720" s="1818"/>
      <c r="H1720" s="1818"/>
      <c r="I1720" s="1818"/>
      <c r="J1720" s="1818"/>
      <c r="K1720" s="1818"/>
      <c r="L1720" s="1818"/>
      <c r="M1720" s="1818"/>
      <c r="N1720" s="1818"/>
      <c r="O1720" s="1818"/>
      <c r="P1720" s="1818"/>
      <c r="Q1720" s="1863"/>
      <c r="R1720" s="1863"/>
      <c r="S1720" s="1863"/>
    </row>
    <row r="1721" spans="1:31" s="1853" customFormat="1" ht="4.3499999999999996" customHeight="1">
      <c r="A1721" s="435"/>
      <c r="B1721" s="435"/>
      <c r="C1721" s="2303"/>
      <c r="D1721" s="435"/>
      <c r="E1721" s="435"/>
      <c r="F1721" s="435"/>
      <c r="G1721" s="435"/>
      <c r="H1721" s="435"/>
      <c r="I1721" s="435"/>
      <c r="J1721" s="435"/>
      <c r="K1721" s="435"/>
      <c r="L1721" s="435"/>
      <c r="M1721" s="2165"/>
      <c r="N1721" s="2109"/>
      <c r="O1721" s="2109"/>
      <c r="P1721" s="2109"/>
      <c r="Q1721" s="1863"/>
      <c r="R1721" s="1863"/>
      <c r="S1721" s="1863"/>
    </row>
    <row r="1722" spans="1:31" s="1818" customFormat="1" ht="12" customHeight="1">
      <c r="A1722" s="1865" t="s">
        <v>7164</v>
      </c>
      <c r="B1722" s="1865"/>
      <c r="C1722" s="1865"/>
      <c r="D1722" s="1865"/>
      <c r="E1722" s="1865"/>
      <c r="F1722" s="1865"/>
      <c r="G1722" s="1865"/>
      <c r="H1722" s="1865"/>
      <c r="I1722" s="1865"/>
      <c r="J1722" s="1865"/>
      <c r="K1722" s="1865"/>
      <c r="L1722" s="1865"/>
      <c r="M1722" s="2109"/>
      <c r="N1722" s="2109"/>
      <c r="O1722" s="2109" t="s">
        <v>2116</v>
      </c>
      <c r="P1722" s="2109" t="s">
        <v>245</v>
      </c>
      <c r="Q1722" s="1863"/>
      <c r="R1722" s="1863"/>
      <c r="S1722" s="1863"/>
    </row>
    <row r="1723" spans="1:31" s="2245" customFormat="1" ht="12" customHeight="1">
      <c r="A1723" s="1865"/>
      <c r="B1723" s="1865"/>
      <c r="C1723" s="1865"/>
      <c r="D1723" s="1865"/>
      <c r="E1723" s="1865"/>
      <c r="F1723" s="1865"/>
      <c r="G1723" s="1865"/>
      <c r="H1723" s="1865"/>
      <c r="I1723" s="1865"/>
      <c r="J1723" s="1865"/>
      <c r="K1723" s="1865"/>
      <c r="L1723" s="1865"/>
      <c r="M1723" s="2109"/>
      <c r="N1723" s="1818"/>
      <c r="O1723" s="2109" t="s">
        <v>2117</v>
      </c>
      <c r="P1723" s="2109" t="s">
        <v>2117</v>
      </c>
      <c r="Q1723" s="1863"/>
      <c r="R1723" s="1863"/>
      <c r="S1723" s="1863"/>
      <c r="T1723" s="1818"/>
      <c r="U1723" s="1818"/>
      <c r="V1723" s="1818"/>
    </row>
    <row r="1724" spans="1:31" s="2245" customFormat="1" ht="3" customHeight="1">
      <c r="A1724" s="1818"/>
      <c r="B1724" s="1818"/>
      <c r="C1724" s="1818"/>
      <c r="D1724" s="1818"/>
      <c r="E1724" s="1818"/>
      <c r="F1724" s="1818"/>
      <c r="G1724" s="1818"/>
      <c r="H1724" s="1818"/>
      <c r="I1724" s="1818"/>
      <c r="J1724" s="1818"/>
      <c r="K1724" s="1818"/>
      <c r="M1724" s="2052"/>
      <c r="N1724" s="1818"/>
      <c r="O1724" s="2109"/>
      <c r="P1724" s="2052"/>
      <c r="Q1724" s="1863"/>
      <c r="R1724" s="1863"/>
      <c r="S1724" s="1863"/>
    </row>
    <row r="1725" spans="1:31" s="2245" customFormat="1" ht="13.5" customHeight="1">
      <c r="A1725" s="1818"/>
      <c r="B1725" s="1975" t="str">
        <f>'Part I-Project Information'!$B$7</f>
        <v>2021 Core App
May 10 Rev</v>
      </c>
      <c r="C1725" s="1975"/>
      <c r="D1725" s="1975"/>
      <c r="E1725" s="1975"/>
      <c r="F1725" s="1975"/>
      <c r="G1725" s="1818"/>
      <c r="H1725" s="1818"/>
      <c r="I1725" s="1818"/>
      <c r="J1725" s="1818"/>
      <c r="L1725" s="2222" t="s">
        <v>1180</v>
      </c>
      <c r="M1725" s="2193"/>
      <c r="N1725" s="2193"/>
      <c r="O1725" s="2304">
        <f>O2120</f>
        <v>59</v>
      </c>
      <c r="P1725" s="2304">
        <f>P2120</f>
        <v>20</v>
      </c>
      <c r="Q1725" s="1863"/>
      <c r="R1725" s="1863"/>
      <c r="S1725" s="1863"/>
    </row>
    <row r="1726" spans="1:31" s="2275" customFormat="1" ht="3.6" customHeight="1">
      <c r="A1726" s="1818"/>
      <c r="B1726" s="2256"/>
      <c r="C1726" s="435"/>
      <c r="D1726" s="1719"/>
      <c r="E1726" s="1719"/>
      <c r="F1726" s="1719"/>
      <c r="G1726" s="1719"/>
      <c r="H1726" s="1719"/>
      <c r="I1726" s="1719"/>
      <c r="J1726" s="1719"/>
      <c r="K1726" s="1719"/>
      <c r="L1726" s="1818"/>
      <c r="M1726" s="2109"/>
      <c r="N1726" s="2052"/>
      <c r="O1726" s="2193"/>
      <c r="P1726" s="2109"/>
      <c r="R1726" s="1818"/>
      <c r="S1726" s="1818"/>
    </row>
    <row r="1727" spans="1:31" s="1818" customFormat="1" ht="12" customHeight="1">
      <c r="A1727" s="2305" t="s">
        <v>6315</v>
      </c>
      <c r="B1727" s="2305"/>
      <c r="C1727" s="2305"/>
      <c r="D1727" s="435" t="s">
        <v>6316</v>
      </c>
      <c r="E1727" s="435"/>
      <c r="F1727" s="435"/>
      <c r="G1727" s="435"/>
      <c r="H1727" s="435"/>
      <c r="I1727" s="435"/>
      <c r="J1727" s="435"/>
      <c r="K1727" s="435"/>
      <c r="L1727" s="435"/>
      <c r="M1727" s="435"/>
      <c r="O1727" s="2123">
        <f>'Part IX Scoring Criteria'!O8</f>
        <v>0</v>
      </c>
      <c r="P1727" s="2111"/>
      <c r="Q1727" s="435" t="s">
        <v>7165</v>
      </c>
      <c r="R1727" s="2226"/>
      <c r="S1727" s="2226"/>
    </row>
    <row r="1728" spans="1:31" s="1818" customFormat="1" ht="12" customHeight="1">
      <c r="A1728" s="2305"/>
      <c r="B1728" s="2305"/>
      <c r="C1728" s="2305"/>
      <c r="D1728" s="435"/>
      <c r="E1728" s="435"/>
      <c r="F1728" s="435"/>
      <c r="G1728" s="435"/>
      <c r="H1728" s="435"/>
      <c r="I1728" s="435"/>
      <c r="J1728" s="435"/>
      <c r="K1728" s="435"/>
      <c r="L1728" s="435"/>
      <c r="M1728" s="435"/>
      <c r="N1728" s="2306"/>
      <c r="O1728" s="2243"/>
      <c r="P1728" s="2243"/>
      <c r="R1728" s="2226"/>
      <c r="S1728" s="2226"/>
    </row>
    <row r="1729" spans="1:22" s="2275" customFormat="1" ht="3" customHeight="1">
      <c r="A1729" s="1818"/>
      <c r="B1729" s="2256"/>
      <c r="C1729" s="435"/>
      <c r="D1729" s="1719"/>
      <c r="E1729" s="1719"/>
      <c r="F1729" s="1719"/>
      <c r="G1729" s="1719"/>
      <c r="H1729" s="1719"/>
      <c r="I1729" s="1719"/>
      <c r="J1729" s="1719"/>
      <c r="K1729" s="1719"/>
      <c r="L1729" s="1818"/>
      <c r="M1729" s="2109"/>
      <c r="N1729" s="2052"/>
      <c r="O1729" s="2193"/>
      <c r="P1729" s="2109"/>
      <c r="R1729" s="1818"/>
      <c r="S1729" s="1818"/>
    </row>
    <row r="1730" spans="1:22" s="1818" customFormat="1" ht="12" customHeight="1">
      <c r="B1730" s="1906" t="s">
        <v>7091</v>
      </c>
      <c r="C1730" s="1906"/>
      <c r="D1730" s="1906"/>
      <c r="E1730" s="1906"/>
      <c r="F1730" s="1906"/>
      <c r="G1730" s="1906"/>
      <c r="H1730" s="1906"/>
      <c r="I1730" s="1906"/>
      <c r="J1730" s="1906"/>
      <c r="K1730" s="1906"/>
      <c r="L1730" s="1906"/>
      <c r="M1730" s="1906"/>
      <c r="N1730" s="1906"/>
      <c r="O1730" s="1906"/>
      <c r="P1730" s="1906"/>
      <c r="Q1730" s="435"/>
      <c r="R1730" s="2226"/>
      <c r="S1730" s="2226"/>
    </row>
    <row r="1731" spans="1:22" s="1818" customFormat="1" ht="2.25" customHeight="1">
      <c r="A1731" s="2305"/>
      <c r="D1731" s="435"/>
      <c r="E1731" s="435"/>
      <c r="F1731" s="435"/>
      <c r="G1731" s="2157"/>
      <c r="H1731" s="1865"/>
      <c r="I1731" s="2157"/>
      <c r="J1731" s="2157"/>
      <c r="K1731" s="2157"/>
      <c r="L1731" s="2157"/>
      <c r="M1731" s="2157"/>
      <c r="N1731" s="2157"/>
      <c r="O1731" s="2157"/>
      <c r="P1731" s="2157"/>
      <c r="Q1731" s="435"/>
      <c r="R1731" s="2226"/>
      <c r="S1731" s="2226"/>
    </row>
    <row r="1732" spans="1:22" s="1818" customFormat="1" ht="12" customHeight="1">
      <c r="A1732" s="2307" t="s">
        <v>586</v>
      </c>
      <c r="B1732" s="2154" t="s">
        <v>6367</v>
      </c>
      <c r="D1732" s="435"/>
      <c r="E1732" s="435"/>
      <c r="F1732" s="435"/>
      <c r="G1732" s="2157"/>
      <c r="H1732" s="1865"/>
      <c r="I1732" s="2157"/>
      <c r="J1732" s="2157"/>
      <c r="K1732" s="2157"/>
      <c r="L1732" s="2157"/>
      <c r="M1732" s="2157"/>
      <c r="N1732" s="2157"/>
      <c r="O1732" s="2157"/>
      <c r="P1732" s="2157"/>
      <c r="Q1732" s="435"/>
      <c r="R1732" s="2226"/>
      <c r="S1732" s="2226"/>
    </row>
    <row r="1733" spans="1:22" s="1818" customFormat="1" ht="12" customHeight="1">
      <c r="A1733" s="2305" t="s">
        <v>6368</v>
      </c>
      <c r="D1733" s="435"/>
      <c r="E1733" s="435"/>
      <c r="F1733" s="435"/>
      <c r="G1733" s="2157"/>
      <c r="H1733" s="1865" t="s">
        <v>7166</v>
      </c>
      <c r="I1733" s="2157"/>
      <c r="J1733" s="2157"/>
      <c r="K1733" s="2157"/>
      <c r="L1733" s="2157"/>
      <c r="M1733" s="2306" t="s">
        <v>7167</v>
      </c>
      <c r="N1733" s="2157"/>
      <c r="O1733" s="2123">
        <f>'Part IX Scoring Criteria'!O14</f>
        <v>0</v>
      </c>
      <c r="P1733" s="2109">
        <f>IF(P1735&lt;2,0,IF(AND(P1735&gt;1,P1735&lt;5),1,IF(P1735&gt;4,P1735-3)))</f>
        <v>0</v>
      </c>
      <c r="Q1733" s="435" t="s">
        <v>7165</v>
      </c>
      <c r="R1733" s="2226"/>
      <c r="S1733" s="2226"/>
    </row>
    <row r="1734" spans="1:22" s="2275" customFormat="1" ht="3.6" customHeight="1">
      <c r="A1734" s="1818"/>
      <c r="B1734" s="2256"/>
      <c r="C1734" s="435"/>
      <c r="D1734" s="1719"/>
      <c r="E1734" s="1719"/>
      <c r="F1734" s="1719"/>
      <c r="G1734" s="1719"/>
      <c r="H1734" s="1719"/>
      <c r="I1734" s="1719"/>
      <c r="J1734" s="1719"/>
      <c r="K1734" s="1719"/>
      <c r="L1734" s="1818"/>
      <c r="M1734" s="2109"/>
      <c r="N1734" s="2052"/>
      <c r="O1734" s="2193"/>
      <c r="P1734" s="2109"/>
      <c r="R1734" s="1818"/>
      <c r="S1734" s="1818"/>
    </row>
    <row r="1735" spans="1:22" s="1818" customFormat="1" ht="10.5" customHeight="1">
      <c r="A1735" s="1968" t="s">
        <v>3543</v>
      </c>
      <c r="B1735" s="1968" t="s">
        <v>3544</v>
      </c>
      <c r="C1735" s="435"/>
      <c r="D1735" s="435"/>
      <c r="E1735" s="1968" t="s">
        <v>3551</v>
      </c>
      <c r="F1735" s="1968" t="s">
        <v>6826</v>
      </c>
      <c r="G1735" s="1968"/>
      <c r="H1735" s="1968"/>
      <c r="I1735" s="1968"/>
      <c r="J1735" s="1968"/>
      <c r="K1735" s="1968"/>
      <c r="L1735" s="1968"/>
      <c r="M1735" s="1968"/>
      <c r="N1735" s="1968"/>
      <c r="O1735" s="2306" t="s">
        <v>3972</v>
      </c>
      <c r="P1735" s="2165">
        <f>SUM(P1736:P1748)</f>
        <v>0</v>
      </c>
      <c r="Q1735" s="435" t="s">
        <v>7168</v>
      </c>
      <c r="R1735" s="435"/>
      <c r="S1735" s="435"/>
      <c r="T1735" s="435"/>
      <c r="U1735" s="435"/>
      <c r="V1735" s="435"/>
    </row>
    <row r="1736" spans="1:22" s="1818" customFormat="1" ht="10.5" customHeight="1">
      <c r="A1736" s="2308" t="s">
        <v>1713</v>
      </c>
      <c r="B1736" s="1906" t="s">
        <v>3545</v>
      </c>
      <c r="C1736" s="1906"/>
      <c r="D1736" s="1906"/>
      <c r="E1736" s="2309">
        <f>'Part IX Scoring Criteria'!E17</f>
        <v>20</v>
      </c>
      <c r="F1736" s="2230" t="str">
        <f>'Part IX Scoring Criteria'!F17</f>
        <v>The applicant has identified Desirables near the proposed project site which qualify for a total of 22.5 points in this section, more than the maximum 20 points allowed. Maps and driving directions for each are included. The proposed project site sits just off the main access road, and will have access through two adjacent properties (one of which is Phase I of this planned development) via access easements. As such, Google Maps is unable to accurately calculate the walking/driving distance, and instead only calculates the walking/driving distance at the roadway. In order to account for this, the applicant has added 0.1 miles to the Google walking/driving distances for each desirable in its calculation. All claimed Desirables are still within the eligible distances for points. No undesirable activities have been identified by the applicant.</v>
      </c>
      <c r="G1736" s="2230"/>
      <c r="H1736" s="2230"/>
      <c r="I1736" s="2230"/>
      <c r="J1736" s="2230"/>
      <c r="K1736" s="2230"/>
      <c r="L1736" s="2230"/>
      <c r="M1736" s="2230"/>
      <c r="N1736" s="2230"/>
      <c r="O1736" s="2230"/>
      <c r="P1736" s="2310"/>
      <c r="Q1736" s="435"/>
      <c r="R1736" s="435"/>
      <c r="S1736" s="435"/>
      <c r="T1736" s="435"/>
      <c r="U1736" s="435"/>
      <c r="V1736" s="435"/>
    </row>
    <row r="1737" spans="1:22" s="1818" customFormat="1" ht="10.5" customHeight="1">
      <c r="A1737" s="2308" t="s">
        <v>505</v>
      </c>
      <c r="B1737" s="1906" t="s">
        <v>4241</v>
      </c>
      <c r="C1737" s="1906"/>
      <c r="D1737" s="1906"/>
      <c r="E1737" s="2309">
        <f>'Part IX Scoring Criteria'!E18</f>
        <v>2</v>
      </c>
      <c r="F1737" s="2230" t="str">
        <f>'Part IX Scoring Criteria'!F18</f>
        <v>The proposed project site falls within the service area for Troup County Transit, which provides curb-to-curb service as a shared ride system. Operated by the county on a Monday through Friday schedule, the service does not have any fixed routes or stops.</v>
      </c>
      <c r="G1737" s="2230"/>
      <c r="H1737" s="2230"/>
      <c r="I1737" s="2230"/>
      <c r="J1737" s="2230"/>
      <c r="K1737" s="2230"/>
      <c r="L1737" s="2230"/>
      <c r="M1737" s="2230"/>
      <c r="N1737" s="2230"/>
      <c r="O1737" s="2230"/>
      <c r="P1737" s="2310"/>
      <c r="Q1737" s="1856" t="str">
        <f>IF(OR($A$104="",$A$142="",$A$159="",$A$180="",$A$195="",$A$215="",$A$233="",$A$243="",$A$252="",$A$290="",$A$326="",$A$346="",$A$375=""),"Some Applicant Scoring Justification boxes are empty! Check to see if points claimed.","")</f>
        <v>Some Applicant Scoring Justification boxes are empty! Check to see if points claimed.</v>
      </c>
      <c r="R1737" s="1856"/>
      <c r="S1737" s="1856"/>
    </row>
    <row r="1738" spans="1:22" s="1818" customFormat="1" ht="10.5" customHeight="1">
      <c r="A1738" s="2308" t="s">
        <v>742</v>
      </c>
      <c r="B1738" s="1906" t="s">
        <v>3484</v>
      </c>
      <c r="C1738" s="1906"/>
      <c r="D1738" s="1906"/>
      <c r="E1738" s="2309">
        <f>'Part IX Scoring Criteria'!E19</f>
        <v>0</v>
      </c>
      <c r="F1738" s="2230" t="str">
        <f>'Part IX Scoring Criteria'!F19</f>
        <v>The applicant is not claiming points in this section, therefore it has been intentionally left blank.</v>
      </c>
      <c r="G1738" s="2230"/>
      <c r="H1738" s="2230"/>
      <c r="I1738" s="2230"/>
      <c r="J1738" s="2230"/>
      <c r="K1738" s="2230"/>
      <c r="L1738" s="2230"/>
      <c r="M1738" s="2230"/>
      <c r="N1738" s="2230"/>
      <c r="O1738" s="2230"/>
      <c r="P1738" s="2310"/>
      <c r="Q1738" s="1856"/>
      <c r="R1738" s="1856"/>
      <c r="S1738" s="1856"/>
    </row>
    <row r="1739" spans="1:22" s="1818" customFormat="1" ht="10.5" customHeight="1">
      <c r="A1739" s="2308" t="s">
        <v>281</v>
      </c>
      <c r="B1739" s="1906" t="s">
        <v>3546</v>
      </c>
      <c r="C1739" s="1906"/>
      <c r="D1739" s="1906"/>
      <c r="E1739" s="2309">
        <f>'Part IX Scoring Criteria'!E20</f>
        <v>6</v>
      </c>
      <c r="F1739" s="2230" t="str">
        <f>'Part IX Scoring Criteria'!F20</f>
        <v xml:space="preserve">The project site in located within the area depicted in the 10th Street Area Redevelopment Plan, which qualifies for points as a Community Revitalization Plan.  This Plan outlines the need to place special focus on the 10th Street corridor which serves as a primary gateway into the city of West Point from Interstate-85.  As such, its appearance is vitally important to connecting West Point neighborhoods and downtown.  The Plan and additional documentation of planned revitalization is included in Tab 30.  
As it relates to Section B Third-PArty Capital Investment, the City of West Point and GDOT have committed to provide several street infrastructure improvements within a half-mile of the project site, the total cost of which is $7,224,212, well in excess of the $20,000 per unit required fro two points in this category. These improvements will increase the walkability and quality of life for the project's residents.  A letter from the City of West Point committing to their these improvements and the GDOT project profile showing that their project is under construction are included in Tab 30.  </v>
      </c>
      <c r="G1739" s="2230"/>
      <c r="H1739" s="2230"/>
      <c r="I1739" s="2230"/>
      <c r="J1739" s="2230"/>
      <c r="K1739" s="2230"/>
      <c r="L1739" s="2230"/>
      <c r="M1739" s="2230"/>
      <c r="N1739" s="2230"/>
      <c r="O1739" s="2230"/>
      <c r="P1739" s="2310"/>
      <c r="Q1739" s="1856"/>
      <c r="R1739" s="1856"/>
      <c r="S1739" s="1856"/>
    </row>
    <row r="1740" spans="1:22" s="1818" customFormat="1" ht="10.5" customHeight="1">
      <c r="A1740" s="2308" t="s">
        <v>407</v>
      </c>
      <c r="B1740" s="1906" t="s">
        <v>3547</v>
      </c>
      <c r="C1740" s="1906"/>
      <c r="D1740" s="1906"/>
      <c r="E1740" s="2309" t="str">
        <f>'Part IX Scoring Criteria'!E21</f>
        <v>n/a</v>
      </c>
      <c r="F1740" s="2230" t="str">
        <f>'Part IX Scoring Criteria'!F21</f>
        <v>The Griffin Housing Authority (GHA), the West Point Village Phase I Community-Based Developer, has a history of instituting innovative, forward-thinking projects, programs and long-term public-private partnerships to transform public housing and surrounding neighborhoods. These ground-breaking programs include the Educational Prosperity Initiative (EPI), a multi-institutional program that provides holistic, wrap-around services for the residents living in its communities. Recipient of the NAHRO National Award of Excellence, NAHRO Award of Merit, and GAHRA Collaborative Partnership Award, the EPI provides an escape from poverty for under-resourced neighborhoods. GHA’s core belief is that community transformation will occur when people are linked and work together for sustainable community change. GHA has recently transitioned into the operation and management of the West Point Housing Authority (WPHA). In this new role and under the leadership of Robert Dull, WPHA is seeking to replicate many of the same innovative strategies and long-term public-private partnerships in the planned transformation of the WPHA's public housing communities.
Five of the community organizations that have served in Griffin with GHA to improve community outcomes have provided documentation to evidence these partnerships in Tab 31 which represent Health, Education, and Employment sectors of the community.  GHA has a history of raising philanthropic funds for community services; financial information documenting these grants is included in tab 31, as well as a commitment letter from the Applicant committing funds to seed a Community Improvement Fund.  A diverse group of West Point leaders has agreed to serve as members of a Community Quarterback Board, to collaborate with GHA to improve community outcomes.  Two of the members are low-income residents, one also serves on the local GICH Board, and the others represent other important sectors in the West Point community.  Letters from each of these Board members are included in Tab 31.  
PLEASE NOTE: The 2021 Community Transformation Plan Certification posted on the DCA website as of 5/19/21 prints with a heading marked "2020". The applicant has used the correct 2021 form for this document, but the DCA template includes the incorrect year.</v>
      </c>
      <c r="G1740" s="2230"/>
      <c r="H1740" s="2230"/>
      <c r="I1740" s="2230"/>
      <c r="J1740" s="2230"/>
      <c r="K1740" s="2230"/>
      <c r="L1740" s="2230"/>
      <c r="M1740" s="2230"/>
      <c r="N1740" s="2230"/>
      <c r="O1740" s="2230"/>
      <c r="P1740" s="2310"/>
      <c r="Q1740" s="1856"/>
      <c r="R1740" s="1856"/>
      <c r="S1740" s="1856"/>
    </row>
    <row r="1741" spans="1:22" s="1818" customFormat="1" ht="10.5" customHeight="1">
      <c r="A1741" s="2308" t="s">
        <v>346</v>
      </c>
      <c r="B1741" s="1906" t="s">
        <v>4242</v>
      </c>
      <c r="C1741" s="1906"/>
      <c r="D1741" s="1906"/>
      <c r="E1741" s="2309">
        <f>'Part IX Scoring Criteria'!E22</f>
        <v>0</v>
      </c>
      <c r="F1741" s="2230" t="str">
        <f>'Part IX Scoring Criteria'!F22</f>
        <v>The applicant is not claiming points in this section, therefore it has been intentionally left blank.</v>
      </c>
      <c r="G1741" s="2230"/>
      <c r="H1741" s="2230"/>
      <c r="I1741" s="2230"/>
      <c r="J1741" s="2230"/>
      <c r="K1741" s="2230"/>
      <c r="L1741" s="2230"/>
      <c r="M1741" s="2230"/>
      <c r="N1741" s="2230"/>
      <c r="O1741" s="2230"/>
      <c r="P1741" s="2310"/>
      <c r="Q1741" s="1856"/>
      <c r="R1741" s="1856"/>
      <c r="S1741" s="1856"/>
    </row>
    <row r="1742" spans="1:22" s="1818" customFormat="1" ht="10.5" customHeight="1">
      <c r="A1742" s="2308" t="s">
        <v>4244</v>
      </c>
      <c r="B1742" s="1906" t="s">
        <v>3396</v>
      </c>
      <c r="C1742" s="1906"/>
      <c r="D1742" s="1906"/>
      <c r="E1742" s="2309">
        <f>'Part IX Scoring Criteria'!E23</f>
        <v>0</v>
      </c>
      <c r="F1742" s="2230" t="str">
        <f>'Part IX Scoring Criteria'!F23</f>
        <v>The applicant is not claiming points in this section, therefore it has been intentionally left blank.</v>
      </c>
      <c r="G1742" s="2230"/>
      <c r="H1742" s="2230"/>
      <c r="I1742" s="2230"/>
      <c r="J1742" s="2230"/>
      <c r="K1742" s="2230"/>
      <c r="L1742" s="2230"/>
      <c r="M1742" s="2230"/>
      <c r="N1742" s="2230"/>
      <c r="O1742" s="2230"/>
      <c r="P1742" s="2310"/>
      <c r="Q1742" s="1856"/>
      <c r="R1742" s="1856"/>
      <c r="S1742" s="1856"/>
    </row>
    <row r="1743" spans="1:22" s="1818" customFormat="1" ht="10.5" customHeight="1">
      <c r="A1743" s="2308" t="s">
        <v>4256</v>
      </c>
      <c r="B1743" s="1906" t="s">
        <v>4245</v>
      </c>
      <c r="C1743" s="1906"/>
      <c r="D1743" s="1906"/>
      <c r="E1743" s="2309">
        <f>'Part IX Scoring Criteria'!E24</f>
        <v>0</v>
      </c>
      <c r="F1743" s="2230" t="str">
        <f>'Part IX Scoring Criteria'!F24</f>
        <v>The applicant is not claiming points in this section, therefore it has been intentionally left blank.</v>
      </c>
      <c r="G1743" s="2230"/>
      <c r="H1743" s="2230"/>
      <c r="I1743" s="2230"/>
      <c r="J1743" s="2230"/>
      <c r="K1743" s="2230"/>
      <c r="L1743" s="2230"/>
      <c r="M1743" s="2230"/>
      <c r="N1743" s="2230"/>
      <c r="O1743" s="2230"/>
      <c r="P1743" s="2310"/>
      <c r="Q1743" s="1856"/>
      <c r="R1743" s="1856"/>
      <c r="S1743" s="1856"/>
    </row>
    <row r="1744" spans="1:22" s="1818" customFormat="1" ht="10.5" customHeight="1">
      <c r="A1744" s="2308" t="s">
        <v>6531</v>
      </c>
      <c r="B1744" s="1906" t="s">
        <v>4246</v>
      </c>
      <c r="C1744" s="1906"/>
      <c r="D1744" s="1906"/>
      <c r="E1744" s="2309">
        <f>'Part IX Scoring Criteria'!E25</f>
        <v>0</v>
      </c>
      <c r="F1744" s="2230" t="str">
        <f>'Part IX Scoring Criteria'!F25</f>
        <v>The applicant is not claiming points in this section, therefore it has been intentionally left blank.</v>
      </c>
      <c r="G1744" s="2230"/>
      <c r="H1744" s="2230"/>
      <c r="I1744" s="2230"/>
      <c r="J1744" s="2230"/>
      <c r="K1744" s="2230"/>
      <c r="L1744" s="2230"/>
      <c r="M1744" s="2230"/>
      <c r="N1744" s="2230"/>
      <c r="O1744" s="2230"/>
      <c r="P1744" s="2310"/>
      <c r="Q1744" s="1856"/>
      <c r="R1744" s="1856"/>
      <c r="S1744" s="1856"/>
    </row>
    <row r="1745" spans="1:33" s="1818" customFormat="1" ht="10.5" customHeight="1">
      <c r="A1745" s="2308" t="s">
        <v>3520</v>
      </c>
      <c r="B1745" s="1906" t="s">
        <v>3548</v>
      </c>
      <c r="C1745" s="1906"/>
      <c r="D1745" s="1906"/>
      <c r="E1745" s="2309">
        <f>'Part IX Scoring Criteria'!E26</f>
        <v>2</v>
      </c>
      <c r="F1745" s="2230" t="str">
        <f>'Part IX Scoring Criteria'!F26</f>
        <v>The proposed project site falls within the boundaries of the Troup County/Hogansville/LaGrange/West Point joint GICH Team. The GICH Team has provided a letter of support for this project, and this is the only project for which this GICH Team has provided a letter. The City of West Point has also provided a letter in support of this project and consenting to the GICH Team's support letter. Both letters are included in this application. Both the primary and secondary team contacts listed with UGA have departed their employment with their respective local governments after May 1 and were not available to execute this letter. The applicant has secured a GICH letter from the remaining GICH team member in support of this project.</v>
      </c>
      <c r="G1745" s="2230"/>
      <c r="H1745" s="2230"/>
      <c r="I1745" s="2230"/>
      <c r="J1745" s="2230"/>
      <c r="K1745" s="2230"/>
      <c r="L1745" s="2230"/>
      <c r="M1745" s="2230"/>
      <c r="N1745" s="2230"/>
      <c r="O1745" s="2230"/>
      <c r="P1745" s="2310"/>
      <c r="Q1745" s="1856"/>
      <c r="R1745" s="1856"/>
      <c r="S1745" s="1856"/>
    </row>
    <row r="1746" spans="1:33" s="1818" customFormat="1" ht="10.5" customHeight="1">
      <c r="A1746" s="2308" t="s">
        <v>3518</v>
      </c>
      <c r="B1746" s="1906" t="s">
        <v>3549</v>
      </c>
      <c r="C1746" s="1906"/>
      <c r="D1746" s="1906"/>
      <c r="E1746" s="2309">
        <f>'Part IX Scoring Criteria'!E27</f>
        <v>1</v>
      </c>
      <c r="F1746" s="2230" t="str">
        <f>'Part IX Scoring Criteria'!F27</f>
        <v xml:space="preserve">The applicant is not claiming points for any permanent sources of funds under Section A, therefore it has been intentionally left blank. The proposed project site is also the site of the first phase of this project, West Point Village Phase I. The site will be purchased by the West Point Housing Authority and ground leased separately to each phase. The applicant has site control by virtue of an option for a ground lease, which expires one year following the applicant being notified that it has received a tax credit award. </v>
      </c>
      <c r="G1746" s="2230"/>
      <c r="H1746" s="2230"/>
      <c r="I1746" s="2230"/>
      <c r="J1746" s="2230"/>
      <c r="K1746" s="2230"/>
      <c r="L1746" s="2230"/>
      <c r="M1746" s="2230"/>
      <c r="N1746" s="2230"/>
      <c r="O1746" s="2230"/>
      <c r="P1746" s="2310"/>
      <c r="Q1746" s="1856"/>
      <c r="R1746" s="1856"/>
      <c r="S1746" s="1856"/>
    </row>
    <row r="1747" spans="1:33" s="1818" customFormat="1" ht="10.5" customHeight="1">
      <c r="A1747" s="2308" t="s">
        <v>3518</v>
      </c>
      <c r="B1747" s="1906" t="s">
        <v>3550</v>
      </c>
      <c r="C1747" s="1906"/>
      <c r="D1747" s="1906"/>
      <c r="E1747" s="2309">
        <f>'Part IX Scoring Criteria'!E28</f>
        <v>0</v>
      </c>
      <c r="F1747" s="2230" t="str">
        <f>'Part IX Scoring Criteria'!F28</f>
        <v>The applicant is not claiming points in this section, therefore it has been intentionally left blank.</v>
      </c>
      <c r="G1747" s="2230"/>
      <c r="H1747" s="2230"/>
      <c r="I1747" s="2230"/>
      <c r="J1747" s="2230"/>
      <c r="K1747" s="2230"/>
      <c r="L1747" s="2230"/>
      <c r="M1747" s="2230"/>
      <c r="N1747" s="2230"/>
      <c r="O1747" s="2230"/>
      <c r="P1747" s="2310"/>
      <c r="Q1747" s="1856"/>
      <c r="R1747" s="1856"/>
      <c r="S1747" s="1856"/>
    </row>
    <row r="1748" spans="1:33" s="1818" customFormat="1" ht="10.5" customHeight="1">
      <c r="A1748" s="2308" t="s">
        <v>3525</v>
      </c>
      <c r="B1748" s="1906" t="s">
        <v>6361</v>
      </c>
      <c r="C1748" s="1906"/>
      <c r="D1748" s="1906"/>
      <c r="E1748" s="2309">
        <f>'Part IX Scoring Criteria'!E29</f>
        <v>0</v>
      </c>
      <c r="F1748" s="2230" t="str">
        <f>'Part IX Scoring Criteria'!F29</f>
        <v>The applicant is not claiming points in this section, therefore it has been intentionally left blank.</v>
      </c>
      <c r="G1748" s="2230"/>
      <c r="H1748" s="2230"/>
      <c r="I1748" s="2230"/>
      <c r="J1748" s="2230"/>
      <c r="K1748" s="2230"/>
      <c r="L1748" s="2230"/>
      <c r="M1748" s="2230"/>
      <c r="N1748" s="2230"/>
      <c r="O1748" s="2230"/>
      <c r="P1748" s="2310"/>
      <c r="Q1748" s="1856"/>
      <c r="R1748" s="1856"/>
      <c r="S1748" s="1856"/>
    </row>
    <row r="1749" spans="1:33" s="1853" customFormat="1" ht="5.25" customHeight="1">
      <c r="C1749" s="2115"/>
      <c r="D1749" s="2115"/>
      <c r="E1749" s="2115"/>
      <c r="F1749" s="2115"/>
      <c r="G1749" s="1842"/>
      <c r="H1749" s="2115"/>
      <c r="I1749" s="2115"/>
      <c r="J1749" s="2115"/>
      <c r="K1749" s="2115"/>
    </row>
    <row r="1750" spans="1:33" s="1853" customFormat="1" ht="12.75" customHeight="1">
      <c r="A1750" s="2307" t="s">
        <v>710</v>
      </c>
      <c r="B1750" s="2154" t="s">
        <v>6369</v>
      </c>
      <c r="C1750" s="2285"/>
      <c r="D1750" s="2115"/>
      <c r="E1750" s="2115"/>
      <c r="F1750" s="2115"/>
      <c r="G1750" s="2160" t="s">
        <v>6353</v>
      </c>
      <c r="H1750" s="2160"/>
      <c r="I1750" s="2160" t="s">
        <v>932</v>
      </c>
      <c r="J1750" s="2160"/>
      <c r="K1750" s="2311" t="s">
        <v>6354</v>
      </c>
      <c r="L1750" s="1974"/>
      <c r="M1750" s="1968" t="s">
        <v>6370</v>
      </c>
      <c r="N1750" s="1968"/>
      <c r="O1750" s="1968"/>
      <c r="P1750" s="1968"/>
      <c r="Q1750" s="1968"/>
      <c r="R1750" s="2312"/>
      <c r="S1750" s="2313" t="s">
        <v>6369</v>
      </c>
      <c r="T1750" s="2312"/>
      <c r="U1750" s="2312"/>
      <c r="V1750" s="2312"/>
      <c r="W1750" s="1754"/>
      <c r="X1750" s="4751" t="s">
        <v>6353</v>
      </c>
      <c r="Y1750" s="4752"/>
      <c r="Z1750" s="4751" t="s">
        <v>932</v>
      </c>
      <c r="AA1750" s="4752"/>
      <c r="AB1750" s="2314" t="s">
        <v>6354</v>
      </c>
      <c r="AC1750" s="4751" t="s">
        <v>6353</v>
      </c>
      <c r="AD1750" s="4752"/>
      <c r="AE1750" s="4751" t="s">
        <v>932</v>
      </c>
      <c r="AF1750" s="4752"/>
      <c r="AG1750" s="2314" t="s">
        <v>6354</v>
      </c>
    </row>
    <row r="1751" spans="1:33" s="1853" customFormat="1" ht="11.25" customHeight="1">
      <c r="A1751" s="2113"/>
      <c r="B1751" s="2161"/>
      <c r="C1751" s="2113"/>
      <c r="D1751" s="2113"/>
      <c r="E1751" s="2113"/>
      <c r="F1751" s="2113"/>
      <c r="G1751" s="2315">
        <v>0.09</v>
      </c>
      <c r="H1751" s="2315">
        <v>0.04</v>
      </c>
      <c r="I1751" s="2315">
        <v>0.09</v>
      </c>
      <c r="J1751" s="2315">
        <v>0.04</v>
      </c>
      <c r="K1751" s="2315">
        <v>0.09</v>
      </c>
      <c r="L1751" s="1974"/>
      <c r="M1751" s="1865" t="str">
        <f>'Part IX Scoring Criteria'!M32</f>
        <v>9% Credit Competitive Round only</v>
      </c>
      <c r="N1751" s="1865"/>
      <c r="O1751" s="1865"/>
      <c r="P1751" s="1865"/>
      <c r="Q1751" s="1968"/>
      <c r="R1751" s="1829"/>
      <c r="S1751" s="2316"/>
      <c r="T1751" s="1829"/>
      <c r="U1751" s="1829"/>
      <c r="V1751" s="1829"/>
      <c r="W1751" s="1829"/>
      <c r="X1751" s="2317">
        <v>0.09</v>
      </c>
      <c r="Y1751" s="2317">
        <v>0.04</v>
      </c>
      <c r="Z1751" s="2317">
        <v>0.09</v>
      </c>
      <c r="AA1751" s="2317">
        <v>0.04</v>
      </c>
      <c r="AB1751" s="2317">
        <v>0.09</v>
      </c>
      <c r="AC1751" s="2317">
        <v>0.09</v>
      </c>
      <c r="AD1751" s="2317">
        <v>0.04</v>
      </c>
      <c r="AE1751" s="2317">
        <v>0.09</v>
      </c>
      <c r="AF1751" s="2317">
        <v>0.04</v>
      </c>
      <c r="AG1751" s="2317">
        <v>0.09</v>
      </c>
    </row>
    <row r="1752" spans="1:33" s="1853" customFormat="1" ht="10.5" customHeight="1">
      <c r="A1752" s="2030" t="s">
        <v>712</v>
      </c>
      <c r="B1752" s="2085" t="s">
        <v>6355</v>
      </c>
      <c r="C1752" s="1968"/>
      <c r="D1752" s="2113"/>
      <c r="E1752" s="2113"/>
      <c r="F1752" s="2113"/>
      <c r="G1752" s="2146">
        <v>10</v>
      </c>
      <c r="H1752" s="2146"/>
      <c r="I1752" s="2146">
        <v>10</v>
      </c>
      <c r="J1752" s="2146"/>
      <c r="K1752" s="2146">
        <v>10</v>
      </c>
      <c r="L1752" s="1974"/>
      <c r="M1752" s="1968" t="s">
        <v>6371</v>
      </c>
      <c r="N1752" s="1974"/>
      <c r="O1752" s="1974"/>
      <c r="P1752" s="2318" t="str">
        <f>'Part IX Scoring Criteria'!P33</f>
        <v>9%</v>
      </c>
      <c r="Q1752" s="1974"/>
      <c r="R1752" s="2319" t="s">
        <v>712</v>
      </c>
      <c r="S1752" s="2320" t="s">
        <v>6355</v>
      </c>
      <c r="T1752" s="2321"/>
      <c r="U1752" s="2322"/>
      <c r="V1752" s="2322"/>
      <c r="W1752" s="2322"/>
      <c r="X1752" s="2323">
        <f>O1778</f>
        <v>10</v>
      </c>
      <c r="Y1752" s="2324"/>
      <c r="Z1752" s="2325">
        <f>O1778</f>
        <v>10</v>
      </c>
      <c r="AA1752" s="2324"/>
      <c r="AB1752" s="2326">
        <f>O1778</f>
        <v>10</v>
      </c>
      <c r="AC1752" s="2327">
        <f>P1778</f>
        <v>10</v>
      </c>
      <c r="AD1752" s="2324"/>
      <c r="AE1752" s="2325">
        <f>P1778</f>
        <v>10</v>
      </c>
      <c r="AF1752" s="2324"/>
      <c r="AG1752" s="2328">
        <f>P1778</f>
        <v>10</v>
      </c>
    </row>
    <row r="1753" spans="1:33" s="1853" customFormat="1" ht="10.5" customHeight="1">
      <c r="A1753" s="2030" t="s">
        <v>1711</v>
      </c>
      <c r="B1753" s="2085" t="s">
        <v>6356</v>
      </c>
      <c r="C1753" s="1968"/>
      <c r="D1753" s="2113"/>
      <c r="E1753" s="2113"/>
      <c r="F1753" s="2113"/>
      <c r="G1753" s="2146">
        <v>3</v>
      </c>
      <c r="H1753" s="2146">
        <v>3</v>
      </c>
      <c r="I1753" s="2146">
        <v>3</v>
      </c>
      <c r="J1753" s="2146">
        <v>3</v>
      </c>
      <c r="K1753" s="2146"/>
      <c r="L1753" s="1974"/>
      <c r="M1753" s="1968" t="s">
        <v>6375</v>
      </c>
      <c r="N1753" s="1968"/>
      <c r="O1753" s="1968"/>
      <c r="P1753" s="1968"/>
      <c r="Q1753" s="1974"/>
      <c r="R1753" s="2319" t="s">
        <v>1711</v>
      </c>
      <c r="S1753" s="2329" t="s">
        <v>6356</v>
      </c>
      <c r="T1753" s="2330"/>
      <c r="U1753" s="2331"/>
      <c r="V1753" s="2331"/>
      <c r="W1753" s="2331"/>
      <c r="X1753" s="2332">
        <f>O1803</f>
        <v>3</v>
      </c>
      <c r="Y1753" s="2333">
        <f>O1803</f>
        <v>3</v>
      </c>
      <c r="Z1753" s="2332">
        <f>O1803</f>
        <v>3</v>
      </c>
      <c r="AA1753" s="2332">
        <f>O1803</f>
        <v>3</v>
      </c>
      <c r="AB1753" s="2334"/>
      <c r="AC1753" s="2335">
        <f>P1803</f>
        <v>0</v>
      </c>
      <c r="AD1753" s="2333">
        <f>P1803</f>
        <v>0</v>
      </c>
      <c r="AE1753" s="2332">
        <f>P1803</f>
        <v>0</v>
      </c>
      <c r="AF1753" s="2333">
        <f>P1803</f>
        <v>0</v>
      </c>
      <c r="AG1753" s="2336"/>
    </row>
    <row r="1754" spans="1:33" s="1853" customFormat="1" ht="10.5" customHeight="1">
      <c r="A1754" s="2030" t="s">
        <v>1713</v>
      </c>
      <c r="B1754" s="2085" t="s">
        <v>3545</v>
      </c>
      <c r="C1754" s="1968"/>
      <c r="D1754" s="2113"/>
      <c r="E1754" s="2113"/>
      <c r="F1754" s="2113"/>
      <c r="G1754" s="2146">
        <v>20</v>
      </c>
      <c r="H1754" s="2146">
        <v>12</v>
      </c>
      <c r="I1754" s="2146"/>
      <c r="J1754" s="2146"/>
      <c r="K1754" s="2146"/>
      <c r="L1754" s="1974"/>
      <c r="M1754" s="1968" t="s">
        <v>6379</v>
      </c>
      <c r="N1754" s="1974"/>
      <c r="O1754" s="1974"/>
      <c r="P1754" s="2045" t="str">
        <f>'Part IX Scoring Criteria'!P35</f>
        <v>No</v>
      </c>
      <c r="Q1754" s="1974"/>
      <c r="R1754" s="2319" t="s">
        <v>1713</v>
      </c>
      <c r="S1754" s="2329" t="s">
        <v>3545</v>
      </c>
      <c r="T1754" s="2330"/>
      <c r="U1754" s="2331"/>
      <c r="V1754" s="2331"/>
      <c r="W1754" s="2331"/>
      <c r="X1754" s="2337">
        <f>O1817</f>
        <v>20</v>
      </c>
      <c r="Y1754" s="2338">
        <f>O1817</f>
        <v>20</v>
      </c>
      <c r="Z1754" s="2339"/>
      <c r="AA1754" s="2340"/>
      <c r="AB1754" s="2334"/>
      <c r="AC1754" s="2341">
        <f>P1817</f>
        <v>0</v>
      </c>
      <c r="AD1754" s="2338">
        <f>P1817</f>
        <v>0</v>
      </c>
      <c r="AE1754" s="2339"/>
      <c r="AF1754" s="2340"/>
      <c r="AG1754" s="2336"/>
    </row>
    <row r="1755" spans="1:33" s="1853" customFormat="1" ht="10.5" customHeight="1">
      <c r="A1755" s="2030" t="s">
        <v>505</v>
      </c>
      <c r="B1755" s="2085" t="s">
        <v>4241</v>
      </c>
      <c r="C1755" s="1968"/>
      <c r="D1755" s="2113"/>
      <c r="E1755" s="2113"/>
      <c r="F1755" s="2113"/>
      <c r="G1755" s="2146">
        <v>6</v>
      </c>
      <c r="H1755" s="2146">
        <v>4</v>
      </c>
      <c r="I1755" s="2146"/>
      <c r="J1755" s="2146"/>
      <c r="K1755" s="2146"/>
      <c r="L1755" s="1974"/>
      <c r="M1755" s="1968" t="s">
        <v>932</v>
      </c>
      <c r="N1755" s="1974"/>
      <c r="O1755" s="1974"/>
      <c r="P1755" s="2045" t="str">
        <f>'Part IX Scoring Criteria'!P36</f>
        <v>No</v>
      </c>
      <c r="Q1755" s="1974"/>
      <c r="R1755" s="2319" t="s">
        <v>505</v>
      </c>
      <c r="S1755" s="2329" t="s">
        <v>4241</v>
      </c>
      <c r="T1755" s="2330"/>
      <c r="U1755" s="2331"/>
      <c r="V1755" s="2331"/>
      <c r="W1755" s="2331"/>
      <c r="X1755" s="2337">
        <f>O1827</f>
        <v>2</v>
      </c>
      <c r="Y1755" s="2338">
        <f>O1827</f>
        <v>2</v>
      </c>
      <c r="Z1755" s="2339"/>
      <c r="AA1755" s="2340"/>
      <c r="AB1755" s="2334"/>
      <c r="AC1755" s="2341">
        <f>P1827</f>
        <v>0</v>
      </c>
      <c r="AD1755" s="2338">
        <f>P1827</f>
        <v>0</v>
      </c>
      <c r="AE1755" s="2339"/>
      <c r="AF1755" s="2340"/>
      <c r="AG1755" s="2336"/>
    </row>
    <row r="1756" spans="1:33" s="1853" customFormat="1" ht="10.5" customHeight="1">
      <c r="A1756" s="2030" t="s">
        <v>742</v>
      </c>
      <c r="B1756" s="2085" t="s">
        <v>3484</v>
      </c>
      <c r="C1756" s="1968"/>
      <c r="D1756" s="2113"/>
      <c r="E1756" s="2113"/>
      <c r="F1756" s="2113"/>
      <c r="G1756" s="2146">
        <v>3</v>
      </c>
      <c r="H1756" s="2146">
        <v>2</v>
      </c>
      <c r="I1756" s="2146"/>
      <c r="J1756" s="2146"/>
      <c r="K1756" s="2146"/>
      <c r="L1756" s="1974"/>
      <c r="M1756" s="1968" t="s">
        <v>6380</v>
      </c>
      <c r="N1756" s="1974"/>
      <c r="O1756" s="1974"/>
      <c r="P1756" s="2045" t="str">
        <f>'Part IX Scoring Criteria'!P37</f>
        <v>No</v>
      </c>
      <c r="Q1756" s="1974"/>
      <c r="R1756" s="2319" t="s">
        <v>742</v>
      </c>
      <c r="S1756" s="2329" t="s">
        <v>3484</v>
      </c>
      <c r="T1756" s="2330"/>
      <c r="U1756" s="2331"/>
      <c r="V1756" s="2331"/>
      <c r="W1756" s="2331"/>
      <c r="X1756" s="2339">
        <f>O1866</f>
        <v>0</v>
      </c>
      <c r="Y1756" s="2340">
        <f>O1866</f>
        <v>0</v>
      </c>
      <c r="Z1756" s="2339"/>
      <c r="AA1756" s="2340"/>
      <c r="AB1756" s="2334"/>
      <c r="AC1756" s="2342">
        <f>P1866</f>
        <v>0</v>
      </c>
      <c r="AD1756" s="2340">
        <f>P1866</f>
        <v>0</v>
      </c>
      <c r="AE1756" s="2339"/>
      <c r="AF1756" s="2340"/>
      <c r="AG1756" s="2336"/>
    </row>
    <row r="1757" spans="1:33" s="1853" customFormat="1" ht="10.5" customHeight="1">
      <c r="A1757" s="2030" t="s">
        <v>281</v>
      </c>
      <c r="B1757" s="2085" t="s">
        <v>3546</v>
      </c>
      <c r="C1757" s="1968"/>
      <c r="D1757" s="2113"/>
      <c r="E1757" s="2113"/>
      <c r="F1757" s="2113"/>
      <c r="G1757" s="2146">
        <v>7</v>
      </c>
      <c r="H1757" s="2146">
        <v>5</v>
      </c>
      <c r="I1757" s="2146"/>
      <c r="J1757" s="2146"/>
      <c r="K1757" s="2146"/>
      <c r="L1757" s="1974"/>
      <c r="M1757" s="1968" t="s">
        <v>2532</v>
      </c>
      <c r="N1757" s="1974"/>
      <c r="O1757" s="1974"/>
      <c r="P1757" s="2045" t="str">
        <f>'Part IX Scoring Criteria'!P38</f>
        <v>No</v>
      </c>
      <c r="Q1757" s="1974"/>
      <c r="R1757" s="2319" t="s">
        <v>281</v>
      </c>
      <c r="S1757" s="2329" t="s">
        <v>3546</v>
      </c>
      <c r="T1757" s="2330"/>
      <c r="U1757" s="2331"/>
      <c r="V1757" s="2331"/>
      <c r="W1757" s="2331"/>
      <c r="X1757" s="2332">
        <f>O1882</f>
        <v>6</v>
      </c>
      <c r="Y1757" s="2333">
        <f>O1882</f>
        <v>6</v>
      </c>
      <c r="Z1757" s="2339"/>
      <c r="AA1757" s="2340"/>
      <c r="AB1757" s="2334"/>
      <c r="AC1757" s="2335">
        <f>P1882</f>
        <v>0</v>
      </c>
      <c r="AD1757" s="2333">
        <f>P1882</f>
        <v>0</v>
      </c>
      <c r="AE1757" s="2339"/>
      <c r="AF1757" s="2340"/>
      <c r="AG1757" s="2336"/>
    </row>
    <row r="1758" spans="1:33" s="1853" customFormat="1" ht="10.5" customHeight="1">
      <c r="A1758" s="2030" t="s">
        <v>407</v>
      </c>
      <c r="B1758" s="2085" t="s">
        <v>3547</v>
      </c>
      <c r="C1758" s="1968"/>
      <c r="D1758" s="2113"/>
      <c r="E1758" s="2113"/>
      <c r="F1758" s="2113"/>
      <c r="G1758" s="2146">
        <v>3</v>
      </c>
      <c r="H1758" s="2146"/>
      <c r="I1758" s="2146"/>
      <c r="J1758" s="2146"/>
      <c r="K1758" s="2146"/>
      <c r="L1758" s="1974"/>
      <c r="M1758" s="1968" t="s">
        <v>6536</v>
      </c>
      <c r="P1758" s="2165" t="str">
        <f>'Part III-Sources of Funds'!$L$14</f>
        <v>Yes</v>
      </c>
      <c r="Q1758" s="1974"/>
      <c r="R1758" s="2319" t="s">
        <v>407</v>
      </c>
      <c r="S1758" s="2329" t="s">
        <v>3547</v>
      </c>
      <c r="T1758" s="2330"/>
      <c r="U1758" s="2331"/>
      <c r="V1758" s="2331"/>
      <c r="W1758" s="2331"/>
      <c r="X1758" s="2339"/>
      <c r="Y1758" s="2340"/>
      <c r="Z1758" s="2339"/>
      <c r="AA1758" s="2340"/>
      <c r="AB1758" s="2334"/>
      <c r="AC1758" s="2335">
        <f>P1903</f>
        <v>0</v>
      </c>
      <c r="AD1758" s="2340"/>
      <c r="AE1758" s="2339"/>
      <c r="AF1758" s="2340"/>
      <c r="AG1758" s="2336"/>
    </row>
    <row r="1759" spans="1:33" s="1853" customFormat="1" ht="10.5" customHeight="1">
      <c r="A1759" s="2030" t="s">
        <v>346</v>
      </c>
      <c r="B1759" s="2085" t="s">
        <v>4242</v>
      </c>
      <c r="C1759" s="1968"/>
      <c r="D1759" s="2113"/>
      <c r="E1759" s="2113"/>
      <c r="F1759" s="2113"/>
      <c r="G1759" s="2146">
        <v>10</v>
      </c>
      <c r="H1759" s="2146">
        <v>5</v>
      </c>
      <c r="I1759" s="2146"/>
      <c r="J1759" s="2146"/>
      <c r="K1759" s="2146"/>
      <c r="L1759" s="1974"/>
      <c r="M1759" s="1865" t="s">
        <v>6537</v>
      </c>
      <c r="N1759" s="1865"/>
      <c r="O1759" s="2115"/>
      <c r="P1759" s="2045" t="str">
        <f>'Part IX Scoring Criteria'!P40</f>
        <v>No</v>
      </c>
      <c r="Q1759" s="1974"/>
      <c r="R1759" s="2319" t="s">
        <v>346</v>
      </c>
      <c r="S1759" s="2329" t="s">
        <v>4242</v>
      </c>
      <c r="T1759" s="2330"/>
      <c r="U1759" s="2331"/>
      <c r="V1759" s="2331"/>
      <c r="W1759" s="2331"/>
      <c r="X1759" s="2332">
        <f>O1918</f>
        <v>0</v>
      </c>
      <c r="Y1759" s="2333">
        <f>O1918</f>
        <v>0</v>
      </c>
      <c r="Z1759" s="2339"/>
      <c r="AA1759" s="2340"/>
      <c r="AB1759" s="2334"/>
      <c r="AC1759" s="2335">
        <f>P1918</f>
        <v>0</v>
      </c>
      <c r="AD1759" s="2333">
        <f>P1918</f>
        <v>0</v>
      </c>
      <c r="AE1759" s="2339"/>
      <c r="AF1759" s="2340"/>
      <c r="AG1759" s="2336"/>
    </row>
    <row r="1760" spans="1:33" s="1853" customFormat="1" ht="10.5" customHeight="1">
      <c r="A1760" s="2030" t="s">
        <v>347</v>
      </c>
      <c r="B1760" s="2085" t="s">
        <v>6357</v>
      </c>
      <c r="C1760" s="1968"/>
      <c r="D1760" s="2113"/>
      <c r="E1760" s="2113"/>
      <c r="F1760" s="2113"/>
      <c r="G1760" s="2146">
        <v>1</v>
      </c>
      <c r="H1760" s="2146"/>
      <c r="I1760" s="2146"/>
      <c r="J1760" s="2146"/>
      <c r="K1760" s="2146"/>
      <c r="L1760" s="1974"/>
      <c r="Q1760" s="1974"/>
      <c r="R1760" s="2319" t="s">
        <v>347</v>
      </c>
      <c r="S1760" s="2329" t="s">
        <v>6357</v>
      </c>
      <c r="T1760" s="2330"/>
      <c r="U1760" s="2331"/>
      <c r="V1760" s="2331"/>
      <c r="W1760" s="2331"/>
      <c r="X1760" s="2332">
        <f>O1939</f>
        <v>1</v>
      </c>
      <c r="Y1760" s="2340"/>
      <c r="Z1760" s="2339"/>
      <c r="AA1760" s="2340"/>
      <c r="AB1760" s="2334"/>
      <c r="AC1760" s="2335">
        <f>P1939</f>
        <v>0</v>
      </c>
      <c r="AD1760" s="2340"/>
      <c r="AE1760" s="2339"/>
      <c r="AF1760" s="2340"/>
      <c r="AG1760" s="2336"/>
    </row>
    <row r="1761" spans="1:33" s="1853" customFormat="1" ht="10.5" customHeight="1">
      <c r="A1761" s="2030" t="s">
        <v>348</v>
      </c>
      <c r="B1761" s="2085" t="s">
        <v>3396</v>
      </c>
      <c r="C1761" s="1968"/>
      <c r="D1761" s="2113"/>
      <c r="E1761" s="2113"/>
      <c r="F1761" s="2113"/>
      <c r="G1761" s="2146">
        <v>10</v>
      </c>
      <c r="H1761" s="2146">
        <v>5</v>
      </c>
      <c r="I1761" s="2146"/>
      <c r="J1761" s="2146"/>
      <c r="K1761" s="2146"/>
      <c r="L1761" s="1974"/>
      <c r="P1761" s="2030" t="s">
        <v>6544</v>
      </c>
      <c r="Q1761" s="1974"/>
      <c r="R1761" s="2319" t="s">
        <v>348</v>
      </c>
      <c r="S1761" s="2329" t="s">
        <v>3396</v>
      </c>
      <c r="T1761" s="2330"/>
      <c r="U1761" s="2331"/>
      <c r="V1761" s="2331"/>
      <c r="W1761" s="2331"/>
      <c r="X1761" s="2332">
        <f>O1947</f>
        <v>0</v>
      </c>
      <c r="Y1761" s="2333">
        <f>O1947</f>
        <v>0</v>
      </c>
      <c r="Z1761" s="2339"/>
      <c r="AA1761" s="2340"/>
      <c r="AB1761" s="2334"/>
      <c r="AC1761" s="2335">
        <f>P1947</f>
        <v>0</v>
      </c>
      <c r="AD1761" s="2333">
        <f>P1947</f>
        <v>0</v>
      </c>
      <c r="AE1761" s="2339"/>
      <c r="AF1761" s="2340"/>
      <c r="AG1761" s="2336"/>
    </row>
    <row r="1762" spans="1:33" s="1853" customFormat="1" ht="10.5" customHeight="1">
      <c r="A1762" s="2030" t="s">
        <v>1648</v>
      </c>
      <c r="B1762" s="2085" t="s">
        <v>6358</v>
      </c>
      <c r="C1762" s="1968"/>
      <c r="D1762" s="2113"/>
      <c r="E1762" s="2113"/>
      <c r="F1762" s="2113"/>
      <c r="G1762" s="2146">
        <v>3</v>
      </c>
      <c r="H1762" s="2146"/>
      <c r="I1762" s="2146"/>
      <c r="J1762" s="2146"/>
      <c r="K1762" s="2146"/>
      <c r="L1762" s="1974"/>
      <c r="M1762" s="435" t="str">
        <f>'Part IX Scoring Criteria'!M43</f>
        <v>New Supply</v>
      </c>
      <c r="N1762" s="435"/>
      <c r="O1762" s="435"/>
      <c r="P1762" s="435"/>
      <c r="Q1762" s="1974"/>
      <c r="R1762" s="2319" t="s">
        <v>1648</v>
      </c>
      <c r="S1762" s="2329" t="s">
        <v>6358</v>
      </c>
      <c r="T1762" s="2330"/>
      <c r="U1762" s="2331"/>
      <c r="V1762" s="2331"/>
      <c r="W1762" s="2331"/>
      <c r="X1762" s="2332">
        <f>O1956</f>
        <v>0</v>
      </c>
      <c r="Y1762" s="2340"/>
      <c r="Z1762" s="2339"/>
      <c r="AA1762" s="2340"/>
      <c r="AB1762" s="2334"/>
      <c r="AC1762" s="2335">
        <f>P1956</f>
        <v>0</v>
      </c>
      <c r="AD1762" s="2340"/>
      <c r="AE1762" s="2339"/>
      <c r="AF1762" s="2340"/>
      <c r="AG1762" s="2336"/>
    </row>
    <row r="1763" spans="1:33" s="1853" customFormat="1" ht="10.5" customHeight="1">
      <c r="A1763" s="2030" t="s">
        <v>3519</v>
      </c>
      <c r="B1763" s="2085" t="s">
        <v>4246</v>
      </c>
      <c r="C1763" s="1968"/>
      <c r="D1763" s="2113"/>
      <c r="E1763" s="2113"/>
      <c r="F1763" s="2113"/>
      <c r="G1763" s="2146">
        <v>5</v>
      </c>
      <c r="H1763" s="2146"/>
      <c r="I1763" s="2146"/>
      <c r="J1763" s="2146"/>
      <c r="K1763" s="2146"/>
      <c r="L1763" s="1974"/>
      <c r="P1763" s="2030" t="s">
        <v>3380</v>
      </c>
      <c r="Q1763" s="1974"/>
      <c r="R1763" s="2319" t="s">
        <v>3519</v>
      </c>
      <c r="S1763" s="2329" t="s">
        <v>4246</v>
      </c>
      <c r="T1763" s="2330"/>
      <c r="U1763" s="2331"/>
      <c r="V1763" s="2331"/>
      <c r="W1763" s="2331"/>
      <c r="X1763" s="2332">
        <f>O1966</f>
        <v>0</v>
      </c>
      <c r="Y1763" s="2340"/>
      <c r="Z1763" s="2339"/>
      <c r="AA1763" s="2340"/>
      <c r="AB1763" s="2334"/>
      <c r="AC1763" s="2335">
        <f>P1966</f>
        <v>0</v>
      </c>
      <c r="AD1763" s="2340"/>
      <c r="AE1763" s="2339"/>
      <c r="AF1763" s="2340"/>
      <c r="AG1763" s="2336"/>
    </row>
    <row r="1764" spans="1:33" s="1853" customFormat="1" ht="10.5" customHeight="1">
      <c r="A1764" s="2030" t="s">
        <v>2148</v>
      </c>
      <c r="B1764" s="2085" t="s">
        <v>3966</v>
      </c>
      <c r="C1764" s="1968"/>
      <c r="D1764" s="2113"/>
      <c r="E1764" s="2113"/>
      <c r="F1764" s="2113"/>
      <c r="G1764" s="2146">
        <v>4</v>
      </c>
      <c r="H1764" s="2146">
        <v>4</v>
      </c>
      <c r="I1764" s="2146">
        <v>4</v>
      </c>
      <c r="J1764" s="2146">
        <v>4</v>
      </c>
      <c r="K1764" s="2146">
        <v>4</v>
      </c>
      <c r="L1764" s="2343"/>
      <c r="M1764" s="1968" t="s">
        <v>7169</v>
      </c>
      <c r="N1764" s="1974"/>
      <c r="P1764" s="2344">
        <f>'Part IX Scoring Criteria'!P45</f>
        <v>72</v>
      </c>
      <c r="R1764" s="2319" t="s">
        <v>2148</v>
      </c>
      <c r="S1764" s="2329" t="s">
        <v>3966</v>
      </c>
      <c r="T1764" s="2330"/>
      <c r="U1764" s="2331"/>
      <c r="V1764" s="2331"/>
      <c r="W1764" s="2331"/>
      <c r="X1764" s="2332">
        <f>O1975</f>
        <v>4</v>
      </c>
      <c r="Y1764" s="2333">
        <f>O1975</f>
        <v>4</v>
      </c>
      <c r="Z1764" s="2332">
        <f>O1975</f>
        <v>4</v>
      </c>
      <c r="AA1764" s="2333">
        <f>O1975</f>
        <v>4</v>
      </c>
      <c r="AB1764" s="2345">
        <f>O1975</f>
        <v>4</v>
      </c>
      <c r="AC1764" s="2335">
        <f>P1975</f>
        <v>0</v>
      </c>
      <c r="AD1764" s="2333">
        <f>P1975</f>
        <v>0</v>
      </c>
      <c r="AE1764" s="2332">
        <f>P1975</f>
        <v>0</v>
      </c>
      <c r="AF1764" s="2333">
        <f>P1975</f>
        <v>0</v>
      </c>
      <c r="AG1764" s="2346">
        <f>P1975</f>
        <v>0</v>
      </c>
    </row>
    <row r="1765" spans="1:33" s="1853" customFormat="1" ht="10.5" customHeight="1">
      <c r="A1765" s="2030" t="s">
        <v>3519</v>
      </c>
      <c r="B1765" s="2085" t="s">
        <v>6359</v>
      </c>
      <c r="C1765" s="1968"/>
      <c r="D1765" s="2113"/>
      <c r="E1765" s="2113"/>
      <c r="F1765" s="2113"/>
      <c r="G1765" s="2146">
        <v>2</v>
      </c>
      <c r="H1765" s="2146"/>
      <c r="I1765" s="2146">
        <v>2</v>
      </c>
      <c r="J1765" s="2146"/>
      <c r="K1765" s="2146"/>
      <c r="L1765" s="1974"/>
      <c r="M1765" s="1968" t="s">
        <v>6574</v>
      </c>
      <c r="N1765" s="1876"/>
      <c r="O1765" s="1876"/>
      <c r="P1765" s="2344">
        <f>'Part IX Scoring Criteria'!P46</f>
        <v>0</v>
      </c>
      <c r="Q1765" s="1974"/>
      <c r="R1765" s="2319" t="s">
        <v>3519</v>
      </c>
      <c r="S1765" s="2329" t="s">
        <v>6359</v>
      </c>
      <c r="T1765" s="2330"/>
      <c r="U1765" s="2331"/>
      <c r="V1765" s="2331"/>
      <c r="W1765" s="2331"/>
      <c r="X1765" s="2332"/>
      <c r="Y1765" s="2340"/>
      <c r="Z1765" s="2339"/>
      <c r="AA1765" s="2340"/>
      <c r="AB1765" s="2334"/>
      <c r="AC1765" s="2342">
        <f>P1988</f>
        <v>0</v>
      </c>
      <c r="AD1765" s="2340"/>
      <c r="AE1765" s="2339">
        <f>P1988</f>
        <v>0</v>
      </c>
      <c r="AF1765" s="2340"/>
      <c r="AG1765" s="2336"/>
    </row>
    <row r="1766" spans="1:33" s="1853" customFormat="1" ht="10.5" customHeight="1">
      <c r="A1766" s="2030" t="s">
        <v>3520</v>
      </c>
      <c r="B1766" s="2085" t="s">
        <v>3548</v>
      </c>
      <c r="C1766" s="1968"/>
      <c r="D1766" s="2113"/>
      <c r="E1766" s="2113"/>
      <c r="F1766" s="2113"/>
      <c r="G1766" s="2146">
        <v>2</v>
      </c>
      <c r="H1766" s="2146"/>
      <c r="I1766" s="2146">
        <v>2</v>
      </c>
      <c r="J1766" s="2146"/>
      <c r="K1766" s="2146">
        <v>2</v>
      </c>
      <c r="L1766" s="1974"/>
      <c r="M1766" s="2128" t="s">
        <v>7092</v>
      </c>
      <c r="N1766" s="2128"/>
      <c r="O1766" s="2128"/>
      <c r="P1766" s="2128"/>
      <c r="Q1766" s="458"/>
      <c r="R1766" s="2319" t="s">
        <v>3520</v>
      </c>
      <c r="S1766" s="2329" t="s">
        <v>3548</v>
      </c>
      <c r="T1766" s="2330"/>
      <c r="U1766" s="2331"/>
      <c r="V1766" s="2331"/>
      <c r="W1766" s="2331"/>
      <c r="X1766" s="2332">
        <f>O2005</f>
        <v>2</v>
      </c>
      <c r="Y1766" s="2340"/>
      <c r="Z1766" s="2332">
        <f>O2005</f>
        <v>2</v>
      </c>
      <c r="AA1766" s="2340"/>
      <c r="AB1766" s="2345">
        <f>O2005</f>
        <v>2</v>
      </c>
      <c r="AC1766" s="2335">
        <f>P2005</f>
        <v>0</v>
      </c>
      <c r="AD1766" s="2340"/>
      <c r="AE1766" s="2332">
        <f>P2005</f>
        <v>0</v>
      </c>
      <c r="AF1766" s="2340"/>
      <c r="AG1766" s="2346">
        <f>P2005</f>
        <v>0</v>
      </c>
    </row>
    <row r="1767" spans="1:33" s="1853" customFormat="1" ht="10.5" customHeight="1">
      <c r="A1767" s="2030" t="s">
        <v>3518</v>
      </c>
      <c r="B1767" s="2085" t="s">
        <v>3549</v>
      </c>
      <c r="C1767" s="1968"/>
      <c r="D1767" s="2113"/>
      <c r="E1767" s="2113"/>
      <c r="F1767" s="2113"/>
      <c r="G1767" s="2146">
        <v>4</v>
      </c>
      <c r="H1767" s="2146">
        <v>4</v>
      </c>
      <c r="I1767" s="2146">
        <v>4</v>
      </c>
      <c r="J1767" s="2146">
        <v>4</v>
      </c>
      <c r="K1767" s="2146">
        <v>4</v>
      </c>
      <c r="L1767" s="1974"/>
      <c r="M1767" s="2128"/>
      <c r="N1767" s="2128"/>
      <c r="O1767" s="2128"/>
      <c r="P1767" s="2128"/>
      <c r="R1767" s="2319" t="s">
        <v>3518</v>
      </c>
      <c r="S1767" s="2329" t="s">
        <v>3549</v>
      </c>
      <c r="T1767" s="2330"/>
      <c r="U1767" s="2331"/>
      <c r="V1767" s="2331"/>
      <c r="W1767" s="2331"/>
      <c r="X1767" s="2332">
        <f>O2013</f>
        <v>1</v>
      </c>
      <c r="Y1767" s="2333">
        <f>O2013</f>
        <v>1</v>
      </c>
      <c r="Z1767" s="2332">
        <f>O2013</f>
        <v>1</v>
      </c>
      <c r="AA1767" s="2333">
        <f>O2013</f>
        <v>1</v>
      </c>
      <c r="AB1767" s="2345">
        <f>O2013</f>
        <v>1</v>
      </c>
      <c r="AC1767" s="2335">
        <f>P2013</f>
        <v>0</v>
      </c>
      <c r="AD1767" s="2333">
        <f>P2013</f>
        <v>0</v>
      </c>
      <c r="AE1767" s="2332">
        <f>P2013</f>
        <v>0</v>
      </c>
      <c r="AF1767" s="2333">
        <f>P2013</f>
        <v>0</v>
      </c>
      <c r="AG1767" s="2346">
        <f>P2013</f>
        <v>0</v>
      </c>
    </row>
    <row r="1768" spans="1:33" s="1853" customFormat="1" ht="10.5" customHeight="1">
      <c r="A1768" s="2030" t="s">
        <v>3521</v>
      </c>
      <c r="B1768" s="2085" t="s">
        <v>3550</v>
      </c>
      <c r="C1768" s="1968"/>
      <c r="D1768" s="2113"/>
      <c r="E1768" s="2113"/>
      <c r="F1768" s="2113"/>
      <c r="G1768" s="2146">
        <v>2</v>
      </c>
      <c r="H1768" s="2146"/>
      <c r="I1768" s="2146"/>
      <c r="J1768" s="2146"/>
      <c r="K1768" s="2146"/>
      <c r="L1768" s="1974"/>
      <c r="M1768" s="2128"/>
      <c r="N1768" s="2128"/>
      <c r="O1768" s="2128"/>
      <c r="P1768" s="2128"/>
      <c r="R1768" s="2319" t="s">
        <v>3521</v>
      </c>
      <c r="S1768" s="2329" t="s">
        <v>3550</v>
      </c>
      <c r="T1768" s="2330"/>
      <c r="U1768" s="2331"/>
      <c r="V1768" s="2331"/>
      <c r="W1768" s="2331"/>
      <c r="X1768" s="2339">
        <f>O2049</f>
        <v>0</v>
      </c>
      <c r="Y1768" s="2340"/>
      <c r="Z1768" s="2339"/>
      <c r="AA1768" s="2340"/>
      <c r="AB1768" s="2334"/>
      <c r="AC1768" s="2342">
        <f>P2049</f>
        <v>0</v>
      </c>
      <c r="AD1768" s="2340"/>
      <c r="AE1768" s="2339"/>
      <c r="AF1768" s="2340"/>
      <c r="AG1768" s="2336"/>
    </row>
    <row r="1769" spans="1:33" s="1853" customFormat="1" ht="10.5" customHeight="1">
      <c r="A1769" s="2030" t="s">
        <v>3522</v>
      </c>
      <c r="B1769" s="2085" t="s">
        <v>6360</v>
      </c>
      <c r="C1769" s="1968"/>
      <c r="D1769" s="2113"/>
      <c r="E1769" s="2113"/>
      <c r="F1769" s="2113"/>
      <c r="G1769" s="2146">
        <v>10</v>
      </c>
      <c r="H1769" s="2146">
        <v>10</v>
      </c>
      <c r="I1769" s="2146">
        <v>10</v>
      </c>
      <c r="J1769" s="2146">
        <v>10</v>
      </c>
      <c r="K1769" s="2146">
        <v>10</v>
      </c>
      <c r="L1769" s="1974"/>
      <c r="M1769" s="2128"/>
      <c r="N1769" s="2128"/>
      <c r="O1769" s="2128"/>
      <c r="P1769" s="2128"/>
      <c r="R1769" s="2319" t="s">
        <v>3522</v>
      </c>
      <c r="S1769" s="2329" t="s">
        <v>6360</v>
      </c>
      <c r="T1769" s="2330"/>
      <c r="U1769" s="2331"/>
      <c r="V1769" s="2331"/>
      <c r="W1769" s="2331"/>
      <c r="X1769" s="2332">
        <f>O2069</f>
        <v>10</v>
      </c>
      <c r="Y1769" s="2333">
        <f>O2069</f>
        <v>10</v>
      </c>
      <c r="Z1769" s="2332">
        <f>O2069</f>
        <v>10</v>
      </c>
      <c r="AA1769" s="2333">
        <f>O2069</f>
        <v>10</v>
      </c>
      <c r="AB1769" s="2345">
        <f>O2069</f>
        <v>10</v>
      </c>
      <c r="AC1769" s="2335">
        <f>P2069</f>
        <v>10</v>
      </c>
      <c r="AD1769" s="2333">
        <f>P2069</f>
        <v>10</v>
      </c>
      <c r="AE1769" s="2332">
        <f>P2069</f>
        <v>10</v>
      </c>
      <c r="AF1769" s="2333">
        <f>P2069</f>
        <v>10</v>
      </c>
      <c r="AG1769" s="2346">
        <f>P2069</f>
        <v>10</v>
      </c>
    </row>
    <row r="1770" spans="1:33" s="1853" customFormat="1" ht="10.5" customHeight="1">
      <c r="A1770" s="2030" t="s">
        <v>3525</v>
      </c>
      <c r="B1770" s="2085" t="s">
        <v>6361</v>
      </c>
      <c r="C1770" s="1968"/>
      <c r="D1770" s="2113"/>
      <c r="E1770" s="2113"/>
      <c r="F1770" s="2113"/>
      <c r="G1770" s="2146">
        <v>2</v>
      </c>
      <c r="H1770" s="2146"/>
      <c r="I1770" s="2146">
        <v>2</v>
      </c>
      <c r="J1770" s="2146"/>
      <c r="K1770" s="2146"/>
      <c r="L1770" s="1974"/>
      <c r="M1770" s="2128"/>
      <c r="N1770" s="2128"/>
      <c r="O1770" s="2128"/>
      <c r="P1770" s="2128"/>
      <c r="R1770" s="2319" t="s">
        <v>3525</v>
      </c>
      <c r="S1770" s="2329" t="s">
        <v>6361</v>
      </c>
      <c r="T1770" s="2330"/>
      <c r="U1770" s="2331"/>
      <c r="V1770" s="2331"/>
      <c r="W1770" s="2331"/>
      <c r="X1770" s="2332">
        <f>O2077</f>
        <v>0</v>
      </c>
      <c r="Y1770" s="2340"/>
      <c r="Z1770" s="2332">
        <f>O2077</f>
        <v>0</v>
      </c>
      <c r="AA1770" s="2340"/>
      <c r="AB1770" s="2334"/>
      <c r="AC1770" s="2335">
        <f>P2077</f>
        <v>0</v>
      </c>
      <c r="AD1770" s="2340"/>
      <c r="AE1770" s="2332">
        <f>P2077</f>
        <v>0</v>
      </c>
      <c r="AF1770" s="2340"/>
      <c r="AG1770" s="2336"/>
    </row>
    <row r="1771" spans="1:33" s="1853" customFormat="1" ht="10.5" customHeight="1">
      <c r="A1771" s="2030" t="s">
        <v>3526</v>
      </c>
      <c r="B1771" s="2085" t="s">
        <v>6362</v>
      </c>
      <c r="C1771" s="1968"/>
      <c r="D1771" s="2113"/>
      <c r="E1771" s="2113"/>
      <c r="F1771" s="2113"/>
      <c r="G1771" s="2146"/>
      <c r="H1771" s="2146"/>
      <c r="I1771" s="2146">
        <v>6</v>
      </c>
      <c r="J1771" s="2146">
        <v>6</v>
      </c>
      <c r="K1771" s="2146">
        <v>6</v>
      </c>
      <c r="L1771" s="1974"/>
      <c r="M1771" s="2128"/>
      <c r="N1771" s="2128"/>
      <c r="O1771" s="2128"/>
      <c r="P1771" s="2128"/>
      <c r="R1771" s="2319" t="s">
        <v>3526</v>
      </c>
      <c r="S1771" s="2329" t="s">
        <v>6362</v>
      </c>
      <c r="T1771" s="2330"/>
      <c r="U1771" s="2331"/>
      <c r="V1771" s="2331"/>
      <c r="W1771" s="2331"/>
      <c r="X1771" s="2339"/>
      <c r="Y1771" s="2340"/>
      <c r="Z1771" s="2332">
        <f>O2098</f>
        <v>0</v>
      </c>
      <c r="AA1771" s="2333">
        <f>O2098</f>
        <v>0</v>
      </c>
      <c r="AB1771" s="2345">
        <f>O2098</f>
        <v>0</v>
      </c>
      <c r="AC1771" s="2342"/>
      <c r="AD1771" s="2340"/>
      <c r="AE1771" s="2332">
        <f>P2098</f>
        <v>0</v>
      </c>
      <c r="AF1771" s="2333">
        <f>P2098</f>
        <v>0</v>
      </c>
      <c r="AG1771" s="2346">
        <f>P2098</f>
        <v>0</v>
      </c>
    </row>
    <row r="1772" spans="1:33" s="1853" customFormat="1" ht="10.5" customHeight="1">
      <c r="A1772" s="2030" t="s">
        <v>3527</v>
      </c>
      <c r="B1772" s="2085" t="s">
        <v>6363</v>
      </c>
      <c r="C1772" s="1968"/>
      <c r="D1772" s="2113"/>
      <c r="E1772" s="2113"/>
      <c r="F1772" s="2113"/>
      <c r="G1772" s="2146"/>
      <c r="H1772" s="2146"/>
      <c r="I1772" s="2146">
        <v>6</v>
      </c>
      <c r="J1772" s="2146"/>
      <c r="K1772" s="2146"/>
      <c r="L1772" s="1974"/>
      <c r="M1772" s="2071" t="str">
        <f>'Part IX Scoring Criteria'!M53</f>
        <v>New Supply</v>
      </c>
      <c r="N1772" s="2071"/>
      <c r="O1772" s="2071"/>
      <c r="P1772" s="2071"/>
      <c r="Q1772" s="1974"/>
      <c r="R1772" s="2319" t="s">
        <v>3527</v>
      </c>
      <c r="S1772" s="2329" t="s">
        <v>6363</v>
      </c>
      <c r="T1772" s="2330"/>
      <c r="U1772" s="2331"/>
      <c r="V1772" s="2331"/>
      <c r="W1772" s="2331"/>
      <c r="X1772" s="2339"/>
      <c r="Y1772" s="2340"/>
      <c r="Z1772" s="2339">
        <f>O2102</f>
        <v>0</v>
      </c>
      <c r="AA1772" s="2340"/>
      <c r="AB1772" s="2334"/>
      <c r="AC1772" s="2342"/>
      <c r="AD1772" s="2340"/>
      <c r="AE1772" s="2339">
        <f>P2102</f>
        <v>0</v>
      </c>
      <c r="AF1772" s="2340"/>
      <c r="AG1772" s="2336"/>
    </row>
    <row r="1773" spans="1:33" s="1853" customFormat="1" ht="10.5" customHeight="1">
      <c r="A1773" s="2030" t="s">
        <v>3528</v>
      </c>
      <c r="B1773" s="2085" t="s">
        <v>6364</v>
      </c>
      <c r="C1773" s="1968"/>
      <c r="D1773" s="2113"/>
      <c r="E1773" s="2113"/>
      <c r="F1773" s="2113"/>
      <c r="G1773" s="2146"/>
      <c r="H1773" s="2146"/>
      <c r="I1773" s="2146"/>
      <c r="J1773" s="2146">
        <v>4</v>
      </c>
      <c r="K1773" s="2146"/>
      <c r="L1773" s="1974"/>
      <c r="Q1773" s="1974"/>
      <c r="R1773" s="2319" t="s">
        <v>3528</v>
      </c>
      <c r="S1773" s="2329" t="s">
        <v>6364</v>
      </c>
      <c r="T1773" s="2330"/>
      <c r="U1773" s="2331"/>
      <c r="V1773" s="2331"/>
      <c r="W1773" s="2331"/>
      <c r="X1773" s="2339"/>
      <c r="Y1773" s="2340"/>
      <c r="Z1773" s="2339"/>
      <c r="AA1773" s="2333">
        <f>O2106</f>
        <v>0</v>
      </c>
      <c r="AB1773" s="2334"/>
      <c r="AC1773" s="2342"/>
      <c r="AD1773" s="2340"/>
      <c r="AE1773" s="2339"/>
      <c r="AF1773" s="2333">
        <f>P2106</f>
        <v>0</v>
      </c>
      <c r="AG1773" s="2336"/>
    </row>
    <row r="1774" spans="1:33" s="1853" customFormat="1" ht="10.5" customHeight="1">
      <c r="A1774" s="2030" t="s">
        <v>3529</v>
      </c>
      <c r="B1774" s="2085" t="s">
        <v>6365</v>
      </c>
      <c r="C1774" s="1968"/>
      <c r="D1774" s="2113"/>
      <c r="E1774" s="2113"/>
      <c r="F1774" s="2113"/>
      <c r="G1774" s="2146"/>
      <c r="H1774" s="2146"/>
      <c r="I1774" s="2146">
        <v>2</v>
      </c>
      <c r="J1774" s="2146"/>
      <c r="K1774" s="2146">
        <v>2</v>
      </c>
      <c r="L1774" s="1974"/>
      <c r="M1774" s="1968" t="s">
        <v>6372</v>
      </c>
      <c r="N1774" s="1968"/>
      <c r="O1774" s="1968"/>
      <c r="P1774" s="1968"/>
      <c r="Q1774" s="1974"/>
      <c r="R1774" s="2319" t="s">
        <v>3529</v>
      </c>
      <c r="S1774" s="2329" t="s">
        <v>6365</v>
      </c>
      <c r="T1774" s="2330"/>
      <c r="U1774" s="2331"/>
      <c r="V1774" s="2331"/>
      <c r="W1774" s="2331"/>
      <c r="X1774" s="2339"/>
      <c r="Y1774" s="2340"/>
      <c r="Z1774" s="2332">
        <f>O2110</f>
        <v>0</v>
      </c>
      <c r="AA1774" s="2340"/>
      <c r="AB1774" s="2345">
        <f>O2110</f>
        <v>0</v>
      </c>
      <c r="AC1774" s="2342"/>
      <c r="AD1774" s="2340"/>
      <c r="AE1774" s="2332">
        <f>P2110</f>
        <v>0</v>
      </c>
      <c r="AF1774" s="2340"/>
      <c r="AG1774" s="2346">
        <f>P2110</f>
        <v>0</v>
      </c>
    </row>
    <row r="1775" spans="1:33" s="1853" customFormat="1" ht="10.5" customHeight="1">
      <c r="A1775" s="2030" t="s">
        <v>3530</v>
      </c>
      <c r="B1775" s="2085" t="s">
        <v>6366</v>
      </c>
      <c r="C1775" s="1968"/>
      <c r="D1775" s="2113"/>
      <c r="E1775" s="2113"/>
      <c r="F1775" s="2113"/>
      <c r="G1775" s="2146"/>
      <c r="H1775" s="2146">
        <v>16</v>
      </c>
      <c r="I1775" s="2146"/>
      <c r="J1775" s="2146">
        <v>16</v>
      </c>
      <c r="K1775" s="2146"/>
      <c r="L1775" s="1974"/>
      <c r="M1775" s="1865" t="str">
        <f>'Part I-Project Information'!$H$105</f>
        <v>Rural</v>
      </c>
      <c r="N1775" s="1865"/>
      <c r="O1775" s="1865"/>
      <c r="P1775" s="1865"/>
      <c r="Q1775" s="1974"/>
      <c r="R1775" s="2319" t="s">
        <v>3530</v>
      </c>
      <c r="S1775" s="2347" t="s">
        <v>6366</v>
      </c>
      <c r="T1775" s="2348"/>
      <c r="U1775" s="2349"/>
      <c r="V1775" s="2349"/>
      <c r="W1775" s="2349"/>
      <c r="X1775" s="2350"/>
      <c r="Y1775" s="2351">
        <f>O2114</f>
        <v>0</v>
      </c>
      <c r="Z1775" s="2350"/>
      <c r="AA1775" s="2351">
        <f>O2114</f>
        <v>0</v>
      </c>
      <c r="AB1775" s="2352"/>
      <c r="AC1775" s="2353"/>
      <c r="AD1775" s="2351">
        <f>P2114</f>
        <v>0</v>
      </c>
      <c r="AE1775" s="2350"/>
      <c r="AF1775" s="2351">
        <f>P2114</f>
        <v>0</v>
      </c>
      <c r="AG1775" s="2354"/>
    </row>
    <row r="1776" spans="1:33" s="2275" customFormat="1" ht="2.25" customHeight="1">
      <c r="A1776" s="1818"/>
      <c r="B1776" s="2256"/>
      <c r="C1776" s="435"/>
      <c r="D1776" s="1719"/>
      <c r="E1776" s="1719"/>
      <c r="F1776" s="1719"/>
      <c r="G1776" s="1719"/>
      <c r="H1776" s="1719"/>
      <c r="I1776" s="1719"/>
      <c r="J1776" s="1719"/>
      <c r="K1776" s="1719"/>
      <c r="L1776" s="1818"/>
      <c r="M1776" s="2109"/>
      <c r="N1776" s="2052"/>
      <c r="O1776" s="2193"/>
      <c r="P1776" s="2109"/>
      <c r="R1776" s="2355"/>
      <c r="S1776" s="2355"/>
      <c r="T1776" s="2356"/>
      <c r="U1776" s="2356"/>
      <c r="V1776" s="2356"/>
      <c r="W1776" s="2356"/>
      <c r="X1776" s="2356"/>
      <c r="Y1776" s="2356"/>
      <c r="Z1776" s="2356"/>
      <c r="AA1776" s="2356"/>
      <c r="AB1776" s="2356"/>
      <c r="AC1776" s="2356"/>
      <c r="AD1776" s="2356"/>
      <c r="AE1776" s="2356"/>
      <c r="AF1776" s="2356"/>
      <c r="AG1776" s="2356"/>
    </row>
    <row r="1777" spans="1:33" s="2275" customFormat="1" ht="6" customHeight="1">
      <c r="A1777" s="1818"/>
      <c r="B1777" s="2256"/>
      <c r="C1777" s="435"/>
      <c r="D1777" s="1719" t="s">
        <v>6532</v>
      </c>
      <c r="E1777" s="1719"/>
      <c r="F1777" s="1719"/>
      <c r="G1777" s="2201">
        <f>SUM(G1752:G1775)</f>
        <v>107</v>
      </c>
      <c r="H1777" s="2201">
        <f t="shared" ref="H1777:K1777" si="383">SUM(H1752:H1775)</f>
        <v>70</v>
      </c>
      <c r="I1777" s="2201">
        <f t="shared" si="383"/>
        <v>51</v>
      </c>
      <c r="J1777" s="2201">
        <f t="shared" si="383"/>
        <v>47</v>
      </c>
      <c r="K1777" s="2201">
        <f t="shared" si="383"/>
        <v>38</v>
      </c>
      <c r="L1777" s="1818"/>
      <c r="M1777" s="2109"/>
      <c r="N1777" s="2052"/>
      <c r="O1777" s="2193"/>
      <c r="P1777" s="2109"/>
      <c r="R1777" s="2355"/>
      <c r="S1777" s="2355"/>
      <c r="T1777" s="2356"/>
      <c r="U1777" s="2356"/>
      <c r="V1777" s="2356"/>
      <c r="W1777" s="2356"/>
      <c r="X1777" s="2357">
        <f>SUM(X1752:X1775)</f>
        <v>59</v>
      </c>
      <c r="Y1777" s="2357">
        <f t="shared" ref="Y1777:AB1777" si="384">SUM(Y1752:Y1775)</f>
        <v>46</v>
      </c>
      <c r="Z1777" s="2357">
        <f t="shared" si="384"/>
        <v>30</v>
      </c>
      <c r="AA1777" s="2357">
        <f t="shared" si="384"/>
        <v>18</v>
      </c>
      <c r="AB1777" s="2357">
        <f t="shared" si="384"/>
        <v>27</v>
      </c>
      <c r="AC1777" s="2357">
        <f>SUM(AC1752:AC1775)</f>
        <v>20</v>
      </c>
      <c r="AD1777" s="2357">
        <f t="shared" ref="AD1777:AG1777" si="385">SUM(AD1752:AD1775)</f>
        <v>10</v>
      </c>
      <c r="AE1777" s="2357">
        <f t="shared" si="385"/>
        <v>20</v>
      </c>
      <c r="AF1777" s="2357">
        <f t="shared" si="385"/>
        <v>10</v>
      </c>
      <c r="AG1777" s="2357">
        <f t="shared" si="385"/>
        <v>20</v>
      </c>
    </row>
    <row r="1778" spans="1:33" s="1818" customFormat="1" ht="13.5" customHeight="1">
      <c r="A1778" s="2307" t="s">
        <v>712</v>
      </c>
      <c r="B1778" s="2154" t="s">
        <v>2605</v>
      </c>
      <c r="F1778" s="435"/>
      <c r="G1778" s="435"/>
      <c r="H1778" s="1865" t="s">
        <v>7170</v>
      </c>
      <c r="M1778" s="2109">
        <v>10</v>
      </c>
      <c r="N1778" s="2358"/>
      <c r="O1778" s="2193">
        <v>10</v>
      </c>
      <c r="P1778" s="2193">
        <f>MIN($M1778, $M1778-P1781-P1786-P1782)</f>
        <v>10</v>
      </c>
      <c r="Q1778" s="2109" t="s">
        <v>422</v>
      </c>
      <c r="R1778" s="435"/>
    </row>
    <row r="1779" spans="1:33" s="2275" customFormat="1" ht="3.6" customHeight="1">
      <c r="A1779" s="1818"/>
      <c r="B1779" s="2256"/>
      <c r="C1779" s="435"/>
      <c r="D1779" s="1719"/>
      <c r="E1779" s="1719"/>
      <c r="F1779" s="1719"/>
      <c r="G1779" s="1719"/>
      <c r="H1779" s="1719"/>
      <c r="I1779" s="1719"/>
      <c r="J1779" s="1719"/>
      <c r="K1779" s="1719"/>
      <c r="L1779" s="1818"/>
      <c r="M1779" s="2109"/>
      <c r="N1779" s="2052"/>
      <c r="O1779" s="2193"/>
      <c r="P1779" s="2109"/>
      <c r="R1779" s="1818"/>
      <c r="S1779" s="1818"/>
    </row>
    <row r="1780" spans="1:33" s="1818" customFormat="1" ht="12.75" customHeight="1">
      <c r="A1780" s="2142" t="s">
        <v>1892</v>
      </c>
      <c r="B1780" s="1719" t="s">
        <v>3967</v>
      </c>
      <c r="D1780" s="1719"/>
      <c r="E1780" s="1719"/>
      <c r="F1780" s="2165"/>
      <c r="N1780" s="2256" t="s">
        <v>1892</v>
      </c>
      <c r="P1780" s="2173">
        <f>SUM(P1781:P1783)</f>
        <v>0</v>
      </c>
      <c r="Q1780" s="435" t="s">
        <v>7171</v>
      </c>
    </row>
    <row r="1781" spans="1:33" s="2275" customFormat="1" ht="12.75" customHeight="1">
      <c r="A1781" s="2142"/>
      <c r="B1781" s="2359" t="s">
        <v>1895</v>
      </c>
      <c r="C1781" s="1719" t="s">
        <v>3970</v>
      </c>
      <c r="D1781" s="1719"/>
      <c r="E1781" s="1719"/>
      <c r="F1781" s="2165"/>
      <c r="H1781" s="1865" t="s">
        <v>3297</v>
      </c>
      <c r="J1781" s="2157"/>
      <c r="N1781" s="2360" t="s">
        <v>1895</v>
      </c>
      <c r="P1781" s="2173">
        <f>F1789</f>
        <v>0</v>
      </c>
    </row>
    <row r="1782" spans="1:33" s="2275" customFormat="1" ht="12.75" customHeight="1">
      <c r="A1782" s="2142"/>
      <c r="B1782" s="2359" t="s">
        <v>1897</v>
      </c>
      <c r="C1782" s="1719" t="s">
        <v>7172</v>
      </c>
      <c r="D1782" s="1719"/>
      <c r="E1782" s="1719"/>
      <c r="F1782" s="2165"/>
      <c r="H1782" s="1865" t="s">
        <v>3968</v>
      </c>
      <c r="J1782" s="2157"/>
      <c r="N1782" s="2360" t="s">
        <v>1897</v>
      </c>
      <c r="P1782" s="2173">
        <f>J1789</f>
        <v>0</v>
      </c>
    </row>
    <row r="1783" spans="1:33" s="2275" customFormat="1" ht="12.75" customHeight="1">
      <c r="A1783" s="2142"/>
      <c r="B1783" s="2359" t="s">
        <v>2415</v>
      </c>
      <c r="C1783" s="1719" t="s">
        <v>3969</v>
      </c>
      <c r="D1783" s="1719"/>
      <c r="E1783" s="1719"/>
      <c r="F1783" s="2165"/>
      <c r="H1783" s="1865" t="s">
        <v>3973</v>
      </c>
      <c r="J1783" s="2157"/>
      <c r="N1783" s="2360" t="s">
        <v>2415</v>
      </c>
      <c r="P1783" s="2123"/>
    </row>
    <row r="1784" spans="1:33" s="2275" customFormat="1" ht="12.75" customHeight="1">
      <c r="C1784" s="1906" t="s">
        <v>7093</v>
      </c>
      <c r="D1784" s="1906"/>
      <c r="E1784" s="1906"/>
      <c r="F1784" s="1906"/>
      <c r="G1784" s="1906"/>
      <c r="H1784" s="1906"/>
      <c r="I1784" s="1906"/>
      <c r="J1784" s="1906"/>
      <c r="K1784" s="1906"/>
      <c r="L1784" s="1906"/>
      <c r="M1784" s="1906"/>
      <c r="N1784" s="1906"/>
      <c r="O1784" s="1906"/>
      <c r="P1784" s="1906"/>
      <c r="Q1784" s="1856"/>
      <c r="R1784" s="1856"/>
    </row>
    <row r="1785" spans="1:33" s="2275" customFormat="1" ht="3" customHeight="1">
      <c r="A1785" s="2165"/>
      <c r="B1785" s="2361"/>
      <c r="C1785" s="2362"/>
      <c r="D1785" s="2224"/>
      <c r="K1785" s="2262"/>
      <c r="L1785" s="2262"/>
      <c r="M1785" s="2118"/>
      <c r="N1785" s="2360"/>
      <c r="O1785" s="2363"/>
      <c r="P1785" s="2363"/>
    </row>
    <row r="1786" spans="1:33" s="1818" customFormat="1" ht="12.75" customHeight="1">
      <c r="A1786" s="2142" t="s">
        <v>1894</v>
      </c>
      <c r="B1786" s="1719" t="s">
        <v>696</v>
      </c>
      <c r="D1786" s="1719"/>
      <c r="E1786" s="1719"/>
      <c r="F1786" s="2165"/>
      <c r="H1786" s="1865" t="s">
        <v>7173</v>
      </c>
      <c r="J1786" s="2157"/>
      <c r="M1786" s="2109"/>
      <c r="N1786" s="2256" t="s">
        <v>1894</v>
      </c>
      <c r="P1786" s="2173">
        <f>O1789</f>
        <v>0</v>
      </c>
      <c r="Q1786" s="435" t="s">
        <v>7171</v>
      </c>
    </row>
    <row r="1787" spans="1:33" s="2275" customFormat="1" ht="3" customHeight="1">
      <c r="A1787" s="2165"/>
      <c r="B1787" s="2361"/>
      <c r="C1787" s="2362"/>
      <c r="D1787" s="2224"/>
      <c r="K1787" s="2262"/>
      <c r="L1787" s="2262"/>
      <c r="M1787" s="2118"/>
      <c r="N1787" s="2360"/>
      <c r="O1787" s="2363"/>
      <c r="P1787" s="2363"/>
    </row>
    <row r="1788" spans="1:33" s="1818" customFormat="1" ht="12.75" customHeight="1">
      <c r="A1788" s="1876" t="s">
        <v>7094</v>
      </c>
      <c r="B1788" s="1876"/>
      <c r="C1788" s="1876"/>
      <c r="D1788" s="1876"/>
      <c r="E1788" s="1876"/>
      <c r="F1788" s="2045" t="s">
        <v>3542</v>
      </c>
      <c r="G1788" s="435" t="s">
        <v>7095</v>
      </c>
      <c r="H1788" s="435"/>
      <c r="I1788" s="435"/>
      <c r="J1788" s="2045" t="s">
        <v>3542</v>
      </c>
      <c r="K1788" s="2113" t="s">
        <v>7096</v>
      </c>
      <c r="L1788" s="2113"/>
      <c r="M1788" s="2113"/>
      <c r="N1788" s="2113"/>
      <c r="O1788" s="1865" t="s">
        <v>3542</v>
      </c>
      <c r="P1788" s="1865"/>
      <c r="R1788" s="2226"/>
      <c r="S1788" s="2226"/>
    </row>
    <row r="1789" spans="1:33" s="1818" customFormat="1" ht="12.75" customHeight="1">
      <c r="A1789" s="1876"/>
      <c r="B1789" s="1876"/>
      <c r="C1789" s="1876"/>
      <c r="D1789" s="1876"/>
      <c r="E1789" s="1876"/>
      <c r="F1789" s="2109">
        <f>SUM(F1790:F1801)</f>
        <v>0</v>
      </c>
      <c r="G1789" s="435"/>
      <c r="H1789" s="435"/>
      <c r="I1789" s="435"/>
      <c r="J1789" s="2109">
        <f>SUM(J1790:J1801)</f>
        <v>0</v>
      </c>
      <c r="K1789" s="2113"/>
      <c r="L1789" s="2113"/>
      <c r="M1789" s="2113"/>
      <c r="N1789" s="2113"/>
      <c r="O1789" s="1818">
        <f>SUM(O1790:O1801)</f>
        <v>0</v>
      </c>
      <c r="Q1789" s="2226"/>
      <c r="R1789" s="2226"/>
    </row>
    <row r="1790" spans="1:33" s="1818" customFormat="1" ht="24.75" customHeight="1">
      <c r="A1790" s="1906">
        <v>1</v>
      </c>
      <c r="B1790" s="1906"/>
      <c r="C1790" s="1906"/>
      <c r="D1790" s="1906"/>
      <c r="E1790" s="1906"/>
      <c r="F1790" s="2310"/>
      <c r="G1790" s="1906">
        <v>1</v>
      </c>
      <c r="H1790" s="1906"/>
      <c r="I1790" s="1906"/>
      <c r="J1790" s="2253" t="s">
        <v>1654</v>
      </c>
      <c r="K1790" s="1906">
        <v>1</v>
      </c>
      <c r="L1790" s="1906"/>
      <c r="M1790" s="1906"/>
      <c r="N1790" s="1906"/>
      <c r="O1790" s="2224" t="s">
        <v>1654</v>
      </c>
      <c r="P1790" s="2224"/>
      <c r="Q1790" s="1856" t="s">
        <v>1208</v>
      </c>
      <c r="R1790" s="2226"/>
    </row>
    <row r="1791" spans="1:33" s="1818" customFormat="1" ht="24.75" customHeight="1">
      <c r="A1791" s="1906">
        <v>2</v>
      </c>
      <c r="B1791" s="1906"/>
      <c r="C1791" s="1906"/>
      <c r="D1791" s="1906"/>
      <c r="E1791" s="1906"/>
      <c r="F1791" s="2310"/>
      <c r="G1791" s="1906">
        <v>2</v>
      </c>
      <c r="H1791" s="1906"/>
      <c r="I1791" s="1906"/>
      <c r="J1791" s="2310"/>
      <c r="K1791" s="1906">
        <v>2</v>
      </c>
      <c r="L1791" s="1906"/>
      <c r="M1791" s="1906"/>
      <c r="N1791" s="1906"/>
      <c r="O1791" s="2159"/>
      <c r="P1791" s="2159"/>
      <c r="Q1791" s="1856"/>
      <c r="R1791" s="2226"/>
    </row>
    <row r="1792" spans="1:33" s="1818" customFormat="1" ht="24.75" customHeight="1">
      <c r="A1792" s="1906">
        <v>3</v>
      </c>
      <c r="B1792" s="1906"/>
      <c r="C1792" s="1906"/>
      <c r="D1792" s="1906"/>
      <c r="E1792" s="1906"/>
      <c r="F1792" s="2310"/>
      <c r="G1792" s="1906">
        <v>3</v>
      </c>
      <c r="H1792" s="1906"/>
      <c r="I1792" s="1906"/>
      <c r="J1792" s="2029" t="s">
        <v>2691</v>
      </c>
      <c r="K1792" s="1906">
        <v>3</v>
      </c>
      <c r="L1792" s="1906"/>
      <c r="M1792" s="1906"/>
      <c r="N1792" s="1906"/>
      <c r="O1792" s="2224" t="s">
        <v>2691</v>
      </c>
      <c r="P1792" s="2224"/>
      <c r="Q1792" s="1818" t="s">
        <v>7174</v>
      </c>
      <c r="S1792" s="435"/>
      <c r="T1792" s="435"/>
    </row>
    <row r="1793" spans="1:20" s="1818" customFormat="1" ht="24.75" customHeight="1">
      <c r="A1793" s="1906">
        <v>4</v>
      </c>
      <c r="B1793" s="1906"/>
      <c r="C1793" s="1906"/>
      <c r="D1793" s="1906"/>
      <c r="E1793" s="1906"/>
      <c r="F1793" s="2310"/>
      <c r="G1793" s="1906">
        <v>4</v>
      </c>
      <c r="H1793" s="1906"/>
      <c r="I1793" s="1906"/>
      <c r="J1793" s="2310"/>
      <c r="K1793" s="1906">
        <v>4</v>
      </c>
      <c r="L1793" s="1906"/>
      <c r="M1793" s="1906"/>
      <c r="N1793" s="1906"/>
      <c r="O1793" s="2224" t="s">
        <v>2691</v>
      </c>
      <c r="P1793" s="2224"/>
      <c r="S1793" s="435"/>
      <c r="T1793" s="435"/>
    </row>
    <row r="1794" spans="1:20" s="1818" customFormat="1" ht="24.75" customHeight="1">
      <c r="A1794" s="1906">
        <v>5</v>
      </c>
      <c r="B1794" s="1906"/>
      <c r="C1794" s="1906"/>
      <c r="D1794" s="1906"/>
      <c r="E1794" s="1906"/>
      <c r="F1794" s="2310"/>
      <c r="G1794" s="1906">
        <v>5</v>
      </c>
      <c r="H1794" s="1906"/>
      <c r="I1794" s="1906"/>
      <c r="J1794" s="2029" t="s">
        <v>3265</v>
      </c>
      <c r="K1794" s="1906">
        <v>5</v>
      </c>
      <c r="L1794" s="1906"/>
      <c r="M1794" s="1906"/>
      <c r="N1794" s="1906"/>
      <c r="O1794" s="2159"/>
      <c r="P1794" s="2159"/>
      <c r="S1794" s="435"/>
      <c r="T1794" s="435"/>
    </row>
    <row r="1795" spans="1:20" s="1818" customFormat="1" ht="24" customHeight="1">
      <c r="A1795" s="1906">
        <v>6</v>
      </c>
      <c r="B1795" s="1906"/>
      <c r="C1795" s="1906"/>
      <c r="D1795" s="1906"/>
      <c r="E1795" s="1906"/>
      <c r="F1795" s="2310"/>
      <c r="G1795" s="1906">
        <v>6</v>
      </c>
      <c r="H1795" s="1906"/>
      <c r="I1795" s="1906"/>
      <c r="J1795" s="2310"/>
      <c r="K1795" s="1906">
        <v>6</v>
      </c>
      <c r="L1795" s="1906"/>
      <c r="M1795" s="1906"/>
      <c r="N1795" s="1906"/>
      <c r="O1795" s="2159"/>
      <c r="P1795" s="2159"/>
    </row>
    <row r="1796" spans="1:20" s="1818" customFormat="1" ht="24.75" customHeight="1">
      <c r="A1796" s="1906">
        <v>7</v>
      </c>
      <c r="B1796" s="1906"/>
      <c r="C1796" s="1906"/>
      <c r="D1796" s="1906"/>
      <c r="E1796" s="1906"/>
      <c r="F1796" s="2310"/>
      <c r="G1796" s="1906">
        <v>7</v>
      </c>
      <c r="H1796" s="1906"/>
      <c r="I1796" s="1906"/>
      <c r="J1796" s="2029" t="s">
        <v>3266</v>
      </c>
      <c r="K1796" s="1906">
        <v>7</v>
      </c>
      <c r="L1796" s="1906"/>
      <c r="M1796" s="1906"/>
      <c r="N1796" s="1906"/>
      <c r="O1796" s="2159"/>
      <c r="P1796" s="2159"/>
      <c r="Q1796" s="2226"/>
      <c r="R1796" s="2226"/>
    </row>
    <row r="1797" spans="1:20" s="1818" customFormat="1" ht="24.75" customHeight="1">
      <c r="A1797" s="1906">
        <v>8</v>
      </c>
      <c r="B1797" s="1906"/>
      <c r="C1797" s="1906"/>
      <c r="D1797" s="1906"/>
      <c r="E1797" s="1906"/>
      <c r="F1797" s="2310"/>
      <c r="G1797" s="1906">
        <v>8</v>
      </c>
      <c r="H1797" s="1906"/>
      <c r="I1797" s="1906"/>
      <c r="J1797" s="2310"/>
      <c r="K1797" s="1906">
        <v>8</v>
      </c>
      <c r="L1797" s="1906"/>
      <c r="M1797" s="1906"/>
      <c r="N1797" s="1906"/>
      <c r="O1797" s="2159"/>
      <c r="P1797" s="2159"/>
      <c r="Q1797" s="2226"/>
      <c r="R1797" s="2226"/>
    </row>
    <row r="1798" spans="1:20" s="1818" customFormat="1" ht="24.75" customHeight="1">
      <c r="A1798" s="1906">
        <v>9</v>
      </c>
      <c r="B1798" s="1906"/>
      <c r="C1798" s="1906"/>
      <c r="D1798" s="1906"/>
      <c r="E1798" s="1906"/>
      <c r="F1798" s="2310"/>
      <c r="G1798" s="1906">
        <v>9</v>
      </c>
      <c r="H1798" s="1906"/>
      <c r="I1798" s="1906"/>
      <c r="J1798" s="2029" t="s">
        <v>3267</v>
      </c>
      <c r="K1798" s="1906">
        <v>9</v>
      </c>
      <c r="L1798" s="1906"/>
      <c r="M1798" s="1906"/>
      <c r="N1798" s="1906"/>
      <c r="O1798" s="2159"/>
      <c r="P1798" s="2159"/>
      <c r="Q1798" s="2226"/>
      <c r="R1798" s="2226"/>
    </row>
    <row r="1799" spans="1:20" s="1818" customFormat="1" ht="24.75" customHeight="1">
      <c r="A1799" s="1906">
        <v>10</v>
      </c>
      <c r="B1799" s="1906"/>
      <c r="C1799" s="1906"/>
      <c r="D1799" s="1906"/>
      <c r="E1799" s="1906"/>
      <c r="F1799" s="2310"/>
      <c r="G1799" s="1906">
        <v>10</v>
      </c>
      <c r="H1799" s="1906"/>
      <c r="I1799" s="1906"/>
      <c r="J1799" s="2310"/>
      <c r="K1799" s="1906">
        <v>10</v>
      </c>
      <c r="L1799" s="1906"/>
      <c r="M1799" s="1906"/>
      <c r="N1799" s="1906"/>
      <c r="O1799" s="2159"/>
      <c r="P1799" s="2159"/>
      <c r="Q1799" s="2226"/>
    </row>
    <row r="1800" spans="1:20" s="1818" customFormat="1" ht="24.75" customHeight="1">
      <c r="A1800" s="1906">
        <v>11</v>
      </c>
      <c r="B1800" s="1906"/>
      <c r="C1800" s="1906"/>
      <c r="D1800" s="1906"/>
      <c r="E1800" s="1906"/>
      <c r="F1800" s="2310"/>
      <c r="G1800" s="1906">
        <v>11</v>
      </c>
      <c r="H1800" s="1906"/>
      <c r="I1800" s="1906"/>
      <c r="J1800" s="2029" t="s">
        <v>3268</v>
      </c>
      <c r="K1800" s="1906">
        <v>11</v>
      </c>
      <c r="L1800" s="1906"/>
      <c r="M1800" s="1906"/>
      <c r="N1800" s="1906"/>
      <c r="O1800" s="2159"/>
      <c r="P1800" s="2159"/>
      <c r="Q1800" s="2226"/>
      <c r="R1800" s="2226"/>
    </row>
    <row r="1801" spans="1:20" s="1818" customFormat="1" ht="24.75" customHeight="1">
      <c r="A1801" s="1906">
        <v>12</v>
      </c>
      <c r="B1801" s="1906"/>
      <c r="C1801" s="1906"/>
      <c r="D1801" s="1906"/>
      <c r="E1801" s="1906"/>
      <c r="F1801" s="2310"/>
      <c r="G1801" s="1906">
        <v>12</v>
      </c>
      <c r="H1801" s="1906"/>
      <c r="I1801" s="1906"/>
      <c r="J1801" s="2310"/>
      <c r="K1801" s="1906">
        <v>12</v>
      </c>
      <c r="L1801" s="1906"/>
      <c r="M1801" s="1906"/>
      <c r="N1801" s="1906"/>
      <c r="O1801" s="2159"/>
      <c r="P1801" s="2159"/>
    </row>
    <row r="1802" spans="1:20" s="2275" customFormat="1" ht="3" customHeight="1">
      <c r="D1802" s="435"/>
      <c r="E1802" s="435"/>
      <c r="F1802" s="2109"/>
      <c r="G1802" s="2109"/>
      <c r="H1802" s="2109"/>
      <c r="I1802" s="2109"/>
      <c r="J1802" s="2122"/>
      <c r="K1802" s="2122"/>
      <c r="L1802" s="2122"/>
      <c r="M1802" s="2165"/>
      <c r="N1802" s="2109"/>
      <c r="O1802" s="2052"/>
      <c r="P1802" s="2193"/>
    </row>
    <row r="1803" spans="1:20" s="2285" customFormat="1" ht="13.5" customHeight="1">
      <c r="A1803" s="2307" t="s">
        <v>1711</v>
      </c>
      <c r="B1803" s="2154" t="s">
        <v>3269</v>
      </c>
      <c r="E1803" s="435"/>
      <c r="G1803" s="435"/>
      <c r="I1803" s="1865" t="s">
        <v>6542</v>
      </c>
      <c r="J1803" s="2364" t="str">
        <f>'Part IX Scoring Criteria'!J84</f>
        <v>9%</v>
      </c>
      <c r="K1803" s="2045" t="s">
        <v>367</v>
      </c>
      <c r="L1803" s="2045" t="str">
        <f>$M$1762</f>
        <v>New Supply</v>
      </c>
      <c r="M1803" s="2109">
        <v>3</v>
      </c>
      <c r="N1803" s="2109"/>
      <c r="O1803" s="2193">
        <f>'Part IX Scoring Criteria'!O84</f>
        <v>3</v>
      </c>
      <c r="P1803" s="2193">
        <f>'Part IX Scoring Criteria'!P84</f>
        <v>0</v>
      </c>
      <c r="Q1803" s="2109" t="s">
        <v>422</v>
      </c>
      <c r="S1803" s="1968"/>
    </row>
    <row r="1804" spans="1:20" s="2275" customFormat="1" ht="2.25" customHeight="1">
      <c r="A1804" s="2365"/>
      <c r="B1804" s="2155"/>
      <c r="E1804" s="435"/>
      <c r="F1804" s="2275" t="s">
        <v>3980</v>
      </c>
      <c r="G1804" s="2113"/>
      <c r="H1804" s="435"/>
      <c r="I1804" s="2157"/>
      <c r="K1804" s="2030"/>
      <c r="L1804" s="2366"/>
      <c r="M1804" s="2109"/>
      <c r="N1804" s="2109"/>
      <c r="O1804" s="2193"/>
      <c r="P1804" s="2193"/>
      <c r="Q1804" s="2109"/>
      <c r="R1804" s="2367"/>
    </row>
    <row r="1805" spans="1:20" s="2275" customFormat="1" ht="13.5" customHeight="1">
      <c r="A1805" s="2142" t="s">
        <v>1892</v>
      </c>
      <c r="B1805" s="2116" t="s">
        <v>7175</v>
      </c>
      <c r="E1805" s="435"/>
      <c r="G1805" s="2113"/>
      <c r="H1805" s="2113" t="s">
        <v>4065</v>
      </c>
      <c r="I1805" s="2368" t="str">
        <f>'Part I-Project Information'!$K$94</f>
        <v>40% of Units at 60% of AMI</v>
      </c>
      <c r="M1805" s="2109"/>
      <c r="N1805" s="2109"/>
      <c r="Q1805" s="2109"/>
      <c r="R1805" s="2367"/>
    </row>
    <row r="1806" spans="1:20" s="2285" customFormat="1" ht="9" customHeight="1">
      <c r="A1806" s="2142"/>
      <c r="B1806" s="1719" t="s">
        <v>3974</v>
      </c>
      <c r="C1806" s="1719"/>
      <c r="D1806" s="1719"/>
      <c r="E1806" s="1719"/>
      <c r="F1806" s="1719"/>
      <c r="G1806" s="1719"/>
      <c r="H1806" s="1719"/>
      <c r="I1806" s="1719"/>
      <c r="J1806" s="1719"/>
      <c r="K1806" s="1719"/>
      <c r="L1806" s="1719"/>
      <c r="M1806" s="2109"/>
      <c r="N1806" s="2109"/>
      <c r="Q1806" s="2109"/>
      <c r="R1806" s="2367"/>
    </row>
    <row r="1807" spans="1:20" s="2285" customFormat="1" ht="13.5" customHeight="1">
      <c r="B1807" s="1719"/>
      <c r="C1807" s="1719"/>
      <c r="D1807" s="1719"/>
      <c r="E1807" s="1719"/>
      <c r="F1807" s="1719"/>
      <c r="G1807" s="1719"/>
      <c r="H1807" s="1719"/>
      <c r="I1807" s="1719"/>
      <c r="J1807" s="1719"/>
      <c r="K1807" s="1719"/>
      <c r="L1807" s="1719"/>
      <c r="M1807" s="2118">
        <v>2</v>
      </c>
      <c r="N1807" s="2360" t="s">
        <v>1892</v>
      </c>
      <c r="O1807" s="2193">
        <f>'Part IX Scoring Criteria'!O88</f>
        <v>0</v>
      </c>
      <c r="P1807" s="2193">
        <f>'Part IX Scoring Criteria'!P88</f>
        <v>0</v>
      </c>
    </row>
    <row r="1808" spans="1:20" s="2285" customFormat="1" ht="13.5" customHeight="1">
      <c r="A1808" s="2142"/>
      <c r="B1808" s="2369" t="s">
        <v>1895</v>
      </c>
      <c r="C1808" s="2370" t="s">
        <v>3975</v>
      </c>
      <c r="D1808" s="435"/>
      <c r="H1808" s="435" t="s">
        <v>3976</v>
      </c>
      <c r="I1808" s="1865"/>
      <c r="J1808" s="2371">
        <f>'Part VI-Revenues &amp; Expenses'!B1721</f>
        <v>0</v>
      </c>
      <c r="L1808" s="1876" t="str">
        <f>IF(AND(O1808&gt;0,O1809&gt;0), "CHOOSE EITHER A OR B, NOT BOTH!", "")</f>
        <v/>
      </c>
      <c r="M1808" s="2118">
        <v>2</v>
      </c>
      <c r="N1808" s="2361" t="s">
        <v>1895</v>
      </c>
      <c r="O1808" s="2372">
        <f>'Part IX Scoring Criteria'!O89</f>
        <v>0</v>
      </c>
      <c r="P1808" s="2193"/>
      <c r="Q1808" s="2283" t="str">
        <f>IF(OR($O1808=$M1808,$O1808=0,$O1808=""),"","*CHECK!*")</f>
        <v/>
      </c>
      <c r="R1808" s="1859" t="s">
        <v>4264</v>
      </c>
    </row>
    <row r="1809" spans="1:18" s="2285" customFormat="1" ht="13.5" customHeight="1">
      <c r="A1809" s="2256" t="s">
        <v>3103</v>
      </c>
      <c r="B1809" s="2369" t="s">
        <v>1897</v>
      </c>
      <c r="C1809" s="2370" t="s">
        <v>3977</v>
      </c>
      <c r="D1809" s="435"/>
      <c r="I1809" s="1865"/>
      <c r="K1809" s="435"/>
      <c r="L1809" s="1876"/>
      <c r="M1809" s="2118">
        <v>2</v>
      </c>
      <c r="N1809" s="2361" t="s">
        <v>1897</v>
      </c>
      <c r="O1809" s="2372">
        <f>'Part IX Scoring Criteria'!O90</f>
        <v>0</v>
      </c>
      <c r="P1809" s="2193"/>
      <c r="Q1809" s="2283" t="str">
        <f>IF(OR($O1809=$M1809,$O1809=0,$O1809=""),"","*CHECK!*")</f>
        <v/>
      </c>
      <c r="R1809" s="1859" t="s">
        <v>4264</v>
      </c>
    </row>
    <row r="1810" spans="1:18" s="2275" customFormat="1" ht="6.75" customHeight="1">
      <c r="A1810" s="2165"/>
      <c r="B1810" s="2361"/>
      <c r="C1810" s="2362"/>
      <c r="D1810" s="2224"/>
      <c r="K1810" s="2262"/>
      <c r="L1810" s="2262"/>
      <c r="M1810" s="2118"/>
      <c r="N1810" s="2360"/>
      <c r="O1810" s="2363"/>
      <c r="P1810" s="2363"/>
    </row>
    <row r="1811" spans="1:18" s="2275" customFormat="1" ht="13.5" customHeight="1">
      <c r="A1811" s="2142" t="s">
        <v>1894</v>
      </c>
      <c r="B1811" s="2116" t="s">
        <v>7176</v>
      </c>
      <c r="E1811" s="2113"/>
      <c r="H1811" s="1865" t="s">
        <v>3978</v>
      </c>
      <c r="I1811" s="1865"/>
      <c r="J1811" s="2373" t="s">
        <v>3979</v>
      </c>
      <c r="M1811" s="2118">
        <v>3</v>
      </c>
      <c r="N1811" s="2225" t="s">
        <v>1894</v>
      </c>
      <c r="O1811" s="2193">
        <f>'Part IX Scoring Criteria'!O92</f>
        <v>3</v>
      </c>
      <c r="P1811" s="2193">
        <f>'Part IX Scoring Criteria'!P92</f>
        <v>0</v>
      </c>
    </row>
    <row r="1812" spans="1:18" s="2275" customFormat="1" ht="13.5" customHeight="1">
      <c r="A1812" s="2374"/>
      <c r="B1812" s="2369" t="s">
        <v>1895</v>
      </c>
      <c r="C1812" s="2375">
        <v>0.3</v>
      </c>
      <c r="D1812" s="1906" t="s">
        <v>3299</v>
      </c>
      <c r="E1812" s="2113"/>
      <c r="F1812" s="2291"/>
      <c r="H1812" s="2376">
        <f>'Part IX Scoring Criteria'!H93</f>
        <v>32</v>
      </c>
      <c r="I1812" s="2377"/>
      <c r="J1812" s="2378">
        <f>'Part VI-Revenues &amp; Expenses'!P1736</f>
        <v>0</v>
      </c>
      <c r="K1812" s="2262">
        <f>IF(OR('Part VI-Revenues &amp; Expenses'!$P$65="", 'Part VI-Revenues &amp; Expenses'!$P$65=0),0,H1812/'Part VI-Revenues &amp; Expenses'!$P$65)</f>
        <v>0.44444444444444442</v>
      </c>
      <c r="L1812" s="2262">
        <f>IF(OR('Part VI-Revenues &amp; Expenses'!$P$65="", 'Part VI-Revenues &amp; Expenses'!$P$65=0),0,I1812/'Part VI-Revenues &amp; Expenses'!$P$65)</f>
        <v>0</v>
      </c>
      <c r="M1812" s="2118"/>
      <c r="N1812" s="2360" t="s">
        <v>1895</v>
      </c>
      <c r="O1812" s="2363" t="str">
        <f>IF(AND(K1812 &gt;= $C$93,O1813="Yes"),"Yes","No")</f>
        <v>No</v>
      </c>
      <c r="P1812" s="2363" t="str">
        <f>IF(AND(L1812 &gt;= $C$93,P1813="Yes"),"Yes","No")</f>
        <v>No</v>
      </c>
    </row>
    <row r="1813" spans="1:18" s="2275" customFormat="1" ht="13.5" customHeight="1">
      <c r="A1813" s="2165"/>
      <c r="B1813" s="2369" t="s">
        <v>1897</v>
      </c>
      <c r="C1813" s="2169" t="s">
        <v>3467</v>
      </c>
      <c r="E1813" s="2379"/>
      <c r="F1813" s="2291"/>
      <c r="I1813" s="2303"/>
      <c r="J1813" s="2303"/>
      <c r="K1813" s="2303"/>
      <c r="L1813" s="2303"/>
      <c r="M1813" s="2303"/>
      <c r="N1813" s="2360" t="s">
        <v>1897</v>
      </c>
      <c r="O1813" s="2231" t="str">
        <f>'Part IX Scoring Criteria'!O94</f>
        <v>Yes</v>
      </c>
      <c r="P1813" s="2165"/>
    </row>
    <row r="1814" spans="1:18" s="2275" customFormat="1" ht="10.5" customHeight="1">
      <c r="A1814" s="1818"/>
      <c r="B1814" s="2157" t="s">
        <v>1779</v>
      </c>
      <c r="D1814" s="2228"/>
      <c r="E1814" s="2229"/>
      <c r="F1814" s="2229"/>
      <c r="G1814" s="2229"/>
      <c r="H1814" s="2229"/>
      <c r="I1814" s="2229"/>
      <c r="J1814" s="2229"/>
      <c r="K1814" s="2229"/>
      <c r="L1814" s="2229"/>
      <c r="M1814" s="2229"/>
      <c r="N1814" s="2310"/>
      <c r="O1814" s="2310"/>
      <c r="P1814" s="2109"/>
    </row>
    <row r="1815" spans="1:18" s="2275" customFormat="1" ht="22.5" customHeight="1">
      <c r="A1815" s="2224"/>
      <c r="B1815" s="2224"/>
      <c r="C1815" s="2224"/>
      <c r="D1815" s="2224"/>
      <c r="E1815" s="2224"/>
      <c r="F1815" s="2224"/>
      <c r="G1815" s="2224"/>
      <c r="H1815" s="2224"/>
      <c r="I1815" s="2224"/>
      <c r="J1815" s="2224"/>
      <c r="K1815" s="2224"/>
      <c r="L1815" s="2224"/>
      <c r="M1815" s="2224"/>
      <c r="N1815" s="2224"/>
      <c r="O1815" s="2224"/>
      <c r="P1815" s="2224"/>
      <c r="Q1815" s="1856"/>
    </row>
    <row r="1816" spans="1:18" s="1853" customFormat="1" ht="7.5" customHeight="1">
      <c r="N1816" s="2052"/>
      <c r="O1816" s="2052"/>
      <c r="P1816" s="2052"/>
    </row>
    <row r="1817" spans="1:18" s="2275" customFormat="1" ht="13.5" customHeight="1">
      <c r="A1817" s="2307" t="s">
        <v>1713</v>
      </c>
      <c r="B1817" s="2154" t="s">
        <v>3517</v>
      </c>
      <c r="D1817" s="2380"/>
      <c r="K1817" s="2045" t="s">
        <v>367</v>
      </c>
      <c r="L1817" s="2045" t="str">
        <f>$M$1762</f>
        <v>New Supply</v>
      </c>
      <c r="M1817" s="2109">
        <v>20</v>
      </c>
      <c r="N1817" s="2256"/>
      <c r="O1817" s="2304">
        <f>'Part IX Scoring Criteria'!O98</f>
        <v>20</v>
      </c>
      <c r="P1817" s="2304">
        <f>'Part IX Scoring Criteria'!P98</f>
        <v>0</v>
      </c>
      <c r="Q1817" s="2109" t="s">
        <v>422</v>
      </c>
    </row>
    <row r="1818" spans="1:18" s="2275" customFormat="1" ht="15">
      <c r="A1818" s="1818"/>
      <c r="B1818" s="1913" t="s">
        <v>3385</v>
      </c>
      <c r="D1818" s="435"/>
      <c r="E1818" s="435"/>
      <c r="F1818" s="2109"/>
      <c r="G1818" s="2109"/>
      <c r="H1818" s="1865"/>
      <c r="I1818" s="1865"/>
      <c r="J1818" s="1865"/>
      <c r="K1818" s="1865"/>
      <c r="L1818" s="1865"/>
      <c r="M1818" s="2165"/>
      <c r="N1818" s="2109"/>
      <c r="O1818" s="2052"/>
      <c r="P1818" s="2193"/>
    </row>
    <row r="1819" spans="1:18" s="2285" customFormat="1" ht="12.75" customHeight="1">
      <c r="A1819" s="2142"/>
      <c r="B1819" s="435" t="s">
        <v>3422</v>
      </c>
      <c r="D1819" s="1818"/>
      <c r="N1819" s="2256"/>
      <c r="O1819" s="2231" t="str">
        <f>'Part IX Scoring Criteria'!O100</f>
        <v>Yes</v>
      </c>
      <c r="P1819" s="2165"/>
    </row>
    <row r="1820" spans="1:18" s="2285" customFormat="1" ht="12.75" customHeight="1">
      <c r="A1820" s="2142" t="s">
        <v>1892</v>
      </c>
      <c r="B1820" s="1719" t="s">
        <v>1786</v>
      </c>
      <c r="C1820" s="1818"/>
      <c r="D1820" s="1818"/>
      <c r="F1820" s="1857"/>
      <c r="H1820" s="2010" t="s">
        <v>2564</v>
      </c>
      <c r="I1820" s="1865" t="s">
        <v>7177</v>
      </c>
      <c r="J1820" s="1865"/>
      <c r="K1820" s="1865"/>
      <c r="L1820" s="1865"/>
      <c r="M1820" s="2109">
        <v>20</v>
      </c>
      <c r="N1820" s="2361" t="s">
        <v>1892</v>
      </c>
      <c r="O1820" s="2381">
        <f>'Part IX Scoring Criteria'!O101</f>
        <v>20</v>
      </c>
      <c r="P1820" s="2304"/>
      <c r="Q1820" s="2283"/>
      <c r="R1820" s="1859" t="s">
        <v>4264</v>
      </c>
    </row>
    <row r="1821" spans="1:18" s="2285" customFormat="1" ht="12.75" customHeight="1">
      <c r="A1821" s="2142" t="s">
        <v>1894</v>
      </c>
      <c r="B1821" s="1719" t="s">
        <v>3416</v>
      </c>
      <c r="D1821" s="2382"/>
      <c r="F1821" s="2004"/>
      <c r="H1821" s="2010" t="s">
        <v>3483</v>
      </c>
      <c r="I1821" s="1865"/>
      <c r="J1821" s="1865"/>
      <c r="K1821" s="1865"/>
      <c r="L1821" s="1865"/>
      <c r="M1821" s="2165" t="s">
        <v>1192</v>
      </c>
      <c r="N1821" s="2256" t="s">
        <v>1894</v>
      </c>
      <c r="O1821" s="2381">
        <f>'Part IX Scoring Criteria'!O102</f>
        <v>0</v>
      </c>
      <c r="P1821" s="2304"/>
      <c r="R1821" s="1859" t="s">
        <v>4264</v>
      </c>
    </row>
    <row r="1822" spans="1:18" s="2275" customFormat="1" ht="12.75" customHeight="1">
      <c r="A1822" s="1818"/>
      <c r="B1822" s="2157" t="s">
        <v>3373</v>
      </c>
      <c r="C1822" s="1818"/>
      <c r="D1822" s="1719"/>
      <c r="E1822" s="1719"/>
      <c r="F1822" s="1719"/>
      <c r="G1822" s="1719"/>
      <c r="H1822" s="435"/>
      <c r="I1822" s="1865"/>
      <c r="J1822" s="1865"/>
      <c r="K1822" s="1865"/>
      <c r="L1822" s="1865"/>
      <c r="M1822" s="2109"/>
      <c r="N1822" s="2052"/>
      <c r="O1822" s="2193"/>
      <c r="P1822" s="2052"/>
    </row>
    <row r="1823" spans="1:18" s="2275" customFormat="1" ht="90" customHeight="1">
      <c r="A1823" s="2227" t="str">
        <f>'Part IX Scoring Criteria'!A104</f>
        <v>The applicant has identified Desirables near the proposed project site which qualify for a total of 22.5 points in this section, more than the maximum 20 points allowed. Maps and driving directions for each are included. The proposed project site sits just off the main access road, and will have access through two adjacent properties (one of which is Phase I of this planned development) via access easements. As such, Google Maps is unable to accurately calculate the walking/driving distance, and instead only calculates the walking/driving distance at the roadway. In order to account for this, the applicant has added 0.1 miles to the Google walking/driving distances for each desirable in its calculation. All claimed Desirables are still within the eligible distances for points. No undesirable activities have been identified by the applicant.</v>
      </c>
      <c r="B1823" s="2227"/>
      <c r="C1823" s="2227"/>
      <c r="D1823" s="2227"/>
      <c r="E1823" s="2227"/>
      <c r="F1823" s="2227"/>
      <c r="G1823" s="2227"/>
      <c r="H1823" s="2227"/>
      <c r="I1823" s="2227"/>
      <c r="J1823" s="2227"/>
      <c r="K1823" s="2227"/>
      <c r="L1823" s="2227"/>
      <c r="M1823" s="2227"/>
      <c r="N1823" s="2227"/>
      <c r="O1823" s="2227"/>
      <c r="P1823" s="2227"/>
      <c r="Q1823" s="1856" t="s">
        <v>1208</v>
      </c>
      <c r="R1823" s="1856"/>
    </row>
    <row r="1824" spans="1:18" s="2275" customFormat="1" ht="11.45" customHeight="1">
      <c r="A1824" s="1818"/>
      <c r="B1824" s="2157" t="s">
        <v>1779</v>
      </c>
      <c r="C1824" s="1818"/>
      <c r="D1824" s="2228"/>
      <c r="E1824" s="2229"/>
      <c r="F1824" s="2229"/>
      <c r="G1824" s="2229"/>
      <c r="H1824" s="2229"/>
      <c r="I1824" s="2229"/>
      <c r="J1824" s="2229"/>
      <c r="K1824" s="2229"/>
      <c r="L1824" s="2229"/>
      <c r="M1824" s="2229"/>
      <c r="N1824" s="2310"/>
      <c r="O1824" s="2310"/>
      <c r="P1824" s="2109"/>
    </row>
    <row r="1825" spans="1:21" s="2275" customFormat="1" ht="90" customHeight="1">
      <c r="A1825" s="2224"/>
      <c r="B1825" s="2224"/>
      <c r="C1825" s="2224"/>
      <c r="D1825" s="2224"/>
      <c r="E1825" s="2224"/>
      <c r="F1825" s="2224"/>
      <c r="G1825" s="2224"/>
      <c r="H1825" s="2224"/>
      <c r="I1825" s="2224"/>
      <c r="J1825" s="2224"/>
      <c r="K1825" s="2224"/>
      <c r="L1825" s="2224"/>
      <c r="M1825" s="2224"/>
      <c r="N1825" s="2224"/>
      <c r="O1825" s="2224"/>
      <c r="P1825" s="2224"/>
      <c r="Q1825" s="1856"/>
      <c r="R1825" s="1856"/>
    </row>
    <row r="1826" spans="1:21" s="1853" customFormat="1" ht="7.5" customHeight="1">
      <c r="M1826" s="1818"/>
      <c r="N1826" s="2109"/>
      <c r="O1826" s="2109"/>
      <c r="P1826" s="2109"/>
    </row>
    <row r="1827" spans="1:21" s="2275" customFormat="1" ht="13.5" customHeight="1">
      <c r="A1827" s="2307" t="s">
        <v>505</v>
      </c>
      <c r="B1827" s="2154" t="s">
        <v>2501</v>
      </c>
      <c r="D1827" s="2380"/>
      <c r="H1827" s="2383" t="s">
        <v>6381</v>
      </c>
      <c r="I1827" s="1913" t="s">
        <v>6372</v>
      </c>
      <c r="J1827" s="2045">
        <f>$M$56</f>
        <v>0</v>
      </c>
      <c r="K1827" s="2045" t="s">
        <v>367</v>
      </c>
      <c r="L1827" s="2045" t="str">
        <f>$M$1762</f>
        <v>New Supply</v>
      </c>
      <c r="M1827" s="2109">
        <v>6</v>
      </c>
      <c r="N1827" s="2256"/>
      <c r="O1827" s="2304">
        <f>'Part IX Scoring Criteria'!O108</f>
        <v>2</v>
      </c>
      <c r="P1827" s="2304">
        <f>'Part IX Scoring Criteria'!P108</f>
        <v>0</v>
      </c>
      <c r="Q1827" s="2109" t="s">
        <v>422</v>
      </c>
      <c r="R1827" s="2245" t="s">
        <v>7178</v>
      </c>
      <c r="S1827" s="2245"/>
      <c r="T1827" s="2245"/>
      <c r="U1827" s="2245"/>
    </row>
    <row r="1828" spans="1:21" s="2275" customFormat="1" ht="17.25" customHeight="1">
      <c r="A1828" s="2307"/>
      <c r="B1828" s="1719" t="s">
        <v>3468</v>
      </c>
      <c r="D1828" s="2380"/>
      <c r="H1828" s="1719"/>
      <c r="M1828" s="2109"/>
      <c r="N1828" s="2256"/>
      <c r="O1828" s="2384" t="s">
        <v>3270</v>
      </c>
      <c r="P1828" s="2384" t="s">
        <v>3271</v>
      </c>
      <c r="Q1828" s="2109"/>
      <c r="R1828" s="2245"/>
      <c r="S1828" s="2245"/>
      <c r="T1828" s="2245"/>
      <c r="U1828" s="2245"/>
    </row>
    <row r="1829" spans="1:21" s="2275" customFormat="1" ht="11.25" customHeight="1">
      <c r="A1829" s="2307"/>
      <c r="B1829" s="2385" t="s">
        <v>1895</v>
      </c>
      <c r="C1829" s="435" t="s">
        <v>3983</v>
      </c>
      <c r="D1829" s="2382"/>
      <c r="E1829" s="2285"/>
      <c r="F1829" s="2285"/>
      <c r="G1829" s="2285"/>
      <c r="H1829" s="2157"/>
      <c r="I1829" s="2157"/>
      <c r="M1829" s="2109"/>
      <c r="N1829" s="2256"/>
      <c r="O1829" s="2231" t="str">
        <f>'Part IX Scoring Criteria'!O110</f>
        <v>Yes</v>
      </c>
      <c r="P1829" s="2165"/>
      <c r="Q1829" s="2109"/>
      <c r="R1829" s="2245"/>
      <c r="S1829" s="2245"/>
      <c r="T1829" s="2245"/>
      <c r="U1829" s="2245"/>
    </row>
    <row r="1830" spans="1:21" s="2275" customFormat="1" ht="11.25" customHeight="1">
      <c r="A1830" s="2307"/>
      <c r="B1830" s="2385" t="s">
        <v>1897</v>
      </c>
      <c r="C1830" s="435" t="s">
        <v>3984</v>
      </c>
      <c r="D1830" s="2382"/>
      <c r="E1830" s="2285"/>
      <c r="F1830" s="2285"/>
      <c r="G1830" s="2285"/>
      <c r="H1830" s="2157"/>
      <c r="I1830" s="2157"/>
      <c r="J1830" s="1719"/>
      <c r="K1830" s="1719"/>
      <c r="L1830" s="2285"/>
      <c r="M1830" s="2285"/>
      <c r="N1830" s="2256"/>
      <c r="O1830" s="2231" t="str">
        <f>'Part IX Scoring Criteria'!O111</f>
        <v>Yes</v>
      </c>
      <c r="P1830" s="2165"/>
      <c r="Q1830" s="2109"/>
      <c r="R1830" s="2245"/>
      <c r="S1830" s="2245"/>
      <c r="T1830" s="2245"/>
      <c r="U1830" s="2245"/>
    </row>
    <row r="1831" spans="1:21" s="2275" customFormat="1" ht="11.25" customHeight="1">
      <c r="A1831" s="2307"/>
      <c r="B1831" s="2385" t="s">
        <v>2415</v>
      </c>
      <c r="C1831" s="435" t="s">
        <v>6385</v>
      </c>
      <c r="D1831" s="2382"/>
      <c r="E1831" s="2285"/>
      <c r="F1831" s="2285"/>
      <c r="G1831" s="2285"/>
      <c r="H1831" s="2157"/>
      <c r="I1831" s="2157"/>
      <c r="J1831" s="1719"/>
      <c r="K1831" s="1719"/>
      <c r="L1831" s="2285"/>
      <c r="M1831" s="2285"/>
      <c r="N1831" s="2256"/>
      <c r="O1831" s="2231" t="str">
        <f>'Part IX Scoring Criteria'!O112</f>
        <v>N/a</v>
      </c>
      <c r="P1831" s="2165"/>
      <c r="Q1831" s="2109"/>
      <c r="R1831" s="2245"/>
      <c r="S1831" s="2245"/>
      <c r="T1831" s="2245"/>
      <c r="U1831" s="2245"/>
    </row>
    <row r="1832" spans="1:21" s="2275" customFormat="1" ht="11.25" customHeight="1">
      <c r="A1832" s="2307"/>
      <c r="B1832" s="2385" t="s">
        <v>1178</v>
      </c>
      <c r="C1832" s="435" t="s">
        <v>7179</v>
      </c>
      <c r="D1832" s="2382"/>
      <c r="E1832" s="2285"/>
      <c r="F1832" s="2285"/>
      <c r="G1832" s="2285"/>
      <c r="H1832" s="2157"/>
      <c r="I1832" s="2157"/>
      <c r="J1832" s="1719"/>
      <c r="K1832" s="1719"/>
      <c r="L1832" s="2285"/>
      <c r="M1832" s="2285"/>
      <c r="N1832" s="2256"/>
      <c r="O1832" s="2231" t="str">
        <f>'Part IX Scoring Criteria'!O113</f>
        <v>Yes</v>
      </c>
      <c r="P1832" s="2165"/>
      <c r="Q1832" s="2109"/>
      <c r="R1832" s="2245"/>
      <c r="S1832" s="2245"/>
      <c r="T1832" s="2245"/>
      <c r="U1832" s="2245"/>
    </row>
    <row r="1833" spans="1:21" s="2275" customFormat="1" ht="11.25" customHeight="1">
      <c r="A1833" s="2307"/>
      <c r="B1833" s="2385">
        <v>5</v>
      </c>
      <c r="C1833" s="435" t="s">
        <v>6547</v>
      </c>
      <c r="D1833" s="2382"/>
      <c r="E1833" s="2285"/>
      <c r="F1833" s="2285"/>
      <c r="G1833" s="2285"/>
      <c r="H1833" s="2157"/>
      <c r="I1833" s="2157"/>
      <c r="J1833" s="1719"/>
      <c r="K1833" s="1719"/>
      <c r="L1833" s="2285"/>
      <c r="M1833" s="2285"/>
      <c r="N1833" s="2256"/>
      <c r="O1833" s="2231" t="str">
        <f>'Part IX Scoring Criteria'!O114</f>
        <v>N/a</v>
      </c>
      <c r="P1833" s="2165"/>
      <c r="Q1833" s="2109"/>
      <c r="R1833" s="2245"/>
      <c r="S1833" s="2245"/>
      <c r="T1833" s="2245"/>
      <c r="U1833" s="2245"/>
    </row>
    <row r="1834" spans="1:21" s="2275" customFormat="1" ht="3" customHeight="1">
      <c r="A1834" s="2307"/>
      <c r="B1834" s="2154"/>
      <c r="D1834" s="2380"/>
      <c r="H1834" s="2157"/>
      <c r="I1834" s="2157"/>
      <c r="J1834" s="1719"/>
      <c r="K1834" s="1719"/>
      <c r="M1834" s="2109"/>
      <c r="N1834" s="2256"/>
      <c r="O1834" s="2193"/>
      <c r="P1834" s="2193"/>
      <c r="Q1834" s="2109"/>
      <c r="R1834" s="2245"/>
      <c r="S1834" s="2245"/>
      <c r="T1834" s="2245"/>
      <c r="U1834" s="2245"/>
    </row>
    <row r="1835" spans="1:21" s="2275" customFormat="1" ht="13.5" customHeight="1">
      <c r="A1835" s="2307"/>
      <c r="B1835" s="1719" t="s">
        <v>3472</v>
      </c>
      <c r="D1835" s="2380"/>
      <c r="F1835" s="1719" t="s">
        <v>3346</v>
      </c>
      <c r="G1835" s="1719"/>
      <c r="H1835" s="1719"/>
      <c r="I1835" s="1719"/>
      <c r="J1835" s="1719" t="s">
        <v>3347</v>
      </c>
      <c r="K1835" s="1719"/>
      <c r="L1835" s="1719"/>
      <c r="M1835" s="1719"/>
      <c r="N1835" s="2256"/>
      <c r="O1835" s="2386" t="s">
        <v>7180</v>
      </c>
      <c r="P1835" s="2386"/>
      <c r="Q1835" s="2109"/>
      <c r="R1835" s="2245"/>
      <c r="S1835" s="2245"/>
      <c r="T1835" s="2245"/>
      <c r="U1835" s="2245"/>
    </row>
    <row r="1836" spans="1:21" s="2275" customFormat="1" ht="12.75" customHeight="1">
      <c r="A1836" s="2307"/>
      <c r="C1836" s="1719" t="s">
        <v>3471</v>
      </c>
      <c r="D1836" s="1990"/>
      <c r="E1836" s="1876"/>
      <c r="F1836" s="1873" t="str">
        <f>'Part IX Scoring Criteria'!F117</f>
        <v>32.876573°</v>
      </c>
      <c r="G1836" s="1873"/>
      <c r="H1836" s="2387"/>
      <c r="I1836" s="2387"/>
      <c r="J1836" s="1873" t="str">
        <f>'Part IX Scoring Criteria'!J117</f>
        <v>-85.158506°</v>
      </c>
      <c r="K1836" s="1873"/>
      <c r="L1836" s="2387"/>
      <c r="M1836" s="2387"/>
      <c r="N1836" s="2256"/>
      <c r="Q1836" s="2109"/>
      <c r="R1836" s="2245"/>
      <c r="S1836" s="2245"/>
      <c r="T1836" s="2245"/>
      <c r="U1836" s="2245"/>
    </row>
    <row r="1837" spans="1:21" s="2275" customFormat="1" ht="12.75" customHeight="1">
      <c r="A1837" s="2388" t="s">
        <v>3541</v>
      </c>
      <c r="B1837" s="2388"/>
      <c r="E1837" s="2256" t="s">
        <v>6387</v>
      </c>
      <c r="F1837" s="1873" t="str">
        <f>'Part IX Scoring Criteria'!F118</f>
        <v>N/A - On Call Service</v>
      </c>
      <c r="G1837" s="1873"/>
      <c r="H1837" s="2387"/>
      <c r="I1837" s="2387"/>
      <c r="J1837" s="1873" t="str">
        <f>'Part IX Scoring Criteria'!J118</f>
        <v>N/A - On Call Service</v>
      </c>
      <c r="K1837" s="1873"/>
      <c r="L1837" s="2387"/>
      <c r="M1837" s="2387"/>
      <c r="N1837" s="2256"/>
      <c r="O1837" s="2389" t="str">
        <f>'Part IX Scoring Criteria'!O118</f>
        <v>N/A</v>
      </c>
      <c r="P1837" s="2390"/>
      <c r="Q1837" s="2109"/>
      <c r="R1837" s="2245"/>
      <c r="S1837" s="2245"/>
      <c r="T1837" s="2245"/>
      <c r="U1837" s="2245"/>
    </row>
    <row r="1838" spans="1:21" s="2275" customFormat="1" ht="12.75" customHeight="1">
      <c r="A1838" s="2388"/>
      <c r="B1838" s="2388"/>
      <c r="C1838" s="1719" t="s">
        <v>3515</v>
      </c>
      <c r="D1838" s="1990"/>
      <c r="E1838" s="1876"/>
      <c r="F1838" s="1873" t="str">
        <f>'Part IX Scoring Criteria'!F119</f>
        <v>32.876409°</v>
      </c>
      <c r="G1838" s="1873"/>
      <c r="H1838" s="2387"/>
      <c r="I1838" s="2387"/>
      <c r="J1838" s="1873" t="str">
        <f>'Part IX Scoring Criteria'!J119</f>
        <v>-85.160113°</v>
      </c>
      <c r="K1838" s="1873"/>
      <c r="L1838" s="2387"/>
      <c r="M1838" s="2387"/>
      <c r="N1838" s="2256"/>
      <c r="O1838" s="2256"/>
      <c r="P1838" s="2256"/>
      <c r="Q1838" s="2109"/>
      <c r="R1838" s="2245"/>
      <c r="S1838" s="2245"/>
      <c r="T1838" s="2245"/>
      <c r="U1838" s="2245"/>
    </row>
    <row r="1839" spans="1:21" s="2275" customFormat="1" ht="12.75" customHeight="1">
      <c r="A1839" s="2388"/>
      <c r="B1839" s="2388"/>
      <c r="E1839" s="2256" t="s">
        <v>3514</v>
      </c>
      <c r="F1839" s="1873" t="str">
        <f>'Part IX Scoring Criteria'!F120</f>
        <v>N/A - On Call Service</v>
      </c>
      <c r="G1839" s="1873"/>
      <c r="H1839" s="2387"/>
      <c r="I1839" s="2387"/>
      <c r="J1839" s="1873" t="str">
        <f>'Part IX Scoring Criteria'!J120</f>
        <v>N/A - On Call Service</v>
      </c>
      <c r="K1839" s="1873"/>
      <c r="L1839" s="2387"/>
      <c r="M1839" s="2387"/>
      <c r="N1839" s="2256"/>
      <c r="O1839" s="2389" t="str">
        <f>'Part IX Scoring Criteria'!O120</f>
        <v>N/A</v>
      </c>
      <c r="P1839" s="2390"/>
      <c r="Q1839" s="2109"/>
      <c r="R1839" s="2245"/>
      <c r="S1839" s="2245"/>
      <c r="T1839" s="2245"/>
      <c r="U1839" s="2245"/>
    </row>
    <row r="1840" spans="1:21" s="2275" customFormat="1" ht="9" customHeight="1">
      <c r="A1840" s="2307"/>
      <c r="B1840" s="2154"/>
      <c r="D1840" s="2380"/>
      <c r="H1840" s="2157"/>
      <c r="I1840" s="2157"/>
      <c r="J1840" s="1719"/>
      <c r="K1840" s="1719"/>
      <c r="M1840" s="2109"/>
      <c r="N1840" s="2256"/>
      <c r="O1840" s="2193"/>
      <c r="P1840" s="2193"/>
      <c r="Q1840" s="2109"/>
      <c r="R1840" s="2245"/>
      <c r="S1840" s="2245"/>
      <c r="T1840" s="2245"/>
      <c r="U1840" s="2245"/>
    </row>
    <row r="1841" spans="1:21" s="2275" customFormat="1" ht="12.6" customHeight="1">
      <c r="A1841" s="2391" t="s">
        <v>6382</v>
      </c>
      <c r="B1841" s="2154"/>
      <c r="D1841" s="2380"/>
      <c r="F1841" s="2171" t="s">
        <v>7181</v>
      </c>
      <c r="I1841" s="1818" t="str">
        <f>IF(AND(O1843&gt;0,O1850&gt;0),"Pick A or B, not both!","")</f>
        <v/>
      </c>
      <c r="J1841" s="1818"/>
      <c r="K1841" s="1818" t="str">
        <f>IF(AND(P1843&gt;0,P1850&gt;0),"Pick A or B, not both!","")</f>
        <v/>
      </c>
      <c r="L1841" s="1818"/>
      <c r="M1841" s="2109"/>
      <c r="N1841" s="2109"/>
      <c r="O1841" s="2109"/>
      <c r="P1841" s="2109"/>
      <c r="Q1841" s="2109"/>
      <c r="R1841" s="2245"/>
      <c r="S1841" s="2245"/>
      <c r="T1841" s="2245"/>
      <c r="U1841" s="2245"/>
    </row>
    <row r="1842" spans="1:21" s="2275" customFormat="1" ht="2.25" customHeight="1">
      <c r="A1842" s="2391"/>
      <c r="B1842" s="2154"/>
      <c r="D1842" s="2380"/>
      <c r="F1842" s="2171"/>
      <c r="M1842" s="2109"/>
      <c r="N1842" s="2109"/>
      <c r="O1842" s="2109"/>
      <c r="P1842" s="2109"/>
      <c r="Q1842" s="2109"/>
      <c r="R1842" s="2245"/>
      <c r="S1842" s="2245"/>
      <c r="T1842" s="2245"/>
      <c r="U1842" s="2245"/>
    </row>
    <row r="1843" spans="1:21" s="2275" customFormat="1" ht="12.6" customHeight="1">
      <c r="A1843" s="2258" t="s">
        <v>1892</v>
      </c>
      <c r="B1843" s="1719" t="s">
        <v>3369</v>
      </c>
      <c r="D1843" s="2380"/>
      <c r="F1843" s="2157" t="s">
        <v>7182</v>
      </c>
      <c r="M1843" s="2109">
        <v>6</v>
      </c>
      <c r="N1843" s="2360" t="s">
        <v>1892</v>
      </c>
      <c r="O1843" s="2193">
        <f>'Part IX Scoring Criteria'!O124</f>
        <v>0</v>
      </c>
      <c r="P1843" s="2193">
        <f>'Part IX Scoring Criteria'!P124</f>
        <v>0</v>
      </c>
      <c r="Q1843" s="2109"/>
    </row>
    <row r="1844" spans="1:21" s="2275" customFormat="1" ht="12.6" customHeight="1">
      <c r="A1844" s="2258"/>
      <c r="B1844" s="435" t="s">
        <v>6389</v>
      </c>
      <c r="D1844" s="2380"/>
      <c r="F1844" s="2157"/>
      <c r="M1844" s="2109"/>
      <c r="N1844" s="2360"/>
      <c r="O1844" s="2231" t="str">
        <f>'Part IX Scoring Criteria'!O125</f>
        <v>N/a</v>
      </c>
      <c r="P1844" s="2165"/>
      <c r="Q1844" s="2109"/>
    </row>
    <row r="1845" spans="1:21" s="2392" customFormat="1" ht="36.75" customHeight="1">
      <c r="B1845" s="2393" t="s">
        <v>1895</v>
      </c>
      <c r="C1845" s="2224" t="s">
        <v>7183</v>
      </c>
      <c r="D1845" s="2224"/>
      <c r="E1845" s="2224"/>
      <c r="F1845" s="2224"/>
      <c r="G1845" s="2224"/>
      <c r="H1845" s="2224"/>
      <c r="I1845" s="2004" t="s">
        <v>7184</v>
      </c>
      <c r="J1845" s="2004"/>
      <c r="K1845" s="2004"/>
      <c r="L1845" s="2004"/>
      <c r="M1845" s="2310">
        <v>6</v>
      </c>
      <c r="N1845" s="2393" t="s">
        <v>1895</v>
      </c>
      <c r="O1845" s="2394">
        <f>'Part IX Scoring Criteria'!O126</f>
        <v>0</v>
      </c>
      <c r="P1845" s="2395"/>
      <c r="Q1845" s="2283"/>
      <c r="R1845" s="1859" t="s">
        <v>4264</v>
      </c>
    </row>
    <row r="1846" spans="1:21" s="2392" customFormat="1" ht="12" customHeight="1">
      <c r="A1846" s="2165" t="s">
        <v>1304</v>
      </c>
      <c r="B1846" s="2393" t="s">
        <v>1897</v>
      </c>
      <c r="C1846" s="2224" t="s">
        <v>6384</v>
      </c>
      <c r="D1846" s="2224"/>
      <c r="E1846" s="2224"/>
      <c r="F1846" s="2224"/>
      <c r="G1846" s="2224"/>
      <c r="I1846" s="2004"/>
      <c r="J1846" s="2004"/>
      <c r="K1846" s="2004"/>
      <c r="L1846" s="2004"/>
      <c r="M1846" s="2109">
        <v>5</v>
      </c>
      <c r="N1846" s="2385" t="s">
        <v>1897</v>
      </c>
      <c r="O1846" s="2381">
        <f>'Part IX Scoring Criteria'!O127</f>
        <v>0</v>
      </c>
      <c r="P1846" s="2304"/>
      <c r="Q1846" s="2283"/>
      <c r="R1846" s="1859" t="s">
        <v>4264</v>
      </c>
    </row>
    <row r="1847" spans="1:21" s="2392" customFormat="1" ht="12" customHeight="1">
      <c r="B1847" s="2393"/>
      <c r="C1847" s="2224"/>
      <c r="D1847" s="2224"/>
      <c r="E1847" s="2224"/>
      <c r="F1847" s="2224"/>
      <c r="G1847" s="1865" t="s">
        <v>6388</v>
      </c>
      <c r="H1847" s="1865"/>
      <c r="I1847" s="2004"/>
      <c r="J1847" s="2004"/>
      <c r="K1847" s="2004"/>
      <c r="L1847" s="2004"/>
      <c r="M1847" s="435" t="str">
        <f>IF(AND(O1846&gt;0,O1845&gt;0),"Pick A1 or A2!","")</f>
        <v/>
      </c>
      <c r="N1847" s="435"/>
      <c r="O1847" s="435"/>
      <c r="P1847" s="435"/>
      <c r="Q1847" s="2283"/>
      <c r="R1847" s="2045" t="s">
        <v>6566</v>
      </c>
      <c r="S1847" s="2045" t="s">
        <v>6383</v>
      </c>
    </row>
    <row r="1848" spans="1:21" s="2392" customFormat="1" ht="12" customHeight="1">
      <c r="B1848" s="2393"/>
      <c r="C1848" s="2224"/>
      <c r="D1848" s="2224"/>
      <c r="E1848" s="2224"/>
      <c r="F1848" s="2224"/>
      <c r="G1848" s="2396">
        <f>'Part IX Scoring Criteria'!G129</f>
        <v>0</v>
      </c>
      <c r="H1848" s="2397"/>
      <c r="I1848" s="2004"/>
      <c r="J1848" s="2004"/>
      <c r="K1848" s="2004"/>
      <c r="L1848" s="2004"/>
      <c r="Q1848" s="2398"/>
      <c r="R1848" s="2165">
        <v>0.25</v>
      </c>
      <c r="S1848" s="2165">
        <v>5</v>
      </c>
    </row>
    <row r="1849" spans="1:21" s="2392" customFormat="1" ht="12" customHeight="1">
      <c r="B1849" s="2393"/>
      <c r="C1849" s="2224"/>
      <c r="D1849" s="2224"/>
      <c r="E1849" s="2224"/>
      <c r="F1849" s="2224"/>
      <c r="G1849" s="2165"/>
      <c r="H1849" s="2165"/>
      <c r="I1849" s="2004"/>
      <c r="J1849" s="2004"/>
      <c r="K1849" s="2004"/>
      <c r="L1849" s="2004"/>
      <c r="M1849" s="2285"/>
      <c r="N1849" s="2285"/>
      <c r="O1849" s="2285"/>
      <c r="P1849" s="2285"/>
      <c r="Q1849" s="2398"/>
      <c r="R1849" s="2165">
        <v>0.5</v>
      </c>
      <c r="S1849" s="2165">
        <v>4.5</v>
      </c>
    </row>
    <row r="1850" spans="1:21" s="2392" customFormat="1" ht="12" customHeight="1">
      <c r="A1850" s="2258" t="s">
        <v>1894</v>
      </c>
      <c r="B1850" s="1843" t="s">
        <v>3370</v>
      </c>
      <c r="C1850" s="1843"/>
      <c r="D1850" s="1843"/>
      <c r="F1850" s="2228" t="s">
        <v>7185</v>
      </c>
      <c r="I1850" s="1952" t="str">
        <f>'Part IX Scoring Criteria'!I131</f>
        <v>Troup County Transit</v>
      </c>
      <c r="J1850" s="1952"/>
      <c r="K1850" s="1952"/>
      <c r="L1850" s="2399" t="str">
        <f>'Part IX Scoring Criteria'!L131</f>
        <v>706 883 1673</v>
      </c>
      <c r="M1850" s="2109">
        <v>3</v>
      </c>
      <c r="N1850" s="2256" t="s">
        <v>1894</v>
      </c>
      <c r="O1850" s="2193">
        <f>'Part IX Scoring Criteria'!O131</f>
        <v>0</v>
      </c>
      <c r="P1850" s="2193">
        <f>'Part IX Scoring Criteria'!P131</f>
        <v>0</v>
      </c>
      <c r="Q1850" s="2400"/>
      <c r="R1850" s="2165">
        <v>1</v>
      </c>
      <c r="S1850" s="2165">
        <v>4</v>
      </c>
    </row>
    <row r="1851" spans="1:21" s="2275" customFormat="1" ht="11.25" customHeight="1">
      <c r="A1851" s="2307"/>
      <c r="B1851" s="2256" t="s">
        <v>3394</v>
      </c>
      <c r="C1851" s="1865" t="s">
        <v>3982</v>
      </c>
      <c r="D1851" s="2382"/>
      <c r="F1851" s="2285"/>
      <c r="G1851" s="2285"/>
      <c r="H1851" s="2157"/>
      <c r="I1851" s="1952"/>
      <c r="J1851" s="1952"/>
      <c r="K1851" s="1952"/>
      <c r="L1851" s="2399"/>
      <c r="M1851" s="2285"/>
      <c r="N1851" s="2256" t="s">
        <v>3394</v>
      </c>
      <c r="O1851" s="2231" t="str">
        <f>'Part IX Scoring Criteria'!O132</f>
        <v>Yes</v>
      </c>
      <c r="P1851" s="2165"/>
      <c r="Q1851" s="2109"/>
      <c r="R1851" s="1968"/>
      <c r="S1851" s="2392"/>
      <c r="T1851" s="2392"/>
      <c r="U1851" s="2392"/>
    </row>
    <row r="1852" spans="1:21" s="2275" customFormat="1" ht="11.25" customHeight="1">
      <c r="A1852" s="2307"/>
      <c r="B1852" s="2256" t="s">
        <v>3395</v>
      </c>
      <c r="C1852" s="1865" t="s">
        <v>3981</v>
      </c>
      <c r="D1852" s="2382"/>
      <c r="F1852" s="2285"/>
      <c r="G1852" s="2285"/>
      <c r="H1852" s="2157"/>
      <c r="I1852" s="1952" t="str">
        <f>'Part IX Scoring Criteria'!I133</f>
        <v>transit@troupco.org</v>
      </c>
      <c r="J1852" s="1952"/>
      <c r="K1852" s="1952"/>
      <c r="L1852" s="1952"/>
      <c r="M1852" s="2285"/>
      <c r="N1852" s="2256" t="s">
        <v>3395</v>
      </c>
      <c r="O1852" s="2231" t="str">
        <f>'Part IX Scoring Criteria'!O133</f>
        <v>N/a</v>
      </c>
      <c r="P1852" s="2165"/>
      <c r="Q1852" s="2109"/>
      <c r="R1852" s="1968"/>
      <c r="S1852" s="2392"/>
      <c r="T1852" s="2392"/>
      <c r="U1852" s="2392"/>
    </row>
    <row r="1853" spans="1:21" s="2392" customFormat="1" ht="12" customHeight="1">
      <c r="A1853" s="2142"/>
      <c r="B1853" s="2401" t="s">
        <v>1895</v>
      </c>
      <c r="C1853" s="435" t="s">
        <v>7186</v>
      </c>
      <c r="D1853" s="435"/>
      <c r="E1853" s="435"/>
      <c r="F1853" s="435"/>
      <c r="G1853" s="435"/>
      <c r="H1853" s="435"/>
      <c r="I1853" s="1952"/>
      <c r="J1853" s="1952"/>
      <c r="K1853" s="1952"/>
      <c r="L1853" s="1952"/>
      <c r="M1853" s="2109">
        <v>3</v>
      </c>
      <c r="N1853" s="2385" t="s">
        <v>1895</v>
      </c>
      <c r="O1853" s="2372">
        <f>'Part IX Scoring Criteria'!O134</f>
        <v>0</v>
      </c>
      <c r="P1853" s="2193"/>
      <c r="Q1853" s="2398" t="str">
        <f>IF(OR($O1853=$M1853,$O1853=0,$O1853=""),"","*CHECK!*")</f>
        <v/>
      </c>
      <c r="R1853" s="1859" t="s">
        <v>4264</v>
      </c>
    </row>
    <row r="1854" spans="1:21" s="2275" customFormat="1" ht="12" customHeight="1">
      <c r="A1854" s="2165" t="s">
        <v>1304</v>
      </c>
      <c r="B1854" s="2401" t="s">
        <v>1897</v>
      </c>
      <c r="C1854" s="435" t="s">
        <v>7187</v>
      </c>
      <c r="D1854" s="435"/>
      <c r="E1854" s="435"/>
      <c r="F1854" s="435"/>
      <c r="G1854" s="435"/>
      <c r="H1854" s="435"/>
      <c r="I1854" s="1952" t="str">
        <f>'Part IX Scoring Criteria'!I135</f>
        <v>http://www.troupcountyga.org/Services/Transit</v>
      </c>
      <c r="J1854" s="1952"/>
      <c r="K1854" s="1952"/>
      <c r="L1854" s="1952"/>
      <c r="M1854" s="2109">
        <v>2</v>
      </c>
      <c r="N1854" s="2385" t="s">
        <v>1897</v>
      </c>
      <c r="O1854" s="2372">
        <f>'Part IX Scoring Criteria'!O135</f>
        <v>0</v>
      </c>
      <c r="P1854" s="2193"/>
      <c r="Q1854" s="2398" t="str">
        <f>IF(OR($O1854=$M1854,$O1854=0,$O1854=""),"","*CHECK!*")</f>
        <v/>
      </c>
      <c r="R1854" s="1859" t="s">
        <v>4264</v>
      </c>
    </row>
    <row r="1855" spans="1:21" s="2275" customFormat="1" ht="21.75" customHeight="1">
      <c r="A1855" s="2253" t="s">
        <v>1304</v>
      </c>
      <c r="B1855" s="2402" t="s">
        <v>2415</v>
      </c>
      <c r="C1855" s="2224" t="s">
        <v>7188</v>
      </c>
      <c r="D1855" s="2224"/>
      <c r="E1855" s="2224"/>
      <c r="F1855" s="2224"/>
      <c r="G1855" s="2224"/>
      <c r="H1855" s="2224"/>
      <c r="I1855" s="1952"/>
      <c r="J1855" s="1952"/>
      <c r="K1855" s="1952"/>
      <c r="L1855" s="1952"/>
      <c r="M1855" s="2310">
        <v>1</v>
      </c>
      <c r="N1855" s="2393" t="s">
        <v>2415</v>
      </c>
      <c r="O1855" s="2372">
        <f>'Part IX Scoring Criteria'!O136</f>
        <v>0</v>
      </c>
      <c r="P1855" s="2403"/>
      <c r="Q1855" s="2398" t="str">
        <f>IF(OR($O1855=$M1855,$O1855=0,$O1855=""),"","*CHECK!*")</f>
        <v/>
      </c>
      <c r="R1855" s="1859" t="s">
        <v>4264</v>
      </c>
    </row>
    <row r="1856" spans="1:21" s="2275" customFormat="1" ht="12.6" customHeight="1">
      <c r="A1856" s="2391" t="s">
        <v>2607</v>
      </c>
      <c r="B1856" s="1719"/>
      <c r="E1856" s="2380"/>
      <c r="I1856" s="1952" t="str">
        <f>'Part IX Scoring Criteria'!I137</f>
        <v>N/A - On-call service with no fixed routes. All service information can be found at the URL above.</v>
      </c>
      <c r="J1856" s="1952"/>
      <c r="K1856" s="1952"/>
      <c r="L1856" s="1952"/>
      <c r="M1856" s="2109"/>
      <c r="N1856" s="2109"/>
      <c r="O1856" s="2109"/>
      <c r="P1856" s="2109"/>
      <c r="Q1856" s="2367"/>
      <c r="R1856" s="2367"/>
    </row>
    <row r="1857" spans="1:19" s="2285" customFormat="1" ht="12" customHeight="1">
      <c r="A1857" s="2142"/>
      <c r="B1857" s="2393" t="s">
        <v>1178</v>
      </c>
      <c r="C1857" s="1719" t="s">
        <v>7189</v>
      </c>
      <c r="D1857" s="1719"/>
      <c r="E1857" s="1719"/>
      <c r="F1857" s="1719"/>
      <c r="G1857" s="1719"/>
      <c r="H1857" s="1719"/>
      <c r="I1857" s="1952"/>
      <c r="J1857" s="1952"/>
      <c r="K1857" s="1952"/>
      <c r="L1857" s="1952"/>
      <c r="M1857" s="2109">
        <v>2</v>
      </c>
      <c r="N1857" s="2385" t="s">
        <v>1178</v>
      </c>
      <c r="O1857" s="2372">
        <f>'Part IX Scoring Criteria'!O138</f>
        <v>2</v>
      </c>
      <c r="P1857" s="2193"/>
      <c r="Q1857" s="2398" t="str">
        <f>IF(OR($O1857=$M1857,$O1857=0,$O1857=""),"","*CHECK!*")</f>
        <v/>
      </c>
      <c r="R1857" s="1859" t="s">
        <v>4264</v>
      </c>
    </row>
    <row r="1858" spans="1:19" s="2285" customFormat="1" ht="12" customHeight="1">
      <c r="A1858" s="2142"/>
      <c r="B1858" s="2393"/>
      <c r="C1858" s="1719" t="s">
        <v>7190</v>
      </c>
      <c r="D1858" s="1719"/>
      <c r="E1858" s="1719"/>
      <c r="F1858" s="1719"/>
      <c r="G1858" s="1719"/>
      <c r="H1858" s="1719"/>
      <c r="I1858" s="1719"/>
      <c r="J1858" s="1719"/>
      <c r="K1858" s="1719"/>
      <c r="L1858" s="1719"/>
      <c r="M1858" s="1719"/>
      <c r="N1858" s="1719"/>
      <c r="O1858" s="1719"/>
      <c r="P1858" s="1719"/>
      <c r="Q1858" s="2398"/>
      <c r="R1858" s="1968"/>
    </row>
    <row r="1859" spans="1:19" s="2275" customFormat="1" ht="12.6" customHeight="1">
      <c r="A1859" s="435" t="s">
        <v>7191</v>
      </c>
      <c r="B1859" s="1719"/>
      <c r="E1859" s="2380"/>
      <c r="K1859" s="1719"/>
      <c r="M1859" s="2109"/>
      <c r="N1859" s="2109"/>
      <c r="O1859" s="2109"/>
      <c r="P1859" s="2109"/>
      <c r="Q1859" s="2367"/>
      <c r="R1859" s="2367"/>
    </row>
    <row r="1860" spans="1:19" s="2275" customFormat="1" ht="11.25" customHeight="1">
      <c r="A1860" s="1818"/>
      <c r="B1860" s="2157" t="s">
        <v>3373</v>
      </c>
      <c r="C1860" s="1818"/>
      <c r="D1860" s="1719"/>
      <c r="E1860" s="1719"/>
      <c r="F1860" s="1719"/>
      <c r="G1860" s="1719"/>
      <c r="H1860" s="435"/>
      <c r="K1860" s="1719"/>
      <c r="M1860" s="2109"/>
      <c r="N1860" s="2052"/>
      <c r="O1860" s="2193"/>
      <c r="P1860" s="2052"/>
    </row>
    <row r="1861" spans="1:19" s="2275" customFormat="1" ht="29.25" customHeight="1">
      <c r="A1861" s="2227" t="str">
        <f>'Part IX Scoring Criteria'!A142</f>
        <v>The proposed project site falls within the service area for Troup County Transit, which provides curb-to-curb service as a shared ride system. Operated by the county on a Monday through Friday schedule, the service does not have any fixed routes or stops.</v>
      </c>
      <c r="B1861" s="2227"/>
      <c r="C1861" s="2227"/>
      <c r="D1861" s="2227"/>
      <c r="E1861" s="2227"/>
      <c r="F1861" s="2227"/>
      <c r="G1861" s="2227"/>
      <c r="H1861" s="2227"/>
      <c r="I1861" s="2227"/>
      <c r="J1861" s="2227"/>
      <c r="K1861" s="2227"/>
      <c r="L1861" s="2227"/>
      <c r="M1861" s="2227"/>
      <c r="N1861" s="2227"/>
      <c r="O1861" s="2227"/>
      <c r="P1861" s="2227"/>
      <c r="Q1861" s="1856" t="s">
        <v>1208</v>
      </c>
      <c r="R1861" s="1856"/>
    </row>
    <row r="1862" spans="1:19" s="2285" customFormat="1" ht="11.45" customHeight="1">
      <c r="A1862" s="1818"/>
      <c r="B1862" s="2157" t="s">
        <v>1779</v>
      </c>
      <c r="C1862" s="1818"/>
      <c r="D1862" s="2157"/>
      <c r="E1862" s="2122"/>
      <c r="F1862" s="2122"/>
      <c r="G1862" s="2122"/>
      <c r="H1862" s="2122"/>
      <c r="I1862" s="2122"/>
      <c r="J1862" s="2122"/>
      <c r="K1862" s="2122"/>
      <c r="L1862" s="2122"/>
      <c r="M1862" s="2122"/>
      <c r="N1862" s="2109"/>
      <c r="O1862" s="2109"/>
      <c r="P1862" s="2109"/>
      <c r="Q1862" s="2275"/>
    </row>
    <row r="1863" spans="1:19" s="2275" customFormat="1" ht="11.25" customHeight="1">
      <c r="A1863" s="2224"/>
      <c r="B1863" s="2224"/>
      <c r="C1863" s="2224"/>
      <c r="D1863" s="2224"/>
      <c r="E1863" s="2224"/>
      <c r="F1863" s="2224"/>
      <c r="G1863" s="2224"/>
      <c r="H1863" s="2224"/>
      <c r="I1863" s="2224"/>
      <c r="J1863" s="2224"/>
      <c r="K1863" s="2224"/>
      <c r="L1863" s="2224"/>
      <c r="M1863" s="2224"/>
      <c r="N1863" s="2224"/>
      <c r="O1863" s="2224"/>
      <c r="P1863" s="2224"/>
      <c r="Q1863" s="1856"/>
    </row>
    <row r="1864" spans="1:19" s="1853" customFormat="1" ht="3" customHeight="1">
      <c r="N1864" s="2052"/>
      <c r="O1864" s="2052"/>
      <c r="P1864" s="2052"/>
      <c r="R1864" s="2275"/>
    </row>
    <row r="1865" spans="1:19" s="2275" customFormat="1" ht="3" customHeight="1">
      <c r="A1865" s="1818"/>
      <c r="C1865" s="2229"/>
      <c r="D1865" s="2229"/>
      <c r="E1865" s="2229"/>
      <c r="F1865" s="2229"/>
      <c r="G1865" s="2229"/>
      <c r="H1865" s="2229"/>
      <c r="I1865" s="2229"/>
      <c r="J1865" s="2229"/>
      <c r="K1865" s="2229"/>
      <c r="L1865" s="2229"/>
      <c r="M1865" s="2229"/>
      <c r="N1865" s="2310"/>
      <c r="O1865" s="2310"/>
      <c r="P1865" s="2109"/>
    </row>
    <row r="1866" spans="1:19" s="2275" customFormat="1" ht="13.5" customHeight="1">
      <c r="A1866" s="2307" t="s">
        <v>742</v>
      </c>
      <c r="B1866" s="2154" t="s">
        <v>6393</v>
      </c>
      <c r="C1866" s="2229"/>
      <c r="D1866" s="2229"/>
      <c r="E1866" s="2229"/>
      <c r="G1866" s="2045" t="s">
        <v>3985</v>
      </c>
      <c r="H1866" s="1913" t="str">
        <f>'Part I-Project Information'!$H$77</f>
        <v>Family</v>
      </c>
      <c r="M1866" s="2109">
        <v>3</v>
      </c>
      <c r="N1866" s="2310"/>
      <c r="O1866" s="2111">
        <f>'Part IX Scoring Criteria'!O147</f>
        <v>0</v>
      </c>
      <c r="P1866" s="2109"/>
      <c r="Q1866" s="2283" t="str">
        <f>IF(OR($O1866&lt;=$M1866,$O1866=0,$O1866=""),"","*CHECK!*")</f>
        <v/>
      </c>
      <c r="R1866" s="2106" t="s">
        <v>422</v>
      </c>
      <c r="S1866" s="1859" t="s">
        <v>4264</v>
      </c>
    </row>
    <row r="1867" spans="1:19" ht="18.75" customHeight="1">
      <c r="C1867" s="1973" t="s">
        <v>7192</v>
      </c>
      <c r="D1867" s="1853"/>
      <c r="E1867" s="1853"/>
      <c r="F1867" s="1973"/>
      <c r="G1867" s="1973"/>
      <c r="H1867" s="1973"/>
      <c r="I1867" s="1926"/>
      <c r="J1867" s="2160"/>
      <c r="K1867" s="2046"/>
      <c r="L1867" s="2046"/>
      <c r="M1867" s="2404"/>
    </row>
    <row r="1868" spans="1:19" ht="12" customHeight="1">
      <c r="B1868" s="2085"/>
      <c r="C1868" s="2085"/>
      <c r="D1868" s="2085"/>
      <c r="E1868" s="2085"/>
      <c r="F1868" s="1853"/>
      <c r="G1868" s="1853"/>
      <c r="H1868" s="1951" t="s">
        <v>7097</v>
      </c>
      <c r="I1868" s="1951"/>
      <c r="J1868" s="1951"/>
      <c r="K1868" s="2046" t="s">
        <v>7098</v>
      </c>
      <c r="L1868" s="2046"/>
      <c r="M1868" s="2404"/>
    </row>
    <row r="1869" spans="1:19" ht="12" customHeight="1">
      <c r="B1869" s="2085"/>
      <c r="C1869" s="2085"/>
      <c r="D1869" s="2085"/>
      <c r="E1869" s="2085"/>
      <c r="F1869" s="1853"/>
      <c r="G1869" s="1853"/>
      <c r="H1869" s="1951"/>
      <c r="I1869" s="1951"/>
      <c r="J1869" s="1951"/>
      <c r="K1869" s="2046"/>
      <c r="L1869" s="2046"/>
      <c r="M1869" s="2404"/>
    </row>
    <row r="1870" spans="1:19" ht="12" customHeight="1">
      <c r="B1870" s="2404"/>
      <c r="C1870" s="2160" t="s">
        <v>6837</v>
      </c>
      <c r="D1870" s="2294"/>
      <c r="E1870" s="2404"/>
      <c r="F1870" s="1853"/>
      <c r="G1870" s="1853"/>
      <c r="H1870" s="1951"/>
      <c r="I1870" s="1951"/>
      <c r="J1870" s="1951"/>
      <c r="K1870" s="2046"/>
      <c r="L1870" s="2046"/>
      <c r="M1870" s="2404"/>
    </row>
    <row r="1871" spans="1:19">
      <c r="B1871" s="2085"/>
      <c r="C1871" s="2071">
        <f>'Part IX Scoring Criteria'!C152</f>
        <v>0</v>
      </c>
      <c r="D1871" s="2071"/>
      <c r="E1871" s="2071"/>
      <c r="F1871" s="2071"/>
      <c r="G1871" s="2071"/>
      <c r="H1871" s="2112">
        <f>'Part IX Scoring Criteria'!H152</f>
        <v>0</v>
      </c>
      <c r="I1871" s="2112"/>
      <c r="J1871" s="2112"/>
      <c r="K1871" s="2112">
        <f>'Part IX Scoring Criteria'!K152</f>
        <v>0</v>
      </c>
      <c r="L1871" s="2112"/>
      <c r="M1871" s="2146"/>
    </row>
    <row r="1872" spans="1:19">
      <c r="B1872" s="2085"/>
      <c r="C1872" s="2071">
        <f>'Part IX Scoring Criteria'!C153</f>
        <v>0</v>
      </c>
      <c r="D1872" s="2071"/>
      <c r="E1872" s="2071"/>
      <c r="F1872" s="2071"/>
      <c r="G1872" s="2071"/>
      <c r="H1872" s="2112">
        <f>'Part IX Scoring Criteria'!H153</f>
        <v>0</v>
      </c>
      <c r="I1872" s="2112"/>
      <c r="J1872" s="2112"/>
      <c r="K1872" s="2112">
        <f>'Part IX Scoring Criteria'!K153</f>
        <v>0</v>
      </c>
      <c r="L1872" s="2112"/>
      <c r="M1872" s="2146"/>
    </row>
    <row r="1873" spans="1:21" ht="15">
      <c r="B1873" s="2085"/>
      <c r="C1873" s="2071">
        <f>'Part IX Scoring Criteria'!C154</f>
        <v>0</v>
      </c>
      <c r="D1873" s="2071"/>
      <c r="E1873" s="2071"/>
      <c r="F1873" s="2071"/>
      <c r="G1873" s="2071"/>
      <c r="H1873" s="2112">
        <f>'Part IX Scoring Criteria'!H154</f>
        <v>0</v>
      </c>
      <c r="I1873" s="2112"/>
      <c r="J1873" s="2112"/>
      <c r="K1873" s="2112">
        <f>'Part IX Scoring Criteria'!K154</f>
        <v>0</v>
      </c>
      <c r="L1873" s="2112"/>
      <c r="M1873" s="2146"/>
      <c r="N1873" s="2404"/>
      <c r="O1873" s="2404"/>
    </row>
    <row r="1874" spans="1:21" ht="15">
      <c r="B1874" s="2085"/>
      <c r="C1874" s="2071">
        <f>'Part IX Scoring Criteria'!C155</f>
        <v>0</v>
      </c>
      <c r="D1874" s="2071"/>
      <c r="E1874" s="2071"/>
      <c r="F1874" s="2071"/>
      <c r="G1874" s="2071"/>
      <c r="H1874" s="2112">
        <f>'Part IX Scoring Criteria'!H155</f>
        <v>0</v>
      </c>
      <c r="I1874" s="2112"/>
      <c r="J1874" s="2112"/>
      <c r="K1874" s="2112">
        <f>'Part IX Scoring Criteria'!K155</f>
        <v>0</v>
      </c>
      <c r="L1874" s="2112"/>
      <c r="M1874" s="2146"/>
      <c r="N1874" s="2404"/>
      <c r="O1874" s="2405"/>
    </row>
    <row r="1875" spans="1:21" ht="15">
      <c r="B1875" s="2085"/>
      <c r="C1875" s="2071">
        <f>'Part IX Scoring Criteria'!C156</f>
        <v>0</v>
      </c>
      <c r="D1875" s="2071"/>
      <c r="E1875" s="2071"/>
      <c r="F1875" s="2071"/>
      <c r="G1875" s="2071"/>
      <c r="H1875" s="2112">
        <f>'Part IX Scoring Criteria'!H156</f>
        <v>0</v>
      </c>
      <c r="I1875" s="2112"/>
      <c r="J1875" s="2112"/>
      <c r="K1875" s="2112">
        <f>'Part IX Scoring Criteria'!K156</f>
        <v>0</v>
      </c>
      <c r="L1875" s="2112"/>
      <c r="M1875" s="2146"/>
      <c r="N1875" s="2404"/>
      <c r="O1875" s="2405"/>
    </row>
    <row r="1876" spans="1:21" ht="15">
      <c r="B1876" s="2085"/>
      <c r="C1876" s="2071">
        <f>'Part IX Scoring Criteria'!C157</f>
        <v>0</v>
      </c>
      <c r="D1876" s="2071"/>
      <c r="E1876" s="2071"/>
      <c r="F1876" s="2071"/>
      <c r="G1876" s="2071"/>
      <c r="H1876" s="2112">
        <f>'Part IX Scoring Criteria'!H157</f>
        <v>0</v>
      </c>
      <c r="I1876" s="2112"/>
      <c r="J1876" s="2112"/>
      <c r="K1876" s="2112">
        <f>'Part IX Scoring Criteria'!K157</f>
        <v>0</v>
      </c>
      <c r="L1876" s="2112"/>
      <c r="M1876" s="2146"/>
      <c r="N1876" s="2404"/>
      <c r="O1876" s="2404"/>
    </row>
    <row r="1877" spans="1:21" s="2275" customFormat="1" ht="10.5" customHeight="1">
      <c r="A1877" s="1818"/>
      <c r="B1877" s="2157" t="s">
        <v>3373</v>
      </c>
      <c r="C1877" s="1818"/>
      <c r="D1877" s="1719"/>
      <c r="E1877" s="1719"/>
      <c r="F1877" s="1719"/>
      <c r="G1877" s="1719"/>
      <c r="H1877" s="435"/>
      <c r="I1877" s="435"/>
      <c r="J1877" s="435"/>
      <c r="K1877" s="435"/>
      <c r="M1877" s="2109"/>
      <c r="N1877" s="2052"/>
      <c r="O1877" s="2193"/>
      <c r="P1877" s="2052"/>
    </row>
    <row r="1878" spans="1:21" s="2275" customFormat="1" ht="21.75" customHeight="1">
      <c r="A1878" s="2227" t="str">
        <f>'Part IX Scoring Criteria'!A159</f>
        <v>The applicant is not claiming points in this section, therefore it has been intentionally left blank.</v>
      </c>
      <c r="B1878" s="2227"/>
      <c r="C1878" s="2227"/>
      <c r="D1878" s="2227"/>
      <c r="E1878" s="2227"/>
      <c r="F1878" s="2227"/>
      <c r="G1878" s="2227"/>
      <c r="H1878" s="2227"/>
      <c r="I1878" s="2227"/>
      <c r="J1878" s="2227"/>
      <c r="K1878" s="2227"/>
      <c r="L1878" s="2227"/>
      <c r="M1878" s="2227"/>
      <c r="N1878" s="2227"/>
      <c r="O1878" s="2227"/>
      <c r="P1878" s="2227"/>
      <c r="Q1878" s="1856" t="s">
        <v>1208</v>
      </c>
    </row>
    <row r="1879" spans="1:21" s="2275" customFormat="1" ht="10.5" customHeight="1">
      <c r="A1879" s="1818"/>
      <c r="B1879" s="2228" t="s">
        <v>1779</v>
      </c>
      <c r="C1879" s="1818"/>
      <c r="D1879" s="2228"/>
      <c r="E1879" s="2229"/>
      <c r="F1879" s="2229"/>
      <c r="G1879" s="2229"/>
      <c r="H1879" s="2229"/>
      <c r="I1879" s="2229"/>
      <c r="J1879" s="2229"/>
      <c r="K1879" s="2229"/>
      <c r="L1879" s="2229"/>
      <c r="M1879" s="2229"/>
      <c r="N1879" s="2310"/>
      <c r="O1879" s="2310"/>
      <c r="P1879" s="2109"/>
    </row>
    <row r="1880" spans="1:21" s="2275" customFormat="1" ht="11.25" customHeight="1">
      <c r="A1880" s="2224"/>
      <c r="B1880" s="2224"/>
      <c r="C1880" s="2224"/>
      <c r="D1880" s="2224"/>
      <c r="E1880" s="2224"/>
      <c r="F1880" s="2224"/>
      <c r="G1880" s="2224"/>
      <c r="H1880" s="2224"/>
      <c r="I1880" s="2224"/>
      <c r="J1880" s="2224"/>
      <c r="K1880" s="2224"/>
      <c r="L1880" s="2224"/>
      <c r="M1880" s="2224"/>
      <c r="N1880" s="2224"/>
      <c r="O1880" s="2224"/>
      <c r="P1880" s="2224"/>
      <c r="Q1880" s="1856"/>
      <c r="U1880" s="2406"/>
    </row>
    <row r="1881" spans="1:21" s="2275" customFormat="1" ht="3" customHeight="1">
      <c r="A1881" s="1818"/>
      <c r="C1881" s="2229"/>
      <c r="D1881" s="2229"/>
      <c r="E1881" s="2229"/>
      <c r="F1881" s="2229"/>
      <c r="G1881" s="2229"/>
      <c r="H1881" s="2229"/>
      <c r="I1881" s="2229"/>
      <c r="J1881" s="2229"/>
      <c r="K1881" s="2229"/>
      <c r="L1881" s="2229"/>
      <c r="M1881" s="2229"/>
      <c r="N1881" s="2310"/>
      <c r="O1881" s="2310"/>
      <c r="P1881" s="2109"/>
    </row>
    <row r="1882" spans="1:21" s="2285" customFormat="1" ht="13.5" customHeight="1">
      <c r="A1882" s="2307" t="s">
        <v>281</v>
      </c>
      <c r="B1882" s="2154" t="s">
        <v>3485</v>
      </c>
      <c r="D1882" s="2157"/>
      <c r="E1882" s="2157"/>
      <c r="L1882" s="2407" t="str">
        <f>IF(AND(O1882&gt;0,O1884="",O1897=""),"Indicate subtotal score(s) in A or B below!","")</f>
        <v/>
      </c>
      <c r="M1882" s="2109">
        <v>7</v>
      </c>
      <c r="N1882" s="2109"/>
      <c r="O1882" s="2193">
        <f>'Part IX Scoring Criteria'!O163</f>
        <v>6</v>
      </c>
      <c r="P1882" s="2193">
        <f>'Part IX Scoring Criteria'!P163</f>
        <v>0</v>
      </c>
      <c r="Q1882" s="2109" t="s">
        <v>422</v>
      </c>
      <c r="R1882" s="1859"/>
      <c r="S1882" s="1856"/>
      <c r="T1882" s="1856"/>
      <c r="U1882" s="1856"/>
    </row>
    <row r="1883" spans="1:21" s="2275" customFormat="1" ht="2.25" customHeight="1">
      <c r="A1883" s="2109"/>
      <c r="C1883" s="1719"/>
      <c r="D1883" s="1719"/>
      <c r="E1883" s="1865"/>
      <c r="F1883" s="1719"/>
      <c r="G1883" s="1719"/>
      <c r="H1883" s="1719"/>
      <c r="I1883" s="1719"/>
      <c r="J1883" s="1719"/>
      <c r="K1883" s="1719"/>
      <c r="L1883" s="1719"/>
      <c r="M1883" s="1719"/>
      <c r="N1883" s="1719"/>
      <c r="O1883" s="1719"/>
      <c r="P1883" s="1719"/>
      <c r="R1883" s="1856"/>
      <c r="S1883" s="1856"/>
      <c r="T1883" s="1856"/>
      <c r="U1883" s="1856"/>
    </row>
    <row r="1884" spans="1:21" s="2275" customFormat="1" ht="12" customHeight="1">
      <c r="A1884" s="2142" t="s">
        <v>1892</v>
      </c>
      <c r="B1884" s="1719" t="s">
        <v>6427</v>
      </c>
      <c r="C1884" s="1719"/>
      <c r="D1884" s="1719"/>
      <c r="E1884" s="1719"/>
      <c r="F1884" s="1719"/>
      <c r="G1884" s="1719"/>
      <c r="H1884" s="1719"/>
      <c r="I1884" s="1719"/>
      <c r="J1884" s="1719"/>
      <c r="K1884" s="1719"/>
      <c r="L1884" s="2407" t="str">
        <f>IF( O1884&gt;M1884,"Check score against maximum point value!", IF(AND(O1884&gt;M1885,O1893="",O1894="",O1895=""),"Indicate Additional Point score(s) in 2a, 2b or 2c below!",IF(O1884&gt;2+O1893+O1894+O1895,"Indicate all Additional Point score(s) in 2a, 2b or 2c below!",IF(AND(O1884&gt;=M1885,O1885&lt;M1885),"Additional Points cannot be awarded unless Requirements Points are awarded!",""))))</f>
        <v/>
      </c>
      <c r="M1884" s="2109">
        <v>5</v>
      </c>
      <c r="N1884" s="2256" t="s">
        <v>1892</v>
      </c>
      <c r="O1884" s="2193">
        <f>'Part IX Scoring Criteria'!O165</f>
        <v>4</v>
      </c>
      <c r="P1884" s="2193">
        <f>'Part IX Scoring Criteria'!P165</f>
        <v>0</v>
      </c>
      <c r="Q1884" s="2283" t="str">
        <f>IF(OR($O1884&lt;=$M1884,$O1884=""),"","*CHECK!*")</f>
        <v/>
      </c>
      <c r="R1884" s="1859"/>
      <c r="S1884" s="1856"/>
      <c r="T1884" s="1856"/>
      <c r="U1884" s="1856"/>
    </row>
    <row r="1885" spans="1:21" s="2275" customFormat="1" ht="12.75" customHeight="1">
      <c r="A1885" s="2109"/>
      <c r="B1885" s="2401" t="s">
        <v>1895</v>
      </c>
      <c r="C1885" s="2161" t="s">
        <v>7099</v>
      </c>
      <c r="D1885" s="1719"/>
      <c r="E1885" s="1719"/>
      <c r="F1885" s="1719"/>
      <c r="G1885" s="1719"/>
      <c r="H1885" s="1719"/>
      <c r="I1885" s="1719"/>
      <c r="J1885" s="1719"/>
      <c r="K1885" s="1719"/>
      <c r="L1885" s="1719"/>
      <c r="M1885" s="2109">
        <v>2</v>
      </c>
      <c r="N1885" s="2225" t="s">
        <v>1658</v>
      </c>
      <c r="O1885" s="2408">
        <f>'Part IX Scoring Criteria'!O166</f>
        <v>2</v>
      </c>
      <c r="P1885" s="2363"/>
      <c r="Q1885" s="2283" t="str">
        <f>IF(OR($O1885=$M1885,$O1885=0,$O1885=""),"","*CHECK!*")</f>
        <v/>
      </c>
      <c r="R1885" s="1859" t="s">
        <v>4264</v>
      </c>
      <c r="S1885" s="1856"/>
      <c r="T1885" s="1856"/>
      <c r="U1885" s="1856"/>
    </row>
    <row r="1886" spans="1:21" s="2159" customFormat="1" ht="12" customHeight="1">
      <c r="B1886" s="2225" t="s">
        <v>2323</v>
      </c>
      <c r="C1886" s="2224" t="s">
        <v>7193</v>
      </c>
      <c r="D1886" s="2224"/>
      <c r="E1886" s="2224"/>
      <c r="F1886" s="2224"/>
      <c r="G1886" s="2224"/>
      <c r="H1886" s="2224"/>
      <c r="I1886" s="2224"/>
      <c r="J1886" s="2224"/>
      <c r="K1886" s="2224"/>
      <c r="L1886" s="2225"/>
      <c r="M1886" s="2113" t="s">
        <v>6301</v>
      </c>
      <c r="N1886" s="2113"/>
      <c r="O1886" s="2113"/>
      <c r="P1886" s="2113"/>
      <c r="S1886" s="1856"/>
      <c r="T1886" s="1856"/>
      <c r="U1886" s="1856"/>
    </row>
    <row r="1887" spans="1:21" s="2275" customFormat="1" ht="12.75" customHeight="1">
      <c r="A1887" s="2052"/>
      <c r="B1887" s="2256"/>
      <c r="C1887" s="2224"/>
      <c r="D1887" s="2224"/>
      <c r="E1887" s="2224"/>
      <c r="F1887" s="2224"/>
      <c r="G1887" s="2224"/>
      <c r="H1887" s="2224"/>
      <c r="I1887" s="2224"/>
      <c r="J1887" s="2224"/>
      <c r="K1887" s="2224"/>
      <c r="L1887" s="2225" t="s">
        <v>2323</v>
      </c>
      <c r="M1887" s="1943">
        <f>'Part IX Scoring Criteria'!M168</f>
        <v>83</v>
      </c>
      <c r="N1887" s="1943"/>
      <c r="O1887" s="1943"/>
      <c r="P1887" s="1943"/>
      <c r="S1887" s="1856"/>
      <c r="T1887" s="1856"/>
      <c r="U1887" s="1856"/>
    </row>
    <row r="1888" spans="1:21" s="1818" customFormat="1" ht="12.75" customHeight="1">
      <c r="B1888" s="2256" t="s">
        <v>2324</v>
      </c>
      <c r="C1888" s="435" t="s">
        <v>4158</v>
      </c>
      <c r="D1888" s="435"/>
      <c r="E1888" s="435"/>
      <c r="F1888" s="435"/>
      <c r="G1888" s="435"/>
      <c r="H1888" s="435"/>
      <c r="L1888" s="2256" t="s">
        <v>2324</v>
      </c>
      <c r="M1888" s="1943">
        <f>'Part IX Scoring Criteria'!M169</f>
        <v>80</v>
      </c>
      <c r="N1888" s="1943"/>
      <c r="O1888" s="1943"/>
      <c r="P1888" s="1943"/>
      <c r="S1888" s="1856"/>
      <c r="T1888" s="1856"/>
      <c r="U1888" s="1856"/>
    </row>
    <row r="1889" spans="1:22" s="1818" customFormat="1" ht="12.75" customHeight="1">
      <c r="B1889" s="2256" t="s">
        <v>2325</v>
      </c>
      <c r="C1889" s="435" t="s">
        <v>6425</v>
      </c>
      <c r="D1889" s="435"/>
      <c r="E1889" s="435"/>
      <c r="F1889" s="435"/>
      <c r="G1889" s="435"/>
      <c r="H1889" s="435"/>
      <c r="L1889" s="2256" t="s">
        <v>2325</v>
      </c>
      <c r="M1889" s="1943">
        <f>'Part IX Scoring Criteria'!M170</f>
        <v>21</v>
      </c>
      <c r="N1889" s="1943"/>
      <c r="O1889" s="1943"/>
      <c r="P1889" s="1943"/>
      <c r="Q1889" s="2045">
        <f>IF(K1889="Yes",1,0)</f>
        <v>0</v>
      </c>
      <c r="S1889" s="1856"/>
      <c r="T1889" s="1856"/>
      <c r="U1889" s="1856"/>
      <c r="V1889" s="2045" t="e">
        <f>IF(#REF!="Yes",1,0)</f>
        <v>#REF!</v>
      </c>
    </row>
    <row r="1890" spans="1:22" s="1818" customFormat="1" ht="12.75" customHeight="1">
      <c r="A1890" s="2256"/>
      <c r="B1890" s="2256" t="s">
        <v>2326</v>
      </c>
      <c r="C1890" s="435" t="s">
        <v>6426</v>
      </c>
      <c r="D1890" s="435"/>
      <c r="E1890" s="435"/>
      <c r="F1890" s="435"/>
      <c r="G1890" s="435"/>
      <c r="L1890" s="2256" t="s">
        <v>2326</v>
      </c>
      <c r="M1890" s="1943">
        <f>'Part IX Scoring Criteria'!M171</f>
        <v>125</v>
      </c>
      <c r="N1890" s="1943"/>
      <c r="O1890" s="1943"/>
      <c r="P1890" s="1943"/>
      <c r="Q1890" s="2045">
        <f>IF(K1890="Yes",1,0)</f>
        <v>0</v>
      </c>
      <c r="S1890" s="1856"/>
      <c r="T1890" s="1856"/>
      <c r="U1890" s="1856"/>
      <c r="V1890" s="2045" t="e">
        <f>IF(#REF!="Yes",1,0)</f>
        <v>#REF!</v>
      </c>
    </row>
    <row r="1891" spans="1:22" s="2275" customFormat="1" ht="4.5" customHeight="1">
      <c r="A1891" s="2052"/>
      <c r="C1891" s="2224"/>
      <c r="D1891" s="2224"/>
      <c r="E1891" s="2224"/>
      <c r="F1891" s="2224"/>
      <c r="G1891" s="2224"/>
      <c r="H1891" s="2224"/>
      <c r="I1891" s="2224"/>
      <c r="K1891" s="2409"/>
      <c r="L1891" s="2409"/>
      <c r="R1891" s="1856"/>
      <c r="S1891" s="1856"/>
      <c r="T1891" s="1856"/>
      <c r="U1891" s="1856"/>
    </row>
    <row r="1892" spans="1:22" s="2275" customFormat="1" ht="9.75" customHeight="1">
      <c r="A1892" s="2052"/>
      <c r="B1892" s="2410" t="s">
        <v>1897</v>
      </c>
      <c r="C1892" s="2294" t="s">
        <v>6549</v>
      </c>
      <c r="D1892" s="2224"/>
      <c r="E1892" s="2224"/>
      <c r="F1892" s="2224"/>
      <c r="G1892" s="2224"/>
      <c r="H1892" s="2224"/>
      <c r="I1892" s="2224"/>
      <c r="K1892" s="2409"/>
      <c r="L1892" s="2409"/>
      <c r="R1892" s="1856"/>
      <c r="S1892" s="1856"/>
      <c r="T1892" s="1856"/>
      <c r="U1892" s="1856"/>
    </row>
    <row r="1893" spans="1:22" s="1853" customFormat="1" ht="12.75" customHeight="1">
      <c r="A1893" s="2256"/>
      <c r="B1893" s="2225" t="s">
        <v>2323</v>
      </c>
      <c r="C1893" s="2224" t="s">
        <v>7100</v>
      </c>
      <c r="D1893" s="2224"/>
      <c r="E1893" s="2224"/>
      <c r="F1893" s="2224"/>
      <c r="G1893" s="2224"/>
      <c r="H1893" s="2224"/>
      <c r="I1893" s="2224"/>
      <c r="J1893" s="2224"/>
      <c r="K1893" s="2224"/>
      <c r="L1893" s="2224"/>
      <c r="M1893" s="2253">
        <v>1</v>
      </c>
      <c r="N1893" s="2225" t="s">
        <v>4284</v>
      </c>
      <c r="O1893" s="2408">
        <f>'Part IX Scoring Criteria'!O174</f>
        <v>1</v>
      </c>
      <c r="P1893" s="2363"/>
      <c r="Q1893" s="2283" t="str">
        <f>IF(OR($O1893=$M1893,$O1893=0,$O1893=""),"","*CHECK!*")</f>
        <v/>
      </c>
      <c r="R1893" s="1859" t="s">
        <v>4264</v>
      </c>
    </row>
    <row r="1894" spans="1:22" s="1853" customFormat="1" ht="36.75" customHeight="1">
      <c r="A1894" s="2256"/>
      <c r="B1894" s="2225" t="s">
        <v>2324</v>
      </c>
      <c r="C1894" s="2224" t="s">
        <v>7101</v>
      </c>
      <c r="D1894" s="2224"/>
      <c r="E1894" s="2224"/>
      <c r="F1894" s="2224"/>
      <c r="G1894" s="2224"/>
      <c r="H1894" s="2224"/>
      <c r="I1894" s="2224"/>
      <c r="J1894" s="2224"/>
      <c r="K1894" s="2224"/>
      <c r="L1894" s="2224"/>
      <c r="M1894" s="2253">
        <v>1</v>
      </c>
      <c r="N1894" s="2225" t="s">
        <v>6563</v>
      </c>
      <c r="O1894" s="2411">
        <f>'Part IX Scoring Criteria'!O175</f>
        <v>1</v>
      </c>
      <c r="P1894" s="2412"/>
      <c r="Q1894" s="2283" t="str">
        <f>IF(OR($O1894=$M1894,$O1894=0,$O1894=""),"","*CHECK!*")</f>
        <v/>
      </c>
      <c r="R1894" s="1859" t="s">
        <v>4264</v>
      </c>
    </row>
    <row r="1895" spans="1:22" s="1853" customFormat="1" ht="12" customHeight="1">
      <c r="A1895" s="2256"/>
      <c r="B1895" s="2256" t="s">
        <v>2325</v>
      </c>
      <c r="C1895" s="2224" t="s">
        <v>7102</v>
      </c>
      <c r="D1895" s="2224"/>
      <c r="E1895" s="2224"/>
      <c r="F1895" s="2224"/>
      <c r="G1895" s="2224"/>
      <c r="H1895" s="2224"/>
      <c r="I1895" s="2224"/>
      <c r="J1895" s="2224"/>
      <c r="K1895" s="2224"/>
      <c r="L1895" s="2224"/>
      <c r="M1895" s="2165">
        <v>1</v>
      </c>
      <c r="N1895" s="2256" t="s">
        <v>6564</v>
      </c>
      <c r="O1895" s="2408">
        <f>'Part IX Scoring Criteria'!O176</f>
        <v>0</v>
      </c>
      <c r="P1895" s="2363"/>
      <c r="Q1895" s="2283" t="str">
        <f>IF(OR($O1895=$M1895,$O1895=0,$O1895=""),"","*CHECK!*")</f>
        <v/>
      </c>
      <c r="R1895" s="1859" t="s">
        <v>4264</v>
      </c>
    </row>
    <row r="1896" spans="1:22" s="1853" customFormat="1" ht="4.5" customHeight="1">
      <c r="A1896" s="2256"/>
      <c r="B1896" s="2291"/>
      <c r="C1896" s="2224"/>
      <c r="D1896" s="2224"/>
      <c r="E1896" s="2224"/>
      <c r="F1896" s="2224"/>
      <c r="G1896" s="2224"/>
      <c r="H1896" s="2224"/>
      <c r="M1896" s="435"/>
    </row>
    <row r="1897" spans="1:22" s="1853" customFormat="1" ht="12.75" customHeight="1">
      <c r="A1897" s="2142" t="s">
        <v>1894</v>
      </c>
      <c r="B1897" s="1719" t="s">
        <v>3986</v>
      </c>
      <c r="D1897" s="1818"/>
      <c r="F1897" s="2413"/>
      <c r="K1897" s="2188"/>
      <c r="L1897" s="2367" t="str">
        <f>IF(OR($O1897=$M1897,$O1897=0,$O1897=""),"","* * Check Score! * *")</f>
        <v/>
      </c>
      <c r="M1897" s="2109">
        <v>2</v>
      </c>
      <c r="N1897" s="2256" t="s">
        <v>1894</v>
      </c>
      <c r="O1897" s="2372">
        <f>'Part IX Scoring Criteria'!O178</f>
        <v>2</v>
      </c>
      <c r="P1897" s="2193"/>
      <c r="Q1897" s="2398" t="str">
        <f>IF(OR($O1897=$M1897,$O1897=0,$O1897=""),"","*CHECK!*")</f>
        <v/>
      </c>
      <c r="R1897" s="1859" t="s">
        <v>4264</v>
      </c>
    </row>
    <row r="1898" spans="1:22" s="2285" customFormat="1" ht="10.5" customHeight="1">
      <c r="A1898" s="1818"/>
      <c r="B1898" s="2157" t="s">
        <v>3373</v>
      </c>
      <c r="C1898" s="1818"/>
      <c r="D1898" s="1719"/>
      <c r="E1898" s="1719"/>
      <c r="F1898" s="1719"/>
      <c r="G1898" s="1719"/>
      <c r="H1898" s="435"/>
      <c r="I1898" s="435"/>
      <c r="J1898" s="435"/>
      <c r="K1898" s="435"/>
      <c r="M1898" s="2109"/>
      <c r="N1898" s="2109"/>
      <c r="O1898" s="2193"/>
      <c r="P1898" s="2109"/>
    </row>
    <row r="1899" spans="1:22" s="2275" customFormat="1" ht="21.75" customHeight="1">
      <c r="A1899" s="2227" t="str">
        <f>'Part IX Scoring Criteria'!A180</f>
        <v xml:space="preserve">The project site in located within the area depicted in the 10th Street Area Redevelopment Plan, which qualifies for points as a Community Revitalization Plan.  This Plan outlines the need to place special focus on the 10th Street corridor which serves as a primary gateway into the city of West Point from Interstate-85.  As such, its appearance is vitally important to connecting West Point neighborhoods and downtown.  The Plan and additional documentation of planned revitalization is included in Tab 30.  
As it relates to Section B Third-PArty Capital Investment, the City of West Point and GDOT have committed to provide several street infrastructure improvements within a half-mile of the project site, the total cost of which is $7,224,212, well in excess of the $20,000 per unit required fro two points in this category. These improvements will increase the walkability and quality of life for the project's residents.  A letter from the City of West Point committing to their these improvements and the GDOT project profile showing that their project is under construction are included in Tab 30.  </v>
      </c>
      <c r="B1899" s="2227"/>
      <c r="C1899" s="2227"/>
      <c r="D1899" s="2227"/>
      <c r="E1899" s="2227"/>
      <c r="F1899" s="2227"/>
      <c r="G1899" s="2227"/>
      <c r="H1899" s="2227"/>
      <c r="I1899" s="2227"/>
      <c r="J1899" s="2227"/>
      <c r="K1899" s="2227"/>
      <c r="L1899" s="2227"/>
      <c r="M1899" s="2227"/>
      <c r="N1899" s="2227"/>
      <c r="O1899" s="2227"/>
      <c r="P1899" s="2227"/>
      <c r="Q1899" s="1856" t="s">
        <v>1208</v>
      </c>
    </row>
    <row r="1900" spans="1:22" s="2285" customFormat="1" ht="11.45" customHeight="1">
      <c r="A1900" s="1818"/>
      <c r="B1900" s="2157" t="s">
        <v>1779</v>
      </c>
      <c r="C1900" s="1818"/>
      <c r="D1900" s="2157"/>
      <c r="E1900" s="2122"/>
      <c r="F1900" s="2122"/>
      <c r="G1900" s="2122"/>
      <c r="H1900" s="2122"/>
      <c r="I1900" s="2122"/>
      <c r="J1900" s="2122"/>
      <c r="K1900" s="2122"/>
      <c r="L1900" s="2122"/>
      <c r="M1900" s="2122"/>
      <c r="N1900" s="2109"/>
      <c r="O1900" s="2109"/>
      <c r="P1900" s="2109"/>
      <c r="Q1900" s="2275"/>
    </row>
    <row r="1901" spans="1:22" s="2275" customFormat="1" ht="11.25" customHeight="1">
      <c r="A1901" s="2224"/>
      <c r="B1901" s="2224"/>
      <c r="C1901" s="2224"/>
      <c r="D1901" s="2224"/>
      <c r="E1901" s="2224"/>
      <c r="F1901" s="2224"/>
      <c r="G1901" s="2224"/>
      <c r="H1901" s="2224"/>
      <c r="I1901" s="2224"/>
      <c r="J1901" s="2224"/>
      <c r="K1901" s="2224"/>
      <c r="L1901" s="2224"/>
      <c r="M1901" s="2224"/>
      <c r="N1901" s="2224"/>
      <c r="O1901" s="2224"/>
      <c r="P1901" s="2224"/>
      <c r="Q1901" s="1856"/>
    </row>
    <row r="1902" spans="1:22" s="2275" customFormat="1" ht="3" customHeight="1">
      <c r="A1902" s="1818"/>
      <c r="C1902" s="2229"/>
      <c r="D1902" s="2229"/>
      <c r="E1902" s="2229"/>
      <c r="F1902" s="2229"/>
      <c r="G1902" s="2229"/>
      <c r="H1902" s="2229"/>
      <c r="I1902" s="2229"/>
      <c r="J1902" s="2229"/>
      <c r="K1902" s="2229"/>
      <c r="L1902" s="2229"/>
      <c r="M1902" s="2229"/>
      <c r="N1902" s="2310"/>
      <c r="O1902" s="2310"/>
      <c r="P1902" s="2109"/>
    </row>
    <row r="1903" spans="1:22" s="2275" customFormat="1" ht="13.5" customHeight="1">
      <c r="A1903" s="2307" t="s">
        <v>407</v>
      </c>
      <c r="B1903" s="2154" t="s">
        <v>3486</v>
      </c>
      <c r="C1903" s="2229"/>
      <c r="D1903" s="2229"/>
      <c r="E1903" s="2229"/>
      <c r="F1903" s="2229"/>
      <c r="G1903" s="2229"/>
      <c r="H1903" s="2229"/>
      <c r="I1903" s="2229"/>
      <c r="J1903" s="2229"/>
      <c r="K1903" s="2229"/>
      <c r="L1903" s="2229"/>
      <c r="M1903" s="2109">
        <v>3</v>
      </c>
      <c r="N1903" s="2310"/>
      <c r="O1903" s="2310"/>
      <c r="P1903" s="2193"/>
      <c r="Q1903" s="2109" t="s">
        <v>422</v>
      </c>
      <c r="R1903" s="1859" t="s">
        <v>2553</v>
      </c>
    </row>
    <row r="1904" spans="1:22" s="2275" customFormat="1" ht="13.5" customHeight="1">
      <c r="A1904" s="2307"/>
      <c r="B1904" s="1719" t="s">
        <v>3826</v>
      </c>
      <c r="C1904" s="2229"/>
      <c r="D1904" s="2229"/>
      <c r="E1904" s="2229"/>
      <c r="F1904" s="2229"/>
      <c r="G1904" s="2229"/>
      <c r="H1904" s="2229"/>
      <c r="L1904" s="2414" t="str">
        <f>IF(OR(O$147&gt;0,O$199&gt;0),"Applicant is ineligible for points in this section!  Points claimed in VI or IX.","")</f>
        <v/>
      </c>
      <c r="M1904" s="2109"/>
      <c r="N1904" s="2310"/>
      <c r="O1904" s="2231" t="str">
        <f>'Part IX Scoring Criteria'!O185</f>
        <v>Yes</v>
      </c>
      <c r="P1904" s="2165"/>
      <c r="Q1904" s="2109"/>
      <c r="R1904" s="2245"/>
      <c r="S1904" s="2245"/>
      <c r="T1904" s="2245"/>
      <c r="U1904" s="2245"/>
    </row>
    <row r="1905" spans="1:24" s="2275" customFormat="1" ht="13.5" customHeight="1">
      <c r="A1905" s="2307"/>
      <c r="B1905" s="2415" t="s">
        <v>6550</v>
      </c>
      <c r="C1905" s="2229"/>
      <c r="D1905" s="2229"/>
      <c r="E1905" s="2229"/>
      <c r="F1905" s="2229"/>
      <c r="G1905" s="2229"/>
      <c r="H1905" s="2229"/>
      <c r="L1905" s="2414"/>
      <c r="M1905" s="2109"/>
      <c r="N1905" s="2109"/>
      <c r="O1905" s="2109"/>
      <c r="P1905" s="2109"/>
      <c r="Q1905" s="2109"/>
      <c r="R1905" s="2245"/>
      <c r="S1905" s="2245"/>
      <c r="T1905" s="2245"/>
      <c r="U1905" s="2245"/>
    </row>
    <row r="1906" spans="1:24" s="1853" customFormat="1" ht="11.45" customHeight="1">
      <c r="A1906" s="2142" t="s">
        <v>719</v>
      </c>
      <c r="B1906" s="1719" t="s">
        <v>7103</v>
      </c>
      <c r="D1906" s="1818"/>
      <c r="G1906" s="2291"/>
      <c r="O1906" s="2165"/>
      <c r="P1906" s="2165"/>
      <c r="Q1906" s="1913"/>
    </row>
    <row r="1907" spans="1:24" s="2310" customFormat="1" ht="12.75" customHeight="1">
      <c r="B1907" s="2393" t="s">
        <v>1895</v>
      </c>
      <c r="C1907" s="2224" t="s">
        <v>6466</v>
      </c>
      <c r="D1907" s="2224"/>
      <c r="E1907" s="2224"/>
      <c r="F1907" s="2224"/>
      <c r="G1907" s="2224"/>
      <c r="H1907" s="2224"/>
      <c r="I1907" s="2224"/>
      <c r="J1907" s="2224"/>
      <c r="K1907" s="2224"/>
      <c r="L1907" s="2224"/>
      <c r="M1907" s="2258" t="s">
        <v>719</v>
      </c>
      <c r="N1907" s="2360" t="s">
        <v>1895</v>
      </c>
      <c r="O1907" s="2265" t="str">
        <f>'Part IX Scoring Criteria'!O188</f>
        <v>Yes</v>
      </c>
      <c r="P1907" s="2253"/>
      <c r="Q1907" s="2029"/>
      <c r="V1907" s="2416"/>
      <c r="W1907" s="2416"/>
    </row>
    <row r="1908" spans="1:24" s="1818" customFormat="1" ht="12.75" customHeight="1">
      <c r="A1908" s="2256"/>
      <c r="B1908" s="2393" t="s">
        <v>1897</v>
      </c>
      <c r="C1908" s="2122" t="s">
        <v>6467</v>
      </c>
      <c r="D1908" s="435"/>
      <c r="E1908" s="435"/>
      <c r="F1908" s="435"/>
      <c r="G1908" s="435"/>
      <c r="H1908" s="435"/>
      <c r="I1908" s="435"/>
      <c r="J1908" s="435"/>
      <c r="K1908" s="435"/>
      <c r="L1908" s="435"/>
      <c r="M1908" s="435"/>
      <c r="N1908" s="2360" t="s">
        <v>1897</v>
      </c>
      <c r="O1908" s="2231" t="str">
        <f>'Part IX Scoring Criteria'!O189</f>
        <v>Yes</v>
      </c>
      <c r="P1908" s="2165"/>
      <c r="Q1908" s="2106"/>
      <c r="V1908" s="2417"/>
      <c r="W1908" s="2417"/>
    </row>
    <row r="1909" spans="1:24" s="1818" customFormat="1" ht="22.5" customHeight="1">
      <c r="A1909" s="2256"/>
      <c r="B1909" s="2393" t="s">
        <v>2415</v>
      </c>
      <c r="C1909" s="2224" t="s">
        <v>6470</v>
      </c>
      <c r="D1909" s="2224"/>
      <c r="E1909" s="2224"/>
      <c r="F1909" s="2224"/>
      <c r="G1909" s="2224"/>
      <c r="H1909" s="2224"/>
      <c r="I1909" s="2224"/>
      <c r="J1909" s="2224"/>
      <c r="K1909" s="2224"/>
      <c r="L1909" s="2224"/>
      <c r="M1909" s="2224"/>
      <c r="N1909" s="2360" t="s">
        <v>2415</v>
      </c>
      <c r="O1909" s="2265" t="str">
        <f>'Part IX Scoring Criteria'!O190</f>
        <v>Yes</v>
      </c>
      <c r="P1909" s="2253"/>
      <c r="Q1909" s="2106"/>
      <c r="V1909" s="2417"/>
      <c r="W1909" s="2417"/>
    </row>
    <row r="1910" spans="1:24" s="1853" customFormat="1" ht="11.45" customHeight="1">
      <c r="A1910" s="2142" t="s">
        <v>2020</v>
      </c>
      <c r="B1910" s="1719" t="s">
        <v>6468</v>
      </c>
      <c r="D1910" s="1818"/>
      <c r="G1910" s="2291"/>
      <c r="O1910" s="2165"/>
      <c r="P1910" s="2165"/>
      <c r="Q1910" s="1913"/>
    </row>
    <row r="1911" spans="1:24" s="2310" customFormat="1" ht="23.25" customHeight="1">
      <c r="B1911" s="2393" t="s">
        <v>1895</v>
      </c>
      <c r="C1911" s="2224" t="s">
        <v>7104</v>
      </c>
      <c r="D1911" s="2224"/>
      <c r="E1911" s="2224"/>
      <c r="F1911" s="2224"/>
      <c r="G1911" s="2224"/>
      <c r="H1911" s="2224"/>
      <c r="I1911" s="2224"/>
      <c r="J1911" s="2224"/>
      <c r="K1911" s="2224"/>
      <c r="L1911" s="2224"/>
      <c r="M1911" s="2258" t="s">
        <v>2020</v>
      </c>
      <c r="N1911" s="2360" t="s">
        <v>1895</v>
      </c>
      <c r="O1911" s="2265" t="str">
        <f>'Part IX Scoring Criteria'!O192</f>
        <v>Yes</v>
      </c>
      <c r="P1911" s="2253"/>
      <c r="Q1911" s="2029"/>
      <c r="V1911" s="2416"/>
      <c r="W1911" s="2416"/>
    </row>
    <row r="1912" spans="1:24" s="1818" customFormat="1" ht="23.25" customHeight="1">
      <c r="A1912" s="2256"/>
      <c r="B1912" s="2393" t="s">
        <v>1897</v>
      </c>
      <c r="C1912" s="2224" t="s">
        <v>7105</v>
      </c>
      <c r="D1912" s="2224"/>
      <c r="E1912" s="2224"/>
      <c r="F1912" s="2224"/>
      <c r="G1912" s="2224"/>
      <c r="H1912" s="2224"/>
      <c r="I1912" s="2224"/>
      <c r="J1912" s="2224"/>
      <c r="K1912" s="2224"/>
      <c r="L1912" s="2224"/>
      <c r="M1912" s="435"/>
      <c r="N1912" s="2360" t="s">
        <v>1897</v>
      </c>
      <c r="O1912" s="2265" t="str">
        <f>'Part IX Scoring Criteria'!O193</f>
        <v>Yes</v>
      </c>
      <c r="P1912" s="2253"/>
      <c r="Q1912" s="2106"/>
      <c r="V1912" s="2417"/>
      <c r="W1912" s="2417"/>
    </row>
    <row r="1913" spans="1:24" s="2275" customFormat="1" ht="12" customHeight="1">
      <c r="A1913" s="1818"/>
      <c r="B1913" s="2157" t="s">
        <v>3373</v>
      </c>
      <c r="C1913" s="1818"/>
      <c r="D1913" s="1719"/>
      <c r="E1913" s="1719"/>
      <c r="F1913" s="1719"/>
      <c r="G1913" s="1719"/>
      <c r="H1913" s="435"/>
      <c r="I1913" s="435"/>
      <c r="M1913" s="2109"/>
      <c r="N1913" s="2052"/>
      <c r="O1913" s="2193"/>
      <c r="P1913" s="2052"/>
    </row>
    <row r="1914" spans="1:24" s="2275" customFormat="1" ht="45.6" customHeight="1">
      <c r="A1914" s="2227" t="str">
        <f>'Part IX Scoring Criteria'!A195</f>
        <v>The Griffin Housing Authority (GHA), the West Point Village Phase I Community-Based Developer, has a history of instituting innovative, forward-thinking projects, programs and long-term public-private partnerships to transform public housing and surrounding neighborhoods. These ground-breaking programs include the Educational Prosperity Initiative (EPI), a multi-institutional program that provides holistic, wrap-around services for the residents living in its communities. Recipient of the NAHRO National Award of Excellence, NAHRO Award of Merit, and GAHRA Collaborative Partnership Award, the EPI provides an escape from poverty for under-resourced neighborhoods. GHA’s core belief is that community transformation will occur when people are linked and work together for sustainable community change. GHA has recently transitioned into the operation and management of the West Point Housing Authority (WPHA). In this new role and under the leadership of Robert Dull, WPHA is seeking to replicate many of the same innovative strategies and long-term public-private partnerships in the planned transformation of the WPHA's public housing communities.
Five of the community organizations that have served in Griffin with GHA to improve community outcomes have provided documentation to evidence these partnerships in Tab 31 which represent Health, Education, and Employment sectors of the community.  GHA has a history of raising philanthropic funds for community services; financial information documenting these grants is included in tab 31, as well as a commitment letter from the Applicant committing funds to seed a Community Improvement Fund.  A diverse group of West Point leaders has agreed to serve as members of a Community Quarterback Board, to collaborate with GHA to improve community outcomes.  Two of the members are low-income residents, one also serves on the local GICH Board, and the others represent other important sectors in the West Point community.  Letters from each of these Board members are included in Tab 31.  
PLEASE NOTE: The 2021 Community Transformation Plan Certification posted on the DCA website as of 5/19/21 prints with a heading marked "2020". The applicant has used the correct 2021 form for this document, but the DCA template includes the incorrect year.</v>
      </c>
      <c r="B1914" s="2227"/>
      <c r="C1914" s="2227"/>
      <c r="D1914" s="2227"/>
      <c r="E1914" s="2227"/>
      <c r="F1914" s="2227"/>
      <c r="G1914" s="2227"/>
      <c r="H1914" s="2227"/>
      <c r="I1914" s="2227"/>
      <c r="J1914" s="2227"/>
      <c r="K1914" s="2227"/>
      <c r="L1914" s="2227"/>
      <c r="M1914" s="2227"/>
      <c r="N1914" s="2227"/>
      <c r="O1914" s="2227"/>
      <c r="P1914" s="2227"/>
      <c r="Q1914" s="1856" t="s">
        <v>1208</v>
      </c>
    </row>
    <row r="1915" spans="1:24" s="2275" customFormat="1" ht="10.5" customHeight="1">
      <c r="A1915" s="1818"/>
      <c r="B1915" s="2228" t="s">
        <v>1779</v>
      </c>
      <c r="C1915" s="1818"/>
      <c r="D1915" s="2228"/>
      <c r="E1915" s="2229"/>
      <c r="F1915" s="2229"/>
      <c r="G1915" s="2229"/>
      <c r="H1915" s="2229"/>
      <c r="I1915" s="2229"/>
      <c r="J1915" s="2229"/>
      <c r="K1915" s="2229"/>
      <c r="L1915" s="2229"/>
      <c r="M1915" s="2229"/>
      <c r="N1915" s="2310"/>
      <c r="O1915" s="2310"/>
      <c r="P1915" s="2109"/>
    </row>
    <row r="1916" spans="1:24" s="2275" customFormat="1" ht="22.15" customHeight="1">
      <c r="A1916" s="1906"/>
      <c r="B1916" s="1906"/>
      <c r="C1916" s="1906"/>
      <c r="D1916" s="1906"/>
      <c r="E1916" s="1906"/>
      <c r="F1916" s="1906"/>
      <c r="G1916" s="1906"/>
      <c r="H1916" s="1906"/>
      <c r="I1916" s="1906"/>
      <c r="J1916" s="1906"/>
      <c r="K1916" s="1906"/>
      <c r="L1916" s="1906"/>
      <c r="M1916" s="1906"/>
      <c r="N1916" s="1906"/>
      <c r="O1916" s="1906"/>
      <c r="P1916" s="1906"/>
      <c r="Q1916" s="1856"/>
    </row>
    <row r="1917" spans="1:24" s="1853" customFormat="1" ht="6.75" customHeight="1">
      <c r="N1917" s="2052"/>
      <c r="O1917" s="2052"/>
      <c r="P1917" s="2052"/>
      <c r="V1917" s="2275"/>
      <c r="W1917" s="2275"/>
      <c r="X1917" s="2275"/>
    </row>
    <row r="1918" spans="1:24" s="2285" customFormat="1" ht="13.5" customHeight="1">
      <c r="A1918" s="2307" t="s">
        <v>346</v>
      </c>
      <c r="B1918" s="2154" t="s">
        <v>2606</v>
      </c>
      <c r="D1918" s="2157"/>
      <c r="E1918" s="2157"/>
      <c r="M1918" s="2109">
        <v>10</v>
      </c>
      <c r="N1918" s="2109"/>
      <c r="O1918" s="2193">
        <f>'Part IX Scoring Criteria'!O199</f>
        <v>0</v>
      </c>
      <c r="P1918" s="2193">
        <f>'Part IX Scoring Criteria'!P199</f>
        <v>0</v>
      </c>
      <c r="Q1918" s="2109" t="s">
        <v>422</v>
      </c>
      <c r="R1918" s="1859" t="s">
        <v>4264</v>
      </c>
      <c r="S1918" s="2004"/>
      <c r="T1918" s="2004"/>
      <c r="U1918" s="2004"/>
      <c r="V1918" s="2275"/>
      <c r="W1918" s="2275"/>
      <c r="X1918" s="2275"/>
    </row>
    <row r="1919" spans="1:24" s="2285" customFormat="1" ht="3" customHeight="1">
      <c r="A1919" s="2307"/>
      <c r="B1919" s="2154"/>
      <c r="D1919" s="2157"/>
      <c r="E1919" s="2157"/>
      <c r="G1919" s="1865"/>
      <c r="M1919" s="2165"/>
      <c r="Q1919" s="2109"/>
      <c r="S1919" s="2004"/>
      <c r="T1919" s="2004"/>
      <c r="U1919" s="2004"/>
      <c r="V1919" s="2275"/>
      <c r="W1919" s="2275"/>
      <c r="X1919" s="2275"/>
    </row>
    <row r="1920" spans="1:24" s="2285" customFormat="1" ht="12.75" customHeight="1">
      <c r="A1920" s="2418" t="s">
        <v>1892</v>
      </c>
      <c r="B1920" s="1719" t="s">
        <v>3987</v>
      </c>
      <c r="D1920" s="2157"/>
      <c r="E1920" s="2157"/>
      <c r="K1920" s="2419"/>
      <c r="M1920" s="2109">
        <v>5</v>
      </c>
      <c r="N1920" s="2256" t="s">
        <v>1892</v>
      </c>
      <c r="O1920" s="2372">
        <f>'Part IX Scoring Criteria'!O201</f>
        <v>0</v>
      </c>
      <c r="P1920" s="2193"/>
      <c r="Q1920" s="2283" t="str">
        <f>IF(O1920&lt;=M1920,"","*CHECK!*")</f>
        <v/>
      </c>
      <c r="R1920" s="1859" t="s">
        <v>4264</v>
      </c>
      <c r="S1920" s="2004"/>
      <c r="T1920" s="2004"/>
      <c r="U1920" s="2004"/>
    </row>
    <row r="1921" spans="1:22" ht="12.75" customHeight="1">
      <c r="B1921" s="2420"/>
      <c r="C1921" s="2161" t="s">
        <v>6552</v>
      </c>
      <c r="D1921" s="2421"/>
      <c r="E1921" s="2422"/>
      <c r="F1921" s="2422"/>
      <c r="G1921" s="2421"/>
      <c r="H1921" s="2421"/>
      <c r="I1921" s="2421"/>
      <c r="J1921" s="2183">
        <f>'Part IX Scoring Criteria'!J202</f>
        <v>0</v>
      </c>
      <c r="K1921" s="2183"/>
      <c r="L1921" s="2423"/>
      <c r="M1921" s="2423"/>
      <c r="N1921" s="2424"/>
      <c r="O1921" s="2052"/>
      <c r="P1921" s="2052"/>
      <c r="Q1921" s="1853"/>
      <c r="R1921" s="2424"/>
      <c r="S1921" s="2421"/>
    </row>
    <row r="1922" spans="1:22" ht="12.75" customHeight="1">
      <c r="C1922" s="2425" t="s">
        <v>6553</v>
      </c>
      <c r="D1922" s="2046"/>
      <c r="J1922" s="1949">
        <f>'Part IX Scoring Criteria'!J203</f>
        <v>0</v>
      </c>
      <c r="K1922" s="1943"/>
      <c r="L1922" s="1943"/>
      <c r="M1922" s="1943"/>
      <c r="N1922" s="2424"/>
      <c r="O1922" s="2424"/>
      <c r="P1922" s="2424"/>
      <c r="Q1922" s="1853"/>
      <c r="R1922" s="2285"/>
      <c r="S1922" s="2004"/>
    </row>
    <row r="1923" spans="1:22" s="1853" customFormat="1" ht="6" customHeight="1">
      <c r="A1923" s="2115"/>
      <c r="B1923" s="2426"/>
      <c r="C1923" s="2113"/>
      <c r="M1923" s="2109"/>
      <c r="N1923" s="1851"/>
      <c r="O1923" s="2109"/>
      <c r="P1923" s="2109"/>
      <c r="S1923" s="2004"/>
      <c r="T1923" s="2004"/>
      <c r="U1923" s="2004"/>
    </row>
    <row r="1924" spans="1:22" s="1818" customFormat="1" ht="12.75" customHeight="1">
      <c r="A1924" s="2118" t="s">
        <v>1894</v>
      </c>
      <c r="B1924" s="2369" t="s">
        <v>6472</v>
      </c>
      <c r="C1924" s="435"/>
      <c r="G1924" s="2056" t="s">
        <v>6534</v>
      </c>
      <c r="H1924" s="2254" t="str">
        <f>'Part IX Scoring Criteria'!H205</f>
        <v>&lt; Select &gt;</v>
      </c>
      <c r="K1924" s="2256"/>
      <c r="L1924" s="2256"/>
      <c r="M1924" s="2109">
        <v>5</v>
      </c>
      <c r="N1924" s="2256" t="s">
        <v>1894</v>
      </c>
      <c r="O1924" s="2372">
        <f>'Part IX Scoring Criteria'!O205</f>
        <v>0</v>
      </c>
      <c r="P1924" s="2193"/>
      <c r="Q1924" s="2283" t="str">
        <f>IF(O1924&lt;=M1924,"","*CHECK!*")</f>
        <v/>
      </c>
      <c r="R1924" s="1859" t="s">
        <v>4264</v>
      </c>
      <c r="S1924" s="2004"/>
      <c r="T1924" s="2004"/>
      <c r="U1924" s="2004"/>
    </row>
    <row r="1925" spans="1:22" ht="7.5" customHeight="1">
      <c r="B1925" s="2046"/>
      <c r="C1925" s="2425"/>
      <c r="D1925" s="2046"/>
      <c r="N1925" s="2424"/>
      <c r="O1925" s="2427"/>
      <c r="P1925" s="2424"/>
      <c r="Q1925" s="2424"/>
      <c r="R1925" s="2428"/>
      <c r="S1925" s="1936"/>
      <c r="T1925" s="2078"/>
      <c r="U1925" s="2078"/>
      <c r="V1925" s="2078"/>
    </row>
    <row r="1926" spans="1:22">
      <c r="C1926" s="2046"/>
      <c r="D1926" s="2429" t="s">
        <v>6478</v>
      </c>
      <c r="E1926" s="2046"/>
      <c r="F1926" s="2429" t="s">
        <v>6477</v>
      </c>
      <c r="G1926" s="2429"/>
      <c r="H1926" s="2429"/>
      <c r="I1926" s="2429"/>
      <c r="J1926" s="2429"/>
      <c r="K1926" s="2429"/>
      <c r="L1926" s="2429"/>
      <c r="M1926" s="2046"/>
    </row>
    <row r="1927" spans="1:22" ht="13.5" customHeight="1">
      <c r="B1927" s="1927"/>
      <c r="C1927" s="2046"/>
      <c r="D1927" s="2161" t="s">
        <v>6475</v>
      </c>
      <c r="E1927" s="2161"/>
      <c r="F1927" s="2430">
        <f>'Part IX Scoring Criteria'!F208</f>
        <v>0</v>
      </c>
      <c r="G1927" s="2430"/>
      <c r="H1927" s="2430"/>
      <c r="I1927" s="2430"/>
      <c r="J1927" s="2178"/>
      <c r="K1927" s="2178"/>
      <c r="L1927" s="2178"/>
      <c r="M1927" s="2178"/>
      <c r="O1927" s="2052"/>
      <c r="P1927" s="2052"/>
      <c r="Q1927" s="1853"/>
      <c r="S1927" s="1853"/>
      <c r="T1927" s="1853"/>
      <c r="U1927" s="1853"/>
      <c r="V1927" s="1853"/>
    </row>
    <row r="1928" spans="1:22" ht="13.5" customHeight="1">
      <c r="C1928" s="2046"/>
      <c r="D1928" s="2161" t="s">
        <v>6476</v>
      </c>
      <c r="E1928" s="2161"/>
      <c r="F1928" s="2430">
        <f>'Part IX Scoring Criteria'!F209</f>
        <v>0</v>
      </c>
      <c r="G1928" s="2430"/>
      <c r="H1928" s="2430"/>
      <c r="I1928" s="2430"/>
      <c r="J1928" s="2178"/>
      <c r="K1928" s="2178"/>
      <c r="L1928" s="2178"/>
      <c r="M1928" s="2178"/>
      <c r="N1928" s="2431" t="str">
        <f>IF(P1924&lt;=N1924,"","*CHECK!*")</f>
        <v/>
      </c>
      <c r="O1928" s="2052"/>
      <c r="P1928" s="2052"/>
      <c r="Q1928" s="1853"/>
      <c r="S1928" s="1853"/>
      <c r="T1928" s="1853"/>
      <c r="U1928" s="1853"/>
      <c r="V1928" s="1853"/>
    </row>
    <row r="1929" spans="1:22" ht="13.5" customHeight="1">
      <c r="B1929" s="1927"/>
      <c r="C1929" s="2046"/>
      <c r="D1929" s="2161" t="s">
        <v>6473</v>
      </c>
      <c r="E1929" s="2161"/>
      <c r="F1929" s="2430">
        <f>'Part IX Scoring Criteria'!F210</f>
        <v>0</v>
      </c>
      <c r="G1929" s="2430"/>
      <c r="H1929" s="2430"/>
      <c r="I1929" s="2430"/>
      <c r="J1929" s="2178"/>
      <c r="K1929" s="2178"/>
      <c r="L1929" s="2178"/>
      <c r="M1929" s="2178"/>
      <c r="O1929" s="2052"/>
      <c r="P1929" s="2052"/>
      <c r="Q1929" s="1853"/>
      <c r="S1929" s="1853"/>
      <c r="T1929" s="1853"/>
      <c r="U1929" s="1853"/>
      <c r="V1929" s="1853"/>
    </row>
    <row r="1930" spans="1:22" ht="13.5" customHeight="1">
      <c r="B1930" s="2046"/>
      <c r="C1930" s="2046"/>
      <c r="D1930" s="2161" t="s">
        <v>6474</v>
      </c>
      <c r="E1930" s="2161"/>
      <c r="F1930" s="2430">
        <f>'Part IX Scoring Criteria'!F211</f>
        <v>0</v>
      </c>
      <c r="G1930" s="2430"/>
      <c r="H1930" s="2430"/>
      <c r="I1930" s="2430"/>
      <c r="J1930" s="2178"/>
      <c r="K1930" s="2178"/>
      <c r="L1930" s="2178"/>
      <c r="M1930" s="2178"/>
      <c r="N1930" s="2046"/>
      <c r="O1930" s="2052"/>
      <c r="P1930" s="2052"/>
      <c r="Q1930" s="1853"/>
      <c r="R1930" s="2428"/>
      <c r="S1930" s="1853"/>
      <c r="T1930" s="1853"/>
      <c r="U1930" s="1853"/>
      <c r="V1930" s="1853"/>
    </row>
    <row r="1931" spans="1:22" ht="6" customHeight="1">
      <c r="B1931" s="2046"/>
      <c r="C1931" s="2425"/>
      <c r="D1931" s="2046"/>
      <c r="N1931" s="2424"/>
      <c r="O1931" s="2427"/>
      <c r="P1931" s="2424"/>
      <c r="Q1931" s="2424"/>
      <c r="R1931" s="2428"/>
      <c r="S1931" s="1936"/>
      <c r="T1931" s="2078"/>
      <c r="U1931" s="2078"/>
      <c r="V1931" s="2078"/>
    </row>
    <row r="1932" spans="1:22" s="1853" customFormat="1" ht="3" customHeight="1">
      <c r="A1932" s="2115"/>
      <c r="B1932" s="2426"/>
      <c r="C1932" s="2113"/>
      <c r="M1932" s="2109"/>
      <c r="N1932" s="1851"/>
      <c r="O1932" s="2109"/>
      <c r="P1932" s="2109"/>
    </row>
    <row r="1933" spans="1:22" s="2275" customFormat="1" ht="10.5" customHeight="1">
      <c r="A1933" s="1818"/>
      <c r="B1933" s="2157" t="s">
        <v>3373</v>
      </c>
      <c r="C1933" s="1818"/>
      <c r="D1933" s="1719"/>
      <c r="E1933" s="1719"/>
      <c r="F1933" s="1719"/>
      <c r="G1933" s="1719"/>
      <c r="H1933" s="435"/>
      <c r="I1933" s="435"/>
      <c r="J1933" s="435"/>
      <c r="K1933" s="435"/>
      <c r="M1933" s="2109"/>
      <c r="N1933" s="2052"/>
      <c r="O1933" s="2193"/>
      <c r="P1933" s="2052"/>
    </row>
    <row r="1934" spans="1:22" s="2275" customFormat="1" ht="34.9" customHeight="1">
      <c r="A1934" s="2227" t="str">
        <f>'Part IX Scoring Criteria'!A215</f>
        <v>The applicant is not claiming points in this section, therefore it has been intentionally left blank.</v>
      </c>
      <c r="B1934" s="2227"/>
      <c r="C1934" s="2227"/>
      <c r="D1934" s="2227"/>
      <c r="E1934" s="2227"/>
      <c r="F1934" s="2227"/>
      <c r="G1934" s="2227"/>
      <c r="H1934" s="2227"/>
      <c r="I1934" s="2227"/>
      <c r="J1934" s="2227"/>
      <c r="K1934" s="2227"/>
      <c r="L1934" s="2227"/>
      <c r="M1934" s="2227"/>
      <c r="N1934" s="2227"/>
      <c r="O1934" s="2227"/>
      <c r="P1934" s="2227"/>
      <c r="Q1934" s="1856" t="s">
        <v>1208</v>
      </c>
    </row>
    <row r="1935" spans="1:22" s="1853" customFormat="1" ht="2.25" customHeight="1">
      <c r="A1935" s="2115"/>
      <c r="B1935" s="2426"/>
      <c r="C1935" s="2113"/>
      <c r="M1935" s="2109"/>
      <c r="N1935" s="1851"/>
      <c r="O1935" s="2109"/>
      <c r="P1935" s="2109"/>
    </row>
    <row r="1936" spans="1:22" s="2275" customFormat="1" ht="10.5" customHeight="1">
      <c r="A1936" s="1818"/>
      <c r="B1936" s="2228" t="s">
        <v>1779</v>
      </c>
      <c r="C1936" s="1818"/>
      <c r="D1936" s="2228"/>
      <c r="E1936" s="2229"/>
      <c r="F1936" s="2229"/>
      <c r="G1936" s="2229"/>
      <c r="H1936" s="2229"/>
      <c r="I1936" s="2229"/>
      <c r="J1936" s="2229"/>
      <c r="K1936" s="2229"/>
      <c r="L1936" s="2229"/>
      <c r="M1936" s="2229"/>
      <c r="N1936" s="2310"/>
      <c r="O1936" s="2310"/>
      <c r="P1936" s="2109"/>
    </row>
    <row r="1937" spans="1:24" s="2275" customFormat="1" ht="11.25" customHeight="1">
      <c r="A1937" s="1906"/>
      <c r="B1937" s="1906"/>
      <c r="C1937" s="1906"/>
      <c r="D1937" s="1906"/>
      <c r="E1937" s="1906"/>
      <c r="F1937" s="1906"/>
      <c r="G1937" s="1906"/>
      <c r="H1937" s="1906"/>
      <c r="I1937" s="1906"/>
      <c r="J1937" s="1906"/>
      <c r="K1937" s="1906"/>
      <c r="L1937" s="1906"/>
      <c r="M1937" s="1906"/>
      <c r="N1937" s="1906"/>
      <c r="O1937" s="1906"/>
      <c r="P1937" s="1906"/>
      <c r="Q1937" s="1856"/>
    </row>
    <row r="1938" spans="1:24" s="2275" customFormat="1" ht="5.25" customHeight="1">
      <c r="A1938" s="1818"/>
      <c r="D1938" s="435"/>
      <c r="E1938" s="435"/>
      <c r="F1938" s="2109"/>
      <c r="G1938" s="2109"/>
      <c r="H1938" s="2109"/>
      <c r="I1938" s="2109"/>
      <c r="J1938" s="2122"/>
      <c r="K1938" s="2122"/>
      <c r="L1938" s="2122"/>
      <c r="M1938" s="2165"/>
      <c r="N1938" s="2109"/>
      <c r="O1938" s="2052"/>
      <c r="P1938" s="2193"/>
    </row>
    <row r="1939" spans="1:24" s="1853" customFormat="1" ht="13.5" customHeight="1">
      <c r="A1939" s="2307" t="s">
        <v>347</v>
      </c>
      <c r="B1939" s="2432" t="s">
        <v>4238</v>
      </c>
      <c r="C1939" s="2113"/>
      <c r="G1939" s="1913" t="s">
        <v>6542</v>
      </c>
      <c r="H1939" s="2318" t="str">
        <f>IF(OR($M$32="9% Credit Competitive Round only", $M$32="9% Credit &amp; HOME"),"9%",IF(OR($M$32="4% Credit/TE Bond", $M$32="4% Credit/TE Bond &amp; HOME", $M$32="4% Credit/TE Bond &amp; HOME NOFA", $M$32="4% Credit &amp; NHTF", $M$32="4% Credit &amp; NHTF &amp; HOME"),"4%",""))</f>
        <v/>
      </c>
      <c r="J1939" s="1913" t="s">
        <v>367</v>
      </c>
      <c r="K1939" s="2045">
        <f>$M$43</f>
        <v>0</v>
      </c>
      <c r="M1939" s="2109">
        <v>1</v>
      </c>
      <c r="N1939" s="1851"/>
      <c r="O1939" s="2193">
        <f>'Part IX Scoring Criteria'!O220</f>
        <v>1</v>
      </c>
      <c r="P1939" s="2193">
        <f>'Part IX Scoring Criteria'!P220</f>
        <v>0</v>
      </c>
      <c r="Q1939" s="2109" t="s">
        <v>422</v>
      </c>
    </row>
    <row r="1940" spans="1:24" s="2275" customFormat="1" ht="12" customHeight="1">
      <c r="A1940" s="1818"/>
      <c r="B1940" s="2433" t="s">
        <v>6543</v>
      </c>
      <c r="D1940" s="435"/>
      <c r="E1940" s="435"/>
      <c r="F1940" s="2109"/>
      <c r="G1940" s="2165" t="s">
        <v>3273</v>
      </c>
      <c r="H1940" s="2262">
        <f>IF('Part VI-Revenues &amp; Expenses'!$P$67=0,0,'Part VI-Revenues &amp; Expenses'!$P$64/'Part VI-Revenues &amp; Expenses'!$P$67)</f>
        <v>0.1111111111111111</v>
      </c>
      <c r="J1940" s="2291" t="s">
        <v>4161</v>
      </c>
      <c r="K1940" s="2263" t="str">
        <f>'Part I-Project Information'!$K$94</f>
        <v>40% of Units at 60% of AMI</v>
      </c>
      <c r="L1940" s="2263"/>
      <c r="M1940" s="2165"/>
      <c r="N1940" s="2109"/>
      <c r="O1940" s="2052"/>
      <c r="P1940" s="2193"/>
    </row>
    <row r="1941" spans="1:24" s="1853" customFormat="1" ht="12" customHeight="1">
      <c r="A1941" s="2118" t="s">
        <v>1892</v>
      </c>
      <c r="B1941" s="2113" t="s">
        <v>4159</v>
      </c>
      <c r="C1941" s="2113"/>
      <c r="D1941" s="2113" t="s">
        <v>4160</v>
      </c>
      <c r="M1941" s="2109">
        <v>1</v>
      </c>
      <c r="N1941" s="2256" t="s">
        <v>1892</v>
      </c>
      <c r="O1941" s="2372">
        <f>'Part IX Scoring Criteria'!O222</f>
        <v>1</v>
      </c>
      <c r="P1941" s="2193"/>
      <c r="Q1941" s="2398" t="str">
        <f>IF(OR($O1941=$M1941,$O1941=0,$O1941=""),"","*CHECK!*")</f>
        <v/>
      </c>
      <c r="R1941" s="1859" t="s">
        <v>4264</v>
      </c>
    </row>
    <row r="1942" spans="1:24" s="1853" customFormat="1" ht="12" customHeight="1">
      <c r="A1942" s="2118" t="s">
        <v>1894</v>
      </c>
      <c r="B1942" s="2113" t="s">
        <v>3975</v>
      </c>
      <c r="C1942" s="2113"/>
      <c r="D1942" s="2113" t="s">
        <v>4243</v>
      </c>
      <c r="M1942" s="2052">
        <v>1</v>
      </c>
      <c r="N1942" s="2256" t="s">
        <v>1894</v>
      </c>
      <c r="O1942" s="2372">
        <f>'Part IX Scoring Criteria'!O223</f>
        <v>0</v>
      </c>
      <c r="P1942" s="2193"/>
      <c r="Q1942" s="2398" t="str">
        <f>IF(OR($O1942=$M1942,$O1942=0,$O1942=""),"","*CHECK!*")</f>
        <v/>
      </c>
      <c r="R1942" s="1859" t="s">
        <v>4264</v>
      </c>
    </row>
    <row r="1943" spans="1:24" s="1853" customFormat="1" ht="2.25" customHeight="1">
      <c r="A1943" s="2115"/>
      <c r="B1943" s="2426"/>
      <c r="C1943" s="2113"/>
      <c r="M1943" s="2109"/>
      <c r="N1943" s="1851"/>
      <c r="O1943" s="2109"/>
      <c r="P1943" s="2109"/>
    </row>
    <row r="1944" spans="1:24" s="2275" customFormat="1" ht="11.25" customHeight="1">
      <c r="A1944" s="1818"/>
      <c r="B1944" s="2228" t="s">
        <v>1779</v>
      </c>
      <c r="C1944" s="1818"/>
      <c r="D1944" s="2228"/>
      <c r="E1944" s="2229"/>
      <c r="F1944" s="2229"/>
      <c r="G1944" s="2229"/>
      <c r="H1944" s="2229"/>
      <c r="I1944" s="2229"/>
      <c r="J1944" s="2229"/>
      <c r="K1944" s="2229"/>
      <c r="L1944" s="2229"/>
      <c r="M1944" s="2229"/>
      <c r="N1944" s="2310"/>
      <c r="O1944" s="2310"/>
      <c r="P1944" s="2109"/>
    </row>
    <row r="1945" spans="1:24" s="2275" customFormat="1" ht="11.25" customHeight="1">
      <c r="A1945" s="1906"/>
      <c r="B1945" s="1906"/>
      <c r="C1945" s="1906"/>
      <c r="D1945" s="1906"/>
      <c r="E1945" s="1906"/>
      <c r="F1945" s="1906"/>
      <c r="G1945" s="1906"/>
      <c r="H1945" s="1906"/>
      <c r="I1945" s="1906"/>
      <c r="J1945" s="1906"/>
      <c r="K1945" s="1906"/>
      <c r="L1945" s="1906"/>
      <c r="M1945" s="1906"/>
      <c r="N1945" s="1906"/>
      <c r="O1945" s="1906"/>
      <c r="P1945" s="1906"/>
      <c r="Q1945" s="1856"/>
    </row>
    <row r="1946" spans="1:24" s="2275" customFormat="1" ht="5.25" customHeight="1">
      <c r="A1946" s="1818"/>
      <c r="D1946" s="435"/>
      <c r="E1946" s="435"/>
      <c r="F1946" s="2109"/>
      <c r="G1946" s="2109"/>
      <c r="H1946" s="2109"/>
      <c r="I1946" s="2109"/>
      <c r="J1946" s="2122"/>
      <c r="K1946" s="2122"/>
      <c r="L1946" s="2122"/>
      <c r="M1946" s="2165"/>
      <c r="N1946" s="2109"/>
      <c r="O1946" s="2052"/>
      <c r="P1946" s="2193"/>
    </row>
    <row r="1947" spans="1:24" s="2285" customFormat="1" ht="13.5" customHeight="1">
      <c r="A1947" s="2307" t="s">
        <v>348</v>
      </c>
      <c r="B1947" s="2154" t="s">
        <v>3487</v>
      </c>
      <c r="D1947" s="2157"/>
      <c r="E1947" s="2157"/>
      <c r="G1947" s="2433"/>
      <c r="H1947" s="1865"/>
      <c r="I1947" s="1865"/>
      <c r="J1947" s="1865"/>
      <c r="K1947" s="1865"/>
      <c r="L1947" s="1865"/>
      <c r="M1947" s="2109">
        <v>10</v>
      </c>
      <c r="N1947" s="2109"/>
      <c r="O1947" s="2193">
        <f>'Part IX Scoring Criteria'!O228</f>
        <v>0</v>
      </c>
      <c r="P1947" s="2193">
        <f>'Part IX Scoring Criteria'!P228</f>
        <v>0</v>
      </c>
      <c r="Q1947" s="2109" t="s">
        <v>422</v>
      </c>
      <c r="R1947" s="2004"/>
      <c r="S1947" s="2004"/>
      <c r="T1947" s="2004"/>
      <c r="U1947" s="2004"/>
      <c r="V1947" s="2004"/>
    </row>
    <row r="1948" spans="1:24" s="2285" customFormat="1" ht="3" customHeight="1">
      <c r="A1948" s="2307"/>
      <c r="B1948" s="2154"/>
      <c r="D1948" s="2157"/>
      <c r="E1948" s="2157"/>
      <c r="G1948" s="1865"/>
      <c r="M1948" s="2165"/>
      <c r="Q1948" s="2109"/>
      <c r="R1948" s="2004"/>
      <c r="S1948" s="2004"/>
      <c r="T1948" s="2004"/>
      <c r="U1948" s="2004"/>
      <c r="V1948" s="2004"/>
      <c r="W1948" s="2275"/>
      <c r="X1948" s="2275"/>
    </row>
    <row r="1949" spans="1:24" s="1853" customFormat="1" ht="11.25" customHeight="1">
      <c r="A1949" s="2118" t="s">
        <v>1892</v>
      </c>
      <c r="B1949" s="2229" t="s">
        <v>3397</v>
      </c>
      <c r="D1949" s="2229"/>
      <c r="E1949" s="2229"/>
      <c r="F1949" s="2229"/>
      <c r="G1949" s="2229"/>
      <c r="H1949" s="2229"/>
      <c r="L1949" s="2229"/>
      <c r="M1949" s="2128" t="str">
        <f>IF(OR(SUM(T1949:T1950)&gt;1,SUM(Q1949:Q1950)&gt;1),"Only one category can be met by other means!","")</f>
        <v/>
      </c>
      <c r="N1949" s="2256" t="s">
        <v>1892</v>
      </c>
      <c r="O1949" s="2231">
        <f>'Part IX Scoring Criteria'!O230</f>
        <v>0</v>
      </c>
      <c r="P1949" s="2165"/>
      <c r="Q1949" s="2056">
        <f>IF(L1949="Yes",1,0)</f>
        <v>0</v>
      </c>
      <c r="R1949" s="2004"/>
      <c r="S1949" s="2004"/>
      <c r="T1949" s="2004"/>
      <c r="U1949" s="2004"/>
      <c r="V1949" s="2004"/>
    </row>
    <row r="1950" spans="1:24" s="1853" customFormat="1" ht="11.25" customHeight="1">
      <c r="A1950" s="2118" t="s">
        <v>1894</v>
      </c>
      <c r="B1950" s="2229" t="s">
        <v>3398</v>
      </c>
      <c r="D1950" s="2229"/>
      <c r="L1950" s="2229"/>
      <c r="M1950" s="2128"/>
      <c r="N1950" s="2256" t="s">
        <v>1894</v>
      </c>
      <c r="O1950" s="2231">
        <f>'Part IX Scoring Criteria'!O231</f>
        <v>0</v>
      </c>
      <c r="P1950" s="2165"/>
      <c r="Q1950" s="2056">
        <f>IF(L1950="Yes",1,0)</f>
        <v>0</v>
      </c>
      <c r="R1950" s="2004"/>
      <c r="S1950" s="2004"/>
      <c r="T1950" s="2004"/>
      <c r="U1950" s="2004"/>
      <c r="V1950" s="2004"/>
    </row>
    <row r="1951" spans="1:24" s="2275" customFormat="1" ht="10.5" customHeight="1">
      <c r="A1951" s="1818"/>
      <c r="B1951" s="2157" t="s">
        <v>3373</v>
      </c>
      <c r="C1951" s="1818"/>
      <c r="D1951" s="1719"/>
      <c r="E1951" s="1719"/>
      <c r="F1951" s="1719"/>
      <c r="G1951" s="1719"/>
      <c r="H1951" s="435"/>
      <c r="I1951" s="435"/>
      <c r="J1951" s="435"/>
      <c r="K1951" s="435"/>
      <c r="M1951" s="2109"/>
      <c r="N1951" s="2052"/>
      <c r="O1951" s="2193"/>
      <c r="P1951" s="2052"/>
      <c r="R1951" s="2004"/>
      <c r="S1951" s="2004"/>
      <c r="T1951" s="2004"/>
      <c r="U1951" s="2004"/>
      <c r="V1951" s="2004"/>
    </row>
    <row r="1952" spans="1:24" s="2275" customFormat="1" ht="34.9" customHeight="1">
      <c r="A1952" s="2227" t="str">
        <f>'Part IX Scoring Criteria'!A233</f>
        <v>The applicant is not claiming points in this section, therefore it has been intentionally left blank.</v>
      </c>
      <c r="B1952" s="2227"/>
      <c r="C1952" s="2227"/>
      <c r="D1952" s="2227"/>
      <c r="E1952" s="2227"/>
      <c r="F1952" s="2227"/>
      <c r="G1952" s="2227"/>
      <c r="H1952" s="2227"/>
      <c r="I1952" s="2227"/>
      <c r="J1952" s="2227"/>
      <c r="K1952" s="2227"/>
      <c r="L1952" s="2227"/>
      <c r="M1952" s="2227"/>
      <c r="N1952" s="2227"/>
      <c r="O1952" s="2227"/>
      <c r="P1952" s="2227"/>
      <c r="Q1952" s="1856" t="s">
        <v>1208</v>
      </c>
    </row>
    <row r="1953" spans="1:27" s="2275" customFormat="1" ht="10.5" customHeight="1">
      <c r="A1953" s="1818"/>
      <c r="B1953" s="2228" t="s">
        <v>1779</v>
      </c>
      <c r="C1953" s="1818"/>
      <c r="D1953" s="2228"/>
      <c r="E1953" s="2229"/>
      <c r="F1953" s="2229"/>
      <c r="G1953" s="2229"/>
      <c r="H1953" s="2229"/>
      <c r="I1953" s="2229"/>
      <c r="J1953" s="2229"/>
      <c r="K1953" s="2229"/>
      <c r="L1953" s="2229"/>
      <c r="M1953" s="2229"/>
      <c r="N1953" s="2310"/>
      <c r="O1953" s="2310"/>
      <c r="P1953" s="2109"/>
    </row>
    <row r="1954" spans="1:27" s="2275" customFormat="1" ht="11.25" customHeight="1">
      <c r="A1954" s="1906"/>
      <c r="B1954" s="1906"/>
      <c r="C1954" s="1906"/>
      <c r="D1954" s="1906"/>
      <c r="E1954" s="1906"/>
      <c r="F1954" s="1906"/>
      <c r="G1954" s="1906"/>
      <c r="H1954" s="1906"/>
      <c r="I1954" s="1906"/>
      <c r="J1954" s="1906"/>
      <c r="K1954" s="1906"/>
      <c r="L1954" s="1906"/>
      <c r="M1954" s="1906"/>
      <c r="N1954" s="1906"/>
      <c r="O1954" s="1906"/>
      <c r="P1954" s="1906"/>
      <c r="Q1954" s="1856"/>
    </row>
    <row r="1955" spans="1:27" s="2275" customFormat="1" ht="5.25" customHeight="1">
      <c r="A1955" s="1818"/>
      <c r="D1955" s="435"/>
      <c r="E1955" s="435"/>
      <c r="F1955" s="2109"/>
      <c r="G1955" s="2109"/>
      <c r="H1955" s="2109"/>
      <c r="I1955" s="2109"/>
      <c r="J1955" s="2122"/>
      <c r="K1955" s="2122"/>
      <c r="L1955" s="2122"/>
      <c r="M1955" s="2165"/>
      <c r="N1955" s="2109"/>
      <c r="O1955" s="2052"/>
      <c r="P1955" s="2193"/>
    </row>
    <row r="1956" spans="1:27" s="2275" customFormat="1" ht="13.5" customHeight="1">
      <c r="A1956" s="2307" t="s">
        <v>1648</v>
      </c>
      <c r="B1956" s="2154" t="s">
        <v>4240</v>
      </c>
      <c r="D1956" s="2380"/>
      <c r="E1956" s="2380"/>
      <c r="F1956" s="2380"/>
      <c r="G1956" s="2380"/>
      <c r="H1956" s="2380"/>
      <c r="I1956" s="2380"/>
      <c r="J1956" s="2380"/>
      <c r="K1956" s="2380"/>
      <c r="L1956" s="2380"/>
      <c r="M1956" s="2109">
        <v>3</v>
      </c>
      <c r="N1956" s="2109"/>
      <c r="O1956" s="2372">
        <f>'Part IX Scoring Criteria'!O237</f>
        <v>0</v>
      </c>
      <c r="P1956" s="2193"/>
      <c r="Q1956" s="2109" t="s">
        <v>422</v>
      </c>
      <c r="R1956" s="1859" t="s">
        <v>4264</v>
      </c>
      <c r="S1956" s="1857"/>
      <c r="T1956" s="1857"/>
      <c r="U1956" s="1857"/>
      <c r="V1956" s="1857"/>
      <c r="W1956" s="1968"/>
      <c r="X1956" s="1968"/>
    </row>
    <row r="1957" spans="1:27" s="2113" customFormat="1" ht="11.25">
      <c r="A1957" s="2393"/>
      <c r="B1957" s="2224" t="s">
        <v>6554</v>
      </c>
      <c r="C1957" s="2224"/>
      <c r="D1957" s="2224"/>
      <c r="E1957" s="2224"/>
      <c r="F1957" s="2224"/>
      <c r="G1957" s="2224"/>
      <c r="H1957" s="2224"/>
      <c r="I1957" s="2224"/>
      <c r="J1957" s="2224"/>
      <c r="K1957" s="2224"/>
      <c r="L1957" s="2224"/>
      <c r="M1957" s="2224"/>
      <c r="N1957" s="2225"/>
      <c r="O1957" s="2265">
        <f>'Part IX Scoring Criteria'!O238</f>
        <v>0</v>
      </c>
      <c r="P1957" s="2253"/>
      <c r="Q1957" s="2224"/>
      <c r="R1957" s="2224"/>
      <c r="S1957" s="2224"/>
      <c r="T1957" s="2224"/>
      <c r="U1957" s="2224"/>
      <c r="V1957" s="2224"/>
      <c r="W1957" s="2224"/>
      <c r="X1957" s="2224"/>
      <c r="Y1957" s="2224"/>
      <c r="Z1957" s="2224"/>
      <c r="AA1957" s="2224"/>
    </row>
    <row r="1958" spans="1:27" s="435" customFormat="1" ht="11.25" customHeight="1">
      <c r="A1958" s="2385"/>
      <c r="B1958" s="2393" t="s">
        <v>1895</v>
      </c>
      <c r="C1958" s="2161" t="s">
        <v>6555</v>
      </c>
      <c r="E1958" s="2122" t="s">
        <v>3452</v>
      </c>
      <c r="G1958" s="2231">
        <f>'Part IX Scoring Criteria'!G239</f>
        <v>0</v>
      </c>
      <c r="H1958" s="2256" t="s">
        <v>587</v>
      </c>
      <c r="I1958" s="2112">
        <f>'Part IX Scoring Criteria'!I239</f>
        <v>0</v>
      </c>
      <c r="J1958" s="2112"/>
      <c r="L1958" s="2434" t="s">
        <v>6557</v>
      </c>
      <c r="M1958" s="2435">
        <f>'Part IX Scoring Criteria'!M239</f>
        <v>0</v>
      </c>
      <c r="N1958" s="2435"/>
    </row>
    <row r="1959" spans="1:27" s="435" customFormat="1" ht="11.25" customHeight="1">
      <c r="A1959" s="2385"/>
      <c r="B1959" s="2393" t="s">
        <v>1897</v>
      </c>
      <c r="C1959" s="2161" t="s">
        <v>6556</v>
      </c>
      <c r="E1959" s="2122" t="s">
        <v>3452</v>
      </c>
      <c r="G1959" s="2231">
        <f>'Part IX Scoring Criteria'!G240</f>
        <v>0</v>
      </c>
      <c r="H1959" s="2256" t="s">
        <v>587</v>
      </c>
      <c r="I1959" s="2112">
        <f>'Part IX Scoring Criteria'!I240</f>
        <v>0</v>
      </c>
      <c r="J1959" s="2112"/>
      <c r="L1959" s="2434" t="s">
        <v>6557</v>
      </c>
      <c r="M1959" s="2435">
        <f>'Part IX Scoring Criteria'!M240</f>
        <v>0</v>
      </c>
      <c r="N1959" s="2435"/>
    </row>
    <row r="1960" spans="1:27" s="2275" customFormat="1" ht="5.25" customHeight="1">
      <c r="A1960" s="1818"/>
      <c r="D1960" s="435"/>
      <c r="E1960" s="435"/>
      <c r="F1960" s="2109"/>
      <c r="G1960" s="2109"/>
      <c r="H1960" s="2109"/>
      <c r="I1960" s="2109"/>
      <c r="J1960" s="2122"/>
      <c r="K1960" s="2122"/>
      <c r="L1960" s="2122"/>
      <c r="M1960" s="2165"/>
      <c r="N1960" s="2109"/>
      <c r="O1960" s="2052"/>
      <c r="P1960" s="2193"/>
    </row>
    <row r="1961" spans="1:27" s="2275" customFormat="1" ht="10.5" customHeight="1">
      <c r="A1961" s="1818"/>
      <c r="B1961" s="2157" t="s">
        <v>3373</v>
      </c>
      <c r="C1961" s="1818"/>
      <c r="D1961" s="1719"/>
      <c r="E1961" s="1719"/>
      <c r="F1961" s="1719"/>
      <c r="G1961" s="1719"/>
      <c r="H1961" s="435"/>
      <c r="I1961" s="435"/>
      <c r="J1961" s="435"/>
      <c r="K1961" s="435"/>
      <c r="M1961" s="2109"/>
      <c r="N1961" s="2052"/>
      <c r="O1961" s="2193"/>
      <c r="P1961" s="2052"/>
    </row>
    <row r="1962" spans="1:27" s="2275" customFormat="1" ht="21.75" customHeight="1">
      <c r="A1962" s="2227" t="str">
        <f>'Part IX Scoring Criteria'!A243</f>
        <v>The applicant is not claiming points in this section, therefore it has been intentionally left blank.</v>
      </c>
      <c r="B1962" s="2227"/>
      <c r="C1962" s="2227"/>
      <c r="D1962" s="2227"/>
      <c r="E1962" s="2227"/>
      <c r="F1962" s="2227"/>
      <c r="G1962" s="2227"/>
      <c r="H1962" s="2227"/>
      <c r="I1962" s="2227"/>
      <c r="J1962" s="2227"/>
      <c r="K1962" s="2227"/>
      <c r="L1962" s="2227"/>
      <c r="M1962" s="2227"/>
      <c r="N1962" s="2227"/>
      <c r="O1962" s="2227"/>
      <c r="P1962" s="2227"/>
      <c r="Q1962" s="1856" t="s">
        <v>1208</v>
      </c>
    </row>
    <row r="1963" spans="1:27" s="2275" customFormat="1" ht="10.5" customHeight="1">
      <c r="B1963" s="2228" t="s">
        <v>1779</v>
      </c>
      <c r="C1963" s="1818"/>
      <c r="D1963" s="2228"/>
      <c r="E1963" s="2229"/>
      <c r="F1963" s="2229"/>
      <c r="G1963" s="2229"/>
      <c r="H1963" s="2229"/>
      <c r="I1963" s="2229"/>
      <c r="J1963" s="2229"/>
      <c r="K1963" s="2229"/>
      <c r="L1963" s="2229"/>
      <c r="M1963" s="2229"/>
      <c r="N1963" s="2310"/>
      <c r="O1963" s="2310"/>
      <c r="P1963" s="2109"/>
    </row>
    <row r="1964" spans="1:27" s="2275" customFormat="1" ht="11.25" customHeight="1">
      <c r="A1964" s="2224"/>
      <c r="B1964" s="2224"/>
      <c r="C1964" s="2224"/>
      <c r="D1964" s="2224"/>
      <c r="E1964" s="2224"/>
      <c r="F1964" s="2224"/>
      <c r="G1964" s="2224"/>
      <c r="H1964" s="2224"/>
      <c r="I1964" s="2224"/>
      <c r="J1964" s="2224"/>
      <c r="K1964" s="2224"/>
      <c r="L1964" s="2224"/>
      <c r="M1964" s="2224"/>
      <c r="N1964" s="2224"/>
      <c r="O1964" s="2224"/>
      <c r="P1964" s="2224"/>
      <c r="Q1964" s="1856"/>
    </row>
    <row r="1965" spans="1:27" s="2275" customFormat="1" ht="5.25" customHeight="1">
      <c r="A1965" s="1818"/>
      <c r="D1965" s="435"/>
      <c r="E1965" s="435"/>
      <c r="F1965" s="2109"/>
      <c r="G1965" s="2109"/>
      <c r="H1965" s="2109"/>
      <c r="I1965" s="2109"/>
      <c r="J1965" s="2122"/>
      <c r="K1965" s="2122"/>
      <c r="L1965" s="2122"/>
      <c r="M1965" s="2165"/>
      <c r="N1965" s="2109"/>
      <c r="O1965" s="2052"/>
      <c r="P1965" s="2193"/>
    </row>
    <row r="1966" spans="1:27" s="2275" customFormat="1" ht="13.5" customHeight="1">
      <c r="A1966" s="2307" t="s">
        <v>2604</v>
      </c>
      <c r="B1966" s="2154" t="s">
        <v>4162</v>
      </c>
      <c r="D1966" s="2380"/>
      <c r="E1966" s="2113" t="s">
        <v>6568</v>
      </c>
      <c r="G1966" s="2171"/>
      <c r="M1966" s="2109">
        <v>5</v>
      </c>
      <c r="N1966" s="2109"/>
      <c r="O1966" s="2193">
        <f>'Part IX Scoring Criteria'!O247</f>
        <v>0</v>
      </c>
      <c r="P1966" s="2193">
        <f>'Part IX Scoring Criteria'!P247</f>
        <v>0</v>
      </c>
      <c r="Q1966" s="2109" t="s">
        <v>422</v>
      </c>
      <c r="R1966" s="1859" t="s">
        <v>4264</v>
      </c>
      <c r="S1966" s="2436"/>
      <c r="T1966" s="2436"/>
      <c r="U1966" s="2436"/>
      <c r="V1966" s="2436"/>
      <c r="W1966" s="1968"/>
      <c r="X1966" s="1968"/>
    </row>
    <row r="1967" spans="1:27" s="1818" customFormat="1" ht="11.25" customHeight="1">
      <c r="A1967" s="2142" t="s">
        <v>1892</v>
      </c>
      <c r="B1967" s="1719" t="s">
        <v>7106</v>
      </c>
      <c r="M1967" s="2109">
        <v>5</v>
      </c>
      <c r="N1967" s="2256" t="s">
        <v>1892</v>
      </c>
      <c r="O1967" s="2372">
        <f>'Part IX Scoring Criteria'!O248</f>
        <v>0</v>
      </c>
      <c r="P1967" s="2193"/>
      <c r="Q1967" s="2398" t="str">
        <f>IF(OR($O1967=$M1967,$O1967=$M1967-1,$O1967=0,$O1967=""),"","*CHECK!*")</f>
        <v/>
      </c>
      <c r="R1967" s="1859" t="s">
        <v>4264</v>
      </c>
      <c r="S1967" s="2436"/>
      <c r="T1967" s="2436"/>
      <c r="U1967" s="2436"/>
      <c r="V1967" s="2436"/>
    </row>
    <row r="1968" spans="1:27" s="1818" customFormat="1" ht="11.25" customHeight="1">
      <c r="A1968" s="2142" t="s">
        <v>1894</v>
      </c>
      <c r="B1968" s="1719" t="s">
        <v>6569</v>
      </c>
      <c r="M1968" s="2109">
        <v>3</v>
      </c>
      <c r="N1968" s="2256" t="s">
        <v>1894</v>
      </c>
      <c r="O1968" s="2372">
        <f>'Part IX Scoring Criteria'!O249</f>
        <v>0</v>
      </c>
      <c r="P1968" s="2193"/>
      <c r="Q1968" s="2398" t="str">
        <f t="shared" ref="Q1968:Q1969" si="386">IF(OR($O1968=$M1968,$O1968=$M1968-1,$O1968=0,$O1968=""),"","*CHECK!*")</f>
        <v/>
      </c>
      <c r="R1968" s="1859" t="s">
        <v>4264</v>
      </c>
    </row>
    <row r="1969" spans="1:21" s="1853" customFormat="1">
      <c r="A1969" s="2142" t="s">
        <v>719</v>
      </c>
      <c r="B1969" s="1719" t="s">
        <v>6570</v>
      </c>
      <c r="E1969" s="2122" t="s">
        <v>6497</v>
      </c>
      <c r="I1969" s="2283"/>
      <c r="L1969" s="1818"/>
      <c r="M1969" s="2109">
        <v>3</v>
      </c>
      <c r="N1969" s="2256" t="s">
        <v>719</v>
      </c>
      <c r="O1969" s="2372">
        <f>'Part IX Scoring Criteria'!O250</f>
        <v>0</v>
      </c>
      <c r="P1969" s="2193"/>
      <c r="Q1969" s="2398" t="str">
        <f t="shared" si="386"/>
        <v/>
      </c>
      <c r="R1969" s="1859" t="s">
        <v>4264</v>
      </c>
    </row>
    <row r="1970" spans="1:21" s="2275" customFormat="1" ht="10.5" customHeight="1">
      <c r="A1970" s="1818"/>
      <c r="B1970" s="2157" t="s">
        <v>3373</v>
      </c>
      <c r="C1970" s="1818"/>
      <c r="D1970" s="1719"/>
      <c r="E1970" s="1719"/>
      <c r="F1970" s="1719"/>
      <c r="G1970" s="1719"/>
      <c r="H1970" s="435"/>
      <c r="I1970" s="435"/>
      <c r="J1970" s="435"/>
      <c r="K1970" s="435"/>
      <c r="M1970" s="2109"/>
      <c r="N1970" s="2052"/>
      <c r="O1970" s="2193"/>
      <c r="P1970" s="2052"/>
    </row>
    <row r="1971" spans="1:21" s="2275" customFormat="1" ht="21.75" customHeight="1">
      <c r="A1971" s="2227" t="str">
        <f>'Part IX Scoring Criteria'!A252</f>
        <v>The applicant is not claiming points in this section, therefore it has been intentionally left blank.</v>
      </c>
      <c r="B1971" s="2227"/>
      <c r="C1971" s="2227"/>
      <c r="D1971" s="2227"/>
      <c r="E1971" s="2227"/>
      <c r="F1971" s="2227"/>
      <c r="G1971" s="2227"/>
      <c r="H1971" s="2227"/>
      <c r="I1971" s="2227"/>
      <c r="J1971" s="2227"/>
      <c r="K1971" s="2227"/>
      <c r="L1971" s="2227"/>
      <c r="M1971" s="2227"/>
      <c r="N1971" s="2227"/>
      <c r="O1971" s="2227"/>
      <c r="P1971" s="2227"/>
      <c r="Q1971" s="1856" t="s">
        <v>1208</v>
      </c>
    </row>
    <row r="1972" spans="1:21" s="2275" customFormat="1" ht="10.5" customHeight="1">
      <c r="B1972" s="2228" t="s">
        <v>1779</v>
      </c>
      <c r="C1972" s="1818"/>
      <c r="D1972" s="2228"/>
      <c r="E1972" s="2229"/>
      <c r="F1972" s="2229"/>
      <c r="G1972" s="2229"/>
      <c r="H1972" s="2229"/>
      <c r="I1972" s="2229"/>
      <c r="J1972" s="2229"/>
      <c r="K1972" s="2229"/>
      <c r="L1972" s="2229"/>
      <c r="M1972" s="2229"/>
      <c r="N1972" s="2310"/>
      <c r="O1972" s="2310"/>
      <c r="P1972" s="2109"/>
    </row>
    <row r="1973" spans="1:21" s="2275" customFormat="1" ht="11.25" customHeight="1">
      <c r="A1973" s="2224"/>
      <c r="B1973" s="2224"/>
      <c r="C1973" s="2224"/>
      <c r="D1973" s="2224"/>
      <c r="E1973" s="2224"/>
      <c r="F1973" s="2224"/>
      <c r="G1973" s="2224"/>
      <c r="H1973" s="2224"/>
      <c r="I1973" s="2224"/>
      <c r="J1973" s="2224"/>
      <c r="K1973" s="2224"/>
      <c r="L1973" s="2224"/>
      <c r="M1973" s="2224"/>
      <c r="N1973" s="2224"/>
      <c r="O1973" s="2224"/>
      <c r="P1973" s="2224"/>
      <c r="Q1973" s="1856"/>
    </row>
    <row r="1974" spans="1:21" s="1853" customFormat="1" ht="6" customHeight="1">
      <c r="N1974" s="2052"/>
      <c r="O1974" s="2052"/>
      <c r="P1974" s="2052"/>
      <c r="T1974" s="2437"/>
      <c r="U1974" s="2437"/>
    </row>
    <row r="1975" spans="1:21" s="2275" customFormat="1" ht="13.5" customHeight="1">
      <c r="A1975" s="2432" t="s">
        <v>2148</v>
      </c>
      <c r="B1975" s="2154" t="s">
        <v>2625</v>
      </c>
      <c r="D1975" s="2380"/>
      <c r="E1975" s="2380"/>
      <c r="F1975" s="2380"/>
      <c r="H1975" s="2122"/>
      <c r="J1975" s="2165"/>
      <c r="K1975" s="1719"/>
      <c r="L1975" s="2256" t="s">
        <v>4265</v>
      </c>
      <c r="M1975" s="2109">
        <v>4</v>
      </c>
      <c r="N1975" s="2109"/>
      <c r="O1975" s="2193">
        <f>'Part IX Scoring Criteria'!O256</f>
        <v>4</v>
      </c>
      <c r="P1975" s="2193">
        <f>'Part IX Scoring Criteria'!P256</f>
        <v>0</v>
      </c>
      <c r="Q1975" s="2109" t="s">
        <v>422</v>
      </c>
      <c r="T1975" s="2437"/>
      <c r="U1975" s="2437"/>
    </row>
    <row r="1976" spans="1:21" s="2285" customFormat="1" ht="11.25" customHeight="1">
      <c r="A1976" s="2142" t="s">
        <v>1892</v>
      </c>
      <c r="B1976" s="1719" t="s">
        <v>2131</v>
      </c>
      <c r="D1976" s="2171"/>
      <c r="E1976" s="2171"/>
      <c r="F1976" s="2245"/>
      <c r="G1976" s="1853"/>
      <c r="L1976" s="2367"/>
      <c r="M1976" s="2109">
        <v>3</v>
      </c>
      <c r="N1976" s="2256" t="s">
        <v>1892</v>
      </c>
      <c r="O1976" s="2193">
        <f>'Part IX Scoring Criteria'!O257</f>
        <v>3</v>
      </c>
      <c r="P1976" s="2193">
        <f>'Part IX Scoring Criteria'!P257</f>
        <v>0</v>
      </c>
      <c r="Q1976" s="2398"/>
      <c r="R1976" s="1913"/>
      <c r="T1976" s="2437"/>
      <c r="U1976" s="2437"/>
    </row>
    <row r="1977" spans="1:21" s="2285" customFormat="1" ht="11.25" customHeight="1">
      <c r="A1977" s="2142"/>
      <c r="B1977" s="2385" t="s">
        <v>1895</v>
      </c>
      <c r="C1977" s="2122" t="s">
        <v>3990</v>
      </c>
      <c r="D1977" s="2171"/>
      <c r="E1977" s="2171"/>
      <c r="F1977" s="2245"/>
      <c r="G1977" s="1853"/>
      <c r="L1977" s="2367"/>
      <c r="M1977" s="2109">
        <v>3</v>
      </c>
      <c r="N1977" s="2385" t="s">
        <v>1895</v>
      </c>
      <c r="O1977" s="2231" t="str">
        <f>'Part IX Scoring Criteria'!O258</f>
        <v>Yes</v>
      </c>
      <c r="P1977" s="2165"/>
      <c r="Q1977" s="2398"/>
      <c r="R1977" s="1913"/>
      <c r="T1977" s="2437"/>
      <c r="U1977" s="2437"/>
    </row>
    <row r="1978" spans="1:21" s="2285" customFormat="1" ht="11.25" customHeight="1">
      <c r="A1978" s="2142"/>
      <c r="B1978" s="2393" t="s">
        <v>1897</v>
      </c>
      <c r="C1978" s="2122" t="s">
        <v>3991</v>
      </c>
      <c r="D1978" s="2171"/>
      <c r="E1978" s="2171"/>
      <c r="F1978" s="2245"/>
      <c r="G1978" s="1853"/>
      <c r="L1978" s="2367"/>
      <c r="M1978" s="2109">
        <v>2</v>
      </c>
      <c r="N1978" s="2385" t="s">
        <v>1897</v>
      </c>
      <c r="O1978" s="2231" t="str">
        <f>'Part IX Scoring Criteria'!O259</f>
        <v>No</v>
      </c>
      <c r="P1978" s="2165"/>
      <c r="Q1978" s="2398"/>
      <c r="R1978" s="1913"/>
      <c r="T1978" s="2437"/>
      <c r="U1978" s="2437"/>
    </row>
    <row r="1979" spans="1:21" s="2285" customFormat="1" ht="10.5" customHeight="1">
      <c r="A1979" s="2142"/>
      <c r="B1979" s="2393" t="s">
        <v>2415</v>
      </c>
      <c r="C1979" s="2122" t="s">
        <v>3992</v>
      </c>
      <c r="D1979" s="2171"/>
      <c r="E1979" s="2171"/>
      <c r="F1979" s="2245"/>
      <c r="G1979" s="1853"/>
      <c r="K1979" s="2256"/>
      <c r="M1979" s="2109">
        <v>1</v>
      </c>
      <c r="N1979" s="2385" t="s">
        <v>2415</v>
      </c>
      <c r="O1979" s="2231" t="str">
        <f>'Part IX Scoring Criteria'!O260</f>
        <v>No</v>
      </c>
      <c r="P1979" s="2165"/>
      <c r="R1979" s="1968"/>
      <c r="T1979" s="2437"/>
      <c r="U1979" s="2437"/>
    </row>
    <row r="1980" spans="1:21" s="2275" customFormat="1" ht="11.25" customHeight="1">
      <c r="A1980" s="2142" t="s">
        <v>1894</v>
      </c>
      <c r="B1980" s="1719" t="s">
        <v>4153</v>
      </c>
      <c r="D1980" s="435"/>
      <c r="K1980" s="435"/>
      <c r="L1980" s="2367" t="str">
        <f>IF(OR($O1980=$M1980,$O1980=0,$O1980=""),"","* * Check Score! * *")</f>
        <v/>
      </c>
      <c r="M1980" s="2109">
        <v>1</v>
      </c>
      <c r="N1980" s="2256" t="s">
        <v>1894</v>
      </c>
      <c r="O1980" s="2193">
        <f>'Part IX Scoring Criteria'!O261</f>
        <v>0</v>
      </c>
      <c r="P1980" s="2193">
        <f>'Part IX Scoring Criteria'!P261</f>
        <v>0</v>
      </c>
      <c r="Q1980" s="2398" t="str">
        <f>IF(OR($O1980=$M1980,$O1980=0,$O1980=""),"","*CHECK!*")</f>
        <v/>
      </c>
      <c r="R1980" s="1913"/>
      <c r="T1980" s="2437"/>
      <c r="U1980" s="2437"/>
    </row>
    <row r="1981" spans="1:21" s="2275" customFormat="1" ht="21.75" customHeight="1">
      <c r="A1981" s="2432"/>
      <c r="B1981" s="435" t="s">
        <v>4154</v>
      </c>
      <c r="C1981" s="435"/>
      <c r="D1981" s="435"/>
      <c r="E1981" s="435"/>
      <c r="F1981" s="435"/>
      <c r="G1981" s="435"/>
      <c r="H1981" s="435"/>
      <c r="I1981" s="435"/>
      <c r="J1981" s="435"/>
      <c r="K1981" s="435"/>
      <c r="L1981" s="435"/>
      <c r="M1981" s="2109"/>
      <c r="N1981" s="2256"/>
      <c r="O1981" s="2265" t="str">
        <f>'Part IX Scoring Criteria'!O262</f>
        <v>No</v>
      </c>
      <c r="P1981" s="2253"/>
      <c r="Q1981" s="1968"/>
      <c r="R1981" s="2367"/>
      <c r="T1981" s="2437"/>
      <c r="U1981" s="2437"/>
    </row>
    <row r="1982" spans="1:21" s="2275" customFormat="1" ht="11.25" customHeight="1">
      <c r="A1982" s="2142" t="s">
        <v>719</v>
      </c>
      <c r="B1982" s="1719" t="s">
        <v>3993</v>
      </c>
      <c r="D1982" s="435"/>
      <c r="H1982" s="1865"/>
      <c r="K1982" s="435"/>
      <c r="L1982" s="2367"/>
      <c r="M1982" s="2109">
        <v>1</v>
      </c>
      <c r="N1982" s="2256" t="s">
        <v>719</v>
      </c>
      <c r="O1982" s="2193">
        <f>'Part IX Scoring Criteria'!O263</f>
        <v>1</v>
      </c>
      <c r="P1982" s="2193">
        <f>'Part IX Scoring Criteria'!P263</f>
        <v>0</v>
      </c>
      <c r="Q1982" s="2398" t="str">
        <f>IF(OR($O1982=$M1982,$O1982=0,$O1982=""),"","*CHECK!*")</f>
        <v/>
      </c>
      <c r="R1982" s="1913"/>
      <c r="T1982" s="2437"/>
      <c r="U1982" s="2437"/>
    </row>
    <row r="1983" spans="1:21" s="2275" customFormat="1" ht="33.75" customHeight="1">
      <c r="B1983" s="2224" t="s">
        <v>7194</v>
      </c>
      <c r="C1983" s="2224"/>
      <c r="D1983" s="2224"/>
      <c r="E1983" s="2224"/>
      <c r="F1983" s="2224"/>
      <c r="G1983" s="2224"/>
      <c r="H1983" s="2224"/>
      <c r="I1983" s="2224"/>
      <c r="J1983" s="2224"/>
      <c r="K1983" s="2224"/>
      <c r="L1983" s="2224"/>
      <c r="M1983" s="2109"/>
      <c r="N1983" s="2256"/>
      <c r="O1983" s="2265" t="str">
        <f>'Part IX Scoring Criteria'!O264</f>
        <v>Yes</v>
      </c>
      <c r="P1983" s="2253"/>
      <c r="Q1983" s="1968"/>
      <c r="R1983" s="2367"/>
      <c r="T1983" s="2437"/>
      <c r="U1983" s="2437"/>
    </row>
    <row r="1984" spans="1:21" s="2275" customFormat="1" ht="22.5" customHeight="1">
      <c r="B1984" s="2224" t="s">
        <v>6499</v>
      </c>
      <c r="C1984" s="2224"/>
      <c r="D1984" s="2224"/>
      <c r="E1984" s="2224"/>
      <c r="F1984" s="2224"/>
      <c r="G1984" s="2224"/>
      <c r="H1984" s="2224"/>
      <c r="I1984" s="2224"/>
      <c r="J1984" s="2224"/>
      <c r="K1984" s="2224"/>
      <c r="L1984" s="2224"/>
      <c r="M1984" s="2109"/>
      <c r="N1984" s="2109"/>
      <c r="O1984" s="2109"/>
      <c r="P1984" s="2109"/>
      <c r="Q1984" s="1968"/>
      <c r="R1984" s="2367"/>
      <c r="T1984" s="2437"/>
      <c r="U1984" s="2437"/>
    </row>
    <row r="1985" spans="1:21" s="2275" customFormat="1" ht="10.5" customHeight="1">
      <c r="A1985" s="1818"/>
      <c r="B1985" s="2228" t="s">
        <v>1779</v>
      </c>
      <c r="C1985" s="1818"/>
      <c r="D1985" s="2228"/>
      <c r="E1985" s="2229"/>
      <c r="F1985" s="2229"/>
      <c r="G1985" s="2229"/>
      <c r="H1985" s="2229"/>
      <c r="I1985" s="2229"/>
      <c r="J1985" s="2229"/>
      <c r="K1985" s="2229"/>
      <c r="L1985" s="2229"/>
      <c r="M1985" s="2229"/>
      <c r="N1985" s="2310"/>
      <c r="O1985" s="2310"/>
      <c r="P1985" s="2109"/>
    </row>
    <row r="1986" spans="1:21" s="2275" customFormat="1" ht="11.25" customHeight="1">
      <c r="A1986" s="2224"/>
      <c r="B1986" s="2224"/>
      <c r="C1986" s="2224"/>
      <c r="D1986" s="2224"/>
      <c r="E1986" s="2224"/>
      <c r="F1986" s="2224"/>
      <c r="G1986" s="2224"/>
      <c r="H1986" s="2224"/>
      <c r="I1986" s="2224"/>
      <c r="J1986" s="2224"/>
      <c r="K1986" s="2224"/>
      <c r="L1986" s="2224"/>
      <c r="M1986" s="2224"/>
      <c r="N1986" s="2224"/>
      <c r="O1986" s="2224"/>
      <c r="P1986" s="2224"/>
      <c r="Q1986" s="1856"/>
    </row>
    <row r="1987" spans="1:21" s="2275" customFormat="1" ht="1.5" customHeight="1">
      <c r="A1987" s="1818"/>
      <c r="B1987" s="1818"/>
      <c r="C1987" s="2229"/>
      <c r="D1987" s="2229"/>
      <c r="E1987" s="2229"/>
      <c r="F1987" s="2229"/>
      <c r="G1987" s="2229"/>
      <c r="H1987" s="2229"/>
      <c r="I1987" s="2229"/>
      <c r="J1987" s="2229"/>
      <c r="K1987" s="2229"/>
      <c r="L1987" s="2229"/>
      <c r="M1987" s="2229"/>
      <c r="N1987" s="2310"/>
      <c r="O1987" s="2310"/>
      <c r="P1987" s="2109"/>
    </row>
    <row r="1988" spans="1:21" s="2275" customFormat="1" ht="12" customHeight="1">
      <c r="A1988" s="2307" t="s">
        <v>3519</v>
      </c>
      <c r="B1988" s="2154" t="s">
        <v>3488</v>
      </c>
      <c r="C1988" s="2113"/>
      <c r="D1988" s="2113"/>
      <c r="E1988" s="435"/>
      <c r="G1988" s="2113"/>
      <c r="I1988" s="1913" t="s">
        <v>6542</v>
      </c>
      <c r="J1988" s="2318" t="str">
        <f>IF(OR($M$32="9% Credit Competitive Round only", $M$32="9% Credit &amp; HOME"),"9%",IF(OR($M$32="4% Credit/TE Bond", $M$32="4% Credit/TE Bond &amp; HOME", $M$32="4% Credit/TE Bond &amp; HOME NOFA", $M$32="4% Credit &amp; NHTF", $M$32="4% Credit &amp; NHTF &amp; HOME"),"4%",""))</f>
        <v/>
      </c>
      <c r="K1988" s="2285"/>
      <c r="L1988" s="2285"/>
      <c r="M1988" s="2109">
        <v>2</v>
      </c>
      <c r="N1988" s="2109"/>
      <c r="O1988" s="2109"/>
      <c r="P1988" s="2193">
        <f>'Part IX Scoring Criteria'!P269</f>
        <v>0</v>
      </c>
      <c r="Q1988" s="2109" t="s">
        <v>422</v>
      </c>
    </row>
    <row r="1989" spans="1:21" s="2275" customFormat="1" ht="13.5" customHeight="1">
      <c r="A1989" s="2307"/>
      <c r="B1989" s="435" t="s">
        <v>6500</v>
      </c>
      <c r="C1989" s="2229"/>
      <c r="D1989" s="2229"/>
      <c r="E1989" s="2229"/>
      <c r="F1989" s="2229"/>
      <c r="G1989" s="2229"/>
      <c r="H1989" s="2229"/>
      <c r="I1989" s="2229"/>
      <c r="J1989" s="2229"/>
      <c r="K1989" s="2229"/>
      <c r="L1989" s="2414"/>
      <c r="M1989" s="2109"/>
      <c r="N1989" s="2310"/>
      <c r="O1989" s="2231" t="str">
        <f>'Part IX Scoring Criteria'!O270</f>
        <v>No</v>
      </c>
      <c r="P1989" s="2165"/>
      <c r="Q1989" s="2109"/>
      <c r="T1989" s="2437"/>
      <c r="U1989" s="2437"/>
    </row>
    <row r="1990" spans="1:21" s="2275" customFormat="1" ht="12" customHeight="1">
      <c r="A1990" s="2142" t="s">
        <v>1892</v>
      </c>
      <c r="B1990" s="1719" t="s">
        <v>3489</v>
      </c>
      <c r="C1990" s="2113"/>
      <c r="D1990" s="2113"/>
      <c r="E1990" s="435"/>
      <c r="G1990" s="2169">
        <f>'Part VIII-Threshold Criteria'!I2051</f>
        <v>0</v>
      </c>
      <c r="I1990" s="2122" t="s">
        <v>4285</v>
      </c>
      <c r="K1990" s="2122">
        <f>'Part I-Project Information'!H1771</f>
        <v>0</v>
      </c>
      <c r="M1990" s="2109">
        <v>2</v>
      </c>
      <c r="N1990" s="2256" t="s">
        <v>1892</v>
      </c>
      <c r="P1990" s="2109"/>
      <c r="Q1990" s="2109"/>
      <c r="R1990" s="1913" t="s">
        <v>2553</v>
      </c>
    </row>
    <row r="1991" spans="1:21" s="2285" customFormat="1" ht="10.5" customHeight="1">
      <c r="A1991" s="2142"/>
      <c r="B1991" s="2385" t="s">
        <v>1895</v>
      </c>
      <c r="C1991" s="435" t="s">
        <v>4017</v>
      </c>
      <c r="D1991" s="1818"/>
      <c r="N1991" s="2385" t="s">
        <v>4018</v>
      </c>
      <c r="O1991" s="2231" t="str">
        <f>'Part IX Scoring Criteria'!O272</f>
        <v>No</v>
      </c>
      <c r="P1991" s="2165"/>
      <c r="R1991" s="2367"/>
    </row>
    <row r="1992" spans="1:21" s="2285" customFormat="1" ht="10.5" customHeight="1">
      <c r="A1992" s="2142"/>
      <c r="B1992" s="2385"/>
      <c r="C1992" s="435" t="s">
        <v>6501</v>
      </c>
      <c r="D1992" s="1818"/>
      <c r="N1992" s="2385" t="s">
        <v>4019</v>
      </c>
      <c r="O1992" s="2231">
        <f>'Part IX Scoring Criteria'!O273</f>
        <v>0</v>
      </c>
      <c r="P1992" s="2165"/>
      <c r="R1992" s="2367"/>
    </row>
    <row r="1993" spans="1:21" s="2285" customFormat="1" ht="10.5" customHeight="1">
      <c r="A1993" s="2142"/>
      <c r="B1993" s="2385" t="s">
        <v>1897</v>
      </c>
      <c r="C1993" s="435" t="s">
        <v>3495</v>
      </c>
      <c r="D1993" s="1818"/>
      <c r="N1993" s="2385" t="s">
        <v>1897</v>
      </c>
      <c r="O1993" s="2231">
        <f>'Part IX Scoring Criteria'!O274</f>
        <v>0</v>
      </c>
      <c r="P1993" s="2165"/>
      <c r="R1993" s="2367"/>
    </row>
    <row r="1994" spans="1:21" s="2285" customFormat="1" ht="10.5" customHeight="1">
      <c r="A1994" s="2142"/>
      <c r="B1994" s="2385" t="s">
        <v>2415</v>
      </c>
      <c r="C1994" s="435" t="s">
        <v>4020</v>
      </c>
      <c r="D1994" s="1818"/>
      <c r="N1994" s="2385" t="s">
        <v>2415</v>
      </c>
      <c r="O1994" s="2231">
        <f>'Part IX Scoring Criteria'!O275</f>
        <v>0</v>
      </c>
      <c r="P1994" s="2165"/>
      <c r="R1994" s="2367"/>
    </row>
    <row r="1995" spans="1:21" s="2285" customFormat="1" ht="10.5" customHeight="1">
      <c r="B1995" s="2385" t="s">
        <v>1178</v>
      </c>
      <c r="C1995" s="435" t="s">
        <v>3496</v>
      </c>
      <c r="D1995" s="1818"/>
      <c r="N1995" s="2385" t="s">
        <v>1178</v>
      </c>
      <c r="O1995" s="2231">
        <f>'Part IX Scoring Criteria'!O276</f>
        <v>0</v>
      </c>
      <c r="P1995" s="2165"/>
      <c r="R1995" s="2367"/>
    </row>
    <row r="1996" spans="1:21" s="2275" customFormat="1" ht="12" customHeight="1">
      <c r="A1996" s="2142" t="s">
        <v>1894</v>
      </c>
      <c r="B1996" s="1719" t="s">
        <v>3490</v>
      </c>
      <c r="C1996" s="2113"/>
      <c r="D1996" s="2113"/>
      <c r="E1996" s="435"/>
      <c r="G1996" s="2169">
        <f>'Part I-Project Information'!D1842</f>
        <v>0</v>
      </c>
      <c r="I1996" s="2169"/>
      <c r="L1996" s="2056"/>
      <c r="M1996" s="2109">
        <v>2</v>
      </c>
      <c r="N1996" s="2256" t="s">
        <v>1894</v>
      </c>
      <c r="P1996" s="2109"/>
      <c r="Q1996" s="2109"/>
      <c r="R1996" s="1913" t="s">
        <v>2553</v>
      </c>
    </row>
    <row r="1997" spans="1:21" s="2285" customFormat="1" ht="10.5" customHeight="1">
      <c r="A1997" s="2432"/>
      <c r="B1997" s="2385" t="s">
        <v>1895</v>
      </c>
      <c r="C1997" s="435" t="s">
        <v>4017</v>
      </c>
      <c r="D1997" s="435"/>
      <c r="E1997" s="435"/>
      <c r="M1997" s="2109"/>
      <c r="N1997" s="2385" t="s">
        <v>4018</v>
      </c>
      <c r="O1997" s="2231" t="str">
        <f>'Part IX Scoring Criteria'!O278</f>
        <v>Yes</v>
      </c>
      <c r="P1997" s="2165"/>
      <c r="Q1997" s="2109"/>
    </row>
    <row r="1998" spans="1:21" s="2285" customFormat="1" ht="10.5" customHeight="1">
      <c r="A1998" s="2142"/>
      <c r="B1998" s="2385"/>
      <c r="C1998" s="435" t="s">
        <v>6502</v>
      </c>
      <c r="D1998" s="1818"/>
      <c r="N1998" s="2385" t="s">
        <v>4019</v>
      </c>
      <c r="O1998" s="2231" t="str">
        <f>'Part IX Scoring Criteria'!O279</f>
        <v>No</v>
      </c>
      <c r="P1998" s="2165"/>
      <c r="R1998" s="2367"/>
    </row>
    <row r="1999" spans="1:21" s="2285" customFormat="1" ht="10.5" customHeight="1">
      <c r="A1999" s="2142"/>
      <c r="B1999" s="2385" t="s">
        <v>1897</v>
      </c>
      <c r="C1999" s="435" t="s">
        <v>3507</v>
      </c>
      <c r="D1999" s="1818"/>
      <c r="N1999" s="2385" t="s">
        <v>1897</v>
      </c>
      <c r="O1999" s="2231" t="str">
        <f>'Part IX Scoring Criteria'!O280</f>
        <v>Yes</v>
      </c>
      <c r="P1999" s="2165"/>
      <c r="R1999" s="2367"/>
    </row>
    <row r="2000" spans="1:21" s="2285" customFormat="1" ht="10.5" customHeight="1">
      <c r="B2000" s="2385" t="s">
        <v>2415</v>
      </c>
      <c r="C2000" s="435" t="s">
        <v>3496</v>
      </c>
      <c r="D2000" s="1818"/>
      <c r="N2000" s="2385" t="s">
        <v>2415</v>
      </c>
      <c r="O2000" s="2231" t="str">
        <f>'Part IX Scoring Criteria'!O281</f>
        <v>Yes</v>
      </c>
      <c r="P2000" s="2165"/>
      <c r="R2000" s="2367"/>
    </row>
    <row r="2001" spans="1:19" s="2275" customFormat="1" ht="10.5" customHeight="1">
      <c r="B2001" s="2228" t="s">
        <v>1779</v>
      </c>
      <c r="C2001" s="1818"/>
      <c r="D2001" s="2228"/>
      <c r="E2001" s="2229"/>
      <c r="F2001" s="2229"/>
      <c r="G2001" s="2229"/>
      <c r="H2001" s="2229"/>
      <c r="I2001" s="2229"/>
      <c r="J2001" s="2229"/>
      <c r="K2001" s="2229"/>
      <c r="L2001" s="2229"/>
      <c r="M2001" s="2229"/>
      <c r="N2001" s="2310"/>
      <c r="O2001" s="2310"/>
      <c r="P2001" s="2109"/>
    </row>
    <row r="2002" spans="1:19" s="2275" customFormat="1" ht="11.25" customHeight="1">
      <c r="A2002" s="2224"/>
      <c r="B2002" s="2224"/>
      <c r="C2002" s="2224"/>
      <c r="D2002" s="2224"/>
      <c r="E2002" s="2224"/>
      <c r="F2002" s="2224"/>
      <c r="G2002" s="2224"/>
      <c r="H2002" s="2224"/>
      <c r="I2002" s="2224"/>
      <c r="J2002" s="2224"/>
      <c r="K2002" s="2224"/>
      <c r="L2002" s="2224"/>
      <c r="M2002" s="2224"/>
      <c r="N2002" s="2224"/>
      <c r="O2002" s="2224"/>
      <c r="P2002" s="2224"/>
      <c r="Q2002" s="1856"/>
    </row>
    <row r="2003" spans="1:19" s="1853" customFormat="1" ht="2.25" customHeight="1">
      <c r="N2003" s="2052"/>
      <c r="O2003" s="2052"/>
      <c r="P2003" s="2052"/>
    </row>
    <row r="2004" spans="1:19" s="2275" customFormat="1" ht="2.25" customHeight="1">
      <c r="A2004" s="1818"/>
      <c r="C2004" s="2229"/>
      <c r="D2004" s="2229"/>
      <c r="E2004" s="2229"/>
      <c r="F2004" s="2229"/>
      <c r="G2004" s="2229"/>
      <c r="H2004" s="2229"/>
      <c r="I2004" s="2229"/>
      <c r="J2004" s="2229"/>
      <c r="K2004" s="2229"/>
      <c r="L2004" s="2229"/>
      <c r="M2004" s="2229"/>
      <c r="N2004" s="2310"/>
      <c r="O2004" s="2310"/>
      <c r="P2004" s="2109"/>
    </row>
    <row r="2005" spans="1:19" s="2275" customFormat="1" ht="13.5" customHeight="1">
      <c r="A2005" s="2307" t="s">
        <v>3520</v>
      </c>
      <c r="B2005" s="2154" t="s">
        <v>1597</v>
      </c>
      <c r="D2005" s="2113"/>
      <c r="E2005" s="2113"/>
      <c r="G2005" s="435"/>
      <c r="M2005" s="2109">
        <v>2</v>
      </c>
      <c r="N2005" s="2438"/>
      <c r="O2005" s="2372">
        <f>'Part IX Scoring Criteria'!O286</f>
        <v>2</v>
      </c>
      <c r="P2005" s="2193"/>
      <c r="Q2005" s="2109" t="s">
        <v>422</v>
      </c>
      <c r="R2005" s="1908" t="s">
        <v>4264</v>
      </c>
      <c r="S2005" s="1908"/>
    </row>
    <row r="2006" spans="1:19" s="2275" customFormat="1" ht="11.25" customHeight="1">
      <c r="A2006" s="2142"/>
      <c r="B2006" s="2122" t="s">
        <v>3274</v>
      </c>
      <c r="D2006" s="2113"/>
      <c r="E2006" s="2113"/>
      <c r="G2006" s="435"/>
      <c r="I2006" s="2112" t="str">
        <f>'Part IX Scoring Criteria'!I287</f>
        <v>Troup County/Hogansville/LaGrange/West Point</v>
      </c>
      <c r="J2006" s="2112"/>
      <c r="K2006" s="2112"/>
      <c r="L2006" s="2112"/>
      <c r="M2006" s="2109"/>
      <c r="N2006" s="2165"/>
      <c r="O2006" s="2056"/>
      <c r="P2006" s="2056"/>
      <c r="Q2006" s="2398"/>
      <c r="R2006" s="1908"/>
      <c r="S2006" s="1908"/>
    </row>
    <row r="2007" spans="1:19" s="2113" customFormat="1" ht="2.25" customHeight="1">
      <c r="B2007" s="2116"/>
      <c r="D2007" s="435"/>
      <c r="E2007" s="435"/>
      <c r="F2007" s="435"/>
      <c r="G2007" s="435"/>
      <c r="H2007" s="435"/>
      <c r="I2007" s="435"/>
      <c r="J2007" s="435"/>
      <c r="K2007" s="435"/>
      <c r="L2007" s="435"/>
      <c r="M2007" s="435"/>
      <c r="N2007" s="2256"/>
      <c r="O2007" s="2256"/>
      <c r="P2007" s="2256"/>
    </row>
    <row r="2008" spans="1:19" s="2285" customFormat="1" ht="10.5" customHeight="1">
      <c r="A2008" s="1818"/>
      <c r="B2008" s="2157" t="s">
        <v>3373</v>
      </c>
      <c r="C2008" s="1818"/>
      <c r="D2008" s="1719"/>
      <c r="E2008" s="1719"/>
      <c r="F2008" s="1719"/>
      <c r="G2008" s="1719"/>
      <c r="H2008" s="435"/>
      <c r="I2008" s="435"/>
      <c r="J2008" s="435"/>
      <c r="K2008" s="435"/>
      <c r="M2008" s="2109"/>
      <c r="N2008" s="2109"/>
      <c r="O2008" s="2193"/>
      <c r="P2008" s="2109"/>
    </row>
    <row r="2009" spans="1:19" s="2275" customFormat="1" ht="10.9" customHeight="1">
      <c r="A2009" s="2227" t="str">
        <f>'Part IX Scoring Criteria'!A290</f>
        <v>The proposed project site falls within the boundaries of the Troup County/Hogansville/LaGrange/West Point joint GICH Team. The GICH Team has provided a letter of support for this project, and this is the only project for which this GICH Team has provided a letter. The City of West Point has also provided a letter in support of this project and consenting to the GICH Team's support letter. Both letters are included in this application. Both the primary and secondary team contacts listed with UGA have departed their employment with their respective local governments after May 1 and were not available to execute this letter. The applicant has secured a GICH letter from the remaining GICH team member in support of this project.</v>
      </c>
      <c r="B2009" s="2227"/>
      <c r="C2009" s="2227"/>
      <c r="D2009" s="2227"/>
      <c r="E2009" s="2227"/>
      <c r="F2009" s="2227"/>
      <c r="G2009" s="2227"/>
      <c r="H2009" s="2227"/>
      <c r="I2009" s="2227"/>
      <c r="J2009" s="2227"/>
      <c r="K2009" s="2227"/>
      <c r="L2009" s="2227"/>
      <c r="M2009" s="2227"/>
      <c r="N2009" s="2227"/>
      <c r="O2009" s="2227"/>
      <c r="P2009" s="2227"/>
      <c r="Q2009" s="1856" t="s">
        <v>1208</v>
      </c>
    </row>
    <row r="2010" spans="1:19" s="2285" customFormat="1" ht="10.5" customHeight="1">
      <c r="A2010" s="1818"/>
      <c r="B2010" s="2157" t="s">
        <v>1779</v>
      </c>
      <c r="C2010" s="1818"/>
      <c r="D2010" s="2157"/>
      <c r="E2010" s="2122"/>
      <c r="F2010" s="2122"/>
      <c r="G2010" s="2122"/>
      <c r="H2010" s="2122"/>
      <c r="I2010" s="2122"/>
      <c r="J2010" s="2122"/>
      <c r="K2010" s="2122"/>
      <c r="L2010" s="2122"/>
      <c r="M2010" s="2122"/>
      <c r="N2010" s="2109"/>
      <c r="O2010" s="2109"/>
      <c r="P2010" s="2109"/>
      <c r="Q2010" s="2275"/>
    </row>
    <row r="2011" spans="1:19" s="2275" customFormat="1" ht="11.25" customHeight="1">
      <c r="A2011" s="2224"/>
      <c r="B2011" s="2224"/>
      <c r="C2011" s="2224"/>
      <c r="D2011" s="2224"/>
      <c r="E2011" s="2224"/>
      <c r="F2011" s="2224"/>
      <c r="G2011" s="2224"/>
      <c r="H2011" s="2224"/>
      <c r="I2011" s="2224"/>
      <c r="J2011" s="2224"/>
      <c r="K2011" s="2224"/>
      <c r="L2011" s="2224"/>
      <c r="M2011" s="2224"/>
      <c r="N2011" s="2224"/>
      <c r="O2011" s="2224"/>
      <c r="P2011" s="2224"/>
      <c r="Q2011" s="1856"/>
    </row>
    <row r="2012" spans="1:19" s="1853" customFormat="1" ht="3" customHeight="1">
      <c r="N2012" s="2052"/>
      <c r="O2012" s="2052"/>
      <c r="P2012" s="2052"/>
    </row>
    <row r="2013" spans="1:19" s="2275" customFormat="1" ht="13.5" customHeight="1">
      <c r="A2013" s="2307" t="s">
        <v>3518</v>
      </c>
      <c r="B2013" s="2154" t="s">
        <v>3492</v>
      </c>
      <c r="D2013" s="2113"/>
      <c r="E2013" s="2113"/>
      <c r="F2013" s="435"/>
      <c r="G2013" s="435"/>
      <c r="H2013" s="435"/>
      <c r="M2013" s="2193">
        <v>4</v>
      </c>
      <c r="N2013" s="2109"/>
      <c r="O2013" s="2193">
        <f>'Part IX Scoring Criteria'!O294</f>
        <v>1</v>
      </c>
      <c r="P2013" s="2193">
        <f>'Part IX Scoring Criteria'!P294</f>
        <v>0</v>
      </c>
      <c r="Q2013" s="2109" t="s">
        <v>422</v>
      </c>
    </row>
    <row r="2014" spans="1:19" s="2275" customFormat="1" ht="10.5" customHeight="1">
      <c r="A2014" s="1818"/>
      <c r="B2014" s="2122" t="s">
        <v>7195</v>
      </c>
      <c r="E2014" s="2113"/>
      <c r="F2014" s="435"/>
      <c r="G2014" s="435"/>
      <c r="H2014" s="435"/>
      <c r="I2014" s="435"/>
      <c r="K2014" s="2165"/>
      <c r="L2014" s="2439"/>
      <c r="O2014" s="2165" t="s">
        <v>2391</v>
      </c>
      <c r="P2014" s="2165" t="s">
        <v>2391</v>
      </c>
    </row>
    <row r="2015" spans="1:19" s="2113" customFormat="1" ht="12.75" customHeight="1">
      <c r="B2015" s="2256" t="s">
        <v>2323</v>
      </c>
      <c r="C2015" s="435" t="s">
        <v>2626</v>
      </c>
      <c r="F2015" s="435"/>
      <c r="G2015" s="435"/>
      <c r="H2015" s="435"/>
      <c r="I2015" s="435"/>
      <c r="J2015" s="2275"/>
      <c r="K2015" s="2165"/>
      <c r="L2015" s="2224" t="str">
        <f>IF(OR(O2015="No",O2015="",O2016="No",O2016="",O2017="No",O2017="",O2018="No",O2018=""),"Unmet criterion results in no points!","")</f>
        <v/>
      </c>
      <c r="M2015" s="2224"/>
      <c r="N2015" s="2256" t="s">
        <v>2323</v>
      </c>
      <c r="O2015" s="2231" t="str">
        <f>'Part IX Scoring Criteria'!O296</f>
        <v>Yes</v>
      </c>
      <c r="P2015" s="2165"/>
      <c r="R2015" s="2224" t="str">
        <f>IF(OR(P2015="No",P2015="",P2016="No",P2016="",P2017="No",P2017="",P2018="No",P2018=""),"Unmet criterion results in no points!","")</f>
        <v>Unmet criterion results in no points!</v>
      </c>
      <c r="S2015" s="2224" t="e">
        <f>IF(OR(V2015="No",V2015="",V2016="No",V2016="",V2017="No",V2017="",V2018="No",V2018="",#REF!="No",#REF!="",#REF!="No",#REF!=""),"Unmet criterion results in no points!","")</f>
        <v>#REF!</v>
      </c>
    </row>
    <row r="2016" spans="1:19" s="2113" customFormat="1" ht="12.75" customHeight="1">
      <c r="B2016" s="2256" t="s">
        <v>2324</v>
      </c>
      <c r="C2016" s="435" t="s">
        <v>3410</v>
      </c>
      <c r="L2016" s="2224"/>
      <c r="M2016" s="2224"/>
      <c r="N2016" s="2256" t="s">
        <v>2324</v>
      </c>
      <c r="O2016" s="2231" t="str">
        <f>'Part IX Scoring Criteria'!O297</f>
        <v>Yes</v>
      </c>
      <c r="P2016" s="2165"/>
      <c r="R2016" s="2224"/>
      <c r="S2016" s="2224"/>
    </row>
    <row r="2017" spans="1:20" s="2113" customFormat="1" ht="12.75" customHeight="1">
      <c r="B2017" s="2256" t="s">
        <v>2325</v>
      </c>
      <c r="C2017" s="435" t="s">
        <v>3409</v>
      </c>
      <c r="L2017" s="2224"/>
      <c r="M2017" s="2224"/>
      <c r="N2017" s="2256" t="s">
        <v>2325</v>
      </c>
      <c r="O2017" s="2231" t="str">
        <f>'Part IX Scoring Criteria'!O298</f>
        <v>N/a</v>
      </c>
      <c r="P2017" s="2165"/>
      <c r="R2017" s="2224"/>
      <c r="S2017" s="2224"/>
    </row>
    <row r="2018" spans="1:20" s="2113" customFormat="1" ht="33.75" customHeight="1">
      <c r="B2018" s="2225" t="s">
        <v>2326</v>
      </c>
      <c r="C2018" s="2224" t="s">
        <v>3994</v>
      </c>
      <c r="D2018" s="2224"/>
      <c r="E2018" s="2224"/>
      <c r="F2018" s="2224"/>
      <c r="G2018" s="2224"/>
      <c r="H2018" s="2224"/>
      <c r="I2018" s="2224"/>
      <c r="J2018" s="2224"/>
      <c r="K2018" s="2224"/>
      <c r="L2018" s="2224"/>
      <c r="M2018" s="2224"/>
      <c r="N2018" s="2225" t="s">
        <v>2326</v>
      </c>
      <c r="O2018" s="2265" t="str">
        <f>'Part IX Scoring Criteria'!O299</f>
        <v>N/a</v>
      </c>
      <c r="P2018" s="2253"/>
    </row>
    <row r="2019" spans="1:20" s="1853" customFormat="1" ht="3" customHeight="1">
      <c r="C2019" s="2224"/>
      <c r="D2019" s="2224"/>
      <c r="E2019" s="2224"/>
      <c r="F2019" s="2224"/>
      <c r="G2019" s="2224"/>
      <c r="H2019" s="2224"/>
      <c r="I2019" s="2224"/>
      <c r="J2019" s="2224"/>
      <c r="K2019" s="2224"/>
      <c r="L2019" s="2224"/>
      <c r="M2019" s="2224"/>
      <c r="N2019" s="2052"/>
      <c r="O2019" s="2052"/>
      <c r="P2019" s="2052"/>
    </row>
    <row r="2020" spans="1:20" s="1853" customFormat="1" ht="12.75" customHeight="1">
      <c r="A2020" s="2418" t="s">
        <v>1892</v>
      </c>
      <c r="B2020" s="1719" t="s">
        <v>3493</v>
      </c>
      <c r="L2020" s="2367" t="str">
        <f>IF(O2020&lt;=M2020,"","* * Check Score! * *")</f>
        <v/>
      </c>
      <c r="M2020" s="2118">
        <v>3</v>
      </c>
      <c r="N2020" s="2256" t="s">
        <v>1892</v>
      </c>
      <c r="O2020" s="2372">
        <f>'Part IX Scoring Criteria'!O301</f>
        <v>0</v>
      </c>
      <c r="P2020" s="2193"/>
      <c r="Q2020" s="2398" t="str">
        <f>IF(O2020&lt;=M2020,"","*CHECK!*")</f>
        <v/>
      </c>
      <c r="R2020" s="1857" t="s">
        <v>4264</v>
      </c>
      <c r="S2020" s="1857"/>
      <c r="T2020" s="1908"/>
    </row>
    <row r="2021" spans="1:20" s="1853" customFormat="1" ht="12.75" customHeight="1">
      <c r="A2021" s="2418"/>
      <c r="B2021" s="2440" t="s">
        <v>1895</v>
      </c>
      <c r="C2021" s="2224" t="s">
        <v>3997</v>
      </c>
      <c r="D2021" s="2224"/>
      <c r="E2021" s="2224"/>
      <c r="F2021" s="2224"/>
      <c r="G2021" s="2224"/>
      <c r="H2021" s="2224"/>
      <c r="I2021" s="2224"/>
      <c r="R2021" s="1857"/>
      <c r="S2021" s="1857"/>
      <c r="T2021" s="1908"/>
    </row>
    <row r="2022" spans="1:20" s="1853" customFormat="1" ht="12.75" customHeight="1">
      <c r="A2022" s="2418"/>
      <c r="B2022" s="2393"/>
      <c r="C2022" s="2224" t="s">
        <v>3996</v>
      </c>
      <c r="D2022" s="2224"/>
      <c r="E2022" s="2224"/>
      <c r="F2022" s="2224"/>
      <c r="G2022" s="2224"/>
      <c r="H2022" s="2224"/>
      <c r="I2022" s="2224"/>
      <c r="J2022" s="2441" t="s">
        <v>1899</v>
      </c>
      <c r="K2022" s="2441"/>
      <c r="M2022" s="2441" t="s">
        <v>1899</v>
      </c>
      <c r="N2022" s="2441"/>
      <c r="O2022" s="2441"/>
      <c r="P2022" s="2441"/>
      <c r="R2022" s="1857"/>
      <c r="S2022" s="1857"/>
      <c r="T2022" s="1908"/>
    </row>
    <row r="2023" spans="1:20" s="2275" customFormat="1" ht="12.75" customHeight="1">
      <c r="A2023" s="2188"/>
      <c r="B2023" s="2256" t="s">
        <v>2323</v>
      </c>
      <c r="C2023" s="435" t="s">
        <v>1423</v>
      </c>
      <c r="I2023" s="2256" t="s">
        <v>2323</v>
      </c>
      <c r="J2023" s="2183">
        <f>'Part IX Scoring Criteria'!J304</f>
        <v>0</v>
      </c>
      <c r="K2023" s="2183"/>
      <c r="L2023" s="2256" t="s">
        <v>2323</v>
      </c>
      <c r="M2023" s="2175"/>
      <c r="N2023" s="2175"/>
      <c r="O2023" s="2175"/>
      <c r="P2023" s="2175"/>
      <c r="R2023" s="2367"/>
    </row>
    <row r="2024" spans="1:20" s="1853" customFormat="1" ht="12.75" customHeight="1">
      <c r="A2024" s="2208"/>
      <c r="B2024" s="2225" t="s">
        <v>2324</v>
      </c>
      <c r="C2024" s="435" t="s">
        <v>3276</v>
      </c>
      <c r="I2024" s="2225" t="s">
        <v>2324</v>
      </c>
      <c r="J2024" s="2183">
        <f>'Part IX Scoring Criteria'!J305</f>
        <v>0</v>
      </c>
      <c r="K2024" s="2183"/>
      <c r="L2024" s="2225" t="s">
        <v>2324</v>
      </c>
      <c r="M2024" s="2175"/>
      <c r="N2024" s="2175"/>
      <c r="O2024" s="2175"/>
      <c r="P2024" s="2175"/>
      <c r="R2024" s="2367"/>
    </row>
    <row r="2025" spans="1:20" s="1853" customFormat="1" ht="12.75" customHeight="1">
      <c r="B2025" s="2256" t="s">
        <v>2325</v>
      </c>
      <c r="C2025" s="435" t="s">
        <v>4155</v>
      </c>
      <c r="I2025" s="2256" t="s">
        <v>2325</v>
      </c>
      <c r="J2025" s="2183">
        <f>'Part IX Scoring Criteria'!J306</f>
        <v>0</v>
      </c>
      <c r="K2025" s="2183"/>
      <c r="L2025" s="2256" t="s">
        <v>2325</v>
      </c>
      <c r="M2025" s="2175"/>
      <c r="N2025" s="2175"/>
      <c r="O2025" s="2175"/>
      <c r="P2025" s="2175"/>
      <c r="R2025" s="2367"/>
    </row>
    <row r="2026" spans="1:20" s="1853" customFormat="1" ht="12.75" customHeight="1">
      <c r="A2026" s="2208"/>
      <c r="B2026" s="2256" t="s">
        <v>2326</v>
      </c>
      <c r="C2026" s="435" t="s">
        <v>3191</v>
      </c>
      <c r="I2026" s="2256" t="s">
        <v>2326</v>
      </c>
      <c r="J2026" s="2183">
        <f>'Part IX Scoring Criteria'!J307</f>
        <v>0</v>
      </c>
      <c r="K2026" s="2183"/>
      <c r="L2026" s="2256" t="s">
        <v>2326</v>
      </c>
      <c r="M2026" s="2175"/>
      <c r="N2026" s="2175"/>
      <c r="O2026" s="2175"/>
      <c r="P2026" s="2175"/>
      <c r="R2026" s="2367"/>
    </row>
    <row r="2027" spans="1:20" s="2275" customFormat="1" ht="12.75" customHeight="1">
      <c r="A2027" s="2188"/>
      <c r="B2027" s="2225" t="s">
        <v>2327</v>
      </c>
      <c r="C2027" s="435" t="s">
        <v>2570</v>
      </c>
      <c r="I2027" s="2225" t="s">
        <v>2327</v>
      </c>
      <c r="J2027" s="2183">
        <f>'Part IX Scoring Criteria'!J308</f>
        <v>0</v>
      </c>
      <c r="K2027" s="2183"/>
      <c r="L2027" s="2225" t="s">
        <v>2327</v>
      </c>
      <c r="M2027" s="2175"/>
      <c r="N2027" s="2175"/>
      <c r="O2027" s="2175"/>
      <c r="P2027" s="2175"/>
      <c r="R2027" s="2367"/>
    </row>
    <row r="2028" spans="1:20" s="1853" customFormat="1" ht="12.75" customHeight="1">
      <c r="B2028" s="2256" t="s">
        <v>2343</v>
      </c>
      <c r="C2028" s="435" t="s">
        <v>1422</v>
      </c>
      <c r="I2028" s="2256" t="s">
        <v>2343</v>
      </c>
      <c r="J2028" s="2183">
        <f>'Part IX Scoring Criteria'!J309</f>
        <v>0</v>
      </c>
      <c r="K2028" s="2183"/>
      <c r="L2028" s="2256" t="s">
        <v>2343</v>
      </c>
      <c r="M2028" s="2175"/>
      <c r="N2028" s="2175"/>
      <c r="O2028" s="2175"/>
      <c r="P2028" s="2175"/>
      <c r="R2028" s="2367"/>
    </row>
    <row r="2029" spans="1:20" s="1853" customFormat="1" ht="12.75" customHeight="1">
      <c r="B2029" s="2256" t="s">
        <v>2344</v>
      </c>
      <c r="C2029" s="435" t="s">
        <v>6503</v>
      </c>
      <c r="I2029" s="2256" t="s">
        <v>2344</v>
      </c>
      <c r="J2029" s="2183">
        <f>'Part IX Scoring Criteria'!J310</f>
        <v>0</v>
      </c>
      <c r="K2029" s="2183"/>
      <c r="L2029" s="2256" t="s">
        <v>2344</v>
      </c>
      <c r="M2029" s="2173"/>
      <c r="N2029" s="2173"/>
      <c r="O2029" s="2173"/>
      <c r="P2029" s="2173"/>
      <c r="R2029" s="2367"/>
    </row>
    <row r="2030" spans="1:20" s="1853" customFormat="1" ht="12.75" customHeight="1">
      <c r="A2030" s="2208"/>
      <c r="B2030" s="2256" t="s">
        <v>2345</v>
      </c>
      <c r="C2030" s="435" t="s">
        <v>3275</v>
      </c>
      <c r="I2030" s="2256" t="s">
        <v>2345</v>
      </c>
      <c r="J2030" s="2183">
        <f>'Part IX Scoring Criteria'!J311</f>
        <v>0</v>
      </c>
      <c r="K2030" s="2183"/>
      <c r="L2030" s="2256" t="s">
        <v>2345</v>
      </c>
      <c r="M2030" s="2175"/>
      <c r="N2030" s="2175"/>
      <c r="O2030" s="2175"/>
      <c r="P2030" s="2175"/>
      <c r="R2030" s="2367"/>
    </row>
    <row r="2031" spans="1:20" s="1853" customFormat="1" ht="12.75" customHeight="1">
      <c r="B2031" s="2256" t="s">
        <v>2346</v>
      </c>
      <c r="C2031" s="435" t="s">
        <v>6848</v>
      </c>
      <c r="I2031" s="2256" t="s">
        <v>2346</v>
      </c>
      <c r="J2031" s="2183">
        <f>'Part IX Scoring Criteria'!J312</f>
        <v>0</v>
      </c>
      <c r="K2031" s="2183"/>
      <c r="L2031" s="2256" t="s">
        <v>2346</v>
      </c>
      <c r="M2031" s="2175"/>
      <c r="N2031" s="2175"/>
      <c r="O2031" s="2175"/>
      <c r="P2031" s="2175"/>
      <c r="R2031" s="2367"/>
    </row>
    <row r="2032" spans="1:20" s="1853" customFormat="1" ht="12.75" customHeight="1">
      <c r="B2032" s="2256" t="s">
        <v>3277</v>
      </c>
      <c r="C2032" s="435" t="s">
        <v>3999</v>
      </c>
      <c r="I2032" s="2256" t="s">
        <v>3277</v>
      </c>
      <c r="J2032" s="2183">
        <f>'Part IX Scoring Criteria'!J313</f>
        <v>0</v>
      </c>
      <c r="K2032" s="2183"/>
      <c r="L2032" s="2256" t="s">
        <v>3277</v>
      </c>
      <c r="M2032" s="2175"/>
      <c r="N2032" s="2175"/>
      <c r="O2032" s="2175"/>
      <c r="P2032" s="2175"/>
      <c r="R2032" s="2367"/>
    </row>
    <row r="2033" spans="1:22" s="1853" customFormat="1" ht="12.75" customHeight="1">
      <c r="B2033" s="2256" t="s">
        <v>6504</v>
      </c>
      <c r="C2033" s="435" t="s">
        <v>7196</v>
      </c>
      <c r="I2033" s="2256" t="s">
        <v>6504</v>
      </c>
      <c r="J2033" s="2183">
        <f>'Part IX Scoring Criteria'!J314</f>
        <v>0</v>
      </c>
      <c r="K2033" s="2183"/>
      <c r="L2033" s="2256" t="s">
        <v>6504</v>
      </c>
      <c r="M2033" s="2175"/>
      <c r="N2033" s="2175"/>
      <c r="O2033" s="2175"/>
      <c r="P2033" s="2175"/>
      <c r="R2033" s="2367"/>
    </row>
    <row r="2034" spans="1:22" s="1853" customFormat="1" ht="12.75" customHeight="1">
      <c r="B2034" s="2068" t="s">
        <v>7107</v>
      </c>
      <c r="H2034" s="2122" t="s">
        <v>2500</v>
      </c>
      <c r="J2034" s="2175">
        <f>SUM(J2023:K2033)</f>
        <v>0</v>
      </c>
      <c r="K2034" s="2175"/>
      <c r="M2034" s="2175">
        <f>SUM($M2023:$M2033)</f>
        <v>0</v>
      </c>
      <c r="N2034" s="2175"/>
      <c r="O2034" s="2175"/>
      <c r="P2034" s="2175"/>
      <c r="R2034" s="2367"/>
    </row>
    <row r="2035" spans="1:22" s="1853" customFormat="1" ht="6" customHeight="1">
      <c r="M2035" s="1857"/>
      <c r="N2035" s="1857"/>
      <c r="P2035" s="1857"/>
    </row>
    <row r="2036" spans="1:22" s="2275" customFormat="1" ht="12" customHeight="1">
      <c r="A2036" s="1818"/>
      <c r="B2036" s="2369" t="s">
        <v>1897</v>
      </c>
      <c r="C2036" s="2115" t="s">
        <v>2499</v>
      </c>
      <c r="D2036" s="1865"/>
      <c r="E2036" s="1865"/>
      <c r="F2036" s="2122" t="s">
        <v>6507</v>
      </c>
      <c r="H2036" s="1853"/>
      <c r="I2036" s="1853"/>
      <c r="J2036" s="2175">
        <f>'Part VI-Revenues &amp; Expenses'!$P$67</f>
        <v>72</v>
      </c>
      <c r="K2036" s="2175"/>
      <c r="L2036" s="1865"/>
      <c r="M2036" s="1857"/>
      <c r="N2036" s="1857"/>
      <c r="O2036" s="2442"/>
      <c r="P2036" s="1857"/>
    </row>
    <row r="2037" spans="1:22" s="1853" customFormat="1" ht="13.5" customHeight="1">
      <c r="C2037" s="1865"/>
      <c r="D2037" s="1865"/>
      <c r="E2037" s="1865"/>
      <c r="F2037" s="2291" t="s">
        <v>6508</v>
      </c>
      <c r="J2037" s="2443">
        <f>J2034/J2036</f>
        <v>0</v>
      </c>
      <c r="K2037" s="2443"/>
      <c r="M2037" s="2443">
        <f>IF($J2036=0,0,$M2034/$J2036)</f>
        <v>0</v>
      </c>
      <c r="N2037" s="2443"/>
      <c r="O2037" s="2443"/>
      <c r="P2037" s="2443"/>
    </row>
    <row r="2038" spans="1:22" s="2275" customFormat="1" ht="12.75" customHeight="1">
      <c r="C2038" s="1865"/>
      <c r="D2038" s="1865"/>
      <c r="E2038" s="1865"/>
      <c r="F2038" s="2113" t="s">
        <v>6509</v>
      </c>
      <c r="I2038" s="1853"/>
      <c r="J2038" s="2150">
        <f>IF(L2015="", IF($J2037&gt;=30000, 3,IF($J2037&gt;=20000, 2,IF($J2037&gt;=10000,1,0))),0)</f>
        <v>0</v>
      </c>
      <c r="K2038" s="2150"/>
      <c r="L2038" s="1719"/>
      <c r="M2038" s="2150">
        <f>IF(R2015="", IF($M2037&gt;=30000, 3,IF($M2037&gt;=20000, 2,IF($M2037&gt;=10000,1,0))),0)</f>
        <v>0</v>
      </c>
      <c r="N2038" s="2150"/>
      <c r="O2038" s="2150"/>
      <c r="P2038" s="2150"/>
    </row>
    <row r="2039" spans="1:22" s="1853" customFormat="1" ht="9" customHeight="1">
      <c r="N2039" s="2052"/>
      <c r="O2039" s="2052"/>
      <c r="P2039" s="2052"/>
    </row>
    <row r="2040" spans="1:22" s="2285" customFormat="1" ht="12.75" customHeight="1">
      <c r="A2040" s="2118" t="s">
        <v>1894</v>
      </c>
      <c r="B2040" s="2116" t="s">
        <v>3278</v>
      </c>
      <c r="D2040" s="435"/>
      <c r="E2040" s="435"/>
      <c r="F2040" s="2109"/>
      <c r="H2040" s="435"/>
      <c r="I2040" s="2109"/>
      <c r="J2040" s="2122"/>
      <c r="K2040" s="2122"/>
      <c r="L2040" s="2367" t="str">
        <f>IF(OR($O2040=$M2040,$O2040=0,$O2040=""),"","* * Check Score! * *")</f>
        <v/>
      </c>
      <c r="M2040" s="2118">
        <v>1</v>
      </c>
      <c r="N2040" s="2256" t="s">
        <v>1894</v>
      </c>
      <c r="O2040" s="2372">
        <f>'Part IX Scoring Criteria'!O321</f>
        <v>1</v>
      </c>
      <c r="P2040" s="2193"/>
      <c r="Q2040" s="1859" t="s">
        <v>4264</v>
      </c>
      <c r="V2040" s="2437"/>
    </row>
    <row r="2041" spans="1:22" s="2275" customFormat="1" ht="22.5" customHeight="1">
      <c r="A2041" s="2142"/>
      <c r="B2041" s="2393" t="s">
        <v>1895</v>
      </c>
      <c r="C2041" s="2224" t="s">
        <v>3494</v>
      </c>
      <c r="D2041" s="2224"/>
      <c r="E2041" s="2224"/>
      <c r="F2041" s="2224"/>
      <c r="G2041" s="2224"/>
      <c r="H2041" s="2224"/>
      <c r="I2041" s="2224"/>
      <c r="J2041" s="2224"/>
      <c r="K2041" s="2224"/>
      <c r="L2041" s="2224"/>
      <c r="M2041" s="2224"/>
      <c r="N2041" s="2393" t="s">
        <v>1895</v>
      </c>
      <c r="O2041" s="2265" t="str">
        <f>'Part IX Scoring Criteria'!O322</f>
        <v>Yes</v>
      </c>
      <c r="P2041" s="2253"/>
      <c r="V2041" s="2437"/>
    </row>
    <row r="2042" spans="1:22" s="2275" customFormat="1" ht="12.75" customHeight="1">
      <c r="A2042" s="2142"/>
      <c r="B2042" s="2385" t="s">
        <v>1897</v>
      </c>
      <c r="C2042" s="435" t="s">
        <v>3404</v>
      </c>
      <c r="D2042" s="435"/>
      <c r="E2042" s="435"/>
      <c r="F2042" s="435"/>
      <c r="G2042" s="435"/>
      <c r="H2042" s="435"/>
      <c r="I2042" s="435"/>
      <c r="J2042" s="435"/>
      <c r="K2042" s="435"/>
      <c r="M2042" s="435"/>
      <c r="N2042" s="2385" t="s">
        <v>1897</v>
      </c>
      <c r="O2042" s="2265" t="str">
        <f>'Part IX Scoring Criteria'!O323</f>
        <v>Yes</v>
      </c>
      <c r="P2042" s="2165"/>
      <c r="V2042" s="2437"/>
    </row>
    <row r="2043" spans="1:22" s="1853" customFormat="1" ht="12.75" customHeight="1">
      <c r="B2043" s="2385" t="s">
        <v>2415</v>
      </c>
      <c r="C2043" s="2113" t="s">
        <v>4001</v>
      </c>
      <c r="N2043" s="2385" t="s">
        <v>2415</v>
      </c>
      <c r="O2043" s="2265" t="str">
        <f>'Part IX Scoring Criteria'!O324</f>
        <v>Yes</v>
      </c>
      <c r="P2043" s="2165"/>
    </row>
    <row r="2044" spans="1:22" s="1853" customFormat="1" ht="12" customHeight="1">
      <c r="B2044" s="2157" t="s">
        <v>3373</v>
      </c>
      <c r="N2044" s="2052"/>
      <c r="O2044" s="2052"/>
      <c r="P2044" s="2052"/>
    </row>
    <row r="2045" spans="1:22" s="2275" customFormat="1" ht="21.75" customHeight="1">
      <c r="A2045" s="2227" t="str">
        <f>'Part IX Scoring Criteria'!A326</f>
        <v xml:space="preserve">The applicant is not claiming points for any permanent sources of funds under Section A, therefore it has been intentionally left blank. The proposed project site is also the site of the first phase of this project, West Point Village Phase I. The site will be purchased by the West Point Housing Authority and ground leased separately to each phase. The applicant has site control by virtue of an option for a ground lease, which expires one year following the applicant being notified that it has received a tax credit award. </v>
      </c>
      <c r="B2045" s="2227"/>
      <c r="C2045" s="2227"/>
      <c r="D2045" s="2227"/>
      <c r="E2045" s="2227"/>
      <c r="F2045" s="2227"/>
      <c r="G2045" s="2227"/>
      <c r="H2045" s="2227"/>
      <c r="I2045" s="2227"/>
      <c r="J2045" s="2227"/>
      <c r="K2045" s="2227"/>
      <c r="L2045" s="2227"/>
      <c r="M2045" s="2227"/>
      <c r="N2045" s="2227"/>
      <c r="O2045" s="2227"/>
      <c r="P2045" s="2227"/>
      <c r="Q2045" s="1856" t="s">
        <v>1208</v>
      </c>
    </row>
    <row r="2046" spans="1:22" s="2285" customFormat="1" ht="11.25" customHeight="1">
      <c r="A2046" s="1818"/>
      <c r="B2046" s="1897" t="s">
        <v>1779</v>
      </c>
      <c r="C2046" s="1818"/>
      <c r="D2046" s="2157"/>
      <c r="E2046" s="2122"/>
      <c r="F2046" s="2122"/>
      <c r="G2046" s="2122"/>
      <c r="H2046" s="2122"/>
      <c r="I2046" s="2122"/>
      <c r="J2046" s="2122"/>
      <c r="K2046" s="2122"/>
      <c r="L2046" s="2122"/>
      <c r="M2046" s="2122"/>
      <c r="N2046" s="2109"/>
      <c r="O2046" s="2109"/>
      <c r="P2046" s="2109"/>
      <c r="Q2046" s="2275"/>
    </row>
    <row r="2047" spans="1:22" s="2275" customFormat="1" ht="11.25" customHeight="1">
      <c r="A2047" s="2224"/>
      <c r="B2047" s="2224"/>
      <c r="C2047" s="2224"/>
      <c r="D2047" s="2224"/>
      <c r="E2047" s="2224"/>
      <c r="F2047" s="2224"/>
      <c r="G2047" s="2224"/>
      <c r="H2047" s="2224"/>
      <c r="I2047" s="2224"/>
      <c r="J2047" s="2224"/>
      <c r="K2047" s="2224"/>
      <c r="L2047" s="2224"/>
      <c r="M2047" s="2224"/>
      <c r="N2047" s="2224"/>
      <c r="O2047" s="2224"/>
      <c r="P2047" s="2224"/>
      <c r="Q2047" s="1856"/>
    </row>
    <row r="2048" spans="1:22" s="2275" customFormat="1" ht="3" customHeight="1">
      <c r="A2048" s="1818"/>
      <c r="B2048" s="1818"/>
      <c r="C2048" s="2229"/>
      <c r="D2048" s="2229"/>
      <c r="E2048" s="2229"/>
      <c r="F2048" s="2229"/>
      <c r="G2048" s="2229"/>
      <c r="H2048" s="2229"/>
      <c r="I2048" s="2229"/>
      <c r="J2048" s="2229"/>
      <c r="K2048" s="2229"/>
      <c r="L2048" s="2229"/>
      <c r="M2048" s="2229"/>
      <c r="N2048" s="2310"/>
      <c r="O2048" s="2310"/>
      <c r="P2048" s="2109"/>
    </row>
    <row r="2049" spans="1:19" s="2275" customFormat="1" ht="13.5" customHeight="1">
      <c r="A2049" s="2444" t="s">
        <v>3521</v>
      </c>
      <c r="B2049" s="2154" t="s">
        <v>2565</v>
      </c>
      <c r="D2049" s="2122"/>
      <c r="G2049" s="2171" t="s">
        <v>7181</v>
      </c>
      <c r="I2049" s="2045" t="s">
        <v>6542</v>
      </c>
      <c r="J2049" s="2318" t="str">
        <f>IF(OR($M$32="9% Credit Competitive Round only", $M$32="9% Credit &amp; HOME"),"9%",IF(OR($M$32="4% Credit/TE Bond", $M$32="4% Credit/TE Bond &amp; HOME", $M$32="4% Credit/TE Bond &amp; HOME NOFA", $M$32="4% Credit &amp; NHTF", $M$32="4% Credit &amp; NHTF &amp; HOME"),"4%",""))</f>
        <v/>
      </c>
      <c r="K2049" s="2045" t="s">
        <v>367</v>
      </c>
      <c r="L2049" s="2045">
        <f>$M$43</f>
        <v>0</v>
      </c>
      <c r="M2049" s="2109">
        <v>2</v>
      </c>
      <c r="N2049" s="2256"/>
      <c r="O2049" s="2193">
        <f>'Part IX Scoring Criteria'!O330</f>
        <v>0</v>
      </c>
      <c r="P2049" s="2193">
        <f>'Part IX Scoring Criteria'!P330</f>
        <v>0</v>
      </c>
      <c r="Q2049" s="2109" t="s">
        <v>422</v>
      </c>
      <c r="R2049" s="2367" t="str">
        <f>IF(OR($O2053=$M2049,$O2053=0,$O2053=""),"","* * Check Score! * *")</f>
        <v/>
      </c>
    </row>
    <row r="2050" spans="1:19" s="2392" customFormat="1" ht="1.5" customHeight="1">
      <c r="B2050" s="2393"/>
      <c r="F2050" s="2253"/>
      <c r="G2050" s="2118"/>
      <c r="M2050" s="2310"/>
      <c r="N2050" s="2310"/>
      <c r="O2050" s="2310"/>
      <c r="P2050" s="2310"/>
      <c r="Q2050" s="1865"/>
    </row>
    <row r="2051" spans="1:19" s="2392" customFormat="1" ht="12.75" customHeight="1">
      <c r="A2051" s="2432"/>
      <c r="B2051" s="2426" t="s">
        <v>3192</v>
      </c>
      <c r="D2051" s="2112" t="str">
        <f>'Part IX Scoring Criteria'!D332</f>
        <v>&lt;Select applicable status&gt;</v>
      </c>
      <c r="E2051" s="2112"/>
      <c r="F2051" s="2112"/>
      <c r="G2051" s="2112"/>
      <c r="H2051" s="2112"/>
      <c r="I2051" s="2112"/>
      <c r="J2051" s="2224" t="s">
        <v>2629</v>
      </c>
      <c r="L2051" s="2201">
        <f>'Part III-Sources of Funds'!$I$53</f>
        <v>0</v>
      </c>
      <c r="M2051" s="2310"/>
      <c r="N2051" s="2310"/>
      <c r="O2051" s="2310"/>
      <c r="P2051" s="2310"/>
      <c r="Q2051" s="1865"/>
    </row>
    <row r="2052" spans="1:19" s="2392" customFormat="1" ht="1.5" customHeight="1">
      <c r="B2052" s="2393"/>
      <c r="M2052" s="2310"/>
      <c r="N2052" s="2310"/>
      <c r="O2052" s="2310"/>
      <c r="P2052" s="2310"/>
      <c r="Q2052" s="1865"/>
    </row>
    <row r="2053" spans="1:19" s="2392" customFormat="1" ht="12.75" customHeight="1">
      <c r="A2053" s="2445" t="s">
        <v>1892</v>
      </c>
      <c r="B2053" s="435" t="s">
        <v>4156</v>
      </c>
      <c r="C2053" s="2224"/>
      <c r="D2053" s="2224"/>
      <c r="E2053" s="2224"/>
      <c r="F2053" s="2224"/>
      <c r="G2053" s="2224"/>
      <c r="H2053" s="2224"/>
      <c r="I2053" s="2224"/>
      <c r="M2053" s="2310">
        <v>2</v>
      </c>
      <c r="N2053" s="2225" t="s">
        <v>1892</v>
      </c>
      <c r="O2053" s="2372">
        <f>'Part IX Scoring Criteria'!O334</f>
        <v>0</v>
      </c>
      <c r="P2053" s="2372"/>
      <c r="Q2053" s="2398" t="str">
        <f>IF(OR($O2053=$M2053,$O2053=0,$O2053=""),"","*CHECK!*")</f>
        <v/>
      </c>
      <c r="R2053" s="1859" t="s">
        <v>4264</v>
      </c>
    </row>
    <row r="2054" spans="1:19" s="2392" customFormat="1" ht="12" customHeight="1">
      <c r="A2054" s="2310"/>
      <c r="B2054" s="435" t="s">
        <v>7197</v>
      </c>
      <c r="C2054" s="435"/>
      <c r="D2054" s="435"/>
      <c r="E2054" s="435"/>
      <c r="F2054" s="435"/>
      <c r="G2054" s="435"/>
      <c r="H2054" s="435"/>
      <c r="I2054" s="435"/>
      <c r="J2054" s="435"/>
      <c r="K2054" s="435"/>
      <c r="L2054" s="435"/>
      <c r="M2054" s="1906" t="s">
        <v>7198</v>
      </c>
      <c r="N2054" s="1906"/>
      <c r="Q2054" s="1865"/>
    </row>
    <row r="2055" spans="1:19" s="2392" customFormat="1" ht="12" customHeight="1">
      <c r="B2055" s="435"/>
      <c r="C2055" s="435"/>
      <c r="D2055" s="435"/>
      <c r="E2055" s="435"/>
      <c r="F2055" s="435"/>
      <c r="G2055" s="435"/>
      <c r="H2055" s="435"/>
      <c r="I2055" s="435"/>
      <c r="J2055" s="435"/>
      <c r="K2055" s="435"/>
      <c r="L2055" s="435"/>
      <c r="M2055" s="1906"/>
      <c r="N2055" s="1906"/>
      <c r="O2055" s="2236">
        <f>'Part VI-Revenues &amp; Expenses'!$P$123</f>
        <v>0</v>
      </c>
      <c r="P2055" s="2236"/>
      <c r="Q2055" s="1865"/>
    </row>
    <row r="2056" spans="1:19" s="2392" customFormat="1" ht="12" customHeight="1">
      <c r="B2056" s="435"/>
      <c r="C2056" s="435"/>
      <c r="D2056" s="435"/>
      <c r="E2056" s="435"/>
      <c r="F2056" s="435"/>
      <c r="G2056" s="435"/>
      <c r="H2056" s="435"/>
      <c r="I2056" s="435"/>
      <c r="J2056" s="435"/>
      <c r="K2056" s="435"/>
      <c r="L2056" s="435"/>
      <c r="M2056" s="1913" t="s">
        <v>2627</v>
      </c>
      <c r="N2056" s="2310"/>
      <c r="O2056" s="2236">
        <f>'Part VI-Revenues &amp; Expenses'!$P$67</f>
        <v>72</v>
      </c>
      <c r="P2056" s="2236"/>
      <c r="Q2056" s="1865"/>
    </row>
    <row r="2057" spans="1:19" s="2392" customFormat="1" ht="12" customHeight="1">
      <c r="B2057" s="435"/>
      <c r="C2057" s="435"/>
      <c r="D2057" s="435"/>
      <c r="E2057" s="435"/>
      <c r="F2057" s="435"/>
      <c r="G2057" s="435"/>
      <c r="H2057" s="435"/>
      <c r="I2057" s="435"/>
      <c r="J2057" s="435"/>
      <c r="K2057" s="435"/>
      <c r="L2057" s="435"/>
      <c r="M2057" s="1913" t="s">
        <v>2628</v>
      </c>
      <c r="N2057" s="2310"/>
      <c r="O2057" s="2178">
        <f>IF(O2056=0,0,O2055/O2056)</f>
        <v>0</v>
      </c>
      <c r="P2057" s="2178"/>
      <c r="Q2057" s="1865"/>
    </row>
    <row r="2058" spans="1:19" s="2275" customFormat="1" ht="105.75" customHeight="1">
      <c r="A2058" s="2113"/>
      <c r="B2058" s="1952" t="str">
        <f>'Part IX Scoring Criteria'!B339</f>
        <v>&lt;&lt; Enter here Applicant's Narrative of how building will be reused. Adjust row height as needed. &gt;&gt;</v>
      </c>
      <c r="C2058" s="1952"/>
      <c r="D2058" s="1952"/>
      <c r="E2058" s="1952"/>
      <c r="F2058" s="1952"/>
      <c r="G2058" s="1952"/>
      <c r="H2058" s="1952"/>
      <c r="I2058" s="1952"/>
      <c r="J2058" s="1952"/>
      <c r="K2058" s="1952"/>
      <c r="L2058" s="1952"/>
      <c r="M2058" s="1952"/>
      <c r="N2058" s="1952"/>
      <c r="O2058" s="1952"/>
      <c r="P2058" s="1952"/>
      <c r="Q2058" s="1856" t="s">
        <v>1208</v>
      </c>
      <c r="R2058" s="1856"/>
      <c r="S2058" s="1856"/>
    </row>
    <row r="2059" spans="1:19" s="2392" customFormat="1" ht="1.5" customHeight="1">
      <c r="A2059" s="2165"/>
      <c r="B2059" s="2393"/>
      <c r="F2059" s="2253"/>
      <c r="G2059" s="2118"/>
      <c r="M2059" s="2310"/>
      <c r="N2059" s="2310"/>
      <c r="O2059" s="2310"/>
      <c r="P2059" s="2310"/>
      <c r="Q2059" s="1865"/>
    </row>
    <row r="2060" spans="1:19" s="2392" customFormat="1" ht="12" customHeight="1">
      <c r="A2060" s="2446" t="s">
        <v>7199</v>
      </c>
      <c r="B2060" s="2224" t="s">
        <v>4157</v>
      </c>
      <c r="C2060" s="2224"/>
      <c r="H2060" s="2224"/>
      <c r="M2060" s="2310">
        <v>2</v>
      </c>
      <c r="N2060" s="2225" t="s">
        <v>1894</v>
      </c>
      <c r="O2060" s="2372">
        <f>'Part IX Scoring Criteria'!O341</f>
        <v>0</v>
      </c>
      <c r="P2060" s="2372"/>
      <c r="Q2060" s="2398" t="str">
        <f>IF(OR($O2060=$M2060,$O2060=0,$O2060=""),"","*CHECK!*")</f>
        <v/>
      </c>
      <c r="R2060" s="1859" t="s">
        <v>4264</v>
      </c>
    </row>
    <row r="2061" spans="1:19" s="2392" customFormat="1" ht="11.25" customHeight="1">
      <c r="A2061" s="2446"/>
      <c r="B2061" s="2224" t="s">
        <v>7108</v>
      </c>
      <c r="C2061" s="2224"/>
      <c r="D2061" s="2224"/>
      <c r="E2061" s="2224"/>
      <c r="F2061" s="2224"/>
      <c r="G2061" s="2224"/>
      <c r="H2061" s="2224"/>
      <c r="I2061" s="2224"/>
      <c r="J2061" s="2224"/>
      <c r="K2061" s="2224"/>
      <c r="L2061" s="2224"/>
      <c r="M2061" s="1968" t="s">
        <v>4002</v>
      </c>
      <c r="O2061" s="2236">
        <f>'Part VI-Revenues &amp; Expenses'!$P$125</f>
        <v>0</v>
      </c>
      <c r="P2061" s="2236"/>
      <c r="Q2061" s="1865"/>
    </row>
    <row r="2062" spans="1:19" s="2392" customFormat="1" ht="11.25" customHeight="1">
      <c r="A2062" s="2446"/>
      <c r="B2062" s="2224"/>
      <c r="C2062" s="2224"/>
      <c r="D2062" s="2224"/>
      <c r="E2062" s="2224"/>
      <c r="F2062" s="2224"/>
      <c r="G2062" s="2224"/>
      <c r="H2062" s="2224"/>
      <c r="I2062" s="2224"/>
      <c r="J2062" s="2224"/>
      <c r="K2062" s="2224"/>
      <c r="L2062" s="2224"/>
      <c r="M2062" s="2308" t="s">
        <v>2627</v>
      </c>
      <c r="N2062" s="2310"/>
      <c r="O2062" s="2236">
        <f>'Part VI-Revenues &amp; Expenses'!$P$67</f>
        <v>72</v>
      </c>
      <c r="P2062" s="2236"/>
      <c r="Q2062" s="1865"/>
    </row>
    <row r="2063" spans="1:19" s="2392" customFormat="1" ht="11.25" customHeight="1">
      <c r="A2063" s="2446"/>
      <c r="B2063" s="2224"/>
      <c r="C2063" s="2224"/>
      <c r="D2063" s="2224"/>
      <c r="E2063" s="2224"/>
      <c r="F2063" s="2224"/>
      <c r="G2063" s="2224"/>
      <c r="H2063" s="2224"/>
      <c r="I2063" s="2224"/>
      <c r="J2063" s="2224"/>
      <c r="K2063" s="2224"/>
      <c r="L2063" s="2224"/>
      <c r="M2063" s="1913" t="s">
        <v>2628</v>
      </c>
      <c r="N2063" s="2310"/>
      <c r="O2063" s="2178">
        <f>IF(O2062=0,0,O2061/O2062)</f>
        <v>0</v>
      </c>
      <c r="P2063" s="2178"/>
      <c r="Q2063" s="1865"/>
    </row>
    <row r="2064" spans="1:19" s="2275" customFormat="1" ht="11.25" customHeight="1">
      <c r="A2064" s="1818"/>
      <c r="B2064" s="2157" t="s">
        <v>3373</v>
      </c>
      <c r="C2064" s="1818"/>
      <c r="D2064" s="1719"/>
      <c r="E2064" s="1719"/>
      <c r="F2064" s="1719"/>
      <c r="G2064" s="1719"/>
      <c r="H2064" s="435"/>
      <c r="I2064" s="435"/>
      <c r="J2064" s="435"/>
      <c r="K2064" s="435"/>
      <c r="M2064" s="2109"/>
      <c r="N2064" s="2052"/>
      <c r="O2064" s="2193"/>
      <c r="P2064" s="2052"/>
    </row>
    <row r="2065" spans="1:18" s="2275" customFormat="1" ht="73.5" customHeight="1">
      <c r="A2065" s="2227" t="str">
        <f>'Part IX Scoring Criteria'!A346</f>
        <v>The applicant is not claiming points in this section, therefore it has been intentionally left blank.</v>
      </c>
      <c r="B2065" s="2227"/>
      <c r="C2065" s="2227"/>
      <c r="D2065" s="2227"/>
      <c r="E2065" s="2227"/>
      <c r="F2065" s="2227"/>
      <c r="G2065" s="2227"/>
      <c r="H2065" s="2227"/>
      <c r="I2065" s="2227"/>
      <c r="J2065" s="2227"/>
      <c r="K2065" s="2227"/>
      <c r="L2065" s="2227"/>
      <c r="M2065" s="2227"/>
      <c r="N2065" s="2227"/>
      <c r="O2065" s="2227"/>
      <c r="P2065" s="2227"/>
      <c r="Q2065" s="1856" t="s">
        <v>1208</v>
      </c>
      <c r="R2065" s="1856"/>
    </row>
    <row r="2066" spans="1:18" s="2275" customFormat="1" ht="10.5" customHeight="1">
      <c r="B2066" s="2228" t="s">
        <v>1779</v>
      </c>
      <c r="C2066" s="1818"/>
      <c r="D2066" s="2228"/>
      <c r="E2066" s="2229"/>
      <c r="F2066" s="2229"/>
      <c r="G2066" s="2229"/>
      <c r="H2066" s="2229"/>
      <c r="I2066" s="2229"/>
      <c r="J2066" s="2229"/>
      <c r="K2066" s="2229"/>
      <c r="L2066" s="2229"/>
      <c r="M2066" s="2229"/>
      <c r="N2066" s="2310"/>
      <c r="O2066" s="2310"/>
      <c r="P2066" s="2109"/>
    </row>
    <row r="2067" spans="1:18" s="2275" customFormat="1" ht="22.15" customHeight="1">
      <c r="A2067" s="2224"/>
      <c r="B2067" s="2224"/>
      <c r="C2067" s="2224"/>
      <c r="D2067" s="2224"/>
      <c r="E2067" s="2224"/>
      <c r="F2067" s="2224"/>
      <c r="G2067" s="2224"/>
      <c r="H2067" s="2224"/>
      <c r="I2067" s="2224"/>
      <c r="J2067" s="2224"/>
      <c r="K2067" s="2224"/>
      <c r="L2067" s="2224"/>
      <c r="M2067" s="2224"/>
      <c r="N2067" s="2224"/>
      <c r="O2067" s="2224"/>
      <c r="P2067" s="2224"/>
      <c r="Q2067" s="1856"/>
    </row>
    <row r="2068" spans="1:18" s="2275" customFormat="1" ht="6" customHeight="1">
      <c r="A2068" s="1818"/>
      <c r="B2068" s="1818"/>
      <c r="C2068" s="2229"/>
      <c r="D2068" s="2229"/>
      <c r="E2068" s="2229"/>
      <c r="F2068" s="2229"/>
      <c r="G2068" s="2229"/>
      <c r="H2068" s="2229"/>
      <c r="I2068" s="2229"/>
      <c r="J2068" s="2229"/>
      <c r="K2068" s="2229"/>
      <c r="L2068" s="2229"/>
      <c r="M2068" s="2229"/>
      <c r="N2068" s="2310"/>
      <c r="O2068" s="2310"/>
      <c r="P2068" s="2109"/>
    </row>
    <row r="2069" spans="1:18" s="2285" customFormat="1" ht="14.25" customHeight="1">
      <c r="A2069" s="2432" t="s">
        <v>3522</v>
      </c>
      <c r="B2069" s="2154" t="s">
        <v>4239</v>
      </c>
      <c r="D2069" s="2157"/>
      <c r="E2069" s="2157"/>
      <c r="F2069" s="435"/>
      <c r="G2069" s="435"/>
      <c r="I2069" s="435"/>
      <c r="J2069" s="435"/>
      <c r="K2069" s="435"/>
      <c r="L2069" s="2367" t="str">
        <f>IF(OR($O2069=$M2069,$O2069&lt;=0,$O2069=""),"","* * Check Score! * *")</f>
        <v/>
      </c>
      <c r="M2069" s="2109">
        <v>10</v>
      </c>
      <c r="N2069" s="2109"/>
      <c r="O2069" s="2193">
        <f>'Part IX Scoring Criteria'!O350</f>
        <v>10</v>
      </c>
      <c r="P2069" s="2193">
        <f>'Part IX Scoring Criteria'!P350</f>
        <v>10</v>
      </c>
      <c r="Q2069" s="2109" t="s">
        <v>422</v>
      </c>
    </row>
    <row r="2070" spans="1:18" s="2285" customFormat="1" ht="1.5" customHeight="1">
      <c r="A2070" s="2432"/>
      <c r="B2070" s="2154"/>
      <c r="D2070" s="2157"/>
      <c r="E2070" s="2157"/>
      <c r="F2070" s="435"/>
      <c r="G2070" s="435"/>
      <c r="I2070" s="435"/>
      <c r="J2070" s="435"/>
      <c r="K2070" s="435"/>
      <c r="L2070" s="2367"/>
      <c r="M2070" s="2109"/>
      <c r="N2070" s="2109"/>
      <c r="O2070" s="2109"/>
      <c r="P2070" s="2109"/>
      <c r="Q2070" s="2109"/>
    </row>
    <row r="2071" spans="1:18" s="2285" customFormat="1" ht="12.75" customHeight="1">
      <c r="A2071" s="2432"/>
      <c r="B2071" s="435" t="s">
        <v>3300</v>
      </c>
      <c r="D2071" s="2157"/>
      <c r="E2071" s="2157"/>
      <c r="F2071" s="435"/>
      <c r="G2071" s="435"/>
      <c r="I2071" s="435"/>
      <c r="J2071" s="435"/>
      <c r="K2071" s="435"/>
      <c r="L2071" s="2367"/>
      <c r="M2071" s="2109"/>
      <c r="N2071" s="2109"/>
      <c r="O2071" s="2193">
        <f>'Part IX Scoring Criteria'!O352</f>
        <v>10</v>
      </c>
      <c r="P2071" s="2193">
        <f>'Part IX Scoring Criteria'!P352</f>
        <v>10</v>
      </c>
      <c r="Q2071" s="2109"/>
    </row>
    <row r="2072" spans="1:18" s="2285" customFormat="1" ht="12.75" customHeight="1">
      <c r="A2072" s="2432"/>
      <c r="B2072" s="435" t="s">
        <v>3301</v>
      </c>
      <c r="D2072" s="2157"/>
      <c r="E2072" s="2157"/>
      <c r="F2072" s="435"/>
      <c r="G2072" s="435"/>
      <c r="I2072" s="435"/>
      <c r="J2072" s="435"/>
      <c r="K2072" s="435"/>
      <c r="L2072" s="2367"/>
      <c r="M2072" s="2109"/>
      <c r="N2072" s="2109"/>
      <c r="O2072" s="2372">
        <f>'Part IX Scoring Criteria'!O353</f>
        <v>0</v>
      </c>
      <c r="P2072" s="2193"/>
      <c r="Q2072" s="2109"/>
    </row>
    <row r="2073" spans="1:18" s="2285" customFormat="1" ht="12.75" customHeight="1">
      <c r="A2073" s="2432"/>
      <c r="B2073" s="435" t="s">
        <v>3302</v>
      </c>
      <c r="D2073" s="2157"/>
      <c r="E2073" s="2157"/>
      <c r="F2073" s="435"/>
      <c r="G2073" s="435"/>
      <c r="I2073" s="435"/>
      <c r="J2073" s="435"/>
      <c r="K2073" s="435"/>
      <c r="L2073" s="2367"/>
      <c r="M2073" s="2109"/>
      <c r="N2073" s="2109"/>
      <c r="O2073" s="2372">
        <f>'Part IX Scoring Criteria'!O354</f>
        <v>5</v>
      </c>
      <c r="P2073" s="2193"/>
      <c r="Q2073" s="2109"/>
    </row>
    <row r="2074" spans="1:18" s="2285" customFormat="1" ht="12.75" customHeight="1">
      <c r="A2074" s="2157"/>
      <c r="B2074" s="2157" t="s">
        <v>1779</v>
      </c>
      <c r="C2074" s="1818"/>
      <c r="D2074" s="2157"/>
      <c r="E2074" s="2122"/>
      <c r="F2074" s="2122"/>
      <c r="G2074" s="2122"/>
      <c r="H2074" s="2122"/>
      <c r="I2074" s="2122"/>
      <c r="J2074" s="2122"/>
      <c r="K2074" s="2122"/>
      <c r="L2074" s="2122"/>
      <c r="M2074" s="2122"/>
      <c r="N2074" s="2109"/>
      <c r="O2074" s="2109"/>
      <c r="P2074" s="2109"/>
    </row>
    <row r="2075" spans="1:18" s="2275" customFormat="1" ht="12.75" customHeight="1">
      <c r="A2075" s="2224"/>
      <c r="B2075" s="2224"/>
      <c r="C2075" s="2224"/>
      <c r="D2075" s="2224"/>
      <c r="E2075" s="2224"/>
      <c r="F2075" s="2224"/>
      <c r="G2075" s="2224"/>
      <c r="H2075" s="2224"/>
      <c r="I2075" s="2224"/>
      <c r="J2075" s="2224"/>
      <c r="K2075" s="2224"/>
      <c r="L2075" s="2224"/>
      <c r="M2075" s="2224"/>
      <c r="N2075" s="2224"/>
      <c r="O2075" s="2224"/>
      <c r="P2075" s="2224"/>
      <c r="Q2075" s="1856" t="s">
        <v>1208</v>
      </c>
      <c r="R2075" s="1856"/>
    </row>
    <row r="2076" spans="1:18" s="2275" customFormat="1" ht="6" customHeight="1">
      <c r="A2076" s="2432"/>
      <c r="B2076" s="1818"/>
      <c r="C2076" s="2229"/>
      <c r="D2076" s="2229"/>
      <c r="E2076" s="2229"/>
      <c r="F2076" s="2229"/>
      <c r="G2076" s="2229"/>
      <c r="H2076" s="2229"/>
      <c r="I2076" s="2229"/>
      <c r="J2076" s="2229"/>
      <c r="K2076" s="2229"/>
      <c r="L2076" s="2229"/>
      <c r="M2076" s="2229"/>
      <c r="N2076" s="2310"/>
      <c r="O2076" s="2310"/>
      <c r="P2076" s="2109"/>
    </row>
    <row r="2077" spans="1:18" s="2275" customFormat="1" ht="13.5" customHeight="1">
      <c r="A2077" s="2307" t="s">
        <v>3525</v>
      </c>
      <c r="B2077" s="2154" t="s">
        <v>6512</v>
      </c>
      <c r="C2077" s="2229"/>
      <c r="D2077" s="2229"/>
      <c r="E2077" s="2229"/>
      <c r="F2077" s="2229"/>
      <c r="G2077" s="2171" t="s">
        <v>7181</v>
      </c>
      <c r="H2077" s="2229"/>
      <c r="I2077" s="2122" t="s">
        <v>3985</v>
      </c>
      <c r="J2077" s="2122" t="str">
        <f>'Part I-Project Information'!$H$77</f>
        <v>Family</v>
      </c>
      <c r="K2077" s="2229"/>
      <c r="L2077" s="2229"/>
      <c r="M2077" s="2109">
        <v>2</v>
      </c>
      <c r="N2077" s="2310"/>
      <c r="O2077" s="2372">
        <f>'Part IX Scoring Criteria'!O358</f>
        <v>0</v>
      </c>
      <c r="P2077" s="2193"/>
      <c r="Q2077" s="2109" t="s">
        <v>422</v>
      </c>
      <c r="R2077" s="1859" t="s">
        <v>2553</v>
      </c>
    </row>
    <row r="2078" spans="1:18" s="2275" customFormat="1" ht="12" customHeight="1">
      <c r="A2078" s="2142" t="s">
        <v>1892</v>
      </c>
      <c r="B2078" s="1719" t="s">
        <v>6515</v>
      </c>
      <c r="C2078" s="1853"/>
      <c r="E2078" s="2113"/>
      <c r="F2078" s="435"/>
      <c r="G2078" s="435"/>
      <c r="H2078" s="435"/>
      <c r="K2078" s="2165"/>
      <c r="L2078" s="2439"/>
      <c r="M2078" s="2109">
        <v>2</v>
      </c>
      <c r="N2078" s="2142" t="s">
        <v>1892</v>
      </c>
      <c r="P2078" s="2193"/>
      <c r="Q2078" s="2109"/>
      <c r="R2078" s="1859" t="s">
        <v>2553</v>
      </c>
    </row>
    <row r="2079" spans="1:18" s="2275" customFormat="1" ht="11.25" customHeight="1">
      <c r="A2079" s="2307"/>
      <c r="B2079" s="435" t="s">
        <v>3826</v>
      </c>
      <c r="C2079" s="2229"/>
      <c r="D2079" s="2229"/>
      <c r="E2079" s="2229"/>
      <c r="F2079" s="2229"/>
      <c r="G2079" s="2229"/>
      <c r="H2079" s="2229"/>
      <c r="I2079" s="2229"/>
      <c r="J2079" s="2229"/>
      <c r="K2079" s="2229"/>
      <c r="L2079" s="2414"/>
      <c r="M2079" s="2109"/>
      <c r="N2079" s="2310"/>
      <c r="O2079" s="2231" t="str">
        <f>'Part IX Scoring Criteria'!O360</f>
        <v>No</v>
      </c>
      <c r="P2079" s="2165"/>
      <c r="Q2079" s="2109"/>
    </row>
    <row r="2080" spans="1:18" s="2285" customFormat="1" ht="11.25" customHeight="1">
      <c r="A2080" s="2307"/>
      <c r="B2080" s="2122" t="s">
        <v>6518</v>
      </c>
      <c r="D2080" s="2122" t="s">
        <v>6558</v>
      </c>
      <c r="E2080" s="2122"/>
      <c r="F2080" s="2122"/>
      <c r="G2080" s="2122"/>
      <c r="H2080" s="2122"/>
      <c r="K2080" s="2122"/>
      <c r="L2080" s="2122"/>
      <c r="N2080" s="2109"/>
      <c r="O2080" s="435" t="s">
        <v>4262</v>
      </c>
      <c r="P2080" s="435"/>
      <c r="Q2080" s="2109"/>
    </row>
    <row r="2081" spans="1:23" s="2275" customFormat="1" ht="10.5" customHeight="1">
      <c r="A2081" s="2374"/>
      <c r="B2081" s="2271" t="s">
        <v>2323</v>
      </c>
      <c r="C2081" s="2113" t="s">
        <v>6513</v>
      </c>
      <c r="N2081" s="2271" t="s">
        <v>2323</v>
      </c>
      <c r="O2081" s="2447">
        <f>'Part IX Scoring Criteria'!O362</f>
        <v>0</v>
      </c>
      <c r="P2081" s="2373"/>
    </row>
    <row r="2082" spans="1:23" s="2392" customFormat="1" ht="21.75" customHeight="1">
      <c r="A2082" s="2258"/>
      <c r="B2082" s="2225" t="s">
        <v>2324</v>
      </c>
      <c r="C2082" s="2224" t="s">
        <v>6514</v>
      </c>
      <c r="D2082" s="2224"/>
      <c r="E2082" s="2224"/>
      <c r="F2082" s="2224"/>
      <c r="G2082" s="2224"/>
      <c r="H2082" s="2224"/>
      <c r="I2082" s="2224"/>
      <c r="J2082" s="2224"/>
      <c r="K2082" s="2224"/>
      <c r="L2082" s="2224"/>
      <c r="M2082" s="2224"/>
      <c r="N2082" s="2225" t="s">
        <v>2324</v>
      </c>
      <c r="O2082" s="2448">
        <f>'Part IX Scoring Criteria'!O363</f>
        <v>0</v>
      </c>
      <c r="P2082" s="2029"/>
    </row>
    <row r="2083" spans="1:23" s="2392" customFormat="1" ht="21.75" customHeight="1">
      <c r="A2083" s="2258"/>
      <c r="B2083" s="2225" t="s">
        <v>2325</v>
      </c>
      <c r="C2083" s="2224" t="s">
        <v>6516</v>
      </c>
      <c r="D2083" s="2224"/>
      <c r="E2083" s="2224"/>
      <c r="F2083" s="2224"/>
      <c r="G2083" s="2224"/>
      <c r="H2083" s="2224"/>
      <c r="I2083" s="2224"/>
      <c r="J2083" s="2224"/>
      <c r="K2083" s="2224"/>
      <c r="L2083" s="2224"/>
      <c r="M2083" s="2224"/>
      <c r="N2083" s="2225" t="s">
        <v>2325</v>
      </c>
      <c r="O2083" s="2448">
        <f>'Part IX Scoring Criteria'!O364</f>
        <v>0</v>
      </c>
      <c r="P2083" s="2029"/>
    </row>
    <row r="2084" spans="1:23" s="2285" customFormat="1" ht="11.25" customHeight="1">
      <c r="B2084" s="2256" t="s">
        <v>2326</v>
      </c>
      <c r="C2084" s="435" t="s">
        <v>6517</v>
      </c>
      <c r="N2084" s="2256" t="s">
        <v>2326</v>
      </c>
      <c r="O2084" s="2137">
        <f>'Part IX Scoring Criteria'!O365</f>
        <v>0</v>
      </c>
      <c r="P2084" s="2045"/>
    </row>
    <row r="2085" spans="1:23" s="2285" customFormat="1" ht="11.25" customHeight="1">
      <c r="A2085" s="2307"/>
      <c r="B2085" s="2122" t="s">
        <v>6519</v>
      </c>
      <c r="D2085" s="2122"/>
      <c r="E2085" s="2122"/>
      <c r="F2085" s="2122"/>
      <c r="G2085" s="2122"/>
      <c r="H2085" s="2122" t="s">
        <v>6558</v>
      </c>
      <c r="K2085" s="2122"/>
      <c r="L2085" s="2122"/>
      <c r="M2085" s="2109"/>
      <c r="N2085" s="2109"/>
      <c r="O2085" s="2113" t="s">
        <v>4262</v>
      </c>
      <c r="P2085" s="2113"/>
      <c r="Q2085" s="2109"/>
    </row>
    <row r="2086" spans="1:23" s="2275" customFormat="1" ht="12.75" customHeight="1">
      <c r="A2086" s="2374"/>
      <c r="B2086" s="2271" t="s">
        <v>2323</v>
      </c>
      <c r="C2086" s="2299" t="s">
        <v>6520</v>
      </c>
      <c r="D2086" s="2299"/>
      <c r="E2086" s="2299"/>
      <c r="F2086" s="2299"/>
      <c r="G2086" s="2299"/>
      <c r="H2086" s="2299"/>
      <c r="I2086" s="2299"/>
      <c r="J2086" s="2299"/>
      <c r="K2086" s="2299"/>
      <c r="L2086" s="2299"/>
      <c r="N2086" s="2271" t="s">
        <v>2323</v>
      </c>
      <c r="O2086" s="2447">
        <f>'Part IX Scoring Criteria'!O367</f>
        <v>0</v>
      </c>
      <c r="P2086" s="2373"/>
    </row>
    <row r="2087" spans="1:23" s="2275" customFormat="1" ht="12.75" customHeight="1">
      <c r="A2087" s="2374"/>
      <c r="B2087" s="2271" t="s">
        <v>2324</v>
      </c>
      <c r="C2087" s="2299" t="s">
        <v>6521</v>
      </c>
      <c r="D2087" s="2299"/>
      <c r="E2087" s="2299"/>
      <c r="F2087" s="2299"/>
      <c r="G2087" s="2299"/>
      <c r="H2087" s="2299"/>
      <c r="I2087" s="2299"/>
      <c r="J2087" s="2299"/>
      <c r="K2087" s="2299"/>
      <c r="L2087" s="2299"/>
      <c r="M2087" s="2113"/>
      <c r="N2087" s="2271" t="s">
        <v>2324</v>
      </c>
      <c r="O2087" s="2447">
        <f>'Part IX Scoring Criteria'!O368</f>
        <v>0</v>
      </c>
      <c r="P2087" s="2373"/>
    </row>
    <row r="2088" spans="1:23" s="1818" customFormat="1" ht="5.25" customHeight="1">
      <c r="A2088" s="2165"/>
      <c r="B2088" s="2229"/>
      <c r="C2088" s="2122"/>
      <c r="D2088" s="2122"/>
      <c r="E2088" s="2122"/>
      <c r="F2088" s="2122"/>
      <c r="G2088" s="2122"/>
      <c r="H2088" s="2122"/>
      <c r="I2088" s="2122"/>
      <c r="J2088" s="2122"/>
      <c r="K2088" s="2122"/>
      <c r="L2088" s="2122"/>
      <c r="M2088" s="2122"/>
      <c r="Q2088" s="2224"/>
      <c r="R2088" s="2275"/>
      <c r="S2088" s="2275"/>
      <c r="T2088" s="2275"/>
      <c r="U2088" s="2275"/>
      <c r="V2088" s="2437"/>
      <c r="W2088" s="2437"/>
    </row>
    <row r="2089" spans="1:23" s="1853" customFormat="1" ht="11.25" customHeight="1">
      <c r="A2089" s="2142" t="s">
        <v>1894</v>
      </c>
      <c r="B2089" s="1719" t="s">
        <v>6522</v>
      </c>
      <c r="D2089" s="1818"/>
      <c r="M2089" s="2109">
        <v>2</v>
      </c>
      <c r="N2089" s="2142" t="s">
        <v>1894</v>
      </c>
      <c r="O2089" s="2372">
        <f>'Part IX Scoring Criteria'!O370</f>
        <v>0</v>
      </c>
      <c r="P2089" s="2193"/>
      <c r="Q2089" s="1859" t="s">
        <v>2553</v>
      </c>
      <c r="S2089" s="2275"/>
      <c r="T2089" s="2275"/>
      <c r="U2089" s="2275"/>
    </row>
    <row r="2090" spans="1:23" s="1853" customFormat="1" ht="12" customHeight="1">
      <c r="A2090" s="2256"/>
      <c r="B2090" s="2122" t="s">
        <v>6558</v>
      </c>
      <c r="C2090" s="2256"/>
      <c r="D2090" s="2256"/>
      <c r="E2090" s="2256"/>
      <c r="F2090" s="2256"/>
      <c r="J2090" s="2224"/>
      <c r="K2090" s="2224"/>
      <c r="L2090" s="2224"/>
      <c r="N2090" s="2052"/>
      <c r="O2090" s="2113" t="s">
        <v>4262</v>
      </c>
      <c r="P2090" s="2113"/>
      <c r="Q2090" s="1913"/>
      <c r="R2090" s="2275"/>
      <c r="S2090" s="2275"/>
      <c r="T2090" s="2275"/>
      <c r="U2090" s="2275"/>
    </row>
    <row r="2091" spans="1:23" s="2392" customFormat="1" ht="11.25" customHeight="1">
      <c r="A2091" s="2449"/>
      <c r="B2091" s="2393" t="s">
        <v>1895</v>
      </c>
      <c r="C2091" s="2450" t="s">
        <v>6559</v>
      </c>
      <c r="D2091" s="2450"/>
      <c r="E2091" s="2450"/>
      <c r="F2091" s="2450"/>
      <c r="G2091" s="2450"/>
      <c r="H2091" s="2450"/>
      <c r="I2091" s="2450"/>
      <c r="J2091" s="2450"/>
      <c r="K2091" s="2450"/>
      <c r="L2091" s="2450"/>
      <c r="M2091" s="2450"/>
      <c r="N2091" s="2360" t="s">
        <v>1895</v>
      </c>
      <c r="O2091" s="2448">
        <f>'Part IX Scoring Criteria'!O372</f>
        <v>0</v>
      </c>
      <c r="P2091" s="2029"/>
      <c r="Q2091" s="2310"/>
    </row>
    <row r="2092" spans="1:23" s="2285" customFormat="1" ht="11.25" customHeight="1">
      <c r="A2092" s="2307"/>
      <c r="B2092" s="2393" t="s">
        <v>1897</v>
      </c>
      <c r="C2092" s="2450" t="s">
        <v>6560</v>
      </c>
      <c r="D2092" s="2450"/>
      <c r="E2092" s="2450"/>
      <c r="F2092" s="2450"/>
      <c r="G2092" s="2450"/>
      <c r="H2092" s="2450"/>
      <c r="I2092" s="2450"/>
      <c r="J2092" s="2450"/>
      <c r="K2092" s="2450"/>
      <c r="L2092" s="2450"/>
      <c r="M2092" s="2450"/>
      <c r="N2092" s="2360" t="s">
        <v>1897</v>
      </c>
      <c r="O2092" s="2448">
        <f>'Part IX Scoring Criteria'!O373</f>
        <v>0</v>
      </c>
      <c r="P2092" s="2029"/>
      <c r="Q2092" s="2109"/>
    </row>
    <row r="2093" spans="1:23" s="2275" customFormat="1" ht="11.25" customHeight="1">
      <c r="A2093" s="1818"/>
      <c r="B2093" s="2157" t="s">
        <v>3373</v>
      </c>
      <c r="C2093" s="1818"/>
      <c r="D2093" s="1719"/>
      <c r="E2093" s="1719"/>
      <c r="F2093" s="1719"/>
      <c r="G2093" s="1719"/>
      <c r="H2093" s="435"/>
      <c r="I2093" s="435"/>
      <c r="J2093" s="435"/>
      <c r="K2093" s="435"/>
      <c r="M2093" s="2109"/>
      <c r="N2093" s="2052"/>
      <c r="O2093" s="2193"/>
      <c r="P2093" s="2052"/>
    </row>
    <row r="2094" spans="1:23" s="2275" customFormat="1" ht="66.599999999999994" customHeight="1">
      <c r="A2094" s="2227" t="str">
        <f>'Part IX Scoring Criteria'!A375</f>
        <v>The applicant is not claiming points in this section, therefore it has been intentionally left blank.</v>
      </c>
      <c r="B2094" s="2227"/>
      <c r="C2094" s="2227"/>
      <c r="D2094" s="2227"/>
      <c r="E2094" s="2227"/>
      <c r="F2094" s="2227"/>
      <c r="G2094" s="2227"/>
      <c r="H2094" s="2227"/>
      <c r="I2094" s="2227"/>
      <c r="J2094" s="2227"/>
      <c r="K2094" s="2227"/>
      <c r="L2094" s="2227"/>
      <c r="M2094" s="2227"/>
      <c r="N2094" s="2227"/>
      <c r="O2094" s="2227"/>
      <c r="P2094" s="2227"/>
      <c r="Q2094" s="1856" t="s">
        <v>1208</v>
      </c>
      <c r="R2094" s="1856"/>
    </row>
    <row r="2095" spans="1:23" s="2275" customFormat="1" ht="10.5" customHeight="1">
      <c r="B2095" s="2228" t="s">
        <v>1779</v>
      </c>
      <c r="C2095" s="1818"/>
      <c r="D2095" s="2228"/>
      <c r="E2095" s="2229"/>
      <c r="F2095" s="2229"/>
      <c r="G2095" s="2229"/>
      <c r="H2095" s="2229"/>
      <c r="I2095" s="2229"/>
      <c r="J2095" s="2229"/>
      <c r="K2095" s="2229"/>
      <c r="L2095" s="2229"/>
      <c r="M2095" s="2229"/>
      <c r="N2095" s="2310"/>
      <c r="O2095" s="2310"/>
      <c r="P2095" s="2109"/>
    </row>
    <row r="2096" spans="1:23" s="2275" customFormat="1" ht="22.15" customHeight="1">
      <c r="A2096" s="2224"/>
      <c r="B2096" s="2224"/>
      <c r="C2096" s="2224"/>
      <c r="D2096" s="2224"/>
      <c r="E2096" s="2224"/>
      <c r="F2096" s="2224"/>
      <c r="G2096" s="2224"/>
      <c r="H2096" s="2224"/>
      <c r="I2096" s="2224"/>
      <c r="J2096" s="2224"/>
      <c r="K2096" s="2224"/>
      <c r="L2096" s="2224"/>
      <c r="M2096" s="2224"/>
      <c r="N2096" s="2224"/>
      <c r="O2096" s="2224"/>
      <c r="P2096" s="2224"/>
      <c r="Q2096" s="1856"/>
    </row>
    <row r="2097" spans="1:18" s="2275" customFormat="1" ht="4.5" customHeight="1">
      <c r="A2097" s="2432"/>
      <c r="B2097" s="1818"/>
      <c r="C2097" s="2229"/>
      <c r="D2097" s="2229"/>
      <c r="E2097" s="2229"/>
      <c r="F2097" s="2229"/>
      <c r="G2097" s="2229"/>
      <c r="H2097" s="2229"/>
      <c r="I2097" s="2229"/>
      <c r="J2097" s="2229"/>
      <c r="K2097" s="2229"/>
      <c r="L2097" s="2229"/>
      <c r="M2097" s="2229"/>
      <c r="N2097" s="2310"/>
      <c r="O2097" s="2310"/>
      <c r="P2097" s="2109"/>
    </row>
    <row r="2098" spans="1:18" s="2285" customFormat="1" ht="11.25" customHeight="1">
      <c r="A2098" s="2432" t="s">
        <v>3526</v>
      </c>
      <c r="B2098" s="2154" t="s">
        <v>6524</v>
      </c>
      <c r="D2098" s="2157"/>
      <c r="E2098" s="2157"/>
      <c r="F2098" s="435"/>
      <c r="M2098" s="2109">
        <v>6</v>
      </c>
      <c r="N2098" s="2109"/>
      <c r="O2098" s="2372">
        <f>'Part IX Scoring Criteria'!O379</f>
        <v>0</v>
      </c>
      <c r="P2098" s="2193"/>
      <c r="Q2098" s="2109" t="s">
        <v>422</v>
      </c>
      <c r="R2098" s="1859" t="s">
        <v>2553</v>
      </c>
    </row>
    <row r="2099" spans="1:18" s="2285" customFormat="1" ht="10.5" customHeight="1">
      <c r="A2099" s="2157"/>
      <c r="B2099" s="2157" t="s">
        <v>1779</v>
      </c>
      <c r="C2099" s="1818"/>
      <c r="D2099" s="2157"/>
      <c r="E2099" s="2122"/>
      <c r="F2099" s="2122"/>
      <c r="G2099" s="2122"/>
      <c r="H2099" s="2122"/>
      <c r="I2099" s="2122"/>
      <c r="J2099" s="2122"/>
      <c r="K2099" s="2122"/>
      <c r="L2099" s="2122"/>
      <c r="M2099" s="2122"/>
      <c r="N2099" s="2109"/>
      <c r="O2099" s="2109"/>
      <c r="P2099" s="2109"/>
    </row>
    <row r="2100" spans="1:18" s="2275" customFormat="1" ht="10.9" customHeight="1">
      <c r="A2100" s="2224"/>
      <c r="B2100" s="2224"/>
      <c r="C2100" s="2224"/>
      <c r="D2100" s="2224"/>
      <c r="E2100" s="2224"/>
      <c r="F2100" s="2224"/>
      <c r="G2100" s="2224"/>
      <c r="H2100" s="2224"/>
      <c r="I2100" s="2224"/>
      <c r="J2100" s="2224"/>
      <c r="K2100" s="2224"/>
      <c r="L2100" s="2224"/>
      <c r="M2100" s="2224"/>
      <c r="N2100" s="2224"/>
      <c r="O2100" s="2224"/>
      <c r="P2100" s="2224"/>
      <c r="Q2100" s="1856" t="s">
        <v>1208</v>
      </c>
      <c r="R2100" s="1856"/>
    </row>
    <row r="2101" spans="1:18" s="2275" customFormat="1" ht="4.5" customHeight="1">
      <c r="A2101" s="2432"/>
      <c r="B2101" s="1818"/>
      <c r="C2101" s="2229"/>
      <c r="D2101" s="2229"/>
      <c r="E2101" s="2229"/>
      <c r="F2101" s="2229"/>
      <c r="G2101" s="2229"/>
      <c r="H2101" s="2229"/>
      <c r="I2101" s="2229"/>
      <c r="J2101" s="2229"/>
      <c r="K2101" s="2229"/>
      <c r="L2101" s="2229"/>
      <c r="M2101" s="2229"/>
      <c r="N2101" s="2310"/>
      <c r="O2101" s="2310"/>
      <c r="P2101" s="2109"/>
    </row>
    <row r="2102" spans="1:18" s="2285" customFormat="1" ht="11.25" customHeight="1">
      <c r="A2102" s="2432" t="s">
        <v>3527</v>
      </c>
      <c r="B2102" s="2154" t="s">
        <v>6525</v>
      </c>
      <c r="D2102" s="2157"/>
      <c r="E2102" s="2157"/>
      <c r="F2102" s="435"/>
      <c r="G2102" s="435"/>
      <c r="M2102" s="2109">
        <v>6</v>
      </c>
      <c r="N2102" s="2109"/>
      <c r="O2102" s="2372">
        <f>'Part IX Scoring Criteria'!O383</f>
        <v>0</v>
      </c>
      <c r="P2102" s="2193"/>
      <c r="Q2102" s="2109" t="s">
        <v>422</v>
      </c>
      <c r="R2102" s="1859" t="s">
        <v>2553</v>
      </c>
    </row>
    <row r="2103" spans="1:18" s="2285" customFormat="1" ht="10.5" customHeight="1">
      <c r="A2103" s="2157"/>
      <c r="B2103" s="2157" t="s">
        <v>1779</v>
      </c>
      <c r="C2103" s="1818"/>
      <c r="D2103" s="2157"/>
      <c r="E2103" s="2122"/>
      <c r="F2103" s="2122"/>
      <c r="G2103" s="2122"/>
      <c r="H2103" s="2122"/>
      <c r="I2103" s="2122"/>
      <c r="J2103" s="2122"/>
      <c r="K2103" s="2122"/>
      <c r="L2103" s="2122"/>
      <c r="M2103" s="2122"/>
      <c r="N2103" s="2109"/>
      <c r="O2103" s="2109"/>
      <c r="P2103" s="2109"/>
    </row>
    <row r="2104" spans="1:18" s="2275" customFormat="1" ht="10.9" customHeight="1">
      <c r="A2104" s="2224"/>
      <c r="B2104" s="2224"/>
      <c r="C2104" s="2224"/>
      <c r="D2104" s="2224"/>
      <c r="E2104" s="2224"/>
      <c r="F2104" s="2224"/>
      <c r="G2104" s="2224"/>
      <c r="H2104" s="2224"/>
      <c r="I2104" s="2224"/>
      <c r="J2104" s="2224"/>
      <c r="K2104" s="2224"/>
      <c r="L2104" s="2224"/>
      <c r="M2104" s="2224"/>
      <c r="N2104" s="2224"/>
      <c r="O2104" s="2224"/>
      <c r="P2104" s="2224"/>
      <c r="Q2104" s="1856" t="s">
        <v>1208</v>
      </c>
      <c r="R2104" s="1856"/>
    </row>
    <row r="2105" spans="1:18" s="2275" customFormat="1" ht="4.5" customHeight="1">
      <c r="A2105" s="2432"/>
      <c r="B2105" s="1818"/>
      <c r="C2105" s="2229"/>
      <c r="D2105" s="2229"/>
      <c r="E2105" s="2229"/>
      <c r="F2105" s="2229"/>
      <c r="G2105" s="2229"/>
      <c r="H2105" s="2229"/>
      <c r="I2105" s="2229"/>
      <c r="J2105" s="2229"/>
      <c r="K2105" s="2229"/>
      <c r="L2105" s="2229"/>
      <c r="M2105" s="2229"/>
      <c r="N2105" s="2310"/>
      <c r="O2105" s="2310"/>
      <c r="P2105" s="2109"/>
    </row>
    <row r="2106" spans="1:18" s="2285" customFormat="1" ht="11.25" customHeight="1">
      <c r="A2106" s="2432" t="s">
        <v>3528</v>
      </c>
      <c r="B2106" s="2154" t="s">
        <v>6526</v>
      </c>
      <c r="D2106" s="2157"/>
      <c r="M2106" s="2109">
        <v>2</v>
      </c>
      <c r="N2106" s="2109"/>
      <c r="O2106" s="2372">
        <f>'Part IX Scoring Criteria'!O387</f>
        <v>0</v>
      </c>
      <c r="P2106" s="2193"/>
      <c r="Q2106" s="2109" t="s">
        <v>422</v>
      </c>
      <c r="R2106" s="1859" t="s">
        <v>2553</v>
      </c>
    </row>
    <row r="2107" spans="1:18" s="2285" customFormat="1" ht="10.5" customHeight="1">
      <c r="A2107" s="2157"/>
      <c r="B2107" s="2157" t="s">
        <v>1779</v>
      </c>
      <c r="C2107" s="1818"/>
      <c r="D2107" s="2157"/>
      <c r="E2107" s="2122"/>
      <c r="F2107" s="2122"/>
      <c r="G2107" s="2122"/>
      <c r="H2107" s="2122"/>
      <c r="I2107" s="2122"/>
      <c r="J2107" s="2122"/>
      <c r="K2107" s="2122"/>
      <c r="L2107" s="2122"/>
      <c r="M2107" s="2122"/>
      <c r="N2107" s="2109"/>
      <c r="O2107" s="2109"/>
      <c r="P2107" s="2109"/>
    </row>
    <row r="2108" spans="1:18" s="2275" customFormat="1" ht="10.9" customHeight="1">
      <c r="A2108" s="2224"/>
      <c r="B2108" s="2224"/>
      <c r="C2108" s="2224"/>
      <c r="D2108" s="2224"/>
      <c r="E2108" s="2224"/>
      <c r="F2108" s="2224"/>
      <c r="G2108" s="2224"/>
      <c r="H2108" s="2224"/>
      <c r="I2108" s="2224"/>
      <c r="J2108" s="2224"/>
      <c r="K2108" s="2224"/>
      <c r="L2108" s="2224"/>
      <c r="M2108" s="2224"/>
      <c r="N2108" s="2224"/>
      <c r="O2108" s="2224"/>
      <c r="P2108" s="2224"/>
      <c r="Q2108" s="1856" t="s">
        <v>1208</v>
      </c>
      <c r="R2108" s="1856"/>
    </row>
    <row r="2109" spans="1:18" s="2275" customFormat="1" ht="4.5" customHeight="1">
      <c r="A2109" s="2432"/>
      <c r="B2109" s="1818"/>
      <c r="C2109" s="2229"/>
      <c r="D2109" s="2229"/>
      <c r="E2109" s="2229"/>
      <c r="F2109" s="2229"/>
      <c r="G2109" s="2229"/>
      <c r="H2109" s="2229"/>
      <c r="I2109" s="2229"/>
      <c r="J2109" s="2229"/>
      <c r="K2109" s="2229"/>
      <c r="L2109" s="2229"/>
      <c r="M2109" s="2229"/>
      <c r="N2109" s="2310"/>
      <c r="O2109" s="2310"/>
      <c r="P2109" s="2109"/>
    </row>
    <row r="2110" spans="1:18" s="2285" customFormat="1" ht="11.25" customHeight="1">
      <c r="A2110" s="2432" t="s">
        <v>3529</v>
      </c>
      <c r="B2110" s="2154" t="s">
        <v>6527</v>
      </c>
      <c r="D2110" s="2157"/>
      <c r="M2110" s="2109">
        <v>6</v>
      </c>
      <c r="N2110" s="2109"/>
      <c r="O2110" s="2372">
        <f>'Part IX Scoring Criteria'!O391</f>
        <v>0</v>
      </c>
      <c r="P2110" s="2193"/>
      <c r="Q2110" s="2109" t="s">
        <v>422</v>
      </c>
      <c r="R2110" s="1859" t="s">
        <v>2553</v>
      </c>
    </row>
    <row r="2111" spans="1:18" s="2285" customFormat="1" ht="10.5" customHeight="1">
      <c r="A2111" s="2157"/>
      <c r="B2111" s="2157" t="s">
        <v>1779</v>
      </c>
      <c r="C2111" s="1818"/>
      <c r="D2111" s="2157"/>
      <c r="E2111" s="2122"/>
      <c r="F2111" s="2122"/>
      <c r="G2111" s="2122"/>
      <c r="H2111" s="2122"/>
      <c r="I2111" s="2122"/>
      <c r="J2111" s="2122"/>
      <c r="K2111" s="2122"/>
      <c r="L2111" s="2122"/>
      <c r="M2111" s="2122"/>
      <c r="N2111" s="2109"/>
      <c r="O2111" s="2109"/>
      <c r="P2111" s="2109"/>
    </row>
    <row r="2112" spans="1:18" s="2275" customFormat="1" ht="10.9" customHeight="1">
      <c r="A2112" s="2224"/>
      <c r="B2112" s="2224"/>
      <c r="C2112" s="2224"/>
      <c r="D2112" s="2224"/>
      <c r="E2112" s="2224"/>
      <c r="F2112" s="2224"/>
      <c r="G2112" s="2224"/>
      <c r="H2112" s="2224"/>
      <c r="I2112" s="2224"/>
      <c r="J2112" s="2224"/>
      <c r="K2112" s="2224"/>
      <c r="L2112" s="2224"/>
      <c r="M2112" s="2224"/>
      <c r="N2112" s="2224"/>
      <c r="O2112" s="2224"/>
      <c r="P2112" s="2224"/>
      <c r="Q2112" s="1856" t="s">
        <v>1208</v>
      </c>
      <c r="R2112" s="1856"/>
    </row>
    <row r="2113" spans="1:18" s="2275" customFormat="1" ht="15">
      <c r="A2113" s="2432"/>
      <c r="B2113" s="1818"/>
      <c r="C2113" s="2229"/>
      <c r="D2113" s="2229"/>
      <c r="E2113" s="2229"/>
      <c r="F2113" s="2229"/>
      <c r="G2113" s="2229"/>
      <c r="H2113" s="2229"/>
      <c r="I2113" s="2229"/>
      <c r="J2113" s="2229"/>
      <c r="K2113" s="2229"/>
      <c r="L2113" s="2229"/>
      <c r="M2113" s="2229"/>
      <c r="N2113" s="2310"/>
      <c r="O2113" s="2310"/>
      <c r="P2113" s="2109"/>
    </row>
    <row r="2114" spans="1:18" s="2275" customFormat="1" ht="13.5" customHeight="1">
      <c r="A2114" s="2432" t="s">
        <v>3530</v>
      </c>
      <c r="B2114" s="2154" t="s">
        <v>6849</v>
      </c>
      <c r="C2114" s="2113"/>
      <c r="D2114" s="2113"/>
      <c r="E2114" s="435"/>
      <c r="G2114" s="2113"/>
      <c r="I2114" s="1968" t="s">
        <v>6530</v>
      </c>
      <c r="J2114" s="2229"/>
      <c r="L2114" s="2118">
        <f>F1789</f>
        <v>0</v>
      </c>
      <c r="M2114" s="2109">
        <v>16</v>
      </c>
      <c r="N2114" s="2109"/>
      <c r="O2114" s="2372">
        <f>'Part IX Scoring Criteria'!O395</f>
        <v>0</v>
      </c>
      <c r="P2114" s="2193"/>
      <c r="Q2114" s="2109" t="s">
        <v>422</v>
      </c>
    </row>
    <row r="2115" spans="1:18" s="2275" customFormat="1" ht="15">
      <c r="B2115" s="2228" t="s">
        <v>1779</v>
      </c>
      <c r="C2115" s="1818"/>
      <c r="D2115" s="2228"/>
      <c r="E2115" s="2229"/>
      <c r="F2115" s="2229"/>
      <c r="G2115" s="2229"/>
      <c r="H2115" s="2229"/>
      <c r="I2115" s="2229"/>
      <c r="J2115" s="2229"/>
      <c r="K2115" s="2229"/>
      <c r="L2115" s="2229"/>
      <c r="M2115" s="2229"/>
      <c r="N2115" s="2310"/>
      <c r="O2115" s="2310"/>
      <c r="P2115" s="2109"/>
    </row>
    <row r="2116" spans="1:18" s="2275" customFormat="1" ht="12.75" customHeight="1">
      <c r="A2116" s="2224"/>
      <c r="B2116" s="2224"/>
      <c r="C2116" s="2224"/>
      <c r="D2116" s="2224"/>
      <c r="E2116" s="2224"/>
      <c r="F2116" s="2224"/>
      <c r="G2116" s="2224"/>
      <c r="H2116" s="2224"/>
      <c r="I2116" s="2224"/>
      <c r="J2116" s="2224"/>
      <c r="K2116" s="2224"/>
      <c r="L2116" s="2224"/>
      <c r="M2116" s="2224"/>
      <c r="N2116" s="2224"/>
      <c r="O2116" s="2224"/>
      <c r="P2116" s="2224"/>
      <c r="Q2116" s="1856"/>
    </row>
    <row r="2117" spans="1:18" s="1853" customFormat="1">
      <c r="N2117" s="2052"/>
      <c r="O2117" s="2052"/>
      <c r="P2117" s="2052"/>
    </row>
    <row r="2118" spans="1:18" s="2275" customFormat="1" ht="15">
      <c r="A2118" s="1818"/>
      <c r="C2118" s="2229"/>
      <c r="D2118" s="2229"/>
      <c r="E2118" s="2229"/>
      <c r="F2118" s="2229"/>
      <c r="G2118" s="2229"/>
      <c r="H2118" s="2229"/>
      <c r="I2118" s="2229"/>
      <c r="J2118" s="2229"/>
      <c r="K2118" s="2229"/>
      <c r="L2118" s="2229"/>
      <c r="M2118" s="2229"/>
      <c r="N2118" s="2310"/>
      <c r="O2118" s="2310"/>
      <c r="P2118" s="2109"/>
    </row>
    <row r="2119" spans="1:18" s="2275" customFormat="1" ht="10.5" customHeight="1">
      <c r="A2119" s="2432"/>
      <c r="B2119" s="1818"/>
      <c r="C2119" s="2229"/>
      <c r="D2119" s="2229"/>
      <c r="E2119" s="2229"/>
      <c r="F2119" s="2229"/>
      <c r="G2119" s="2229"/>
      <c r="H2119" s="2229"/>
      <c r="I2119" s="2229"/>
      <c r="J2119" s="2229"/>
      <c r="K2119" s="2229"/>
      <c r="L2119" s="2229"/>
      <c r="M2119" s="2229"/>
      <c r="N2119" s="2310"/>
      <c r="O2119" s="2310"/>
      <c r="P2119" s="2109"/>
    </row>
    <row r="2120" spans="1:18" s="1818" customFormat="1" ht="12.75" customHeight="1">
      <c r="A2120" s="2432"/>
      <c r="B2120" s="2451"/>
      <c r="D2120" s="1853"/>
      <c r="E2120" s="1853"/>
      <c r="F2120" s="2275"/>
      <c r="G2120" s="2245" t="s">
        <v>408</v>
      </c>
      <c r="I2120" s="2245"/>
      <c r="J2120" s="2245"/>
      <c r="K2120" s="2245"/>
      <c r="L2120" s="2285"/>
      <c r="M2120" s="2452">
        <f>IF(AND(P1752="9%",M1762="New Supply"),G1777,IF(AND(P1752="4%",M1762="New Supply"),H1777,IF(AND(P1752="9%",M1762="Rehabilitation"),I1777,IF(AND(P1752="4%",M1762="Rehabilitation"),J1777,K1777))))</f>
        <v>107</v>
      </c>
      <c r="N2120" s="2452"/>
      <c r="O2120" s="2453">
        <f>-O1727-O1733+O1778+O1803+O1817+O1827+O1866+O1882+O1918+O1939+O1947+O1956+O1966+O1975+O2005+O2013+O2049+O2069+O2077+O2098+O2102+O2106+O2110+O2114</f>
        <v>59</v>
      </c>
      <c r="P2120" s="2453">
        <f>-P1727-P1733+P1778+P1803+P1817+P1827+P1866+P1882+P1903+P1918+P1939+P1947+P1956+P1966+P1975+P1988+P2005+P2013+P2049+P2069+P2077+P2098+P2102+P2106+P2110+P2114</f>
        <v>20</v>
      </c>
    </row>
    <row r="2121" spans="1:18" s="1853" customFormat="1" ht="6.75" customHeight="1">
      <c r="A2121" s="2275"/>
      <c r="B2121" s="2451"/>
      <c r="C2121" s="2275"/>
      <c r="F2121" s="2122"/>
      <c r="G2121" s="2122"/>
      <c r="H2121" s="2222"/>
      <c r="I2121" s="2222"/>
      <c r="L2121" s="2275"/>
      <c r="N2121" s="2109"/>
      <c r="O2121" s="2109"/>
      <c r="P2121" s="2193"/>
    </row>
    <row r="2122" spans="1:18" s="2275" customFormat="1" ht="22.5" customHeight="1">
      <c r="A2122" s="2157" t="s">
        <v>7109</v>
      </c>
      <c r="B2122" s="2157"/>
      <c r="C2122" s="2157"/>
      <c r="D2122" s="2157"/>
      <c r="E2122" s="2157"/>
      <c r="F2122" s="2157"/>
      <c r="G2122" s="2157"/>
      <c r="H2122" s="2157"/>
      <c r="I2122" s="2157"/>
      <c r="J2122" s="2157"/>
      <c r="K2122" s="2157"/>
      <c r="L2122" s="2157"/>
      <c r="M2122" s="2157"/>
      <c r="N2122" s="2157"/>
      <c r="O2122" s="2157"/>
      <c r="P2122" s="2157"/>
    </row>
    <row r="2123" spans="1:18" s="2275" customFormat="1" ht="409.15" customHeight="1">
      <c r="A2123" s="2227" t="str">
        <f>'Part IX Scoring Criteria'!A404</f>
        <v xml:space="preserve">Section IV. Deeper Targeting/Rent/Income: The project has secured a commitment of RAD Section 8 PBRA for 32 units, which is 44.44% of the total project of 72 units.  The RAD CHAP is included in Tabs 01 and 26. 
Section XVI.B. Exceptional Public Housing Authority: The Griffin Housing Authority (GHA) has recently transitioned into the operation and management of the Housing Authority of the City of West Point, Georgia (WPHA). The executive staff of GHA are serving in the role of executive staff of WPHA, implementing the successful strategies and operational protocols of GHA.  With the West Point Village Phase I development and the West Point Community Transformation Plan, WPHA is seeking to replicate many of the same innovative strategies and long-term public-private partnerships in the planned transformation of the WPHA public housing communities. Under the leadership of Robert Dull, GHA embarked on an ambitious, multi-year plan to transform its aging, functionally obsolete public housing into vibrant, mixed-income neighborhoods where residents of all ages and income levels could thrive. Their innovative, forward-thinking approach to utilizing affordable housing as an anchor to spur neighborhood redevelopment has led to the transformation of the aging Meriwether Homes into a multi-phase, award-winning community.  Oaks at Park Pointe (Meriwether Phase I) was completed in 2015 and received the prestigious Charles Edson Award from the national Affordable Housing Tax Credit Coalition for most innovative public housing project in the nation. Additionally, GHA is currently renovating the Fairmont and Nine Oaks public housing communities. The renovations include an innovative partnership with Pennrose, Georgia Department of Community Affairs, Georgia Health Policy Center, Southface and the Kresge Foundation to integrate green and healthy design and services to support GHA’s ability to improve the health outcomes and quality of life for the residents. Understanding the need to go beyond the bricks and mortar for sustainable transformation, GHA unveiled the Educational Prosperities Initiative (EPI), a multi-institutional program that was a Recipient of the NAHRO National Award of Excellence, NAHRO Award of Merit, and GAHRA Collaborative Partnership Award.  This EPI will be implemented in West Point, based on GHA's model.  
XV. Extended Affordability Commitment: The Applicant agrees to forgo the Qualified Contract "cancellation option" after the close of the Compliance period and also agrees to provide a right of first refusal to a nonprofit organization or a local housing authority in accordance with DCA requirements set forth in the 2021 QAP, should the owner elect to transfer all or some of the owner's interest in the property during the Compliance or Extended Use Period.
XIX. Compliance Performance: Performance Workbooks for all Principals of the three owner entities and developer entities of West Point Village Phase I are included in Tab 41.  Lists depicting all successful affordable developments in Georgia and in all states owned by the members of the Project Team are included in the same Tab for ease of reference.  All projects are depicted in the Performance Workbooks. As demonstrated in the Compliance Performance Workbooks, the three Certifying Principals own more than twenty LIHTC projects.  These projects can serve as the basis for point additions to this project of up to 5 points if needed in the scoring of the Compliance Performance section.  Based on the instructions in the QAP for properties located outside of Georgia, letters from syndicators or HFAs that document the properties’ compliance status of good standing can be provided if requested by DCA.
  </v>
      </c>
      <c r="B2123" s="2227"/>
      <c r="C2123" s="2227"/>
      <c r="D2123" s="2227"/>
      <c r="E2123" s="2227"/>
      <c r="F2123" s="2227"/>
      <c r="G2123" s="2227"/>
      <c r="H2123" s="2227"/>
      <c r="I2123" s="2227"/>
      <c r="J2123" s="2227"/>
      <c r="K2123" s="2227"/>
      <c r="L2123" s="2227"/>
      <c r="M2123" s="2227"/>
      <c r="N2123" s="2227"/>
      <c r="O2123" s="2227"/>
      <c r="P2123" s="2227"/>
      <c r="Q2123" s="1856" t="s">
        <v>1208</v>
      </c>
      <c r="R2123" s="1856"/>
    </row>
    <row r="2128" spans="1:18" s="2455" customFormat="1" ht="18.75">
      <c r="A2128" s="2454" t="s">
        <v>4167</v>
      </c>
      <c r="B2128" s="2454"/>
      <c r="C2128" s="2454"/>
      <c r="D2128" s="2454"/>
      <c r="E2128" s="2454"/>
      <c r="F2128" s="2454"/>
      <c r="G2128" s="2454"/>
      <c r="H2128" s="2454"/>
    </row>
    <row r="2129" spans="1:11" s="2455" customFormat="1" ht="18.75">
      <c r="A2129" s="2454" t="s">
        <v>4168</v>
      </c>
      <c r="B2129" s="2454"/>
      <c r="C2129" s="2454"/>
      <c r="D2129" s="2454"/>
      <c r="E2129" s="2454"/>
      <c r="F2129" s="2454"/>
      <c r="G2129" s="2454"/>
      <c r="H2129" s="2454"/>
    </row>
    <row r="2130" spans="1:11" s="2455" customFormat="1" ht="15" customHeight="1">
      <c r="A2130" s="2456" t="s">
        <v>4169</v>
      </c>
      <c r="B2130" s="2457"/>
      <c r="C2130" s="2457"/>
      <c r="D2130" s="2458">
        <f>'Part I-Project Information'!F2114</f>
        <v>0</v>
      </c>
      <c r="E2130" s="2458"/>
      <c r="F2130" s="2458"/>
      <c r="G2130" s="2458"/>
      <c r="H2130" s="2458"/>
      <c r="I2130" s="2458"/>
      <c r="J2130" s="2459" t="s">
        <v>6420</v>
      </c>
      <c r="K2130" s="2459"/>
    </row>
    <row r="2131" spans="1:11" s="2455" customFormat="1" ht="15" customHeight="1">
      <c r="A2131" s="2456" t="s">
        <v>4170</v>
      </c>
      <c r="B2131" s="2457"/>
      <c r="C2131" s="2457"/>
      <c r="D2131" s="2458" t="str">
        <f>CONCATENATE('Part I-Project Information'!F2115,", ",'Part I-Project Information'!F2118,", GA ",'Part I-Project Information'!J2118," (",'Part I-Project Information'!J2119," Co.)",)</f>
        <v>, , GA  ( Co.)</v>
      </c>
      <c r="E2131" s="2458"/>
      <c r="F2131" s="2458"/>
      <c r="G2131" s="2458"/>
      <c r="H2131" s="2458"/>
      <c r="I2131" s="2458"/>
      <c r="J2131" s="2459" t="s">
        <v>4211</v>
      </c>
      <c r="K2131" s="2459"/>
    </row>
    <row r="2132" spans="1:11" s="2455" customFormat="1" ht="15" customHeight="1">
      <c r="A2132" s="2456" t="s">
        <v>4171</v>
      </c>
      <c r="B2132" s="2457"/>
      <c r="C2132" s="2457"/>
      <c r="D2132" s="2460"/>
      <c r="E2132" s="2460"/>
      <c r="F2132" s="2460"/>
      <c r="G2132" s="2460"/>
      <c r="H2132" s="2460"/>
      <c r="I2132" s="2460"/>
      <c r="J2132" s="2459"/>
      <c r="K2132" s="2459"/>
    </row>
    <row r="2133" spans="1:11" s="2455" customFormat="1" ht="9" customHeight="1"/>
    <row r="2134" spans="1:11" s="2455" customFormat="1" ht="16.5">
      <c r="A2134" s="2457" t="s">
        <v>4173</v>
      </c>
      <c r="B2134" s="2457"/>
      <c r="C2134" s="2457"/>
      <c r="D2134" s="2457"/>
      <c r="E2134" s="2457"/>
      <c r="F2134" s="2457"/>
      <c r="G2134" s="2457"/>
      <c r="H2134" s="2457"/>
      <c r="I2134" s="2457"/>
      <c r="J2134" s="2457"/>
      <c r="K2134" s="2457"/>
    </row>
    <row r="2135" spans="1:11" s="2455" customFormat="1" ht="14.25" customHeight="1">
      <c r="A2135" s="2457"/>
      <c r="B2135" s="2457"/>
      <c r="C2135" s="2461">
        <v>1</v>
      </c>
      <c r="D2135" s="2457" t="s">
        <v>4174</v>
      </c>
      <c r="E2135" s="2457"/>
      <c r="F2135" s="2457"/>
      <c r="G2135" s="2457"/>
      <c r="H2135" s="2457"/>
      <c r="I2135" s="2457"/>
      <c r="J2135" s="2462">
        <f>'Part X - HOME NHTF Unit Calcs'!J8</f>
        <v>0</v>
      </c>
      <c r="K2135" s="2462"/>
    </row>
    <row r="2136" spans="1:11" s="2455" customFormat="1" ht="7.15" customHeight="1">
      <c r="A2136" s="2457"/>
      <c r="B2136" s="2457"/>
      <c r="C2136" s="2457"/>
      <c r="D2136" s="2457"/>
      <c r="E2136" s="2457"/>
      <c r="F2136" s="2457"/>
      <c r="G2136" s="2457"/>
      <c r="H2136" s="2457"/>
      <c r="I2136" s="2457"/>
      <c r="J2136" s="2457"/>
      <c r="K2136" s="2463"/>
    </row>
    <row r="2137" spans="1:11" s="2455" customFormat="1" ht="16.5">
      <c r="A2137" s="2457" t="s">
        <v>4175</v>
      </c>
      <c r="B2137" s="2457"/>
      <c r="C2137" s="2457"/>
      <c r="D2137" s="2457"/>
      <c r="E2137" s="2457"/>
      <c r="F2137" s="2457"/>
      <c r="G2137" s="2457"/>
      <c r="H2137" s="2457"/>
      <c r="I2137" s="2457"/>
      <c r="J2137" s="2457"/>
      <c r="K2137" s="2457"/>
    </row>
    <row r="2138" spans="1:11" s="2455" customFormat="1" ht="14.25" customHeight="1">
      <c r="A2138" s="2457"/>
      <c r="B2138" s="2457"/>
      <c r="C2138" s="2461">
        <v>2</v>
      </c>
      <c r="D2138" s="2457" t="s">
        <v>4176</v>
      </c>
      <c r="E2138" s="2457"/>
      <c r="F2138" s="2457"/>
      <c r="G2138" s="2457"/>
      <c r="H2138" s="2457"/>
      <c r="I2138" s="2457"/>
      <c r="J2138" s="2462">
        <f>'Part X - HOME NHTF Unit Calcs'!J11</f>
        <v>0</v>
      </c>
      <c r="K2138" s="2462"/>
    </row>
    <row r="2139" spans="1:11" s="2455" customFormat="1" ht="7.15" customHeight="1">
      <c r="A2139" s="2457"/>
      <c r="B2139" s="2457"/>
      <c r="C2139" s="2457"/>
      <c r="D2139" s="2457"/>
      <c r="E2139" s="2457"/>
      <c r="F2139" s="2457"/>
      <c r="G2139" s="2457"/>
      <c r="H2139" s="2457"/>
      <c r="I2139" s="2457"/>
      <c r="J2139" s="2457"/>
      <c r="K2139" s="2461"/>
    </row>
    <row r="2140" spans="1:11" s="2455" customFormat="1" ht="16.5">
      <c r="A2140" s="2457" t="s">
        <v>4177</v>
      </c>
      <c r="B2140" s="2457"/>
      <c r="C2140" s="2457"/>
      <c r="D2140" s="2457"/>
      <c r="E2140" s="2457"/>
      <c r="F2140" s="2457"/>
      <c r="G2140" s="2457"/>
      <c r="H2140" s="2457"/>
      <c r="I2140" s="2457"/>
      <c r="J2140" s="2457"/>
      <c r="K2140" s="2457"/>
    </row>
    <row r="2141" spans="1:11" s="2455" customFormat="1" ht="14.25" customHeight="1">
      <c r="A2141" s="2457"/>
      <c r="B2141" s="2457"/>
      <c r="C2141" s="2461">
        <v>3</v>
      </c>
      <c r="D2141" s="2457" t="s">
        <v>4178</v>
      </c>
      <c r="E2141" s="2457"/>
      <c r="F2141" s="2457"/>
      <c r="G2141" s="2457"/>
      <c r="H2141" s="2457"/>
      <c r="I2141" s="2457"/>
      <c r="J2141" s="2462">
        <f>'Part X - HOME NHTF Unit Calcs'!J14</f>
        <v>0</v>
      </c>
      <c r="K2141" s="2462"/>
    </row>
    <row r="2142" spans="1:11" s="2455" customFormat="1" ht="14.25" customHeight="1">
      <c r="A2142" s="2457"/>
      <c r="B2142" s="2457"/>
      <c r="C2142" s="2461">
        <v>4</v>
      </c>
      <c r="D2142" s="2457" t="s">
        <v>4179</v>
      </c>
      <c r="E2142" s="2457"/>
      <c r="F2142" s="2457"/>
      <c r="G2142" s="2457"/>
      <c r="H2142" s="2457"/>
      <c r="I2142" s="2457"/>
      <c r="J2142" s="2462">
        <f>'Part X - HOME NHTF Unit Calcs'!J15</f>
        <v>0</v>
      </c>
      <c r="K2142" s="2462"/>
    </row>
    <row r="2143" spans="1:11" s="2455" customFormat="1" ht="14.25" customHeight="1">
      <c r="A2143" s="2457"/>
      <c r="B2143" s="2457"/>
      <c r="C2143" s="2461">
        <v>5</v>
      </c>
      <c r="D2143" s="2457" t="s">
        <v>4180</v>
      </c>
      <c r="E2143" s="2457"/>
      <c r="F2143" s="2457"/>
      <c r="G2143" s="2457"/>
      <c r="H2143" s="2457"/>
      <c r="I2143" s="2457"/>
      <c r="J2143" s="2462">
        <f>'Part X - HOME NHTF Unit Calcs'!J16</f>
        <v>0</v>
      </c>
      <c r="K2143" s="2462"/>
    </row>
    <row r="2144" spans="1:11" s="2455" customFormat="1" ht="14.25" customHeight="1">
      <c r="A2144" s="2457"/>
      <c r="B2144" s="2457"/>
      <c r="C2144" s="2461">
        <v>6</v>
      </c>
      <c r="D2144" s="2457" t="s">
        <v>4181</v>
      </c>
      <c r="E2144" s="2457"/>
      <c r="F2144" s="2457"/>
      <c r="G2144" s="2457"/>
      <c r="H2144" s="2457"/>
      <c r="I2144" s="2457"/>
      <c r="J2144" s="2462">
        <f>'Part X - HOME NHTF Unit Calcs'!J17</f>
        <v>0</v>
      </c>
      <c r="K2144" s="2462"/>
    </row>
    <row r="2145" spans="1:13" s="2455" customFormat="1" ht="7.15" customHeight="1">
      <c r="A2145" s="2457"/>
      <c r="B2145" s="2457"/>
      <c r="C2145" s="2457"/>
      <c r="D2145" s="2457"/>
      <c r="E2145" s="2457"/>
      <c r="F2145" s="2457"/>
      <c r="G2145" s="2457"/>
      <c r="H2145" s="2457"/>
      <c r="I2145" s="2457"/>
      <c r="J2145" s="2457"/>
      <c r="K2145" s="2461"/>
    </row>
    <row r="2146" spans="1:13" s="2455" customFormat="1" ht="14.25" customHeight="1">
      <c r="A2146" s="2457"/>
      <c r="B2146" s="2457"/>
      <c r="C2146" s="2461">
        <v>7</v>
      </c>
      <c r="D2146" s="2457" t="s">
        <v>4182</v>
      </c>
      <c r="E2146" s="2457"/>
      <c r="F2146" s="2457"/>
      <c r="G2146" s="2457"/>
      <c r="H2146" s="2457"/>
      <c r="I2146" s="2457"/>
      <c r="J2146" s="2458" t="str">
        <f>IF(J2144="No",J2141-J2142,IF(J2144="Yes",J2141-J2142-J2143,"Error"))</f>
        <v>Error</v>
      </c>
      <c r="K2146" s="2458"/>
    </row>
    <row r="2147" spans="1:13" s="2455" customFormat="1" ht="14.25" customHeight="1">
      <c r="A2147" s="2457"/>
      <c r="B2147" s="2457"/>
      <c r="C2147" s="2461">
        <v>8</v>
      </c>
      <c r="D2147" s="2457" t="s">
        <v>4183</v>
      </c>
      <c r="E2147" s="2457"/>
      <c r="F2147" s="2457"/>
      <c r="G2147" s="2457"/>
      <c r="H2147" s="2457"/>
      <c r="I2147" s="2457"/>
      <c r="J2147" s="2464" t="e">
        <f>ROUNDDOWN(J2146/J2135,2)</f>
        <v>#VALUE!</v>
      </c>
      <c r="K2147" s="2464"/>
    </row>
    <row r="2148" spans="1:13" s="2455" customFormat="1" ht="7.15" customHeight="1">
      <c r="A2148" s="2457"/>
      <c r="B2148" s="2457"/>
      <c r="C2148" s="2457"/>
      <c r="D2148" s="2457"/>
      <c r="E2148" s="2457"/>
      <c r="F2148" s="2457"/>
      <c r="G2148" s="2457"/>
      <c r="H2148" s="2457"/>
      <c r="I2148" s="2457"/>
      <c r="J2148" s="2457"/>
      <c r="K2148" s="2461"/>
    </row>
    <row r="2149" spans="1:13" s="2455" customFormat="1" ht="14.25" customHeight="1">
      <c r="A2149" s="2457"/>
      <c r="B2149" s="2457"/>
      <c r="C2149" s="2461">
        <v>9</v>
      </c>
      <c r="D2149" s="2457" t="s">
        <v>4184</v>
      </c>
      <c r="E2149" s="2457"/>
      <c r="F2149" s="2457"/>
      <c r="G2149" s="2457"/>
      <c r="H2149" s="2457"/>
      <c r="I2149" s="2457"/>
      <c r="J2149" s="2465" t="e">
        <f>J2138/J2146</f>
        <v>#VALUE!</v>
      </c>
      <c r="K2149" s="2465"/>
    </row>
    <row r="2150" spans="1:13" s="2455" customFormat="1" ht="9" customHeight="1">
      <c r="A2150" s="2466"/>
      <c r="C2150" s="2467"/>
      <c r="D2150" s="2467"/>
      <c r="E2150" s="2467"/>
      <c r="F2150" s="2467"/>
      <c r="G2150" s="2467"/>
      <c r="H2150" s="2467"/>
      <c r="I2150" s="2467"/>
      <c r="J2150" s="2467"/>
      <c r="K2150" s="2468"/>
    </row>
    <row r="2151" spans="1:13" s="2455" customFormat="1" ht="18.75">
      <c r="A2151" s="2469" t="s">
        <v>4185</v>
      </c>
      <c r="C2151" s="2467"/>
      <c r="D2151" s="2467"/>
      <c r="E2151" s="2467"/>
      <c r="F2151" s="2467"/>
      <c r="G2151" s="2467"/>
      <c r="H2151" s="2467"/>
      <c r="I2151" s="2467"/>
      <c r="J2151" s="2467"/>
      <c r="K2151" s="2468"/>
    </row>
    <row r="2152" spans="1:13" s="2455" customFormat="1" ht="14.25" customHeight="1">
      <c r="A2152" s="2470" t="s">
        <v>7200</v>
      </c>
      <c r="C2152" s="2467"/>
      <c r="D2152" s="2467"/>
      <c r="E2152" s="2467"/>
      <c r="F2152" s="2467"/>
      <c r="G2152" s="2467"/>
      <c r="H2152" s="2467"/>
      <c r="I2152" s="2467"/>
      <c r="J2152" s="2467"/>
      <c r="K2152" s="2468"/>
    </row>
    <row r="2153" spans="1:13" s="2455" customFormat="1" ht="14.25" customHeight="1">
      <c r="A2153" s="2470" t="s">
        <v>7201</v>
      </c>
      <c r="C2153" s="2467"/>
      <c r="D2153" s="2467"/>
      <c r="E2153" s="2467"/>
      <c r="F2153" s="2467"/>
      <c r="G2153" s="2467"/>
      <c r="H2153" s="2467"/>
      <c r="I2153" s="2467"/>
      <c r="J2153" s="2467"/>
      <c r="K2153" s="2468"/>
    </row>
    <row r="2154" spans="1:13" s="2455" customFormat="1" ht="14.25" customHeight="1">
      <c r="A2154" s="2470" t="s">
        <v>7202</v>
      </c>
      <c r="C2154" s="2467"/>
      <c r="D2154" s="2467"/>
      <c r="E2154" s="2467"/>
      <c r="F2154" s="2467"/>
      <c r="G2154" s="2467"/>
      <c r="H2154" s="2467"/>
      <c r="I2154" s="2467"/>
      <c r="J2154" s="2467"/>
      <c r="K2154" s="2468"/>
    </row>
    <row r="2155" spans="1:13" s="2455" customFormat="1" ht="14.25" customHeight="1">
      <c r="A2155" s="2470" t="s">
        <v>7203</v>
      </c>
      <c r="C2155" s="2467"/>
      <c r="D2155" s="2467"/>
      <c r="E2155" s="2467"/>
      <c r="F2155" s="2467"/>
      <c r="G2155" s="2467"/>
      <c r="H2155" s="2467"/>
      <c r="I2155" s="2467"/>
      <c r="J2155" s="2467"/>
      <c r="K2155" s="2468"/>
    </row>
    <row r="2156" spans="1:13" s="2455" customFormat="1" ht="9" customHeight="1">
      <c r="A2156" s="2467"/>
      <c r="C2156" s="2467"/>
      <c r="D2156" s="2467"/>
      <c r="E2156" s="2467"/>
      <c r="F2156" s="2467"/>
      <c r="G2156" s="2467"/>
      <c r="H2156" s="2467"/>
      <c r="I2156" s="2467"/>
      <c r="J2156" s="2467"/>
      <c r="K2156" s="2468"/>
    </row>
    <row r="2157" spans="1:13" s="2455" customFormat="1" ht="16.5">
      <c r="A2157" s="2459" t="s">
        <v>4215</v>
      </c>
      <c r="B2157" s="2459"/>
      <c r="C2157" s="2459"/>
      <c r="D2157" s="2459"/>
      <c r="E2157" s="2459"/>
      <c r="F2157" s="2459"/>
      <c r="G2157" s="2459"/>
      <c r="H2157" s="2459"/>
      <c r="I2157" s="2459"/>
      <c r="J2157" s="2459"/>
      <c r="K2157" s="2459"/>
    </row>
    <row r="2158" spans="1:13" s="2455" customFormat="1" ht="16.5">
      <c r="B2158" s="2459" t="s">
        <v>6420</v>
      </c>
      <c r="C2158" s="2459"/>
      <c r="D2158" s="2459"/>
      <c r="E2158" s="2459"/>
      <c r="F2158" s="2459"/>
      <c r="G2158" s="2459" t="s">
        <v>4186</v>
      </c>
      <c r="H2158" s="2459"/>
      <c r="I2158" s="2459"/>
      <c r="J2158" s="2459"/>
      <c r="K2158" s="2459"/>
    </row>
    <row r="2159" spans="1:13" s="2455" customFormat="1" ht="56.25" customHeight="1">
      <c r="B2159" s="2466" t="s">
        <v>7204</v>
      </c>
      <c r="C2159" s="2466" t="s">
        <v>7205</v>
      </c>
      <c r="D2159" s="2466" t="s">
        <v>7206</v>
      </c>
      <c r="E2159" s="2471" t="s">
        <v>6312</v>
      </c>
      <c r="F2159" s="2471"/>
      <c r="G2159" s="2466" t="s">
        <v>4187</v>
      </c>
      <c r="H2159" s="2466" t="s">
        <v>4188</v>
      </c>
      <c r="J2159" s="2466" t="s">
        <v>4189</v>
      </c>
      <c r="K2159" s="2466" t="s">
        <v>4190</v>
      </c>
      <c r="L2159" s="2472" t="s">
        <v>4191</v>
      </c>
      <c r="M2159" s="2472"/>
    </row>
    <row r="2160" spans="1:13" s="2455" customFormat="1" ht="12.75" customHeight="1">
      <c r="B2160" s="2473">
        <f>'Part X - HOME NHTF Unit Calcs'!B33</f>
        <v>0</v>
      </c>
      <c r="C2160" s="2473">
        <f>'Part X - HOME NHTF Unit Calcs'!C33</f>
        <v>0</v>
      </c>
      <c r="D2160" s="2474">
        <f>'Part X - HOME NHTF Unit Calcs'!D33</f>
        <v>0</v>
      </c>
      <c r="E2160" s="2475">
        <f>'Part X - HOME NHTF Unit Calcs'!E33</f>
        <v>0</v>
      </c>
      <c r="F2160" s="2475"/>
      <c r="G2160" s="2476" t="e">
        <f>'Part X - HOME NHTF Unit Calcs'!G33</f>
        <v>#VALUE!</v>
      </c>
      <c r="H2160" s="2477" t="e">
        <f>ROUNDUP(G2160,0)</f>
        <v>#VALUE!</v>
      </c>
      <c r="I2160" s="2478"/>
      <c r="J2160" s="2479" t="e">
        <f>'Part X - HOME NHTF Unit Calcs'!J33</f>
        <v>#VALUE!</v>
      </c>
      <c r="K2160" s="2479" t="e">
        <f t="shared" ref="K2160:K2178" si="387">ROUNDDOWN(J2160*H2160,0)</f>
        <v>#VALUE!</v>
      </c>
      <c r="L2160" s="2472"/>
      <c r="M2160" s="2472"/>
    </row>
    <row r="2161" spans="2:14" s="2455" customFormat="1" ht="12.75" customHeight="1">
      <c r="B2161" s="2473">
        <f>'Part X - HOME NHTF Unit Calcs'!B34</f>
        <v>0</v>
      </c>
      <c r="C2161" s="2473">
        <f>'Part X - HOME NHTF Unit Calcs'!C34</f>
        <v>0</v>
      </c>
      <c r="D2161" s="2474">
        <f>'Part X - HOME NHTF Unit Calcs'!D34</f>
        <v>0</v>
      </c>
      <c r="E2161" s="2475">
        <f>'Part X - HOME NHTF Unit Calcs'!E34</f>
        <v>0</v>
      </c>
      <c r="F2161" s="2475"/>
      <c r="G2161" s="2476" t="e">
        <f>'Part X - HOME NHTF Unit Calcs'!G34</f>
        <v>#VALUE!</v>
      </c>
      <c r="H2161" s="2477" t="e">
        <f t="shared" ref="H2161:H2178" si="388">ROUNDUP(G2161,0)</f>
        <v>#VALUE!</v>
      </c>
      <c r="I2161" s="2478"/>
      <c r="J2161" s="2479" t="e">
        <f>'Part X - HOME NHTF Unit Calcs'!J34</f>
        <v>#VALUE!</v>
      </c>
      <c r="K2161" s="2479" t="e">
        <f t="shared" si="387"/>
        <v>#VALUE!</v>
      </c>
      <c r="L2161" s="2472"/>
      <c r="M2161" s="2472"/>
    </row>
    <row r="2162" spans="2:14" s="2455" customFormat="1" ht="12.75" customHeight="1">
      <c r="B2162" s="2473">
        <f>'Part X - HOME NHTF Unit Calcs'!B35</f>
        <v>0</v>
      </c>
      <c r="C2162" s="2473">
        <f>'Part X - HOME NHTF Unit Calcs'!C35</f>
        <v>0</v>
      </c>
      <c r="D2162" s="2474">
        <f>'Part X - HOME NHTF Unit Calcs'!D35</f>
        <v>0</v>
      </c>
      <c r="E2162" s="2475">
        <f>'Part X - HOME NHTF Unit Calcs'!E35</f>
        <v>0</v>
      </c>
      <c r="F2162" s="2475"/>
      <c r="G2162" s="2476" t="e">
        <f>'Part X - HOME NHTF Unit Calcs'!G35</f>
        <v>#VALUE!</v>
      </c>
      <c r="H2162" s="2477" t="e">
        <f t="shared" si="388"/>
        <v>#VALUE!</v>
      </c>
      <c r="I2162" s="2478"/>
      <c r="J2162" s="2479" t="e">
        <f>'Part X - HOME NHTF Unit Calcs'!J35</f>
        <v>#VALUE!</v>
      </c>
      <c r="K2162" s="2479" t="e">
        <f t="shared" si="387"/>
        <v>#VALUE!</v>
      </c>
      <c r="L2162" s="2472"/>
      <c r="M2162" s="2472"/>
    </row>
    <row r="2163" spans="2:14" s="2455" customFormat="1" ht="12.75" customHeight="1">
      <c r="B2163" s="2473">
        <f>'Part X - HOME NHTF Unit Calcs'!B36</f>
        <v>0</v>
      </c>
      <c r="C2163" s="2473">
        <f>'Part X - HOME NHTF Unit Calcs'!C36</f>
        <v>0</v>
      </c>
      <c r="D2163" s="2474">
        <f>'Part X - HOME NHTF Unit Calcs'!D36</f>
        <v>0</v>
      </c>
      <c r="E2163" s="2475">
        <f>'Part X - HOME NHTF Unit Calcs'!E36</f>
        <v>0</v>
      </c>
      <c r="F2163" s="2475"/>
      <c r="G2163" s="2476" t="e">
        <f>'Part X - HOME NHTF Unit Calcs'!G36</f>
        <v>#VALUE!</v>
      </c>
      <c r="H2163" s="2477" t="e">
        <f t="shared" si="388"/>
        <v>#VALUE!</v>
      </c>
      <c r="I2163" s="2478"/>
      <c r="J2163" s="2479" t="e">
        <f>'Part X - HOME NHTF Unit Calcs'!J36</f>
        <v>#VALUE!</v>
      </c>
      <c r="K2163" s="2479" t="e">
        <f t="shared" si="387"/>
        <v>#VALUE!</v>
      </c>
      <c r="L2163" s="2472"/>
      <c r="M2163" s="2472"/>
      <c r="N2163" s="2480"/>
    </row>
    <row r="2164" spans="2:14" s="2455" customFormat="1" ht="12.75" customHeight="1">
      <c r="B2164" s="2473">
        <f>'Part X - HOME NHTF Unit Calcs'!B37</f>
        <v>0</v>
      </c>
      <c r="C2164" s="2473">
        <f>'Part X - HOME NHTF Unit Calcs'!C37</f>
        <v>0</v>
      </c>
      <c r="D2164" s="2474">
        <f>'Part X - HOME NHTF Unit Calcs'!D37</f>
        <v>0</v>
      </c>
      <c r="E2164" s="2475">
        <f>'Part X - HOME NHTF Unit Calcs'!E37</f>
        <v>0</v>
      </c>
      <c r="F2164" s="2475"/>
      <c r="G2164" s="2476" t="e">
        <f>'Part X - HOME NHTF Unit Calcs'!G37</f>
        <v>#VALUE!</v>
      </c>
      <c r="H2164" s="2477" t="e">
        <f t="shared" si="388"/>
        <v>#VALUE!</v>
      </c>
      <c r="I2164" s="2478"/>
      <c r="J2164" s="2479" t="e">
        <f>'Part X - HOME NHTF Unit Calcs'!J37</f>
        <v>#VALUE!</v>
      </c>
      <c r="K2164" s="2479" t="e">
        <f t="shared" si="387"/>
        <v>#VALUE!</v>
      </c>
      <c r="L2164" s="2472"/>
      <c r="M2164" s="2472"/>
    </row>
    <row r="2165" spans="2:14" s="2455" customFormat="1" ht="12.75" customHeight="1">
      <c r="B2165" s="2473">
        <f>'Part X - HOME NHTF Unit Calcs'!B38</f>
        <v>0</v>
      </c>
      <c r="C2165" s="2473">
        <f>'Part X - HOME NHTF Unit Calcs'!C38</f>
        <v>0</v>
      </c>
      <c r="D2165" s="2474">
        <f>'Part X - HOME NHTF Unit Calcs'!D38</f>
        <v>0</v>
      </c>
      <c r="E2165" s="2475">
        <f>'Part X - HOME NHTF Unit Calcs'!E38</f>
        <v>0</v>
      </c>
      <c r="F2165" s="2475"/>
      <c r="G2165" s="2476" t="e">
        <f>'Part X - HOME NHTF Unit Calcs'!G38</f>
        <v>#VALUE!</v>
      </c>
      <c r="H2165" s="2477" t="e">
        <f t="shared" si="388"/>
        <v>#VALUE!</v>
      </c>
      <c r="I2165" s="2478"/>
      <c r="J2165" s="2479" t="e">
        <f>'Part X - HOME NHTF Unit Calcs'!J38</f>
        <v>#VALUE!</v>
      </c>
      <c r="K2165" s="2479" t="e">
        <f t="shared" si="387"/>
        <v>#VALUE!</v>
      </c>
      <c r="L2165" s="2472"/>
      <c r="M2165" s="2472"/>
    </row>
    <row r="2166" spans="2:14" s="2455" customFormat="1" ht="12.75" customHeight="1">
      <c r="B2166" s="2473">
        <f>'Part X - HOME NHTF Unit Calcs'!B39</f>
        <v>0</v>
      </c>
      <c r="C2166" s="2473">
        <f>'Part X - HOME NHTF Unit Calcs'!C39</f>
        <v>0</v>
      </c>
      <c r="D2166" s="2474">
        <f>'Part X - HOME NHTF Unit Calcs'!D39</f>
        <v>0</v>
      </c>
      <c r="E2166" s="2475">
        <f>'Part X - HOME NHTF Unit Calcs'!E39</f>
        <v>0</v>
      </c>
      <c r="F2166" s="2475"/>
      <c r="G2166" s="2476" t="e">
        <f>'Part X - HOME NHTF Unit Calcs'!G39</f>
        <v>#VALUE!</v>
      </c>
      <c r="H2166" s="2477" t="e">
        <f t="shared" si="388"/>
        <v>#VALUE!</v>
      </c>
      <c r="I2166" s="2478"/>
      <c r="J2166" s="2479" t="e">
        <f>'Part X - HOME NHTF Unit Calcs'!J39</f>
        <v>#VALUE!</v>
      </c>
      <c r="K2166" s="2479" t="e">
        <f t="shared" si="387"/>
        <v>#VALUE!</v>
      </c>
      <c r="L2166" s="2472"/>
      <c r="M2166" s="2472"/>
    </row>
    <row r="2167" spans="2:14" s="2455" customFormat="1" ht="12.75" customHeight="1">
      <c r="B2167" s="2473">
        <f>'Part X - HOME NHTF Unit Calcs'!B40</f>
        <v>0</v>
      </c>
      <c r="C2167" s="2473">
        <f>'Part X - HOME NHTF Unit Calcs'!C40</f>
        <v>0</v>
      </c>
      <c r="D2167" s="2474">
        <f>'Part X - HOME NHTF Unit Calcs'!D40</f>
        <v>0</v>
      </c>
      <c r="E2167" s="2475">
        <f>'Part X - HOME NHTF Unit Calcs'!E40</f>
        <v>0</v>
      </c>
      <c r="F2167" s="2475"/>
      <c r="G2167" s="2476" t="e">
        <f>'Part X - HOME NHTF Unit Calcs'!G40</f>
        <v>#VALUE!</v>
      </c>
      <c r="H2167" s="2477" t="e">
        <f t="shared" si="388"/>
        <v>#VALUE!</v>
      </c>
      <c r="I2167" s="2478"/>
      <c r="J2167" s="2479" t="e">
        <f>'Part X - HOME NHTF Unit Calcs'!J40</f>
        <v>#VALUE!</v>
      </c>
      <c r="K2167" s="2479" t="e">
        <f t="shared" si="387"/>
        <v>#VALUE!</v>
      </c>
      <c r="L2167" s="2472"/>
      <c r="M2167" s="2472"/>
    </row>
    <row r="2168" spans="2:14" s="2455" customFormat="1" ht="12.75" customHeight="1">
      <c r="B2168" s="2473">
        <f>'Part X - HOME NHTF Unit Calcs'!B41</f>
        <v>0</v>
      </c>
      <c r="C2168" s="2473">
        <f>'Part X - HOME NHTF Unit Calcs'!C41</f>
        <v>0</v>
      </c>
      <c r="D2168" s="2474">
        <f>'Part X - HOME NHTF Unit Calcs'!D41</f>
        <v>0</v>
      </c>
      <c r="E2168" s="2475">
        <f>'Part X - HOME NHTF Unit Calcs'!E41</f>
        <v>0</v>
      </c>
      <c r="F2168" s="2475"/>
      <c r="G2168" s="2476" t="e">
        <f>'Part X - HOME NHTF Unit Calcs'!G41</f>
        <v>#VALUE!</v>
      </c>
      <c r="H2168" s="2477" t="e">
        <f t="shared" si="388"/>
        <v>#VALUE!</v>
      </c>
      <c r="I2168" s="2478"/>
      <c r="J2168" s="2479" t="e">
        <f>'Part X - HOME NHTF Unit Calcs'!J41</f>
        <v>#VALUE!</v>
      </c>
      <c r="K2168" s="2479" t="e">
        <f t="shared" si="387"/>
        <v>#VALUE!</v>
      </c>
      <c r="L2168" s="2472"/>
      <c r="M2168" s="2472"/>
    </row>
    <row r="2169" spans="2:14" s="2455" customFormat="1" ht="12.75" customHeight="1">
      <c r="B2169" s="2473">
        <f>'Part X - HOME NHTF Unit Calcs'!B42</f>
        <v>0</v>
      </c>
      <c r="C2169" s="2473">
        <f>'Part X - HOME NHTF Unit Calcs'!C42</f>
        <v>0</v>
      </c>
      <c r="D2169" s="2474">
        <f>'Part X - HOME NHTF Unit Calcs'!D42</f>
        <v>0</v>
      </c>
      <c r="E2169" s="2475">
        <f>'Part X - HOME NHTF Unit Calcs'!E42</f>
        <v>0</v>
      </c>
      <c r="F2169" s="2475"/>
      <c r="G2169" s="2476" t="e">
        <f>'Part X - HOME NHTF Unit Calcs'!G42</f>
        <v>#VALUE!</v>
      </c>
      <c r="H2169" s="2477" t="e">
        <f t="shared" si="388"/>
        <v>#VALUE!</v>
      </c>
      <c r="I2169" s="2478"/>
      <c r="J2169" s="2479" t="e">
        <f>'Part X - HOME NHTF Unit Calcs'!J42</f>
        <v>#VALUE!</v>
      </c>
      <c r="K2169" s="2479" t="e">
        <f t="shared" si="387"/>
        <v>#VALUE!</v>
      </c>
      <c r="L2169" s="2472"/>
      <c r="M2169" s="2472"/>
    </row>
    <row r="2170" spans="2:14" s="2455" customFormat="1" ht="12.75" customHeight="1">
      <c r="B2170" s="2473">
        <f>'Part X - HOME NHTF Unit Calcs'!B43</f>
        <v>0</v>
      </c>
      <c r="C2170" s="2473">
        <f>'Part X - HOME NHTF Unit Calcs'!C43</f>
        <v>0</v>
      </c>
      <c r="D2170" s="2474">
        <f>'Part X - HOME NHTF Unit Calcs'!D43</f>
        <v>0</v>
      </c>
      <c r="E2170" s="2475">
        <f>'Part X - HOME NHTF Unit Calcs'!E43</f>
        <v>0</v>
      </c>
      <c r="F2170" s="2475"/>
      <c r="G2170" s="2476" t="e">
        <f>'Part X - HOME NHTF Unit Calcs'!G43</f>
        <v>#VALUE!</v>
      </c>
      <c r="H2170" s="2477" t="e">
        <f t="shared" si="388"/>
        <v>#VALUE!</v>
      </c>
      <c r="I2170" s="2478"/>
      <c r="J2170" s="2479" t="e">
        <f>'Part X - HOME NHTF Unit Calcs'!J43</f>
        <v>#VALUE!</v>
      </c>
      <c r="K2170" s="2479" t="e">
        <f t="shared" si="387"/>
        <v>#VALUE!</v>
      </c>
      <c r="L2170" s="2472"/>
      <c r="M2170" s="2472"/>
    </row>
    <row r="2171" spans="2:14" s="2455" customFormat="1" ht="12.75" customHeight="1">
      <c r="B2171" s="2473">
        <f>'Part X - HOME NHTF Unit Calcs'!B44</f>
        <v>0</v>
      </c>
      <c r="C2171" s="2473">
        <f>'Part X - HOME NHTF Unit Calcs'!C44</f>
        <v>0</v>
      </c>
      <c r="D2171" s="2474">
        <f>'Part X - HOME NHTF Unit Calcs'!D44</f>
        <v>0</v>
      </c>
      <c r="E2171" s="2475">
        <f>'Part X - HOME NHTF Unit Calcs'!E44</f>
        <v>0</v>
      </c>
      <c r="F2171" s="2475"/>
      <c r="G2171" s="2476" t="e">
        <f>'Part X - HOME NHTF Unit Calcs'!G44</f>
        <v>#VALUE!</v>
      </c>
      <c r="H2171" s="2477" t="e">
        <f t="shared" si="388"/>
        <v>#VALUE!</v>
      </c>
      <c r="I2171" s="2478"/>
      <c r="J2171" s="2479" t="e">
        <f>'Part X - HOME NHTF Unit Calcs'!J44</f>
        <v>#VALUE!</v>
      </c>
      <c r="K2171" s="2479" t="e">
        <f t="shared" si="387"/>
        <v>#VALUE!</v>
      </c>
      <c r="L2171" s="2472"/>
      <c r="M2171" s="2472"/>
    </row>
    <row r="2172" spans="2:14" s="2455" customFormat="1" ht="12.75" customHeight="1">
      <c r="B2172" s="2473">
        <f>'Part X - HOME NHTF Unit Calcs'!B45</f>
        <v>0</v>
      </c>
      <c r="C2172" s="2473">
        <f>'Part X - HOME NHTF Unit Calcs'!C45</f>
        <v>0</v>
      </c>
      <c r="D2172" s="2474">
        <f>'Part X - HOME NHTF Unit Calcs'!D45</f>
        <v>0</v>
      </c>
      <c r="E2172" s="2475">
        <f>'Part X - HOME NHTF Unit Calcs'!E45</f>
        <v>0</v>
      </c>
      <c r="F2172" s="2475"/>
      <c r="G2172" s="2476" t="e">
        <f>'Part X - HOME NHTF Unit Calcs'!G45</f>
        <v>#VALUE!</v>
      </c>
      <c r="H2172" s="2477" t="e">
        <f t="shared" si="388"/>
        <v>#VALUE!</v>
      </c>
      <c r="I2172" s="2478"/>
      <c r="J2172" s="2479" t="e">
        <f>'Part X - HOME NHTF Unit Calcs'!J45</f>
        <v>#VALUE!</v>
      </c>
      <c r="K2172" s="2479" t="e">
        <f t="shared" si="387"/>
        <v>#VALUE!</v>
      </c>
      <c r="L2172" s="2472"/>
      <c r="M2172" s="2472"/>
    </row>
    <row r="2173" spans="2:14" s="2455" customFormat="1" ht="12.75" customHeight="1">
      <c r="B2173" s="2473">
        <f>'Part X - HOME NHTF Unit Calcs'!B46</f>
        <v>0</v>
      </c>
      <c r="C2173" s="2473">
        <f>'Part X - HOME NHTF Unit Calcs'!C46</f>
        <v>0</v>
      </c>
      <c r="D2173" s="2474">
        <f>'Part X - HOME NHTF Unit Calcs'!D46</f>
        <v>0</v>
      </c>
      <c r="E2173" s="2475">
        <f>'Part X - HOME NHTF Unit Calcs'!E46</f>
        <v>0</v>
      </c>
      <c r="F2173" s="2475"/>
      <c r="G2173" s="2476" t="e">
        <f>'Part X - HOME NHTF Unit Calcs'!G46</f>
        <v>#VALUE!</v>
      </c>
      <c r="H2173" s="2477" t="e">
        <f t="shared" si="388"/>
        <v>#VALUE!</v>
      </c>
      <c r="I2173" s="2478"/>
      <c r="J2173" s="2479" t="e">
        <f>'Part X - HOME NHTF Unit Calcs'!J46</f>
        <v>#VALUE!</v>
      </c>
      <c r="K2173" s="2479" t="e">
        <f t="shared" si="387"/>
        <v>#VALUE!</v>
      </c>
      <c r="L2173" s="2472"/>
      <c r="M2173" s="2472"/>
    </row>
    <row r="2174" spans="2:14" s="2455" customFormat="1" ht="12.75" customHeight="1">
      <c r="B2174" s="2473">
        <f>'Part X - HOME NHTF Unit Calcs'!B47</f>
        <v>0</v>
      </c>
      <c r="C2174" s="2473">
        <f>'Part X - HOME NHTF Unit Calcs'!C47</f>
        <v>0</v>
      </c>
      <c r="D2174" s="2474">
        <f>'Part X - HOME NHTF Unit Calcs'!D47</f>
        <v>0</v>
      </c>
      <c r="E2174" s="2475">
        <f>'Part X - HOME NHTF Unit Calcs'!E47</f>
        <v>0</v>
      </c>
      <c r="F2174" s="2475"/>
      <c r="G2174" s="2476" t="e">
        <f>'Part X - HOME NHTF Unit Calcs'!G47</f>
        <v>#VALUE!</v>
      </c>
      <c r="H2174" s="2477" t="e">
        <f t="shared" si="388"/>
        <v>#VALUE!</v>
      </c>
      <c r="I2174" s="2478"/>
      <c r="J2174" s="2479" t="e">
        <f>'Part X - HOME NHTF Unit Calcs'!J47</f>
        <v>#VALUE!</v>
      </c>
      <c r="K2174" s="2479" t="e">
        <f t="shared" si="387"/>
        <v>#VALUE!</v>
      </c>
      <c r="L2174" s="2472"/>
      <c r="M2174" s="2472"/>
    </row>
    <row r="2175" spans="2:14" s="2455" customFormat="1" ht="12.75" customHeight="1">
      <c r="B2175" s="2473">
        <f>'Part X - HOME NHTF Unit Calcs'!B48</f>
        <v>0</v>
      </c>
      <c r="C2175" s="2473">
        <f>'Part X - HOME NHTF Unit Calcs'!C48</f>
        <v>0</v>
      </c>
      <c r="D2175" s="2474">
        <f>'Part X - HOME NHTF Unit Calcs'!D48</f>
        <v>0</v>
      </c>
      <c r="E2175" s="2475">
        <f>'Part X - HOME NHTF Unit Calcs'!E48</f>
        <v>0</v>
      </c>
      <c r="F2175" s="2475"/>
      <c r="G2175" s="2476" t="e">
        <f>'Part X - HOME NHTF Unit Calcs'!G48</f>
        <v>#VALUE!</v>
      </c>
      <c r="H2175" s="2477" t="e">
        <f t="shared" si="388"/>
        <v>#VALUE!</v>
      </c>
      <c r="I2175" s="2478"/>
      <c r="J2175" s="2479" t="e">
        <f>'Part X - HOME NHTF Unit Calcs'!J48</f>
        <v>#VALUE!</v>
      </c>
      <c r="K2175" s="2479" t="e">
        <f t="shared" si="387"/>
        <v>#VALUE!</v>
      </c>
      <c r="L2175" s="2472"/>
      <c r="M2175" s="2472"/>
    </row>
    <row r="2176" spans="2:14" s="2455" customFormat="1" ht="12.75" customHeight="1">
      <c r="B2176" s="2473">
        <f>'Part X - HOME NHTF Unit Calcs'!B49</f>
        <v>0</v>
      </c>
      <c r="C2176" s="2473">
        <f>'Part X - HOME NHTF Unit Calcs'!C49</f>
        <v>0</v>
      </c>
      <c r="D2176" s="2474">
        <f>'Part X - HOME NHTF Unit Calcs'!D49</f>
        <v>0</v>
      </c>
      <c r="E2176" s="2475">
        <f>'Part X - HOME NHTF Unit Calcs'!E49</f>
        <v>0</v>
      </c>
      <c r="F2176" s="2475"/>
      <c r="G2176" s="2476" t="e">
        <f>'Part X - HOME NHTF Unit Calcs'!G49</f>
        <v>#VALUE!</v>
      </c>
      <c r="H2176" s="2477" t="e">
        <f t="shared" si="388"/>
        <v>#VALUE!</v>
      </c>
      <c r="I2176" s="2478"/>
      <c r="J2176" s="2479" t="e">
        <f>'Part X - HOME NHTF Unit Calcs'!J49</f>
        <v>#VALUE!</v>
      </c>
      <c r="K2176" s="2479" t="e">
        <f t="shared" si="387"/>
        <v>#VALUE!</v>
      </c>
      <c r="L2176" s="2472"/>
      <c r="M2176" s="2472"/>
    </row>
    <row r="2177" spans="1:13" s="2455" customFormat="1" ht="12.75" customHeight="1">
      <c r="B2177" s="2473">
        <f>'Part X - HOME NHTF Unit Calcs'!B50</f>
        <v>0</v>
      </c>
      <c r="C2177" s="2473">
        <f>'Part X - HOME NHTF Unit Calcs'!C50</f>
        <v>0</v>
      </c>
      <c r="D2177" s="2474">
        <f>'Part X - HOME NHTF Unit Calcs'!D50</f>
        <v>0</v>
      </c>
      <c r="E2177" s="2475">
        <f>'Part X - HOME NHTF Unit Calcs'!E50</f>
        <v>0</v>
      </c>
      <c r="F2177" s="2475"/>
      <c r="G2177" s="2476" t="e">
        <f>'Part X - HOME NHTF Unit Calcs'!G50</f>
        <v>#VALUE!</v>
      </c>
      <c r="H2177" s="2477" t="e">
        <f t="shared" si="388"/>
        <v>#VALUE!</v>
      </c>
      <c r="I2177" s="2478"/>
      <c r="J2177" s="2479" t="e">
        <f>'Part X - HOME NHTF Unit Calcs'!J50</f>
        <v>#VALUE!</v>
      </c>
      <c r="K2177" s="2479" t="e">
        <f t="shared" si="387"/>
        <v>#VALUE!</v>
      </c>
      <c r="L2177" s="2472"/>
      <c r="M2177" s="2472"/>
    </row>
    <row r="2178" spans="1:13" s="2455" customFormat="1" ht="12.75" customHeight="1">
      <c r="B2178" s="2473">
        <f>'Part X - HOME NHTF Unit Calcs'!B51</f>
        <v>0</v>
      </c>
      <c r="C2178" s="2473">
        <f>'Part X - HOME NHTF Unit Calcs'!C51</f>
        <v>0</v>
      </c>
      <c r="D2178" s="2474">
        <f>'Part X - HOME NHTF Unit Calcs'!D51</f>
        <v>0</v>
      </c>
      <c r="E2178" s="2475">
        <f>'Part X - HOME NHTF Unit Calcs'!E51</f>
        <v>0</v>
      </c>
      <c r="F2178" s="2475"/>
      <c r="G2178" s="2476" t="e">
        <f>'Part X - HOME NHTF Unit Calcs'!G51</f>
        <v>#VALUE!</v>
      </c>
      <c r="H2178" s="2477" t="e">
        <f t="shared" si="388"/>
        <v>#VALUE!</v>
      </c>
      <c r="I2178" s="2478"/>
      <c r="J2178" s="2479" t="e">
        <f>'Part X - HOME NHTF Unit Calcs'!J51</f>
        <v>#VALUE!</v>
      </c>
      <c r="K2178" s="2479" t="e">
        <f t="shared" si="387"/>
        <v>#VALUE!</v>
      </c>
      <c r="L2178" s="2472"/>
      <c r="M2178" s="2472"/>
    </row>
    <row r="2179" spans="1:13" s="2455" customFormat="1" ht="15" customHeight="1">
      <c r="B2179" s="2481"/>
      <c r="D2179" s="2457"/>
      <c r="E2179" s="2457"/>
      <c r="F2179" s="2457"/>
      <c r="G2179" s="2482" t="s">
        <v>4192</v>
      </c>
      <c r="H2179" s="2483" t="e">
        <f>SUM(H2160:H2178)</f>
        <v>#VALUE!</v>
      </c>
      <c r="I2179" s="2457"/>
      <c r="J2179" s="2481" t="s">
        <v>4193</v>
      </c>
      <c r="K2179" s="2463" t="e">
        <f>SUM(K2160:K2178)</f>
        <v>#VALUE!</v>
      </c>
      <c r="L2179" s="2472"/>
      <c r="M2179" s="2472"/>
    </row>
    <row r="2180" spans="1:13" s="2455" customFormat="1" ht="15" customHeight="1">
      <c r="B2180" s="2481"/>
      <c r="C2180" s="2457" t="s">
        <v>4194</v>
      </c>
      <c r="D2180" s="2457"/>
      <c r="E2180" s="2457"/>
      <c r="F2180" s="2457"/>
      <c r="G2180" s="2457"/>
      <c r="H2180" s="2457"/>
      <c r="I2180" s="2457"/>
      <c r="J2180" s="2457"/>
      <c r="K2180" s="2463" t="str">
        <f>IF(J2144="no",0,IF(J2144="yes",J2143,"Error"))</f>
        <v>Error</v>
      </c>
      <c r="L2180" s="2472"/>
      <c r="M2180" s="2472"/>
    </row>
    <row r="2181" spans="1:13" s="2455" customFormat="1" ht="15" customHeight="1">
      <c r="B2181" s="2481"/>
      <c r="C2181" s="2457" t="s">
        <v>4195</v>
      </c>
      <c r="D2181" s="2457"/>
      <c r="E2181" s="2457"/>
      <c r="F2181" s="2457"/>
      <c r="G2181" s="2457"/>
      <c r="H2181" s="2457"/>
      <c r="I2181" s="2457"/>
      <c r="J2181" s="2457"/>
      <c r="K2181" s="2463" t="e">
        <f>K2179+K2180</f>
        <v>#VALUE!</v>
      </c>
    </row>
    <row r="2182" spans="1:13" s="2455" customFormat="1" ht="7.9" customHeight="1"/>
    <row r="2183" spans="1:13" s="2455" customFormat="1" ht="15" customHeight="1">
      <c r="A2183" s="2455" t="s">
        <v>4196</v>
      </c>
    </row>
    <row r="2184" spans="1:13" s="2455" customFormat="1" ht="48" customHeight="1">
      <c r="C2184" s="2466" t="s">
        <v>4197</v>
      </c>
      <c r="D2184" s="2466" t="s">
        <v>6272</v>
      </c>
      <c r="E2184" s="2455" t="s">
        <v>4213</v>
      </c>
      <c r="G2184" s="2471" t="s">
        <v>4198</v>
      </c>
      <c r="H2184" s="2471"/>
      <c r="I2184" s="2455" t="s">
        <v>4212</v>
      </c>
    </row>
    <row r="2185" spans="1:13" s="2455" customFormat="1" ht="15" customHeight="1">
      <c r="A2185" s="2466"/>
      <c r="C2185" s="2484" t="e">
        <f>SUMIF(C2160:C2178, "0", H2160:H2178)</f>
        <v>#VALUE!</v>
      </c>
      <c r="D2185" s="2466" t="e">
        <f t="shared" ref="D2185:D2190" si="389">ROUNDUP(C2185*1.1,0)</f>
        <v>#VALUE!</v>
      </c>
      <c r="E2185" s="2457" t="s">
        <v>4199</v>
      </c>
      <c r="F2185" s="2457"/>
      <c r="G2185" s="2485">
        <v>153314.4</v>
      </c>
      <c r="H2185" s="2485"/>
      <c r="I2185" s="2486" t="e">
        <f t="shared" ref="I2185:I2190" si="390">D2185*G2185</f>
        <v>#VALUE!</v>
      </c>
      <c r="J2185" s="2486"/>
    </row>
    <row r="2186" spans="1:13" s="2455" customFormat="1" ht="16.5">
      <c r="A2186" s="2466"/>
      <c r="C2186" s="2484">
        <f>SUMIF(C2160:C2178, "1", H2160:H2178)</f>
        <v>0</v>
      </c>
      <c r="D2186" s="2466">
        <f t="shared" si="389"/>
        <v>0</v>
      </c>
      <c r="E2186" s="2457" t="s">
        <v>2558</v>
      </c>
      <c r="F2186" s="2457"/>
      <c r="G2186" s="2485">
        <v>175752</v>
      </c>
      <c r="H2186" s="2485"/>
      <c r="I2186" s="2486">
        <f t="shared" si="390"/>
        <v>0</v>
      </c>
      <c r="J2186" s="2486"/>
    </row>
    <row r="2187" spans="1:13" s="2455" customFormat="1" ht="15" customHeight="1">
      <c r="A2187" s="2466"/>
      <c r="C2187" s="2484">
        <f>SUMIF(C2160:C2178, "2", H2160:H2178)</f>
        <v>0</v>
      </c>
      <c r="D2187" s="2466">
        <f t="shared" si="389"/>
        <v>0</v>
      </c>
      <c r="E2187" s="2457" t="s">
        <v>2559</v>
      </c>
      <c r="F2187" s="2457"/>
      <c r="G2187" s="2485">
        <v>213717.6</v>
      </c>
      <c r="H2187" s="2485"/>
      <c r="I2187" s="2486">
        <f t="shared" si="390"/>
        <v>0</v>
      </c>
      <c r="J2187" s="2486"/>
    </row>
    <row r="2188" spans="1:13" s="2455" customFormat="1" ht="16.5">
      <c r="A2188" s="2466"/>
      <c r="C2188" s="2484">
        <f>SUMIF(C2160:C2178, "3", H2160:H2178)</f>
        <v>0</v>
      </c>
      <c r="D2188" s="2466">
        <f t="shared" si="389"/>
        <v>0</v>
      </c>
      <c r="E2188" s="2457" t="s">
        <v>2562</v>
      </c>
      <c r="F2188" s="2457"/>
      <c r="G2188" s="2485">
        <v>276482.40000000002</v>
      </c>
      <c r="H2188" s="2485"/>
      <c r="I2188" s="2486">
        <f t="shared" si="390"/>
        <v>0</v>
      </c>
      <c r="J2188" s="2486"/>
    </row>
    <row r="2189" spans="1:13" s="2455" customFormat="1" ht="16.5">
      <c r="A2189" s="2466"/>
      <c r="C2189" s="2484">
        <f>SUMIF(C2160:C2178, "4", H2160:H2178)</f>
        <v>0</v>
      </c>
      <c r="D2189" s="2466">
        <f t="shared" si="389"/>
        <v>0</v>
      </c>
      <c r="E2189" s="2457" t="s">
        <v>4200</v>
      </c>
      <c r="F2189" s="2457"/>
      <c r="G2189" s="2485">
        <v>303489.59999999998</v>
      </c>
      <c r="H2189" s="2485"/>
      <c r="I2189" s="2486">
        <f t="shared" si="390"/>
        <v>0</v>
      </c>
      <c r="J2189" s="2486"/>
    </row>
    <row r="2190" spans="1:13" s="2455" customFormat="1" ht="16.5">
      <c r="A2190" s="2466"/>
      <c r="C2190" s="2484">
        <f>SUMIF(C2160:C2178, "5", H2160:H2178)</f>
        <v>0</v>
      </c>
      <c r="D2190" s="2466">
        <f t="shared" si="389"/>
        <v>0</v>
      </c>
      <c r="E2190" s="2457" t="s">
        <v>4201</v>
      </c>
      <c r="F2190" s="2457"/>
      <c r="G2190" s="2485">
        <v>303489.59999999998</v>
      </c>
      <c r="H2190" s="2485"/>
      <c r="I2190" s="2486">
        <f t="shared" si="390"/>
        <v>0</v>
      </c>
      <c r="J2190" s="2486"/>
    </row>
    <row r="2191" spans="1:13" s="2455" customFormat="1" ht="16.5">
      <c r="A2191" s="2466" t="s">
        <v>4202</v>
      </c>
      <c r="B2191" s="2483" t="e">
        <f>SUM(C2185:C2190)</f>
        <v>#VALUE!</v>
      </c>
      <c r="C2191" s="2466"/>
      <c r="D2191" s="2466" t="e">
        <f>SUM(D2185:D2190)</f>
        <v>#VALUE!</v>
      </c>
      <c r="J2191" s="2482" t="s">
        <v>4203</v>
      </c>
      <c r="K2191" s="2487" t="e">
        <f>SUM(I2185:I2189)</f>
        <v>#VALUE!</v>
      </c>
    </row>
    <row r="2192" spans="1:13" s="2455" customFormat="1" ht="16.5"/>
    <row r="2193" spans="1:11" s="2455" customFormat="1" ht="16.5">
      <c r="A2193" s="2455" t="s">
        <v>4204</v>
      </c>
    </row>
    <row r="2194" spans="1:11" s="2455" customFormat="1" ht="15" customHeight="1">
      <c r="A2194" s="2466"/>
      <c r="E2194" s="2455" t="s">
        <v>4205</v>
      </c>
      <c r="K2194" s="2471">
        <f>J2138</f>
        <v>0</v>
      </c>
    </row>
    <row r="2195" spans="1:11" s="2455" customFormat="1" ht="16.5">
      <c r="A2195" s="2466"/>
      <c r="E2195" s="2455" t="s">
        <v>4206</v>
      </c>
      <c r="K2195" s="2471" t="e">
        <f>K2181</f>
        <v>#VALUE!</v>
      </c>
    </row>
    <row r="2196" spans="1:11" s="2455" customFormat="1" ht="16.5">
      <c r="A2196" s="2466"/>
      <c r="E2196" s="2455" t="s">
        <v>4207</v>
      </c>
      <c r="K2196" s="2471" t="e">
        <f>K2191</f>
        <v>#VALUE!</v>
      </c>
    </row>
    <row r="2197" spans="1:11" s="2455" customFormat="1" ht="16.5">
      <c r="A2197" s="2466"/>
      <c r="C2197" s="2457" t="s">
        <v>4208</v>
      </c>
      <c r="D2197" s="2457"/>
      <c r="E2197" s="2457"/>
      <c r="F2197" s="2457"/>
      <c r="G2197" s="2457"/>
      <c r="H2197" s="2457"/>
      <c r="I2197" s="2457"/>
      <c r="J2197" s="2457"/>
      <c r="K2197" s="2488" t="e">
        <f>IF(ISBLANK(J2138),MIN(K2195:K2196),MIN(K2194:K2196))</f>
        <v>#VALUE!</v>
      </c>
    </row>
    <row r="2198" spans="1:11" s="2455" customFormat="1" ht="16.5"/>
    <row r="2199" spans="1:11" s="2455" customFormat="1" ht="16.5"/>
    <row r="2200" spans="1:11" s="2455" customFormat="1" ht="16.5"/>
    <row r="2201" spans="1:11" s="2455" customFormat="1" ht="16.5"/>
  </sheetData>
  <sheetProtection algorithmName="SHA-512" hashValue="kw6cqndGwfYuGFdfCnkYgsT4lCpQ8FusPpxtzD6PEO5FztHwZDpKnJI+yzj1W/m/L606xNu/r9oTvBOZ1GsDKg==" saltValue="h9YelsddH0gEoyt+3HJD1g==" spinCount="100000" sheet="1" objects="1" scenarios="1"/>
  <mergeCells count="4">
    <mergeCell ref="X1750:Y1750"/>
    <mergeCell ref="Z1750:AA1750"/>
    <mergeCell ref="AC1750:AD1750"/>
    <mergeCell ref="AE1750:AF1750"/>
  </mergeCells>
  <dataValidations count="1">
    <dataValidation type="list" allowBlank="1" showInputMessage="1" showErrorMessage="1" sqref="Z1750 AE1750" xr:uid="{ADBB4344-F685-4DDE-B40B-B3C048CCE7F4}">
      <formula1>"0,1"</formula1>
    </dataValidation>
  </dataValidations>
  <hyperlinks>
    <hyperlink ref="N68" r:id="rId1" xr:uid="{66553D50-5814-4615-86A3-5DC3FBE35D6B}"/>
    <hyperlink ref="N69" r:id="rId2" xr:uid="{DA3AE968-DB36-4366-83D5-CD4A874A0989}"/>
    <hyperlink ref="N258" r:id="rId3" xr:uid="{18993A47-BC91-4585-A0A9-4410288FF23C}"/>
    <hyperlink ref="N1546" r:id="rId4" xr:uid="{88B6D25F-5B3F-423B-9787-90CF78FCF53C}"/>
  </hyperlinks>
  <pageMargins left="0.7" right="0.7" top="0.75" bottom="0.75" header="0.3" footer="0.3"/>
  <pageSetup orientation="portrait" r:id="rId5"/>
  <drawing r:id="rId6"/>
  <legacyDrawing r:id="rId7"/>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sqref="A1:XFD1048576"/>
    </sheetView>
  </sheetViews>
  <sheetFormatPr defaultColWidth="8.85546875" defaultRowHeight="15.75"/>
  <cols>
    <col min="1" max="1" width="2.140625" style="3121" customWidth="1"/>
    <col min="2" max="13" width="7.85546875" style="3121" customWidth="1"/>
    <col min="14" max="15" width="5.85546875" style="3121" customWidth="1"/>
    <col min="16" max="16384" width="8.85546875" style="3121"/>
  </cols>
  <sheetData>
    <row r="1" spans="1:26" ht="18">
      <c r="N1" s="3122" t="s">
        <v>1438</v>
      </c>
      <c r="O1" s="3122"/>
      <c r="P1" s="3122"/>
      <c r="Q1" s="3122"/>
      <c r="R1" s="3122"/>
      <c r="S1" s="3122"/>
      <c r="T1" s="3122"/>
      <c r="U1" s="3122"/>
      <c r="V1" s="3122"/>
      <c r="W1" s="3122"/>
      <c r="X1" s="3122"/>
      <c r="Y1" s="3122"/>
      <c r="Z1" s="3122"/>
    </row>
    <row r="2" spans="1:26">
      <c r="N2" s="3123" t="s">
        <v>1439</v>
      </c>
      <c r="O2" s="3123"/>
      <c r="P2" s="3123"/>
      <c r="Q2" s="3123"/>
      <c r="R2" s="3123"/>
      <c r="S2" s="3123"/>
      <c r="T2" s="3123"/>
      <c r="U2" s="3123"/>
      <c r="V2" s="3123"/>
      <c r="W2" s="3123"/>
      <c r="X2" s="3123"/>
      <c r="Y2" s="3123"/>
      <c r="Z2" s="3123"/>
    </row>
    <row r="3" spans="1:26">
      <c r="N3" s="3124" t="s">
        <v>1440</v>
      </c>
      <c r="O3" s="3124"/>
      <c r="P3" s="3124"/>
      <c r="Q3" s="3124"/>
      <c r="R3" s="3124"/>
      <c r="S3" s="3124"/>
      <c r="T3" s="3124"/>
      <c r="U3" s="3124"/>
      <c r="V3" s="3124"/>
      <c r="W3" s="3124"/>
      <c r="X3" s="3124"/>
      <c r="Y3" s="3124"/>
      <c r="Z3" s="3124"/>
    </row>
    <row r="4" spans="1:26" ht="16.5">
      <c r="B4" s="3125"/>
      <c r="C4" s="3125"/>
      <c r="D4" s="3125"/>
      <c r="E4" s="3125"/>
      <c r="F4" s="3125"/>
      <c r="G4" s="3125"/>
      <c r="H4" s="3125"/>
      <c r="I4" s="3125"/>
      <c r="J4" s="3125"/>
      <c r="K4" s="3125"/>
      <c r="L4" s="3125"/>
      <c r="M4" s="3125"/>
      <c r="N4" s="3126" t="s">
        <v>672</v>
      </c>
    </row>
    <row r="5" spans="1:26" ht="59.25" customHeight="1">
      <c r="A5" s="4760" t="s">
        <v>2581</v>
      </c>
      <c r="B5" s="4760"/>
      <c r="C5" s="4760"/>
      <c r="D5" s="4760"/>
      <c r="E5" s="4760"/>
      <c r="F5" s="4760"/>
      <c r="G5" s="4760"/>
      <c r="H5" s="4760"/>
      <c r="I5" s="4760"/>
      <c r="J5" s="4760"/>
      <c r="K5" s="4760"/>
      <c r="L5" s="4760"/>
      <c r="M5" s="4760"/>
    </row>
    <row r="6" spans="1:26" ht="11.45" customHeight="1">
      <c r="A6" s="3125"/>
      <c r="B6" s="3125"/>
      <c r="C6" s="3125"/>
      <c r="D6" s="3125"/>
      <c r="E6" s="3125"/>
      <c r="F6" s="3125"/>
      <c r="G6" s="3125"/>
      <c r="H6" s="3125"/>
      <c r="I6" s="3125"/>
      <c r="J6" s="3125"/>
      <c r="K6" s="3125"/>
      <c r="L6" s="3125"/>
      <c r="M6" s="3125"/>
    </row>
    <row r="7" spans="1:26" ht="16.5">
      <c r="A7" s="3125" t="s">
        <v>677</v>
      </c>
      <c r="B7" s="3125"/>
      <c r="C7" s="3125"/>
      <c r="D7" s="3125"/>
      <c r="E7" s="3125"/>
      <c r="F7" s="3125"/>
      <c r="G7" s="3125"/>
      <c r="H7" s="3125"/>
      <c r="I7" s="3125"/>
      <c r="J7" s="3125"/>
      <c r="K7" s="3125"/>
      <c r="L7" s="3125"/>
      <c r="M7" s="3125"/>
    </row>
    <row r="8" spans="1:26" ht="11.45" customHeight="1">
      <c r="A8" s="3125"/>
      <c r="B8" s="3125"/>
      <c r="C8" s="3125"/>
      <c r="D8" s="3125"/>
      <c r="E8" s="3125"/>
      <c r="F8" s="3125"/>
      <c r="G8" s="3125"/>
      <c r="H8" s="3125"/>
      <c r="I8" s="3125"/>
      <c r="J8" s="3125"/>
      <c r="K8" s="3125"/>
      <c r="L8" s="3125"/>
      <c r="M8" s="3125"/>
    </row>
    <row r="9" spans="1:26" ht="16.5">
      <c r="A9" s="4757" t="s">
        <v>1816</v>
      </c>
      <c r="B9" s="4757"/>
      <c r="C9" s="4757"/>
      <c r="D9" s="4757"/>
      <c r="E9" s="4757"/>
      <c r="F9" s="4757"/>
      <c r="G9" s="4757"/>
      <c r="H9" s="4757"/>
      <c r="I9" s="4757"/>
      <c r="J9" s="4757"/>
      <c r="K9" s="4757"/>
      <c r="L9" s="4757"/>
      <c r="M9" s="4757"/>
    </row>
    <row r="10" spans="1:26" ht="6.75" customHeight="1">
      <c r="A10" s="4757"/>
      <c r="B10" s="4757"/>
      <c r="C10" s="4757"/>
      <c r="D10" s="4757"/>
      <c r="E10" s="4757"/>
      <c r="F10" s="4757"/>
      <c r="G10" s="4757"/>
      <c r="H10" s="4757"/>
      <c r="I10" s="4757"/>
      <c r="J10" s="4757"/>
      <c r="K10" s="4757"/>
      <c r="L10" s="4757"/>
      <c r="M10" s="4757"/>
    </row>
    <row r="11" spans="1:26" ht="44.25" customHeight="1">
      <c r="A11" s="4761" t="s">
        <v>6428</v>
      </c>
      <c r="B11" s="4761"/>
      <c r="C11" s="4761"/>
      <c r="D11" s="4761"/>
      <c r="E11" s="4761"/>
      <c r="F11" s="4761"/>
      <c r="G11" s="4761"/>
      <c r="H11" s="4761"/>
      <c r="I11" s="4761"/>
      <c r="J11" s="4761"/>
      <c r="K11" s="4761"/>
      <c r="L11" s="4761"/>
      <c r="M11" s="4761"/>
    </row>
    <row r="12" spans="1:26" ht="3" customHeight="1">
      <c r="A12" s="4757"/>
      <c r="B12" s="4757"/>
      <c r="C12" s="4757"/>
      <c r="D12" s="4757"/>
      <c r="E12" s="4757"/>
      <c r="F12" s="4757"/>
      <c r="G12" s="4757"/>
      <c r="H12" s="4757"/>
      <c r="I12" s="4757"/>
      <c r="J12" s="4757"/>
      <c r="K12" s="4757"/>
      <c r="L12" s="4757"/>
      <c r="M12" s="4757"/>
    </row>
    <row r="13" spans="1:26" ht="101.25" customHeight="1">
      <c r="A13" s="3127" t="s">
        <v>1658</v>
      </c>
      <c r="B13" s="4758" t="s">
        <v>3314</v>
      </c>
      <c r="C13" s="4758"/>
      <c r="D13" s="4758"/>
      <c r="E13" s="4758"/>
      <c r="F13" s="4758"/>
      <c r="G13" s="4758"/>
      <c r="H13" s="4758"/>
      <c r="I13" s="4758"/>
      <c r="J13" s="4758"/>
      <c r="K13" s="4758"/>
      <c r="L13" s="4758"/>
      <c r="M13" s="4758"/>
      <c r="U13" s="3121" t="s">
        <v>6575</v>
      </c>
    </row>
    <row r="14" spans="1:26" ht="47.25" customHeight="1">
      <c r="A14" s="3127" t="s">
        <v>1659</v>
      </c>
      <c r="B14" s="4758" t="s">
        <v>3315</v>
      </c>
      <c r="C14" s="4758"/>
      <c r="D14" s="4758"/>
      <c r="E14" s="4758"/>
      <c r="F14" s="4758"/>
      <c r="G14" s="4758"/>
      <c r="H14" s="4758"/>
      <c r="I14" s="4758"/>
      <c r="J14" s="4758"/>
      <c r="K14" s="4758"/>
      <c r="L14" s="4758"/>
      <c r="M14" s="4758"/>
    </row>
    <row r="15" spans="1:26" ht="117" customHeight="1">
      <c r="A15" s="3127" t="s">
        <v>1660</v>
      </c>
      <c r="B15" s="4758" t="s">
        <v>3316</v>
      </c>
      <c r="C15" s="4758"/>
      <c r="D15" s="4758"/>
      <c r="E15" s="4758"/>
      <c r="F15" s="4758"/>
      <c r="G15" s="4758"/>
      <c r="H15" s="4758"/>
      <c r="I15" s="4758"/>
      <c r="J15" s="4758"/>
      <c r="K15" s="4758"/>
      <c r="L15" s="4758"/>
      <c r="M15" s="4758"/>
    </row>
    <row r="16" spans="1:26" ht="147" customHeight="1">
      <c r="A16" s="3127" t="s">
        <v>2259</v>
      </c>
      <c r="B16" s="4758" t="s">
        <v>3189</v>
      </c>
      <c r="C16" s="4758"/>
      <c r="D16" s="4758"/>
      <c r="E16" s="4758"/>
      <c r="F16" s="4758"/>
      <c r="G16" s="4758"/>
      <c r="H16" s="4758"/>
      <c r="I16" s="4758"/>
      <c r="J16" s="4758"/>
      <c r="K16" s="4758"/>
      <c r="L16" s="4758"/>
      <c r="M16" s="4758"/>
    </row>
    <row r="17" spans="1:13" ht="48.75" customHeight="1">
      <c r="A17" s="3127" t="s">
        <v>1487</v>
      </c>
      <c r="B17" s="4758" t="s">
        <v>653</v>
      </c>
      <c r="C17" s="4758"/>
      <c r="D17" s="4758"/>
      <c r="E17" s="4758"/>
      <c r="F17" s="4758"/>
      <c r="G17" s="4758"/>
      <c r="H17" s="4758"/>
      <c r="I17" s="4758"/>
      <c r="J17" s="4758"/>
      <c r="K17" s="4758"/>
      <c r="L17" s="4758"/>
      <c r="M17" s="4758"/>
    </row>
    <row r="18" spans="1:13" ht="165" customHeight="1">
      <c r="A18" s="3127" t="s">
        <v>1488</v>
      </c>
      <c r="B18" s="4758" t="s">
        <v>3188</v>
      </c>
      <c r="C18" s="4758"/>
      <c r="D18" s="4758"/>
      <c r="E18" s="4758"/>
      <c r="F18" s="4758"/>
      <c r="G18" s="4758"/>
      <c r="H18" s="4758"/>
      <c r="I18" s="4758"/>
      <c r="J18" s="4758"/>
      <c r="K18" s="4758"/>
      <c r="L18" s="4758"/>
      <c r="M18" s="4758"/>
    </row>
    <row r="19" spans="1:13" ht="48.75" customHeight="1">
      <c r="A19" s="3127" t="s">
        <v>92</v>
      </c>
      <c r="B19" s="4759" t="s">
        <v>3317</v>
      </c>
      <c r="C19" s="4759"/>
      <c r="D19" s="4759"/>
      <c r="E19" s="4759"/>
      <c r="F19" s="4759"/>
      <c r="G19" s="4759"/>
      <c r="H19" s="4759"/>
      <c r="I19" s="4759"/>
      <c r="J19" s="4759"/>
      <c r="K19" s="4759"/>
      <c r="L19" s="4759"/>
      <c r="M19" s="4759"/>
    </row>
    <row r="20" spans="1:13" ht="50.25" customHeight="1">
      <c r="A20" s="3127" t="s">
        <v>489</v>
      </c>
      <c r="B20" s="4758" t="s">
        <v>3190</v>
      </c>
      <c r="C20" s="4758"/>
      <c r="D20" s="4758"/>
      <c r="E20" s="4758"/>
      <c r="F20" s="4758"/>
      <c r="G20" s="4758"/>
      <c r="H20" s="4758"/>
      <c r="I20" s="4758"/>
      <c r="J20" s="4758"/>
      <c r="K20" s="4758"/>
      <c r="L20" s="4758"/>
      <c r="M20" s="4758"/>
    </row>
    <row r="21" spans="1:13" ht="31.5" customHeight="1">
      <c r="A21" s="3127" t="s">
        <v>490</v>
      </c>
      <c r="B21" s="4758" t="s">
        <v>3208</v>
      </c>
      <c r="C21" s="4758"/>
      <c r="D21" s="4758"/>
      <c r="E21" s="4758"/>
      <c r="F21" s="4758"/>
      <c r="G21" s="4758"/>
      <c r="H21" s="4758"/>
      <c r="I21" s="4758"/>
      <c r="J21" s="4758"/>
      <c r="K21" s="4758"/>
      <c r="L21" s="4758"/>
      <c r="M21" s="4758"/>
    </row>
    <row r="22" spans="1:13" ht="1.5" customHeight="1">
      <c r="A22" s="4757"/>
      <c r="B22" s="4757"/>
      <c r="C22" s="4757"/>
      <c r="D22" s="4757"/>
      <c r="E22" s="4757"/>
      <c r="F22" s="4757"/>
      <c r="G22" s="4757"/>
      <c r="H22" s="4757"/>
      <c r="I22" s="4757"/>
      <c r="J22" s="4757"/>
      <c r="K22" s="4757"/>
      <c r="L22" s="4757"/>
      <c r="M22" s="4757"/>
    </row>
    <row r="23" spans="1:13" ht="3" customHeight="1">
      <c r="A23" s="4757"/>
      <c r="B23" s="4757"/>
      <c r="C23" s="4757"/>
      <c r="D23" s="4757"/>
      <c r="E23" s="4757"/>
      <c r="F23" s="4757"/>
      <c r="G23" s="4757"/>
      <c r="H23" s="4757"/>
      <c r="I23" s="4757"/>
      <c r="J23" s="4757"/>
      <c r="K23" s="4757"/>
      <c r="L23" s="4757"/>
      <c r="M23" s="4757"/>
    </row>
    <row r="24" spans="1:13" ht="13.5" customHeight="1">
      <c r="A24" s="4757" t="s">
        <v>1408</v>
      </c>
      <c r="B24" s="4757"/>
      <c r="C24" s="4757"/>
      <c r="D24" s="4757"/>
      <c r="E24" s="4757"/>
      <c r="F24" s="4757"/>
      <c r="G24" s="4757"/>
      <c r="H24" s="4757"/>
      <c r="I24" s="4757"/>
      <c r="J24" s="4757"/>
      <c r="K24" s="4757"/>
      <c r="L24" s="4757"/>
      <c r="M24" s="4757"/>
    </row>
    <row r="25" spans="1:13" ht="32.25" customHeight="1">
      <c r="A25" s="3127" t="s">
        <v>1409</v>
      </c>
      <c r="B25" s="4758" t="s">
        <v>3209</v>
      </c>
      <c r="C25" s="4758"/>
      <c r="D25" s="4758"/>
      <c r="E25" s="4758"/>
      <c r="F25" s="4758"/>
      <c r="G25" s="4758"/>
      <c r="H25" s="4758"/>
      <c r="I25" s="4758"/>
      <c r="J25" s="4758"/>
      <c r="K25" s="4758"/>
      <c r="L25" s="4758"/>
      <c r="M25" s="4758"/>
    </row>
    <row r="26" spans="1:13" ht="31.5" customHeight="1">
      <c r="A26" s="3127" t="s">
        <v>1409</v>
      </c>
      <c r="B26" s="4758" t="s">
        <v>3210</v>
      </c>
      <c r="C26" s="4758"/>
      <c r="D26" s="4758"/>
      <c r="E26" s="4758"/>
      <c r="F26" s="4758"/>
      <c r="G26" s="4758"/>
      <c r="H26" s="4758"/>
      <c r="I26" s="4758"/>
      <c r="J26" s="4758"/>
      <c r="K26" s="4758"/>
      <c r="L26" s="4758"/>
      <c r="M26" s="4758"/>
    </row>
    <row r="27" spans="1:13" ht="78.75" customHeight="1">
      <c r="A27" s="3127" t="s">
        <v>1409</v>
      </c>
      <c r="B27" s="4758" t="s">
        <v>2582</v>
      </c>
      <c r="C27" s="4758"/>
      <c r="D27" s="4758"/>
      <c r="E27" s="4758"/>
      <c r="F27" s="4758"/>
      <c r="G27" s="4758"/>
      <c r="H27" s="4758"/>
      <c r="I27" s="4758"/>
      <c r="J27" s="4758"/>
      <c r="K27" s="4758"/>
      <c r="L27" s="4758"/>
      <c r="M27" s="4758"/>
    </row>
    <row r="28" spans="1:13" ht="7.5" customHeight="1">
      <c r="A28" s="4757"/>
      <c r="B28" s="4757"/>
      <c r="C28" s="4757"/>
      <c r="D28" s="4757"/>
      <c r="E28" s="4757"/>
      <c r="F28" s="4757"/>
      <c r="G28" s="4757"/>
      <c r="H28" s="4757"/>
      <c r="I28" s="4757"/>
      <c r="J28" s="4757"/>
      <c r="K28" s="4757"/>
      <c r="L28" s="4757"/>
      <c r="M28" s="4757"/>
    </row>
    <row r="29" spans="1:13" ht="43.5" customHeight="1">
      <c r="A29" s="4758" t="s">
        <v>911</v>
      </c>
      <c r="B29" s="4758"/>
      <c r="C29" s="4758"/>
      <c r="D29" s="4758"/>
      <c r="E29" s="4758"/>
      <c r="F29" s="4758"/>
      <c r="G29" s="4758"/>
      <c r="H29" s="4758"/>
      <c r="I29" s="4758"/>
      <c r="J29" s="4758"/>
      <c r="K29" s="4758"/>
      <c r="L29" s="4758"/>
      <c r="M29" s="4758"/>
    </row>
    <row r="30" spans="1:13" ht="3" customHeight="1">
      <c r="A30" s="4757"/>
      <c r="B30" s="4757"/>
      <c r="C30" s="4757"/>
      <c r="D30" s="4757"/>
      <c r="E30" s="4757"/>
      <c r="F30" s="4757"/>
      <c r="G30" s="4757"/>
      <c r="H30" s="4757"/>
      <c r="I30" s="4757"/>
      <c r="J30" s="4757"/>
      <c r="K30" s="4757"/>
      <c r="L30" s="4757"/>
      <c r="M30" s="4757"/>
    </row>
    <row r="31" spans="1:13" ht="32.25" customHeight="1">
      <c r="A31" s="4758" t="s">
        <v>2583</v>
      </c>
      <c r="B31" s="4758"/>
      <c r="C31" s="4758"/>
      <c r="D31" s="4758"/>
      <c r="E31" s="4758"/>
      <c r="F31" s="4758"/>
      <c r="G31" s="4758"/>
      <c r="H31" s="4758"/>
      <c r="I31" s="4758"/>
      <c r="J31" s="4758"/>
      <c r="K31" s="4758"/>
      <c r="L31" s="4758"/>
      <c r="M31" s="4758"/>
    </row>
    <row r="32" spans="1:13" ht="4.5" customHeight="1">
      <c r="A32" s="4757"/>
      <c r="B32" s="4757"/>
      <c r="C32" s="4757"/>
      <c r="D32" s="4757"/>
      <c r="E32" s="4757"/>
      <c r="F32" s="4757"/>
      <c r="G32" s="4757"/>
      <c r="H32" s="4757"/>
      <c r="I32" s="4757"/>
      <c r="J32" s="4757"/>
      <c r="K32" s="4757"/>
      <c r="L32" s="4757"/>
      <c r="M32" s="4757"/>
    </row>
    <row r="33" spans="1:13" ht="16.5">
      <c r="A33" s="4757" t="s">
        <v>888</v>
      </c>
      <c r="B33" s="4757"/>
      <c r="C33" s="4757"/>
      <c r="D33" s="4757"/>
      <c r="E33" s="4757"/>
      <c r="F33" s="4757"/>
      <c r="G33" s="4757"/>
      <c r="H33" s="4757"/>
      <c r="I33" s="4757"/>
      <c r="J33" s="4757"/>
      <c r="K33" s="4757"/>
      <c r="L33" s="4757"/>
      <c r="M33" s="4757"/>
    </row>
    <row r="34" spans="1:13" ht="6" customHeight="1">
      <c r="A34" s="3128"/>
      <c r="B34" s="3128"/>
      <c r="C34" s="3128"/>
      <c r="D34" s="3128"/>
      <c r="E34" s="3128"/>
      <c r="F34" s="3128"/>
      <c r="G34" s="3128"/>
      <c r="H34" s="3128"/>
      <c r="I34" s="3128"/>
      <c r="J34" s="3128"/>
      <c r="K34" s="3128"/>
      <c r="L34" s="3128"/>
      <c r="M34" s="3128"/>
    </row>
    <row r="35" spans="1:13" ht="16.5">
      <c r="A35" s="4753"/>
      <c r="B35" s="4753"/>
      <c r="C35" s="4753"/>
      <c r="D35" s="4753"/>
      <c r="E35" s="4753"/>
      <c r="F35" s="4753"/>
      <c r="G35" s="3129"/>
      <c r="H35" s="4753"/>
      <c r="I35" s="4753"/>
      <c r="J35" s="4753"/>
      <c r="K35" s="4753"/>
      <c r="L35" s="4753"/>
      <c r="M35" s="4753"/>
    </row>
    <row r="36" spans="1:13" ht="12" customHeight="1">
      <c r="A36" s="4755" t="s">
        <v>889</v>
      </c>
      <c r="B36" s="4755"/>
      <c r="C36" s="4755"/>
      <c r="D36" s="4755"/>
      <c r="E36" s="4755"/>
      <c r="F36" s="4755"/>
      <c r="G36" s="3129"/>
      <c r="H36" s="4755" t="s">
        <v>1889</v>
      </c>
      <c r="I36" s="4755"/>
      <c r="J36" s="4755"/>
      <c r="K36" s="4755"/>
      <c r="L36" s="4755"/>
      <c r="M36" s="4755"/>
    </row>
    <row r="37" spans="1:13" ht="6" customHeight="1">
      <c r="A37" s="3129"/>
      <c r="B37" s="3129"/>
      <c r="C37" s="3129"/>
      <c r="D37" s="3129"/>
      <c r="E37" s="3129"/>
      <c r="F37" s="3129"/>
      <c r="G37" s="3129"/>
      <c r="H37" s="3129"/>
      <c r="I37" s="3129"/>
      <c r="J37" s="3129"/>
      <c r="K37" s="3129"/>
      <c r="L37" s="3129"/>
      <c r="M37" s="3129"/>
    </row>
    <row r="38" spans="1:13" ht="16.5">
      <c r="A38" s="4753"/>
      <c r="B38" s="4753"/>
      <c r="C38" s="4753"/>
      <c r="D38" s="4753"/>
      <c r="E38" s="4753"/>
      <c r="F38" s="4753"/>
      <c r="G38" s="3129"/>
      <c r="H38" s="4754"/>
      <c r="I38" s="4754"/>
      <c r="J38" s="4754"/>
      <c r="K38" s="4754"/>
      <c r="L38" s="4754"/>
      <c r="M38" s="4754"/>
    </row>
    <row r="39" spans="1:13" ht="12" customHeight="1">
      <c r="A39" s="4755" t="s">
        <v>890</v>
      </c>
      <c r="B39" s="4755"/>
      <c r="C39" s="4755"/>
      <c r="D39" s="4755"/>
      <c r="E39" s="4755"/>
      <c r="F39" s="4755"/>
      <c r="G39" s="3129"/>
      <c r="H39" s="4755" t="s">
        <v>891</v>
      </c>
      <c r="I39" s="4755"/>
      <c r="J39" s="4755"/>
      <c r="K39" s="4755"/>
      <c r="L39" s="4755"/>
      <c r="M39" s="4755"/>
    </row>
    <row r="40" spans="1:13" ht="3" customHeight="1">
      <c r="A40" s="3130"/>
      <c r="B40" s="3130"/>
      <c r="C40" s="3130"/>
      <c r="D40" s="3130"/>
      <c r="E40" s="3130"/>
      <c r="F40" s="3130"/>
      <c r="G40" s="3129"/>
      <c r="H40" s="3130"/>
      <c r="I40" s="3130"/>
      <c r="J40" s="3130"/>
      <c r="K40" s="3130"/>
      <c r="L40" s="3130"/>
      <c r="M40" s="3130"/>
    </row>
    <row r="41" spans="1:13" ht="11.45" customHeight="1">
      <c r="A41" s="3125"/>
      <c r="B41" s="3125"/>
      <c r="C41" s="3125"/>
      <c r="D41" s="3125"/>
      <c r="E41" s="3125"/>
      <c r="F41" s="3125"/>
      <c r="G41" s="3125"/>
      <c r="H41" s="4756" t="s">
        <v>892</v>
      </c>
      <c r="I41" s="4756"/>
      <c r="J41" s="4756"/>
      <c r="K41" s="4756"/>
      <c r="L41" s="4756"/>
      <c r="M41" s="4756"/>
    </row>
    <row r="42" spans="1:13" ht="11.45" customHeight="1">
      <c r="A42" s="3125"/>
      <c r="B42" s="3125"/>
      <c r="C42" s="3125"/>
      <c r="D42" s="3125"/>
      <c r="E42" s="3125"/>
      <c r="F42" s="3125"/>
      <c r="G42" s="3125"/>
    </row>
    <row r="43" spans="1:13" ht="11.45" customHeight="1">
      <c r="A43" s="3125"/>
      <c r="B43" s="3125"/>
      <c r="C43" s="3125"/>
      <c r="D43" s="3125"/>
      <c r="E43" s="3125"/>
      <c r="F43" s="3125"/>
      <c r="G43" s="3125"/>
      <c r="H43" s="3125"/>
      <c r="I43" s="3125"/>
      <c r="J43" s="3125"/>
      <c r="K43" s="3125"/>
      <c r="L43" s="3125"/>
      <c r="M43" s="3125"/>
    </row>
    <row r="44" spans="1:13" ht="11.45" customHeight="1">
      <c r="A44" s="3125"/>
      <c r="B44" s="3125"/>
      <c r="C44" s="3125"/>
      <c r="D44" s="3125"/>
      <c r="E44" s="3125"/>
      <c r="F44" s="3125"/>
      <c r="G44" s="3125"/>
      <c r="H44" s="3125"/>
      <c r="I44" s="3125"/>
      <c r="J44" s="3125"/>
      <c r="K44" s="3125"/>
      <c r="L44" s="3125"/>
      <c r="M44" s="3125"/>
    </row>
    <row r="45" spans="1:13" ht="11.45" customHeight="1"/>
    <row r="46" spans="1:13" ht="11.45" customHeight="1"/>
    <row r="47" spans="1:13" ht="11.45" customHeight="1"/>
    <row r="48" spans="1:13" ht="11.45" customHeight="1"/>
    <row r="49" ht="11.45" customHeight="1"/>
  </sheetData>
  <sheetProtection algorithmName="SHA-512" hashValue="BkP2zMSu+GN/5lHy7DFRNoZsP47Ux9s1MWq9RgJXLF6sWI0siZwR0XuFvMekXquPUH547VQHwaV9L0A++RJ+RA==" saltValue="xvmmAQ4o0cP2J2aWfW3dMQ==" spinCount="100000" sheet="1" objects="1" scenarios="1" selectLockedCells="1" selectUnlockedCells="1"/>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DRAFT 2021 Funding Application&amp;C&amp;8DCA Housing Finance and Development Division&amp;R&amp;9Page &amp;P of &amp;N</oddFooter>
  </headerFooter>
  <legacyDrawingHF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310"/>
  <sheetViews>
    <sheetView showGridLines="0" topLeftCell="A161" zoomScale="106" zoomScaleNormal="106" workbookViewId="0">
      <selection activeCell="H174" sqref="H174:H333"/>
    </sheetView>
  </sheetViews>
  <sheetFormatPr defaultColWidth="8.85546875" defaultRowHeight="12.75"/>
  <cols>
    <col min="1" max="1" width="1.85546875" style="27" customWidth="1"/>
    <col min="2" max="2" width="5.140625" style="27" customWidth="1"/>
    <col min="3" max="3" width="9.85546875" style="27" customWidth="1"/>
    <col min="4" max="6" width="7.85546875" style="27" customWidth="1"/>
    <col min="7" max="7" width="10.85546875" style="27" customWidth="1"/>
    <col min="8" max="8" width="7.85546875" style="27" customWidth="1"/>
    <col min="9" max="9" width="17.5703125" style="27" customWidth="1"/>
    <col min="10" max="10" width="7.85546875" style="27" customWidth="1"/>
    <col min="11" max="11" width="7.140625" style="27" customWidth="1"/>
    <col min="12" max="12" width="7.85546875" style="27" customWidth="1"/>
    <col min="13" max="13" width="7.42578125" style="27" customWidth="1"/>
    <col min="14" max="16" width="7.85546875" style="27" customWidth="1"/>
    <col min="17" max="17" width="8.140625" style="27" customWidth="1"/>
    <col min="18" max="18" width="8.42578125" style="27" customWidth="1"/>
    <col min="19" max="26" width="8.85546875" style="27"/>
    <col min="27" max="28" width="8.85546875" style="481"/>
    <col min="29" max="16384" width="8.85546875" style="27"/>
  </cols>
  <sheetData>
    <row r="1" spans="1:28" s="164" customFormat="1" ht="3" customHeight="1">
      <c r="A1" s="165"/>
      <c r="B1" s="165"/>
      <c r="C1" s="165"/>
      <c r="D1" s="165"/>
      <c r="E1" s="165"/>
      <c r="F1" s="165"/>
      <c r="G1" s="165"/>
      <c r="H1" s="165"/>
      <c r="I1" s="165"/>
      <c r="J1" s="165"/>
      <c r="K1" s="165"/>
      <c r="L1" s="165"/>
      <c r="M1" s="165"/>
      <c r="N1" s="165"/>
      <c r="O1" s="165"/>
      <c r="P1" s="165"/>
      <c r="AA1" s="808"/>
      <c r="AB1" s="808"/>
    </row>
    <row r="2" spans="1:28" s="267" customFormat="1" ht="13.35" customHeight="1">
      <c r="A2" s="4792" t="s">
        <v>691</v>
      </c>
      <c r="B2" s="4793"/>
      <c r="C2" s="4793"/>
      <c r="D2" s="4793"/>
      <c r="E2" s="4793"/>
      <c r="F2" s="4793"/>
      <c r="G2" s="4793"/>
      <c r="H2" s="4793"/>
      <c r="I2" s="4793"/>
      <c r="J2" s="4793"/>
      <c r="K2" s="4793"/>
      <c r="L2" s="4793"/>
      <c r="M2" s="4793"/>
      <c r="N2" s="4793"/>
      <c r="O2" s="4793"/>
      <c r="P2" s="4793"/>
      <c r="Q2" s="4793"/>
      <c r="R2" s="4794"/>
      <c r="S2" s="166"/>
      <c r="T2" s="166"/>
      <c r="U2" s="166"/>
      <c r="AA2" s="481"/>
      <c r="AB2" s="481"/>
    </row>
    <row r="3" spans="1:28" s="267" customFormat="1" ht="4.3499999999999996" customHeight="1">
      <c r="A3" s="167"/>
      <c r="B3" s="167"/>
      <c r="C3" s="167"/>
      <c r="D3" s="167"/>
      <c r="E3" s="167"/>
      <c r="F3" s="167"/>
      <c r="G3" s="167"/>
      <c r="H3" s="167"/>
      <c r="I3" s="167"/>
      <c r="J3" s="167"/>
      <c r="K3" s="167"/>
      <c r="L3" s="167"/>
      <c r="M3" s="167"/>
      <c r="N3" s="167"/>
      <c r="O3" s="167"/>
      <c r="P3" s="167"/>
      <c r="Q3" s="166"/>
      <c r="R3" s="166"/>
      <c r="S3" s="166"/>
      <c r="T3" s="166"/>
      <c r="U3" s="166"/>
      <c r="AA3" s="481"/>
      <c r="AB3" s="481"/>
    </row>
    <row r="4" spans="1:28" s="267" customFormat="1" ht="12" customHeight="1">
      <c r="A4" s="268" t="s">
        <v>1649</v>
      </c>
      <c r="B4" s="268"/>
      <c r="C4" s="268"/>
      <c r="D4" s="166"/>
      <c r="E4" s="166"/>
      <c r="F4" s="268" t="s">
        <v>1650</v>
      </c>
      <c r="G4" s="268"/>
      <c r="H4" s="166"/>
      <c r="I4" s="166"/>
      <c r="J4" s="268" t="s">
        <v>1651</v>
      </c>
      <c r="K4" s="268"/>
      <c r="L4" s="268"/>
      <c r="M4" s="268"/>
      <c r="N4" s="268"/>
      <c r="O4" s="268"/>
      <c r="P4" s="166"/>
      <c r="Q4" s="169" t="s">
        <v>2822</v>
      </c>
      <c r="R4" s="169" t="s">
        <v>1652</v>
      </c>
      <c r="S4" s="166"/>
      <c r="T4" s="166"/>
      <c r="U4" s="166"/>
      <c r="W4" s="271"/>
      <c r="X4" s="271"/>
      <c r="Y4" s="271"/>
      <c r="Z4" s="271"/>
      <c r="AA4" s="481"/>
      <c r="AB4" s="481"/>
    </row>
    <row r="5" spans="1:28" s="267" customFormat="1" ht="4.3499999999999996" customHeight="1">
      <c r="A5" s="268"/>
      <c r="B5" s="268"/>
      <c r="C5" s="268"/>
      <c r="D5" s="268"/>
      <c r="E5" s="166"/>
      <c r="F5" s="268"/>
      <c r="G5" s="268"/>
      <c r="H5" s="166"/>
      <c r="I5" s="166"/>
      <c r="J5" s="268"/>
      <c r="K5" s="268"/>
      <c r="L5" s="268"/>
      <c r="M5" s="268"/>
      <c r="N5" s="268"/>
      <c r="O5" s="268"/>
      <c r="P5" s="166"/>
      <c r="Q5" s="269"/>
      <c r="R5" s="270"/>
      <c r="S5" s="166"/>
      <c r="T5" s="166"/>
      <c r="U5" s="166"/>
      <c r="W5" s="271"/>
      <c r="X5" s="271"/>
      <c r="Y5" s="271"/>
      <c r="Z5" s="271"/>
      <c r="AA5" s="481"/>
      <c r="AB5" s="481"/>
    </row>
    <row r="6" spans="1:28" s="267" customFormat="1" ht="11.45" customHeight="1">
      <c r="A6" s="272" t="s">
        <v>1653</v>
      </c>
      <c r="B6" s="168"/>
      <c r="C6" s="168"/>
      <c r="D6" s="166"/>
      <c r="E6" s="166"/>
      <c r="F6" s="168" t="s">
        <v>486</v>
      </c>
      <c r="G6" s="168"/>
      <c r="H6" s="166"/>
      <c r="I6" s="166"/>
      <c r="J6" s="168" t="s">
        <v>6538</v>
      </c>
      <c r="K6" s="168"/>
      <c r="L6" s="168" t="s">
        <v>6394</v>
      </c>
      <c r="M6" s="168"/>
      <c r="N6" s="168"/>
      <c r="O6" s="168"/>
      <c r="P6" s="166"/>
      <c r="Q6" s="920" t="s">
        <v>1654</v>
      </c>
      <c r="R6" s="920">
        <v>1000000</v>
      </c>
      <c r="S6" s="166"/>
      <c r="U6" s="166"/>
      <c r="V6" s="814"/>
      <c r="W6" s="814"/>
      <c r="X6" s="169"/>
      <c r="AA6" s="481"/>
      <c r="AB6" s="481"/>
    </row>
    <row r="7" spans="1:28" s="267" customFormat="1" ht="11.45" customHeight="1">
      <c r="A7" s="272"/>
      <c r="B7" s="168"/>
      <c r="C7" s="168"/>
      <c r="D7" s="166"/>
      <c r="E7" s="166"/>
      <c r="F7" s="168"/>
      <c r="G7" s="168"/>
      <c r="H7" s="166"/>
      <c r="I7" s="166"/>
      <c r="J7" s="168"/>
      <c r="K7" s="168"/>
      <c r="L7" s="168" t="s">
        <v>6395</v>
      </c>
      <c r="M7" s="168"/>
      <c r="N7" s="168"/>
      <c r="O7" s="168"/>
      <c r="P7" s="166"/>
      <c r="Q7" s="924" t="s">
        <v>1654</v>
      </c>
      <c r="R7" s="576">
        <v>900000</v>
      </c>
      <c r="S7" s="166"/>
      <c r="U7" s="166"/>
      <c r="V7" s="814"/>
      <c r="W7" s="814"/>
      <c r="X7" s="169"/>
      <c r="AA7" s="481"/>
      <c r="AB7" s="481"/>
    </row>
    <row r="8" spans="1:28" s="267" customFormat="1" ht="11.45" customHeight="1">
      <c r="F8" s="168"/>
      <c r="G8" s="168"/>
      <c r="H8" s="166"/>
      <c r="I8" s="166"/>
      <c r="J8" s="168" t="s">
        <v>1210</v>
      </c>
      <c r="K8" s="168"/>
      <c r="L8" s="168"/>
      <c r="M8" s="168"/>
      <c r="N8" s="168"/>
      <c r="O8" s="168"/>
      <c r="P8" s="166"/>
      <c r="Q8" s="920" t="s">
        <v>1654</v>
      </c>
      <c r="R8" s="920">
        <v>1800000</v>
      </c>
      <c r="S8" s="166"/>
      <c r="T8" s="166"/>
      <c r="U8" s="166"/>
      <c r="V8" s="814"/>
      <c r="W8" s="814"/>
      <c r="X8" s="169"/>
      <c r="AA8" s="481"/>
      <c r="AB8" s="481"/>
    </row>
    <row r="9" spans="1:28" s="267" customFormat="1" ht="11.45" customHeight="1">
      <c r="F9" s="168" t="s">
        <v>2298</v>
      </c>
      <c r="G9" s="168"/>
      <c r="H9" s="166"/>
      <c r="I9" s="166"/>
      <c r="J9" s="168" t="s">
        <v>1683</v>
      </c>
      <c r="K9" s="168"/>
      <c r="L9" s="168"/>
      <c r="M9" s="168"/>
      <c r="N9" s="168"/>
      <c r="O9" s="168"/>
      <c r="P9" s="166"/>
      <c r="Q9" s="920">
        <v>1000000</v>
      </c>
      <c r="R9" s="920">
        <v>2000000</v>
      </c>
      <c r="S9" s="273"/>
      <c r="T9" s="273"/>
      <c r="U9" s="166"/>
      <c r="V9" s="863"/>
      <c r="W9" s="863"/>
      <c r="X9" s="863"/>
      <c r="AA9" s="481"/>
      <c r="AB9" s="481"/>
    </row>
    <row r="10" spans="1:28" s="267" customFormat="1" ht="11.45" customHeight="1">
      <c r="F10" s="168"/>
      <c r="G10" s="168"/>
      <c r="H10" s="166"/>
      <c r="I10" s="166"/>
      <c r="J10" s="168" t="s">
        <v>2277</v>
      </c>
      <c r="K10" s="168"/>
      <c r="L10" s="168"/>
      <c r="M10" s="168"/>
      <c r="N10" s="168"/>
      <c r="O10" s="168"/>
      <c r="P10" s="166"/>
      <c r="Q10" s="920" t="s">
        <v>1654</v>
      </c>
      <c r="R10" s="919">
        <v>0.25</v>
      </c>
      <c r="S10" s="166"/>
      <c r="T10" s="166"/>
      <c r="U10" s="166"/>
      <c r="V10" s="814"/>
      <c r="W10" s="814"/>
      <c r="X10" s="169"/>
      <c r="AA10" s="481"/>
      <c r="AB10" s="481"/>
    </row>
    <row r="11" spans="1:28" s="267" customFormat="1" ht="11.45" customHeight="1">
      <c r="A11" s="168"/>
      <c r="B11" s="168"/>
      <c r="C11" s="168"/>
      <c r="D11" s="166"/>
      <c r="E11" s="166"/>
      <c r="F11" s="168" t="s">
        <v>3279</v>
      </c>
      <c r="G11" s="168"/>
      <c r="H11" s="166"/>
      <c r="I11" s="166"/>
      <c r="J11" s="515" t="s">
        <v>3280</v>
      </c>
      <c r="K11" s="277"/>
      <c r="M11" s="277"/>
      <c r="N11" s="277"/>
      <c r="O11" s="168"/>
      <c r="Q11" s="275"/>
      <c r="R11" s="275"/>
      <c r="S11" s="287"/>
      <c r="T11" s="166"/>
      <c r="U11" s="166"/>
      <c r="V11" s="863"/>
      <c r="W11" s="863"/>
      <c r="X11" s="863"/>
      <c r="AA11" s="481"/>
      <c r="AB11" s="481"/>
    </row>
    <row r="12" spans="1:28" s="267" customFormat="1" ht="11.45" customHeight="1">
      <c r="A12" s="168"/>
      <c r="B12" s="168"/>
      <c r="C12" s="168"/>
      <c r="D12" s="166"/>
      <c r="E12" s="166"/>
      <c r="F12" s="168" t="s">
        <v>4107</v>
      </c>
      <c r="G12" s="168"/>
      <c r="H12" s="166"/>
      <c r="I12" s="166"/>
      <c r="J12" s="515" t="s">
        <v>3262</v>
      </c>
      <c r="K12" s="277"/>
      <c r="M12" s="277"/>
      <c r="N12" s="277"/>
      <c r="O12" s="168"/>
      <c r="Q12" s="4788">
        <v>0.1</v>
      </c>
      <c r="R12" s="4789"/>
      <c r="S12" s="287"/>
      <c r="T12" s="166"/>
      <c r="U12" s="166"/>
      <c r="V12" s="863"/>
      <c r="W12" s="863"/>
      <c r="X12" s="863"/>
      <c r="AA12" s="481"/>
      <c r="AB12" s="481"/>
    </row>
    <row r="13" spans="1:28" s="267" customFormat="1" ht="12.75" customHeight="1">
      <c r="A13" s="168"/>
      <c r="B13" s="168"/>
      <c r="C13" s="168"/>
      <c r="F13" s="1368" t="s">
        <v>2560</v>
      </c>
      <c r="G13" s="1369"/>
      <c r="H13" s="1369"/>
      <c r="I13" s="1377" t="s">
        <v>4098</v>
      </c>
      <c r="J13" s="168"/>
      <c r="K13" s="277"/>
      <c r="L13" s="277"/>
      <c r="M13" s="277"/>
      <c r="N13" s="277"/>
      <c r="O13" s="168"/>
      <c r="P13" s="166"/>
      <c r="Q13" s="275"/>
      <c r="R13" s="275"/>
      <c r="S13" s="166"/>
      <c r="T13" s="166"/>
      <c r="U13" s="166"/>
      <c r="AA13" s="481"/>
      <c r="AB13" s="481"/>
    </row>
    <row r="14" spans="1:28" s="267" customFormat="1" ht="12.75" customHeight="1">
      <c r="A14" s="168"/>
      <c r="B14" s="168"/>
      <c r="C14" s="168"/>
      <c r="F14" s="1370" t="s">
        <v>4099</v>
      </c>
      <c r="G14" s="1371"/>
      <c r="H14" s="1371"/>
      <c r="I14" s="1374">
        <v>0.2</v>
      </c>
      <c r="J14" s="168"/>
      <c r="K14" s="277"/>
      <c r="L14" s="277"/>
      <c r="M14" s="277"/>
      <c r="N14" s="277"/>
      <c r="O14" s="168"/>
      <c r="P14" s="166"/>
      <c r="Q14" s="275"/>
      <c r="R14" s="275"/>
      <c r="S14" s="166"/>
      <c r="T14" s="166"/>
      <c r="U14" s="166"/>
      <c r="AA14" s="481"/>
      <c r="AB14" s="481"/>
    </row>
    <row r="15" spans="1:28" s="267" customFormat="1" ht="12.75" customHeight="1">
      <c r="A15" s="168"/>
      <c r="B15" s="168"/>
      <c r="C15" s="168"/>
      <c r="F15" s="1370" t="s">
        <v>4100</v>
      </c>
      <c r="G15" s="1371"/>
      <c r="H15" s="1371"/>
      <c r="I15" s="1374">
        <v>0.15</v>
      </c>
      <c r="J15" s="168"/>
      <c r="K15" s="277"/>
      <c r="L15" s="277"/>
      <c r="M15" s="277"/>
      <c r="N15" s="277"/>
      <c r="O15" s="168"/>
      <c r="P15" s="166"/>
      <c r="Q15" s="275"/>
      <c r="R15" s="275"/>
      <c r="S15" s="166"/>
      <c r="T15" s="166"/>
      <c r="U15" s="166"/>
      <c r="AA15" s="481"/>
      <c r="AB15" s="481"/>
    </row>
    <row r="16" spans="1:28" s="267" customFormat="1" ht="12.75" customHeight="1">
      <c r="A16" s="168"/>
      <c r="B16" s="168"/>
      <c r="C16" s="168"/>
      <c r="F16" s="1370" t="s">
        <v>4101</v>
      </c>
      <c r="G16" s="1371"/>
      <c r="H16" s="1371"/>
      <c r="I16" s="1374">
        <v>0.15</v>
      </c>
      <c r="J16" s="168"/>
      <c r="K16" s="277"/>
      <c r="L16" s="277"/>
      <c r="M16" s="277"/>
      <c r="N16" s="277"/>
      <c r="O16" s="168"/>
      <c r="P16" s="166"/>
      <c r="Q16" s="275"/>
      <c r="R16" s="275"/>
      <c r="S16" s="166"/>
      <c r="T16" s="166"/>
      <c r="U16" s="166"/>
      <c r="AA16" s="481"/>
      <c r="AB16" s="481"/>
    </row>
    <row r="17" spans="1:28" s="267" customFormat="1" ht="12.75" customHeight="1">
      <c r="A17" s="168"/>
      <c r="B17" s="168"/>
      <c r="C17" s="168"/>
      <c r="F17" s="1370" t="s">
        <v>4102</v>
      </c>
      <c r="G17" s="1371"/>
      <c r="H17" s="1371"/>
      <c r="I17" s="1374">
        <v>0.1</v>
      </c>
      <c r="J17" s="168"/>
      <c r="K17" s="277"/>
      <c r="L17" s="277"/>
      <c r="M17" s="277"/>
      <c r="N17" s="277"/>
      <c r="O17" s="168"/>
      <c r="P17" s="166"/>
      <c r="Q17" s="275"/>
      <c r="R17" s="275"/>
      <c r="S17" s="166"/>
      <c r="T17" s="166"/>
      <c r="U17" s="166"/>
      <c r="AA17" s="481"/>
      <c r="AB17" s="481"/>
    </row>
    <row r="18" spans="1:28" s="267" customFormat="1" ht="12.75" customHeight="1">
      <c r="A18" s="168"/>
      <c r="B18" s="168"/>
      <c r="C18" s="168"/>
      <c r="F18" s="1372" t="s">
        <v>4103</v>
      </c>
      <c r="G18" s="1373"/>
      <c r="H18" s="1373"/>
      <c r="I18" s="1375">
        <v>0.1</v>
      </c>
      <c r="J18" s="168"/>
      <c r="K18" s="277"/>
      <c r="L18" s="277"/>
      <c r="M18" s="277"/>
      <c r="N18" s="277"/>
      <c r="O18" s="168"/>
      <c r="P18" s="166"/>
      <c r="Q18" s="275"/>
      <c r="R18" s="275"/>
      <c r="S18" s="166"/>
      <c r="T18" s="166"/>
      <c r="U18" s="166"/>
      <c r="AA18" s="481"/>
      <c r="AB18" s="481"/>
    </row>
    <row r="19" spans="1:28" s="267" customFormat="1" ht="12.75" customHeight="1">
      <c r="A19" s="168"/>
      <c r="B19" s="168"/>
      <c r="C19" s="168"/>
      <c r="D19" s="1366"/>
      <c r="E19" s="1365"/>
      <c r="F19" s="1365"/>
      <c r="G19" s="1367"/>
      <c r="H19" s="276"/>
      <c r="I19" s="166"/>
      <c r="J19" s="168"/>
      <c r="K19" s="277"/>
      <c r="L19" s="277"/>
      <c r="M19" s="277"/>
      <c r="N19" s="277"/>
      <c r="O19" s="168"/>
      <c r="P19" s="166"/>
      <c r="Q19" s="275"/>
      <c r="R19" s="275"/>
      <c r="S19" s="166"/>
      <c r="T19" s="166"/>
      <c r="U19" s="166"/>
      <c r="AA19" s="481"/>
      <c r="AB19" s="481"/>
    </row>
    <row r="20" spans="1:28" s="267" customFormat="1" ht="11.45" customHeight="1">
      <c r="A20" s="168"/>
      <c r="B20" s="168"/>
      <c r="C20" s="168"/>
      <c r="D20" s="1248">
        <v>2020</v>
      </c>
      <c r="E20" s="166"/>
      <c r="F20" s="4795" t="s">
        <v>3118</v>
      </c>
      <c r="G20" s="4796"/>
      <c r="H20" s="4796"/>
      <c r="I20" s="4796"/>
      <c r="J20" s="4797"/>
      <c r="K20" s="277"/>
      <c r="L20" s="516" t="s">
        <v>3262</v>
      </c>
      <c r="M20" s="277"/>
      <c r="N20" s="4795" t="s">
        <v>3118</v>
      </c>
      <c r="O20" s="4796"/>
      <c r="P20" s="4796"/>
      <c r="Q20" s="4796"/>
      <c r="R20" s="4797"/>
      <c r="S20" s="287"/>
      <c r="T20" s="166"/>
      <c r="U20" s="166"/>
      <c r="V20" s="863"/>
      <c r="W20" s="863"/>
      <c r="X20" s="863"/>
      <c r="AA20" s="481"/>
      <c r="AB20" s="481"/>
    </row>
    <row r="21" spans="1:28" s="267" customFormat="1" ht="11.45" customHeight="1">
      <c r="A21" s="168"/>
      <c r="D21" s="517" t="s">
        <v>2488</v>
      </c>
      <c r="E21" s="517" t="s">
        <v>1248</v>
      </c>
      <c r="F21" s="518">
        <v>0</v>
      </c>
      <c r="G21" s="519">
        <v>1</v>
      </c>
      <c r="H21" s="918">
        <v>2</v>
      </c>
      <c r="I21" s="918">
        <v>3</v>
      </c>
      <c r="J21" s="520" t="s">
        <v>3115</v>
      </c>
      <c r="L21" s="517" t="s">
        <v>2488</v>
      </c>
      <c r="M21" s="517" t="s">
        <v>1248</v>
      </c>
      <c r="N21" s="518">
        <v>0</v>
      </c>
      <c r="O21" s="519">
        <v>1</v>
      </c>
      <c r="P21" s="918">
        <v>2</v>
      </c>
      <c r="Q21" s="918">
        <v>3</v>
      </c>
      <c r="R21" s="520" t="s">
        <v>3115</v>
      </c>
      <c r="S21" s="287"/>
      <c r="T21" s="166"/>
      <c r="U21" s="166"/>
      <c r="V21" s="863"/>
      <c r="W21" s="863"/>
      <c r="X21" s="863"/>
      <c r="AA21" s="481"/>
      <c r="AB21" s="481"/>
    </row>
    <row r="22" spans="1:28" s="267" customFormat="1" ht="11.45" customHeight="1">
      <c r="A22" s="168"/>
      <c r="C22" s="307"/>
      <c r="D22" s="883" t="s">
        <v>1702</v>
      </c>
      <c r="E22" s="883" t="s">
        <v>3117</v>
      </c>
      <c r="F22" s="884">
        <v>142816</v>
      </c>
      <c r="G22" s="884">
        <v>184662</v>
      </c>
      <c r="H22" s="884">
        <v>220865</v>
      </c>
      <c r="I22" s="884">
        <v>263215</v>
      </c>
      <c r="J22" s="884">
        <v>310038</v>
      </c>
      <c r="L22" s="287" t="s">
        <v>1702</v>
      </c>
      <c r="M22" s="287" t="s">
        <v>3117</v>
      </c>
      <c r="N22" s="934">
        <f t="shared" ref="N22:R37" si="0">ROUNDDOWN(F22*1.1,0)</f>
        <v>157097</v>
      </c>
      <c r="O22" s="934">
        <f t="shared" si="0"/>
        <v>203128</v>
      </c>
      <c r="P22" s="934">
        <f t="shared" si="0"/>
        <v>242951</v>
      </c>
      <c r="Q22" s="934">
        <f t="shared" si="0"/>
        <v>289536</v>
      </c>
      <c r="R22" s="934">
        <f t="shared" si="0"/>
        <v>341041</v>
      </c>
      <c r="S22" s="287"/>
      <c r="T22" s="166"/>
      <c r="U22" s="166"/>
      <c r="V22" s="863"/>
      <c r="W22" s="863"/>
      <c r="X22" s="863"/>
      <c r="AA22" s="481"/>
      <c r="AB22" s="481"/>
    </row>
    <row r="23" spans="1:28" s="267" customFormat="1" ht="11.45" customHeight="1">
      <c r="A23" s="168"/>
      <c r="C23" s="307"/>
      <c r="D23" s="883" t="s">
        <v>1702</v>
      </c>
      <c r="E23" s="883" t="s">
        <v>3114</v>
      </c>
      <c r="F23" s="884">
        <v>111333</v>
      </c>
      <c r="G23" s="884">
        <v>155866</v>
      </c>
      <c r="H23" s="884">
        <v>200399</v>
      </c>
      <c r="I23" s="884">
        <v>267199</v>
      </c>
      <c r="J23" s="884">
        <v>333999</v>
      </c>
      <c r="L23" s="287" t="s">
        <v>1702</v>
      </c>
      <c r="M23" s="287" t="s">
        <v>3114</v>
      </c>
      <c r="N23" s="934">
        <f t="shared" si="0"/>
        <v>122466</v>
      </c>
      <c r="O23" s="934">
        <f t="shared" si="0"/>
        <v>171452</v>
      </c>
      <c r="P23" s="934">
        <f t="shared" si="0"/>
        <v>220438</v>
      </c>
      <c r="Q23" s="934">
        <f t="shared" si="0"/>
        <v>293918</v>
      </c>
      <c r="R23" s="934">
        <f t="shared" si="0"/>
        <v>367398</v>
      </c>
      <c r="S23" s="287"/>
      <c r="T23" s="166"/>
      <c r="U23" s="166"/>
      <c r="V23" s="863"/>
      <c r="W23" s="863"/>
      <c r="X23" s="863"/>
      <c r="AA23" s="481"/>
      <c r="AB23" s="481"/>
    </row>
    <row r="24" spans="1:28" s="267" customFormat="1" ht="11.45" customHeight="1">
      <c r="A24" s="168"/>
      <c r="C24" s="307"/>
      <c r="D24" s="883" t="s">
        <v>1702</v>
      </c>
      <c r="E24" s="883" t="s">
        <v>3112</v>
      </c>
      <c r="F24" s="884">
        <v>123345</v>
      </c>
      <c r="G24" s="884">
        <v>160923</v>
      </c>
      <c r="H24" s="884">
        <v>194869</v>
      </c>
      <c r="I24" s="884">
        <v>237606</v>
      </c>
      <c r="J24" s="884">
        <v>281429</v>
      </c>
      <c r="L24" s="287" t="s">
        <v>1702</v>
      </c>
      <c r="M24" s="287" t="s">
        <v>3112</v>
      </c>
      <c r="N24" s="934">
        <f t="shared" si="0"/>
        <v>135679</v>
      </c>
      <c r="O24" s="934">
        <f t="shared" si="0"/>
        <v>177015</v>
      </c>
      <c r="P24" s="934">
        <f t="shared" si="0"/>
        <v>214355</v>
      </c>
      <c r="Q24" s="934">
        <f t="shared" si="0"/>
        <v>261366</v>
      </c>
      <c r="R24" s="934">
        <f t="shared" si="0"/>
        <v>309571</v>
      </c>
      <c r="S24" s="287"/>
      <c r="T24" s="166"/>
      <c r="U24" s="166"/>
      <c r="V24" s="863"/>
      <c r="W24" s="863"/>
      <c r="X24" s="863"/>
      <c r="AA24" s="481"/>
      <c r="AB24" s="481"/>
    </row>
    <row r="25" spans="1:28" s="267" customFormat="1" ht="11.45" customHeight="1">
      <c r="A25" s="168"/>
      <c r="C25" s="307"/>
      <c r="D25" s="883" t="s">
        <v>1702</v>
      </c>
      <c r="E25" s="883" t="s">
        <v>3113</v>
      </c>
      <c r="F25" s="884">
        <v>110658</v>
      </c>
      <c r="G25" s="884">
        <v>150909</v>
      </c>
      <c r="H25" s="884">
        <v>191026</v>
      </c>
      <c r="I25" s="884">
        <v>251664</v>
      </c>
      <c r="J25" s="884">
        <v>311733</v>
      </c>
      <c r="L25" s="287" t="s">
        <v>1702</v>
      </c>
      <c r="M25" s="287" t="s">
        <v>3113</v>
      </c>
      <c r="N25" s="934">
        <f t="shared" si="0"/>
        <v>121723</v>
      </c>
      <c r="O25" s="934">
        <f t="shared" si="0"/>
        <v>165999</v>
      </c>
      <c r="P25" s="934">
        <f t="shared" si="0"/>
        <v>210128</v>
      </c>
      <c r="Q25" s="934">
        <f t="shared" si="0"/>
        <v>276830</v>
      </c>
      <c r="R25" s="934">
        <f t="shared" si="0"/>
        <v>342906</v>
      </c>
      <c r="S25" s="287"/>
      <c r="T25" s="166"/>
      <c r="U25" s="166"/>
      <c r="V25" s="863"/>
      <c r="W25" s="863"/>
      <c r="X25" s="863"/>
      <c r="AA25" s="481"/>
      <c r="AB25" s="481"/>
    </row>
    <row r="26" spans="1:28" s="267" customFormat="1" ht="11.45" customHeight="1">
      <c r="A26" s="168"/>
      <c r="C26" s="307"/>
      <c r="D26" s="875" t="s">
        <v>158</v>
      </c>
      <c r="E26" s="875" t="s">
        <v>3117</v>
      </c>
      <c r="F26" s="876">
        <v>141797</v>
      </c>
      <c r="G26" s="876">
        <v>183527</v>
      </c>
      <c r="H26" s="876">
        <v>219633</v>
      </c>
      <c r="I26" s="876">
        <v>261936</v>
      </c>
      <c r="J26" s="876">
        <v>308710</v>
      </c>
      <c r="L26" s="287" t="s">
        <v>158</v>
      </c>
      <c r="M26" s="287" t="s">
        <v>3117</v>
      </c>
      <c r="N26" s="934">
        <f t="shared" si="0"/>
        <v>155976</v>
      </c>
      <c r="O26" s="934">
        <f t="shared" si="0"/>
        <v>201879</v>
      </c>
      <c r="P26" s="934">
        <f t="shared" si="0"/>
        <v>241596</v>
      </c>
      <c r="Q26" s="934">
        <f t="shared" si="0"/>
        <v>288129</v>
      </c>
      <c r="R26" s="934">
        <f t="shared" si="0"/>
        <v>339581</v>
      </c>
      <c r="S26" s="287"/>
      <c r="T26" s="166"/>
      <c r="U26" s="166"/>
      <c r="V26" s="863"/>
      <c r="W26" s="863"/>
      <c r="X26" s="863"/>
      <c r="AA26" s="481"/>
      <c r="AB26" s="481"/>
    </row>
    <row r="27" spans="1:28" s="267" customFormat="1" ht="11.45" customHeight="1">
      <c r="A27" s="168"/>
      <c r="C27" s="307"/>
      <c r="D27" s="875" t="s">
        <v>158</v>
      </c>
      <c r="E27" s="875" t="s">
        <v>3114</v>
      </c>
      <c r="F27" s="876">
        <v>110497</v>
      </c>
      <c r="G27" s="876">
        <v>154696</v>
      </c>
      <c r="H27" s="876">
        <v>198895</v>
      </c>
      <c r="I27" s="876">
        <v>265193</v>
      </c>
      <c r="J27" s="876">
        <v>331491</v>
      </c>
      <c r="L27" s="287" t="s">
        <v>158</v>
      </c>
      <c r="M27" s="287" t="s">
        <v>3114</v>
      </c>
      <c r="N27" s="934">
        <f t="shared" si="0"/>
        <v>121546</v>
      </c>
      <c r="O27" s="934">
        <f t="shared" si="0"/>
        <v>170165</v>
      </c>
      <c r="P27" s="934">
        <f t="shared" si="0"/>
        <v>218784</v>
      </c>
      <c r="Q27" s="934">
        <f t="shared" si="0"/>
        <v>291712</v>
      </c>
      <c r="R27" s="934">
        <f t="shared" si="0"/>
        <v>364640</v>
      </c>
      <c r="S27" s="287"/>
      <c r="T27" s="166"/>
      <c r="U27" s="166"/>
      <c r="V27" s="863"/>
      <c r="W27" s="863"/>
      <c r="X27" s="863"/>
      <c r="AA27" s="481"/>
      <c r="AB27" s="481"/>
    </row>
    <row r="28" spans="1:28" s="267" customFormat="1" ht="11.45" customHeight="1">
      <c r="A28" s="168"/>
      <c r="C28" s="307"/>
      <c r="D28" s="875" t="s">
        <v>158</v>
      </c>
      <c r="E28" s="875" t="s">
        <v>3112</v>
      </c>
      <c r="F28" s="876">
        <v>121614</v>
      </c>
      <c r="G28" s="876">
        <v>158920</v>
      </c>
      <c r="H28" s="876">
        <v>192685</v>
      </c>
      <c r="I28" s="876">
        <v>235391</v>
      </c>
      <c r="J28" s="876">
        <v>279054</v>
      </c>
      <c r="L28" s="287" t="s">
        <v>158</v>
      </c>
      <c r="M28" s="287" t="s">
        <v>3112</v>
      </c>
      <c r="N28" s="934">
        <f t="shared" si="0"/>
        <v>133775</v>
      </c>
      <c r="O28" s="934">
        <f t="shared" si="0"/>
        <v>174812</v>
      </c>
      <c r="P28" s="934">
        <f t="shared" si="0"/>
        <v>211953</v>
      </c>
      <c r="Q28" s="934">
        <f t="shared" si="0"/>
        <v>258930</v>
      </c>
      <c r="R28" s="934">
        <f t="shared" si="0"/>
        <v>306959</v>
      </c>
      <c r="S28" s="287"/>
      <c r="T28" s="166"/>
      <c r="U28" s="166"/>
      <c r="V28" s="863"/>
      <c r="W28" s="863"/>
      <c r="X28" s="863"/>
      <c r="AA28" s="481"/>
      <c r="AB28" s="481"/>
    </row>
    <row r="29" spans="1:28" s="267" customFormat="1" ht="11.45" customHeight="1">
      <c r="A29" s="168"/>
      <c r="C29" s="307"/>
      <c r="D29" s="875" t="s">
        <v>158</v>
      </c>
      <c r="E29" s="875" t="s">
        <v>3113</v>
      </c>
      <c r="F29" s="876">
        <v>108520</v>
      </c>
      <c r="G29" s="876">
        <v>147769</v>
      </c>
      <c r="H29" s="876">
        <v>186880</v>
      </c>
      <c r="I29" s="876">
        <v>246024</v>
      </c>
      <c r="J29" s="876">
        <v>304578</v>
      </c>
      <c r="L29" s="287" t="s">
        <v>158</v>
      </c>
      <c r="M29" s="287" t="s">
        <v>3113</v>
      </c>
      <c r="N29" s="934">
        <f t="shared" si="0"/>
        <v>119372</v>
      </c>
      <c r="O29" s="934">
        <f t="shared" si="0"/>
        <v>162545</v>
      </c>
      <c r="P29" s="934">
        <f t="shared" si="0"/>
        <v>205568</v>
      </c>
      <c r="Q29" s="934">
        <f t="shared" si="0"/>
        <v>270626</v>
      </c>
      <c r="R29" s="934">
        <f t="shared" si="0"/>
        <v>335035</v>
      </c>
      <c r="S29" s="287"/>
      <c r="T29" s="166"/>
      <c r="U29" s="166"/>
      <c r="V29" s="863"/>
      <c r="W29" s="863"/>
      <c r="X29" s="863"/>
      <c r="AA29" s="481"/>
      <c r="AB29" s="481"/>
    </row>
    <row r="30" spans="1:28" s="267" customFormat="1" ht="11.45" customHeight="1">
      <c r="A30" s="168"/>
      <c r="C30" s="307"/>
      <c r="D30" s="873" t="s">
        <v>1159</v>
      </c>
      <c r="E30" s="873" t="s">
        <v>3117</v>
      </c>
      <c r="F30" s="874">
        <v>155687</v>
      </c>
      <c r="G30" s="874">
        <v>201438</v>
      </c>
      <c r="H30" s="874">
        <v>241022</v>
      </c>
      <c r="I30" s="874">
        <v>287374</v>
      </c>
      <c r="J30" s="874">
        <v>338625</v>
      </c>
      <c r="L30" s="515" t="s">
        <v>1159</v>
      </c>
      <c r="M30" s="515" t="s">
        <v>3117</v>
      </c>
      <c r="N30" s="934">
        <f t="shared" si="0"/>
        <v>171255</v>
      </c>
      <c r="O30" s="934">
        <f t="shared" si="0"/>
        <v>221581</v>
      </c>
      <c r="P30" s="934">
        <f t="shared" si="0"/>
        <v>265124</v>
      </c>
      <c r="Q30" s="934">
        <f t="shared" si="0"/>
        <v>316111</v>
      </c>
      <c r="R30" s="934">
        <f t="shared" si="0"/>
        <v>372487</v>
      </c>
      <c r="S30" s="287"/>
      <c r="T30" s="166"/>
      <c r="U30" s="166"/>
      <c r="V30" s="863"/>
      <c r="W30" s="863"/>
      <c r="X30" s="863"/>
      <c r="AA30" s="481"/>
      <c r="AB30" s="481"/>
    </row>
    <row r="31" spans="1:28" s="267" customFormat="1" ht="11.45" customHeight="1">
      <c r="A31" s="168"/>
      <c r="C31" s="307"/>
      <c r="D31" s="873" t="s">
        <v>1159</v>
      </c>
      <c r="E31" s="873" t="s">
        <v>3114</v>
      </c>
      <c r="F31" s="874">
        <v>121337</v>
      </c>
      <c r="G31" s="874">
        <v>169871</v>
      </c>
      <c r="H31" s="874">
        <v>218406</v>
      </c>
      <c r="I31" s="874">
        <v>291208</v>
      </c>
      <c r="J31" s="874">
        <v>364010</v>
      </c>
      <c r="L31" s="515" t="s">
        <v>1159</v>
      </c>
      <c r="M31" s="515" t="s">
        <v>3114</v>
      </c>
      <c r="N31" s="934">
        <f t="shared" si="0"/>
        <v>133470</v>
      </c>
      <c r="O31" s="934">
        <f t="shared" si="0"/>
        <v>186858</v>
      </c>
      <c r="P31" s="934">
        <f t="shared" si="0"/>
        <v>240246</v>
      </c>
      <c r="Q31" s="934">
        <f t="shared" si="0"/>
        <v>320328</v>
      </c>
      <c r="R31" s="934">
        <f t="shared" si="0"/>
        <v>400411</v>
      </c>
      <c r="S31" s="287"/>
      <c r="T31" s="166"/>
      <c r="U31" s="166"/>
      <c r="V31" s="863"/>
      <c r="W31" s="863"/>
      <c r="X31" s="863"/>
      <c r="AA31" s="481"/>
      <c r="AB31" s="481"/>
    </row>
    <row r="32" spans="1:28" s="267" customFormat="1" ht="11.45" customHeight="1">
      <c r="A32" s="168"/>
      <c r="C32" s="307"/>
      <c r="D32" s="873" t="s">
        <v>1159</v>
      </c>
      <c r="E32" s="873" t="s">
        <v>3112</v>
      </c>
      <c r="F32" s="874">
        <v>133842</v>
      </c>
      <c r="G32" s="874">
        <v>174804</v>
      </c>
      <c r="H32" s="874">
        <v>211854</v>
      </c>
      <c r="I32" s="874">
        <v>258642</v>
      </c>
      <c r="J32" s="874">
        <v>306526</v>
      </c>
      <c r="L32" s="515" t="s">
        <v>1159</v>
      </c>
      <c r="M32" s="515" t="s">
        <v>3112</v>
      </c>
      <c r="N32" s="934">
        <f t="shared" si="0"/>
        <v>147226</v>
      </c>
      <c r="O32" s="934">
        <f t="shared" si="0"/>
        <v>192284</v>
      </c>
      <c r="P32" s="934">
        <f t="shared" si="0"/>
        <v>233039</v>
      </c>
      <c r="Q32" s="934">
        <f t="shared" si="0"/>
        <v>284506</v>
      </c>
      <c r="R32" s="934">
        <f t="shared" si="0"/>
        <v>337178</v>
      </c>
      <c r="S32" s="287"/>
      <c r="T32" s="166"/>
      <c r="U32" s="166"/>
      <c r="V32" s="863"/>
      <c r="W32" s="863"/>
      <c r="X32" s="863"/>
      <c r="AA32" s="481"/>
      <c r="AB32" s="481"/>
    </row>
    <row r="33" spans="1:28" s="267" customFormat="1" ht="11.45" customHeight="1">
      <c r="A33" s="168"/>
      <c r="C33" s="307"/>
      <c r="D33" s="873" t="s">
        <v>1159</v>
      </c>
      <c r="E33" s="873" t="s">
        <v>3113</v>
      </c>
      <c r="F33" s="874">
        <v>119649</v>
      </c>
      <c r="G33" s="874">
        <v>163008</v>
      </c>
      <c r="H33" s="874">
        <v>206217</v>
      </c>
      <c r="I33" s="874">
        <v>271547</v>
      </c>
      <c r="J33" s="874">
        <v>336239</v>
      </c>
      <c r="L33" s="515" t="s">
        <v>1159</v>
      </c>
      <c r="M33" s="515" t="s">
        <v>3113</v>
      </c>
      <c r="N33" s="934">
        <f t="shared" si="0"/>
        <v>131613</v>
      </c>
      <c r="O33" s="934">
        <f t="shared" si="0"/>
        <v>179308</v>
      </c>
      <c r="P33" s="934">
        <f t="shared" si="0"/>
        <v>226838</v>
      </c>
      <c r="Q33" s="934">
        <f t="shared" si="0"/>
        <v>298701</v>
      </c>
      <c r="R33" s="934">
        <f t="shared" si="0"/>
        <v>369862</v>
      </c>
      <c r="S33" s="287"/>
      <c r="T33" s="166"/>
      <c r="U33" s="166"/>
      <c r="V33" s="863"/>
      <c r="W33" s="863"/>
      <c r="X33" s="863"/>
      <c r="AA33" s="481"/>
      <c r="AB33" s="481"/>
    </row>
    <row r="34" spans="1:28" s="267" customFormat="1" ht="11.45" customHeight="1">
      <c r="A34" s="168"/>
      <c r="C34" s="307"/>
      <c r="D34" s="877" t="s">
        <v>1281</v>
      </c>
      <c r="E34" s="877" t="s">
        <v>3117</v>
      </c>
      <c r="F34" s="878">
        <v>145521</v>
      </c>
      <c r="G34" s="878">
        <v>188031</v>
      </c>
      <c r="H34" s="878">
        <v>224805</v>
      </c>
      <c r="I34" s="878">
        <v>267776</v>
      </c>
      <c r="J34" s="878">
        <v>315283</v>
      </c>
      <c r="L34" s="515" t="s">
        <v>1281</v>
      </c>
      <c r="M34" s="515" t="s">
        <v>3117</v>
      </c>
      <c r="N34" s="934">
        <f t="shared" si="0"/>
        <v>160073</v>
      </c>
      <c r="O34" s="934">
        <f t="shared" si="0"/>
        <v>206834</v>
      </c>
      <c r="P34" s="934">
        <f t="shared" si="0"/>
        <v>247285</v>
      </c>
      <c r="Q34" s="934">
        <f t="shared" si="0"/>
        <v>294553</v>
      </c>
      <c r="R34" s="934">
        <f t="shared" si="0"/>
        <v>346811</v>
      </c>
      <c r="S34" s="287"/>
      <c r="T34" s="166"/>
      <c r="U34" s="166"/>
      <c r="V34" s="863"/>
      <c r="W34" s="863"/>
      <c r="X34" s="863"/>
      <c r="AA34" s="481"/>
      <c r="AB34" s="481"/>
    </row>
    <row r="35" spans="1:28" s="267" customFormat="1" ht="11.45" customHeight="1">
      <c r="A35" s="168"/>
      <c r="C35" s="307"/>
      <c r="D35" s="877" t="s">
        <v>1281</v>
      </c>
      <c r="E35" s="877" t="s">
        <v>3114</v>
      </c>
      <c r="F35" s="878">
        <v>113472</v>
      </c>
      <c r="G35" s="878">
        <v>158861</v>
      </c>
      <c r="H35" s="878">
        <v>204249</v>
      </c>
      <c r="I35" s="878">
        <v>272333</v>
      </c>
      <c r="J35" s="878">
        <v>340416</v>
      </c>
      <c r="L35" s="515" t="s">
        <v>1281</v>
      </c>
      <c r="M35" s="515" t="s">
        <v>3114</v>
      </c>
      <c r="N35" s="934">
        <f t="shared" si="0"/>
        <v>124819</v>
      </c>
      <c r="O35" s="934">
        <f t="shared" si="0"/>
        <v>174747</v>
      </c>
      <c r="P35" s="934">
        <f t="shared" si="0"/>
        <v>224673</v>
      </c>
      <c r="Q35" s="934">
        <f t="shared" si="0"/>
        <v>299566</v>
      </c>
      <c r="R35" s="934">
        <f t="shared" si="0"/>
        <v>374457</v>
      </c>
      <c r="S35" s="287"/>
      <c r="T35" s="166"/>
      <c r="U35" s="166"/>
      <c r="V35" s="863"/>
      <c r="W35" s="863"/>
      <c r="X35" s="863"/>
      <c r="AA35" s="481"/>
      <c r="AB35" s="481"/>
    </row>
    <row r="36" spans="1:28" s="267" customFormat="1" ht="11.45" customHeight="1">
      <c r="A36" s="168"/>
      <c r="C36" s="307"/>
      <c r="D36" s="877" t="s">
        <v>1281</v>
      </c>
      <c r="E36" s="877" t="s">
        <v>3112</v>
      </c>
      <c r="F36" s="878">
        <v>126289</v>
      </c>
      <c r="G36" s="878">
        <v>164581</v>
      </c>
      <c r="H36" s="878">
        <v>199126</v>
      </c>
      <c r="I36" s="878">
        <v>242479</v>
      </c>
      <c r="J36" s="878">
        <v>287022</v>
      </c>
      <c r="L36" s="515" t="s">
        <v>1281</v>
      </c>
      <c r="M36" s="515" t="s">
        <v>3112</v>
      </c>
      <c r="N36" s="934">
        <f t="shared" si="0"/>
        <v>138917</v>
      </c>
      <c r="O36" s="934">
        <f t="shared" si="0"/>
        <v>181039</v>
      </c>
      <c r="P36" s="934">
        <f t="shared" si="0"/>
        <v>219038</v>
      </c>
      <c r="Q36" s="934">
        <f t="shared" si="0"/>
        <v>266726</v>
      </c>
      <c r="R36" s="934">
        <f t="shared" si="0"/>
        <v>315724</v>
      </c>
      <c r="S36" s="287"/>
      <c r="T36" s="166"/>
      <c r="U36" s="166"/>
      <c r="V36" s="863"/>
      <c r="W36" s="863"/>
      <c r="X36" s="863"/>
      <c r="AA36" s="481"/>
      <c r="AB36" s="481"/>
    </row>
    <row r="37" spans="1:28" s="267" customFormat="1" ht="11.45" customHeight="1">
      <c r="A37" s="168"/>
      <c r="C37" s="307"/>
      <c r="D37" s="877" t="s">
        <v>1281</v>
      </c>
      <c r="E37" s="877" t="s">
        <v>3113</v>
      </c>
      <c r="F37" s="878">
        <v>113715</v>
      </c>
      <c r="G37" s="878">
        <v>155238</v>
      </c>
      <c r="H37" s="878">
        <v>196629</v>
      </c>
      <c r="I37" s="878">
        <v>259171</v>
      </c>
      <c r="J37" s="878">
        <v>321151</v>
      </c>
      <c r="L37" s="515" t="s">
        <v>1281</v>
      </c>
      <c r="M37" s="515" t="s">
        <v>3113</v>
      </c>
      <c r="N37" s="934">
        <f t="shared" si="0"/>
        <v>125086</v>
      </c>
      <c r="O37" s="934">
        <f t="shared" si="0"/>
        <v>170761</v>
      </c>
      <c r="P37" s="934">
        <f t="shared" si="0"/>
        <v>216291</v>
      </c>
      <c r="Q37" s="934">
        <f t="shared" si="0"/>
        <v>285088</v>
      </c>
      <c r="R37" s="934">
        <f t="shared" si="0"/>
        <v>353266</v>
      </c>
      <c r="S37" s="287"/>
      <c r="T37" s="166"/>
      <c r="U37" s="166"/>
      <c r="V37" s="863"/>
      <c r="W37" s="863"/>
      <c r="X37" s="863"/>
      <c r="AA37" s="481"/>
      <c r="AB37" s="481"/>
    </row>
    <row r="38" spans="1:28" s="267" customFormat="1" ht="11.45" customHeight="1">
      <c r="A38" s="168"/>
      <c r="C38" s="307"/>
      <c r="D38" s="900" t="s">
        <v>1460</v>
      </c>
      <c r="E38" s="900" t="s">
        <v>3117</v>
      </c>
      <c r="F38" s="757">
        <v>151294</v>
      </c>
      <c r="G38" s="757">
        <v>195836</v>
      </c>
      <c r="H38" s="757">
        <v>234374</v>
      </c>
      <c r="I38" s="757">
        <v>279532</v>
      </c>
      <c r="J38" s="757">
        <v>329464</v>
      </c>
      <c r="L38" s="900" t="s">
        <v>1460</v>
      </c>
      <c r="M38" s="515" t="s">
        <v>3117</v>
      </c>
      <c r="N38" s="934">
        <f t="shared" ref="N38:R41" si="1">ROUNDDOWN(F38*1.1,0)</f>
        <v>166423</v>
      </c>
      <c r="O38" s="934">
        <f t="shared" si="1"/>
        <v>215419</v>
      </c>
      <c r="P38" s="934">
        <f t="shared" si="1"/>
        <v>257811</v>
      </c>
      <c r="Q38" s="934">
        <f t="shared" si="1"/>
        <v>307485</v>
      </c>
      <c r="R38" s="934">
        <f t="shared" si="1"/>
        <v>362410</v>
      </c>
      <c r="S38" s="287"/>
      <c r="T38" s="166"/>
      <c r="U38" s="166"/>
      <c r="V38" s="863"/>
      <c r="W38" s="863"/>
      <c r="X38" s="863"/>
      <c r="AA38" s="481"/>
      <c r="AB38" s="481"/>
    </row>
    <row r="39" spans="1:28" s="267" customFormat="1" ht="11.45" customHeight="1">
      <c r="A39" s="168"/>
      <c r="C39" s="307"/>
      <c r="D39" s="900" t="s">
        <v>1460</v>
      </c>
      <c r="E39" s="900" t="s">
        <v>3114</v>
      </c>
      <c r="F39" s="757">
        <v>117895</v>
      </c>
      <c r="G39" s="757">
        <v>165052</v>
      </c>
      <c r="H39" s="757">
        <v>212210</v>
      </c>
      <c r="I39" s="757">
        <v>282947</v>
      </c>
      <c r="J39" s="757">
        <v>353684</v>
      </c>
      <c r="L39" s="900" t="s">
        <v>1460</v>
      </c>
      <c r="M39" s="515" t="s">
        <v>3114</v>
      </c>
      <c r="N39" s="934">
        <f t="shared" si="1"/>
        <v>129684</v>
      </c>
      <c r="O39" s="934">
        <f t="shared" si="1"/>
        <v>181557</v>
      </c>
      <c r="P39" s="934">
        <f t="shared" si="1"/>
        <v>233431</v>
      </c>
      <c r="Q39" s="934">
        <f t="shared" si="1"/>
        <v>311241</v>
      </c>
      <c r="R39" s="934">
        <f t="shared" si="1"/>
        <v>389052</v>
      </c>
      <c r="S39" s="287"/>
      <c r="T39" s="166"/>
      <c r="U39" s="166"/>
      <c r="V39" s="863"/>
      <c r="W39" s="863"/>
      <c r="X39" s="863"/>
      <c r="AA39" s="481"/>
      <c r="AB39" s="481"/>
    </row>
    <row r="40" spans="1:28" s="267" customFormat="1" ht="11.45" customHeight="1">
      <c r="A40" s="168"/>
      <c r="C40" s="307"/>
      <c r="D40" s="900" t="s">
        <v>1460</v>
      </c>
      <c r="E40" s="900" t="s">
        <v>3112</v>
      </c>
      <c r="F40" s="757">
        <v>129687</v>
      </c>
      <c r="G40" s="757">
        <v>169491</v>
      </c>
      <c r="H40" s="757">
        <v>205524</v>
      </c>
      <c r="I40" s="757">
        <v>251113</v>
      </c>
      <c r="J40" s="757">
        <v>297714</v>
      </c>
      <c r="L40" s="900" t="s">
        <v>1460</v>
      </c>
      <c r="M40" s="515" t="s">
        <v>3112</v>
      </c>
      <c r="N40" s="934">
        <f t="shared" si="1"/>
        <v>142655</v>
      </c>
      <c r="O40" s="934">
        <f t="shared" si="1"/>
        <v>186440</v>
      </c>
      <c r="P40" s="934">
        <f t="shared" si="1"/>
        <v>226076</v>
      </c>
      <c r="Q40" s="934">
        <f t="shared" si="1"/>
        <v>276224</v>
      </c>
      <c r="R40" s="934">
        <f t="shared" si="1"/>
        <v>327485</v>
      </c>
      <c r="S40" s="287"/>
      <c r="T40" s="166"/>
      <c r="U40" s="166"/>
      <c r="V40" s="863"/>
      <c r="W40" s="863"/>
      <c r="X40" s="863"/>
      <c r="AA40" s="481"/>
      <c r="AB40" s="481"/>
    </row>
    <row r="41" spans="1:28" s="267" customFormat="1" ht="11.45" customHeight="1">
      <c r="A41" s="168"/>
      <c r="C41" s="307"/>
      <c r="D41" s="900" t="s">
        <v>1460</v>
      </c>
      <c r="E41" s="900" t="s">
        <v>3113</v>
      </c>
      <c r="F41" s="757">
        <v>115673</v>
      </c>
      <c r="G41" s="757">
        <v>157490</v>
      </c>
      <c r="H41" s="757">
        <v>199159</v>
      </c>
      <c r="I41" s="757">
        <v>262174</v>
      </c>
      <c r="J41" s="757">
        <v>324557</v>
      </c>
      <c r="L41" s="900" t="s">
        <v>1460</v>
      </c>
      <c r="M41" s="515" t="s">
        <v>3113</v>
      </c>
      <c r="N41" s="934">
        <f t="shared" si="1"/>
        <v>127240</v>
      </c>
      <c r="O41" s="934">
        <f t="shared" si="1"/>
        <v>173239</v>
      </c>
      <c r="P41" s="934">
        <f t="shared" si="1"/>
        <v>219074</v>
      </c>
      <c r="Q41" s="934">
        <f t="shared" si="1"/>
        <v>288391</v>
      </c>
      <c r="R41" s="934">
        <f t="shared" si="1"/>
        <v>357012</v>
      </c>
      <c r="S41" s="287"/>
      <c r="T41" s="166"/>
      <c r="U41" s="166"/>
      <c r="V41" s="863"/>
      <c r="W41" s="863"/>
      <c r="X41" s="863"/>
      <c r="AA41" s="481"/>
      <c r="AB41" s="481"/>
    </row>
    <row r="42" spans="1:28" s="267" customFormat="1" ht="11.45" customHeight="1">
      <c r="A42" s="168"/>
      <c r="C42" s="307"/>
      <c r="D42" s="879" t="s">
        <v>153</v>
      </c>
      <c r="E42" s="879" t="s">
        <v>3117</v>
      </c>
      <c r="F42" s="880">
        <v>142816</v>
      </c>
      <c r="G42" s="880">
        <v>184662</v>
      </c>
      <c r="H42" s="880">
        <v>220865</v>
      </c>
      <c r="I42" s="880">
        <v>263215</v>
      </c>
      <c r="J42" s="880">
        <v>310038</v>
      </c>
      <c r="L42" s="287" t="s">
        <v>153</v>
      </c>
      <c r="M42" s="287" t="s">
        <v>3117</v>
      </c>
      <c r="N42" s="934">
        <f t="shared" ref="N42:R57" si="2">ROUNDDOWN(F42*1.1,0)</f>
        <v>157097</v>
      </c>
      <c r="O42" s="934">
        <f t="shared" si="2"/>
        <v>203128</v>
      </c>
      <c r="P42" s="934">
        <f t="shared" si="2"/>
        <v>242951</v>
      </c>
      <c r="Q42" s="934">
        <f t="shared" si="2"/>
        <v>289536</v>
      </c>
      <c r="R42" s="934">
        <f t="shared" si="2"/>
        <v>341041</v>
      </c>
      <c r="S42" s="287"/>
      <c r="T42" s="166"/>
      <c r="U42" s="166"/>
      <c r="V42" s="863"/>
      <c r="W42" s="863"/>
      <c r="X42" s="863"/>
      <c r="AA42" s="481"/>
      <c r="AB42" s="481"/>
    </row>
    <row r="43" spans="1:28" s="267" customFormat="1" ht="11.45" customHeight="1">
      <c r="A43" s="168"/>
      <c r="C43" s="307"/>
      <c r="D43" s="879" t="s">
        <v>153</v>
      </c>
      <c r="E43" s="879" t="s">
        <v>3114</v>
      </c>
      <c r="F43" s="880">
        <v>111333</v>
      </c>
      <c r="G43" s="880">
        <v>155866</v>
      </c>
      <c r="H43" s="880">
        <v>200399</v>
      </c>
      <c r="I43" s="880">
        <v>267199</v>
      </c>
      <c r="J43" s="880">
        <v>333999</v>
      </c>
      <c r="L43" s="287" t="s">
        <v>153</v>
      </c>
      <c r="M43" s="287" t="s">
        <v>3114</v>
      </c>
      <c r="N43" s="934">
        <f t="shared" si="2"/>
        <v>122466</v>
      </c>
      <c r="O43" s="934">
        <f t="shared" si="2"/>
        <v>171452</v>
      </c>
      <c r="P43" s="934">
        <f t="shared" si="2"/>
        <v>220438</v>
      </c>
      <c r="Q43" s="934">
        <f t="shared" si="2"/>
        <v>293918</v>
      </c>
      <c r="R43" s="934">
        <f t="shared" si="2"/>
        <v>367398</v>
      </c>
      <c r="S43" s="287"/>
      <c r="T43" s="166"/>
      <c r="U43" s="166"/>
      <c r="V43" s="863"/>
      <c r="W43" s="863"/>
      <c r="X43" s="863"/>
      <c r="AA43" s="481"/>
      <c r="AB43" s="481"/>
    </row>
    <row r="44" spans="1:28" s="267" customFormat="1" ht="11.45" customHeight="1">
      <c r="A44" s="168"/>
      <c r="C44" s="307"/>
      <c r="D44" s="879" t="s">
        <v>153</v>
      </c>
      <c r="E44" s="879" t="s">
        <v>3112</v>
      </c>
      <c r="F44" s="880">
        <v>123345</v>
      </c>
      <c r="G44" s="880">
        <v>160923</v>
      </c>
      <c r="H44" s="880">
        <v>194869</v>
      </c>
      <c r="I44" s="880">
        <v>237606</v>
      </c>
      <c r="J44" s="880">
        <v>281429</v>
      </c>
      <c r="L44" s="287" t="s">
        <v>153</v>
      </c>
      <c r="M44" s="287" t="s">
        <v>3112</v>
      </c>
      <c r="N44" s="934">
        <f t="shared" si="2"/>
        <v>135679</v>
      </c>
      <c r="O44" s="934">
        <f t="shared" si="2"/>
        <v>177015</v>
      </c>
      <c r="P44" s="934">
        <f t="shared" si="2"/>
        <v>214355</v>
      </c>
      <c r="Q44" s="934">
        <f t="shared" si="2"/>
        <v>261366</v>
      </c>
      <c r="R44" s="934">
        <f t="shared" si="2"/>
        <v>309571</v>
      </c>
      <c r="S44" s="287"/>
      <c r="T44" s="166"/>
      <c r="U44" s="166"/>
      <c r="V44" s="863"/>
      <c r="W44" s="863"/>
      <c r="X44" s="863"/>
      <c r="AA44" s="481"/>
      <c r="AB44" s="481"/>
    </row>
    <row r="45" spans="1:28" s="267" customFormat="1" ht="11.45" customHeight="1">
      <c r="A45" s="168"/>
      <c r="C45" s="307"/>
      <c r="D45" s="879" t="s">
        <v>153</v>
      </c>
      <c r="E45" s="879" t="s">
        <v>3113</v>
      </c>
      <c r="F45" s="880">
        <v>110658</v>
      </c>
      <c r="G45" s="880">
        <v>150909</v>
      </c>
      <c r="H45" s="880">
        <v>191026</v>
      </c>
      <c r="I45" s="880">
        <v>251664</v>
      </c>
      <c r="J45" s="880">
        <v>311733</v>
      </c>
      <c r="L45" s="287" t="s">
        <v>153</v>
      </c>
      <c r="M45" s="287" t="s">
        <v>3113</v>
      </c>
      <c r="N45" s="934">
        <f t="shared" si="2"/>
        <v>121723</v>
      </c>
      <c r="O45" s="934">
        <f t="shared" si="2"/>
        <v>165999</v>
      </c>
      <c r="P45" s="934">
        <f t="shared" si="2"/>
        <v>210128</v>
      </c>
      <c r="Q45" s="934">
        <f t="shared" si="2"/>
        <v>276830</v>
      </c>
      <c r="R45" s="934">
        <f t="shared" si="2"/>
        <v>342906</v>
      </c>
      <c r="S45" s="287"/>
      <c r="T45" s="166"/>
      <c r="U45" s="166"/>
      <c r="V45" s="863"/>
      <c r="W45" s="863"/>
      <c r="X45" s="863"/>
      <c r="AA45" s="481"/>
      <c r="AB45" s="481"/>
    </row>
    <row r="46" spans="1:28" s="267" customFormat="1" ht="11.45" customHeight="1">
      <c r="A46" s="168"/>
      <c r="C46" s="307"/>
      <c r="D46" s="881" t="s">
        <v>1271</v>
      </c>
      <c r="E46" s="881" t="s">
        <v>3117</v>
      </c>
      <c r="F46" s="882">
        <v>145346</v>
      </c>
      <c r="G46" s="882">
        <v>188013</v>
      </c>
      <c r="H46" s="882">
        <v>224927</v>
      </c>
      <c r="I46" s="882">
        <v>268137</v>
      </c>
      <c r="J46" s="882">
        <v>315913</v>
      </c>
      <c r="L46" s="515" t="s">
        <v>1271</v>
      </c>
      <c r="M46" s="515" t="s">
        <v>3117</v>
      </c>
      <c r="N46" s="934">
        <f t="shared" si="2"/>
        <v>159880</v>
      </c>
      <c r="O46" s="934">
        <f t="shared" si="2"/>
        <v>206814</v>
      </c>
      <c r="P46" s="934">
        <f t="shared" si="2"/>
        <v>247419</v>
      </c>
      <c r="Q46" s="934">
        <f t="shared" si="2"/>
        <v>294950</v>
      </c>
      <c r="R46" s="934">
        <f t="shared" si="2"/>
        <v>347504</v>
      </c>
      <c r="S46" s="287"/>
      <c r="T46" s="166"/>
      <c r="U46" s="166"/>
      <c r="V46" s="863"/>
      <c r="W46" s="863"/>
      <c r="X46" s="863"/>
      <c r="AA46" s="481"/>
      <c r="AB46" s="481"/>
    </row>
    <row r="47" spans="1:28" s="267" customFormat="1" ht="11.45" customHeight="1">
      <c r="A47" s="168"/>
      <c r="C47" s="307"/>
      <c r="D47" s="881" t="s">
        <v>1271</v>
      </c>
      <c r="E47" s="881" t="s">
        <v>3114</v>
      </c>
      <c r="F47" s="882">
        <v>113288</v>
      </c>
      <c r="G47" s="882">
        <v>158603</v>
      </c>
      <c r="H47" s="882">
        <v>203918</v>
      </c>
      <c r="I47" s="882">
        <v>271890</v>
      </c>
      <c r="J47" s="882">
        <v>339863</v>
      </c>
      <c r="L47" s="515" t="s">
        <v>1271</v>
      </c>
      <c r="M47" s="515" t="s">
        <v>3114</v>
      </c>
      <c r="N47" s="934">
        <f t="shared" si="2"/>
        <v>124616</v>
      </c>
      <c r="O47" s="934">
        <f t="shared" si="2"/>
        <v>174463</v>
      </c>
      <c r="P47" s="934">
        <f t="shared" si="2"/>
        <v>224309</v>
      </c>
      <c r="Q47" s="934">
        <f t="shared" si="2"/>
        <v>299079</v>
      </c>
      <c r="R47" s="934">
        <f t="shared" si="2"/>
        <v>373849</v>
      </c>
      <c r="S47" s="287"/>
      <c r="T47" s="166"/>
      <c r="U47" s="166"/>
      <c r="V47" s="863"/>
      <c r="W47" s="863"/>
      <c r="X47" s="863"/>
      <c r="AA47" s="481"/>
      <c r="AB47" s="481"/>
    </row>
    <row r="48" spans="1:28" s="267" customFormat="1" ht="11.45" customHeight="1">
      <c r="A48" s="168"/>
      <c r="C48" s="307"/>
      <c r="D48" s="881" t="s">
        <v>1271</v>
      </c>
      <c r="E48" s="881" t="s">
        <v>3112</v>
      </c>
      <c r="F48" s="882">
        <v>125163</v>
      </c>
      <c r="G48" s="882">
        <v>163405</v>
      </c>
      <c r="H48" s="882">
        <v>197979</v>
      </c>
      <c r="I48" s="882">
        <v>241592</v>
      </c>
      <c r="J48" s="882">
        <v>286257</v>
      </c>
      <c r="L48" s="515" t="s">
        <v>1271</v>
      </c>
      <c r="M48" s="515" t="s">
        <v>3112</v>
      </c>
      <c r="N48" s="934">
        <f t="shared" si="2"/>
        <v>137679</v>
      </c>
      <c r="O48" s="934">
        <f t="shared" si="2"/>
        <v>179745</v>
      </c>
      <c r="P48" s="934">
        <f t="shared" si="2"/>
        <v>217776</v>
      </c>
      <c r="Q48" s="934">
        <f t="shared" si="2"/>
        <v>265751</v>
      </c>
      <c r="R48" s="934">
        <f t="shared" si="2"/>
        <v>314882</v>
      </c>
      <c r="S48" s="287"/>
      <c r="T48" s="166"/>
      <c r="U48" s="166"/>
      <c r="V48" s="863"/>
      <c r="W48" s="863"/>
      <c r="X48" s="863"/>
      <c r="AA48" s="481"/>
      <c r="AB48" s="481"/>
    </row>
    <row r="49" spans="1:28" s="267" customFormat="1" ht="11.45" customHeight="1">
      <c r="A49" s="168"/>
      <c r="C49" s="307"/>
      <c r="D49" s="881" t="s">
        <v>1271</v>
      </c>
      <c r="E49" s="881" t="s">
        <v>3113</v>
      </c>
      <c r="F49" s="882">
        <v>112036</v>
      </c>
      <c r="G49" s="882">
        <v>152693</v>
      </c>
      <c r="H49" s="882">
        <v>193210</v>
      </c>
      <c r="I49" s="882">
        <v>254464</v>
      </c>
      <c r="J49" s="882">
        <v>315128</v>
      </c>
      <c r="L49" s="515" t="s">
        <v>1271</v>
      </c>
      <c r="M49" s="515" t="s">
        <v>3113</v>
      </c>
      <c r="N49" s="934">
        <f t="shared" si="2"/>
        <v>123239</v>
      </c>
      <c r="O49" s="934">
        <f t="shared" si="2"/>
        <v>167962</v>
      </c>
      <c r="P49" s="934">
        <f t="shared" si="2"/>
        <v>212531</v>
      </c>
      <c r="Q49" s="934">
        <f t="shared" si="2"/>
        <v>279910</v>
      </c>
      <c r="R49" s="934">
        <f t="shared" si="2"/>
        <v>346640</v>
      </c>
      <c r="S49" s="287"/>
      <c r="T49" s="166"/>
      <c r="U49" s="166"/>
      <c r="V49" s="863"/>
      <c r="W49" s="863"/>
      <c r="X49" s="863"/>
      <c r="AA49" s="481"/>
      <c r="AB49" s="481"/>
    </row>
    <row r="50" spans="1:28" s="267" customFormat="1" ht="11.45" customHeight="1">
      <c r="A50" s="168"/>
      <c r="C50" s="307"/>
      <c r="D50" s="873" t="s">
        <v>1277</v>
      </c>
      <c r="E50" s="873" t="s">
        <v>3117</v>
      </c>
      <c r="F50" s="874">
        <v>148008</v>
      </c>
      <c r="G50" s="874">
        <v>191377</v>
      </c>
      <c r="H50" s="874">
        <v>228898</v>
      </c>
      <c r="I50" s="874">
        <v>272788</v>
      </c>
      <c r="J50" s="874">
        <v>321315</v>
      </c>
      <c r="L50" s="515" t="s">
        <v>1277</v>
      </c>
      <c r="M50" s="515" t="s">
        <v>3117</v>
      </c>
      <c r="N50" s="934">
        <f t="shared" si="2"/>
        <v>162808</v>
      </c>
      <c r="O50" s="934">
        <f t="shared" si="2"/>
        <v>210514</v>
      </c>
      <c r="P50" s="934">
        <f t="shared" si="2"/>
        <v>251787</v>
      </c>
      <c r="Q50" s="934">
        <f t="shared" si="2"/>
        <v>300066</v>
      </c>
      <c r="R50" s="934">
        <f t="shared" si="2"/>
        <v>353446</v>
      </c>
      <c r="S50" s="287"/>
      <c r="T50" s="166"/>
      <c r="U50" s="166"/>
      <c r="V50" s="863"/>
      <c r="W50" s="863"/>
      <c r="X50" s="863"/>
      <c r="AA50" s="481"/>
      <c r="AB50" s="481"/>
    </row>
    <row r="51" spans="1:28" s="267" customFormat="1" ht="11.45" customHeight="1">
      <c r="A51" s="168"/>
      <c r="C51" s="307"/>
      <c r="D51" s="873" t="s">
        <v>1277</v>
      </c>
      <c r="E51" s="873" t="s">
        <v>3114</v>
      </c>
      <c r="F51" s="874">
        <v>115381</v>
      </c>
      <c r="G51" s="874">
        <v>161533</v>
      </c>
      <c r="H51" s="874">
        <v>207685</v>
      </c>
      <c r="I51" s="874">
        <v>276913</v>
      </c>
      <c r="J51" s="874">
        <v>346142</v>
      </c>
      <c r="L51" s="515" t="s">
        <v>1277</v>
      </c>
      <c r="M51" s="515" t="s">
        <v>3114</v>
      </c>
      <c r="N51" s="934">
        <f t="shared" si="2"/>
        <v>126919</v>
      </c>
      <c r="O51" s="934">
        <f t="shared" si="2"/>
        <v>177686</v>
      </c>
      <c r="P51" s="934">
        <f t="shared" si="2"/>
        <v>228453</v>
      </c>
      <c r="Q51" s="934">
        <f t="shared" si="2"/>
        <v>304604</v>
      </c>
      <c r="R51" s="934">
        <f t="shared" si="2"/>
        <v>380756</v>
      </c>
      <c r="S51" s="287"/>
      <c r="T51" s="166"/>
      <c r="U51" s="166"/>
      <c r="V51" s="863"/>
      <c r="W51" s="863"/>
      <c r="X51" s="863"/>
      <c r="AA51" s="481"/>
      <c r="AB51" s="481"/>
    </row>
    <row r="52" spans="1:28" s="267" customFormat="1" ht="11.45" customHeight="1">
      <c r="A52" s="168"/>
      <c r="C52" s="307"/>
      <c r="D52" s="873" t="s">
        <v>1277</v>
      </c>
      <c r="E52" s="873" t="s">
        <v>3112</v>
      </c>
      <c r="F52" s="874">
        <v>127825</v>
      </c>
      <c r="G52" s="874">
        <v>166769</v>
      </c>
      <c r="H52" s="874">
        <v>201950</v>
      </c>
      <c r="I52" s="874">
        <v>246243</v>
      </c>
      <c r="J52" s="874">
        <v>291659</v>
      </c>
      <c r="L52" s="515" t="s">
        <v>1277</v>
      </c>
      <c r="M52" s="515" t="s">
        <v>3112</v>
      </c>
      <c r="N52" s="934">
        <f t="shared" si="2"/>
        <v>140607</v>
      </c>
      <c r="O52" s="934">
        <f t="shared" si="2"/>
        <v>183445</v>
      </c>
      <c r="P52" s="934">
        <f t="shared" si="2"/>
        <v>222145</v>
      </c>
      <c r="Q52" s="934">
        <f t="shared" si="2"/>
        <v>270867</v>
      </c>
      <c r="R52" s="934">
        <f t="shared" si="2"/>
        <v>320824</v>
      </c>
      <c r="S52" s="287"/>
      <c r="T52" s="166"/>
      <c r="U52" s="166"/>
      <c r="V52" s="863"/>
      <c r="W52" s="863"/>
      <c r="X52" s="863"/>
      <c r="AA52" s="481"/>
      <c r="AB52" s="481"/>
    </row>
    <row r="53" spans="1:28" s="267" customFormat="1" ht="11.45" customHeight="1">
      <c r="A53" s="168"/>
      <c r="C53" s="307"/>
      <c r="D53" s="873" t="s">
        <v>1277</v>
      </c>
      <c r="E53" s="873" t="s">
        <v>3113</v>
      </c>
      <c r="F53" s="874">
        <v>114674</v>
      </c>
      <c r="G53" s="874">
        <v>156385</v>
      </c>
      <c r="H53" s="874">
        <v>197957</v>
      </c>
      <c r="I53" s="874">
        <v>260794</v>
      </c>
      <c r="J53" s="874">
        <v>323041</v>
      </c>
      <c r="L53" s="515" t="s">
        <v>1277</v>
      </c>
      <c r="M53" s="515" t="s">
        <v>3113</v>
      </c>
      <c r="N53" s="934">
        <f t="shared" si="2"/>
        <v>126141</v>
      </c>
      <c r="O53" s="934">
        <f t="shared" si="2"/>
        <v>172023</v>
      </c>
      <c r="P53" s="934">
        <f t="shared" si="2"/>
        <v>217752</v>
      </c>
      <c r="Q53" s="934">
        <f t="shared" si="2"/>
        <v>286873</v>
      </c>
      <c r="R53" s="934">
        <f t="shared" si="2"/>
        <v>355345</v>
      </c>
      <c r="S53" s="287"/>
      <c r="T53" s="166"/>
      <c r="U53" s="166"/>
      <c r="V53" s="863"/>
      <c r="W53" s="863"/>
      <c r="X53" s="863"/>
      <c r="AA53" s="481"/>
      <c r="AB53" s="481"/>
    </row>
    <row r="54" spans="1:28" s="267" customFormat="1" ht="11.45" customHeight="1">
      <c r="A54" s="168"/>
      <c r="C54" s="307"/>
      <c r="D54" s="877" t="s">
        <v>1620</v>
      </c>
      <c r="E54" s="877" t="s">
        <v>3117</v>
      </c>
      <c r="F54" s="878">
        <v>135717</v>
      </c>
      <c r="G54" s="878">
        <v>175691</v>
      </c>
      <c r="H54" s="878">
        <v>210278</v>
      </c>
      <c r="I54" s="878">
        <v>250813</v>
      </c>
      <c r="J54" s="878">
        <v>295633</v>
      </c>
      <c r="L54" s="515" t="s">
        <v>1620</v>
      </c>
      <c r="M54" s="515" t="s">
        <v>3117</v>
      </c>
      <c r="N54" s="934">
        <f t="shared" si="2"/>
        <v>149288</v>
      </c>
      <c r="O54" s="934">
        <f t="shared" si="2"/>
        <v>193260</v>
      </c>
      <c r="P54" s="934">
        <f t="shared" si="2"/>
        <v>231305</v>
      </c>
      <c r="Q54" s="934">
        <f t="shared" si="2"/>
        <v>275894</v>
      </c>
      <c r="R54" s="934">
        <f t="shared" si="2"/>
        <v>325196</v>
      </c>
      <c r="S54" s="287"/>
      <c r="T54" s="166"/>
      <c r="U54" s="166"/>
      <c r="V54" s="863"/>
      <c r="W54" s="863"/>
      <c r="X54" s="863"/>
      <c r="AA54" s="481"/>
      <c r="AB54" s="481"/>
    </row>
    <row r="55" spans="1:28" s="267" customFormat="1" ht="11.45" customHeight="1">
      <c r="A55" s="168"/>
      <c r="C55" s="307"/>
      <c r="D55" s="877" t="s">
        <v>1620</v>
      </c>
      <c r="E55" s="877" t="s">
        <v>3114</v>
      </c>
      <c r="F55" s="878">
        <v>105752</v>
      </c>
      <c r="G55" s="878">
        <v>148052</v>
      </c>
      <c r="H55" s="878">
        <v>190353</v>
      </c>
      <c r="I55" s="878">
        <v>253804</v>
      </c>
      <c r="J55" s="878">
        <v>317255</v>
      </c>
      <c r="L55" s="515" t="s">
        <v>1620</v>
      </c>
      <c r="M55" s="515" t="s">
        <v>3114</v>
      </c>
      <c r="N55" s="934">
        <f t="shared" si="2"/>
        <v>116327</v>
      </c>
      <c r="O55" s="934">
        <f t="shared" si="2"/>
        <v>162857</v>
      </c>
      <c r="P55" s="934">
        <f t="shared" si="2"/>
        <v>209388</v>
      </c>
      <c r="Q55" s="934">
        <f t="shared" si="2"/>
        <v>279184</v>
      </c>
      <c r="R55" s="934">
        <f t="shared" si="2"/>
        <v>348980</v>
      </c>
      <c r="S55" s="287"/>
      <c r="T55" s="166"/>
      <c r="U55" s="166"/>
      <c r="V55" s="863"/>
      <c r="W55" s="863"/>
      <c r="X55" s="863"/>
      <c r="AA55" s="481"/>
      <c r="AB55" s="481"/>
    </row>
    <row r="56" spans="1:28" s="267" customFormat="1" ht="11.45" customHeight="1">
      <c r="A56" s="168"/>
      <c r="C56" s="307"/>
      <c r="D56" s="877" t="s">
        <v>1620</v>
      </c>
      <c r="E56" s="877" t="s">
        <v>3112</v>
      </c>
      <c r="F56" s="878">
        <v>116246</v>
      </c>
      <c r="G56" s="878">
        <v>151952</v>
      </c>
      <c r="H56" s="878">
        <v>184281</v>
      </c>
      <c r="I56" s="878">
        <v>225204</v>
      </c>
      <c r="J56" s="878">
        <v>267023</v>
      </c>
      <c r="L56" s="515" t="s">
        <v>1620</v>
      </c>
      <c r="M56" s="515" t="s">
        <v>3112</v>
      </c>
      <c r="N56" s="934">
        <f t="shared" si="2"/>
        <v>127870</v>
      </c>
      <c r="O56" s="934">
        <f t="shared" si="2"/>
        <v>167147</v>
      </c>
      <c r="P56" s="934">
        <f t="shared" si="2"/>
        <v>202709</v>
      </c>
      <c r="Q56" s="934">
        <f t="shared" si="2"/>
        <v>247724</v>
      </c>
      <c r="R56" s="934">
        <f t="shared" si="2"/>
        <v>293725</v>
      </c>
      <c r="S56" s="287"/>
      <c r="T56" s="166"/>
      <c r="U56" s="166"/>
      <c r="V56" s="863"/>
      <c r="W56" s="863"/>
      <c r="X56" s="863"/>
      <c r="AA56" s="481"/>
      <c r="AB56" s="481"/>
    </row>
    <row r="57" spans="1:28" s="267" customFormat="1" ht="11.45" customHeight="1">
      <c r="A57" s="168"/>
      <c r="C57" s="307"/>
      <c r="D57" s="877" t="s">
        <v>1620</v>
      </c>
      <c r="E57" s="877" t="s">
        <v>3113</v>
      </c>
      <c r="F57" s="878">
        <v>103624</v>
      </c>
      <c r="G57" s="878">
        <v>141062</v>
      </c>
      <c r="H57" s="878">
        <v>178366</v>
      </c>
      <c r="I57" s="878">
        <v>234784</v>
      </c>
      <c r="J57" s="878">
        <v>290632</v>
      </c>
      <c r="L57" s="515" t="s">
        <v>1620</v>
      </c>
      <c r="M57" s="515" t="s">
        <v>3113</v>
      </c>
      <c r="N57" s="934">
        <f t="shared" si="2"/>
        <v>113986</v>
      </c>
      <c r="O57" s="934">
        <f t="shared" si="2"/>
        <v>155168</v>
      </c>
      <c r="P57" s="934">
        <f t="shared" si="2"/>
        <v>196202</v>
      </c>
      <c r="Q57" s="934">
        <f t="shared" si="2"/>
        <v>258262</v>
      </c>
      <c r="R57" s="934">
        <f t="shared" si="2"/>
        <v>319695</v>
      </c>
      <c r="S57" s="287"/>
      <c r="T57" s="166"/>
      <c r="U57" s="166"/>
      <c r="V57" s="863"/>
      <c r="W57" s="863"/>
      <c r="X57" s="863"/>
      <c r="AA57" s="481"/>
      <c r="AB57" s="481"/>
    </row>
    <row r="58" spans="1:28" s="267" customFormat="1" ht="3" customHeight="1">
      <c r="A58" s="168"/>
      <c r="B58" s="168"/>
      <c r="C58" s="168"/>
      <c r="D58" s="168"/>
      <c r="E58" s="166"/>
      <c r="F58" s="168"/>
      <c r="G58" s="168"/>
      <c r="H58" s="276"/>
      <c r="I58" s="166"/>
      <c r="J58" s="168"/>
      <c r="K58" s="277"/>
      <c r="L58" s="277"/>
      <c r="M58" s="277"/>
      <c r="N58" s="277"/>
      <c r="O58" s="168"/>
      <c r="P58" s="166"/>
      <c r="Q58" s="275"/>
      <c r="R58" s="275"/>
      <c r="S58" s="166"/>
      <c r="T58" s="166"/>
      <c r="U58" s="166"/>
      <c r="AA58" s="481"/>
      <c r="AB58" s="481"/>
    </row>
    <row r="59" spans="1:28" s="267" customFormat="1" ht="11.45" customHeight="1">
      <c r="A59" s="168"/>
      <c r="B59" s="168"/>
      <c r="C59" s="168"/>
      <c r="D59" s="166"/>
      <c r="E59" s="166"/>
      <c r="O59" s="168"/>
      <c r="T59" s="273"/>
      <c r="U59" s="166"/>
      <c r="V59" s="863"/>
      <c r="W59" s="863"/>
      <c r="X59" s="863"/>
      <c r="AA59" s="481"/>
      <c r="AB59" s="481"/>
    </row>
    <row r="60" spans="1:28" s="267" customFormat="1" ht="11.45" customHeight="1">
      <c r="A60" s="268" t="s">
        <v>1649</v>
      </c>
      <c r="B60" s="268"/>
      <c r="C60" s="268"/>
      <c r="D60" s="166"/>
      <c r="E60" s="166"/>
      <c r="F60" s="268" t="s">
        <v>1650</v>
      </c>
      <c r="G60" s="268"/>
      <c r="H60" s="166"/>
      <c r="I60" s="166"/>
      <c r="J60" s="268" t="s">
        <v>1651</v>
      </c>
      <c r="K60" s="268"/>
      <c r="L60" s="268"/>
      <c r="M60" s="268"/>
      <c r="N60" s="268"/>
      <c r="O60" s="268"/>
      <c r="P60" s="166"/>
      <c r="Q60" s="169" t="s">
        <v>2822</v>
      </c>
      <c r="R60" s="169" t="s">
        <v>1652</v>
      </c>
      <c r="S60" s="287"/>
      <c r="T60" s="273"/>
      <c r="U60" s="166"/>
      <c r="V60" s="863"/>
      <c r="W60" s="863"/>
      <c r="X60" s="863"/>
      <c r="AA60" s="481"/>
      <c r="AB60" s="481"/>
    </row>
    <row r="61" spans="1:28" s="267" customFormat="1" ht="3" customHeight="1">
      <c r="A61" s="168"/>
      <c r="B61" s="168"/>
      <c r="C61" s="168"/>
      <c r="D61" s="168"/>
      <c r="E61" s="166"/>
      <c r="F61" s="168"/>
      <c r="G61" s="168"/>
      <c r="H61" s="276"/>
      <c r="I61" s="166"/>
      <c r="J61" s="168"/>
      <c r="K61" s="277"/>
      <c r="L61" s="277"/>
      <c r="M61" s="277"/>
      <c r="N61" s="277"/>
      <c r="O61" s="168"/>
      <c r="P61" s="166"/>
      <c r="Q61" s="275"/>
      <c r="R61" s="275"/>
      <c r="S61" s="166"/>
      <c r="T61" s="166"/>
      <c r="U61" s="166"/>
      <c r="AA61" s="481"/>
      <c r="AB61" s="481"/>
    </row>
    <row r="62" spans="1:28" s="267" customFormat="1" ht="12" customHeight="1">
      <c r="A62" s="272" t="s">
        <v>1149</v>
      </c>
      <c r="B62" s="268"/>
      <c r="C62" s="268"/>
      <c r="D62" s="268"/>
      <c r="E62" s="166"/>
      <c r="F62" s="268"/>
      <c r="G62" s="268"/>
      <c r="H62" s="268"/>
      <c r="I62" s="166"/>
      <c r="J62" s="168"/>
      <c r="K62" s="268"/>
      <c r="L62" s="268"/>
      <c r="M62" s="268"/>
      <c r="N62" s="268"/>
      <c r="O62" s="268"/>
      <c r="P62" s="166"/>
      <c r="Q62" s="269"/>
      <c r="R62" s="270"/>
      <c r="S62" s="271"/>
      <c r="AA62" s="481"/>
      <c r="AB62" s="481"/>
    </row>
    <row r="63" spans="1:28" s="267" customFormat="1" ht="11.45" customHeight="1">
      <c r="A63" s="166"/>
      <c r="B63" s="168" t="s">
        <v>1149</v>
      </c>
      <c r="C63" s="168"/>
      <c r="D63" s="166"/>
      <c r="E63" s="166"/>
      <c r="F63" s="168" t="s">
        <v>1150</v>
      </c>
      <c r="G63" s="168" t="s">
        <v>3304</v>
      </c>
      <c r="H63" s="166"/>
      <c r="I63" s="166"/>
      <c r="J63" s="168" t="s">
        <v>1469</v>
      </c>
      <c r="K63" s="168"/>
      <c r="L63" s="168"/>
      <c r="M63" s="168"/>
      <c r="N63" s="168"/>
      <c r="O63" s="168"/>
      <c r="P63" s="166"/>
      <c r="Q63" s="957">
        <v>5000</v>
      </c>
      <c r="R63" s="278" t="s">
        <v>1654</v>
      </c>
      <c r="S63" s="279"/>
      <c r="AA63" s="481"/>
      <c r="AB63" s="481"/>
    </row>
    <row r="64" spans="1:28" s="267" customFormat="1" ht="11.45" customHeight="1">
      <c r="A64" s="166"/>
      <c r="B64" s="168"/>
      <c r="C64" s="168"/>
      <c r="D64" s="166"/>
      <c r="E64" s="166"/>
      <c r="F64" s="168"/>
      <c r="G64" s="168" t="s">
        <v>3303</v>
      </c>
      <c r="H64" s="166"/>
      <c r="I64" s="166"/>
      <c r="J64" s="168" t="s">
        <v>1469</v>
      </c>
      <c r="K64" s="168"/>
      <c r="L64" s="168"/>
      <c r="M64" s="168"/>
      <c r="N64" s="168"/>
      <c r="O64" s="168"/>
      <c r="P64" s="166"/>
      <c r="Q64" s="957">
        <v>4500</v>
      </c>
      <c r="R64" s="278" t="s">
        <v>1654</v>
      </c>
      <c r="S64" s="279"/>
      <c r="AA64" s="481"/>
      <c r="AB64" s="481"/>
    </row>
    <row r="65" spans="1:28" s="267" customFormat="1" ht="11.45" customHeight="1">
      <c r="A65" s="166"/>
      <c r="B65" s="168"/>
      <c r="C65" s="168"/>
      <c r="D65" s="166"/>
      <c r="E65" s="166"/>
      <c r="F65" s="168" t="s">
        <v>2478</v>
      </c>
      <c r="G65" s="168" t="s">
        <v>2488</v>
      </c>
      <c r="H65" s="166"/>
      <c r="I65" s="166"/>
      <c r="J65" s="168" t="s">
        <v>1469</v>
      </c>
      <c r="K65" s="168"/>
      <c r="L65" s="168"/>
      <c r="M65" s="168"/>
      <c r="N65" s="168"/>
      <c r="O65" s="168"/>
      <c r="P65" s="166"/>
      <c r="Q65" s="957">
        <v>3750</v>
      </c>
      <c r="R65" s="278" t="s">
        <v>1654</v>
      </c>
      <c r="S65" s="279"/>
      <c r="AA65" s="481"/>
      <c r="AB65" s="481"/>
    </row>
    <row r="66" spans="1:28" s="267" customFormat="1" ht="11.45" customHeight="1">
      <c r="A66" s="168"/>
      <c r="B66" s="168"/>
      <c r="C66" s="168"/>
      <c r="D66" s="166"/>
      <c r="E66" s="166"/>
      <c r="G66" s="168" t="s">
        <v>2487</v>
      </c>
      <c r="H66" s="166"/>
      <c r="I66" s="166"/>
      <c r="J66" s="168" t="s">
        <v>1469</v>
      </c>
      <c r="K66" s="168"/>
      <c r="L66" s="168"/>
      <c r="M66" s="168"/>
      <c r="N66" s="168"/>
      <c r="O66" s="168"/>
      <c r="P66" s="166"/>
      <c r="Q66" s="957">
        <v>3250</v>
      </c>
      <c r="R66" s="278" t="s">
        <v>1654</v>
      </c>
      <c r="S66" s="279"/>
      <c r="AA66" s="481"/>
      <c r="AB66" s="481"/>
    </row>
    <row r="67" spans="1:28" s="267" customFormat="1" ht="11.45" customHeight="1">
      <c r="A67" s="168"/>
      <c r="B67" s="168"/>
      <c r="C67" s="168"/>
      <c r="D67" s="166"/>
      <c r="E67" s="166"/>
      <c r="G67" s="168" t="s">
        <v>3457</v>
      </c>
      <c r="H67" s="166"/>
      <c r="I67" s="166"/>
      <c r="J67" s="168" t="s">
        <v>1469</v>
      </c>
      <c r="K67" s="168"/>
      <c r="L67" s="168"/>
      <c r="M67" s="168"/>
      <c r="N67" s="168"/>
      <c r="O67" s="168"/>
      <c r="P67" s="166"/>
      <c r="Q67" s="957" t="s">
        <v>2971</v>
      </c>
      <c r="R67" s="278" t="s">
        <v>1654</v>
      </c>
      <c r="S67" s="279"/>
      <c r="T67" s="279"/>
      <c r="U67" s="279"/>
      <c r="AA67" s="481"/>
      <c r="AB67" s="481"/>
    </row>
    <row r="68" spans="1:28" s="267" customFormat="1" ht="11.45" customHeight="1">
      <c r="A68" s="168"/>
      <c r="B68" s="168" t="s">
        <v>1151</v>
      </c>
      <c r="C68" s="168"/>
      <c r="D68" s="166"/>
      <c r="E68" s="166"/>
      <c r="F68" s="168" t="s">
        <v>265</v>
      </c>
      <c r="G68" s="168"/>
      <c r="H68" s="166"/>
      <c r="I68" s="166"/>
      <c r="J68" s="168" t="s">
        <v>1469</v>
      </c>
      <c r="K68" s="168"/>
      <c r="L68" s="168"/>
      <c r="M68" s="168"/>
      <c r="N68" s="168"/>
      <c r="O68" s="168"/>
      <c r="P68" s="166"/>
      <c r="Q68" s="958">
        <v>350</v>
      </c>
      <c r="R68" s="278" t="s">
        <v>1654</v>
      </c>
      <c r="S68" s="279"/>
      <c r="T68" s="279"/>
      <c r="U68" s="279"/>
      <c r="AA68" s="481"/>
      <c r="AB68" s="481"/>
    </row>
    <row r="69" spans="1:28" s="267" customFormat="1" ht="11.45" customHeight="1">
      <c r="A69" s="168"/>
      <c r="B69" s="168"/>
      <c r="C69" s="168"/>
      <c r="D69" s="166"/>
      <c r="E69" s="166"/>
      <c r="F69" s="168" t="s">
        <v>1152</v>
      </c>
      <c r="G69" s="168"/>
      <c r="H69" s="166"/>
      <c r="I69" s="166"/>
      <c r="J69" s="168" t="s">
        <v>1469</v>
      </c>
      <c r="K69" s="168"/>
      <c r="L69" s="168"/>
      <c r="M69" s="168"/>
      <c r="N69" s="168"/>
      <c r="O69" s="168"/>
      <c r="P69" s="166"/>
      <c r="Q69" s="958">
        <v>250</v>
      </c>
      <c r="R69" s="278" t="s">
        <v>1654</v>
      </c>
      <c r="S69" s="279"/>
      <c r="T69" s="279"/>
      <c r="U69" s="279"/>
      <c r="AA69" s="481"/>
      <c r="AB69" s="481"/>
    </row>
    <row r="70" spans="1:28" s="267" customFormat="1" ht="11.45" customHeight="1">
      <c r="A70" s="168"/>
      <c r="B70" s="168"/>
      <c r="C70" s="168"/>
      <c r="D70" s="168"/>
      <c r="E70" s="166"/>
      <c r="F70" s="168" t="s">
        <v>3172</v>
      </c>
      <c r="G70" s="168"/>
      <c r="H70" s="166"/>
      <c r="I70" s="166"/>
      <c r="J70" s="168" t="s">
        <v>1469</v>
      </c>
      <c r="K70" s="168"/>
      <c r="L70" s="168"/>
      <c r="M70" s="168"/>
      <c r="N70" s="168"/>
      <c r="O70" s="168"/>
      <c r="P70" s="166"/>
      <c r="Q70" s="958">
        <v>420</v>
      </c>
      <c r="R70" s="278" t="s">
        <v>1654</v>
      </c>
      <c r="S70" s="279"/>
      <c r="T70" s="279"/>
      <c r="U70" s="279"/>
      <c r="AA70" s="481"/>
      <c r="AB70" s="481"/>
    </row>
    <row r="71" spans="1:28" s="267" customFormat="1" ht="11.45" customHeight="1">
      <c r="A71" s="168"/>
      <c r="B71" s="168"/>
      <c r="C71" s="168"/>
      <c r="D71" s="168"/>
      <c r="E71" s="166"/>
      <c r="F71" s="168" t="s">
        <v>350</v>
      </c>
      <c r="G71" s="168"/>
      <c r="H71" s="166"/>
      <c r="I71" s="166"/>
      <c r="J71" s="168" t="s">
        <v>1469</v>
      </c>
      <c r="K71" s="168"/>
      <c r="L71" s="168"/>
      <c r="M71" s="168"/>
      <c r="N71" s="168"/>
      <c r="O71" s="168"/>
      <c r="P71" s="166"/>
      <c r="Q71" s="958">
        <v>420</v>
      </c>
      <c r="R71" s="278" t="s">
        <v>1654</v>
      </c>
      <c r="S71" s="279"/>
      <c r="T71" s="279"/>
      <c r="U71" s="279"/>
      <c r="AA71" s="481"/>
      <c r="AB71" s="481"/>
    </row>
    <row r="72" spans="1:28" s="267" customFormat="1" ht="3" customHeight="1">
      <c r="A72" s="166"/>
      <c r="B72" s="168"/>
      <c r="C72" s="168"/>
      <c r="D72" s="168"/>
      <c r="E72" s="166"/>
      <c r="F72" s="168"/>
      <c r="G72" s="168"/>
      <c r="H72" s="166"/>
      <c r="I72" s="166"/>
      <c r="J72" s="168"/>
      <c r="K72" s="168"/>
      <c r="L72" s="168"/>
      <c r="M72" s="168"/>
      <c r="N72" s="168"/>
      <c r="O72" s="168"/>
      <c r="P72" s="166"/>
      <c r="Q72" s="168"/>
      <c r="R72" s="274"/>
      <c r="S72" s="279"/>
      <c r="T72" s="279"/>
      <c r="U72" s="279"/>
      <c r="AA72" s="481"/>
      <c r="AB72" s="481"/>
    </row>
    <row r="73" spans="1:28" s="267" customFormat="1" ht="12" customHeight="1">
      <c r="A73" s="272" t="s">
        <v>1153</v>
      </c>
      <c r="B73" s="168"/>
      <c r="C73" s="168"/>
      <c r="D73" s="168"/>
      <c r="E73" s="166"/>
      <c r="F73" s="168"/>
      <c r="G73" s="168"/>
      <c r="H73" s="166"/>
      <c r="I73" s="166"/>
      <c r="J73" s="168"/>
      <c r="K73" s="168"/>
      <c r="L73" s="168"/>
      <c r="M73" s="168"/>
      <c r="N73" s="168"/>
      <c r="O73" s="168"/>
      <c r="P73" s="166"/>
      <c r="Q73" s="168"/>
      <c r="R73" s="274"/>
      <c r="S73" s="279"/>
      <c r="T73" s="279"/>
      <c r="U73" s="279"/>
      <c r="AA73" s="481"/>
      <c r="AB73" s="481"/>
    </row>
    <row r="74" spans="1:28" s="267" customFormat="1" ht="11.45" customHeight="1">
      <c r="A74" s="168"/>
      <c r="B74" s="168" t="s">
        <v>730</v>
      </c>
      <c r="C74" s="168"/>
      <c r="D74" s="166"/>
      <c r="E74" s="166"/>
      <c r="F74" s="168" t="s">
        <v>265</v>
      </c>
      <c r="G74" s="168"/>
      <c r="H74" s="166"/>
      <c r="I74" s="166"/>
      <c r="J74" s="168" t="s">
        <v>3427</v>
      </c>
      <c r="K74" s="168"/>
      <c r="L74" s="168"/>
      <c r="M74" s="168"/>
      <c r="N74" s="168"/>
      <c r="O74" s="168"/>
      <c r="P74" s="166"/>
      <c r="Q74" s="920">
        <v>25000</v>
      </c>
      <c r="R74" s="278" t="s">
        <v>485</v>
      </c>
      <c r="S74" s="279"/>
      <c r="T74" s="279"/>
      <c r="U74" s="279"/>
      <c r="AA74" s="481"/>
      <c r="AB74" s="481"/>
    </row>
    <row r="75" spans="1:28" s="267" customFormat="1" ht="11.45" customHeight="1">
      <c r="A75" s="168"/>
      <c r="B75" s="168"/>
      <c r="C75" s="168"/>
      <c r="D75" s="166"/>
      <c r="E75" s="166"/>
      <c r="F75" s="168" t="s">
        <v>6322</v>
      </c>
      <c r="G75" s="168"/>
      <c r="H75" s="166"/>
      <c r="I75" s="166"/>
      <c r="J75" s="168" t="s">
        <v>6323</v>
      </c>
      <c r="K75" s="168"/>
      <c r="L75" s="168"/>
      <c r="M75" s="168"/>
      <c r="N75" s="168"/>
      <c r="O75" s="168"/>
      <c r="P75" s="166"/>
      <c r="Q75" s="1587" t="s">
        <v>931</v>
      </c>
      <c r="R75" s="1586">
        <v>1250000</v>
      </c>
      <c r="S75" s="279"/>
      <c r="T75" s="279"/>
      <c r="U75" s="279"/>
      <c r="AA75" s="481"/>
      <c r="AB75" s="481"/>
    </row>
    <row r="76" spans="1:28" s="267" customFormat="1" ht="11.45" customHeight="1">
      <c r="A76" s="168"/>
      <c r="B76" s="168" t="s">
        <v>1871</v>
      </c>
      <c r="C76" s="168"/>
      <c r="D76" s="166"/>
      <c r="E76" s="166"/>
      <c r="F76" s="168" t="s">
        <v>1152</v>
      </c>
      <c r="G76" s="168"/>
      <c r="H76" s="166"/>
      <c r="I76" s="166"/>
      <c r="J76" s="168" t="s">
        <v>3458</v>
      </c>
      <c r="K76" s="168"/>
      <c r="L76" s="168"/>
      <c r="M76" s="168"/>
      <c r="N76" s="168"/>
      <c r="O76" s="168"/>
      <c r="P76" s="166"/>
      <c r="Q76" s="919" t="s">
        <v>931</v>
      </c>
      <c r="R76" s="919">
        <v>0.05</v>
      </c>
      <c r="S76" s="279"/>
      <c r="T76" s="279"/>
      <c r="U76" s="279"/>
      <c r="AA76" s="481"/>
      <c r="AB76" s="481"/>
    </row>
    <row r="77" spans="1:28" s="267" customFormat="1" ht="11.45" customHeight="1">
      <c r="A77" s="168"/>
      <c r="B77" s="168"/>
      <c r="C77" s="168"/>
      <c r="D77" s="166"/>
      <c r="E77" s="166"/>
      <c r="F77" s="168" t="s">
        <v>265</v>
      </c>
      <c r="G77" s="168"/>
      <c r="H77" s="166"/>
      <c r="I77" s="166"/>
      <c r="J77" s="168" t="s">
        <v>3458</v>
      </c>
      <c r="K77" s="168"/>
      <c r="L77" s="168"/>
      <c r="M77" s="168"/>
      <c r="N77" s="168"/>
      <c r="O77" s="168"/>
      <c r="P77" s="166"/>
      <c r="Q77" s="919" t="s">
        <v>931</v>
      </c>
      <c r="R77" s="919">
        <v>0.1</v>
      </c>
      <c r="S77" s="279"/>
      <c r="T77" s="279"/>
      <c r="U77" s="279"/>
      <c r="AA77" s="481"/>
      <c r="AB77" s="481"/>
    </row>
    <row r="78" spans="1:28" s="267" customFormat="1" ht="11.45" customHeight="1">
      <c r="A78" s="168"/>
      <c r="B78" s="168" t="s">
        <v>1945</v>
      </c>
      <c r="C78" s="168"/>
      <c r="D78" s="166"/>
      <c r="E78" s="166"/>
      <c r="F78" s="168" t="s">
        <v>1654</v>
      </c>
      <c r="G78" s="168"/>
      <c r="H78" s="166"/>
      <c r="I78" s="166"/>
      <c r="J78" s="168" t="s">
        <v>3459</v>
      </c>
      <c r="K78" s="168"/>
      <c r="L78" s="168"/>
      <c r="M78" s="168"/>
      <c r="N78" s="168"/>
      <c r="O78" s="168"/>
      <c r="P78" s="166"/>
      <c r="Q78" s="278" t="s">
        <v>1654</v>
      </c>
      <c r="R78" s="919">
        <v>0.06</v>
      </c>
      <c r="S78" s="279"/>
      <c r="T78" s="279"/>
      <c r="U78" s="279"/>
      <c r="AA78" s="481"/>
      <c r="AB78" s="481"/>
    </row>
    <row r="79" spans="1:28" s="267" customFormat="1" ht="11.45" customHeight="1">
      <c r="A79" s="168"/>
      <c r="B79" s="168" t="s">
        <v>1946</v>
      </c>
      <c r="C79" s="168"/>
      <c r="D79" s="166"/>
      <c r="E79" s="166"/>
      <c r="F79" s="168" t="s">
        <v>1654</v>
      </c>
      <c r="G79" s="168"/>
      <c r="H79" s="166"/>
      <c r="I79" s="166"/>
      <c r="J79" s="168" t="s">
        <v>3459</v>
      </c>
      <c r="K79" s="168"/>
      <c r="L79" s="168"/>
      <c r="M79" s="168"/>
      <c r="N79" s="168"/>
      <c r="O79" s="168"/>
      <c r="P79" s="166"/>
      <c r="Q79" s="278" t="s">
        <v>1654</v>
      </c>
      <c r="R79" s="919">
        <v>0.02</v>
      </c>
      <c r="S79" s="279"/>
      <c r="T79" s="279"/>
      <c r="U79" s="279"/>
      <c r="AA79" s="481"/>
      <c r="AB79" s="481"/>
    </row>
    <row r="80" spans="1:28" s="267" customFormat="1" ht="11.45" customHeight="1">
      <c r="A80" s="168"/>
      <c r="B80" s="168" t="s">
        <v>2619</v>
      </c>
      <c r="C80" s="168"/>
      <c r="D80" s="166"/>
      <c r="E80" s="166"/>
      <c r="F80" s="168" t="s">
        <v>1654</v>
      </c>
      <c r="G80" s="168"/>
      <c r="H80" s="166"/>
      <c r="I80" s="166"/>
      <c r="J80" s="168" t="s">
        <v>3459</v>
      </c>
      <c r="K80" s="168"/>
      <c r="L80" s="168"/>
      <c r="M80" s="168"/>
      <c r="N80" s="168"/>
      <c r="O80" s="168"/>
      <c r="P80" s="166"/>
      <c r="Q80" s="278" t="s">
        <v>1654</v>
      </c>
      <c r="R80" s="919">
        <v>0.06</v>
      </c>
      <c r="S80" s="279"/>
      <c r="T80" s="279"/>
      <c r="U80" s="279"/>
      <c r="AA80" s="481"/>
      <c r="AB80" s="481"/>
    </row>
    <row r="81" spans="1:28" s="267" customFormat="1" ht="11.45" customHeight="1">
      <c r="A81" s="168"/>
      <c r="B81" s="168" t="s">
        <v>1244</v>
      </c>
      <c r="C81" s="168"/>
      <c r="D81" s="166"/>
      <c r="E81" s="166"/>
      <c r="F81" s="168" t="s">
        <v>1086</v>
      </c>
      <c r="G81" s="168"/>
      <c r="H81" s="166"/>
      <c r="I81" s="166"/>
      <c r="J81" s="168"/>
      <c r="K81" s="168"/>
      <c r="L81" s="168"/>
      <c r="M81" s="168"/>
      <c r="N81" s="168"/>
      <c r="O81" s="168"/>
      <c r="P81" s="166"/>
      <c r="Q81" s="278" t="s">
        <v>1654</v>
      </c>
      <c r="R81" s="925"/>
      <c r="S81" s="279"/>
      <c r="T81" s="279"/>
      <c r="U81" s="279"/>
      <c r="AA81" s="481"/>
      <c r="AB81" s="481"/>
    </row>
    <row r="82" spans="1:28" s="267" customFormat="1" ht="11.45" customHeight="1">
      <c r="A82" s="166"/>
      <c r="B82" s="279" t="s">
        <v>3419</v>
      </c>
      <c r="C82" s="168"/>
      <c r="D82" s="168"/>
      <c r="E82" s="166"/>
      <c r="F82" s="170" t="s">
        <v>3203</v>
      </c>
      <c r="G82" s="168"/>
      <c r="H82" s="166"/>
      <c r="I82" s="166"/>
      <c r="J82" s="168" t="s">
        <v>1154</v>
      </c>
      <c r="K82" s="168"/>
      <c r="L82" s="168"/>
      <c r="M82" s="168"/>
      <c r="N82" s="168"/>
      <c r="O82" s="168"/>
      <c r="P82" s="166"/>
      <c r="Q82" s="4774">
        <v>1000</v>
      </c>
      <c r="R82" s="4775"/>
      <c r="S82" s="279"/>
      <c r="T82" s="279"/>
      <c r="U82" s="279"/>
      <c r="AA82" s="481"/>
      <c r="AB82" s="481"/>
    </row>
    <row r="83" spans="1:28" s="267" customFormat="1" ht="11.45" customHeight="1">
      <c r="A83" s="168"/>
      <c r="B83" s="168"/>
      <c r="C83" s="168"/>
      <c r="D83" s="168"/>
      <c r="E83" s="166"/>
      <c r="G83" s="168"/>
      <c r="H83" s="166"/>
      <c r="I83" s="166"/>
      <c r="J83" s="168" t="s">
        <v>1155</v>
      </c>
      <c r="K83" s="168"/>
      <c r="L83" s="168"/>
      <c r="M83" s="168"/>
      <c r="N83" s="168"/>
      <c r="O83" s="168"/>
      <c r="P83" s="166"/>
      <c r="Q83" s="4774">
        <v>500</v>
      </c>
      <c r="R83" s="4775"/>
      <c r="S83" s="279"/>
      <c r="T83" s="279"/>
      <c r="U83" s="279"/>
      <c r="AA83" s="481"/>
      <c r="AB83" s="481"/>
    </row>
    <row r="84" spans="1:28" s="267" customFormat="1" ht="11.45" customHeight="1">
      <c r="A84" s="168"/>
      <c r="B84" s="168"/>
      <c r="C84" s="168"/>
      <c r="D84" s="168"/>
      <c r="E84" s="166"/>
      <c r="F84" s="170" t="s">
        <v>3466</v>
      </c>
      <c r="G84" s="168"/>
      <c r="H84" s="166"/>
      <c r="I84" s="166"/>
      <c r="J84" s="170" t="s">
        <v>3462</v>
      </c>
      <c r="K84" s="168"/>
      <c r="L84" s="168"/>
      <c r="M84" s="168"/>
      <c r="N84" s="168"/>
      <c r="O84" s="168"/>
      <c r="P84" s="166"/>
      <c r="Q84" s="4774">
        <v>1500</v>
      </c>
      <c r="R84" s="4775"/>
      <c r="S84" s="279"/>
      <c r="T84" s="279"/>
      <c r="U84" s="279"/>
      <c r="AA84" s="481"/>
      <c r="AB84" s="481"/>
    </row>
    <row r="85" spans="1:28" s="267" customFormat="1" ht="11.45" customHeight="1">
      <c r="A85" s="168"/>
      <c r="B85" s="168"/>
      <c r="C85" s="168"/>
      <c r="D85" s="168"/>
      <c r="E85" s="166"/>
      <c r="G85" s="168"/>
      <c r="H85" s="166"/>
      <c r="I85" s="166"/>
      <c r="J85" s="170" t="s">
        <v>3463</v>
      </c>
      <c r="K85" s="168"/>
      <c r="L85" s="168"/>
      <c r="M85" s="168"/>
      <c r="N85" s="168"/>
      <c r="O85" s="168"/>
      <c r="P85" s="166"/>
      <c r="Q85" s="4774">
        <v>1500</v>
      </c>
      <c r="R85" s="4775"/>
      <c r="S85" s="279"/>
      <c r="T85" s="279"/>
      <c r="U85" s="279"/>
      <c r="AA85" s="481"/>
      <c r="AB85" s="481"/>
    </row>
    <row r="86" spans="1:28" s="267" customFormat="1" ht="11.45" customHeight="1">
      <c r="A86" s="168"/>
      <c r="B86" s="168"/>
      <c r="C86" s="168"/>
      <c r="D86" s="168"/>
      <c r="E86" s="166"/>
      <c r="G86" s="168"/>
      <c r="H86" s="166"/>
      <c r="I86" s="166"/>
      <c r="J86" s="170" t="s">
        <v>3464</v>
      </c>
      <c r="K86" s="168"/>
      <c r="L86" s="168"/>
      <c r="M86" s="168"/>
      <c r="N86" s="168"/>
      <c r="O86" s="168"/>
      <c r="P86" s="166"/>
      <c r="Q86" s="4774">
        <v>1500</v>
      </c>
      <c r="R86" s="4775"/>
      <c r="S86" s="279"/>
      <c r="T86" s="279"/>
      <c r="U86" s="279"/>
      <c r="AA86" s="481"/>
      <c r="AB86" s="481"/>
    </row>
    <row r="87" spans="1:28" s="267" customFormat="1" ht="11.45" customHeight="1">
      <c r="A87" s="168"/>
      <c r="B87" s="168"/>
      <c r="C87" s="168"/>
      <c r="D87" s="168"/>
      <c r="E87" s="166"/>
      <c r="G87" s="168"/>
      <c r="H87" s="166"/>
      <c r="I87" s="166"/>
      <c r="J87" s="170" t="s">
        <v>3465</v>
      </c>
      <c r="K87" s="168"/>
      <c r="L87" s="168"/>
      <c r="M87" s="168"/>
      <c r="N87" s="168"/>
      <c r="O87" s="168"/>
      <c r="P87" s="166"/>
      <c r="Q87" s="4774">
        <v>1500</v>
      </c>
      <c r="R87" s="4775"/>
      <c r="S87" s="279"/>
      <c r="T87" s="279"/>
      <c r="U87" s="279"/>
      <c r="AA87" s="481"/>
      <c r="AB87" s="481"/>
    </row>
    <row r="88" spans="1:28" s="267" customFormat="1" ht="11.45" customHeight="1">
      <c r="A88" s="168"/>
      <c r="B88" s="168"/>
      <c r="C88" s="168"/>
      <c r="D88" s="168"/>
      <c r="E88" s="166"/>
      <c r="F88" s="170" t="s">
        <v>3933</v>
      </c>
      <c r="G88" s="168"/>
      <c r="H88" s="166"/>
      <c r="I88" s="166"/>
      <c r="J88" s="168" t="s">
        <v>1154</v>
      </c>
      <c r="K88" s="168"/>
      <c r="L88" s="168"/>
      <c r="M88" s="168"/>
      <c r="N88" s="168"/>
      <c r="O88" s="168"/>
      <c r="P88" s="166"/>
      <c r="Q88" s="4774">
        <v>6500</v>
      </c>
      <c r="R88" s="4775"/>
      <c r="S88" s="279"/>
      <c r="T88" s="279"/>
      <c r="U88" s="279"/>
      <c r="AA88" s="481"/>
      <c r="AB88" s="481"/>
    </row>
    <row r="89" spans="1:28" s="267" customFormat="1" ht="11.45" customHeight="1">
      <c r="A89" s="168"/>
      <c r="B89" s="168"/>
      <c r="C89" s="168"/>
      <c r="D89" s="168"/>
      <c r="E89" s="166"/>
      <c r="F89" s="170" t="s">
        <v>3933</v>
      </c>
      <c r="G89" s="168"/>
      <c r="H89" s="166"/>
      <c r="I89" s="166"/>
      <c r="J89" s="168" t="s">
        <v>1155</v>
      </c>
      <c r="K89" s="168"/>
      <c r="L89" s="168"/>
      <c r="M89" s="168"/>
      <c r="N89" s="168"/>
      <c r="O89" s="168"/>
      <c r="P89" s="166"/>
      <c r="Q89" s="4774">
        <v>5500</v>
      </c>
      <c r="R89" s="4775"/>
      <c r="S89" s="279"/>
      <c r="T89" s="279"/>
      <c r="U89" s="279"/>
      <c r="AA89" s="481"/>
      <c r="AB89" s="481"/>
    </row>
    <row r="90" spans="1:28" s="267" customFormat="1" ht="11.45" customHeight="1">
      <c r="A90" s="168"/>
      <c r="B90" s="168"/>
      <c r="C90" s="168"/>
      <c r="D90" s="168"/>
      <c r="E90" s="166"/>
      <c r="F90" s="170" t="s">
        <v>3174</v>
      </c>
      <c r="G90" s="168"/>
      <c r="H90" s="166"/>
      <c r="I90" s="166"/>
      <c r="J90" s="168"/>
      <c r="K90" s="168"/>
      <c r="L90" s="168"/>
      <c r="M90" s="168"/>
      <c r="N90" s="168"/>
      <c r="O90" s="168"/>
      <c r="P90" s="166"/>
      <c r="Q90" s="4774">
        <v>5500</v>
      </c>
      <c r="R90" s="4775"/>
      <c r="S90" s="279"/>
      <c r="T90" s="279"/>
      <c r="U90" s="279"/>
      <c r="AA90" s="481"/>
      <c r="AB90" s="481"/>
    </row>
    <row r="91" spans="1:28" s="267" customFormat="1" ht="11.45" customHeight="1">
      <c r="A91" s="168"/>
      <c r="B91" s="168"/>
      <c r="C91" s="168"/>
      <c r="D91" s="168"/>
      <c r="E91" s="166"/>
      <c r="F91" s="170"/>
      <c r="G91" s="168" t="s">
        <v>3931</v>
      </c>
      <c r="H91" s="166"/>
      <c r="I91" s="166"/>
      <c r="J91" s="168" t="s">
        <v>3932</v>
      </c>
      <c r="K91" s="168"/>
      <c r="L91" s="168"/>
      <c r="M91" s="168"/>
      <c r="N91" s="168"/>
      <c r="O91" s="168"/>
      <c r="P91" s="166"/>
      <c r="Q91" s="4774">
        <v>500</v>
      </c>
      <c r="R91" s="4775"/>
      <c r="S91" s="279"/>
      <c r="T91" s="279"/>
      <c r="U91" s="279"/>
      <c r="AA91" s="481"/>
      <c r="AB91" s="481"/>
    </row>
    <row r="92" spans="1:28" s="267" customFormat="1" ht="11.45" customHeight="1">
      <c r="A92" s="168"/>
      <c r="B92" s="168"/>
      <c r="C92" s="168"/>
      <c r="D92" s="168"/>
      <c r="E92" s="166"/>
      <c r="F92" s="170" t="s">
        <v>3460</v>
      </c>
      <c r="G92" s="168"/>
      <c r="H92" s="166"/>
      <c r="I92" s="166"/>
      <c r="J92" s="168"/>
      <c r="K92" s="168"/>
      <c r="L92" s="168"/>
      <c r="M92" s="168"/>
      <c r="N92" s="168"/>
      <c r="O92" s="168"/>
      <c r="P92" s="166"/>
      <c r="Q92" s="4774">
        <v>1500</v>
      </c>
      <c r="R92" s="4775"/>
      <c r="S92" s="279"/>
      <c r="T92" s="279"/>
      <c r="U92" s="279"/>
      <c r="AA92" s="481"/>
      <c r="AB92" s="481"/>
    </row>
    <row r="93" spans="1:28" s="267" customFormat="1" ht="11.45" customHeight="1">
      <c r="A93" s="168"/>
      <c r="C93" s="168"/>
      <c r="D93" s="166"/>
      <c r="E93" s="166"/>
      <c r="F93" s="170" t="s">
        <v>913</v>
      </c>
      <c r="H93" s="168"/>
      <c r="I93" s="166"/>
      <c r="J93" s="168" t="s">
        <v>914</v>
      </c>
      <c r="K93" s="168"/>
      <c r="L93" s="168"/>
      <c r="M93" s="168"/>
      <c r="N93" s="168"/>
      <c r="O93" s="168"/>
      <c r="P93" s="166"/>
      <c r="Q93" s="4791">
        <v>0.08</v>
      </c>
      <c r="R93" s="4791"/>
      <c r="S93" s="279"/>
      <c r="T93" s="279"/>
      <c r="U93" s="279"/>
      <c r="AA93" s="481"/>
      <c r="AB93" s="481"/>
    </row>
    <row r="94" spans="1:28" s="267" customFormat="1" ht="11.45" customHeight="1">
      <c r="A94" s="168"/>
      <c r="C94" s="168"/>
      <c r="D94" s="166"/>
      <c r="E94" s="166"/>
      <c r="F94" s="170" t="s">
        <v>6321</v>
      </c>
      <c r="H94" s="168"/>
      <c r="I94" s="166"/>
      <c r="J94" s="168" t="s">
        <v>914</v>
      </c>
      <c r="K94" s="168"/>
      <c r="L94" s="168"/>
      <c r="M94" s="168"/>
      <c r="N94" s="168"/>
      <c r="O94" s="168"/>
      <c r="P94" s="166"/>
      <c r="Q94" s="4791">
        <v>0.08</v>
      </c>
      <c r="R94" s="4791"/>
      <c r="S94" s="279"/>
      <c r="T94" s="279"/>
      <c r="U94" s="279"/>
      <c r="AA94" s="481"/>
      <c r="AB94" s="481"/>
    </row>
    <row r="95" spans="1:28" s="267" customFormat="1" ht="11.45" customHeight="1">
      <c r="A95" s="168"/>
      <c r="C95" s="168"/>
      <c r="D95" s="166"/>
      <c r="E95" s="166"/>
      <c r="F95" s="170" t="s">
        <v>3934</v>
      </c>
      <c r="H95" s="168"/>
      <c r="I95" s="166"/>
      <c r="J95" s="168"/>
      <c r="K95" s="168"/>
      <c r="L95" s="168"/>
      <c r="M95" s="168"/>
      <c r="N95" s="168"/>
      <c r="O95" s="168"/>
      <c r="P95" s="166"/>
      <c r="Q95" s="4774"/>
      <c r="R95" s="4775"/>
      <c r="S95" s="279"/>
      <c r="T95" s="279"/>
      <c r="U95" s="279"/>
      <c r="AA95" s="481"/>
      <c r="AB95" s="481"/>
    </row>
    <row r="96" spans="1:28" s="267" customFormat="1" ht="11.45" customHeight="1">
      <c r="A96" s="168"/>
      <c r="C96" s="168"/>
      <c r="D96" s="166"/>
      <c r="E96" s="166"/>
      <c r="F96" s="170" t="s">
        <v>3426</v>
      </c>
      <c r="H96" s="168"/>
      <c r="I96" s="166"/>
      <c r="J96" s="168"/>
      <c r="K96" s="168"/>
      <c r="L96" s="168"/>
      <c r="M96" s="168"/>
      <c r="N96" s="168"/>
      <c r="O96" s="168"/>
      <c r="P96" s="166"/>
      <c r="Q96" s="4774">
        <v>1500</v>
      </c>
      <c r="R96" s="4775"/>
      <c r="S96" s="279"/>
      <c r="T96" s="279"/>
      <c r="U96" s="279"/>
      <c r="AA96" s="481"/>
      <c r="AB96" s="481"/>
    </row>
    <row r="97" spans="1:28" s="267" customFormat="1" ht="11.45" customHeight="1">
      <c r="A97" s="168"/>
      <c r="C97" s="168"/>
      <c r="D97" s="166"/>
      <c r="E97" s="166"/>
      <c r="F97" s="168" t="s">
        <v>915</v>
      </c>
      <c r="H97" s="168" t="s">
        <v>1545</v>
      </c>
      <c r="I97" s="166"/>
      <c r="J97" s="168" t="s">
        <v>1469</v>
      </c>
      <c r="K97" s="168"/>
      <c r="L97" s="168"/>
      <c r="M97" s="168"/>
      <c r="N97" s="168"/>
      <c r="O97" s="168"/>
      <c r="P97" s="166"/>
      <c r="Q97" s="4774">
        <v>800</v>
      </c>
      <c r="R97" s="4775"/>
      <c r="S97" s="279"/>
      <c r="T97" s="279"/>
      <c r="U97" s="279"/>
      <c r="AA97" s="481"/>
      <c r="AB97" s="481"/>
    </row>
    <row r="98" spans="1:28" s="267" customFormat="1" ht="11.45" customHeight="1">
      <c r="A98" s="168"/>
      <c r="C98" s="168"/>
      <c r="D98" s="166"/>
      <c r="E98" s="166"/>
      <c r="F98" s="168"/>
      <c r="H98" s="168"/>
      <c r="I98" s="168" t="s">
        <v>3935</v>
      </c>
      <c r="J98" s="168" t="s">
        <v>1469</v>
      </c>
      <c r="K98" s="168"/>
      <c r="L98" s="168"/>
      <c r="M98" s="168"/>
      <c r="N98" s="168"/>
      <c r="O98" s="168"/>
      <c r="P98" s="166"/>
      <c r="Q98" s="4774">
        <v>1000</v>
      </c>
      <c r="R98" s="4775"/>
      <c r="S98" s="279"/>
      <c r="T98" s="279"/>
      <c r="U98" s="279"/>
      <c r="AA98" s="481"/>
      <c r="AB98" s="481"/>
    </row>
    <row r="99" spans="1:28" s="267" customFormat="1" ht="11.45" customHeight="1">
      <c r="A99" s="168"/>
      <c r="B99" s="168"/>
      <c r="C99" s="168"/>
      <c r="D99" s="166"/>
      <c r="E99" s="166"/>
      <c r="H99" s="170" t="s">
        <v>2535</v>
      </c>
      <c r="I99" s="289"/>
      <c r="J99" s="170" t="s">
        <v>1469</v>
      </c>
      <c r="K99" s="170" t="s">
        <v>3436</v>
      </c>
      <c r="L99" s="170"/>
      <c r="M99" s="170"/>
      <c r="N99" s="170"/>
      <c r="O99" s="170"/>
      <c r="P99" s="289"/>
      <c r="Q99" s="4774" t="s">
        <v>2971</v>
      </c>
      <c r="R99" s="4775"/>
      <c r="S99" s="279"/>
      <c r="T99" s="279"/>
      <c r="U99" s="279"/>
      <c r="AA99" s="481"/>
      <c r="AB99" s="481"/>
    </row>
    <row r="100" spans="1:28" s="267" customFormat="1" ht="11.45" customHeight="1">
      <c r="A100" s="168"/>
      <c r="B100" s="168"/>
      <c r="C100" s="168"/>
      <c r="D100" s="166"/>
      <c r="E100" s="166"/>
      <c r="H100" s="168" t="s">
        <v>2622</v>
      </c>
      <c r="I100" s="166"/>
      <c r="J100" s="168" t="s">
        <v>2534</v>
      </c>
      <c r="K100" s="168"/>
      <c r="L100" s="168"/>
      <c r="M100" s="168"/>
      <c r="N100" s="168"/>
      <c r="O100" s="168"/>
      <c r="P100" s="166"/>
      <c r="Q100" s="4774">
        <v>1500</v>
      </c>
      <c r="R100" s="4775"/>
      <c r="S100" s="279"/>
      <c r="T100" s="279"/>
      <c r="U100" s="279"/>
      <c r="AA100" s="481"/>
      <c r="AB100" s="481"/>
    </row>
    <row r="101" spans="1:28" s="267" customFormat="1" ht="11.45" customHeight="1">
      <c r="A101" s="168"/>
      <c r="B101" s="168"/>
      <c r="C101" s="168"/>
      <c r="D101" s="166"/>
      <c r="E101" s="166"/>
      <c r="F101" s="168" t="s">
        <v>3564</v>
      </c>
      <c r="I101" s="166"/>
      <c r="J101" s="168" t="s">
        <v>3937</v>
      </c>
      <c r="K101" s="168"/>
      <c r="L101" s="168"/>
      <c r="M101" s="168"/>
      <c r="N101" s="168"/>
      <c r="O101" s="168"/>
      <c r="P101" s="166"/>
      <c r="Q101" s="4780">
        <v>750</v>
      </c>
      <c r="R101" s="4781"/>
      <c r="S101" s="279"/>
      <c r="T101" s="279"/>
      <c r="U101" s="279"/>
      <c r="AA101" s="481"/>
      <c r="AB101" s="481"/>
    </row>
    <row r="102" spans="1:28" s="267" customFormat="1" ht="11.45" customHeight="1">
      <c r="A102" s="168"/>
      <c r="B102" s="168"/>
      <c r="C102" s="168"/>
      <c r="D102" s="166"/>
      <c r="E102" s="166"/>
      <c r="F102" s="168" t="s">
        <v>3936</v>
      </c>
      <c r="I102" s="166"/>
      <c r="J102" s="168" t="s">
        <v>1683</v>
      </c>
      <c r="K102" s="168"/>
      <c r="L102" s="168"/>
      <c r="M102" s="168"/>
      <c r="N102" s="168"/>
      <c r="O102" s="168"/>
      <c r="P102" s="166"/>
      <c r="Q102" s="4774">
        <v>3000</v>
      </c>
      <c r="R102" s="4775"/>
      <c r="S102" s="279"/>
      <c r="T102" s="279"/>
      <c r="U102" s="279"/>
      <c r="AA102" s="481"/>
      <c r="AB102" s="481"/>
    </row>
    <row r="103" spans="1:28" s="267" customFormat="1" ht="11.45" customHeight="1">
      <c r="A103" s="168"/>
      <c r="B103" s="170"/>
      <c r="C103" s="168"/>
      <c r="D103" s="166"/>
      <c r="E103" s="166"/>
      <c r="F103" s="168" t="s">
        <v>3175</v>
      </c>
      <c r="I103" s="166"/>
      <c r="J103" s="168" t="s">
        <v>3176</v>
      </c>
      <c r="K103" s="168"/>
      <c r="L103" s="168" t="s">
        <v>2621</v>
      </c>
      <c r="M103" s="168"/>
      <c r="N103" s="168"/>
      <c r="O103" s="168"/>
      <c r="P103" s="166"/>
      <c r="Q103" s="4774">
        <v>75</v>
      </c>
      <c r="R103" s="4775"/>
      <c r="S103" s="279"/>
      <c r="T103" s="279"/>
      <c r="U103" s="279"/>
      <c r="AA103" s="481"/>
      <c r="AB103" s="481"/>
    </row>
    <row r="104" spans="1:28" customFormat="1" ht="11.25" customHeight="1">
      <c r="B104" s="168" t="s">
        <v>1775</v>
      </c>
      <c r="C104" s="27"/>
      <c r="F104" s="1379" t="s">
        <v>4104</v>
      </c>
      <c r="G104" s="1371"/>
      <c r="H104" s="1376"/>
      <c r="I104" s="27"/>
      <c r="J104" s="168" t="s">
        <v>4110</v>
      </c>
      <c r="K104" s="168" t="s">
        <v>4111</v>
      </c>
      <c r="L104" s="1386"/>
      <c r="M104" s="1386"/>
      <c r="N104" s="1386"/>
      <c r="O104" s="1385" t="s">
        <v>4105</v>
      </c>
    </row>
    <row r="105" spans="1:28" customFormat="1" ht="11.25" customHeight="1">
      <c r="B105" s="27"/>
      <c r="C105" s="27"/>
      <c r="F105" s="157"/>
      <c r="G105" s="27"/>
      <c r="H105" s="1380">
        <v>0.09</v>
      </c>
      <c r="I105" s="27"/>
      <c r="J105" s="1387">
        <v>1</v>
      </c>
      <c r="K105" s="1389">
        <v>50</v>
      </c>
      <c r="Q105" s="4777">
        <v>25000</v>
      </c>
      <c r="R105" s="4777"/>
    </row>
    <row r="106" spans="1:28" customFormat="1" ht="11.25" customHeight="1">
      <c r="B106" s="27"/>
      <c r="C106" s="27"/>
      <c r="F106" s="157"/>
      <c r="G106" s="27"/>
      <c r="H106" s="1381"/>
      <c r="I106" s="27"/>
      <c r="J106" s="1387">
        <v>51</v>
      </c>
      <c r="K106" s="1389">
        <v>70</v>
      </c>
      <c r="Q106" s="4776">
        <v>20000</v>
      </c>
      <c r="R106" s="4776"/>
    </row>
    <row r="107" spans="1:28" customFormat="1" ht="11.25" customHeight="1">
      <c r="B107" s="27"/>
      <c r="C107" s="27"/>
      <c r="F107" s="157"/>
      <c r="G107" s="27"/>
      <c r="H107" s="1590"/>
      <c r="I107" s="197"/>
      <c r="J107" s="1591">
        <v>71</v>
      </c>
      <c r="K107" s="1592"/>
      <c r="L107" s="1593"/>
      <c r="M107" s="1593"/>
      <c r="N107" s="1593"/>
      <c r="O107" s="1593"/>
      <c r="P107" s="1594"/>
      <c r="Q107" s="4778">
        <v>15000</v>
      </c>
      <c r="R107" s="4778"/>
    </row>
    <row r="108" spans="1:28" customFormat="1" ht="11.25" customHeight="1">
      <c r="B108" s="27"/>
      <c r="C108" s="27"/>
      <c r="F108" s="27"/>
      <c r="G108" s="27"/>
      <c r="H108" s="1595">
        <v>0.04</v>
      </c>
      <c r="I108" s="1596"/>
      <c r="J108" s="1597">
        <v>1</v>
      </c>
      <c r="K108" s="1597">
        <v>100</v>
      </c>
      <c r="L108" s="1598"/>
      <c r="M108" s="1598"/>
      <c r="N108" s="1598"/>
      <c r="O108" s="1598"/>
      <c r="P108" s="1599"/>
      <c r="Q108" s="4777">
        <v>20500</v>
      </c>
      <c r="R108" s="4777"/>
    </row>
    <row r="109" spans="1:28" customFormat="1" ht="11.25" customHeight="1">
      <c r="B109" s="27"/>
      <c r="C109" s="27"/>
      <c r="F109" s="27"/>
      <c r="G109" s="27"/>
      <c r="H109" s="1382"/>
      <c r="I109" s="27"/>
      <c r="J109" s="1387">
        <v>101</v>
      </c>
      <c r="K109" s="1389">
        <v>130</v>
      </c>
      <c r="Q109" s="4776">
        <v>18500</v>
      </c>
      <c r="R109" s="4776"/>
    </row>
    <row r="110" spans="1:28" customFormat="1" ht="11.25" customHeight="1">
      <c r="B110" s="27"/>
      <c r="C110" s="27"/>
      <c r="F110" s="27"/>
      <c r="G110" s="27"/>
      <c r="H110" s="1382"/>
      <c r="I110" s="27"/>
      <c r="J110" s="1387">
        <v>131</v>
      </c>
      <c r="K110" s="1388"/>
      <c r="Q110" s="4778">
        <v>14000</v>
      </c>
      <c r="R110" s="4778"/>
    </row>
    <row r="111" spans="1:28" customFormat="1" ht="11.25" customHeight="1">
      <c r="B111" s="27"/>
      <c r="C111" s="27"/>
      <c r="F111" s="1376" t="s">
        <v>4106</v>
      </c>
      <c r="G111" s="27"/>
      <c r="H111" s="1383"/>
      <c r="I111" s="1378"/>
    </row>
    <row r="112" spans="1:28" customFormat="1" ht="11.25" customHeight="1">
      <c r="B112" s="27"/>
      <c r="C112" s="27"/>
      <c r="F112" s="27"/>
      <c r="G112" s="27"/>
      <c r="H112" s="1384">
        <v>0.09</v>
      </c>
      <c r="I112" s="1376"/>
      <c r="J112" s="27"/>
      <c r="Q112" s="4779">
        <v>2000000</v>
      </c>
      <c r="R112" s="4779"/>
    </row>
    <row r="113" spans="1:28" customFormat="1" ht="11.25" customHeight="1">
      <c r="B113" s="27"/>
      <c r="C113" s="27"/>
      <c r="F113" s="27"/>
      <c r="G113" s="27"/>
      <c r="H113" s="1384">
        <v>0.04</v>
      </c>
      <c r="I113" s="1376"/>
      <c r="J113" s="27"/>
      <c r="Q113" s="4779">
        <v>3500000</v>
      </c>
      <c r="R113" s="4779"/>
    </row>
    <row r="114" spans="1:28" customFormat="1"/>
    <row r="115" spans="1:28" s="267" customFormat="1" ht="13.5">
      <c r="A115" s="168"/>
      <c r="B115" s="168"/>
      <c r="C115" s="168"/>
      <c r="D115" s="166"/>
      <c r="E115" s="166"/>
      <c r="F115" s="168"/>
      <c r="G115" s="168"/>
      <c r="H115" s="168"/>
      <c r="I115" s="166"/>
      <c r="J115" s="168" t="s">
        <v>3158</v>
      </c>
      <c r="K115" s="168"/>
      <c r="L115" s="168"/>
      <c r="M115" s="168"/>
      <c r="N115" s="168"/>
      <c r="O115" s="168"/>
      <c r="P115" s="166"/>
      <c r="Q115" s="4786">
        <v>3500000</v>
      </c>
      <c r="R115" s="4787"/>
      <c r="S115" s="279"/>
      <c r="T115" s="279"/>
      <c r="U115" s="279"/>
      <c r="AA115" s="481"/>
      <c r="AB115" s="481"/>
    </row>
    <row r="116" spans="1:28" s="267" customFormat="1" ht="13.5" hidden="1">
      <c r="A116" s="168"/>
      <c r="B116" s="168"/>
      <c r="C116" s="168"/>
      <c r="D116" s="166"/>
      <c r="E116" s="166"/>
      <c r="F116" s="168" t="s">
        <v>1638</v>
      </c>
      <c r="G116" s="168"/>
      <c r="H116" s="168" t="s">
        <v>2191</v>
      </c>
      <c r="I116" s="166"/>
      <c r="J116" s="168" t="s">
        <v>936</v>
      </c>
      <c r="K116" s="168"/>
      <c r="L116" s="168"/>
      <c r="M116" s="168"/>
      <c r="N116" s="168"/>
      <c r="O116" s="168"/>
      <c r="P116" s="166"/>
      <c r="Q116" s="4784">
        <v>0.15</v>
      </c>
      <c r="R116" s="4785"/>
      <c r="S116" s="279"/>
      <c r="T116" s="279"/>
      <c r="U116" s="279"/>
      <c r="AA116" s="481"/>
      <c r="AB116" s="481"/>
    </row>
    <row r="117" spans="1:28" s="267" customFormat="1" ht="13.5" hidden="1">
      <c r="A117" s="168"/>
      <c r="B117" s="375"/>
      <c r="C117" s="168"/>
      <c r="D117" s="166"/>
      <c r="E117" s="166"/>
      <c r="F117" s="168"/>
      <c r="G117" s="168"/>
      <c r="H117" s="168" t="s">
        <v>3283</v>
      </c>
      <c r="I117" s="168" t="s">
        <v>933</v>
      </c>
      <c r="J117" s="168" t="s">
        <v>935</v>
      </c>
      <c r="K117" s="168"/>
      <c r="L117" s="168"/>
      <c r="M117" s="168"/>
      <c r="N117" s="168"/>
      <c r="O117" s="168"/>
      <c r="P117" s="166"/>
      <c r="Q117" s="4784">
        <v>0.15</v>
      </c>
      <c r="R117" s="4785"/>
      <c r="S117" s="279"/>
      <c r="T117" s="279"/>
      <c r="U117" s="279"/>
      <c r="AA117" s="481"/>
      <c r="AB117" s="481"/>
    </row>
    <row r="118" spans="1:28" s="267" customFormat="1" ht="13.5" hidden="1">
      <c r="A118" s="168"/>
      <c r="B118" s="375"/>
      <c r="C118" s="168"/>
      <c r="D118" s="166"/>
      <c r="E118" s="166"/>
      <c r="F118" s="168"/>
      <c r="G118" s="168"/>
      <c r="H118" s="168"/>
      <c r="I118" s="168" t="s">
        <v>934</v>
      </c>
      <c r="J118" s="168" t="s">
        <v>937</v>
      </c>
      <c r="K118" s="168"/>
      <c r="L118" s="168"/>
      <c r="M118" s="168"/>
      <c r="N118" s="168"/>
      <c r="O118" s="168"/>
      <c r="P118" s="166"/>
      <c r="Q118" s="4784">
        <v>0.15</v>
      </c>
      <c r="R118" s="4785"/>
      <c r="S118" s="279"/>
      <c r="T118" s="279"/>
      <c r="U118" s="279"/>
      <c r="AA118" s="481"/>
      <c r="AB118" s="481"/>
    </row>
    <row r="119" spans="1:28" s="267" customFormat="1" ht="13.5" hidden="1">
      <c r="A119" s="168"/>
      <c r="B119" s="375"/>
      <c r="C119" s="168"/>
      <c r="D119" s="166"/>
      <c r="E119" s="166"/>
      <c r="F119" s="168"/>
      <c r="G119" s="168"/>
      <c r="H119" s="168" t="s">
        <v>932</v>
      </c>
      <c r="I119" s="166"/>
      <c r="J119" s="168" t="s">
        <v>937</v>
      </c>
      <c r="K119" s="168"/>
      <c r="L119" s="168"/>
      <c r="M119" s="168"/>
      <c r="N119" s="168"/>
      <c r="O119" s="168"/>
      <c r="P119" s="166"/>
      <c r="Q119" s="4784">
        <v>0.15</v>
      </c>
      <c r="R119" s="4785"/>
      <c r="S119" s="279"/>
      <c r="T119" s="279"/>
      <c r="U119" s="279"/>
      <c r="AA119" s="481"/>
      <c r="AB119" s="481"/>
    </row>
    <row r="120" spans="1:28" s="267" customFormat="1" ht="13.5" hidden="1">
      <c r="A120" s="168"/>
      <c r="B120" s="375"/>
      <c r="C120" s="168"/>
      <c r="D120" s="166"/>
      <c r="E120" s="166"/>
      <c r="F120" s="168"/>
      <c r="G120" s="168"/>
      <c r="H120" s="168"/>
      <c r="I120" s="168" t="s">
        <v>938</v>
      </c>
      <c r="J120" s="168" t="s">
        <v>939</v>
      </c>
      <c r="K120" s="168"/>
      <c r="L120" s="168"/>
      <c r="M120" s="168"/>
      <c r="N120" s="168"/>
      <c r="O120" s="168"/>
      <c r="P120" s="166"/>
      <c r="Q120" s="4784">
        <v>0.15</v>
      </c>
      <c r="R120" s="4785"/>
      <c r="S120" s="279"/>
      <c r="T120" s="279"/>
      <c r="U120" s="279"/>
      <c r="AA120" s="481"/>
      <c r="AB120" s="481"/>
    </row>
    <row r="121" spans="1:28" s="267" customFormat="1" ht="13.5" hidden="1">
      <c r="A121" s="168"/>
      <c r="B121" s="375"/>
      <c r="C121" s="168"/>
      <c r="D121" s="166"/>
      <c r="E121" s="166"/>
      <c r="F121" s="168" t="s">
        <v>1679</v>
      </c>
      <c r="G121" s="168"/>
      <c r="H121" s="168"/>
      <c r="I121" s="166"/>
      <c r="J121" s="168" t="s">
        <v>2265</v>
      </c>
      <c r="K121" s="168"/>
      <c r="L121" s="168"/>
      <c r="M121" s="168"/>
      <c r="N121" s="168"/>
      <c r="O121" s="168"/>
      <c r="P121" s="166"/>
      <c r="Q121" s="4784">
        <v>0.15</v>
      </c>
      <c r="R121" s="4785"/>
      <c r="S121" s="279"/>
      <c r="T121" s="279"/>
      <c r="U121" s="279"/>
      <c r="AA121" s="481"/>
      <c r="AB121" s="481"/>
    </row>
    <row r="122" spans="1:28" s="267" customFormat="1" ht="13.5" hidden="1">
      <c r="A122" s="168"/>
      <c r="B122" s="375"/>
      <c r="C122" s="168"/>
      <c r="D122" s="166"/>
      <c r="E122" s="166"/>
      <c r="G122" s="168"/>
      <c r="H122" s="168"/>
      <c r="I122" s="166"/>
      <c r="J122" s="168" t="s">
        <v>2266</v>
      </c>
      <c r="K122" s="168"/>
      <c r="L122" s="168"/>
      <c r="M122" s="168"/>
      <c r="N122" s="168"/>
      <c r="O122" s="168"/>
      <c r="P122" s="166"/>
      <c r="Q122" s="4784" t="s">
        <v>2267</v>
      </c>
      <c r="R122" s="4785"/>
      <c r="S122" s="279"/>
      <c r="T122" s="279"/>
      <c r="U122" s="279"/>
      <c r="AA122" s="481"/>
      <c r="AB122" s="481"/>
    </row>
    <row r="123" spans="1:28" s="267" customFormat="1" ht="11.25" customHeight="1">
      <c r="A123" s="168"/>
      <c r="B123" s="375"/>
      <c r="C123" s="168"/>
      <c r="D123" s="166"/>
      <c r="E123" s="166"/>
      <c r="F123" s="168" t="s">
        <v>1941</v>
      </c>
      <c r="G123" s="168"/>
      <c r="H123" s="168"/>
      <c r="I123" s="166"/>
      <c r="J123" s="168"/>
      <c r="K123" s="168"/>
      <c r="L123" s="168"/>
      <c r="M123" s="168"/>
      <c r="N123" s="168"/>
      <c r="O123" s="168"/>
      <c r="P123" s="166"/>
      <c r="Q123" s="376">
        <v>0</v>
      </c>
      <c r="R123" s="376">
        <v>15</v>
      </c>
      <c r="S123" s="279"/>
      <c r="T123" s="279"/>
      <c r="U123" s="279"/>
      <c r="AA123" s="481"/>
      <c r="AB123" s="481"/>
    </row>
    <row r="124" spans="1:28" s="267" customFormat="1" ht="11.25" hidden="1" customHeight="1">
      <c r="A124" s="168"/>
      <c r="B124" s="375"/>
      <c r="C124" s="168"/>
      <c r="D124" s="166"/>
      <c r="E124" s="166"/>
      <c r="F124" s="168" t="s">
        <v>1940</v>
      </c>
      <c r="G124" s="168"/>
      <c r="I124" s="166"/>
      <c r="J124" s="168"/>
      <c r="K124" s="168"/>
      <c r="L124" s="168"/>
      <c r="M124" s="168"/>
      <c r="N124" s="168"/>
      <c r="O124" s="168"/>
      <c r="P124" s="166"/>
      <c r="Q124" s="919">
        <v>0</v>
      </c>
      <c r="R124" s="919">
        <v>0.5</v>
      </c>
      <c r="S124" s="279"/>
      <c r="T124" s="279"/>
      <c r="U124" s="279"/>
      <c r="AA124" s="481"/>
      <c r="AB124" s="481"/>
    </row>
    <row r="125" spans="1:28" s="267" customFormat="1" ht="11.25" customHeight="1">
      <c r="A125" s="168"/>
      <c r="B125" s="168" t="s">
        <v>1680</v>
      </c>
      <c r="C125" s="168"/>
      <c r="D125" s="168"/>
      <c r="E125" s="168"/>
      <c r="F125" s="168"/>
      <c r="G125" s="168"/>
      <c r="H125" s="166"/>
      <c r="I125" s="166"/>
      <c r="J125" s="168" t="s">
        <v>1681</v>
      </c>
      <c r="K125" s="168"/>
      <c r="L125" s="168"/>
      <c r="M125" s="168"/>
      <c r="N125" s="168"/>
      <c r="O125" s="168"/>
      <c r="P125" s="166"/>
      <c r="Q125" s="280">
        <v>6</v>
      </c>
      <c r="R125" s="278" t="s">
        <v>1654</v>
      </c>
      <c r="S125" s="279"/>
      <c r="T125" s="279"/>
      <c r="U125" s="279"/>
      <c r="AA125" s="481"/>
      <c r="AB125" s="481"/>
    </row>
    <row r="126" spans="1:28" s="267" customFormat="1" ht="11.25" customHeight="1">
      <c r="A126" s="168"/>
      <c r="B126" s="168"/>
      <c r="C126" s="168"/>
      <c r="D126" s="168"/>
      <c r="E126" s="168"/>
      <c r="F126" s="168"/>
      <c r="G126" s="168"/>
      <c r="H126" s="166"/>
      <c r="I126" s="166"/>
      <c r="J126" s="168" t="s">
        <v>1682</v>
      </c>
      <c r="K126" s="168"/>
      <c r="L126" s="168"/>
      <c r="M126" s="168"/>
      <c r="N126" s="168"/>
      <c r="O126" s="168"/>
      <c r="P126" s="166"/>
      <c r="Q126" s="280">
        <v>6</v>
      </c>
      <c r="R126" s="278" t="s">
        <v>1654</v>
      </c>
      <c r="S126" s="279"/>
      <c r="T126" s="279"/>
      <c r="U126" s="279"/>
      <c r="AA126" s="481"/>
      <c r="AB126" s="481"/>
    </row>
    <row r="127" spans="1:28" s="267" customFormat="1" ht="11.25" customHeight="1">
      <c r="A127" s="168"/>
      <c r="B127" s="377" t="s">
        <v>1942</v>
      </c>
      <c r="C127" s="168"/>
      <c r="D127" s="166"/>
      <c r="E127" s="166"/>
      <c r="F127" s="168"/>
      <c r="G127" s="168"/>
      <c r="I127" s="166"/>
      <c r="J127" s="168" t="s">
        <v>1943</v>
      </c>
      <c r="K127" s="168"/>
      <c r="L127" s="168"/>
      <c r="M127" s="168"/>
      <c r="N127" s="168"/>
      <c r="O127" s="168"/>
      <c r="P127" s="166"/>
      <c r="Q127" s="280">
        <v>3</v>
      </c>
      <c r="R127" s="278" t="s">
        <v>1654</v>
      </c>
      <c r="S127" s="279"/>
      <c r="T127" s="279"/>
      <c r="U127" s="279"/>
      <c r="AA127" s="481"/>
      <c r="AB127" s="481"/>
    </row>
    <row r="128" spans="1:28" s="267" customFormat="1" ht="11.45" customHeight="1">
      <c r="A128" s="168"/>
      <c r="B128" s="170" t="s">
        <v>3204</v>
      </c>
      <c r="C128" s="168"/>
      <c r="D128" s="166"/>
      <c r="E128" s="168"/>
      <c r="F128" s="168"/>
      <c r="G128" s="168"/>
      <c r="H128" s="166"/>
      <c r="I128" s="166"/>
      <c r="J128" s="168" t="s">
        <v>1683</v>
      </c>
      <c r="K128" s="168"/>
      <c r="L128" s="168"/>
      <c r="M128" s="168"/>
      <c r="N128" s="168"/>
      <c r="O128" s="168"/>
      <c r="P128" s="166"/>
      <c r="Q128" s="4774">
        <v>3000</v>
      </c>
      <c r="R128" s="4775"/>
      <c r="S128" s="279"/>
      <c r="T128" s="279"/>
      <c r="U128" s="279"/>
      <c r="AA128" s="481"/>
      <c r="AB128" s="481"/>
    </row>
    <row r="129" spans="1:28" s="267" customFormat="1" ht="11.45" customHeight="1">
      <c r="A129" s="168"/>
      <c r="B129" s="168"/>
      <c r="C129" s="168"/>
      <c r="D129" s="166"/>
      <c r="E129" s="166"/>
      <c r="O129" s="168"/>
      <c r="T129" s="273"/>
      <c r="U129" s="166"/>
      <c r="V129" s="863"/>
      <c r="W129" s="863"/>
      <c r="X129" s="863"/>
      <c r="AA129" s="481"/>
      <c r="AB129" s="481"/>
    </row>
    <row r="130" spans="1:28" s="267" customFormat="1" ht="11.45" customHeight="1">
      <c r="A130" s="268" t="s">
        <v>1649</v>
      </c>
      <c r="B130" s="268"/>
      <c r="C130" s="268"/>
      <c r="D130" s="166"/>
      <c r="E130" s="166"/>
      <c r="F130" s="268" t="s">
        <v>1650</v>
      </c>
      <c r="G130" s="268"/>
      <c r="H130" s="166"/>
      <c r="I130" s="166"/>
      <c r="J130" s="268" t="s">
        <v>1651</v>
      </c>
      <c r="K130" s="268"/>
      <c r="L130" s="268"/>
      <c r="M130" s="268"/>
      <c r="N130" s="268"/>
      <c r="O130" s="268"/>
      <c r="P130" s="166"/>
      <c r="Q130" s="169" t="s">
        <v>2822</v>
      </c>
      <c r="R130" s="169" t="s">
        <v>1652</v>
      </c>
      <c r="S130" s="287"/>
      <c r="T130" s="273"/>
      <c r="U130" s="166"/>
      <c r="V130" s="863"/>
      <c r="W130" s="863"/>
      <c r="X130" s="863"/>
      <c r="AA130" s="481"/>
      <c r="AB130" s="481"/>
    </row>
    <row r="131" spans="1:28" s="267" customFormat="1" ht="3" customHeight="1">
      <c r="A131" s="168"/>
      <c r="B131" s="168"/>
      <c r="C131" s="168"/>
      <c r="D131" s="168"/>
      <c r="E131" s="166"/>
      <c r="F131" s="168"/>
      <c r="G131" s="168"/>
      <c r="H131" s="276"/>
      <c r="I131" s="166"/>
      <c r="J131" s="168"/>
      <c r="K131" s="277"/>
      <c r="L131" s="277"/>
      <c r="M131" s="277"/>
      <c r="N131" s="277"/>
      <c r="O131" s="168"/>
      <c r="P131" s="166"/>
      <c r="Q131" s="275"/>
      <c r="R131" s="275"/>
      <c r="S131" s="166"/>
      <c r="T131" s="166"/>
      <c r="U131" s="166"/>
      <c r="AA131" s="481"/>
      <c r="AB131" s="481"/>
    </row>
    <row r="132" spans="1:28" s="267" customFormat="1" ht="3" customHeight="1">
      <c r="A132" s="166"/>
      <c r="B132" s="168"/>
      <c r="C132" s="168"/>
      <c r="D132" s="168"/>
      <c r="E132" s="168"/>
      <c r="F132" s="168"/>
      <c r="G132" s="168"/>
      <c r="H132" s="168"/>
      <c r="I132" s="166"/>
      <c r="J132" s="168"/>
      <c r="K132" s="168"/>
      <c r="L132" s="168"/>
      <c r="M132" s="168"/>
      <c r="N132" s="168"/>
      <c r="O132" s="168"/>
      <c r="P132" s="166"/>
      <c r="Q132" s="168"/>
      <c r="R132" s="168"/>
      <c r="S132" s="279"/>
      <c r="T132" s="279"/>
      <c r="U132" s="279"/>
      <c r="AA132" s="481"/>
      <c r="AB132" s="481"/>
    </row>
    <row r="133" spans="1:28" s="267" customFormat="1" ht="12" customHeight="1">
      <c r="A133" s="272" t="s">
        <v>1684</v>
      </c>
      <c r="B133" s="168"/>
      <c r="C133" s="168"/>
      <c r="D133" s="168"/>
      <c r="E133" s="168"/>
      <c r="F133" s="168"/>
      <c r="G133" s="168"/>
      <c r="H133" s="168"/>
      <c r="I133" s="166"/>
      <c r="J133" s="168"/>
      <c r="K133" s="168"/>
      <c r="L133" s="168"/>
      <c r="M133" s="168"/>
      <c r="N133" s="168"/>
      <c r="O133" s="168"/>
      <c r="P133" s="166"/>
      <c r="Q133" s="168"/>
      <c r="R133" s="168"/>
      <c r="S133" s="279"/>
      <c r="T133" s="279"/>
      <c r="U133" s="279"/>
      <c r="AA133" s="481"/>
      <c r="AB133" s="481"/>
    </row>
    <row r="134" spans="1:28" ht="11.45" customHeight="1">
      <c r="B134" s="281" t="s">
        <v>2300</v>
      </c>
      <c r="C134" s="148"/>
      <c r="D134" s="148"/>
      <c r="E134" s="148"/>
      <c r="F134" s="148"/>
      <c r="G134" s="148"/>
      <c r="J134" s="282">
        <v>1</v>
      </c>
      <c r="K134" s="282">
        <v>2</v>
      </c>
      <c r="L134" s="282">
        <v>3</v>
      </c>
      <c r="M134" s="282">
        <v>4</v>
      </c>
      <c r="N134" s="282">
        <v>5</v>
      </c>
      <c r="O134" s="282">
        <v>6</v>
      </c>
      <c r="P134" s="282">
        <v>7</v>
      </c>
      <c r="Q134" s="282">
        <v>8</v>
      </c>
    </row>
    <row r="135" spans="1:28" ht="11.1" customHeight="1">
      <c r="B135" s="148"/>
      <c r="C135" s="148"/>
      <c r="D135" s="148"/>
      <c r="E135" s="148"/>
      <c r="F135" s="148"/>
      <c r="G135" s="148"/>
      <c r="J135" s="1588">
        <v>0.7</v>
      </c>
      <c r="K135" s="1588">
        <v>0.8</v>
      </c>
      <c r="L135" s="1588">
        <v>0.9</v>
      </c>
      <c r="M135" s="1589" t="s">
        <v>130</v>
      </c>
      <c r="N135" s="1588">
        <v>1.08</v>
      </c>
      <c r="O135" s="1588">
        <v>1.1599999999999999</v>
      </c>
      <c r="P135" s="1588">
        <v>1.24</v>
      </c>
      <c r="Q135" s="1588">
        <v>1.32</v>
      </c>
    </row>
    <row r="136" spans="1:28" s="279" customFormat="1" ht="11.45" customHeight="1">
      <c r="A136" s="168"/>
      <c r="B136" s="168" t="s">
        <v>1685</v>
      </c>
      <c r="C136" s="168"/>
      <c r="D136" s="168"/>
      <c r="E136" s="168"/>
      <c r="F136" s="168"/>
      <c r="G136" s="168"/>
      <c r="H136" s="168"/>
      <c r="J136" s="168" t="s">
        <v>1686</v>
      </c>
      <c r="K136" s="168"/>
      <c r="L136" s="168"/>
      <c r="M136" s="168"/>
      <c r="N136" s="168"/>
      <c r="O136" s="168"/>
      <c r="Q136" s="4763">
        <v>0.02</v>
      </c>
      <c r="R136" s="4763"/>
      <c r="AA136" s="481"/>
      <c r="AB136" s="481"/>
    </row>
    <row r="137" spans="1:28" s="279" customFormat="1" ht="11.45" customHeight="1">
      <c r="A137" s="168"/>
      <c r="B137" s="168" t="s">
        <v>1687</v>
      </c>
      <c r="C137" s="168"/>
      <c r="D137" s="168"/>
      <c r="E137" s="168"/>
      <c r="F137" s="168"/>
      <c r="G137" s="168"/>
      <c r="H137" s="168"/>
      <c r="J137" s="168" t="s">
        <v>1686</v>
      </c>
      <c r="K137" s="168"/>
      <c r="L137" s="168"/>
      <c r="M137" s="168"/>
      <c r="N137" s="168"/>
      <c r="O137" s="168"/>
      <c r="Q137" s="4764">
        <v>7.0000000000000007E-2</v>
      </c>
      <c r="R137" s="4764"/>
      <c r="AA137" s="481"/>
      <c r="AB137" s="481"/>
    </row>
    <row r="138" spans="1:28" s="279" customFormat="1" ht="11.45" customHeight="1">
      <c r="A138" s="168"/>
      <c r="B138" s="168" t="s">
        <v>1688</v>
      </c>
      <c r="C138" s="168"/>
      <c r="D138" s="168"/>
      <c r="E138" s="168"/>
      <c r="F138" s="168"/>
      <c r="G138" s="168"/>
      <c r="H138" s="168"/>
      <c r="J138" s="168" t="s">
        <v>1686</v>
      </c>
      <c r="K138" s="168"/>
      <c r="L138" s="168"/>
      <c r="M138" s="168"/>
      <c r="N138" s="168"/>
      <c r="O138" s="168"/>
      <c r="Q138" s="4764">
        <v>7.0000000000000007E-2</v>
      </c>
      <c r="R138" s="4764"/>
      <c r="AA138" s="481"/>
      <c r="AB138" s="481"/>
    </row>
    <row r="139" spans="1:28" s="267" customFormat="1" ht="11.45" customHeight="1">
      <c r="A139" s="168"/>
      <c r="B139" s="168" t="s">
        <v>127</v>
      </c>
      <c r="C139" s="168"/>
      <c r="D139" s="166"/>
      <c r="E139" s="166"/>
      <c r="F139" s="166"/>
      <c r="G139" s="168"/>
      <c r="H139" s="166"/>
      <c r="I139" s="166"/>
      <c r="J139" s="168" t="s">
        <v>1686</v>
      </c>
      <c r="K139" s="168"/>
      <c r="L139" s="168"/>
      <c r="M139" s="168"/>
      <c r="N139" s="168"/>
      <c r="O139" s="168"/>
      <c r="P139" s="166"/>
      <c r="Q139" s="4764">
        <v>0.03</v>
      </c>
      <c r="R139" s="4764"/>
      <c r="S139" s="279"/>
      <c r="T139" s="279"/>
      <c r="U139" s="279"/>
      <c r="AA139" s="481"/>
      <c r="AB139" s="481"/>
    </row>
    <row r="140" spans="1:28" s="267" customFormat="1" ht="11.45" customHeight="1">
      <c r="A140" s="168"/>
      <c r="B140" s="168" t="s">
        <v>128</v>
      </c>
      <c r="C140" s="168"/>
      <c r="D140" s="166"/>
      <c r="E140" s="166"/>
      <c r="F140" s="166"/>
      <c r="G140" s="168"/>
      <c r="H140" s="166"/>
      <c r="I140" s="166"/>
      <c r="J140" s="168" t="s">
        <v>1686</v>
      </c>
      <c r="K140" s="168"/>
      <c r="L140" s="168"/>
      <c r="M140" s="168"/>
      <c r="N140" s="168"/>
      <c r="O140" s="168"/>
      <c r="P140" s="166"/>
      <c r="Q140" s="4764">
        <v>0.03</v>
      </c>
      <c r="R140" s="4764"/>
      <c r="S140" s="279"/>
      <c r="T140" s="279"/>
      <c r="U140" s="279"/>
      <c r="AA140" s="481"/>
      <c r="AB140" s="481"/>
    </row>
    <row r="141" spans="1:28" s="267" customFormat="1" ht="11.45" customHeight="1">
      <c r="A141" s="168"/>
      <c r="B141" s="168" t="s">
        <v>129</v>
      </c>
      <c r="C141" s="168"/>
      <c r="D141" s="166"/>
      <c r="E141" s="166"/>
      <c r="F141" s="166"/>
      <c r="G141" s="168"/>
      <c r="H141" s="166"/>
      <c r="I141" s="166"/>
      <c r="J141" s="168" t="s">
        <v>1686</v>
      </c>
      <c r="K141" s="168"/>
      <c r="L141" s="168"/>
      <c r="M141" s="168"/>
      <c r="N141" s="168"/>
      <c r="O141" s="168"/>
      <c r="P141" s="166"/>
      <c r="Q141" s="4765">
        <v>0</v>
      </c>
      <c r="R141" s="4765"/>
      <c r="S141" s="279"/>
      <c r="T141" s="279"/>
      <c r="U141" s="279"/>
      <c r="AA141" s="481"/>
      <c r="AB141" s="481"/>
    </row>
    <row r="142" spans="1:28" s="267" customFormat="1" ht="4.3499999999999996" customHeight="1">
      <c r="A142" s="268"/>
      <c r="B142" s="268"/>
      <c r="C142" s="268"/>
      <c r="D142" s="268"/>
      <c r="E142" s="166"/>
      <c r="F142" s="268"/>
      <c r="G142" s="268"/>
      <c r="H142" s="166"/>
      <c r="I142" s="166"/>
      <c r="J142" s="268"/>
      <c r="K142" s="268"/>
      <c r="L142" s="268"/>
      <c r="M142" s="268"/>
      <c r="N142" s="268"/>
      <c r="O142" s="268"/>
      <c r="P142" s="166"/>
      <c r="Q142" s="269"/>
      <c r="R142" s="270"/>
      <c r="S142" s="166"/>
      <c r="T142" s="166"/>
      <c r="U142" s="166"/>
      <c r="W142" s="271"/>
      <c r="X142" s="271"/>
      <c r="Y142" s="271"/>
      <c r="Z142" s="271"/>
      <c r="AA142" s="481"/>
      <c r="AB142" s="481"/>
    </row>
    <row r="143" spans="1:28" s="267" customFormat="1" ht="11.45" customHeight="1">
      <c r="A143" s="272" t="s">
        <v>2531</v>
      </c>
      <c r="B143" s="168"/>
      <c r="C143" s="168"/>
      <c r="D143" s="166"/>
      <c r="E143" s="166"/>
      <c r="F143" s="168" t="s">
        <v>486</v>
      </c>
      <c r="G143" s="168"/>
      <c r="H143" s="168" t="s">
        <v>2479</v>
      </c>
      <c r="I143" s="166"/>
      <c r="J143" s="168" t="s">
        <v>2533</v>
      </c>
      <c r="K143" s="168"/>
      <c r="L143" s="168"/>
      <c r="M143" s="168"/>
      <c r="N143" s="168"/>
      <c r="O143" s="168"/>
      <c r="P143" s="166"/>
      <c r="Q143" s="4763">
        <v>0.1</v>
      </c>
      <c r="R143" s="4763"/>
      <c r="S143" s="166"/>
      <c r="T143" s="166"/>
      <c r="U143" s="166"/>
      <c r="V143" s="814"/>
      <c r="W143" s="814"/>
      <c r="X143" s="169"/>
      <c r="AA143" s="481"/>
      <c r="AB143" s="481"/>
    </row>
    <row r="144" spans="1:28" s="267" customFormat="1" ht="11.45" customHeight="1">
      <c r="A144" s="272"/>
      <c r="B144" s="168"/>
      <c r="C144" s="168"/>
      <c r="D144" s="166"/>
      <c r="E144" s="166"/>
      <c r="F144" s="168"/>
      <c r="G144" s="168"/>
      <c r="H144" s="168" t="s">
        <v>3445</v>
      </c>
      <c r="I144" s="166"/>
      <c r="J144" s="168" t="s">
        <v>3446</v>
      </c>
      <c r="K144" s="168"/>
      <c r="L144" s="168"/>
      <c r="M144" s="168"/>
      <c r="N144" s="168"/>
      <c r="O144" s="168"/>
      <c r="P144" s="166"/>
      <c r="Q144" s="4762">
        <v>1000000</v>
      </c>
      <c r="R144" s="4762"/>
      <c r="S144" s="166"/>
      <c r="T144" s="166"/>
      <c r="U144" s="166"/>
      <c r="V144" s="814"/>
      <c r="W144" s="814"/>
      <c r="X144" s="169"/>
      <c r="AA144" s="481"/>
      <c r="AB144" s="481"/>
    </row>
    <row r="145" spans="1:28" s="267" customFormat="1" ht="11.45" customHeight="1">
      <c r="A145" s="168"/>
      <c r="B145" s="168"/>
      <c r="C145" s="168"/>
      <c r="D145" s="166"/>
      <c r="E145" s="166"/>
      <c r="F145" s="168"/>
      <c r="G145" s="168"/>
      <c r="H145" s="168" t="s">
        <v>6317</v>
      </c>
      <c r="J145" s="168" t="s">
        <v>3447</v>
      </c>
      <c r="K145" s="168"/>
      <c r="L145" s="168"/>
      <c r="M145" s="168"/>
      <c r="N145" s="168"/>
      <c r="O145" s="168"/>
      <c r="P145" s="166"/>
      <c r="Q145" s="4762">
        <v>1000000</v>
      </c>
      <c r="R145" s="4762"/>
      <c r="S145" s="273"/>
      <c r="T145" s="273"/>
      <c r="U145" s="166"/>
      <c r="V145" s="863"/>
      <c r="W145" s="863"/>
      <c r="X145" s="863"/>
      <c r="AA145" s="481"/>
      <c r="AB145" s="481"/>
    </row>
    <row r="146" spans="1:28" s="267" customFormat="1" ht="11.45" customHeight="1">
      <c r="A146" s="168"/>
      <c r="B146" s="168"/>
      <c r="C146" s="168"/>
      <c r="D146" s="166"/>
      <c r="E146" s="166"/>
      <c r="F146" s="168"/>
      <c r="G146" s="168"/>
      <c r="H146" s="168" t="s">
        <v>932</v>
      </c>
      <c r="I146" s="166"/>
      <c r="J146" s="168" t="s">
        <v>3447</v>
      </c>
      <c r="Q146" s="4762">
        <v>900000</v>
      </c>
      <c r="R146" s="4762"/>
      <c r="S146" s="273"/>
      <c r="T146" s="273"/>
      <c r="U146" s="166"/>
      <c r="V146" s="863"/>
      <c r="W146" s="863"/>
      <c r="X146" s="863"/>
      <c r="AA146" s="481"/>
      <c r="AB146" s="481"/>
    </row>
    <row r="147" spans="1:28" s="267" customFormat="1" ht="11.45" customHeight="1">
      <c r="A147" s="168"/>
      <c r="B147" s="168"/>
      <c r="C147" s="168"/>
      <c r="D147" s="166"/>
      <c r="E147" s="166"/>
      <c r="F147" s="168"/>
      <c r="G147" s="168"/>
      <c r="H147" s="168" t="s">
        <v>3929</v>
      </c>
      <c r="I147" s="166"/>
      <c r="K147" s="168"/>
      <c r="L147" s="168"/>
      <c r="M147" s="168"/>
      <c r="N147" s="168"/>
      <c r="O147" s="168"/>
      <c r="P147" s="166"/>
      <c r="Q147" s="4762"/>
      <c r="R147" s="4762"/>
      <c r="S147" s="273"/>
      <c r="T147" s="273"/>
      <c r="U147" s="166"/>
      <c r="V147" s="863"/>
      <c r="W147" s="863"/>
      <c r="X147" s="863"/>
      <c r="AA147" s="481"/>
      <c r="AB147" s="481"/>
    </row>
    <row r="148" spans="1:28" s="267" customFormat="1" ht="11.45" customHeight="1">
      <c r="A148" s="168"/>
      <c r="B148" s="168"/>
      <c r="C148" s="168"/>
      <c r="D148" s="166"/>
      <c r="E148" s="166"/>
      <c r="F148" s="168" t="s">
        <v>2298</v>
      </c>
      <c r="G148" s="168"/>
      <c r="H148" s="168" t="s">
        <v>2532</v>
      </c>
      <c r="I148" s="166"/>
      <c r="J148" s="168" t="s">
        <v>3456</v>
      </c>
      <c r="K148" s="168"/>
      <c r="L148" s="168"/>
      <c r="M148" s="168"/>
      <c r="N148" s="168"/>
      <c r="O148" s="168"/>
      <c r="P148" s="166"/>
      <c r="Q148" s="4783">
        <v>4000000</v>
      </c>
      <c r="R148" s="4783"/>
      <c r="S148" s="273"/>
      <c r="T148" s="273"/>
      <c r="U148" s="166"/>
      <c r="V148" s="863"/>
      <c r="W148" s="863"/>
      <c r="X148" s="863"/>
      <c r="AA148" s="481"/>
      <c r="AB148" s="481"/>
    </row>
    <row r="149" spans="1:28" s="267" customFormat="1" ht="11.45" customHeight="1">
      <c r="A149" s="168"/>
      <c r="B149" s="168"/>
      <c r="C149" s="168"/>
      <c r="D149" s="166"/>
      <c r="E149" s="166"/>
      <c r="F149" s="168"/>
      <c r="G149" s="168"/>
      <c r="H149" s="166"/>
      <c r="I149" s="166"/>
      <c r="J149" s="168"/>
      <c r="K149" s="168"/>
      <c r="L149" s="168"/>
      <c r="M149" s="168"/>
      <c r="N149" s="168"/>
      <c r="O149" s="168"/>
      <c r="P149" s="166"/>
      <c r="Q149" s="275"/>
      <c r="R149" s="275"/>
      <c r="S149" s="273"/>
      <c r="T149" s="273"/>
      <c r="U149" s="166"/>
      <c r="V149" s="863"/>
      <c r="W149" s="863"/>
      <c r="X149" s="863"/>
      <c r="AA149" s="481"/>
      <c r="AB149" s="481"/>
    </row>
    <row r="150" spans="1:28" ht="12.75" customHeight="1">
      <c r="A150" s="272" t="s">
        <v>2620</v>
      </c>
      <c r="J150" s="168" t="s">
        <v>2533</v>
      </c>
      <c r="Q150" s="4766" t="s">
        <v>6320</v>
      </c>
      <c r="R150" s="4766"/>
    </row>
    <row r="151" spans="1:28" ht="11.25" customHeight="1">
      <c r="F151" s="168" t="s">
        <v>2478</v>
      </c>
      <c r="G151" s="168"/>
      <c r="H151" s="168" t="s">
        <v>6319</v>
      </c>
      <c r="I151" s="166"/>
      <c r="J151" s="4763">
        <v>0.35</v>
      </c>
      <c r="K151" s="4763"/>
      <c r="L151" s="168"/>
      <c r="M151" s="168"/>
      <c r="N151" s="168"/>
      <c r="O151" s="168"/>
      <c r="P151" s="166"/>
      <c r="Q151" s="4782">
        <v>900000</v>
      </c>
      <c r="R151" s="4782"/>
    </row>
    <row r="152" spans="1:28" ht="11.25" customHeight="1">
      <c r="A152" s="272"/>
      <c r="F152" s="168" t="s">
        <v>6318</v>
      </c>
      <c r="G152" s="168"/>
      <c r="H152" s="168" t="s">
        <v>6319</v>
      </c>
      <c r="I152" s="166"/>
      <c r="J152" s="4764">
        <v>0.35</v>
      </c>
      <c r="K152" s="4764"/>
      <c r="L152" s="168"/>
      <c r="M152" s="168"/>
      <c r="N152" s="168"/>
      <c r="O152" s="168"/>
      <c r="P152" s="166"/>
      <c r="Q152" s="4762">
        <v>1000000</v>
      </c>
      <c r="R152" s="4762"/>
    </row>
    <row r="153" spans="1:28" s="267" customFormat="1" ht="11.25" customHeight="1">
      <c r="A153" s="272"/>
      <c r="B153" s="168"/>
      <c r="C153" s="168"/>
      <c r="D153" s="166"/>
      <c r="E153" s="166"/>
      <c r="F153" s="168" t="s">
        <v>3140</v>
      </c>
      <c r="G153" s="168"/>
      <c r="H153" s="168" t="s">
        <v>6319</v>
      </c>
      <c r="I153" s="166"/>
      <c r="J153" s="4765">
        <v>0.3</v>
      </c>
      <c r="K153" s="4765"/>
      <c r="L153" s="168"/>
      <c r="M153" s="168"/>
      <c r="N153" s="168"/>
      <c r="O153" s="168"/>
      <c r="P153" s="166"/>
      <c r="Q153" s="4783">
        <v>1000000</v>
      </c>
      <c r="R153" s="4783"/>
      <c r="S153" s="166"/>
      <c r="T153" s="166"/>
      <c r="U153" s="166"/>
      <c r="V153" s="814"/>
      <c r="W153" s="814"/>
      <c r="X153" s="169"/>
      <c r="AA153" s="481"/>
      <c r="AB153" s="481"/>
    </row>
    <row r="154" spans="1:28" s="267" customFormat="1" ht="12.75" customHeight="1">
      <c r="A154" s="272"/>
      <c r="B154" s="168"/>
      <c r="C154" s="168"/>
      <c r="D154" s="166"/>
      <c r="E154" s="166"/>
      <c r="F154" s="168"/>
      <c r="G154" s="168"/>
      <c r="H154" s="166"/>
      <c r="I154" s="166"/>
      <c r="J154" s="168"/>
      <c r="K154" s="168"/>
      <c r="L154" s="168"/>
      <c r="M154" s="168"/>
      <c r="N154" s="168"/>
      <c r="O154" s="168"/>
      <c r="P154" s="166"/>
      <c r="Q154" s="375"/>
      <c r="R154" s="375"/>
      <c r="S154" s="166"/>
      <c r="T154" s="166"/>
      <c r="U154" s="166"/>
      <c r="V154" s="814"/>
      <c r="W154" s="814"/>
      <c r="X154" s="169"/>
      <c r="AA154" s="481"/>
      <c r="AB154" s="481"/>
    </row>
    <row r="155" spans="1:28" s="267" customFormat="1" ht="12.75" customHeight="1">
      <c r="A155" s="272" t="s">
        <v>3323</v>
      </c>
      <c r="B155" s="168"/>
      <c r="C155" s="168"/>
      <c r="D155" s="166"/>
      <c r="E155" s="166"/>
      <c r="F155" s="168" t="s">
        <v>3326</v>
      </c>
      <c r="G155" s="168"/>
      <c r="H155" s="166"/>
      <c r="I155" s="166"/>
      <c r="J155" s="168" t="s">
        <v>3327</v>
      </c>
      <c r="K155" s="168"/>
      <c r="L155" s="168"/>
      <c r="M155" s="168"/>
      <c r="N155" s="168"/>
      <c r="O155" s="168"/>
      <c r="P155" s="166"/>
      <c r="Q155" s="4763">
        <v>0.05</v>
      </c>
      <c r="R155" s="4763"/>
      <c r="S155" s="166"/>
      <c r="T155" s="166"/>
      <c r="U155" s="166"/>
      <c r="V155" s="814"/>
      <c r="W155" s="814"/>
      <c r="X155" s="169"/>
      <c r="AA155" s="481"/>
      <c r="AB155" s="481"/>
    </row>
    <row r="156" spans="1:28" s="267" customFormat="1" ht="12.75" customHeight="1">
      <c r="A156" s="272"/>
      <c r="B156" s="168"/>
      <c r="C156" s="168"/>
      <c r="D156" s="166"/>
      <c r="E156" s="166"/>
      <c r="F156" s="168"/>
      <c r="G156" s="168" t="s">
        <v>3324</v>
      </c>
      <c r="H156" s="166"/>
      <c r="I156" s="166"/>
      <c r="J156" s="168" t="s">
        <v>3328</v>
      </c>
      <c r="K156" s="168"/>
      <c r="L156" s="168"/>
      <c r="M156" s="168"/>
      <c r="N156" s="168"/>
      <c r="O156" s="168"/>
      <c r="P156" s="166"/>
      <c r="Q156" s="4764">
        <v>0.4</v>
      </c>
      <c r="R156" s="4764"/>
      <c r="S156" s="166"/>
      <c r="T156" s="166"/>
      <c r="U156" s="166"/>
      <c r="V156" s="814"/>
      <c r="W156" s="814"/>
      <c r="X156" s="169"/>
      <c r="AA156" s="481"/>
      <c r="AB156" s="481"/>
    </row>
    <row r="157" spans="1:28" s="267" customFormat="1" ht="12.75" customHeight="1">
      <c r="A157" s="272"/>
      <c r="B157" s="168"/>
      <c r="C157" s="168"/>
      <c r="D157" s="166"/>
      <c r="E157" s="166"/>
      <c r="F157" s="168" t="s">
        <v>3325</v>
      </c>
      <c r="G157" s="168"/>
      <c r="H157" s="166"/>
      <c r="I157" s="166"/>
      <c r="J157" s="168" t="s">
        <v>3327</v>
      </c>
      <c r="K157" s="168"/>
      <c r="L157" s="168"/>
      <c r="M157" s="168"/>
      <c r="N157" s="168"/>
      <c r="O157" s="168"/>
      <c r="P157" s="166"/>
      <c r="Q157" s="4765">
        <v>0.02</v>
      </c>
      <c r="R157" s="4765"/>
      <c r="S157" s="166"/>
      <c r="T157" s="166"/>
      <c r="U157" s="166"/>
      <c r="V157" s="814"/>
      <c r="W157" s="814"/>
      <c r="X157" s="169"/>
      <c r="AA157" s="481"/>
      <c r="AB157" s="481"/>
    </row>
    <row r="158" spans="1:28" s="267" customFormat="1" ht="12.75" customHeight="1">
      <c r="A158" s="272"/>
      <c r="B158" s="168"/>
      <c r="C158" s="168"/>
      <c r="D158" s="166"/>
      <c r="E158" s="166"/>
      <c r="F158" s="168"/>
      <c r="G158" s="168"/>
      <c r="H158" s="166"/>
      <c r="I158" s="166"/>
      <c r="J158" s="168"/>
      <c r="K158" s="168"/>
      <c r="L158" s="168"/>
      <c r="M158" s="168"/>
      <c r="N158" s="168"/>
      <c r="O158" s="168"/>
      <c r="P158" s="166"/>
      <c r="Q158" s="375"/>
      <c r="R158" s="375"/>
      <c r="S158" s="166"/>
      <c r="T158" s="166"/>
      <c r="U158" s="166"/>
      <c r="V158" s="814"/>
      <c r="W158" s="814"/>
      <c r="X158" s="169"/>
      <c r="AA158" s="481"/>
      <c r="AB158" s="481"/>
    </row>
    <row r="159" spans="1:28" ht="13.35" customHeight="1">
      <c r="C159" s="168"/>
      <c r="D159" s="166"/>
      <c r="E159" s="283"/>
      <c r="F159" s="283"/>
      <c r="G159" s="283"/>
      <c r="H159" s="283"/>
      <c r="I159" s="283"/>
    </row>
    <row r="160" spans="1:28" ht="13.5">
      <c r="C160" s="168"/>
      <c r="D160" s="166"/>
      <c r="J160" s="372" t="s">
        <v>771</v>
      </c>
      <c r="K160" s="372"/>
      <c r="L160" s="265"/>
    </row>
    <row r="161" spans="2:37" ht="13.5">
      <c r="C161" s="168"/>
      <c r="D161" s="166"/>
      <c r="J161" s="373" t="s">
        <v>774</v>
      </c>
      <c r="K161" s="373" t="s">
        <v>772</v>
      </c>
      <c r="L161" s="374" t="s">
        <v>773</v>
      </c>
    </row>
    <row r="162" spans="2:37" ht="10.5" customHeight="1">
      <c r="C162" s="168"/>
      <c r="D162" s="166"/>
      <c r="E162" s="279"/>
      <c r="F162" s="279"/>
      <c r="J162" s="387">
        <v>0</v>
      </c>
      <c r="K162" s="387">
        <v>0.7</v>
      </c>
      <c r="L162" s="387">
        <v>1</v>
      </c>
    </row>
    <row r="163" spans="2:37" ht="10.5" customHeight="1">
      <c r="C163" s="283"/>
      <c r="D163" s="283"/>
      <c r="E163" s="279"/>
      <c r="F163" s="279"/>
      <c r="J163" s="387">
        <v>1</v>
      </c>
      <c r="K163" s="387">
        <v>0.75</v>
      </c>
      <c r="L163" s="387">
        <v>1.5</v>
      </c>
    </row>
    <row r="164" spans="2:37" ht="10.5" customHeight="1">
      <c r="C164" s="283"/>
      <c r="D164" s="283"/>
      <c r="E164" s="279"/>
      <c r="F164" s="279"/>
      <c r="J164" s="387">
        <v>2</v>
      </c>
      <c r="K164" s="387">
        <v>0.9</v>
      </c>
      <c r="L164" s="387">
        <v>3</v>
      </c>
    </row>
    <row r="165" spans="2:37" ht="10.5" customHeight="1">
      <c r="C165" s="283"/>
      <c r="D165" s="283"/>
      <c r="E165" s="279"/>
      <c r="F165" s="279"/>
      <c r="J165" s="387">
        <v>3</v>
      </c>
      <c r="K165" s="387">
        <v>1.04</v>
      </c>
      <c r="L165" s="387">
        <v>4.5</v>
      </c>
    </row>
    <row r="166" spans="2:37" ht="10.5" customHeight="1">
      <c r="C166" s="283"/>
      <c r="D166" s="283"/>
      <c r="E166" s="279"/>
      <c r="F166" s="279"/>
      <c r="J166" s="387">
        <v>4</v>
      </c>
      <c r="K166" s="387">
        <v>1.1599999999999999</v>
      </c>
      <c r="L166" s="387">
        <v>6</v>
      </c>
    </row>
    <row r="167" spans="2:37" ht="10.5" customHeight="1">
      <c r="E167" s="279"/>
      <c r="F167" s="279"/>
      <c r="J167" s="387">
        <v>5</v>
      </c>
      <c r="K167" s="387">
        <v>1.28</v>
      </c>
      <c r="L167" s="387">
        <v>7.5</v>
      </c>
    </row>
    <row r="168" spans="2:37" ht="10.5" customHeight="1">
      <c r="E168" s="279"/>
      <c r="F168" s="279"/>
      <c r="J168" s="387"/>
      <c r="K168" s="387"/>
      <c r="L168" s="387"/>
    </row>
    <row r="169" spans="2:37" ht="10.5" customHeight="1">
      <c r="E169" s="279"/>
      <c r="F169" s="279"/>
      <c r="J169" s="387"/>
      <c r="K169" s="387"/>
      <c r="L169" s="387"/>
    </row>
    <row r="170" spans="2:37" ht="10.5" customHeight="1">
      <c r="C170" s="4790" t="s">
        <v>3553</v>
      </c>
      <c r="E170" s="279"/>
      <c r="F170" s="279"/>
    </row>
    <row r="171" spans="2:37" ht="10.5" customHeight="1">
      <c r="C171" s="4790"/>
      <c r="E171" s="279"/>
      <c r="F171" s="279"/>
    </row>
    <row r="172" spans="2:37" ht="10.5" customHeight="1">
      <c r="C172" s="4790"/>
      <c r="D172" s="1009"/>
      <c r="E172" s="549"/>
      <c r="F172" s="279"/>
    </row>
    <row r="173" spans="2:37" ht="39.75" customHeight="1">
      <c r="C173" s="460" t="s">
        <v>1231</v>
      </c>
      <c r="D173" s="371"/>
      <c r="E173" s="279"/>
      <c r="F173" s="500" t="s">
        <v>1717</v>
      </c>
      <c r="G173" s="500" t="s">
        <v>1161</v>
      </c>
      <c r="H173" s="500" t="s">
        <v>1162</v>
      </c>
      <c r="I173" s="501" t="s">
        <v>1163</v>
      </c>
      <c r="J173" s="501" t="s">
        <v>1108</v>
      </c>
      <c r="K173" s="500" t="s">
        <v>406</v>
      </c>
      <c r="L173" s="502" t="s">
        <v>1115</v>
      </c>
      <c r="M173" s="502" t="s">
        <v>2595</v>
      </c>
      <c r="N173" s="502" t="s">
        <v>3441</v>
      </c>
      <c r="O173" s="502" t="s">
        <v>3644</v>
      </c>
      <c r="P173" s="500" t="s">
        <v>2291</v>
      </c>
      <c r="Q173" s="500"/>
      <c r="R173" s="168"/>
      <c r="S173" s="380"/>
      <c r="T173" s="1251" t="s">
        <v>588</v>
      </c>
      <c r="U173" s="503" t="s">
        <v>589</v>
      </c>
      <c r="W173" s="530" t="s">
        <v>3136</v>
      </c>
      <c r="Z173" s="418"/>
      <c r="AA173" s="418"/>
      <c r="AB173" s="157"/>
      <c r="AC173" s="481"/>
      <c r="AD173" s="481"/>
      <c r="AE173" s="157"/>
      <c r="AF173" s="157"/>
      <c r="AG173" s="157"/>
      <c r="AH173" s="157"/>
      <c r="AI173" s="157"/>
      <c r="AJ173" s="157"/>
      <c r="AK173" s="157"/>
    </row>
    <row r="174" spans="2:37" ht="10.5" customHeight="1">
      <c r="B174" s="279"/>
      <c r="C174" s="369" t="s">
        <v>1702</v>
      </c>
      <c r="D174" s="426"/>
      <c r="E174" s="279"/>
      <c r="F174" s="279" t="s">
        <v>806</v>
      </c>
      <c r="G174" s="885" t="s">
        <v>1164</v>
      </c>
      <c r="H174" s="885" t="s">
        <v>1165</v>
      </c>
      <c r="I174" s="886" t="s">
        <v>1166</v>
      </c>
      <c r="J174" s="886" t="s">
        <v>2487</v>
      </c>
      <c r="K174" s="887" t="s">
        <v>1116</v>
      </c>
      <c r="L174" s="888" t="s">
        <v>404</v>
      </c>
      <c r="M174" s="951" t="s">
        <v>2478</v>
      </c>
      <c r="N174" s="951" t="s">
        <v>1277</v>
      </c>
      <c r="O174" s="1066" t="s">
        <v>3645</v>
      </c>
      <c r="P174" s="504" t="s">
        <v>1461</v>
      </c>
      <c r="Q174" s="287"/>
      <c r="R174" s="168"/>
      <c r="S174" s="380"/>
      <c r="T174" s="473" t="s">
        <v>2594</v>
      </c>
      <c r="U174" s="473" t="s">
        <v>1542</v>
      </c>
      <c r="W174" s="418" t="s">
        <v>2292</v>
      </c>
      <c r="X174" s="418" t="s">
        <v>3137</v>
      </c>
      <c r="Z174" s="418"/>
      <c r="AA174" s="157"/>
      <c r="AB174" s="157"/>
      <c r="AC174" s="809"/>
      <c r="AD174" s="481"/>
      <c r="AE174" s="157"/>
      <c r="AF174" s="157"/>
      <c r="AG174" s="157"/>
      <c r="AH174" s="157"/>
      <c r="AI174" s="157"/>
      <c r="AJ174" s="157"/>
      <c r="AK174" s="157"/>
    </row>
    <row r="175" spans="2:37" ht="10.5" customHeight="1">
      <c r="B175" s="279"/>
      <c r="C175" s="369" t="s">
        <v>1166</v>
      </c>
      <c r="D175" s="426"/>
      <c r="E175" s="279"/>
      <c r="F175" s="279" t="s">
        <v>805</v>
      </c>
      <c r="G175" s="885" t="s">
        <v>1697</v>
      </c>
      <c r="H175" s="885" t="s">
        <v>1165</v>
      </c>
      <c r="I175" s="886" t="s">
        <v>1698</v>
      </c>
      <c r="J175" s="886" t="s">
        <v>2487</v>
      </c>
      <c r="K175" s="887" t="s">
        <v>1117</v>
      </c>
      <c r="L175" s="888" t="s">
        <v>404</v>
      </c>
      <c r="M175" s="951" t="s">
        <v>2478</v>
      </c>
      <c r="N175" s="951" t="s">
        <v>1620</v>
      </c>
      <c r="O175" s="1066" t="s">
        <v>3646</v>
      </c>
      <c r="P175" s="504" t="s">
        <v>1463</v>
      </c>
      <c r="Q175" s="287"/>
      <c r="R175" s="168"/>
      <c r="S175" s="380"/>
      <c r="T175" s="473" t="s">
        <v>2292</v>
      </c>
      <c r="U175" s="473" t="s">
        <v>1861</v>
      </c>
      <c r="W175" s="418" t="s">
        <v>1462</v>
      </c>
      <c r="X175" s="418" t="s">
        <v>3137</v>
      </c>
      <c r="Z175" s="418"/>
      <c r="AA175" s="157"/>
      <c r="AB175" s="157"/>
      <c r="AC175" s="809"/>
      <c r="AD175" s="481"/>
      <c r="AE175" s="157"/>
      <c r="AF175" s="157"/>
      <c r="AG175" s="157"/>
      <c r="AH175" s="157"/>
      <c r="AI175" s="157"/>
      <c r="AJ175" s="157"/>
      <c r="AK175" s="157"/>
    </row>
    <row r="176" spans="2:37" ht="10.5" customHeight="1">
      <c r="B176" s="279"/>
      <c r="C176" s="369" t="s">
        <v>996</v>
      </c>
      <c r="D176" s="426"/>
      <c r="E176" s="279"/>
      <c r="F176" s="279" t="s">
        <v>808</v>
      </c>
      <c r="G176" s="885" t="s">
        <v>1699</v>
      </c>
      <c r="H176" s="885" t="s">
        <v>1165</v>
      </c>
      <c r="I176" s="886" t="s">
        <v>1700</v>
      </c>
      <c r="J176" s="886" t="s">
        <v>2487</v>
      </c>
      <c r="K176" s="887" t="s">
        <v>1118</v>
      </c>
      <c r="L176" s="888" t="s">
        <v>404</v>
      </c>
      <c r="M176" s="951" t="s">
        <v>2478</v>
      </c>
      <c r="N176" s="951" t="s">
        <v>1620</v>
      </c>
      <c r="O176" s="1066" t="s">
        <v>3647</v>
      </c>
      <c r="P176" s="504" t="s">
        <v>442</v>
      </c>
      <c r="Q176" s="287"/>
      <c r="R176" s="168"/>
      <c r="S176" s="380"/>
      <c r="T176" s="473" t="s">
        <v>1462</v>
      </c>
      <c r="U176" s="473" t="s">
        <v>2373</v>
      </c>
      <c r="W176" s="418" t="s">
        <v>910</v>
      </c>
      <c r="X176" s="418" t="s">
        <v>3137</v>
      </c>
      <c r="Z176" s="418"/>
      <c r="AA176" s="157"/>
      <c r="AB176" s="157"/>
      <c r="AC176" s="809"/>
      <c r="AD176" s="481"/>
      <c r="AE176" s="157"/>
      <c r="AF176" s="157"/>
      <c r="AG176" s="157"/>
      <c r="AH176" s="157"/>
      <c r="AI176" s="157"/>
      <c r="AJ176" s="157"/>
      <c r="AK176" s="157"/>
    </row>
    <row r="177" spans="2:37" ht="10.5" customHeight="1">
      <c r="B177" s="279"/>
      <c r="C177" s="369" t="s">
        <v>1698</v>
      </c>
      <c r="D177" s="426"/>
      <c r="E177" s="279"/>
      <c r="F177" s="279" t="s">
        <v>807</v>
      </c>
      <c r="G177" s="885" t="s">
        <v>1701</v>
      </c>
      <c r="H177" s="885" t="s">
        <v>1165</v>
      </c>
      <c r="I177" s="889" t="s">
        <v>1702</v>
      </c>
      <c r="J177" s="889" t="s">
        <v>2488</v>
      </c>
      <c r="K177" s="887" t="s">
        <v>1119</v>
      </c>
      <c r="L177" s="888" t="s">
        <v>405</v>
      </c>
      <c r="M177" s="951" t="s">
        <v>1150</v>
      </c>
      <c r="N177" s="951" t="s">
        <v>1702</v>
      </c>
      <c r="O177" s="1066" t="s">
        <v>3648</v>
      </c>
      <c r="P177" s="504" t="s">
        <v>1987</v>
      </c>
      <c r="Q177" s="287"/>
      <c r="R177" s="168"/>
      <c r="S177" s="380"/>
      <c r="T177" s="473" t="s">
        <v>910</v>
      </c>
      <c r="U177" s="473" t="s">
        <v>1265</v>
      </c>
      <c r="W177" s="418" t="s">
        <v>1988</v>
      </c>
      <c r="X177" s="418" t="s">
        <v>3137</v>
      </c>
      <c r="Z177" s="418"/>
      <c r="AA177" s="157"/>
      <c r="AB177" s="157"/>
      <c r="AC177" s="809"/>
      <c r="AD177" s="481"/>
      <c r="AE177" s="157"/>
      <c r="AF177" s="157"/>
      <c r="AG177" s="157"/>
      <c r="AH177" s="157"/>
      <c r="AI177" s="157"/>
      <c r="AJ177" s="157"/>
      <c r="AK177" s="157"/>
    </row>
    <row r="178" spans="2:37" ht="10.5" customHeight="1">
      <c r="B178" s="279"/>
      <c r="C178" s="369" t="s">
        <v>734</v>
      </c>
      <c r="D178" s="426"/>
      <c r="E178" s="279"/>
      <c r="F178" s="279" t="s">
        <v>809</v>
      </c>
      <c r="G178" s="885" t="s">
        <v>1703</v>
      </c>
      <c r="H178" s="885" t="s">
        <v>1165</v>
      </c>
      <c r="I178" s="889" t="s">
        <v>148</v>
      </c>
      <c r="J178" s="889" t="s">
        <v>2487</v>
      </c>
      <c r="K178" s="887" t="s">
        <v>1120</v>
      </c>
      <c r="L178" s="888" t="s">
        <v>404</v>
      </c>
      <c r="M178" s="951" t="s">
        <v>2478</v>
      </c>
      <c r="N178" s="951" t="s">
        <v>1271</v>
      </c>
      <c r="O178" s="1066" t="s">
        <v>3649</v>
      </c>
      <c r="P178" s="504" t="s">
        <v>1989</v>
      </c>
      <c r="Q178" s="287"/>
      <c r="R178" s="168"/>
      <c r="S178" s="380"/>
      <c r="T178" s="473" t="s">
        <v>443</v>
      </c>
      <c r="U178" s="473" t="s">
        <v>2410</v>
      </c>
      <c r="W178" s="418" t="s">
        <v>1992</v>
      </c>
      <c r="X178" s="418" t="s">
        <v>3137</v>
      </c>
      <c r="Z178" s="418"/>
      <c r="AA178" s="157"/>
      <c r="AB178" s="157"/>
      <c r="AC178" s="809"/>
      <c r="AD178" s="481"/>
      <c r="AE178" s="157"/>
      <c r="AF178" s="157"/>
      <c r="AG178" s="157"/>
      <c r="AH178" s="157"/>
      <c r="AI178" s="157"/>
      <c r="AJ178" s="157"/>
      <c r="AK178" s="157"/>
    </row>
    <row r="179" spans="2:37" ht="10.5" customHeight="1">
      <c r="B179" s="279"/>
      <c r="C179" s="369" t="s">
        <v>735</v>
      </c>
      <c r="D179" s="426"/>
      <c r="E179" s="279"/>
      <c r="F179" s="279" t="s">
        <v>810</v>
      </c>
      <c r="G179" s="885" t="s">
        <v>1261</v>
      </c>
      <c r="H179" s="885" t="s">
        <v>1262</v>
      </c>
      <c r="I179" s="886" t="s">
        <v>1263</v>
      </c>
      <c r="J179" s="886" t="s">
        <v>2487</v>
      </c>
      <c r="K179" s="887" t="s">
        <v>1737</v>
      </c>
      <c r="L179" s="888" t="s">
        <v>404</v>
      </c>
      <c r="M179" s="951" t="s">
        <v>2478</v>
      </c>
      <c r="N179" s="951" t="s">
        <v>158</v>
      </c>
      <c r="O179" s="1066" t="s">
        <v>3650</v>
      </c>
      <c r="P179" s="504" t="s">
        <v>1991</v>
      </c>
      <c r="Q179" s="287"/>
      <c r="R179" s="168"/>
      <c r="S179" s="380"/>
      <c r="T179" s="473" t="s">
        <v>1988</v>
      </c>
      <c r="U179" s="473" t="s">
        <v>321</v>
      </c>
      <c r="W179" s="418" t="s">
        <v>1702</v>
      </c>
      <c r="X179" s="418" t="s">
        <v>3137</v>
      </c>
      <c r="Z179" s="418"/>
      <c r="AA179" s="157"/>
      <c r="AB179" s="157"/>
      <c r="AC179" s="809"/>
      <c r="AD179" s="481"/>
      <c r="AE179" s="157"/>
      <c r="AF179" s="157"/>
      <c r="AG179" s="157"/>
      <c r="AH179" s="157"/>
      <c r="AI179" s="157"/>
      <c r="AJ179" s="157"/>
      <c r="AK179" s="157"/>
    </row>
    <row r="180" spans="2:37" ht="10.5" customHeight="1">
      <c r="B180" s="279"/>
      <c r="C180" s="369" t="s">
        <v>1700</v>
      </c>
      <c r="D180" s="426"/>
      <c r="E180" s="279"/>
      <c r="F180" s="279" t="s">
        <v>811</v>
      </c>
      <c r="G180" s="885" t="s">
        <v>1264</v>
      </c>
      <c r="H180" s="885" t="s">
        <v>1262</v>
      </c>
      <c r="I180" s="889" t="s">
        <v>734</v>
      </c>
      <c r="J180" s="889" t="s">
        <v>2488</v>
      </c>
      <c r="K180" s="887" t="s">
        <v>2456</v>
      </c>
      <c r="L180" s="888" t="s">
        <v>405</v>
      </c>
      <c r="M180" s="951" t="s">
        <v>1150</v>
      </c>
      <c r="N180" s="951" t="s">
        <v>1159</v>
      </c>
      <c r="O180" s="1066" t="s">
        <v>3651</v>
      </c>
      <c r="P180" s="504" t="s">
        <v>1993</v>
      </c>
      <c r="Q180" s="287"/>
      <c r="R180" s="168"/>
      <c r="S180" s="380"/>
      <c r="T180" s="473" t="s">
        <v>1990</v>
      </c>
      <c r="U180" s="473" t="s">
        <v>176</v>
      </c>
      <c r="W180" s="418" t="s">
        <v>424</v>
      </c>
      <c r="X180" s="418" t="s">
        <v>3137</v>
      </c>
      <c r="Z180" s="418"/>
      <c r="AA180" s="157"/>
      <c r="AB180" s="157"/>
      <c r="AC180" s="809"/>
      <c r="AD180" s="481"/>
      <c r="AE180" s="157"/>
      <c r="AF180" s="157"/>
      <c r="AG180" s="157"/>
      <c r="AH180" s="157"/>
      <c r="AI180" s="157"/>
      <c r="AJ180" s="157"/>
      <c r="AK180" s="157"/>
    </row>
    <row r="181" spans="2:37" ht="10.5" customHeight="1">
      <c r="B181" s="279"/>
      <c r="C181" s="369" t="s">
        <v>148</v>
      </c>
      <c r="D181" s="426"/>
      <c r="E181" s="279"/>
      <c r="F181" s="279" t="s">
        <v>813</v>
      </c>
      <c r="G181" s="885" t="s">
        <v>1265</v>
      </c>
      <c r="H181" s="885" t="s">
        <v>1262</v>
      </c>
      <c r="I181" s="889" t="s">
        <v>734</v>
      </c>
      <c r="J181" s="889" t="s">
        <v>2488</v>
      </c>
      <c r="K181" s="887" t="s">
        <v>2456</v>
      </c>
      <c r="L181" s="888" t="s">
        <v>405</v>
      </c>
      <c r="M181" s="951" t="s">
        <v>1150</v>
      </c>
      <c r="N181" s="951" t="s">
        <v>1159</v>
      </c>
      <c r="O181" s="1066" t="s">
        <v>3652</v>
      </c>
      <c r="P181" s="504" t="s">
        <v>1995</v>
      </c>
      <c r="Q181" s="287"/>
      <c r="R181" s="168"/>
      <c r="S181" s="380"/>
      <c r="T181" s="473" t="s">
        <v>1992</v>
      </c>
      <c r="U181" s="473" t="s">
        <v>105</v>
      </c>
      <c r="W181" s="418" t="s">
        <v>426</v>
      </c>
      <c r="X181" s="418" t="s">
        <v>3137</v>
      </c>
      <c r="Z181" s="418"/>
      <c r="AA181" s="157"/>
      <c r="AB181" s="157"/>
      <c r="AC181" s="809"/>
      <c r="AD181" s="481"/>
      <c r="AE181" s="157"/>
      <c r="AF181" s="157"/>
      <c r="AG181" s="157"/>
      <c r="AH181" s="157"/>
      <c r="AI181" s="157"/>
      <c r="AJ181" s="157"/>
      <c r="AK181" s="157"/>
    </row>
    <row r="182" spans="2:37" ht="10.5" customHeight="1">
      <c r="B182" s="279"/>
      <c r="C182" s="369" t="s">
        <v>1263</v>
      </c>
      <c r="D182" s="426"/>
      <c r="E182" s="279"/>
      <c r="F182" s="279" t="s">
        <v>812</v>
      </c>
      <c r="G182" s="885" t="s">
        <v>1266</v>
      </c>
      <c r="H182" s="885" t="s">
        <v>1165</v>
      </c>
      <c r="I182" s="886" t="s">
        <v>1267</v>
      </c>
      <c r="J182" s="886" t="s">
        <v>2487</v>
      </c>
      <c r="K182" s="887" t="s">
        <v>2457</v>
      </c>
      <c r="L182" s="888" t="s">
        <v>404</v>
      </c>
      <c r="M182" s="951" t="s">
        <v>2478</v>
      </c>
      <c r="N182" s="951" t="s">
        <v>1702</v>
      </c>
      <c r="O182" s="1066" t="s">
        <v>3653</v>
      </c>
      <c r="P182" s="504" t="s">
        <v>1872</v>
      </c>
      <c r="Q182" s="489"/>
      <c r="R182" s="168"/>
      <c r="S182" s="380"/>
      <c r="T182" s="473" t="s">
        <v>1994</v>
      </c>
      <c r="U182" s="473" t="s">
        <v>1268</v>
      </c>
      <c r="W182" s="418" t="s">
        <v>1761</v>
      </c>
      <c r="X182" s="418" t="s">
        <v>3137</v>
      </c>
      <c r="Z182" s="418"/>
      <c r="AA182" s="157"/>
      <c r="AB182" s="157"/>
      <c r="AC182" s="809"/>
      <c r="AD182" s="481"/>
      <c r="AE182" s="157"/>
      <c r="AF182" s="157"/>
      <c r="AG182" s="157"/>
      <c r="AH182" s="157"/>
      <c r="AI182" s="157"/>
      <c r="AJ182" s="157"/>
      <c r="AK182" s="157"/>
    </row>
    <row r="183" spans="2:37" ht="10.5" customHeight="1">
      <c r="B183" s="279"/>
      <c r="C183" s="370" t="s">
        <v>999</v>
      </c>
      <c r="D183" s="426"/>
      <c r="E183" s="279"/>
      <c r="F183" s="279" t="s">
        <v>814</v>
      </c>
      <c r="G183" s="885" t="s">
        <v>1268</v>
      </c>
      <c r="H183" s="885" t="s">
        <v>1165</v>
      </c>
      <c r="I183" s="886" t="s">
        <v>1269</v>
      </c>
      <c r="J183" s="886" t="s">
        <v>2487</v>
      </c>
      <c r="K183" s="887" t="s">
        <v>2458</v>
      </c>
      <c r="L183" s="888" t="s">
        <v>404</v>
      </c>
      <c r="M183" s="951" t="s">
        <v>2478</v>
      </c>
      <c r="N183" s="951" t="s">
        <v>1620</v>
      </c>
      <c r="O183" s="1066" t="s">
        <v>3654</v>
      </c>
      <c r="P183" s="504" t="s">
        <v>172</v>
      </c>
      <c r="Q183" s="489"/>
      <c r="R183" s="279"/>
      <c r="S183" s="380"/>
      <c r="T183" s="473" t="s">
        <v>1702</v>
      </c>
      <c r="U183" s="473" t="s">
        <v>919</v>
      </c>
      <c r="W183" s="418" t="s">
        <v>2428</v>
      </c>
      <c r="X183" s="418" t="s">
        <v>3137</v>
      </c>
      <c r="Z183" s="418"/>
      <c r="AA183" s="157"/>
      <c r="AB183" s="157"/>
      <c r="AC183" s="809"/>
      <c r="AD183" s="481"/>
      <c r="AE183" s="157"/>
      <c r="AF183" s="157"/>
      <c r="AG183" s="157"/>
      <c r="AH183" s="157"/>
      <c r="AI183" s="157"/>
      <c r="AJ183" s="157"/>
      <c r="AK183" s="157"/>
    </row>
    <row r="184" spans="2:37" ht="10.5" customHeight="1">
      <c r="B184" s="279"/>
      <c r="C184" s="370" t="s">
        <v>1269</v>
      </c>
      <c r="D184" s="426"/>
      <c r="E184" s="279"/>
      <c r="F184" s="279" t="s">
        <v>815</v>
      </c>
      <c r="G184" s="885" t="s">
        <v>1270</v>
      </c>
      <c r="H184" s="885" t="s">
        <v>1715</v>
      </c>
      <c r="I184" s="889" t="s">
        <v>1271</v>
      </c>
      <c r="J184" s="889" t="s">
        <v>2488</v>
      </c>
      <c r="K184" s="887" t="s">
        <v>2459</v>
      </c>
      <c r="L184" s="888" t="s">
        <v>405</v>
      </c>
      <c r="M184" s="951" t="s">
        <v>1150</v>
      </c>
      <c r="N184" s="951" t="s">
        <v>1271</v>
      </c>
      <c r="O184" s="1066" t="s">
        <v>3655</v>
      </c>
      <c r="P184" s="504" t="s">
        <v>174</v>
      </c>
      <c r="Q184" s="489"/>
      <c r="R184" s="168"/>
      <c r="S184" s="380"/>
      <c r="T184" s="473" t="s">
        <v>1873</v>
      </c>
      <c r="U184" s="473" t="s">
        <v>410</v>
      </c>
      <c r="W184" s="418" t="s">
        <v>2434</v>
      </c>
      <c r="X184" s="418" t="s">
        <v>3137</v>
      </c>
      <c r="Z184" s="418"/>
      <c r="AA184" s="157"/>
      <c r="AB184" s="157"/>
      <c r="AC184" s="809"/>
      <c r="AD184" s="481"/>
      <c r="AE184" s="157"/>
      <c r="AF184" s="157"/>
      <c r="AG184" s="157"/>
      <c r="AH184" s="157"/>
      <c r="AI184" s="157"/>
      <c r="AJ184" s="157"/>
      <c r="AK184" s="157"/>
    </row>
    <row r="185" spans="2:37" ht="10.5" customHeight="1">
      <c r="B185" s="279"/>
      <c r="C185" s="370" t="s">
        <v>1273</v>
      </c>
      <c r="D185" s="426"/>
      <c r="E185" s="279"/>
      <c r="F185" s="279" t="s">
        <v>816</v>
      </c>
      <c r="G185" s="885" t="s">
        <v>1272</v>
      </c>
      <c r="H185" s="885" t="s">
        <v>1165</v>
      </c>
      <c r="I185" s="889" t="s">
        <v>1273</v>
      </c>
      <c r="J185" s="889" t="s">
        <v>2487</v>
      </c>
      <c r="K185" s="887" t="s">
        <v>2460</v>
      </c>
      <c r="L185" s="888" t="s">
        <v>404</v>
      </c>
      <c r="M185" s="951" t="s">
        <v>2478</v>
      </c>
      <c r="N185" s="951" t="s">
        <v>1271</v>
      </c>
      <c r="O185" s="1066" t="s">
        <v>3656</v>
      </c>
      <c r="P185" s="504" t="s">
        <v>423</v>
      </c>
      <c r="Q185" s="287"/>
      <c r="R185" s="168"/>
      <c r="S185" s="380"/>
      <c r="T185" s="473" t="s">
        <v>173</v>
      </c>
      <c r="U185" s="473" t="s">
        <v>1400</v>
      </c>
      <c r="W185" s="418" t="s">
        <v>2439</v>
      </c>
      <c r="X185" s="418" t="s">
        <v>3137</v>
      </c>
      <c r="Z185" s="418"/>
      <c r="AA185" s="157"/>
      <c r="AB185" s="157"/>
      <c r="AC185" s="809"/>
      <c r="AD185" s="481"/>
      <c r="AE185" s="157"/>
      <c r="AF185" s="157"/>
      <c r="AG185" s="157"/>
      <c r="AH185" s="157"/>
      <c r="AI185" s="157"/>
      <c r="AJ185" s="157"/>
      <c r="AK185" s="157"/>
    </row>
    <row r="186" spans="2:37" ht="10.5" customHeight="1">
      <c r="B186" s="279"/>
      <c r="C186" s="369" t="s">
        <v>8</v>
      </c>
      <c r="D186" s="426"/>
      <c r="E186" s="279"/>
      <c r="F186" s="279" t="s">
        <v>820</v>
      </c>
      <c r="G186" s="885" t="s">
        <v>1274</v>
      </c>
      <c r="H186" s="885" t="s">
        <v>1165</v>
      </c>
      <c r="I186" s="886" t="s">
        <v>8</v>
      </c>
      <c r="J186" s="886" t="s">
        <v>2488</v>
      </c>
      <c r="K186" s="887" t="s">
        <v>2461</v>
      </c>
      <c r="L186" s="888" t="s">
        <v>405</v>
      </c>
      <c r="M186" s="951" t="s">
        <v>1150</v>
      </c>
      <c r="N186" s="951" t="s">
        <v>1620</v>
      </c>
      <c r="O186" s="1066" t="s">
        <v>3657</v>
      </c>
      <c r="P186" s="504" t="s">
        <v>425</v>
      </c>
      <c r="Q186" s="287"/>
      <c r="R186" s="168"/>
      <c r="S186" s="380"/>
      <c r="T186" s="473" t="s">
        <v>175</v>
      </c>
      <c r="U186" s="473" t="s">
        <v>2288</v>
      </c>
      <c r="W186" s="418" t="s">
        <v>158</v>
      </c>
      <c r="X186" s="418" t="s">
        <v>3137</v>
      </c>
      <c r="Z186" s="418"/>
      <c r="AA186" s="157"/>
      <c r="AB186" s="157"/>
      <c r="AC186" s="809"/>
      <c r="AD186" s="481"/>
      <c r="AE186" s="157"/>
      <c r="AF186" s="157"/>
      <c r="AG186" s="157"/>
      <c r="AH186" s="157"/>
      <c r="AI186" s="157"/>
      <c r="AJ186" s="157"/>
      <c r="AK186" s="157"/>
    </row>
    <row r="187" spans="2:37" ht="10.5" customHeight="1">
      <c r="B187" s="279"/>
      <c r="C187" s="370" t="s">
        <v>1279</v>
      </c>
      <c r="D187" s="426"/>
      <c r="E187" s="279"/>
      <c r="F187" s="279" t="s">
        <v>817</v>
      </c>
      <c r="G187" s="885" t="s">
        <v>1275</v>
      </c>
      <c r="H187" s="885" t="s">
        <v>1165</v>
      </c>
      <c r="I187" s="886" t="s">
        <v>1620</v>
      </c>
      <c r="J187" s="886" t="s">
        <v>2488</v>
      </c>
      <c r="K187" s="887" t="s">
        <v>2462</v>
      </c>
      <c r="L187" s="888" t="s">
        <v>405</v>
      </c>
      <c r="M187" s="951" t="s">
        <v>1150</v>
      </c>
      <c r="N187" s="951" t="s">
        <v>1620</v>
      </c>
      <c r="O187" s="1066" t="s">
        <v>3658</v>
      </c>
      <c r="P187" s="504" t="s">
        <v>427</v>
      </c>
      <c r="Q187" s="287"/>
      <c r="R187" s="168"/>
      <c r="S187" s="380"/>
      <c r="T187" s="473" t="s">
        <v>424</v>
      </c>
      <c r="U187" s="473" t="s">
        <v>1699</v>
      </c>
      <c r="W187" s="418" t="s">
        <v>1159</v>
      </c>
      <c r="X187" s="418" t="s">
        <v>3137</v>
      </c>
      <c r="Z187" s="418"/>
      <c r="AA187" s="157"/>
      <c r="AB187" s="157"/>
      <c r="AC187" s="809"/>
      <c r="AD187" s="481"/>
      <c r="AE187" s="157"/>
      <c r="AF187" s="157"/>
      <c r="AG187" s="157"/>
      <c r="AH187" s="157"/>
      <c r="AI187" s="157"/>
      <c r="AJ187" s="157"/>
      <c r="AK187" s="157"/>
    </row>
    <row r="188" spans="2:37" ht="10.5" customHeight="1">
      <c r="B188" s="279"/>
      <c r="C188" s="369" t="s">
        <v>997</v>
      </c>
      <c r="D188" s="426"/>
      <c r="E188" s="279"/>
      <c r="F188" s="279" t="s">
        <v>818</v>
      </c>
      <c r="G188" s="885" t="s">
        <v>1276</v>
      </c>
      <c r="H188" s="885" t="s">
        <v>1165</v>
      </c>
      <c r="I188" s="889" t="s">
        <v>1277</v>
      </c>
      <c r="J188" s="889" t="s">
        <v>2488</v>
      </c>
      <c r="K188" s="887" t="s">
        <v>1406</v>
      </c>
      <c r="L188" s="888" t="s">
        <v>405</v>
      </c>
      <c r="M188" s="951" t="s">
        <v>1150</v>
      </c>
      <c r="N188" s="951" t="s">
        <v>1277</v>
      </c>
      <c r="O188" s="1066" t="s">
        <v>3659</v>
      </c>
      <c r="P188" s="504" t="s">
        <v>429</v>
      </c>
      <c r="Q188" s="287"/>
      <c r="R188" s="168"/>
      <c r="S188" s="380"/>
      <c r="T188" s="473" t="s">
        <v>426</v>
      </c>
      <c r="U188" s="473" t="s">
        <v>1160</v>
      </c>
      <c r="W188" s="418" t="s">
        <v>1978</v>
      </c>
      <c r="X188" s="418" t="s">
        <v>3137</v>
      </c>
      <c r="Z188" s="418"/>
      <c r="AA188" s="157"/>
      <c r="AB188" s="157"/>
      <c r="AC188" s="809"/>
      <c r="AD188" s="481"/>
      <c r="AE188" s="157"/>
      <c r="AF188" s="157"/>
      <c r="AG188" s="157"/>
      <c r="AH188" s="157"/>
      <c r="AI188" s="157"/>
      <c r="AJ188" s="157"/>
      <c r="AK188" s="157"/>
    </row>
    <row r="189" spans="2:37" ht="10.5" customHeight="1">
      <c r="B189" s="279"/>
      <c r="C189" s="370" t="s">
        <v>1284</v>
      </c>
      <c r="D189" s="426"/>
      <c r="E189" s="279"/>
      <c r="F189" s="279" t="s">
        <v>819</v>
      </c>
      <c r="G189" s="885" t="s">
        <v>1278</v>
      </c>
      <c r="H189" s="885" t="s">
        <v>1165</v>
      </c>
      <c r="I189" s="889" t="s">
        <v>1279</v>
      </c>
      <c r="J189" s="889" t="s">
        <v>2487</v>
      </c>
      <c r="K189" s="887" t="s">
        <v>2476</v>
      </c>
      <c r="L189" s="888" t="s">
        <v>404</v>
      </c>
      <c r="M189" s="951" t="s">
        <v>2478</v>
      </c>
      <c r="N189" s="951" t="s">
        <v>1277</v>
      </c>
      <c r="O189" s="1066" t="s">
        <v>3660</v>
      </c>
      <c r="P189" s="504" t="s">
        <v>2158</v>
      </c>
      <c r="Q189" s="287"/>
      <c r="R189" s="168"/>
      <c r="S189" s="380"/>
      <c r="T189" s="473" t="s">
        <v>428</v>
      </c>
      <c r="U189" s="473" t="s">
        <v>176</v>
      </c>
      <c r="W189" s="418" t="s">
        <v>1281</v>
      </c>
      <c r="X189" s="418" t="s">
        <v>3137</v>
      </c>
      <c r="Z189" s="418"/>
      <c r="AA189" s="157"/>
      <c r="AB189" s="157"/>
      <c r="AC189" s="809"/>
      <c r="AD189" s="481"/>
      <c r="AE189" s="157"/>
      <c r="AF189" s="157"/>
      <c r="AG189" s="157"/>
      <c r="AH189" s="157"/>
      <c r="AI189" s="157"/>
      <c r="AJ189" s="157"/>
      <c r="AK189" s="157"/>
    </row>
    <row r="190" spans="2:37" ht="10.5" customHeight="1">
      <c r="B190" s="279"/>
      <c r="C190" s="370" t="s">
        <v>700</v>
      </c>
      <c r="D190" s="426"/>
      <c r="E190" s="279"/>
      <c r="F190" s="279" t="s">
        <v>821</v>
      </c>
      <c r="G190" s="885" t="s">
        <v>1280</v>
      </c>
      <c r="H190" s="885" t="s">
        <v>1165</v>
      </c>
      <c r="I190" s="889" t="s">
        <v>735</v>
      </c>
      <c r="J190" s="889" t="s">
        <v>2488</v>
      </c>
      <c r="K190" s="887" t="s">
        <v>2477</v>
      </c>
      <c r="L190" s="888" t="s">
        <v>405</v>
      </c>
      <c r="M190" s="951" t="s">
        <v>2478</v>
      </c>
      <c r="N190" s="951" t="s">
        <v>1281</v>
      </c>
      <c r="O190" s="1066" t="s">
        <v>3661</v>
      </c>
      <c r="P190" s="504" t="s">
        <v>2160</v>
      </c>
      <c r="Q190" s="287"/>
      <c r="R190" s="168"/>
      <c r="S190" s="380"/>
      <c r="T190" s="473" t="s">
        <v>430</v>
      </c>
      <c r="U190" s="473" t="s">
        <v>115</v>
      </c>
      <c r="W190" s="418" t="s">
        <v>1981</v>
      </c>
      <c r="X190" s="418" t="s">
        <v>3137</v>
      </c>
      <c r="Z190" s="418"/>
      <c r="AA190" s="157"/>
      <c r="AB190" s="157"/>
      <c r="AC190" s="809"/>
      <c r="AD190" s="481"/>
      <c r="AE190" s="157"/>
      <c r="AF190" s="157"/>
      <c r="AG190" s="157"/>
      <c r="AH190" s="157"/>
      <c r="AI190" s="157"/>
      <c r="AJ190" s="157"/>
      <c r="AK190" s="157"/>
    </row>
    <row r="191" spans="2:37" ht="10.5" customHeight="1">
      <c r="B191" s="279"/>
      <c r="C191" s="370" t="s">
        <v>702</v>
      </c>
      <c r="D191" s="426"/>
      <c r="E191" s="279"/>
      <c r="F191" s="279" t="s">
        <v>822</v>
      </c>
      <c r="G191" s="885" t="s">
        <v>1282</v>
      </c>
      <c r="H191" s="885" t="s">
        <v>1262</v>
      </c>
      <c r="I191" s="889" t="s">
        <v>997</v>
      </c>
      <c r="J191" s="889" t="s">
        <v>2488</v>
      </c>
      <c r="K191" s="887" t="s">
        <v>1211</v>
      </c>
      <c r="L191" s="888" t="s">
        <v>405</v>
      </c>
      <c r="M191" s="951" t="s">
        <v>2478</v>
      </c>
      <c r="N191" s="951" t="s">
        <v>1159</v>
      </c>
      <c r="O191" s="1066" t="s">
        <v>3662</v>
      </c>
      <c r="P191" s="504" t="s">
        <v>352</v>
      </c>
      <c r="Q191" s="287"/>
      <c r="R191" s="168"/>
      <c r="S191" s="380"/>
      <c r="T191" s="473" t="s">
        <v>2159</v>
      </c>
      <c r="U191" s="473" t="s">
        <v>2374</v>
      </c>
      <c r="W191" s="418" t="s">
        <v>2013</v>
      </c>
      <c r="X191" s="418" t="s">
        <v>3137</v>
      </c>
      <c r="Z191" s="418"/>
      <c r="AA191" s="157"/>
      <c r="AB191" s="157"/>
      <c r="AC191" s="809"/>
      <c r="AD191" s="481"/>
      <c r="AE191" s="157"/>
      <c r="AF191" s="157"/>
      <c r="AG191" s="157"/>
      <c r="AH191" s="157"/>
      <c r="AI191" s="157"/>
      <c r="AJ191" s="157"/>
      <c r="AK191" s="157"/>
    </row>
    <row r="192" spans="2:37" ht="10.5" customHeight="1">
      <c r="B192" s="279"/>
      <c r="C192" s="369" t="s">
        <v>150</v>
      </c>
      <c r="D192" s="426"/>
      <c r="E192" s="279"/>
      <c r="F192" s="279" t="s">
        <v>823</v>
      </c>
      <c r="G192" s="885" t="s">
        <v>1283</v>
      </c>
      <c r="H192" s="885" t="s">
        <v>1165</v>
      </c>
      <c r="I192" s="886" t="s">
        <v>1284</v>
      </c>
      <c r="J192" s="886" t="s">
        <v>2487</v>
      </c>
      <c r="K192" s="887" t="s">
        <v>1212</v>
      </c>
      <c r="L192" s="888" t="s">
        <v>404</v>
      </c>
      <c r="M192" s="951" t="s">
        <v>2478</v>
      </c>
      <c r="N192" s="951" t="s">
        <v>1702</v>
      </c>
      <c r="O192" s="1066" t="s">
        <v>3663</v>
      </c>
      <c r="P192" s="504" t="s">
        <v>354</v>
      </c>
      <c r="Q192" s="287"/>
      <c r="R192" s="168"/>
      <c r="S192" s="380"/>
      <c r="T192" s="473" t="s">
        <v>1761</v>
      </c>
      <c r="U192" s="473" t="s">
        <v>2081</v>
      </c>
      <c r="W192" s="418" t="s">
        <v>2017</v>
      </c>
      <c r="X192" s="418" t="s">
        <v>3137</v>
      </c>
      <c r="Z192" s="418"/>
      <c r="AA192" s="157"/>
      <c r="AB192" s="157"/>
      <c r="AC192" s="809"/>
      <c r="AD192" s="481"/>
      <c r="AE192" s="157"/>
      <c r="AF192" s="157"/>
      <c r="AG192" s="157"/>
      <c r="AH192" s="157"/>
      <c r="AI192" s="157"/>
      <c r="AJ192" s="157"/>
      <c r="AK192" s="157"/>
    </row>
    <row r="193" spans="2:37" ht="10.5" customHeight="1">
      <c r="B193" s="279"/>
      <c r="C193" s="369" t="s">
        <v>1460</v>
      </c>
      <c r="D193" s="426"/>
      <c r="E193" s="279"/>
      <c r="F193" s="279" t="s">
        <v>826</v>
      </c>
      <c r="G193" s="885" t="s">
        <v>1285</v>
      </c>
      <c r="H193" s="885" t="s">
        <v>1165</v>
      </c>
      <c r="I193" s="889" t="s">
        <v>700</v>
      </c>
      <c r="J193" s="889" t="s">
        <v>2487</v>
      </c>
      <c r="K193" s="887" t="s">
        <v>1213</v>
      </c>
      <c r="L193" s="888" t="s">
        <v>404</v>
      </c>
      <c r="M193" s="951" t="s">
        <v>2478</v>
      </c>
      <c r="N193" s="951" t="s">
        <v>1620</v>
      </c>
      <c r="O193" s="1066" t="s">
        <v>3664</v>
      </c>
      <c r="P193" s="504" t="s">
        <v>2425</v>
      </c>
      <c r="Q193" s="287"/>
      <c r="R193" s="168"/>
      <c r="S193" s="380"/>
      <c r="T193" s="473" t="s">
        <v>353</v>
      </c>
      <c r="U193" s="473" t="s">
        <v>2081</v>
      </c>
      <c r="W193" s="418" t="s">
        <v>1703</v>
      </c>
      <c r="X193" s="418" t="s">
        <v>3137</v>
      </c>
      <c r="Z193" s="418"/>
      <c r="AA193" s="157"/>
      <c r="AB193" s="157"/>
      <c r="AC193" s="809"/>
      <c r="AD193" s="481"/>
      <c r="AE193" s="157"/>
      <c r="AF193" s="157"/>
      <c r="AG193" s="157"/>
      <c r="AH193" s="157"/>
      <c r="AI193" s="157"/>
      <c r="AJ193" s="157"/>
      <c r="AK193" s="157"/>
    </row>
    <row r="194" spans="2:37" ht="10.5" customHeight="1">
      <c r="B194" s="279"/>
      <c r="C194" s="369" t="s">
        <v>155</v>
      </c>
      <c r="D194" s="426"/>
      <c r="E194" s="279"/>
      <c r="F194" s="279" t="s">
        <v>825</v>
      </c>
      <c r="G194" s="885" t="s">
        <v>701</v>
      </c>
      <c r="H194" s="885" t="s">
        <v>1165</v>
      </c>
      <c r="I194" s="886" t="s">
        <v>702</v>
      </c>
      <c r="J194" s="886" t="s">
        <v>2487</v>
      </c>
      <c r="K194" s="887" t="s">
        <v>1635</v>
      </c>
      <c r="L194" s="888" t="s">
        <v>404</v>
      </c>
      <c r="M194" s="951" t="s">
        <v>2478</v>
      </c>
      <c r="N194" s="951" t="s">
        <v>1277</v>
      </c>
      <c r="O194" s="1066" t="s">
        <v>3665</v>
      </c>
      <c r="P194" s="504" t="s">
        <v>2427</v>
      </c>
      <c r="Q194" s="287"/>
      <c r="R194" s="168"/>
      <c r="S194" s="380"/>
      <c r="T194" s="473" t="s">
        <v>1164</v>
      </c>
      <c r="U194" s="473" t="s">
        <v>2409</v>
      </c>
      <c r="W194" s="418" t="s">
        <v>968</v>
      </c>
      <c r="X194" s="418" t="s">
        <v>3137</v>
      </c>
      <c r="Z194" s="418"/>
      <c r="AA194" s="157"/>
      <c r="AB194" s="157"/>
      <c r="AC194" s="809"/>
      <c r="AD194" s="481"/>
      <c r="AE194" s="157"/>
      <c r="AF194" s="157"/>
      <c r="AG194" s="157"/>
      <c r="AH194" s="157"/>
      <c r="AI194" s="157"/>
      <c r="AJ194" s="157"/>
      <c r="AK194" s="157"/>
    </row>
    <row r="195" spans="2:37" ht="10.5" customHeight="1">
      <c r="B195" s="279"/>
      <c r="C195" s="369" t="s">
        <v>2369</v>
      </c>
      <c r="D195" s="426"/>
      <c r="E195" s="279"/>
      <c r="F195" s="279" t="s">
        <v>824</v>
      </c>
      <c r="G195" s="885" t="s">
        <v>703</v>
      </c>
      <c r="H195" s="885" t="s">
        <v>1262</v>
      </c>
      <c r="I195" s="889" t="s">
        <v>734</v>
      </c>
      <c r="J195" s="889" t="s">
        <v>2488</v>
      </c>
      <c r="K195" s="887" t="s">
        <v>2456</v>
      </c>
      <c r="L195" s="888" t="s">
        <v>405</v>
      </c>
      <c r="M195" s="951" t="s">
        <v>1150</v>
      </c>
      <c r="N195" s="951" t="s">
        <v>1159</v>
      </c>
      <c r="O195" s="1066" t="s">
        <v>3666</v>
      </c>
      <c r="P195" s="504" t="s">
        <v>2429</v>
      </c>
      <c r="Q195" s="287"/>
      <c r="R195" s="168"/>
      <c r="S195" s="380"/>
      <c r="T195" s="473" t="s">
        <v>2426</v>
      </c>
      <c r="U195" s="473" t="s">
        <v>2414</v>
      </c>
      <c r="W195" s="418" t="s">
        <v>2333</v>
      </c>
      <c r="X195" s="418" t="s">
        <v>3137</v>
      </c>
      <c r="Z195" s="418"/>
      <c r="AA195" s="157"/>
      <c r="AB195" s="157"/>
      <c r="AC195" s="809"/>
      <c r="AD195" s="481"/>
      <c r="AE195" s="157"/>
      <c r="AF195" s="157"/>
      <c r="AG195" s="157"/>
      <c r="AH195" s="157"/>
      <c r="AI195" s="157"/>
      <c r="AJ195" s="157"/>
      <c r="AK195" s="157"/>
    </row>
    <row r="196" spans="2:37" ht="10.5" customHeight="1">
      <c r="B196" s="279"/>
      <c r="C196" s="370" t="s">
        <v>2372</v>
      </c>
      <c r="D196" s="426"/>
      <c r="E196" s="279"/>
      <c r="F196" s="279" t="s">
        <v>827</v>
      </c>
      <c r="G196" s="885" t="s">
        <v>1459</v>
      </c>
      <c r="H196" s="885" t="s">
        <v>1262</v>
      </c>
      <c r="I196" s="889" t="s">
        <v>1460</v>
      </c>
      <c r="J196" s="889" t="s">
        <v>2488</v>
      </c>
      <c r="K196" s="887" t="s">
        <v>1604</v>
      </c>
      <c r="L196" s="888" t="s">
        <v>405</v>
      </c>
      <c r="M196" s="951" t="s">
        <v>2478</v>
      </c>
      <c r="N196" s="951" t="s">
        <v>1460</v>
      </c>
      <c r="O196" s="1066" t="s">
        <v>3667</v>
      </c>
      <c r="P196" s="504" t="s">
        <v>2431</v>
      </c>
      <c r="Q196" s="287"/>
      <c r="R196" s="168"/>
      <c r="S196" s="380"/>
      <c r="T196" s="473" t="s">
        <v>2428</v>
      </c>
      <c r="U196" s="473" t="s">
        <v>1057</v>
      </c>
      <c r="W196" s="418" t="s">
        <v>2335</v>
      </c>
      <c r="X196" s="418" t="s">
        <v>3137</v>
      </c>
      <c r="Z196" s="418"/>
      <c r="AA196" s="157"/>
      <c r="AB196" s="157"/>
      <c r="AC196" s="809"/>
      <c r="AD196" s="481"/>
      <c r="AE196" s="157"/>
      <c r="AF196" s="157"/>
      <c r="AG196" s="157"/>
      <c r="AH196" s="157"/>
      <c r="AI196" s="157"/>
      <c r="AJ196" s="157"/>
      <c r="AK196" s="157"/>
    </row>
    <row r="197" spans="2:37" ht="10.5" customHeight="1">
      <c r="B197" s="279"/>
      <c r="C197" s="370" t="s">
        <v>2375</v>
      </c>
      <c r="D197" s="426"/>
      <c r="E197" s="279"/>
      <c r="F197" s="279" t="s">
        <v>828</v>
      </c>
      <c r="G197" s="885" t="s">
        <v>149</v>
      </c>
      <c r="H197" s="885" t="s">
        <v>1165</v>
      </c>
      <c r="I197" s="886" t="s">
        <v>150</v>
      </c>
      <c r="J197" s="886" t="s">
        <v>2487</v>
      </c>
      <c r="K197" s="887" t="s">
        <v>1605</v>
      </c>
      <c r="L197" s="888" t="s">
        <v>404</v>
      </c>
      <c r="M197" s="951" t="s">
        <v>2478</v>
      </c>
      <c r="N197" s="951" t="s">
        <v>1620</v>
      </c>
      <c r="O197" s="1066" t="s">
        <v>3668</v>
      </c>
      <c r="P197" s="504" t="s">
        <v>2433</v>
      </c>
      <c r="Q197" s="287"/>
      <c r="R197" s="168"/>
      <c r="S197" s="380"/>
      <c r="T197" s="473" t="s">
        <v>2430</v>
      </c>
      <c r="U197" s="473" t="s">
        <v>312</v>
      </c>
      <c r="W197" s="418" t="s">
        <v>2337</v>
      </c>
      <c r="X197" s="418" t="s">
        <v>3137</v>
      </c>
      <c r="Z197" s="418"/>
      <c r="AA197" s="157"/>
      <c r="AB197" s="157"/>
      <c r="AC197" s="809"/>
      <c r="AD197" s="481"/>
      <c r="AE197" s="157"/>
      <c r="AF197" s="157"/>
      <c r="AG197" s="157"/>
      <c r="AH197" s="157"/>
      <c r="AI197" s="157"/>
      <c r="AJ197" s="157"/>
      <c r="AK197" s="157"/>
    </row>
    <row r="198" spans="2:37" ht="10.5" customHeight="1">
      <c r="B198" s="279"/>
      <c r="C198" s="370" t="s">
        <v>2408</v>
      </c>
      <c r="D198" s="426"/>
      <c r="E198" s="279"/>
      <c r="F198" s="279" t="s">
        <v>1292</v>
      </c>
      <c r="G198" s="885" t="s">
        <v>151</v>
      </c>
      <c r="H198" s="885" t="s">
        <v>1715</v>
      </c>
      <c r="I198" s="889" t="s">
        <v>1277</v>
      </c>
      <c r="J198" s="889" t="s">
        <v>2488</v>
      </c>
      <c r="K198" s="887" t="s">
        <v>1406</v>
      </c>
      <c r="L198" s="888" t="s">
        <v>405</v>
      </c>
      <c r="M198" s="951" t="s">
        <v>1150</v>
      </c>
      <c r="N198" s="951" t="s">
        <v>1277</v>
      </c>
      <c r="O198" s="1066" t="s">
        <v>3669</v>
      </c>
      <c r="P198" s="504" t="s">
        <v>2435</v>
      </c>
      <c r="Q198" s="287"/>
      <c r="R198" s="168"/>
      <c r="S198" s="380"/>
      <c r="T198" s="473" t="s">
        <v>2432</v>
      </c>
      <c r="U198" s="473" t="s">
        <v>2371</v>
      </c>
      <c r="W198" s="418" t="s">
        <v>2340</v>
      </c>
      <c r="X198" s="418" t="s">
        <v>3137</v>
      </c>
      <c r="Z198" s="418"/>
      <c r="AA198" s="157"/>
      <c r="AB198" s="157"/>
      <c r="AC198" s="809"/>
      <c r="AD198" s="481"/>
      <c r="AE198" s="157"/>
      <c r="AF198" s="157"/>
      <c r="AG198" s="157"/>
      <c r="AH198" s="157"/>
      <c r="AI198" s="157"/>
      <c r="AJ198" s="157"/>
      <c r="AK198" s="157"/>
    </row>
    <row r="199" spans="2:37" ht="10.5" customHeight="1">
      <c r="B199" s="279"/>
      <c r="C199" s="369" t="s">
        <v>153</v>
      </c>
      <c r="D199" s="426"/>
      <c r="E199" s="279"/>
      <c r="F199" s="279" t="s">
        <v>829</v>
      </c>
      <c r="G199" s="885" t="s">
        <v>152</v>
      </c>
      <c r="H199" s="885" t="s">
        <v>1165</v>
      </c>
      <c r="I199" s="889" t="s">
        <v>153</v>
      </c>
      <c r="J199" s="889" t="s">
        <v>2488</v>
      </c>
      <c r="K199" s="887" t="s">
        <v>1606</v>
      </c>
      <c r="L199" s="888" t="s">
        <v>405</v>
      </c>
      <c r="M199" s="951" t="s">
        <v>2478</v>
      </c>
      <c r="N199" s="951" t="s">
        <v>153</v>
      </c>
      <c r="O199" s="1066" t="s">
        <v>3670</v>
      </c>
      <c r="P199" s="504" t="s">
        <v>2436</v>
      </c>
      <c r="Q199" s="287"/>
      <c r="R199" s="168"/>
      <c r="S199" s="380"/>
      <c r="T199" s="473" t="s">
        <v>2434</v>
      </c>
      <c r="U199" s="473" t="s">
        <v>1283</v>
      </c>
      <c r="W199" s="418" t="s">
        <v>2129</v>
      </c>
      <c r="X199" s="418" t="s">
        <v>3137</v>
      </c>
      <c r="Z199" s="418"/>
      <c r="AA199" s="157"/>
      <c r="AB199" s="157"/>
      <c r="AC199" s="809"/>
      <c r="AD199" s="481"/>
      <c r="AE199" s="157"/>
      <c r="AF199" s="157"/>
      <c r="AG199" s="157"/>
      <c r="AH199" s="157"/>
      <c r="AI199" s="157"/>
      <c r="AJ199" s="157"/>
      <c r="AK199" s="157"/>
    </row>
    <row r="200" spans="2:37" ht="10.5" customHeight="1">
      <c r="B200" s="279"/>
      <c r="C200" s="370" t="s">
        <v>2411</v>
      </c>
      <c r="D200" s="426"/>
      <c r="E200" s="279"/>
      <c r="F200" s="279" t="s">
        <v>1293</v>
      </c>
      <c r="G200" s="885" t="s">
        <v>154</v>
      </c>
      <c r="H200" s="885" t="s">
        <v>1262</v>
      </c>
      <c r="I200" s="886" t="s">
        <v>155</v>
      </c>
      <c r="J200" s="886" t="s">
        <v>2487</v>
      </c>
      <c r="K200" s="887" t="s">
        <v>1607</v>
      </c>
      <c r="L200" s="888" t="s">
        <v>404</v>
      </c>
      <c r="M200" s="951" t="s">
        <v>2478</v>
      </c>
      <c r="N200" s="951" t="s">
        <v>1460</v>
      </c>
      <c r="O200" s="1066" t="s">
        <v>3671</v>
      </c>
      <c r="P200" s="504" t="s">
        <v>2438</v>
      </c>
      <c r="Q200" s="287"/>
      <c r="R200" s="168"/>
      <c r="S200" s="380"/>
      <c r="T200" s="473" t="s">
        <v>2437</v>
      </c>
      <c r="U200" s="473" t="s">
        <v>2470</v>
      </c>
      <c r="W200" s="418" t="s">
        <v>2226</v>
      </c>
      <c r="X200" s="418" t="s">
        <v>3137</v>
      </c>
      <c r="Z200" s="418"/>
      <c r="AA200" s="157"/>
      <c r="AB200" s="157"/>
      <c r="AC200" s="809"/>
      <c r="AD200" s="481"/>
      <c r="AE200" s="157"/>
      <c r="AF200" s="157"/>
      <c r="AG200" s="157"/>
      <c r="AH200" s="157"/>
      <c r="AI200" s="157"/>
      <c r="AJ200" s="157"/>
      <c r="AK200" s="157"/>
    </row>
    <row r="201" spans="2:37" ht="10.5" customHeight="1">
      <c r="B201" s="279"/>
      <c r="C201" s="370" t="s">
        <v>185</v>
      </c>
      <c r="D201" s="426"/>
      <c r="E201" s="279"/>
      <c r="F201" s="279" t="s">
        <v>1300</v>
      </c>
      <c r="G201" s="885" t="s">
        <v>156</v>
      </c>
      <c r="H201" s="885" t="s">
        <v>1262</v>
      </c>
      <c r="I201" s="889" t="s">
        <v>734</v>
      </c>
      <c r="J201" s="889" t="s">
        <v>2488</v>
      </c>
      <c r="K201" s="887" t="s">
        <v>2456</v>
      </c>
      <c r="L201" s="888" t="s">
        <v>405</v>
      </c>
      <c r="M201" s="951" t="s">
        <v>1150</v>
      </c>
      <c r="N201" s="951" t="s">
        <v>1159</v>
      </c>
      <c r="O201" s="1066" t="s">
        <v>3672</v>
      </c>
      <c r="P201" s="504" t="s">
        <v>398</v>
      </c>
      <c r="Q201" s="287"/>
      <c r="R201" s="168"/>
      <c r="S201" s="380"/>
      <c r="T201" s="473" t="s">
        <v>2439</v>
      </c>
      <c r="U201" s="473" t="s">
        <v>1827</v>
      </c>
      <c r="W201" s="418" t="s">
        <v>294</v>
      </c>
      <c r="X201" s="418" t="s">
        <v>3137</v>
      </c>
      <c r="Z201" s="418"/>
      <c r="AA201" s="157"/>
      <c r="AB201" s="157"/>
      <c r="AC201" s="809"/>
      <c r="AD201" s="481"/>
      <c r="AE201" s="157"/>
      <c r="AF201" s="157"/>
      <c r="AG201" s="157"/>
      <c r="AH201" s="157"/>
      <c r="AI201" s="157"/>
      <c r="AJ201" s="157"/>
      <c r="AK201" s="157"/>
    </row>
    <row r="202" spans="2:37" ht="10.5" customHeight="1">
      <c r="B202" s="279"/>
      <c r="C202" s="370" t="s">
        <v>324</v>
      </c>
      <c r="D202" s="426"/>
      <c r="E202" s="279"/>
      <c r="F202" s="279" t="s">
        <v>1301</v>
      </c>
      <c r="G202" s="885" t="s">
        <v>157</v>
      </c>
      <c r="H202" s="885" t="s">
        <v>1262</v>
      </c>
      <c r="I202" s="886" t="s">
        <v>1950</v>
      </c>
      <c r="J202" s="886" t="s">
        <v>2488</v>
      </c>
      <c r="K202" s="887" t="s">
        <v>590</v>
      </c>
      <c r="L202" s="888" t="s">
        <v>405</v>
      </c>
      <c r="M202" s="952" t="s">
        <v>1150</v>
      </c>
      <c r="N202" s="952" t="s">
        <v>158</v>
      </c>
      <c r="O202" s="1066" t="s">
        <v>3673</v>
      </c>
      <c r="P202" s="504" t="s">
        <v>399</v>
      </c>
      <c r="Q202" s="287"/>
      <c r="R202" s="279"/>
      <c r="S202" s="380"/>
      <c r="T202" s="473" t="s">
        <v>158</v>
      </c>
      <c r="U202" s="473" t="s">
        <v>157</v>
      </c>
      <c r="W202" s="418" t="s">
        <v>8</v>
      </c>
      <c r="X202" s="418" t="s">
        <v>3137</v>
      </c>
      <c r="Z202" s="418"/>
      <c r="AA202" s="157"/>
      <c r="AB202" s="157"/>
      <c r="AC202" s="809"/>
      <c r="AD202" s="481"/>
      <c r="AE202" s="157"/>
      <c r="AF202" s="157"/>
      <c r="AG202" s="157"/>
      <c r="AH202" s="157"/>
      <c r="AI202" s="157"/>
      <c r="AJ202" s="157"/>
      <c r="AK202" s="157"/>
    </row>
    <row r="203" spans="2:37" ht="10.5" customHeight="1">
      <c r="B203" s="279"/>
      <c r="C203" s="369" t="s">
        <v>189</v>
      </c>
      <c r="D203" s="426"/>
      <c r="E203" s="279"/>
      <c r="F203" s="279" t="s">
        <v>1294</v>
      </c>
      <c r="G203" s="885" t="s">
        <v>2368</v>
      </c>
      <c r="H203" s="885" t="s">
        <v>1165</v>
      </c>
      <c r="I203" s="886" t="s">
        <v>2369</v>
      </c>
      <c r="J203" s="886" t="s">
        <v>2487</v>
      </c>
      <c r="K203" s="887" t="s">
        <v>591</v>
      </c>
      <c r="L203" s="888" t="s">
        <v>404</v>
      </c>
      <c r="M203" s="952" t="s">
        <v>2478</v>
      </c>
      <c r="N203" s="952" t="s">
        <v>1702</v>
      </c>
      <c r="O203" s="1066" t="s">
        <v>3674</v>
      </c>
      <c r="P203" s="504" t="s">
        <v>746</v>
      </c>
      <c r="Q203" s="489"/>
      <c r="R203" s="168"/>
      <c r="S203" s="380"/>
      <c r="T203" s="473" t="s">
        <v>1159</v>
      </c>
      <c r="U203" s="473" t="s">
        <v>1160</v>
      </c>
      <c r="W203" s="418" t="s">
        <v>10</v>
      </c>
      <c r="X203" s="418" t="s">
        <v>3137</v>
      </c>
      <c r="Z203" s="418"/>
      <c r="AA203" s="157"/>
      <c r="AB203" s="157"/>
      <c r="AC203" s="809"/>
      <c r="AD203" s="481"/>
      <c r="AE203" s="157"/>
      <c r="AF203" s="157"/>
      <c r="AG203" s="157"/>
      <c r="AH203" s="157"/>
      <c r="AI203" s="157"/>
      <c r="AJ203" s="157"/>
      <c r="AK203" s="157"/>
    </row>
    <row r="204" spans="2:37" ht="10.5" customHeight="1">
      <c r="B204" s="279"/>
      <c r="C204" s="369" t="s">
        <v>916</v>
      </c>
      <c r="D204" s="426"/>
      <c r="E204" s="279"/>
      <c r="F204" s="279" t="s">
        <v>1296</v>
      </c>
      <c r="G204" s="885" t="s">
        <v>2370</v>
      </c>
      <c r="H204" s="885" t="s">
        <v>1715</v>
      </c>
      <c r="I204" s="889" t="s">
        <v>734</v>
      </c>
      <c r="J204" s="889" t="s">
        <v>2488</v>
      </c>
      <c r="K204" s="887" t="s">
        <v>2456</v>
      </c>
      <c r="L204" s="888" t="s">
        <v>405</v>
      </c>
      <c r="M204" s="951" t="s">
        <v>1150</v>
      </c>
      <c r="N204" s="951" t="s">
        <v>1159</v>
      </c>
      <c r="O204" s="1066" t="s">
        <v>3675</v>
      </c>
      <c r="P204" s="504" t="s">
        <v>748</v>
      </c>
      <c r="Q204" s="489"/>
      <c r="R204" s="168"/>
      <c r="S204" s="380"/>
      <c r="T204" s="473" t="s">
        <v>747</v>
      </c>
      <c r="U204" s="473" t="s">
        <v>188</v>
      </c>
      <c r="W204" s="418" t="s">
        <v>54</v>
      </c>
      <c r="X204" s="418" t="s">
        <v>3137</v>
      </c>
      <c r="Z204" s="418"/>
      <c r="AA204" s="157"/>
      <c r="AB204" s="157"/>
      <c r="AC204" s="809"/>
      <c r="AD204" s="481"/>
      <c r="AE204" s="157"/>
      <c r="AF204" s="157"/>
      <c r="AG204" s="157"/>
      <c r="AH204" s="157"/>
      <c r="AI204" s="157"/>
      <c r="AJ204" s="157"/>
      <c r="AK204" s="157"/>
    </row>
    <row r="205" spans="2:37" ht="10.5" customHeight="1">
      <c r="B205" s="279"/>
      <c r="C205" s="370" t="s">
        <v>918</v>
      </c>
      <c r="D205" s="426"/>
      <c r="E205" s="279"/>
      <c r="F205" s="279" t="s">
        <v>1297</v>
      </c>
      <c r="G205" s="885" t="s">
        <v>2371</v>
      </c>
      <c r="H205" s="885" t="s">
        <v>1165</v>
      </c>
      <c r="I205" s="886" t="s">
        <v>2372</v>
      </c>
      <c r="J205" s="886" t="s">
        <v>2487</v>
      </c>
      <c r="K205" s="887" t="s">
        <v>592</v>
      </c>
      <c r="L205" s="888" t="s">
        <v>404</v>
      </c>
      <c r="M205" s="952" t="s">
        <v>2478</v>
      </c>
      <c r="N205" s="952" t="s">
        <v>1620</v>
      </c>
      <c r="O205" s="1066" t="s">
        <v>3676</v>
      </c>
      <c r="P205" s="504" t="s">
        <v>1979</v>
      </c>
      <c r="Q205" s="489"/>
      <c r="R205" s="168"/>
      <c r="S205" s="380"/>
      <c r="T205" s="473" t="s">
        <v>1978</v>
      </c>
      <c r="U205" s="473" t="s">
        <v>1264</v>
      </c>
      <c r="W205" s="418" t="s">
        <v>56</v>
      </c>
      <c r="X205" s="418" t="s">
        <v>3137</v>
      </c>
      <c r="Z205" s="418"/>
      <c r="AA205" s="157"/>
      <c r="AB205" s="157"/>
      <c r="AC205" s="809"/>
      <c r="AD205" s="481"/>
      <c r="AE205" s="157"/>
      <c r="AF205" s="157"/>
      <c r="AG205" s="157"/>
      <c r="AH205" s="157"/>
      <c r="AI205" s="157"/>
      <c r="AJ205" s="157"/>
      <c r="AK205" s="157"/>
    </row>
    <row r="206" spans="2:37" ht="10.5" customHeight="1">
      <c r="B206" s="279"/>
      <c r="C206" s="369" t="s">
        <v>841</v>
      </c>
      <c r="D206" s="426"/>
      <c r="E206" s="279"/>
      <c r="F206" s="279" t="s">
        <v>1298</v>
      </c>
      <c r="G206" s="885" t="s">
        <v>2373</v>
      </c>
      <c r="H206" s="885" t="s">
        <v>1715</v>
      </c>
      <c r="I206" s="889" t="s">
        <v>734</v>
      </c>
      <c r="J206" s="889" t="s">
        <v>2488</v>
      </c>
      <c r="K206" s="887" t="s">
        <v>2456</v>
      </c>
      <c r="L206" s="888" t="s">
        <v>405</v>
      </c>
      <c r="M206" s="951" t="s">
        <v>1150</v>
      </c>
      <c r="N206" s="951" t="s">
        <v>1159</v>
      </c>
      <c r="O206" s="1066" t="s">
        <v>3677</v>
      </c>
      <c r="P206" s="504" t="s">
        <v>1980</v>
      </c>
      <c r="Q206" s="489"/>
      <c r="R206" s="168"/>
      <c r="S206" s="380"/>
      <c r="T206" s="473" t="s">
        <v>1281</v>
      </c>
      <c r="U206" s="473" t="s">
        <v>1069</v>
      </c>
      <c r="W206" s="418" t="s">
        <v>340</v>
      </c>
      <c r="X206" s="418" t="s">
        <v>3137</v>
      </c>
      <c r="Z206" s="418"/>
      <c r="AA206" s="157"/>
      <c r="AB206" s="157"/>
      <c r="AC206" s="809"/>
      <c r="AD206" s="481"/>
      <c r="AE206" s="157"/>
      <c r="AF206" s="157"/>
      <c r="AG206" s="157"/>
      <c r="AH206" s="157"/>
      <c r="AI206" s="157"/>
      <c r="AJ206" s="157"/>
      <c r="AK206" s="157"/>
    </row>
    <row r="207" spans="2:37" ht="10.5" customHeight="1">
      <c r="B207" s="279"/>
      <c r="C207" s="370" t="s">
        <v>845</v>
      </c>
      <c r="D207" s="426"/>
      <c r="E207" s="279"/>
      <c r="F207" s="279" t="s">
        <v>1295</v>
      </c>
      <c r="G207" s="885" t="s">
        <v>2374</v>
      </c>
      <c r="H207" s="885" t="s">
        <v>1165</v>
      </c>
      <c r="I207" s="886" t="s">
        <v>2375</v>
      </c>
      <c r="J207" s="886" t="s">
        <v>2487</v>
      </c>
      <c r="K207" s="887" t="s">
        <v>593</v>
      </c>
      <c r="L207" s="888" t="s">
        <v>404</v>
      </c>
      <c r="M207" s="952" t="s">
        <v>2478</v>
      </c>
      <c r="N207" s="952" t="s">
        <v>1620</v>
      </c>
      <c r="O207" s="1066" t="s">
        <v>3678</v>
      </c>
      <c r="P207" s="504" t="s">
        <v>1982</v>
      </c>
      <c r="Q207" s="489"/>
      <c r="R207" s="168"/>
      <c r="S207" s="380"/>
      <c r="T207" s="473" t="s">
        <v>1981</v>
      </c>
      <c r="U207" s="473" t="s">
        <v>2373</v>
      </c>
      <c r="W207" s="418" t="s">
        <v>344</v>
      </c>
      <c r="X207" s="418" t="s">
        <v>3137</v>
      </c>
      <c r="Z207" s="418"/>
      <c r="AA207" s="157"/>
      <c r="AB207" s="157"/>
      <c r="AC207" s="809"/>
      <c r="AD207" s="481"/>
      <c r="AE207" s="157"/>
      <c r="AF207" s="157"/>
      <c r="AG207" s="157"/>
      <c r="AH207" s="157"/>
      <c r="AI207" s="157"/>
      <c r="AJ207" s="157"/>
      <c r="AK207" s="157"/>
    </row>
    <row r="208" spans="2:37" ht="10.5" customHeight="1">
      <c r="B208" s="279"/>
      <c r="C208" s="370" t="s">
        <v>2140</v>
      </c>
      <c r="D208" s="426"/>
      <c r="E208" s="279"/>
      <c r="F208" s="279" t="s">
        <v>1299</v>
      </c>
      <c r="G208" s="885" t="s">
        <v>2376</v>
      </c>
      <c r="H208" s="885" t="s">
        <v>1165</v>
      </c>
      <c r="I208" s="886" t="s">
        <v>2408</v>
      </c>
      <c r="J208" s="886" t="s">
        <v>2487</v>
      </c>
      <c r="K208" s="887" t="s">
        <v>594</v>
      </c>
      <c r="L208" s="888" t="s">
        <v>404</v>
      </c>
      <c r="M208" s="952" t="s">
        <v>2478</v>
      </c>
      <c r="N208" s="952" t="s">
        <v>1702</v>
      </c>
      <c r="O208" s="1066" t="s">
        <v>3679</v>
      </c>
      <c r="P208" s="504" t="s">
        <v>2012</v>
      </c>
      <c r="Q208" s="489"/>
      <c r="R208" s="168"/>
      <c r="S208" s="380"/>
      <c r="T208" s="473" t="s">
        <v>1908</v>
      </c>
      <c r="U208" s="473" t="s">
        <v>2077</v>
      </c>
      <c r="W208" s="418" t="s">
        <v>2186</v>
      </c>
      <c r="X208" s="418" t="s">
        <v>3137</v>
      </c>
      <c r="Z208" s="418"/>
      <c r="AA208" s="157"/>
      <c r="AB208" s="157"/>
      <c r="AC208" s="809"/>
      <c r="AD208" s="481"/>
      <c r="AE208" s="157"/>
      <c r="AF208" s="157"/>
      <c r="AG208" s="157"/>
      <c r="AH208" s="157"/>
      <c r="AI208" s="157"/>
      <c r="AJ208" s="157"/>
      <c r="AK208" s="157"/>
    </row>
    <row r="209" spans="2:37" ht="10.5" customHeight="1">
      <c r="B209" s="279"/>
      <c r="C209" s="370" t="s">
        <v>624</v>
      </c>
      <c r="D209" s="426"/>
      <c r="E209" s="279"/>
      <c r="F209" s="279" t="s">
        <v>1302</v>
      </c>
      <c r="G209" s="885" t="s">
        <v>2409</v>
      </c>
      <c r="H209" s="885" t="s">
        <v>1262</v>
      </c>
      <c r="I209" s="889" t="s">
        <v>735</v>
      </c>
      <c r="J209" s="889" t="s">
        <v>2488</v>
      </c>
      <c r="K209" s="887" t="s">
        <v>2477</v>
      </c>
      <c r="L209" s="888" t="s">
        <v>405</v>
      </c>
      <c r="M209" s="951" t="s">
        <v>2478</v>
      </c>
      <c r="N209" s="951" t="s">
        <v>1281</v>
      </c>
      <c r="O209" s="1066" t="s">
        <v>3680</v>
      </c>
      <c r="P209" s="504" t="s">
        <v>2014</v>
      </c>
      <c r="Q209" s="489"/>
      <c r="R209" s="168"/>
      <c r="S209" s="380"/>
      <c r="T209" s="473" t="s">
        <v>1983</v>
      </c>
      <c r="U209" s="473" t="s">
        <v>317</v>
      </c>
      <c r="W209" s="418" t="s">
        <v>1283</v>
      </c>
      <c r="X209" s="418" t="s">
        <v>3137</v>
      </c>
      <c r="Z209" s="418"/>
      <c r="AA209" s="157"/>
      <c r="AB209" s="157"/>
      <c r="AC209" s="809"/>
      <c r="AD209" s="481"/>
      <c r="AE209" s="157"/>
      <c r="AF209" s="157"/>
      <c r="AG209" s="157"/>
      <c r="AH209" s="157"/>
      <c r="AI209" s="157"/>
      <c r="AJ209" s="157"/>
      <c r="AK209" s="157"/>
    </row>
    <row r="210" spans="2:37" ht="10.5" customHeight="1">
      <c r="B210" s="279"/>
      <c r="C210" s="370" t="s">
        <v>626</v>
      </c>
      <c r="D210" s="426"/>
      <c r="E210" s="279"/>
      <c r="F210" s="279" t="s">
        <v>1303</v>
      </c>
      <c r="G210" s="885" t="s">
        <v>2410</v>
      </c>
      <c r="H210" s="885" t="s">
        <v>1165</v>
      </c>
      <c r="I210" s="886" t="s">
        <v>2411</v>
      </c>
      <c r="J210" s="886" t="s">
        <v>2487</v>
      </c>
      <c r="K210" s="887" t="s">
        <v>595</v>
      </c>
      <c r="L210" s="888" t="s">
        <v>404</v>
      </c>
      <c r="M210" s="952" t="s">
        <v>2478</v>
      </c>
      <c r="N210" s="952" t="s">
        <v>1620</v>
      </c>
      <c r="O210" s="1066" t="s">
        <v>3681</v>
      </c>
      <c r="P210" s="504" t="s">
        <v>2016</v>
      </c>
      <c r="Q210" s="489"/>
      <c r="R210" s="168"/>
      <c r="S210" s="380"/>
      <c r="T210" s="473" t="s">
        <v>2013</v>
      </c>
      <c r="U210" s="473" t="s">
        <v>598</v>
      </c>
      <c r="W210" s="418" t="s">
        <v>1496</v>
      </c>
      <c r="X210" s="418" t="s">
        <v>3137</v>
      </c>
      <c r="Z210" s="418"/>
      <c r="AA210" s="157"/>
      <c r="AB210" s="157"/>
      <c r="AC210" s="809"/>
      <c r="AD210" s="481"/>
      <c r="AE210" s="157"/>
      <c r="AF210" s="157"/>
      <c r="AG210" s="157"/>
      <c r="AH210" s="157"/>
      <c r="AI210" s="157"/>
      <c r="AJ210" s="157"/>
      <c r="AK210" s="157"/>
    </row>
    <row r="211" spans="2:37" ht="10.5" customHeight="1">
      <c r="B211" s="279"/>
      <c r="C211" s="370" t="s">
        <v>631</v>
      </c>
      <c r="D211" s="426"/>
      <c r="E211" s="279"/>
      <c r="F211" s="279" t="s">
        <v>1304</v>
      </c>
      <c r="G211" s="885" t="s">
        <v>2412</v>
      </c>
      <c r="H211" s="885" t="s">
        <v>1165</v>
      </c>
      <c r="I211" s="889" t="s">
        <v>734</v>
      </c>
      <c r="J211" s="889" t="s">
        <v>2488</v>
      </c>
      <c r="K211" s="887" t="s">
        <v>2456</v>
      </c>
      <c r="L211" s="888" t="s">
        <v>405</v>
      </c>
      <c r="M211" s="951" t="s">
        <v>1150</v>
      </c>
      <c r="N211" s="951" t="s">
        <v>1159</v>
      </c>
      <c r="O211" s="1066" t="s">
        <v>3682</v>
      </c>
      <c r="P211" s="504" t="s">
        <v>2018</v>
      </c>
      <c r="Q211" s="489"/>
      <c r="R211" s="168"/>
      <c r="S211" s="380"/>
      <c r="T211" s="473" t="s">
        <v>2015</v>
      </c>
      <c r="U211" s="473" t="s">
        <v>1567</v>
      </c>
      <c r="W211" s="418" t="s">
        <v>1500</v>
      </c>
      <c r="X211" s="418" t="s">
        <v>3137</v>
      </c>
      <c r="Z211" s="418"/>
      <c r="AA211" s="157"/>
      <c r="AB211" s="157"/>
      <c r="AC211" s="809"/>
      <c r="AD211" s="481"/>
      <c r="AE211" s="157"/>
      <c r="AF211" s="157"/>
      <c r="AG211" s="157"/>
      <c r="AH211" s="157"/>
      <c r="AI211" s="157"/>
      <c r="AJ211" s="157"/>
      <c r="AK211" s="157"/>
    </row>
    <row r="212" spans="2:37" ht="10.5" customHeight="1">
      <c r="B212" s="279"/>
      <c r="C212" s="370" t="s">
        <v>1175</v>
      </c>
      <c r="D212" s="426"/>
      <c r="E212" s="279"/>
      <c r="F212" s="279" t="s">
        <v>1305</v>
      </c>
      <c r="G212" s="885" t="s">
        <v>2413</v>
      </c>
      <c r="H212" s="885" t="s">
        <v>1262</v>
      </c>
      <c r="I212" s="889" t="s">
        <v>1271</v>
      </c>
      <c r="J212" s="889" t="s">
        <v>2488</v>
      </c>
      <c r="K212" s="887" t="s">
        <v>2459</v>
      </c>
      <c r="L212" s="888" t="s">
        <v>405</v>
      </c>
      <c r="M212" s="951" t="s">
        <v>2478</v>
      </c>
      <c r="N212" s="951" t="s">
        <v>1271</v>
      </c>
      <c r="O212" s="1066" t="s">
        <v>3683</v>
      </c>
      <c r="P212" s="504" t="s">
        <v>2420</v>
      </c>
      <c r="Q212" s="489"/>
      <c r="R212" s="168"/>
      <c r="S212" s="380"/>
      <c r="T212" s="473" t="s">
        <v>2017</v>
      </c>
      <c r="U212" s="473" t="s">
        <v>188</v>
      </c>
      <c r="W212" s="418" t="s">
        <v>1666</v>
      </c>
      <c r="X212" s="418" t="s">
        <v>3137</v>
      </c>
      <c r="Z212" s="418"/>
      <c r="AA212" s="157"/>
      <c r="AB212" s="157"/>
      <c r="AC212" s="809"/>
      <c r="AD212" s="481"/>
      <c r="AE212" s="157"/>
      <c r="AF212" s="157"/>
      <c r="AG212" s="157"/>
      <c r="AH212" s="157"/>
      <c r="AI212" s="157"/>
      <c r="AJ212" s="157"/>
      <c r="AK212" s="157"/>
    </row>
    <row r="213" spans="2:37" ht="10.5" customHeight="1">
      <c r="B213" s="279"/>
      <c r="C213" s="370" t="s">
        <v>633</v>
      </c>
      <c r="D213" s="426"/>
      <c r="E213" s="279"/>
      <c r="F213" s="279" t="s">
        <v>1306</v>
      </c>
      <c r="G213" s="885" t="s">
        <v>2414</v>
      </c>
      <c r="H213" s="885" t="s">
        <v>1165</v>
      </c>
      <c r="I213" s="886" t="s">
        <v>185</v>
      </c>
      <c r="J213" s="886" t="s">
        <v>2487</v>
      </c>
      <c r="K213" s="887" t="s">
        <v>596</v>
      </c>
      <c r="L213" s="888" t="s">
        <v>404</v>
      </c>
      <c r="M213" s="952" t="s">
        <v>2478</v>
      </c>
      <c r="N213" s="952" t="s">
        <v>1702</v>
      </c>
      <c r="O213" s="1066" t="s">
        <v>3684</v>
      </c>
      <c r="P213" s="504" t="s">
        <v>967</v>
      </c>
      <c r="Q213" s="489"/>
      <c r="R213" s="168"/>
      <c r="S213" s="380"/>
      <c r="T213" s="473" t="s">
        <v>1703</v>
      </c>
      <c r="U213" s="473" t="s">
        <v>115</v>
      </c>
      <c r="W213" s="418" t="s">
        <v>983</v>
      </c>
      <c r="X213" s="418" t="s">
        <v>3137</v>
      </c>
      <c r="Z213" s="418"/>
      <c r="AA213" s="157"/>
      <c r="AB213" s="157"/>
      <c r="AC213" s="809"/>
      <c r="AD213" s="481"/>
      <c r="AE213" s="157"/>
      <c r="AF213" s="157"/>
      <c r="AG213" s="157"/>
      <c r="AH213" s="157"/>
      <c r="AI213" s="157"/>
      <c r="AJ213" s="157"/>
      <c r="AK213" s="157"/>
    </row>
    <row r="214" spans="2:37" ht="10.5" customHeight="1">
      <c r="B214" s="279"/>
      <c r="C214" s="370" t="s">
        <v>635</v>
      </c>
      <c r="D214" s="426"/>
      <c r="E214" s="279"/>
      <c r="F214" s="279" t="s">
        <v>1307</v>
      </c>
      <c r="G214" s="885" t="s">
        <v>186</v>
      </c>
      <c r="H214" s="885" t="s">
        <v>1262</v>
      </c>
      <c r="I214" s="889" t="s">
        <v>1460</v>
      </c>
      <c r="J214" s="889" t="s">
        <v>2488</v>
      </c>
      <c r="K214" s="887" t="s">
        <v>1604</v>
      </c>
      <c r="L214" s="888" t="s">
        <v>405</v>
      </c>
      <c r="M214" s="951" t="s">
        <v>2478</v>
      </c>
      <c r="N214" s="951" t="s">
        <v>1460</v>
      </c>
      <c r="O214" s="1066" t="s">
        <v>3685</v>
      </c>
      <c r="P214" s="504" t="s">
        <v>1911</v>
      </c>
      <c r="Q214" s="489"/>
      <c r="R214" s="168"/>
      <c r="S214" s="380"/>
      <c r="T214" s="473" t="s">
        <v>2421</v>
      </c>
      <c r="U214" s="473" t="s">
        <v>156</v>
      </c>
      <c r="W214" s="418" t="s">
        <v>986</v>
      </c>
      <c r="X214" s="418" t="s">
        <v>3137</v>
      </c>
      <c r="Z214" s="418"/>
      <c r="AA214" s="157"/>
      <c r="AB214" s="157"/>
      <c r="AC214" s="809"/>
      <c r="AD214" s="481"/>
      <c r="AE214" s="157"/>
      <c r="AF214" s="157"/>
      <c r="AG214" s="157"/>
      <c r="AH214" s="157"/>
      <c r="AI214" s="157"/>
      <c r="AJ214" s="157"/>
      <c r="AK214" s="157"/>
    </row>
    <row r="215" spans="2:37" ht="10.5" customHeight="1">
      <c r="B215" s="279"/>
      <c r="C215" s="370" t="s">
        <v>638</v>
      </c>
      <c r="D215" s="426"/>
      <c r="E215" s="279"/>
      <c r="F215" s="279" t="s">
        <v>1308</v>
      </c>
      <c r="G215" s="885" t="s">
        <v>187</v>
      </c>
      <c r="H215" s="885" t="s">
        <v>1262</v>
      </c>
      <c r="I215" s="889" t="s">
        <v>734</v>
      </c>
      <c r="J215" s="889" t="s">
        <v>2488</v>
      </c>
      <c r="K215" s="887" t="s">
        <v>2456</v>
      </c>
      <c r="L215" s="888" t="s">
        <v>405</v>
      </c>
      <c r="M215" s="951" t="s">
        <v>1150</v>
      </c>
      <c r="N215" s="951" t="s">
        <v>1159</v>
      </c>
      <c r="O215" s="1066" t="s">
        <v>3686</v>
      </c>
      <c r="P215" s="504" t="s">
        <v>12</v>
      </c>
      <c r="Q215" s="489"/>
      <c r="R215" s="168"/>
      <c r="S215" s="380"/>
      <c r="T215" s="473" t="s">
        <v>968</v>
      </c>
      <c r="U215" s="473" t="s">
        <v>410</v>
      </c>
      <c r="W215" s="418" t="s">
        <v>1678</v>
      </c>
      <c r="X215" s="418" t="s">
        <v>3137</v>
      </c>
      <c r="Z215" s="418"/>
      <c r="AA215" s="157"/>
      <c r="AB215" s="157"/>
      <c r="AC215" s="809"/>
      <c r="AD215" s="481"/>
      <c r="AE215" s="157"/>
      <c r="AF215" s="157"/>
      <c r="AG215" s="157"/>
      <c r="AH215" s="157"/>
      <c r="AI215" s="157"/>
      <c r="AJ215" s="157"/>
      <c r="AK215" s="157"/>
    </row>
    <row r="216" spans="2:37" ht="10.5" customHeight="1">
      <c r="B216" s="279"/>
      <c r="C216" s="370" t="s">
        <v>640</v>
      </c>
      <c r="D216" s="426"/>
      <c r="E216" s="279"/>
      <c r="F216" s="279" t="s">
        <v>1309</v>
      </c>
      <c r="G216" s="885" t="s">
        <v>188</v>
      </c>
      <c r="H216" s="885" t="s">
        <v>1165</v>
      </c>
      <c r="I216" s="886" t="s">
        <v>189</v>
      </c>
      <c r="J216" s="886" t="s">
        <v>2487</v>
      </c>
      <c r="K216" s="887" t="s">
        <v>597</v>
      </c>
      <c r="L216" s="888" t="s">
        <v>404</v>
      </c>
      <c r="M216" s="952" t="s">
        <v>2478</v>
      </c>
      <c r="N216" s="952" t="s">
        <v>1702</v>
      </c>
      <c r="O216" s="1066" t="s">
        <v>3687</v>
      </c>
      <c r="P216" s="504" t="s">
        <v>2132</v>
      </c>
      <c r="Q216" s="489"/>
      <c r="R216" s="168"/>
      <c r="S216" s="380"/>
      <c r="T216" s="473" t="s">
        <v>1265</v>
      </c>
      <c r="U216" s="473" t="s">
        <v>317</v>
      </c>
      <c r="W216" s="418" t="s">
        <v>1971</v>
      </c>
      <c r="X216" s="418" t="s">
        <v>3137</v>
      </c>
      <c r="Z216" s="418"/>
      <c r="AA216" s="157"/>
      <c r="AB216" s="157"/>
      <c r="AC216" s="809"/>
      <c r="AD216" s="481"/>
      <c r="AE216" s="157"/>
      <c r="AF216" s="157"/>
      <c r="AG216" s="157"/>
      <c r="AH216" s="157"/>
      <c r="AI216" s="157"/>
      <c r="AJ216" s="157"/>
      <c r="AK216" s="157"/>
    </row>
    <row r="217" spans="2:37" ht="10.5" customHeight="1">
      <c r="B217" s="279"/>
      <c r="C217" s="370" t="s">
        <v>642</v>
      </c>
      <c r="D217" s="426"/>
      <c r="E217" s="279"/>
      <c r="F217" s="279" t="s">
        <v>1310</v>
      </c>
      <c r="G217" s="885" t="s">
        <v>190</v>
      </c>
      <c r="H217" s="885" t="s">
        <v>1715</v>
      </c>
      <c r="I217" s="889" t="s">
        <v>734</v>
      </c>
      <c r="J217" s="889" t="s">
        <v>2488</v>
      </c>
      <c r="K217" s="887" t="s">
        <v>2456</v>
      </c>
      <c r="L217" s="888" t="s">
        <v>405</v>
      </c>
      <c r="M217" s="951" t="s">
        <v>1150</v>
      </c>
      <c r="N217" s="951" t="s">
        <v>1159</v>
      </c>
      <c r="O217" s="1066" t="s">
        <v>3688</v>
      </c>
      <c r="P217" s="504" t="s">
        <v>2134</v>
      </c>
      <c r="Q217" s="489"/>
      <c r="R217" s="168"/>
      <c r="S217" s="380"/>
      <c r="T217" s="473" t="s">
        <v>13</v>
      </c>
      <c r="U217" s="473" t="s">
        <v>1593</v>
      </c>
      <c r="W217" s="418" t="s">
        <v>1973</v>
      </c>
      <c r="X217" s="418" t="s">
        <v>3137</v>
      </c>
      <c r="Z217" s="418"/>
      <c r="AA217" s="157"/>
      <c r="AB217" s="157"/>
      <c r="AC217" s="809"/>
      <c r="AD217" s="481"/>
      <c r="AE217" s="157"/>
      <c r="AF217" s="157"/>
      <c r="AG217" s="157"/>
      <c r="AH217" s="157"/>
      <c r="AI217" s="157"/>
      <c r="AJ217" s="157"/>
      <c r="AK217" s="157"/>
    </row>
    <row r="218" spans="2:37" ht="10.5" customHeight="1">
      <c r="B218" s="279"/>
      <c r="C218" s="370" t="s">
        <v>116</v>
      </c>
      <c r="D218" s="426"/>
      <c r="E218" s="279"/>
      <c r="F218" s="279" t="s">
        <v>1311</v>
      </c>
      <c r="G218" s="885" t="s">
        <v>191</v>
      </c>
      <c r="H218" s="885" t="s">
        <v>1165</v>
      </c>
      <c r="I218" s="886" t="s">
        <v>916</v>
      </c>
      <c r="J218" s="886" t="s">
        <v>2487</v>
      </c>
      <c r="K218" s="887" t="s">
        <v>1868</v>
      </c>
      <c r="L218" s="888" t="s">
        <v>404</v>
      </c>
      <c r="M218" s="952" t="s">
        <v>2478</v>
      </c>
      <c r="N218" s="952" t="s">
        <v>1271</v>
      </c>
      <c r="O218" s="1066" t="s">
        <v>3689</v>
      </c>
      <c r="P218" s="504" t="s">
        <v>2136</v>
      </c>
      <c r="Q218" s="489"/>
      <c r="R218" s="168"/>
      <c r="S218" s="380"/>
      <c r="T218" s="505" t="s">
        <v>2133</v>
      </c>
      <c r="U218" s="505" t="s">
        <v>1164</v>
      </c>
      <c r="W218" s="418" t="s">
        <v>646</v>
      </c>
      <c r="X218" s="418" t="s">
        <v>3137</v>
      </c>
      <c r="Z218" s="418"/>
      <c r="AA218" s="157"/>
      <c r="AB218" s="157"/>
      <c r="AC218" s="810"/>
      <c r="AD218" s="481"/>
      <c r="AE218" s="157"/>
      <c r="AF218" s="157"/>
      <c r="AG218" s="157"/>
      <c r="AH218" s="157"/>
      <c r="AI218" s="157"/>
      <c r="AJ218" s="157"/>
      <c r="AK218" s="157"/>
    </row>
    <row r="219" spans="2:37" ht="10.5" customHeight="1">
      <c r="B219" s="279"/>
      <c r="C219" s="370" t="s">
        <v>302</v>
      </c>
      <c r="D219" s="426"/>
      <c r="E219" s="279"/>
      <c r="F219" s="279" t="s">
        <v>1313</v>
      </c>
      <c r="G219" s="885" t="s">
        <v>917</v>
      </c>
      <c r="H219" s="885" t="s">
        <v>1165</v>
      </c>
      <c r="I219" s="886" t="s">
        <v>918</v>
      </c>
      <c r="J219" s="886" t="s">
        <v>2487</v>
      </c>
      <c r="K219" s="887" t="s">
        <v>1869</v>
      </c>
      <c r="L219" s="888" t="s">
        <v>404</v>
      </c>
      <c r="M219" s="952" t="s">
        <v>2478</v>
      </c>
      <c r="N219" s="952" t="s">
        <v>1702</v>
      </c>
      <c r="O219" s="1066" t="s">
        <v>3690</v>
      </c>
      <c r="P219" s="504" t="s">
        <v>2165</v>
      </c>
      <c r="Q219" s="489"/>
      <c r="R219" s="168"/>
      <c r="S219" s="380"/>
      <c r="T219" s="473" t="s">
        <v>2135</v>
      </c>
      <c r="U219" s="473" t="s">
        <v>2141</v>
      </c>
      <c r="W219" s="418" t="s">
        <v>1201</v>
      </c>
      <c r="X219" s="418" t="s">
        <v>3137</v>
      </c>
      <c r="Z219" s="418"/>
      <c r="AA219" s="157"/>
      <c r="AB219" s="157"/>
      <c r="AC219" s="809"/>
      <c r="AD219" s="481"/>
      <c r="AE219" s="157"/>
      <c r="AF219" s="157"/>
      <c r="AG219" s="157"/>
      <c r="AH219" s="157"/>
      <c r="AI219" s="157"/>
      <c r="AJ219" s="157"/>
      <c r="AK219" s="157"/>
    </row>
    <row r="220" spans="2:37" ht="10.5" customHeight="1">
      <c r="B220" s="279"/>
      <c r="C220" s="370" t="s">
        <v>736</v>
      </c>
      <c r="D220" s="426"/>
      <c r="E220" s="279"/>
      <c r="F220" s="279" t="s">
        <v>1312</v>
      </c>
      <c r="G220" s="885" t="s">
        <v>919</v>
      </c>
      <c r="H220" s="885" t="s">
        <v>1165</v>
      </c>
      <c r="I220" s="889" t="s">
        <v>1702</v>
      </c>
      <c r="J220" s="889" t="s">
        <v>2488</v>
      </c>
      <c r="K220" s="887" t="s">
        <v>1119</v>
      </c>
      <c r="L220" s="888" t="s">
        <v>405</v>
      </c>
      <c r="M220" s="952" t="s">
        <v>1150</v>
      </c>
      <c r="N220" s="952" t="s">
        <v>1702</v>
      </c>
      <c r="O220" s="1066" t="s">
        <v>3691</v>
      </c>
      <c r="P220" s="504" t="s">
        <v>1693</v>
      </c>
      <c r="Q220" s="489"/>
      <c r="R220" s="168"/>
      <c r="S220" s="380"/>
      <c r="T220" s="473" t="s">
        <v>2441</v>
      </c>
      <c r="U220" s="473" t="s">
        <v>598</v>
      </c>
      <c r="W220" s="418" t="s">
        <v>1203</v>
      </c>
      <c r="X220" s="418" t="s">
        <v>3137</v>
      </c>
      <c r="Z220" s="418"/>
      <c r="AA220" s="157"/>
      <c r="AB220" s="157"/>
      <c r="AC220" s="809"/>
      <c r="AD220" s="481"/>
      <c r="AE220" s="157"/>
      <c r="AF220" s="157"/>
      <c r="AG220" s="157"/>
      <c r="AH220" s="157"/>
      <c r="AI220" s="157"/>
      <c r="AJ220" s="157"/>
      <c r="AK220" s="157"/>
    </row>
    <row r="221" spans="2:37" ht="10.5" customHeight="1">
      <c r="B221" s="279"/>
      <c r="C221" s="370" t="s">
        <v>306</v>
      </c>
      <c r="D221" s="426"/>
      <c r="E221" s="279"/>
      <c r="F221" s="279" t="s">
        <v>1314</v>
      </c>
      <c r="G221" s="885" t="s">
        <v>839</v>
      </c>
      <c r="H221" s="885" t="s">
        <v>1262</v>
      </c>
      <c r="I221" s="889" t="s">
        <v>734</v>
      </c>
      <c r="J221" s="889" t="s">
        <v>2488</v>
      </c>
      <c r="K221" s="887" t="s">
        <v>2456</v>
      </c>
      <c r="L221" s="888" t="s">
        <v>405</v>
      </c>
      <c r="M221" s="951" t="s">
        <v>1150</v>
      </c>
      <c r="N221" s="951" t="s">
        <v>1159</v>
      </c>
      <c r="O221" s="1066" t="s">
        <v>3692</v>
      </c>
      <c r="P221" s="504" t="s">
        <v>1695</v>
      </c>
      <c r="Q221" s="489"/>
      <c r="R221" s="168"/>
      <c r="S221" s="380"/>
      <c r="T221" s="473" t="s">
        <v>2137</v>
      </c>
      <c r="U221" s="473" t="s">
        <v>114</v>
      </c>
      <c r="W221" s="418" t="s">
        <v>2370</v>
      </c>
      <c r="X221" s="418" t="s">
        <v>3137</v>
      </c>
      <c r="Z221" s="418"/>
      <c r="AA221" s="157"/>
      <c r="AB221" s="157"/>
      <c r="AC221" s="809"/>
      <c r="AD221" s="481"/>
      <c r="AE221" s="157"/>
      <c r="AF221" s="157"/>
      <c r="AG221" s="157"/>
      <c r="AH221" s="157"/>
      <c r="AI221" s="157"/>
      <c r="AJ221" s="157"/>
      <c r="AK221" s="157"/>
    </row>
    <row r="222" spans="2:37" ht="10.5" customHeight="1">
      <c r="B222" s="279"/>
      <c r="C222" s="370" t="s">
        <v>998</v>
      </c>
      <c r="D222" s="426"/>
      <c r="E222" s="279"/>
      <c r="F222" s="279" t="s">
        <v>1316</v>
      </c>
      <c r="G222" s="885" t="s">
        <v>840</v>
      </c>
      <c r="H222" s="885" t="s">
        <v>1165</v>
      </c>
      <c r="I222" s="886" t="s">
        <v>841</v>
      </c>
      <c r="J222" s="886" t="s">
        <v>2487</v>
      </c>
      <c r="K222" s="887" t="s">
        <v>1870</v>
      </c>
      <c r="L222" s="888" t="s">
        <v>404</v>
      </c>
      <c r="M222" s="952" t="s">
        <v>2478</v>
      </c>
      <c r="N222" s="952" t="s">
        <v>1702</v>
      </c>
      <c r="O222" s="1066" t="s">
        <v>3693</v>
      </c>
      <c r="P222" s="504" t="s">
        <v>2063</v>
      </c>
      <c r="Q222" s="489"/>
      <c r="R222" s="168"/>
      <c r="S222" s="380"/>
      <c r="T222" s="473" t="s">
        <v>1670</v>
      </c>
      <c r="U222" s="473" t="s">
        <v>2376</v>
      </c>
      <c r="W222" s="418" t="s">
        <v>2379</v>
      </c>
      <c r="X222" s="418" t="s">
        <v>3137</v>
      </c>
      <c r="Z222" s="418"/>
      <c r="AA222" s="157"/>
      <c r="AB222" s="157"/>
      <c r="AC222" s="809"/>
      <c r="AD222" s="481"/>
      <c r="AE222" s="157"/>
      <c r="AF222" s="157"/>
      <c r="AG222" s="157"/>
      <c r="AH222" s="157"/>
      <c r="AI222" s="157"/>
      <c r="AJ222" s="157"/>
      <c r="AK222" s="157"/>
    </row>
    <row r="223" spans="2:37" ht="10.5" customHeight="1">
      <c r="B223" s="279"/>
      <c r="C223" s="370" t="s">
        <v>311</v>
      </c>
      <c r="D223" s="426"/>
      <c r="E223" s="279"/>
      <c r="F223" s="279" t="s">
        <v>1315</v>
      </c>
      <c r="G223" s="885" t="s">
        <v>842</v>
      </c>
      <c r="H223" s="885" t="s">
        <v>1165</v>
      </c>
      <c r="I223" s="886" t="s">
        <v>1620</v>
      </c>
      <c r="J223" s="886" t="s">
        <v>2488</v>
      </c>
      <c r="K223" s="887" t="s">
        <v>2462</v>
      </c>
      <c r="L223" s="888" t="s">
        <v>405</v>
      </c>
      <c r="M223" s="951" t="s">
        <v>2478</v>
      </c>
      <c r="N223" s="951" t="s">
        <v>1620</v>
      </c>
      <c r="O223" s="1066" t="s">
        <v>3694</v>
      </c>
      <c r="P223" s="504" t="s">
        <v>2064</v>
      </c>
      <c r="Q223" s="489"/>
      <c r="R223" s="168"/>
      <c r="S223" s="380"/>
      <c r="T223" s="473" t="s">
        <v>1694</v>
      </c>
      <c r="U223" s="473" t="s">
        <v>1264</v>
      </c>
      <c r="W223" s="418" t="s">
        <v>82</v>
      </c>
      <c r="X223" s="418" t="s">
        <v>3137</v>
      </c>
      <c r="Z223" s="418"/>
      <c r="AA223" s="157"/>
      <c r="AB223" s="157"/>
      <c r="AC223" s="809"/>
      <c r="AD223" s="481"/>
      <c r="AE223" s="157"/>
      <c r="AF223" s="157"/>
      <c r="AG223" s="157"/>
      <c r="AH223" s="157"/>
      <c r="AI223" s="157"/>
      <c r="AJ223" s="157"/>
      <c r="AK223" s="157"/>
    </row>
    <row r="224" spans="2:37" ht="10.5" customHeight="1">
      <c r="B224" s="279"/>
      <c r="C224" s="369" t="s">
        <v>313</v>
      </c>
      <c r="D224" s="426"/>
      <c r="E224" s="279"/>
      <c r="F224" s="279" t="s">
        <v>1317</v>
      </c>
      <c r="G224" s="885" t="s">
        <v>843</v>
      </c>
      <c r="H224" s="885" t="s">
        <v>1165</v>
      </c>
      <c r="I224" s="889" t="s">
        <v>1277</v>
      </c>
      <c r="J224" s="889" t="s">
        <v>2488</v>
      </c>
      <c r="K224" s="887" t="s">
        <v>1406</v>
      </c>
      <c r="L224" s="888" t="s">
        <v>405</v>
      </c>
      <c r="M224" s="951" t="s">
        <v>2478</v>
      </c>
      <c r="N224" s="951" t="s">
        <v>1277</v>
      </c>
      <c r="O224" s="1066" t="s">
        <v>3695</v>
      </c>
      <c r="P224" s="504" t="s">
        <v>2332</v>
      </c>
      <c r="Q224" s="287"/>
      <c r="R224" s="168"/>
      <c r="S224" s="380"/>
      <c r="T224" s="473" t="s">
        <v>1696</v>
      </c>
      <c r="U224" s="473" t="s">
        <v>1917</v>
      </c>
      <c r="W224" s="418" t="s">
        <v>1188</v>
      </c>
      <c r="X224" s="418" t="s">
        <v>3137</v>
      </c>
      <c r="Z224" s="418"/>
      <c r="AA224" s="157"/>
      <c r="AB224" s="157"/>
      <c r="AC224" s="809"/>
      <c r="AD224" s="809"/>
      <c r="AE224" s="157"/>
      <c r="AF224" s="157"/>
      <c r="AG224" s="157"/>
      <c r="AH224" s="157"/>
      <c r="AI224" s="157"/>
      <c r="AJ224" s="157"/>
      <c r="AK224" s="157"/>
    </row>
    <row r="225" spans="2:37" ht="10.5" customHeight="1">
      <c r="B225" s="279"/>
      <c r="C225" s="370" t="s">
        <v>316</v>
      </c>
      <c r="D225" s="426"/>
      <c r="E225" s="279"/>
      <c r="F225" s="506"/>
      <c r="G225" s="885" t="s">
        <v>844</v>
      </c>
      <c r="H225" s="885" t="s">
        <v>1262</v>
      </c>
      <c r="I225" s="886" t="s">
        <v>845</v>
      </c>
      <c r="J225" s="886" t="s">
        <v>2487</v>
      </c>
      <c r="K225" s="887" t="s">
        <v>1286</v>
      </c>
      <c r="L225" s="888" t="s">
        <v>404</v>
      </c>
      <c r="M225" s="952" t="s">
        <v>2478</v>
      </c>
      <c r="N225" s="952" t="s">
        <v>158</v>
      </c>
      <c r="O225" s="1066" t="s">
        <v>3696</v>
      </c>
      <c r="P225" s="504" t="s">
        <v>2334</v>
      </c>
      <c r="Q225" s="287"/>
      <c r="R225" s="168"/>
      <c r="S225" s="380"/>
      <c r="T225" s="473" t="s">
        <v>792</v>
      </c>
      <c r="U225" s="473" t="s">
        <v>2467</v>
      </c>
      <c r="W225" s="418" t="s">
        <v>153</v>
      </c>
      <c r="X225" s="418" t="s">
        <v>3137</v>
      </c>
      <c r="Z225" s="418"/>
      <c r="AA225" s="157"/>
      <c r="AB225" s="157"/>
      <c r="AC225" s="809"/>
      <c r="AD225" s="481"/>
      <c r="AE225" s="157"/>
      <c r="AF225" s="157"/>
      <c r="AG225" s="157"/>
      <c r="AH225" s="157"/>
      <c r="AI225" s="157"/>
      <c r="AJ225" s="157"/>
      <c r="AK225" s="157"/>
    </row>
    <row r="226" spans="2:37" ht="10.5" customHeight="1">
      <c r="B226" s="279"/>
      <c r="C226" s="369" t="s">
        <v>318</v>
      </c>
      <c r="D226" s="426"/>
      <c r="E226" s="279"/>
      <c r="F226" s="506"/>
      <c r="G226" s="885" t="s">
        <v>2139</v>
      </c>
      <c r="H226" s="885" t="s">
        <v>1165</v>
      </c>
      <c r="I226" s="886" t="s">
        <v>2140</v>
      </c>
      <c r="J226" s="886" t="s">
        <v>2487</v>
      </c>
      <c r="K226" s="887" t="s">
        <v>1287</v>
      </c>
      <c r="L226" s="888" t="s">
        <v>404</v>
      </c>
      <c r="M226" s="952" t="s">
        <v>2478</v>
      </c>
      <c r="N226" s="952" t="s">
        <v>1281</v>
      </c>
      <c r="O226" s="1066" t="s">
        <v>3697</v>
      </c>
      <c r="P226" s="504" t="s">
        <v>2336</v>
      </c>
      <c r="Q226" s="287"/>
      <c r="R226" s="168"/>
      <c r="S226" s="380"/>
      <c r="T226" s="505" t="s">
        <v>2065</v>
      </c>
      <c r="U226" s="505" t="s">
        <v>2469</v>
      </c>
      <c r="W226" s="418" t="s">
        <v>861</v>
      </c>
      <c r="X226" s="418" t="s">
        <v>3137</v>
      </c>
      <c r="Z226" s="418"/>
      <c r="AA226" s="157"/>
      <c r="AB226" s="157"/>
      <c r="AC226" s="810"/>
      <c r="AD226" s="481"/>
      <c r="AE226" s="157"/>
      <c r="AF226" s="157"/>
      <c r="AG226" s="157"/>
      <c r="AH226" s="157"/>
      <c r="AI226" s="157"/>
      <c r="AJ226" s="157"/>
      <c r="AK226" s="157"/>
    </row>
    <row r="227" spans="2:37" ht="10.5" customHeight="1">
      <c r="B227" s="279"/>
      <c r="C227" s="370" t="s">
        <v>320</v>
      </c>
      <c r="D227" s="426"/>
      <c r="E227" s="279"/>
      <c r="F227" s="506"/>
      <c r="G227" s="885" t="s">
        <v>2141</v>
      </c>
      <c r="H227" s="885" t="s">
        <v>1165</v>
      </c>
      <c r="I227" s="886" t="s">
        <v>624</v>
      </c>
      <c r="J227" s="886" t="s">
        <v>2487</v>
      </c>
      <c r="K227" s="887" t="s">
        <v>1288</v>
      </c>
      <c r="L227" s="888" t="s">
        <v>404</v>
      </c>
      <c r="M227" s="952" t="s">
        <v>2478</v>
      </c>
      <c r="N227" s="952" t="s">
        <v>1277</v>
      </c>
      <c r="O227" s="1066" t="s">
        <v>3698</v>
      </c>
      <c r="P227" s="504" t="s">
        <v>2338</v>
      </c>
      <c r="Q227" s="287"/>
      <c r="R227" s="168"/>
      <c r="S227" s="380"/>
      <c r="T227" s="473" t="s">
        <v>2333</v>
      </c>
      <c r="U227" s="473" t="s">
        <v>1054</v>
      </c>
      <c r="W227" s="418" t="s">
        <v>2045</v>
      </c>
      <c r="X227" s="418" t="s">
        <v>3137</v>
      </c>
      <c r="Z227" s="418"/>
      <c r="AA227" s="157"/>
      <c r="AB227" s="157"/>
      <c r="AC227" s="809"/>
      <c r="AD227" s="813"/>
      <c r="AE227" s="157"/>
      <c r="AF227" s="157"/>
      <c r="AG227" s="157"/>
      <c r="AH227" s="157"/>
      <c r="AI227" s="157"/>
      <c r="AJ227" s="157"/>
      <c r="AK227" s="157"/>
    </row>
    <row r="228" spans="2:37" ht="10.5" customHeight="1">
      <c r="B228" s="279"/>
      <c r="C228" s="370" t="s">
        <v>322</v>
      </c>
      <c r="D228" s="426"/>
      <c r="E228" s="279"/>
      <c r="F228" s="506"/>
      <c r="G228" s="885" t="s">
        <v>625</v>
      </c>
      <c r="H228" s="885" t="s">
        <v>1262</v>
      </c>
      <c r="I228" s="886" t="s">
        <v>626</v>
      </c>
      <c r="J228" s="886" t="s">
        <v>2487</v>
      </c>
      <c r="K228" s="887" t="s">
        <v>1289</v>
      </c>
      <c r="L228" s="888" t="s">
        <v>404</v>
      </c>
      <c r="M228" s="952" t="s">
        <v>2478</v>
      </c>
      <c r="N228" s="952" t="s">
        <v>1159</v>
      </c>
      <c r="O228" s="1066" t="s">
        <v>3699</v>
      </c>
      <c r="P228" s="504" t="s">
        <v>2339</v>
      </c>
      <c r="Q228" s="287"/>
      <c r="R228" s="168"/>
      <c r="S228" s="380"/>
      <c r="T228" s="473" t="s">
        <v>2442</v>
      </c>
      <c r="U228" s="473" t="s">
        <v>308</v>
      </c>
      <c r="W228" s="418" t="s">
        <v>1965</v>
      </c>
      <c r="X228" s="418" t="s">
        <v>3137</v>
      </c>
      <c r="Z228" s="418"/>
      <c r="AA228" s="157"/>
      <c r="AB228" s="157"/>
      <c r="AC228" s="809"/>
      <c r="AD228" s="481"/>
      <c r="AE228" s="157"/>
      <c r="AF228" s="157"/>
      <c r="AG228" s="157"/>
      <c r="AH228" s="157"/>
      <c r="AI228" s="157"/>
      <c r="AJ228" s="157"/>
      <c r="AK228" s="157"/>
    </row>
    <row r="229" spans="2:37" ht="10.5" customHeight="1">
      <c r="B229" s="279"/>
      <c r="C229" s="370" t="s">
        <v>737</v>
      </c>
      <c r="D229" s="426"/>
      <c r="E229" s="279"/>
      <c r="F229" s="506"/>
      <c r="G229" s="885" t="s">
        <v>627</v>
      </c>
      <c r="H229" s="885" t="s">
        <v>1262</v>
      </c>
      <c r="I229" s="889" t="s">
        <v>734</v>
      </c>
      <c r="J229" s="889" t="s">
        <v>2488</v>
      </c>
      <c r="K229" s="887" t="s">
        <v>2456</v>
      </c>
      <c r="L229" s="888" t="s">
        <v>405</v>
      </c>
      <c r="M229" s="951" t="s">
        <v>1150</v>
      </c>
      <c r="N229" s="951" t="s">
        <v>1159</v>
      </c>
      <c r="O229" s="1066" t="s">
        <v>3700</v>
      </c>
      <c r="P229" s="504" t="s">
        <v>2128</v>
      </c>
      <c r="Q229" s="287"/>
      <c r="R229" s="168"/>
      <c r="S229" s="380"/>
      <c r="T229" s="473" t="s">
        <v>2335</v>
      </c>
      <c r="U229" s="473" t="s">
        <v>1830</v>
      </c>
      <c r="W229" s="418" t="s">
        <v>570</v>
      </c>
      <c r="X229" s="418" t="s">
        <v>3137</v>
      </c>
      <c r="Z229" s="418"/>
      <c r="AA229" s="157"/>
      <c r="AB229" s="157"/>
      <c r="AC229" s="809"/>
      <c r="AD229" s="481"/>
      <c r="AE229" s="157"/>
      <c r="AF229" s="157"/>
      <c r="AG229" s="157"/>
      <c r="AH229" s="157"/>
      <c r="AI229" s="157"/>
      <c r="AJ229" s="157"/>
      <c r="AK229" s="157"/>
    </row>
    <row r="230" spans="2:37" ht="10.5" customHeight="1">
      <c r="B230" s="279"/>
      <c r="C230" s="370" t="s">
        <v>1398</v>
      </c>
      <c r="D230" s="426"/>
      <c r="E230" s="279"/>
      <c r="F230" s="506"/>
      <c r="G230" s="885" t="s">
        <v>628</v>
      </c>
      <c r="H230" s="885" t="s">
        <v>1262</v>
      </c>
      <c r="I230" s="889" t="s">
        <v>2164</v>
      </c>
      <c r="J230" s="889" t="s">
        <v>2488</v>
      </c>
      <c r="K230" s="887" t="s">
        <v>1290</v>
      </c>
      <c r="L230" s="888" t="s">
        <v>405</v>
      </c>
      <c r="M230" s="952" t="s">
        <v>1150</v>
      </c>
      <c r="N230" s="952" t="s">
        <v>1159</v>
      </c>
      <c r="O230" s="1066" t="s">
        <v>3701</v>
      </c>
      <c r="P230" s="504" t="s">
        <v>678</v>
      </c>
      <c r="Q230" s="287"/>
      <c r="R230" s="168"/>
      <c r="S230" s="380"/>
      <c r="T230" s="473" t="s">
        <v>2337</v>
      </c>
      <c r="U230" s="473" t="s">
        <v>840</v>
      </c>
      <c r="W230" s="418" t="s">
        <v>572</v>
      </c>
      <c r="X230" s="418" t="s">
        <v>3137</v>
      </c>
      <c r="Z230" s="418"/>
      <c r="AA230" s="157"/>
      <c r="AB230" s="157"/>
      <c r="AC230" s="809"/>
      <c r="AD230" s="481"/>
      <c r="AE230" s="157"/>
      <c r="AF230" s="157"/>
      <c r="AG230" s="157"/>
      <c r="AH230" s="157"/>
      <c r="AI230" s="157"/>
      <c r="AJ230" s="157"/>
      <c r="AK230" s="157"/>
    </row>
    <row r="231" spans="2:37" ht="10.5" customHeight="1">
      <c r="B231" s="279"/>
      <c r="C231" s="370" t="s">
        <v>1402</v>
      </c>
      <c r="D231" s="426"/>
      <c r="E231" s="279"/>
      <c r="F231" s="506"/>
      <c r="G231" s="885" t="s">
        <v>629</v>
      </c>
      <c r="H231" s="885" t="s">
        <v>1262</v>
      </c>
      <c r="I231" s="889" t="s">
        <v>734</v>
      </c>
      <c r="J231" s="889" t="s">
        <v>2488</v>
      </c>
      <c r="K231" s="887" t="s">
        <v>2456</v>
      </c>
      <c r="L231" s="888" t="s">
        <v>405</v>
      </c>
      <c r="M231" s="951" t="s">
        <v>1150</v>
      </c>
      <c r="N231" s="951" t="s">
        <v>1159</v>
      </c>
      <c r="O231" s="1066" t="s">
        <v>3702</v>
      </c>
      <c r="P231" s="504" t="s">
        <v>680</v>
      </c>
      <c r="Q231" s="287"/>
      <c r="R231" s="168"/>
      <c r="S231" s="380"/>
      <c r="T231" s="473" t="s">
        <v>2340</v>
      </c>
      <c r="U231" s="473" t="s">
        <v>151</v>
      </c>
      <c r="W231" s="418" t="s">
        <v>2413</v>
      </c>
      <c r="X231" s="418" t="s">
        <v>3137</v>
      </c>
      <c r="Z231" s="418"/>
      <c r="AA231" s="157"/>
      <c r="AB231" s="157"/>
      <c r="AC231" s="809"/>
      <c r="AD231" s="481"/>
      <c r="AE231" s="157"/>
      <c r="AF231" s="157"/>
      <c r="AG231" s="157"/>
      <c r="AH231" s="157"/>
      <c r="AI231" s="157"/>
      <c r="AJ231" s="157"/>
      <c r="AK231" s="157"/>
    </row>
    <row r="232" spans="2:37" ht="10.5" customHeight="1">
      <c r="B232" s="279"/>
      <c r="C232" s="370" t="s">
        <v>1404</v>
      </c>
      <c r="D232" s="426"/>
      <c r="E232" s="279"/>
      <c r="F232" s="506"/>
      <c r="G232" s="885" t="s">
        <v>630</v>
      </c>
      <c r="H232" s="885" t="s">
        <v>1262</v>
      </c>
      <c r="I232" s="889" t="s">
        <v>631</v>
      </c>
      <c r="J232" s="889" t="s">
        <v>2487</v>
      </c>
      <c r="K232" s="887" t="s">
        <v>1291</v>
      </c>
      <c r="L232" s="888" t="s">
        <v>404</v>
      </c>
      <c r="M232" s="952" t="s">
        <v>2478</v>
      </c>
      <c r="N232" s="952" t="s">
        <v>158</v>
      </c>
      <c r="O232" s="1066" t="s">
        <v>3703</v>
      </c>
      <c r="P232" s="504" t="s">
        <v>682</v>
      </c>
      <c r="Q232" s="287"/>
      <c r="R232" s="168"/>
      <c r="S232" s="380"/>
      <c r="T232" s="473" t="s">
        <v>2129</v>
      </c>
      <c r="U232" s="473" t="s">
        <v>625</v>
      </c>
      <c r="W232" s="418" t="s">
        <v>576</v>
      </c>
      <c r="X232" s="418" t="s">
        <v>3137</v>
      </c>
      <c r="Z232" s="418"/>
      <c r="AA232" s="157"/>
      <c r="AB232" s="157"/>
      <c r="AC232" s="809"/>
      <c r="AD232" s="481"/>
      <c r="AE232" s="157"/>
      <c r="AF232" s="157"/>
      <c r="AG232" s="157"/>
      <c r="AH232" s="157"/>
      <c r="AI232" s="157"/>
      <c r="AJ232" s="157"/>
      <c r="AK232" s="157"/>
    </row>
    <row r="233" spans="2:37" ht="10.5" customHeight="1">
      <c r="B233" s="279"/>
      <c r="C233" s="370" t="s">
        <v>169</v>
      </c>
      <c r="D233" s="426"/>
      <c r="E233" s="279"/>
      <c r="F233" s="506"/>
      <c r="G233" s="885" t="s">
        <v>1160</v>
      </c>
      <c r="H233" s="885" t="s">
        <v>1715</v>
      </c>
      <c r="I233" s="889" t="s">
        <v>734</v>
      </c>
      <c r="J233" s="889" t="s">
        <v>2488</v>
      </c>
      <c r="K233" s="887" t="s">
        <v>2456</v>
      </c>
      <c r="L233" s="888" t="s">
        <v>405</v>
      </c>
      <c r="M233" s="951" t="s">
        <v>1150</v>
      </c>
      <c r="N233" s="951" t="s">
        <v>1159</v>
      </c>
      <c r="O233" s="1066" t="s">
        <v>3704</v>
      </c>
      <c r="P233" s="504" t="s">
        <v>684</v>
      </c>
      <c r="Q233" s="287"/>
      <c r="R233" s="168"/>
      <c r="S233" s="380"/>
      <c r="T233" s="473" t="s">
        <v>679</v>
      </c>
      <c r="U233" s="473" t="s">
        <v>2368</v>
      </c>
      <c r="W233" s="418" t="s">
        <v>520</v>
      </c>
      <c r="X233" s="418" t="s">
        <v>3137</v>
      </c>
      <c r="Z233" s="418"/>
      <c r="AA233" s="157"/>
      <c r="AB233" s="157"/>
      <c r="AC233" s="809"/>
      <c r="AD233" s="481"/>
      <c r="AE233" s="157"/>
      <c r="AF233" s="157"/>
      <c r="AG233" s="157"/>
      <c r="AH233" s="157"/>
      <c r="AI233" s="157"/>
      <c r="AJ233" s="157"/>
      <c r="AK233" s="157"/>
    </row>
    <row r="234" spans="2:37" ht="10.5" customHeight="1">
      <c r="B234" s="279"/>
      <c r="C234" s="370" t="s">
        <v>1271</v>
      </c>
      <c r="D234" s="426"/>
      <c r="E234" s="279"/>
      <c r="F234" s="506"/>
      <c r="G234" s="885" t="s">
        <v>632</v>
      </c>
      <c r="H234" s="885" t="s">
        <v>1262</v>
      </c>
      <c r="I234" s="886" t="s">
        <v>633</v>
      </c>
      <c r="J234" s="886" t="s">
        <v>2487</v>
      </c>
      <c r="K234" s="887" t="s">
        <v>228</v>
      </c>
      <c r="L234" s="888" t="s">
        <v>404</v>
      </c>
      <c r="M234" s="952" t="s">
        <v>2478</v>
      </c>
      <c r="N234" s="952" t="s">
        <v>1159</v>
      </c>
      <c r="O234" s="1066" t="s">
        <v>3705</v>
      </c>
      <c r="P234" s="504" t="s">
        <v>2120</v>
      </c>
      <c r="Q234" s="287"/>
      <c r="R234" s="168"/>
      <c r="S234" s="380"/>
      <c r="T234" s="505" t="s">
        <v>681</v>
      </c>
      <c r="U234" s="505" t="s">
        <v>1069</v>
      </c>
      <c r="W234" s="418" t="s">
        <v>716</v>
      </c>
      <c r="X234" s="418" t="s">
        <v>3137</v>
      </c>
      <c r="Z234" s="418"/>
      <c r="AA234" s="157"/>
      <c r="AB234" s="157"/>
      <c r="AC234" s="810"/>
      <c r="AD234" s="481"/>
      <c r="AE234" s="157"/>
      <c r="AF234" s="157"/>
      <c r="AG234" s="157"/>
      <c r="AH234" s="157"/>
      <c r="AI234" s="157"/>
      <c r="AJ234" s="157"/>
      <c r="AK234" s="157"/>
    </row>
    <row r="235" spans="2:37" ht="10.5" customHeight="1">
      <c r="B235" s="279"/>
      <c r="C235" s="370" t="s">
        <v>170</v>
      </c>
      <c r="D235" s="426"/>
      <c r="E235" s="279"/>
      <c r="F235" s="506"/>
      <c r="G235" s="885" t="s">
        <v>634</v>
      </c>
      <c r="H235" s="885" t="s">
        <v>1262</v>
      </c>
      <c r="I235" s="889" t="s">
        <v>635</v>
      </c>
      <c r="J235" s="889" t="s">
        <v>2487</v>
      </c>
      <c r="K235" s="887" t="s">
        <v>229</v>
      </c>
      <c r="L235" s="888" t="s">
        <v>404</v>
      </c>
      <c r="M235" s="952" t="s">
        <v>2478</v>
      </c>
      <c r="N235" s="952" t="s">
        <v>1281</v>
      </c>
      <c r="O235" s="1066" t="s">
        <v>3706</v>
      </c>
      <c r="P235" s="504" t="s">
        <v>2121</v>
      </c>
      <c r="Q235" s="287"/>
      <c r="R235" s="168"/>
      <c r="S235" s="380"/>
      <c r="T235" s="473" t="s">
        <v>683</v>
      </c>
      <c r="U235" s="473" t="s">
        <v>2469</v>
      </c>
      <c r="W235" s="418" t="s">
        <v>34</v>
      </c>
      <c r="X235" s="418" t="s">
        <v>3137</v>
      </c>
      <c r="Z235" s="418"/>
      <c r="AA235" s="157"/>
      <c r="AB235" s="157"/>
      <c r="AC235" s="809"/>
      <c r="AD235" s="481"/>
      <c r="AE235" s="157"/>
      <c r="AF235" s="157"/>
      <c r="AG235" s="157"/>
      <c r="AH235" s="157"/>
      <c r="AI235" s="157"/>
      <c r="AJ235" s="157"/>
      <c r="AK235" s="157"/>
    </row>
    <row r="236" spans="2:37" ht="10.5" customHeight="1">
      <c r="B236" s="279"/>
      <c r="C236" s="370" t="s">
        <v>739</v>
      </c>
      <c r="D236" s="426"/>
      <c r="E236" s="279"/>
      <c r="F236" s="506"/>
      <c r="G236" s="885" t="s">
        <v>636</v>
      </c>
      <c r="H236" s="885" t="s">
        <v>1715</v>
      </c>
      <c r="I236" s="886" t="s">
        <v>8</v>
      </c>
      <c r="J236" s="886" t="s">
        <v>2488</v>
      </c>
      <c r="K236" s="887" t="s">
        <v>2461</v>
      </c>
      <c r="L236" s="888" t="s">
        <v>405</v>
      </c>
      <c r="M236" s="952" t="s">
        <v>1150</v>
      </c>
      <c r="N236" s="952" t="s">
        <v>1277</v>
      </c>
      <c r="O236" s="1066" t="s">
        <v>3707</v>
      </c>
      <c r="P236" s="504" t="s">
        <v>2123</v>
      </c>
      <c r="Q236" s="287"/>
      <c r="R236" s="168"/>
      <c r="S236" s="380"/>
      <c r="T236" s="473" t="s">
        <v>2443</v>
      </c>
      <c r="U236" s="473" t="s">
        <v>2370</v>
      </c>
      <c r="W236" s="418" t="s">
        <v>1877</v>
      </c>
      <c r="X236" s="418" t="s">
        <v>3137</v>
      </c>
      <c r="Z236" s="418"/>
      <c r="AA236" s="157"/>
      <c r="AB236" s="157"/>
      <c r="AC236" s="809"/>
      <c r="AD236" s="481"/>
      <c r="AE236" s="157"/>
      <c r="AF236" s="157"/>
      <c r="AG236" s="157"/>
      <c r="AH236" s="157"/>
      <c r="AI236" s="157"/>
      <c r="AJ236" s="157"/>
      <c r="AK236" s="157"/>
    </row>
    <row r="237" spans="2:37" ht="10.5" customHeight="1">
      <c r="B237" s="279"/>
      <c r="C237" s="370" t="s">
        <v>1566</v>
      </c>
      <c r="D237" s="426"/>
      <c r="E237" s="279"/>
      <c r="F237" s="506"/>
      <c r="G237" s="885" t="s">
        <v>637</v>
      </c>
      <c r="H237" s="885" t="s">
        <v>1262</v>
      </c>
      <c r="I237" s="886" t="s">
        <v>638</v>
      </c>
      <c r="J237" s="886" t="s">
        <v>2487</v>
      </c>
      <c r="K237" s="887" t="s">
        <v>230</v>
      </c>
      <c r="L237" s="888" t="s">
        <v>404</v>
      </c>
      <c r="M237" s="952" t="s">
        <v>2478</v>
      </c>
      <c r="N237" s="952" t="s">
        <v>1159</v>
      </c>
      <c r="O237" s="1066" t="s">
        <v>3708</v>
      </c>
      <c r="P237" s="504" t="s">
        <v>654</v>
      </c>
      <c r="Q237" s="287"/>
      <c r="R237" s="168"/>
      <c r="S237" s="380"/>
      <c r="T237" s="473" t="s">
        <v>2122</v>
      </c>
      <c r="U237" s="473" t="s">
        <v>1593</v>
      </c>
      <c r="W237" s="418" t="s">
        <v>324</v>
      </c>
      <c r="X237" s="418" t="s">
        <v>3137</v>
      </c>
      <c r="Z237" s="418"/>
      <c r="AA237" s="157"/>
      <c r="AB237" s="157"/>
      <c r="AC237" s="809"/>
      <c r="AD237" s="481"/>
      <c r="AE237" s="157"/>
      <c r="AF237" s="157"/>
      <c r="AG237" s="157"/>
      <c r="AH237" s="157"/>
      <c r="AI237" s="157"/>
      <c r="AJ237" s="157"/>
      <c r="AK237" s="157"/>
    </row>
    <row r="238" spans="2:37" ht="10.5" customHeight="1">
      <c r="B238" s="279"/>
      <c r="C238" s="370" t="s">
        <v>1568</v>
      </c>
      <c r="D238" s="426"/>
      <c r="E238" s="279"/>
      <c r="F238" s="506"/>
      <c r="G238" s="885" t="s">
        <v>639</v>
      </c>
      <c r="H238" s="885" t="s">
        <v>1165</v>
      </c>
      <c r="I238" s="886" t="s">
        <v>640</v>
      </c>
      <c r="J238" s="886" t="s">
        <v>2487</v>
      </c>
      <c r="K238" s="887" t="s">
        <v>384</v>
      </c>
      <c r="L238" s="888" t="s">
        <v>404</v>
      </c>
      <c r="M238" s="952" t="s">
        <v>2478</v>
      </c>
      <c r="N238" s="952" t="s">
        <v>1702</v>
      </c>
      <c r="O238" s="1066" t="s">
        <v>3709</v>
      </c>
      <c r="P238" s="504" t="s">
        <v>757</v>
      </c>
      <c r="Q238" s="287"/>
      <c r="R238" s="168"/>
      <c r="S238" s="380"/>
      <c r="T238" s="473" t="s">
        <v>2124</v>
      </c>
      <c r="U238" s="473" t="s">
        <v>2463</v>
      </c>
      <c r="W238" s="418" t="s">
        <v>332</v>
      </c>
      <c r="X238" s="418" t="s">
        <v>3137</v>
      </c>
      <c r="Z238" s="418"/>
      <c r="AA238" s="157"/>
      <c r="AB238" s="157"/>
      <c r="AC238" s="809"/>
      <c r="AD238" s="481"/>
      <c r="AE238" s="157"/>
      <c r="AF238" s="157"/>
      <c r="AG238" s="157"/>
      <c r="AH238" s="157"/>
      <c r="AI238" s="157"/>
      <c r="AJ238" s="157"/>
      <c r="AK238" s="157"/>
    </row>
    <row r="239" spans="2:37" ht="10.5" customHeight="1">
      <c r="B239" s="279"/>
      <c r="C239" s="370" t="s">
        <v>1949</v>
      </c>
      <c r="D239" s="426"/>
      <c r="E239" s="279"/>
      <c r="F239" s="506"/>
      <c r="G239" s="885" t="s">
        <v>641</v>
      </c>
      <c r="H239" s="885" t="s">
        <v>1262</v>
      </c>
      <c r="I239" s="886" t="s">
        <v>642</v>
      </c>
      <c r="J239" s="886" t="s">
        <v>2487</v>
      </c>
      <c r="K239" s="887" t="s">
        <v>385</v>
      </c>
      <c r="L239" s="888" t="s">
        <v>404</v>
      </c>
      <c r="M239" s="952" t="s">
        <v>2478</v>
      </c>
      <c r="N239" s="952" t="s">
        <v>158</v>
      </c>
      <c r="O239" s="1066" t="s">
        <v>3710</v>
      </c>
      <c r="P239" s="504" t="s">
        <v>2167</v>
      </c>
      <c r="Q239" s="287"/>
      <c r="R239" s="168"/>
      <c r="S239" s="380"/>
      <c r="T239" s="473" t="s">
        <v>655</v>
      </c>
      <c r="U239" s="473" t="s">
        <v>703</v>
      </c>
      <c r="W239" s="418" t="s">
        <v>187</v>
      </c>
      <c r="X239" s="418" t="s">
        <v>3137</v>
      </c>
      <c r="Z239" s="418"/>
      <c r="AA239" s="157"/>
      <c r="AB239" s="157"/>
      <c r="AC239" s="809"/>
      <c r="AD239" s="481"/>
      <c r="AE239" s="157"/>
      <c r="AF239" s="157"/>
      <c r="AG239" s="157"/>
      <c r="AH239" s="157"/>
      <c r="AI239" s="157"/>
      <c r="AJ239" s="157"/>
      <c r="AK239" s="157"/>
    </row>
    <row r="240" spans="2:37" ht="10.5" customHeight="1">
      <c r="B240" s="279"/>
      <c r="C240" s="370" t="s">
        <v>177</v>
      </c>
      <c r="D240" s="426"/>
      <c r="E240" s="279"/>
      <c r="F240" s="506"/>
      <c r="G240" s="885" t="s">
        <v>114</v>
      </c>
      <c r="H240" s="885" t="s">
        <v>1262</v>
      </c>
      <c r="I240" s="889" t="s">
        <v>734</v>
      </c>
      <c r="J240" s="889" t="s">
        <v>2488</v>
      </c>
      <c r="K240" s="887" t="s">
        <v>2456</v>
      </c>
      <c r="L240" s="888" t="s">
        <v>405</v>
      </c>
      <c r="M240" s="951" t="s">
        <v>1150</v>
      </c>
      <c r="N240" s="951" t="s">
        <v>1159</v>
      </c>
      <c r="O240" s="1066" t="s">
        <v>3711</v>
      </c>
      <c r="P240" s="504" t="s">
        <v>2196</v>
      </c>
      <c r="Q240" s="287"/>
      <c r="R240" s="168"/>
      <c r="S240" s="380"/>
      <c r="T240" s="473" t="s">
        <v>2166</v>
      </c>
      <c r="U240" s="473" t="s">
        <v>305</v>
      </c>
      <c r="W240" s="418" t="s">
        <v>2060</v>
      </c>
      <c r="X240" s="418" t="s">
        <v>3137</v>
      </c>
      <c r="Z240" s="418"/>
      <c r="AA240" s="157"/>
      <c r="AB240" s="157"/>
      <c r="AC240" s="809"/>
      <c r="AD240" s="481"/>
      <c r="AE240" s="157"/>
      <c r="AF240" s="157"/>
      <c r="AG240" s="157"/>
      <c r="AH240" s="157"/>
      <c r="AI240" s="157"/>
      <c r="AJ240" s="157"/>
      <c r="AK240" s="157"/>
    </row>
    <row r="241" spans="2:37" ht="10.5" customHeight="1">
      <c r="B241" s="279"/>
      <c r="C241" s="369" t="s">
        <v>2464</v>
      </c>
      <c r="D241" s="426"/>
      <c r="E241" s="279"/>
      <c r="F241" s="506"/>
      <c r="G241" s="885" t="s">
        <v>115</v>
      </c>
      <c r="H241" s="885" t="s">
        <v>1262</v>
      </c>
      <c r="I241" s="886" t="s">
        <v>116</v>
      </c>
      <c r="J241" s="886" t="s">
        <v>2487</v>
      </c>
      <c r="K241" s="887" t="s">
        <v>386</v>
      </c>
      <c r="L241" s="888" t="s">
        <v>404</v>
      </c>
      <c r="M241" s="952" t="s">
        <v>2478</v>
      </c>
      <c r="N241" s="952" t="s">
        <v>158</v>
      </c>
      <c r="O241" s="1066" t="s">
        <v>3712</v>
      </c>
      <c r="P241" s="504" t="s">
        <v>40</v>
      </c>
      <c r="Q241" s="287"/>
      <c r="R241" s="168"/>
      <c r="S241" s="380"/>
      <c r="T241" s="473" t="s">
        <v>2226</v>
      </c>
      <c r="U241" s="473" t="s">
        <v>844</v>
      </c>
      <c r="W241" s="418" t="s">
        <v>188</v>
      </c>
      <c r="X241" s="418" t="s">
        <v>3137</v>
      </c>
      <c r="Z241" s="418"/>
      <c r="AA241" s="157"/>
      <c r="AB241" s="157"/>
      <c r="AC241" s="812"/>
      <c r="AD241" s="481"/>
      <c r="AE241" s="157"/>
      <c r="AF241" s="157"/>
      <c r="AG241" s="157"/>
      <c r="AH241" s="157"/>
      <c r="AI241" s="157"/>
      <c r="AJ241" s="157"/>
      <c r="AK241" s="157"/>
    </row>
    <row r="242" spans="2:37" ht="10.5" customHeight="1">
      <c r="B242" s="279"/>
      <c r="C242" s="370" t="s">
        <v>2466</v>
      </c>
      <c r="D242" s="426"/>
      <c r="E242" s="279"/>
      <c r="F242" s="506"/>
      <c r="G242" s="885" t="s">
        <v>300</v>
      </c>
      <c r="H242" s="885" t="s">
        <v>1262</v>
      </c>
      <c r="I242" s="886" t="s">
        <v>1175</v>
      </c>
      <c r="J242" s="886" t="s">
        <v>2488</v>
      </c>
      <c r="K242" s="887" t="s">
        <v>387</v>
      </c>
      <c r="L242" s="888" t="s">
        <v>405</v>
      </c>
      <c r="M242" s="952" t="s">
        <v>1150</v>
      </c>
      <c r="N242" s="952" t="s">
        <v>1159</v>
      </c>
      <c r="O242" s="1066" t="s">
        <v>3713</v>
      </c>
      <c r="P242" s="504" t="s">
        <v>603</v>
      </c>
      <c r="Q242" s="287"/>
      <c r="R242" s="168"/>
      <c r="S242" s="380"/>
      <c r="T242" s="473" t="s">
        <v>41</v>
      </c>
      <c r="U242" s="473" t="s">
        <v>312</v>
      </c>
      <c r="W242" s="418" t="s">
        <v>366</v>
      </c>
      <c r="X242" s="418" t="s">
        <v>3137</v>
      </c>
      <c r="Z242" s="418"/>
      <c r="AA242" s="157"/>
      <c r="AB242" s="157"/>
      <c r="AC242" s="809"/>
      <c r="AD242" s="481"/>
      <c r="AE242" s="157"/>
      <c r="AF242" s="157"/>
      <c r="AG242" s="157"/>
      <c r="AH242" s="157"/>
      <c r="AI242" s="157"/>
      <c r="AJ242" s="157"/>
      <c r="AK242" s="157"/>
    </row>
    <row r="243" spans="2:37" ht="10.5" customHeight="1">
      <c r="B243" s="279"/>
      <c r="C243" s="370" t="s">
        <v>1052</v>
      </c>
      <c r="D243" s="426"/>
      <c r="E243" s="279"/>
      <c r="F243" s="506"/>
      <c r="G243" s="890" t="s">
        <v>301</v>
      </c>
      <c r="H243" s="885" t="s">
        <v>1262</v>
      </c>
      <c r="I243" s="886" t="s">
        <v>302</v>
      </c>
      <c r="J243" s="886" t="s">
        <v>2487</v>
      </c>
      <c r="K243" s="887" t="s">
        <v>388</v>
      </c>
      <c r="L243" s="888" t="s">
        <v>404</v>
      </c>
      <c r="M243" s="952" t="s">
        <v>2478</v>
      </c>
      <c r="N243" s="952" t="s">
        <v>1271</v>
      </c>
      <c r="O243" s="1066" t="s">
        <v>3714</v>
      </c>
      <c r="P243" s="504" t="s">
        <v>293</v>
      </c>
      <c r="Q243" s="287"/>
      <c r="R243" s="168"/>
      <c r="S243" s="380"/>
      <c r="T243" s="473" t="s">
        <v>604</v>
      </c>
      <c r="U243" s="473" t="s">
        <v>2471</v>
      </c>
      <c r="W243" s="418" t="s">
        <v>839</v>
      </c>
      <c r="X243" s="418" t="s">
        <v>3137</v>
      </c>
      <c r="Z243" s="418"/>
      <c r="AA243" s="157"/>
      <c r="AB243" s="157"/>
      <c r="AC243" s="809"/>
      <c r="AD243" s="481"/>
      <c r="AE243" s="157"/>
      <c r="AF243" s="157"/>
      <c r="AG243" s="157"/>
      <c r="AH243" s="157"/>
      <c r="AI243" s="157"/>
      <c r="AJ243" s="157"/>
      <c r="AK243" s="157"/>
    </row>
    <row r="244" spans="2:37" ht="10.5" customHeight="1">
      <c r="B244" s="279"/>
      <c r="C244" s="370" t="s">
        <v>1055</v>
      </c>
      <c r="D244" s="426"/>
      <c r="E244" s="279"/>
      <c r="F244" s="506"/>
      <c r="G244" s="885" t="s">
        <v>303</v>
      </c>
      <c r="H244" s="885" t="s">
        <v>1262</v>
      </c>
      <c r="I244" s="889" t="s">
        <v>736</v>
      </c>
      <c r="J244" s="889" t="s">
        <v>2488</v>
      </c>
      <c r="K244" s="887" t="s">
        <v>389</v>
      </c>
      <c r="L244" s="888" t="s">
        <v>405</v>
      </c>
      <c r="M244" s="951" t="s">
        <v>2478</v>
      </c>
      <c r="N244" s="951" t="s">
        <v>1159</v>
      </c>
      <c r="O244" s="1066" t="s">
        <v>3715</v>
      </c>
      <c r="P244" s="504" t="s">
        <v>2263</v>
      </c>
      <c r="Q244" s="287"/>
      <c r="R244" s="168"/>
      <c r="S244" s="380"/>
      <c r="T244" s="473" t="s">
        <v>294</v>
      </c>
      <c r="U244" s="473" t="s">
        <v>303</v>
      </c>
      <c r="W244" s="418" t="s">
        <v>1834</v>
      </c>
      <c r="X244" s="418" t="s">
        <v>3137</v>
      </c>
      <c r="Z244" s="418"/>
      <c r="AA244" s="157"/>
      <c r="AB244" s="157"/>
      <c r="AC244" s="809"/>
      <c r="AD244" s="481"/>
      <c r="AE244" s="157"/>
      <c r="AF244" s="157"/>
      <c r="AG244" s="157"/>
      <c r="AH244" s="157"/>
      <c r="AI244" s="157"/>
      <c r="AJ244" s="157"/>
      <c r="AK244" s="157"/>
    </row>
    <row r="245" spans="2:37" ht="10.5" customHeight="1">
      <c r="B245" s="279"/>
      <c r="C245" s="370" t="s">
        <v>1058</v>
      </c>
      <c r="D245" s="426"/>
      <c r="E245" s="279"/>
      <c r="F245" s="506"/>
      <c r="G245" s="885" t="s">
        <v>304</v>
      </c>
      <c r="H245" s="885" t="s">
        <v>1165</v>
      </c>
      <c r="I245" s="889" t="s">
        <v>153</v>
      </c>
      <c r="J245" s="889" t="s">
        <v>2488</v>
      </c>
      <c r="K245" s="887" t="s">
        <v>1606</v>
      </c>
      <c r="L245" s="888" t="s">
        <v>405</v>
      </c>
      <c r="M245" s="951" t="s">
        <v>2478</v>
      </c>
      <c r="N245" s="951" t="s">
        <v>153</v>
      </c>
      <c r="O245" s="1066" t="s">
        <v>3716</v>
      </c>
      <c r="P245" s="504" t="s">
        <v>2281</v>
      </c>
      <c r="Q245" s="287"/>
      <c r="R245" s="168"/>
      <c r="S245" s="380"/>
      <c r="T245" s="473" t="s">
        <v>2264</v>
      </c>
      <c r="U245" s="473" t="s">
        <v>188</v>
      </c>
      <c r="W245" s="418" t="s">
        <v>1838</v>
      </c>
      <c r="X245" s="418" t="s">
        <v>3137</v>
      </c>
      <c r="Z245" s="418"/>
      <c r="AA245" s="157"/>
      <c r="AB245" s="157"/>
      <c r="AC245" s="809"/>
      <c r="AD245" s="481"/>
      <c r="AE245" s="157"/>
      <c r="AF245" s="157"/>
      <c r="AG245" s="157"/>
      <c r="AH245" s="157"/>
      <c r="AI245" s="157"/>
      <c r="AJ245" s="157"/>
      <c r="AK245" s="157"/>
    </row>
    <row r="246" spans="2:37" ht="10.5" customHeight="1">
      <c r="B246" s="279"/>
      <c r="C246" s="369" t="s">
        <v>1060</v>
      </c>
      <c r="D246" s="426"/>
      <c r="E246" s="279"/>
      <c r="F246" s="506"/>
      <c r="G246" s="885" t="s">
        <v>305</v>
      </c>
      <c r="H246" s="885" t="s">
        <v>1262</v>
      </c>
      <c r="I246" s="886" t="s">
        <v>306</v>
      </c>
      <c r="J246" s="886" t="s">
        <v>2487</v>
      </c>
      <c r="K246" s="887" t="s">
        <v>390</v>
      </c>
      <c r="L246" s="888" t="s">
        <v>404</v>
      </c>
      <c r="M246" s="952" t="s">
        <v>2478</v>
      </c>
      <c r="N246" s="952" t="s">
        <v>158</v>
      </c>
      <c r="O246" s="1066" t="s">
        <v>3717</v>
      </c>
      <c r="P246" s="504" t="s">
        <v>2283</v>
      </c>
      <c r="Q246" s="287"/>
      <c r="R246" s="168"/>
      <c r="S246" s="380"/>
      <c r="T246" s="473" t="s">
        <v>2282</v>
      </c>
      <c r="U246" s="473" t="s">
        <v>1592</v>
      </c>
      <c r="W246" s="418" t="s">
        <v>687</v>
      </c>
      <c r="X246" s="418" t="s">
        <v>3137</v>
      </c>
      <c r="Z246" s="418"/>
      <c r="AA246" s="157"/>
      <c r="AB246" s="157"/>
      <c r="AC246" s="809"/>
      <c r="AD246" s="481"/>
      <c r="AE246" s="157"/>
      <c r="AF246" s="157"/>
      <c r="AG246" s="157"/>
      <c r="AH246" s="157"/>
      <c r="AI246" s="157"/>
      <c r="AJ246" s="157"/>
      <c r="AK246" s="157"/>
    </row>
    <row r="247" spans="2:37" ht="10.5" customHeight="1">
      <c r="B247" s="279"/>
      <c r="C247" s="370" t="s">
        <v>1062</v>
      </c>
      <c r="D247" s="426"/>
      <c r="E247" s="279"/>
      <c r="F247" s="506"/>
      <c r="G247" s="885" t="s">
        <v>307</v>
      </c>
      <c r="H247" s="885" t="s">
        <v>1165</v>
      </c>
      <c r="I247" s="889" t="s">
        <v>734</v>
      </c>
      <c r="J247" s="889" t="s">
        <v>2488</v>
      </c>
      <c r="K247" s="887" t="s">
        <v>2456</v>
      </c>
      <c r="L247" s="888" t="s">
        <v>405</v>
      </c>
      <c r="M247" s="951" t="s">
        <v>1150</v>
      </c>
      <c r="N247" s="951" t="s">
        <v>1159</v>
      </c>
      <c r="O247" s="1066" t="s">
        <v>3718</v>
      </c>
      <c r="P247" s="504" t="s">
        <v>2284</v>
      </c>
      <c r="Q247" s="287"/>
      <c r="R247" s="168"/>
      <c r="S247" s="380"/>
      <c r="T247" s="473" t="s">
        <v>2639</v>
      </c>
      <c r="U247" s="473" t="s">
        <v>598</v>
      </c>
      <c r="W247" s="418" t="s">
        <v>1098</v>
      </c>
      <c r="X247" s="418" t="s">
        <v>3137</v>
      </c>
      <c r="Z247" s="418"/>
      <c r="AA247" s="157"/>
      <c r="AB247" s="157"/>
      <c r="AC247" s="809"/>
      <c r="AD247" s="481"/>
      <c r="AE247" s="157"/>
      <c r="AF247" s="157"/>
      <c r="AG247" s="157"/>
      <c r="AH247" s="157"/>
      <c r="AI247" s="157"/>
      <c r="AJ247" s="157"/>
      <c r="AK247" s="157"/>
    </row>
    <row r="248" spans="2:37" ht="10.5" customHeight="1">
      <c r="B248" s="279"/>
      <c r="C248" s="370" t="s">
        <v>1064</v>
      </c>
      <c r="D248" s="426"/>
      <c r="E248" s="279"/>
      <c r="F248" s="506"/>
      <c r="G248" s="885" t="s">
        <v>308</v>
      </c>
      <c r="H248" s="885" t="s">
        <v>1262</v>
      </c>
      <c r="I248" s="889" t="s">
        <v>734</v>
      </c>
      <c r="J248" s="889" t="s">
        <v>2488</v>
      </c>
      <c r="K248" s="887" t="s">
        <v>2456</v>
      </c>
      <c r="L248" s="888" t="s">
        <v>405</v>
      </c>
      <c r="M248" s="951" t="s">
        <v>1150</v>
      </c>
      <c r="N248" s="951" t="s">
        <v>1159</v>
      </c>
      <c r="O248" s="1066" t="s">
        <v>3719</v>
      </c>
      <c r="P248" s="504" t="s">
        <v>2255</v>
      </c>
      <c r="Q248" s="287"/>
      <c r="R248" s="168"/>
      <c r="S248" s="380"/>
      <c r="T248" s="473" t="s">
        <v>599</v>
      </c>
      <c r="U248" s="473" t="s">
        <v>1278</v>
      </c>
      <c r="W248" s="418" t="s">
        <v>1100</v>
      </c>
      <c r="X248" s="418" t="s">
        <v>3137</v>
      </c>
      <c r="Z248" s="418"/>
      <c r="AA248" s="157"/>
      <c r="AB248" s="157"/>
      <c r="AC248" s="809"/>
      <c r="AD248" s="481"/>
      <c r="AE248" s="157"/>
      <c r="AF248" s="157"/>
      <c r="AG248" s="157"/>
      <c r="AH248" s="157"/>
      <c r="AI248" s="157"/>
      <c r="AJ248" s="157"/>
      <c r="AK248" s="157"/>
    </row>
    <row r="249" spans="2:37" ht="10.5" customHeight="1">
      <c r="B249" s="279"/>
      <c r="C249" s="370" t="s">
        <v>1066</v>
      </c>
      <c r="D249" s="426"/>
      <c r="E249" s="279"/>
      <c r="F249" s="506"/>
      <c r="G249" s="885" t="s">
        <v>309</v>
      </c>
      <c r="H249" s="885" t="s">
        <v>1165</v>
      </c>
      <c r="I249" s="889" t="s">
        <v>1633</v>
      </c>
      <c r="J249" s="889" t="s">
        <v>2488</v>
      </c>
      <c r="K249" s="887" t="s">
        <v>391</v>
      </c>
      <c r="L249" s="888" t="s">
        <v>405</v>
      </c>
      <c r="M249" s="952" t="s">
        <v>1150</v>
      </c>
      <c r="N249" s="952" t="s">
        <v>1271</v>
      </c>
      <c r="O249" s="1066" t="s">
        <v>3720</v>
      </c>
      <c r="P249" s="504" t="s">
        <v>7</v>
      </c>
      <c r="Q249" s="287"/>
      <c r="R249" s="168"/>
      <c r="S249" s="380"/>
      <c r="T249" s="473" t="s">
        <v>1275</v>
      </c>
      <c r="U249" s="473" t="s">
        <v>627</v>
      </c>
      <c r="W249" s="418" t="s">
        <v>1102</v>
      </c>
      <c r="X249" s="418" t="s">
        <v>3137</v>
      </c>
      <c r="Z249" s="418"/>
      <c r="AA249" s="157"/>
      <c r="AB249" s="157"/>
      <c r="AC249" s="809"/>
      <c r="AD249" s="481"/>
      <c r="AE249" s="157"/>
      <c r="AF249" s="157"/>
      <c r="AG249" s="157"/>
      <c r="AH249" s="157"/>
      <c r="AI249" s="157"/>
      <c r="AJ249" s="157"/>
      <c r="AK249" s="157"/>
    </row>
    <row r="250" spans="2:37" ht="10.5" customHeight="1">
      <c r="B250" s="279"/>
      <c r="C250" s="369" t="s">
        <v>1068</v>
      </c>
      <c r="D250" s="426"/>
      <c r="E250" s="279"/>
      <c r="F250" s="506"/>
      <c r="G250" s="885" t="s">
        <v>310</v>
      </c>
      <c r="H250" s="885" t="s">
        <v>1165</v>
      </c>
      <c r="I250" s="886" t="s">
        <v>311</v>
      </c>
      <c r="J250" s="886" t="s">
        <v>2487</v>
      </c>
      <c r="K250" s="887" t="s">
        <v>618</v>
      </c>
      <c r="L250" s="888" t="s">
        <v>404</v>
      </c>
      <c r="M250" s="952" t="s">
        <v>2478</v>
      </c>
      <c r="N250" s="952" t="s">
        <v>1702</v>
      </c>
      <c r="O250" s="1066" t="s">
        <v>3721</v>
      </c>
      <c r="P250" s="504" t="s">
        <v>9</v>
      </c>
      <c r="Q250" s="287"/>
      <c r="R250" s="168"/>
      <c r="S250" s="380"/>
      <c r="T250" s="473" t="s">
        <v>2256</v>
      </c>
      <c r="U250" s="473" t="s">
        <v>2374</v>
      </c>
      <c r="W250" s="418" t="s">
        <v>2395</v>
      </c>
      <c r="X250" s="418" t="s">
        <v>3137</v>
      </c>
      <c r="Z250" s="418"/>
      <c r="AA250" s="157"/>
      <c r="AB250" s="157"/>
      <c r="AC250" s="809"/>
      <c r="AD250" s="481"/>
      <c r="AE250" s="157"/>
      <c r="AF250" s="157"/>
      <c r="AG250" s="157"/>
      <c r="AH250" s="157"/>
      <c r="AI250" s="157"/>
      <c r="AJ250" s="157"/>
      <c r="AK250" s="157"/>
    </row>
    <row r="251" spans="2:37" ht="10.5" customHeight="1">
      <c r="B251" s="279"/>
      <c r="C251" s="369" t="s">
        <v>2164</v>
      </c>
      <c r="D251" s="426"/>
      <c r="E251" s="279"/>
      <c r="F251" s="506"/>
      <c r="G251" s="885" t="s">
        <v>312</v>
      </c>
      <c r="H251" s="885" t="s">
        <v>1262</v>
      </c>
      <c r="I251" s="886" t="s">
        <v>313</v>
      </c>
      <c r="J251" s="886" t="s">
        <v>2487</v>
      </c>
      <c r="K251" s="887" t="s">
        <v>619</v>
      </c>
      <c r="L251" s="888" t="s">
        <v>404</v>
      </c>
      <c r="M251" s="952" t="s">
        <v>2478</v>
      </c>
      <c r="N251" s="952" t="s">
        <v>1159</v>
      </c>
      <c r="O251" s="1066" t="s">
        <v>3722</v>
      </c>
      <c r="P251" s="504" t="s">
        <v>51</v>
      </c>
      <c r="Q251" s="287"/>
      <c r="R251" s="168"/>
      <c r="S251" s="380"/>
      <c r="T251" s="473" t="s">
        <v>8</v>
      </c>
      <c r="U251" s="473" t="s">
        <v>636</v>
      </c>
      <c r="W251" s="418" t="s">
        <v>435</v>
      </c>
      <c r="X251" s="418" t="s">
        <v>3137</v>
      </c>
      <c r="Z251" s="418"/>
      <c r="AA251" s="157"/>
      <c r="AB251" s="157"/>
      <c r="AC251" s="809"/>
      <c r="AD251" s="481"/>
      <c r="AE251" s="157"/>
      <c r="AF251" s="157"/>
      <c r="AG251" s="157"/>
      <c r="AH251" s="157"/>
      <c r="AI251" s="157"/>
      <c r="AJ251" s="157"/>
      <c r="AK251" s="157"/>
    </row>
    <row r="252" spans="2:37" ht="10.5" customHeight="1">
      <c r="B252" s="279"/>
      <c r="C252" s="370" t="s">
        <v>1277</v>
      </c>
      <c r="D252" s="426"/>
      <c r="E252" s="279"/>
      <c r="F252" s="506"/>
      <c r="G252" s="885" t="s">
        <v>314</v>
      </c>
      <c r="H252" s="885" t="s">
        <v>1262</v>
      </c>
      <c r="I252" s="889" t="s">
        <v>734</v>
      </c>
      <c r="J252" s="889" t="s">
        <v>2488</v>
      </c>
      <c r="K252" s="887" t="s">
        <v>2456</v>
      </c>
      <c r="L252" s="888" t="s">
        <v>405</v>
      </c>
      <c r="M252" s="951" t="s">
        <v>1150</v>
      </c>
      <c r="N252" s="951" t="s">
        <v>1159</v>
      </c>
      <c r="O252" s="1066" t="s">
        <v>3723</v>
      </c>
      <c r="P252" s="504" t="s">
        <v>53</v>
      </c>
      <c r="Q252" s="287"/>
      <c r="R252" s="168"/>
      <c r="S252" s="380"/>
      <c r="T252" s="473" t="s">
        <v>10</v>
      </c>
      <c r="U252" s="473" t="s">
        <v>303</v>
      </c>
      <c r="W252" s="418" t="s">
        <v>290</v>
      </c>
      <c r="X252" s="418" t="s">
        <v>3137</v>
      </c>
      <c r="Z252" s="418"/>
      <c r="AA252" s="157"/>
      <c r="AB252" s="157"/>
      <c r="AC252" s="809"/>
      <c r="AD252" s="481"/>
      <c r="AE252" s="157"/>
      <c r="AF252" s="157"/>
      <c r="AG252" s="157"/>
      <c r="AH252" s="157"/>
      <c r="AI252" s="157"/>
      <c r="AJ252" s="157"/>
      <c r="AK252" s="157"/>
    </row>
    <row r="253" spans="2:37" ht="10.5" customHeight="1">
      <c r="B253" s="279"/>
      <c r="C253" s="370" t="s">
        <v>2071</v>
      </c>
      <c r="D253" s="426"/>
      <c r="E253" s="279"/>
      <c r="F253" s="506"/>
      <c r="G253" s="885" t="s">
        <v>315</v>
      </c>
      <c r="H253" s="885" t="s">
        <v>1165</v>
      </c>
      <c r="I253" s="886" t="s">
        <v>316</v>
      </c>
      <c r="J253" s="886" t="s">
        <v>2487</v>
      </c>
      <c r="K253" s="887" t="s">
        <v>620</v>
      </c>
      <c r="L253" s="888" t="s">
        <v>404</v>
      </c>
      <c r="M253" s="952" t="s">
        <v>2478</v>
      </c>
      <c r="N253" s="952" t="s">
        <v>1620</v>
      </c>
      <c r="O253" s="1066" t="s">
        <v>3724</v>
      </c>
      <c r="P253" s="504" t="s">
        <v>55</v>
      </c>
      <c r="Q253" s="287"/>
      <c r="R253" s="168"/>
      <c r="S253" s="380"/>
      <c r="T253" s="473" t="s">
        <v>52</v>
      </c>
      <c r="U253" s="473" t="s">
        <v>2463</v>
      </c>
      <c r="W253" s="418" t="s">
        <v>1739</v>
      </c>
      <c r="X253" s="418" t="s">
        <v>3137</v>
      </c>
      <c r="Z253" s="418"/>
      <c r="AA253" s="157"/>
      <c r="AB253" s="157"/>
      <c r="AC253" s="809"/>
      <c r="AD253" s="481"/>
      <c r="AE253" s="157"/>
      <c r="AF253" s="157"/>
      <c r="AG253" s="157"/>
      <c r="AH253" s="157"/>
      <c r="AI253" s="157"/>
      <c r="AJ253" s="157"/>
      <c r="AK253" s="157"/>
    </row>
    <row r="254" spans="2:37" ht="10.5" customHeight="1">
      <c r="B254" s="279"/>
      <c r="C254" s="370" t="s">
        <v>2073</v>
      </c>
      <c r="D254" s="426"/>
      <c r="E254" s="279"/>
      <c r="F254" s="506"/>
      <c r="G254" s="885" t="s">
        <v>317</v>
      </c>
      <c r="H254" s="885" t="s">
        <v>1165</v>
      </c>
      <c r="I254" s="886" t="s">
        <v>318</v>
      </c>
      <c r="J254" s="886" t="s">
        <v>2487</v>
      </c>
      <c r="K254" s="887" t="s">
        <v>253</v>
      </c>
      <c r="L254" s="888" t="s">
        <v>404</v>
      </c>
      <c r="M254" s="952" t="s">
        <v>2478</v>
      </c>
      <c r="N254" s="952" t="s">
        <v>1281</v>
      </c>
      <c r="O254" s="1066" t="s">
        <v>3725</v>
      </c>
      <c r="P254" s="504" t="s">
        <v>339</v>
      </c>
      <c r="Q254" s="287"/>
      <c r="R254" s="168"/>
      <c r="S254" s="380"/>
      <c r="T254" s="473" t="s">
        <v>54</v>
      </c>
      <c r="U254" s="473" t="s">
        <v>345</v>
      </c>
      <c r="W254" s="418" t="s">
        <v>1741</v>
      </c>
      <c r="X254" s="418" t="s">
        <v>3137</v>
      </c>
      <c r="Z254" s="418"/>
      <c r="AA254" s="157"/>
      <c r="AB254" s="157"/>
      <c r="AC254" s="809"/>
      <c r="AD254" s="481"/>
      <c r="AE254" s="157"/>
      <c r="AF254" s="157"/>
      <c r="AG254" s="157"/>
      <c r="AH254" s="157"/>
      <c r="AI254" s="157"/>
      <c r="AJ254" s="157"/>
      <c r="AK254" s="157"/>
    </row>
    <row r="255" spans="2:37" ht="10.5" customHeight="1">
      <c r="B255" s="279"/>
      <c r="C255" s="370" t="s">
        <v>2075</v>
      </c>
      <c r="D255" s="426"/>
      <c r="E255" s="279"/>
      <c r="F255" s="506"/>
      <c r="G255" s="885" t="s">
        <v>319</v>
      </c>
      <c r="H255" s="885" t="s">
        <v>1165</v>
      </c>
      <c r="I255" s="886" t="s">
        <v>320</v>
      </c>
      <c r="J255" s="886" t="s">
        <v>2487</v>
      </c>
      <c r="K255" s="887" t="s">
        <v>254</v>
      </c>
      <c r="L255" s="888" t="s">
        <v>404</v>
      </c>
      <c r="M255" s="952" t="s">
        <v>2478</v>
      </c>
      <c r="N255" s="952" t="s">
        <v>1281</v>
      </c>
      <c r="O255" s="1066" t="s">
        <v>3726</v>
      </c>
      <c r="P255" s="504" t="s">
        <v>341</v>
      </c>
      <c r="Q255" s="287"/>
      <c r="R255" s="168"/>
      <c r="S255" s="380"/>
      <c r="T255" s="473" t="s">
        <v>56</v>
      </c>
      <c r="U255" s="473" t="s">
        <v>114</v>
      </c>
      <c r="W255" s="418" t="s">
        <v>1805</v>
      </c>
      <c r="X255" s="418" t="s">
        <v>3137</v>
      </c>
      <c r="Z255" s="418"/>
      <c r="AA255" s="157"/>
      <c r="AB255" s="157"/>
      <c r="AC255" s="809"/>
      <c r="AD255" s="481"/>
      <c r="AE255" s="157"/>
      <c r="AF255" s="157"/>
      <c r="AG255" s="157"/>
      <c r="AH255" s="157"/>
      <c r="AI255" s="157"/>
      <c r="AJ255" s="157"/>
      <c r="AK255" s="157"/>
    </row>
    <row r="256" spans="2:37" ht="10.5" customHeight="1">
      <c r="B256" s="279"/>
      <c r="C256" s="370" t="s">
        <v>2078</v>
      </c>
      <c r="D256" s="426"/>
      <c r="E256" s="279"/>
      <c r="F256" s="506"/>
      <c r="G256" s="885" t="s">
        <v>321</v>
      </c>
      <c r="H256" s="885" t="s">
        <v>1165</v>
      </c>
      <c r="I256" s="886" t="s">
        <v>322</v>
      </c>
      <c r="J256" s="886" t="s">
        <v>2487</v>
      </c>
      <c r="K256" s="887" t="s">
        <v>255</v>
      </c>
      <c r="L256" s="888" t="s">
        <v>404</v>
      </c>
      <c r="M256" s="952" t="s">
        <v>2478</v>
      </c>
      <c r="N256" s="952" t="s">
        <v>1271</v>
      </c>
      <c r="O256" s="1066" t="s">
        <v>3727</v>
      </c>
      <c r="P256" s="504" t="s">
        <v>343</v>
      </c>
      <c r="Q256" s="287"/>
      <c r="R256" s="168"/>
      <c r="S256" s="380"/>
      <c r="T256" s="473" t="s">
        <v>340</v>
      </c>
      <c r="U256" s="473" t="s">
        <v>2089</v>
      </c>
      <c r="W256" s="418" t="s">
        <v>2141</v>
      </c>
      <c r="X256" s="418" t="s">
        <v>3137</v>
      </c>
      <c r="Z256" s="418"/>
      <c r="AA256" s="157"/>
      <c r="AB256" s="157"/>
      <c r="AC256" s="809"/>
      <c r="AD256" s="481"/>
      <c r="AE256" s="157"/>
      <c r="AF256" s="157"/>
      <c r="AG256" s="157"/>
      <c r="AH256" s="157"/>
      <c r="AI256" s="157"/>
      <c r="AJ256" s="157"/>
      <c r="AK256" s="157"/>
    </row>
    <row r="257" spans="2:37" ht="10.5" customHeight="1">
      <c r="B257" s="279"/>
      <c r="C257" s="369" t="s">
        <v>2080</v>
      </c>
      <c r="D257" s="426"/>
      <c r="E257" s="279"/>
      <c r="F257" s="506"/>
      <c r="G257" s="885" t="s">
        <v>409</v>
      </c>
      <c r="H257" s="885" t="s">
        <v>1165</v>
      </c>
      <c r="I257" s="889" t="s">
        <v>1271</v>
      </c>
      <c r="J257" s="889" t="s">
        <v>2488</v>
      </c>
      <c r="K257" s="887" t="s">
        <v>2459</v>
      </c>
      <c r="L257" s="888" t="s">
        <v>405</v>
      </c>
      <c r="M257" s="951" t="s">
        <v>2478</v>
      </c>
      <c r="N257" s="951" t="s">
        <v>1271</v>
      </c>
      <c r="O257" s="1066" t="s">
        <v>3728</v>
      </c>
      <c r="P257" s="504" t="s">
        <v>2185</v>
      </c>
      <c r="Q257" s="287"/>
      <c r="R257" s="168"/>
      <c r="S257" s="380"/>
      <c r="T257" s="473" t="s">
        <v>342</v>
      </c>
      <c r="U257" s="473" t="s">
        <v>917</v>
      </c>
      <c r="W257" s="418" t="s">
        <v>401</v>
      </c>
      <c r="X257" s="418" t="s">
        <v>3137</v>
      </c>
      <c r="Z257" s="418"/>
      <c r="AA257" s="157"/>
      <c r="AB257" s="157"/>
      <c r="AC257" s="809"/>
      <c r="AD257" s="481"/>
      <c r="AE257" s="157"/>
      <c r="AF257" s="157"/>
      <c r="AG257" s="157"/>
      <c r="AH257" s="157"/>
      <c r="AI257" s="157"/>
      <c r="AJ257" s="157"/>
      <c r="AK257" s="157"/>
    </row>
    <row r="258" spans="2:37" ht="10.5" customHeight="1">
      <c r="B258" s="279"/>
      <c r="C258" s="369" t="s">
        <v>2082</v>
      </c>
      <c r="D258" s="426"/>
      <c r="E258" s="279"/>
      <c r="F258" s="506"/>
      <c r="G258" s="885" t="s">
        <v>410</v>
      </c>
      <c r="H258" s="885" t="s">
        <v>1262</v>
      </c>
      <c r="I258" s="889" t="s">
        <v>737</v>
      </c>
      <c r="J258" s="889" t="s">
        <v>2488</v>
      </c>
      <c r="K258" s="887" t="s">
        <v>256</v>
      </c>
      <c r="L258" s="888" t="s">
        <v>405</v>
      </c>
      <c r="M258" s="951" t="s">
        <v>2478</v>
      </c>
      <c r="N258" s="951" t="s">
        <v>1159</v>
      </c>
      <c r="O258" s="1066" t="s">
        <v>3729</v>
      </c>
      <c r="P258" s="504" t="s">
        <v>2187</v>
      </c>
      <c r="Q258" s="287"/>
      <c r="R258" s="168"/>
      <c r="S258" s="380"/>
      <c r="T258" s="473" t="s">
        <v>344</v>
      </c>
      <c r="U258" s="473" t="s">
        <v>1051</v>
      </c>
      <c r="W258" s="418" t="s">
        <v>2177</v>
      </c>
      <c r="X258" s="418" t="s">
        <v>3137</v>
      </c>
      <c r="Z258" s="418"/>
      <c r="AA258" s="157"/>
      <c r="AB258" s="157"/>
      <c r="AC258" s="809"/>
      <c r="AD258" s="481"/>
      <c r="AE258" s="157"/>
      <c r="AF258" s="157"/>
      <c r="AG258" s="157"/>
      <c r="AH258" s="157"/>
      <c r="AI258" s="157"/>
      <c r="AJ258" s="157"/>
      <c r="AK258" s="157"/>
    </row>
    <row r="259" spans="2:37" ht="10.5" customHeight="1">
      <c r="B259" s="279"/>
      <c r="C259" s="370" t="s">
        <v>2084</v>
      </c>
      <c r="D259" s="426"/>
      <c r="E259" s="279"/>
      <c r="F259" s="506"/>
      <c r="G259" s="885" t="s">
        <v>1396</v>
      </c>
      <c r="H259" s="885" t="s">
        <v>1165</v>
      </c>
      <c r="I259" s="886" t="s">
        <v>1620</v>
      </c>
      <c r="J259" s="886" t="s">
        <v>2488</v>
      </c>
      <c r="K259" s="887" t="s">
        <v>2462</v>
      </c>
      <c r="L259" s="888" t="s">
        <v>405</v>
      </c>
      <c r="M259" s="951" t="s">
        <v>2478</v>
      </c>
      <c r="N259" s="951" t="s">
        <v>1620</v>
      </c>
      <c r="O259" s="1066" t="s">
        <v>3730</v>
      </c>
      <c r="P259" s="504" t="s">
        <v>2188</v>
      </c>
      <c r="Q259" s="287"/>
      <c r="R259" s="168"/>
      <c r="S259" s="380"/>
      <c r="T259" s="473" t="s">
        <v>600</v>
      </c>
      <c r="U259" s="473" t="s">
        <v>1397</v>
      </c>
      <c r="W259" s="418" t="s">
        <v>3127</v>
      </c>
      <c r="X259" s="418" t="s">
        <v>3137</v>
      </c>
      <c r="Z259" s="418"/>
      <c r="AA259" s="157"/>
      <c r="AB259" s="157"/>
      <c r="AC259" s="809"/>
      <c r="AD259" s="481"/>
      <c r="AE259" s="157"/>
      <c r="AF259" s="157"/>
      <c r="AG259" s="157"/>
      <c r="AH259" s="157"/>
      <c r="AI259" s="157"/>
      <c r="AJ259" s="157"/>
      <c r="AK259" s="157"/>
    </row>
    <row r="260" spans="2:37" ht="10.5" customHeight="1">
      <c r="B260" s="279"/>
      <c r="C260" s="370" t="s">
        <v>2086</v>
      </c>
      <c r="D260" s="426"/>
      <c r="E260" s="279"/>
      <c r="F260" s="506"/>
      <c r="G260" s="885" t="s">
        <v>1397</v>
      </c>
      <c r="H260" s="885" t="s">
        <v>1165</v>
      </c>
      <c r="I260" s="886" t="s">
        <v>1398</v>
      </c>
      <c r="J260" s="886" t="s">
        <v>2487</v>
      </c>
      <c r="K260" s="887" t="s">
        <v>257</v>
      </c>
      <c r="L260" s="888" t="s">
        <v>404</v>
      </c>
      <c r="M260" s="952" t="s">
        <v>2478</v>
      </c>
      <c r="N260" s="952" t="s">
        <v>1271</v>
      </c>
      <c r="O260" s="1066" t="s">
        <v>3731</v>
      </c>
      <c r="P260" s="504" t="s">
        <v>2189</v>
      </c>
      <c r="Q260" s="287"/>
      <c r="R260" s="168"/>
      <c r="S260" s="380"/>
      <c r="T260" s="473" t="s">
        <v>2186</v>
      </c>
      <c r="U260" s="473" t="s">
        <v>639</v>
      </c>
      <c r="W260" s="418" t="s">
        <v>644</v>
      </c>
      <c r="X260" s="418" t="s">
        <v>3137</v>
      </c>
      <c r="Z260" s="418"/>
      <c r="AA260" s="157"/>
      <c r="AB260" s="157"/>
      <c r="AC260" s="809"/>
      <c r="AD260" s="481"/>
      <c r="AE260" s="157"/>
      <c r="AF260" s="157"/>
      <c r="AG260" s="157"/>
      <c r="AH260" s="157"/>
      <c r="AI260" s="157"/>
      <c r="AJ260" s="157"/>
      <c r="AK260" s="157"/>
    </row>
    <row r="261" spans="2:37" ht="10.5" customHeight="1">
      <c r="B261" s="279"/>
      <c r="C261" s="370" t="s">
        <v>2088</v>
      </c>
      <c r="D261" s="426"/>
      <c r="E261" s="279"/>
      <c r="F261" s="506"/>
      <c r="G261" s="885" t="s">
        <v>1399</v>
      </c>
      <c r="H261" s="885" t="s">
        <v>1165</v>
      </c>
      <c r="I261" s="889" t="s">
        <v>1702</v>
      </c>
      <c r="J261" s="889" t="s">
        <v>2488</v>
      </c>
      <c r="K261" s="887" t="s">
        <v>1119</v>
      </c>
      <c r="L261" s="888" t="s">
        <v>405</v>
      </c>
      <c r="M261" s="951" t="s">
        <v>2478</v>
      </c>
      <c r="N261" s="951" t="s">
        <v>1702</v>
      </c>
      <c r="O261" s="1066" t="s">
        <v>3732</v>
      </c>
      <c r="P261" s="504" t="s">
        <v>1495</v>
      </c>
      <c r="Q261" s="287"/>
      <c r="R261" s="168"/>
      <c r="S261" s="380"/>
      <c r="T261" s="473" t="s">
        <v>1283</v>
      </c>
      <c r="U261" s="473" t="s">
        <v>637</v>
      </c>
      <c r="W261" s="418" t="s">
        <v>2280</v>
      </c>
      <c r="X261" s="418" t="s">
        <v>3137</v>
      </c>
      <c r="Z261" s="418"/>
      <c r="AA261" s="157"/>
      <c r="AB261" s="157"/>
      <c r="AC261" s="809"/>
      <c r="AD261" s="481"/>
      <c r="AE261" s="157"/>
      <c r="AF261" s="157"/>
      <c r="AG261" s="157"/>
      <c r="AH261" s="157"/>
      <c r="AI261" s="157"/>
      <c r="AJ261" s="157"/>
      <c r="AK261" s="157"/>
    </row>
    <row r="262" spans="2:37" ht="10.5" customHeight="1">
      <c r="B262" s="279"/>
      <c r="C262" s="370" t="s">
        <v>836</v>
      </c>
      <c r="D262" s="426"/>
      <c r="E262" s="279"/>
      <c r="F262" s="506"/>
      <c r="G262" s="885" t="s">
        <v>1400</v>
      </c>
      <c r="H262" s="885" t="s">
        <v>1165</v>
      </c>
      <c r="I262" s="886" t="s">
        <v>738</v>
      </c>
      <c r="J262" s="886" t="s">
        <v>2488</v>
      </c>
      <c r="K262" s="887" t="s">
        <v>258</v>
      </c>
      <c r="L262" s="888" t="s">
        <v>405</v>
      </c>
      <c r="M262" s="952" t="s">
        <v>1150</v>
      </c>
      <c r="N262" s="952" t="s">
        <v>1277</v>
      </c>
      <c r="O262" s="1066" t="s">
        <v>3733</v>
      </c>
      <c r="P262" s="504" t="s">
        <v>1497</v>
      </c>
      <c r="Q262" s="287"/>
      <c r="R262" s="168"/>
      <c r="S262" s="380"/>
      <c r="T262" s="473" t="s">
        <v>2640</v>
      </c>
      <c r="U262" s="473" t="s">
        <v>639</v>
      </c>
      <c r="W262" s="418" t="s">
        <v>211</v>
      </c>
      <c r="X262" s="418" t="s">
        <v>3137</v>
      </c>
      <c r="Z262" s="418"/>
      <c r="AA262" s="157"/>
      <c r="AB262" s="157"/>
      <c r="AC262" s="809"/>
      <c r="AD262" s="481"/>
      <c r="AE262" s="157"/>
      <c r="AF262" s="157"/>
      <c r="AG262" s="157"/>
      <c r="AH262" s="157"/>
      <c r="AI262" s="157"/>
      <c r="AJ262" s="157"/>
      <c r="AK262" s="157"/>
    </row>
    <row r="263" spans="2:37" ht="10.5" customHeight="1">
      <c r="B263" s="279"/>
      <c r="C263" s="370" t="s">
        <v>838</v>
      </c>
      <c r="D263" s="426"/>
      <c r="E263" s="279"/>
      <c r="F263" s="506"/>
      <c r="G263" s="885" t="s">
        <v>1401</v>
      </c>
      <c r="H263" s="885" t="s">
        <v>1262</v>
      </c>
      <c r="I263" s="886" t="s">
        <v>1402</v>
      </c>
      <c r="J263" s="886" t="s">
        <v>2488</v>
      </c>
      <c r="K263" s="887" t="s">
        <v>3365</v>
      </c>
      <c r="L263" s="888" t="s">
        <v>405</v>
      </c>
      <c r="M263" s="952" t="s">
        <v>2478</v>
      </c>
      <c r="N263" s="952" t="s">
        <v>1281</v>
      </c>
      <c r="O263" s="1066" t="s">
        <v>3734</v>
      </c>
      <c r="P263" s="504" t="s">
        <v>1499</v>
      </c>
      <c r="Q263" s="287"/>
      <c r="R263" s="168"/>
      <c r="S263" s="380"/>
      <c r="T263" s="473" t="s">
        <v>2190</v>
      </c>
      <c r="U263" s="473" t="s">
        <v>97</v>
      </c>
      <c r="W263" s="418" t="s">
        <v>629</v>
      </c>
      <c r="X263" s="418" t="s">
        <v>3137</v>
      </c>
      <c r="Z263" s="418"/>
      <c r="AA263" s="157"/>
      <c r="AB263" s="157"/>
      <c r="AC263" s="809"/>
      <c r="AD263" s="481"/>
      <c r="AE263" s="157"/>
      <c r="AF263" s="157"/>
      <c r="AG263" s="157"/>
      <c r="AH263" s="157"/>
      <c r="AI263" s="157"/>
      <c r="AJ263" s="157"/>
      <c r="AK263" s="157"/>
    </row>
    <row r="264" spans="2:37" ht="10.5" customHeight="1">
      <c r="B264" s="279"/>
      <c r="C264" s="370" t="s">
        <v>1594</v>
      </c>
      <c r="D264" s="426"/>
      <c r="E264" s="279"/>
      <c r="F264" s="506"/>
      <c r="G264" s="885" t="s">
        <v>1403</v>
      </c>
      <c r="H264" s="885" t="s">
        <v>1165</v>
      </c>
      <c r="I264" s="886" t="s">
        <v>1404</v>
      </c>
      <c r="J264" s="886" t="s">
        <v>2488</v>
      </c>
      <c r="K264" s="887" t="s">
        <v>663</v>
      </c>
      <c r="L264" s="888" t="s">
        <v>405</v>
      </c>
      <c r="M264" s="951" t="s">
        <v>2478</v>
      </c>
      <c r="N264" s="951" t="s">
        <v>1277</v>
      </c>
      <c r="O264" s="1066" t="s">
        <v>3735</v>
      </c>
      <c r="P264" s="504" t="s">
        <v>1501</v>
      </c>
      <c r="Q264" s="287"/>
      <c r="R264" s="168"/>
      <c r="S264" s="380"/>
      <c r="T264" s="473" t="s">
        <v>1496</v>
      </c>
      <c r="U264" s="473" t="s">
        <v>1567</v>
      </c>
      <c r="W264" s="418" t="s">
        <v>223</v>
      </c>
      <c r="X264" s="418" t="s">
        <v>3137</v>
      </c>
      <c r="Z264" s="418"/>
      <c r="AA264" s="157"/>
      <c r="AB264" s="157"/>
      <c r="AC264" s="809"/>
      <c r="AD264" s="481"/>
      <c r="AE264" s="157"/>
      <c r="AF264" s="157"/>
      <c r="AG264" s="157"/>
      <c r="AH264" s="157"/>
      <c r="AI264" s="157"/>
      <c r="AJ264" s="157"/>
      <c r="AK264" s="157"/>
    </row>
    <row r="265" spans="2:37" ht="10.5" customHeight="1">
      <c r="B265" s="279"/>
      <c r="C265" s="370" t="s">
        <v>1818</v>
      </c>
      <c r="D265" s="426"/>
      <c r="E265" s="279"/>
      <c r="F265" s="506"/>
      <c r="G265" s="885" t="s">
        <v>167</v>
      </c>
      <c r="H265" s="885" t="s">
        <v>1165</v>
      </c>
      <c r="I265" s="886" t="s">
        <v>1620</v>
      </c>
      <c r="J265" s="886" t="s">
        <v>2488</v>
      </c>
      <c r="K265" s="887" t="s">
        <v>2462</v>
      </c>
      <c r="L265" s="888" t="s">
        <v>405</v>
      </c>
      <c r="M265" s="952" t="s">
        <v>1150</v>
      </c>
      <c r="N265" s="952" t="s">
        <v>1620</v>
      </c>
      <c r="O265" s="1066" t="s">
        <v>3736</v>
      </c>
      <c r="P265" s="504" t="s">
        <v>1503</v>
      </c>
      <c r="Q265" s="287"/>
      <c r="R265" s="168"/>
      <c r="S265" s="380"/>
      <c r="T265" s="473" t="s">
        <v>2444</v>
      </c>
      <c r="U265" s="473" t="s">
        <v>598</v>
      </c>
      <c r="W265" s="418" t="s">
        <v>630</v>
      </c>
      <c r="X265" s="418" t="s">
        <v>3137</v>
      </c>
      <c r="Z265" s="418"/>
      <c r="AA265" s="157"/>
      <c r="AB265" s="157"/>
      <c r="AC265" s="809"/>
      <c r="AD265" s="481"/>
      <c r="AE265" s="157"/>
      <c r="AF265" s="157"/>
      <c r="AG265" s="157"/>
      <c r="AH265" s="157"/>
      <c r="AI265" s="157"/>
      <c r="AJ265" s="157"/>
      <c r="AK265" s="157"/>
    </row>
    <row r="266" spans="2:37" ht="10.5" customHeight="1">
      <c r="B266" s="279"/>
      <c r="C266" s="369" t="s">
        <v>1820</v>
      </c>
      <c r="D266" s="426"/>
      <c r="E266" s="279"/>
      <c r="F266" s="506"/>
      <c r="G266" s="885" t="s">
        <v>168</v>
      </c>
      <c r="H266" s="885" t="s">
        <v>1262</v>
      </c>
      <c r="I266" s="889" t="s">
        <v>169</v>
      </c>
      <c r="J266" s="889" t="s">
        <v>2487</v>
      </c>
      <c r="K266" s="887" t="s">
        <v>664</v>
      </c>
      <c r="L266" s="888" t="s">
        <v>404</v>
      </c>
      <c r="M266" s="952" t="s">
        <v>2478</v>
      </c>
      <c r="N266" s="952" t="s">
        <v>1159</v>
      </c>
      <c r="O266" s="1066" t="s">
        <v>3737</v>
      </c>
      <c r="P266" s="504" t="s">
        <v>1663</v>
      </c>
      <c r="Q266" s="287"/>
      <c r="R266" s="168"/>
      <c r="S266" s="380"/>
      <c r="T266" s="473" t="s">
        <v>1498</v>
      </c>
      <c r="U266" s="473" t="s">
        <v>630</v>
      </c>
      <c r="W266" s="418" t="s">
        <v>755</v>
      </c>
      <c r="X266" s="418" t="s">
        <v>3137</v>
      </c>
      <c r="Z266" s="418"/>
      <c r="AA266" s="157"/>
      <c r="AB266" s="157"/>
      <c r="AC266" s="809"/>
      <c r="AD266" s="481"/>
      <c r="AE266" s="157"/>
      <c r="AF266" s="157"/>
      <c r="AG266" s="157"/>
      <c r="AH266" s="157"/>
      <c r="AI266" s="157"/>
      <c r="AJ266" s="157"/>
      <c r="AK266" s="157"/>
    </row>
    <row r="267" spans="2:37" ht="10.5" customHeight="1">
      <c r="B267" s="279"/>
      <c r="C267" s="369" t="s">
        <v>1822</v>
      </c>
      <c r="D267" s="426"/>
      <c r="E267" s="279"/>
      <c r="F267" s="506"/>
      <c r="G267" s="885" t="s">
        <v>1271</v>
      </c>
      <c r="H267" s="885" t="s">
        <v>1165</v>
      </c>
      <c r="I267" s="886" t="s">
        <v>170</v>
      </c>
      <c r="J267" s="886" t="s">
        <v>2487</v>
      </c>
      <c r="K267" s="887" t="s">
        <v>665</v>
      </c>
      <c r="L267" s="888" t="s">
        <v>404</v>
      </c>
      <c r="M267" s="952" t="s">
        <v>2478</v>
      </c>
      <c r="N267" s="952" t="s">
        <v>1271</v>
      </c>
      <c r="O267" s="1066" t="s">
        <v>3738</v>
      </c>
      <c r="P267" s="504" t="s">
        <v>1665</v>
      </c>
      <c r="Q267" s="287"/>
      <c r="R267" s="168"/>
      <c r="S267" s="380"/>
      <c r="T267" s="473" t="s">
        <v>2641</v>
      </c>
      <c r="U267" s="473" t="s">
        <v>2139</v>
      </c>
      <c r="W267" s="418" t="s">
        <v>3128</v>
      </c>
      <c r="X267" s="418" t="s">
        <v>3137</v>
      </c>
      <c r="Z267" s="418"/>
      <c r="AA267" s="157"/>
      <c r="AB267" s="157"/>
      <c r="AC267" s="809"/>
      <c r="AD267" s="481"/>
      <c r="AE267" s="157"/>
      <c r="AF267" s="157"/>
      <c r="AG267" s="157"/>
      <c r="AH267" s="157"/>
      <c r="AI267" s="157"/>
      <c r="AJ267" s="157"/>
      <c r="AK267" s="157"/>
    </row>
    <row r="268" spans="2:37" ht="10.5" customHeight="1">
      <c r="B268" s="279"/>
      <c r="C268" s="369" t="s">
        <v>1824</v>
      </c>
      <c r="D268" s="426"/>
      <c r="E268" s="279"/>
      <c r="F268" s="506"/>
      <c r="G268" s="885" t="s">
        <v>171</v>
      </c>
      <c r="H268" s="885" t="s">
        <v>1262</v>
      </c>
      <c r="I268" s="886" t="s">
        <v>1950</v>
      </c>
      <c r="J268" s="886" t="s">
        <v>2488</v>
      </c>
      <c r="K268" s="887" t="s">
        <v>590</v>
      </c>
      <c r="L268" s="888" t="s">
        <v>405</v>
      </c>
      <c r="M268" s="951" t="s">
        <v>2478</v>
      </c>
      <c r="N268" s="951" t="s">
        <v>158</v>
      </c>
      <c r="O268" s="1066" t="s">
        <v>3739</v>
      </c>
      <c r="P268" s="504" t="s">
        <v>1667</v>
      </c>
      <c r="Q268" s="287"/>
      <c r="R268" s="168"/>
      <c r="S268" s="380"/>
      <c r="T268" s="473" t="s">
        <v>1500</v>
      </c>
      <c r="U268" s="473" t="s">
        <v>156</v>
      </c>
      <c r="W268" s="418" t="s">
        <v>3129</v>
      </c>
      <c r="X268" s="418" t="s">
        <v>3137</v>
      </c>
      <c r="Z268" s="418"/>
      <c r="AA268" s="157"/>
      <c r="AB268" s="157"/>
      <c r="AC268" s="809"/>
      <c r="AD268" s="481"/>
      <c r="AE268" s="157"/>
      <c r="AF268" s="157"/>
      <c r="AG268" s="157"/>
      <c r="AH268" s="157"/>
      <c r="AI268" s="157"/>
      <c r="AJ268" s="157"/>
      <c r="AK268" s="157"/>
    </row>
    <row r="269" spans="2:37" ht="10.5" customHeight="1">
      <c r="B269" s="279"/>
      <c r="C269" s="369" t="s">
        <v>1826</v>
      </c>
      <c r="D269" s="426"/>
      <c r="E269" s="279"/>
      <c r="F269" s="506"/>
      <c r="G269" s="885" t="s">
        <v>345</v>
      </c>
      <c r="H269" s="885" t="s">
        <v>1165</v>
      </c>
      <c r="I269" s="889" t="s">
        <v>153</v>
      </c>
      <c r="J269" s="889" t="s">
        <v>2488</v>
      </c>
      <c r="K269" s="887" t="s">
        <v>1606</v>
      </c>
      <c r="L269" s="888" t="s">
        <v>405</v>
      </c>
      <c r="M269" s="951" t="s">
        <v>2478</v>
      </c>
      <c r="N269" s="951" t="s">
        <v>153</v>
      </c>
      <c r="O269" s="1066" t="s">
        <v>3740</v>
      </c>
      <c r="P269" s="504" t="s">
        <v>984</v>
      </c>
      <c r="Q269" s="287"/>
      <c r="R269" s="168"/>
      <c r="S269" s="380"/>
      <c r="T269" s="473" t="s">
        <v>1502</v>
      </c>
      <c r="U269" s="473" t="s">
        <v>1264</v>
      </c>
      <c r="W269" s="418" t="s">
        <v>1175</v>
      </c>
      <c r="X269" s="418" t="s">
        <v>3137</v>
      </c>
      <c r="Z269" s="418"/>
      <c r="AA269" s="157"/>
      <c r="AB269" s="157"/>
      <c r="AC269" s="809"/>
      <c r="AD269" s="481"/>
      <c r="AE269" s="157"/>
      <c r="AF269" s="157"/>
      <c r="AG269" s="157"/>
      <c r="AH269" s="157"/>
      <c r="AI269" s="157"/>
      <c r="AJ269" s="157"/>
      <c r="AK269" s="157"/>
    </row>
    <row r="270" spans="2:37" ht="10.5" customHeight="1">
      <c r="B270" s="279"/>
      <c r="C270" s="369" t="s">
        <v>1828</v>
      </c>
      <c r="D270" s="426"/>
      <c r="E270" s="279"/>
      <c r="F270" s="506"/>
      <c r="G270" s="885" t="s">
        <v>1787</v>
      </c>
      <c r="H270" s="885" t="s">
        <v>1262</v>
      </c>
      <c r="I270" s="889" t="s">
        <v>735</v>
      </c>
      <c r="J270" s="889" t="s">
        <v>2488</v>
      </c>
      <c r="K270" s="887" t="s">
        <v>2477</v>
      </c>
      <c r="L270" s="888" t="s">
        <v>405</v>
      </c>
      <c r="M270" s="951" t="s">
        <v>2478</v>
      </c>
      <c r="N270" s="951" t="s">
        <v>1281</v>
      </c>
      <c r="O270" s="1066" t="s">
        <v>3741</v>
      </c>
      <c r="P270" s="504" t="s">
        <v>985</v>
      </c>
      <c r="Q270" s="287"/>
      <c r="R270" s="168"/>
      <c r="S270" s="380"/>
      <c r="T270" s="473" t="s">
        <v>1504</v>
      </c>
      <c r="U270" s="473" t="s">
        <v>171</v>
      </c>
      <c r="W270" s="418" t="s">
        <v>650</v>
      </c>
      <c r="X270" s="418" t="s">
        <v>3137</v>
      </c>
      <c r="Z270" s="418"/>
      <c r="AA270" s="157"/>
      <c r="AB270" s="157"/>
      <c r="AC270" s="809"/>
      <c r="AD270" s="481"/>
      <c r="AE270" s="157"/>
      <c r="AF270" s="157"/>
      <c r="AG270" s="157"/>
      <c r="AH270" s="157"/>
      <c r="AI270" s="157"/>
      <c r="AJ270" s="157"/>
      <c r="AK270" s="157"/>
    </row>
    <row r="271" spans="2:37" ht="10.5" customHeight="1">
      <c r="B271" s="279"/>
      <c r="C271" s="370" t="s">
        <v>1831</v>
      </c>
      <c r="D271" s="426"/>
      <c r="E271" s="279"/>
      <c r="F271" s="506"/>
      <c r="G271" s="885" t="s">
        <v>1788</v>
      </c>
      <c r="H271" s="885" t="s">
        <v>1165</v>
      </c>
      <c r="I271" s="886" t="s">
        <v>8</v>
      </c>
      <c r="J271" s="886" t="s">
        <v>2488</v>
      </c>
      <c r="K271" s="887" t="s">
        <v>2461</v>
      </c>
      <c r="L271" s="888" t="s">
        <v>405</v>
      </c>
      <c r="M271" s="951" t="s">
        <v>2478</v>
      </c>
      <c r="N271" s="951" t="s">
        <v>1277</v>
      </c>
      <c r="O271" s="1066" t="s">
        <v>3742</v>
      </c>
      <c r="P271" s="504" t="s">
        <v>225</v>
      </c>
      <c r="Q271" s="287"/>
      <c r="R271" s="168"/>
      <c r="S271" s="380"/>
      <c r="T271" s="473" t="s">
        <v>1664</v>
      </c>
      <c r="U271" s="473" t="s">
        <v>630</v>
      </c>
      <c r="W271" s="418" t="s">
        <v>637</v>
      </c>
      <c r="X271" s="418" t="s">
        <v>3137</v>
      </c>
      <c r="Z271" s="418"/>
      <c r="AA271" s="157"/>
      <c r="AB271" s="157"/>
      <c r="AC271" s="809"/>
      <c r="AD271" s="481"/>
      <c r="AE271" s="157"/>
      <c r="AF271" s="157"/>
      <c r="AG271" s="157"/>
      <c r="AH271" s="157"/>
      <c r="AI271" s="157"/>
      <c r="AJ271" s="157"/>
      <c r="AK271" s="157"/>
    </row>
    <row r="272" spans="2:37" ht="10.5" customHeight="1">
      <c r="B272" s="279"/>
      <c r="C272" s="369" t="s">
        <v>1915</v>
      </c>
      <c r="D272" s="426"/>
      <c r="E272" s="279"/>
      <c r="F272" s="506"/>
      <c r="G272" s="885" t="s">
        <v>1789</v>
      </c>
      <c r="H272" s="885" t="s">
        <v>1165</v>
      </c>
      <c r="I272" s="889" t="s">
        <v>739</v>
      </c>
      <c r="J272" s="889" t="s">
        <v>2488</v>
      </c>
      <c r="K272" s="887" t="s">
        <v>666</v>
      </c>
      <c r="L272" s="888" t="s">
        <v>405</v>
      </c>
      <c r="M272" s="951" t="s">
        <v>2478</v>
      </c>
      <c r="N272" s="951" t="s">
        <v>1159</v>
      </c>
      <c r="O272" s="1066" t="s">
        <v>3743</v>
      </c>
      <c r="P272" s="504" t="s">
        <v>227</v>
      </c>
      <c r="Q272" s="287"/>
      <c r="R272" s="168"/>
      <c r="S272" s="380"/>
      <c r="T272" s="473" t="s">
        <v>1666</v>
      </c>
      <c r="U272" s="473" t="s">
        <v>703</v>
      </c>
      <c r="W272" s="418" t="s">
        <v>942</v>
      </c>
      <c r="X272" s="418" t="s">
        <v>3137</v>
      </c>
      <c r="Z272" s="418"/>
      <c r="AA272" s="157"/>
      <c r="AB272" s="157"/>
      <c r="AC272" s="809"/>
      <c r="AD272" s="481"/>
      <c r="AE272" s="157"/>
      <c r="AF272" s="157"/>
      <c r="AG272" s="157"/>
      <c r="AH272" s="157"/>
      <c r="AI272" s="157"/>
      <c r="AJ272" s="157"/>
      <c r="AK272" s="157"/>
    </row>
    <row r="273" spans="2:37" ht="10.5" customHeight="1">
      <c r="B273" s="279"/>
      <c r="C273" s="369" t="s">
        <v>1620</v>
      </c>
      <c r="D273" s="426"/>
      <c r="E273" s="279"/>
      <c r="F273" s="506"/>
      <c r="G273" s="885" t="s">
        <v>1565</v>
      </c>
      <c r="H273" s="885" t="s">
        <v>1165</v>
      </c>
      <c r="I273" s="886" t="s">
        <v>1566</v>
      </c>
      <c r="J273" s="886" t="s">
        <v>2487</v>
      </c>
      <c r="K273" s="887" t="s">
        <v>667</v>
      </c>
      <c r="L273" s="888" t="s">
        <v>404</v>
      </c>
      <c r="M273" s="952" t="s">
        <v>2478</v>
      </c>
      <c r="N273" s="952" t="s">
        <v>1702</v>
      </c>
      <c r="O273" s="1066" t="s">
        <v>3744</v>
      </c>
      <c r="P273" s="504" t="s">
        <v>1215</v>
      </c>
      <c r="Q273" s="287"/>
      <c r="R273" s="168"/>
      <c r="S273" s="380"/>
      <c r="T273" s="473" t="s">
        <v>983</v>
      </c>
      <c r="U273" s="473" t="s">
        <v>1265</v>
      </c>
      <c r="W273" s="418" t="s">
        <v>946</v>
      </c>
      <c r="X273" s="418" t="s">
        <v>3137</v>
      </c>
      <c r="Z273" s="418"/>
      <c r="AA273" s="157"/>
      <c r="AB273" s="157"/>
      <c r="AC273" s="809"/>
      <c r="AD273" s="481"/>
      <c r="AE273" s="157"/>
      <c r="AF273" s="157"/>
      <c r="AG273" s="157"/>
      <c r="AH273" s="157"/>
      <c r="AI273" s="157"/>
      <c r="AJ273" s="157"/>
      <c r="AK273" s="157"/>
    </row>
    <row r="274" spans="2:37" ht="10.5" customHeight="1">
      <c r="B274" s="279"/>
      <c r="C274" s="370" t="s">
        <v>96</v>
      </c>
      <c r="D274" s="426"/>
      <c r="E274" s="279"/>
      <c r="F274" s="506"/>
      <c r="G274" s="885" t="s">
        <v>1567</v>
      </c>
      <c r="H274" s="885" t="s">
        <v>1165</v>
      </c>
      <c r="I274" s="886" t="s">
        <v>1568</v>
      </c>
      <c r="J274" s="886" t="s">
        <v>2487</v>
      </c>
      <c r="K274" s="887" t="s">
        <v>668</v>
      </c>
      <c r="L274" s="888" t="s">
        <v>404</v>
      </c>
      <c r="M274" s="952" t="s">
        <v>2478</v>
      </c>
      <c r="N274" s="952" t="s">
        <v>1702</v>
      </c>
      <c r="O274" s="1066" t="s">
        <v>3745</v>
      </c>
      <c r="P274" s="504" t="s">
        <v>1966</v>
      </c>
      <c r="Q274" s="287"/>
      <c r="R274" s="168"/>
      <c r="S274" s="380"/>
      <c r="T274" s="473" t="s">
        <v>986</v>
      </c>
      <c r="U274" s="473" t="s">
        <v>628</v>
      </c>
      <c r="W274" s="418" t="s">
        <v>948</v>
      </c>
      <c r="X274" s="418" t="s">
        <v>3137</v>
      </c>
      <c r="Z274" s="418"/>
      <c r="AA274" s="157"/>
      <c r="AB274" s="157"/>
      <c r="AC274" s="809"/>
      <c r="AD274" s="481"/>
      <c r="AE274" s="157"/>
      <c r="AF274" s="157"/>
      <c r="AG274" s="157"/>
      <c r="AH274" s="157"/>
      <c r="AI274" s="157"/>
      <c r="AJ274" s="157"/>
      <c r="AK274" s="157"/>
    </row>
    <row r="275" spans="2:37" ht="10.5" customHeight="1">
      <c r="B275" s="279"/>
      <c r="C275" s="369" t="s">
        <v>1633</v>
      </c>
      <c r="D275" s="426"/>
      <c r="E275" s="279"/>
      <c r="F275" s="506"/>
      <c r="G275" s="885" t="s">
        <v>1569</v>
      </c>
      <c r="H275" s="885" t="s">
        <v>1262</v>
      </c>
      <c r="I275" s="889" t="s">
        <v>1949</v>
      </c>
      <c r="J275" s="889" t="s">
        <v>2488</v>
      </c>
      <c r="K275" s="887" t="s">
        <v>669</v>
      </c>
      <c r="L275" s="888" t="s">
        <v>405</v>
      </c>
      <c r="M275" s="951" t="s">
        <v>2478</v>
      </c>
      <c r="N275" s="951" t="s">
        <v>1159</v>
      </c>
      <c r="O275" s="1066" t="s">
        <v>3746</v>
      </c>
      <c r="P275" s="504" t="s">
        <v>1968</v>
      </c>
      <c r="Q275" s="287"/>
      <c r="R275" s="168"/>
      <c r="S275" s="380"/>
      <c r="T275" s="473" t="s">
        <v>226</v>
      </c>
      <c r="U275" s="473" t="s">
        <v>2410</v>
      </c>
      <c r="W275" s="418" t="s">
        <v>545</v>
      </c>
      <c r="X275" s="418" t="s">
        <v>3137</v>
      </c>
      <c r="Z275" s="418"/>
      <c r="AA275" s="157"/>
      <c r="AB275" s="157"/>
      <c r="AC275" s="809"/>
      <c r="AD275" s="481"/>
      <c r="AE275" s="157"/>
      <c r="AF275" s="157"/>
      <c r="AG275" s="157"/>
      <c r="AH275" s="157"/>
      <c r="AI275" s="157"/>
      <c r="AJ275" s="157"/>
      <c r="AK275" s="157"/>
    </row>
    <row r="276" spans="2:37" ht="10.5" customHeight="1">
      <c r="B276" s="279"/>
      <c r="C276" s="369" t="s">
        <v>98</v>
      </c>
      <c r="D276" s="426"/>
      <c r="F276" s="506"/>
      <c r="G276" s="885" t="s">
        <v>176</v>
      </c>
      <c r="H276" s="885" t="s">
        <v>1165</v>
      </c>
      <c r="I276" s="886" t="s">
        <v>177</v>
      </c>
      <c r="J276" s="886" t="s">
        <v>2487</v>
      </c>
      <c r="K276" s="887" t="s">
        <v>670</v>
      </c>
      <c r="L276" s="888" t="s">
        <v>404</v>
      </c>
      <c r="M276" s="952" t="s">
        <v>2478</v>
      </c>
      <c r="N276" s="952" t="s">
        <v>1277</v>
      </c>
      <c r="O276" s="1066" t="s">
        <v>3747</v>
      </c>
      <c r="P276" s="504" t="s">
        <v>1970</v>
      </c>
      <c r="Q276" s="287"/>
      <c r="R276" s="168"/>
      <c r="S276" s="380"/>
      <c r="T276" s="505" t="s">
        <v>2642</v>
      </c>
      <c r="U276" s="505" t="s">
        <v>840</v>
      </c>
      <c r="W276" s="418" t="s">
        <v>356</v>
      </c>
      <c r="X276" s="418" t="s">
        <v>3137</v>
      </c>
      <c r="Z276" s="418"/>
      <c r="AA276" s="157"/>
      <c r="AB276" s="157"/>
      <c r="AC276" s="809"/>
      <c r="AD276" s="481"/>
      <c r="AE276" s="157"/>
      <c r="AF276" s="157"/>
      <c r="AG276" s="157"/>
      <c r="AH276" s="157"/>
      <c r="AI276" s="157"/>
      <c r="AJ276" s="157"/>
      <c r="AK276" s="157"/>
    </row>
    <row r="277" spans="2:37" ht="10.5" customHeight="1">
      <c r="B277" s="279"/>
      <c r="C277" s="369" t="s">
        <v>100</v>
      </c>
      <c r="D277" s="426"/>
      <c r="F277" s="506"/>
      <c r="G277" s="885" t="s">
        <v>2463</v>
      </c>
      <c r="H277" s="885" t="s">
        <v>1262</v>
      </c>
      <c r="I277" s="889" t="s">
        <v>2464</v>
      </c>
      <c r="J277" s="886" t="s">
        <v>2488</v>
      </c>
      <c r="K277" s="887" t="s">
        <v>3364</v>
      </c>
      <c r="L277" s="888" t="s">
        <v>405</v>
      </c>
      <c r="M277" s="952" t="s">
        <v>2478</v>
      </c>
      <c r="N277" s="952" t="s">
        <v>1159</v>
      </c>
      <c r="O277" s="1066" t="s">
        <v>3748</v>
      </c>
      <c r="P277" s="504" t="s">
        <v>1972</v>
      </c>
      <c r="Q277" s="287"/>
      <c r="R277" s="168"/>
      <c r="S277" s="380"/>
      <c r="T277" s="473" t="s">
        <v>1678</v>
      </c>
      <c r="U277" s="473" t="s">
        <v>1057</v>
      </c>
      <c r="W277" s="418" t="s">
        <v>1529</v>
      </c>
      <c r="X277" s="418" t="s">
        <v>3137</v>
      </c>
      <c r="Z277" s="418"/>
      <c r="AA277" s="157"/>
      <c r="AB277" s="157"/>
      <c r="AC277" s="810"/>
      <c r="AD277" s="481"/>
      <c r="AE277" s="157"/>
      <c r="AF277" s="157"/>
      <c r="AG277" s="157"/>
      <c r="AH277" s="157"/>
      <c r="AI277" s="157"/>
      <c r="AJ277" s="157"/>
      <c r="AK277" s="157"/>
    </row>
    <row r="278" spans="2:37" ht="10.5" customHeight="1">
      <c r="B278" s="279"/>
      <c r="C278" s="369" t="s">
        <v>102</v>
      </c>
      <c r="D278" s="426"/>
      <c r="F278" s="506"/>
      <c r="G278" s="885" t="s">
        <v>2465</v>
      </c>
      <c r="H278" s="885" t="s">
        <v>1262</v>
      </c>
      <c r="I278" s="886" t="s">
        <v>2466</v>
      </c>
      <c r="J278" s="886" t="s">
        <v>2488</v>
      </c>
      <c r="K278" s="887" t="s">
        <v>1862</v>
      </c>
      <c r="L278" s="888" t="s">
        <v>405</v>
      </c>
      <c r="M278" s="951" t="s">
        <v>2478</v>
      </c>
      <c r="N278" s="951" t="s">
        <v>1159</v>
      </c>
      <c r="O278" s="1066" t="s">
        <v>3749</v>
      </c>
      <c r="P278" s="504" t="s">
        <v>1974</v>
      </c>
      <c r="Q278" s="287"/>
      <c r="R278" s="168"/>
      <c r="S278" s="380"/>
      <c r="T278" s="473" t="s">
        <v>1967</v>
      </c>
      <c r="U278" s="473" t="s">
        <v>309</v>
      </c>
      <c r="W278" s="418" t="s">
        <v>970</v>
      </c>
      <c r="X278" s="418" t="s">
        <v>3137</v>
      </c>
      <c r="Z278" s="418"/>
      <c r="AA278" s="157"/>
      <c r="AB278" s="157"/>
      <c r="AC278" s="809"/>
      <c r="AD278" s="481"/>
      <c r="AE278" s="157"/>
      <c r="AF278" s="157"/>
      <c r="AG278" s="157"/>
      <c r="AH278" s="157"/>
      <c r="AI278" s="157"/>
      <c r="AJ278" s="157"/>
      <c r="AK278" s="157"/>
    </row>
    <row r="279" spans="2:37" ht="10.5" customHeight="1">
      <c r="B279" s="279"/>
      <c r="C279" s="369" t="s">
        <v>104</v>
      </c>
      <c r="D279" s="426"/>
      <c r="F279" s="506"/>
      <c r="G279" s="885" t="s">
        <v>2467</v>
      </c>
      <c r="H279" s="885" t="s">
        <v>1715</v>
      </c>
      <c r="I279" s="889" t="s">
        <v>153</v>
      </c>
      <c r="J279" s="889" t="s">
        <v>2488</v>
      </c>
      <c r="K279" s="887" t="s">
        <v>1606</v>
      </c>
      <c r="L279" s="888" t="s">
        <v>405</v>
      </c>
      <c r="M279" s="952" t="s">
        <v>1150</v>
      </c>
      <c r="N279" s="952" t="s">
        <v>153</v>
      </c>
      <c r="O279" s="1066" t="s">
        <v>3750</v>
      </c>
      <c r="P279" s="504" t="s">
        <v>1976</v>
      </c>
      <c r="Q279" s="287"/>
      <c r="R279" s="168"/>
      <c r="S279" s="380"/>
      <c r="T279" s="473" t="s">
        <v>1969</v>
      </c>
      <c r="U279" s="473" t="s">
        <v>307</v>
      </c>
      <c r="W279" s="418" t="s">
        <v>972</v>
      </c>
      <c r="X279" s="418" t="s">
        <v>3137</v>
      </c>
      <c r="Z279" s="418"/>
      <c r="AA279" s="157"/>
      <c r="AB279" s="157"/>
      <c r="AC279" s="809"/>
      <c r="AD279" s="481"/>
      <c r="AE279" s="157"/>
      <c r="AF279" s="157"/>
      <c r="AG279" s="157"/>
      <c r="AH279" s="157"/>
      <c r="AI279" s="157"/>
      <c r="AJ279" s="157"/>
      <c r="AK279" s="157"/>
    </row>
    <row r="280" spans="2:37" ht="10.5" customHeight="1">
      <c r="B280" s="279"/>
      <c r="C280" s="369" t="s">
        <v>106</v>
      </c>
      <c r="D280" s="426"/>
      <c r="F280" s="506"/>
      <c r="G280" s="885" t="s">
        <v>2468</v>
      </c>
      <c r="H280" s="885" t="s">
        <v>1262</v>
      </c>
      <c r="I280" s="889" t="s">
        <v>734</v>
      </c>
      <c r="J280" s="889" t="s">
        <v>2488</v>
      </c>
      <c r="K280" s="887" t="s">
        <v>2456</v>
      </c>
      <c r="L280" s="888" t="s">
        <v>405</v>
      </c>
      <c r="M280" s="951" t="s">
        <v>1150</v>
      </c>
      <c r="N280" s="951" t="s">
        <v>1159</v>
      </c>
      <c r="O280" s="1066" t="s">
        <v>3751</v>
      </c>
      <c r="P280" s="504" t="s">
        <v>645</v>
      </c>
      <c r="Q280" s="287"/>
      <c r="R280" s="168"/>
      <c r="S280" s="380"/>
      <c r="T280" s="473" t="s">
        <v>1971</v>
      </c>
      <c r="U280" s="473" t="s">
        <v>598</v>
      </c>
      <c r="W280" s="418" t="s">
        <v>1603</v>
      </c>
      <c r="X280" s="418" t="s">
        <v>3137</v>
      </c>
      <c r="Z280" s="418"/>
      <c r="AA280" s="157"/>
      <c r="AB280" s="157"/>
      <c r="AC280" s="809"/>
      <c r="AD280" s="481"/>
      <c r="AE280" s="157"/>
      <c r="AF280" s="157"/>
      <c r="AG280" s="157"/>
      <c r="AH280" s="157"/>
      <c r="AI280" s="157"/>
      <c r="AJ280" s="157"/>
      <c r="AK280" s="157"/>
    </row>
    <row r="281" spans="2:37" ht="10.5" customHeight="1">
      <c r="B281" s="279"/>
      <c r="C281" s="369" t="s">
        <v>108</v>
      </c>
      <c r="D281" s="426"/>
      <c r="F281" s="506"/>
      <c r="G281" s="885" t="s">
        <v>2469</v>
      </c>
      <c r="H281" s="885" t="s">
        <v>1262</v>
      </c>
      <c r="I281" s="886" t="s">
        <v>1950</v>
      </c>
      <c r="J281" s="886" t="s">
        <v>2488</v>
      </c>
      <c r="K281" s="887" t="s">
        <v>590</v>
      </c>
      <c r="L281" s="888" t="s">
        <v>405</v>
      </c>
      <c r="M281" s="951" t="s">
        <v>2478</v>
      </c>
      <c r="N281" s="951" t="s">
        <v>158</v>
      </c>
      <c r="O281" s="1066" t="s">
        <v>3752</v>
      </c>
      <c r="P281" s="504" t="s">
        <v>2223</v>
      </c>
      <c r="Q281" s="287"/>
      <c r="R281" s="168"/>
      <c r="S281" s="380"/>
      <c r="T281" s="473" t="s">
        <v>1973</v>
      </c>
      <c r="U281" s="473" t="s">
        <v>2465</v>
      </c>
      <c r="W281" s="418" t="s">
        <v>833</v>
      </c>
      <c r="X281" s="418" t="s">
        <v>3137</v>
      </c>
      <c r="Z281" s="418"/>
      <c r="AA281" s="157"/>
      <c r="AB281" s="157"/>
      <c r="AC281" s="809"/>
      <c r="AD281" s="481"/>
      <c r="AE281" s="157"/>
      <c r="AF281" s="157"/>
      <c r="AG281" s="157"/>
      <c r="AH281" s="157"/>
      <c r="AI281" s="157"/>
      <c r="AJ281" s="157"/>
      <c r="AK281" s="157"/>
    </row>
    <row r="282" spans="2:37" ht="10.5" customHeight="1">
      <c r="B282" s="279"/>
      <c r="C282" s="369" t="s">
        <v>2285</v>
      </c>
      <c r="D282" s="426"/>
      <c r="F282" s="506"/>
      <c r="G282" s="885" t="s">
        <v>2470</v>
      </c>
      <c r="H282" s="885" t="s">
        <v>1262</v>
      </c>
      <c r="I282" s="886" t="s">
        <v>1950</v>
      </c>
      <c r="J282" s="886" t="s">
        <v>2488</v>
      </c>
      <c r="K282" s="887" t="s">
        <v>590</v>
      </c>
      <c r="L282" s="888" t="s">
        <v>405</v>
      </c>
      <c r="M282" s="951" t="s">
        <v>2478</v>
      </c>
      <c r="N282" s="951" t="s">
        <v>158</v>
      </c>
      <c r="O282" s="1066" t="s">
        <v>3753</v>
      </c>
      <c r="P282" s="504" t="s">
        <v>2224</v>
      </c>
      <c r="Q282" s="287"/>
      <c r="R282" s="168"/>
      <c r="S282" s="380"/>
      <c r="T282" s="473" t="s">
        <v>3938</v>
      </c>
      <c r="U282" s="473" t="s">
        <v>1160</v>
      </c>
      <c r="W282" s="418" t="s">
        <v>1661</v>
      </c>
      <c r="X282" s="418" t="s">
        <v>3137</v>
      </c>
      <c r="Z282" s="418"/>
      <c r="AA282" s="157"/>
      <c r="AB282" s="157"/>
      <c r="AC282" s="809"/>
      <c r="AD282" s="481"/>
      <c r="AE282" s="157"/>
      <c r="AF282" s="157"/>
      <c r="AG282" s="157"/>
      <c r="AH282" s="157"/>
      <c r="AI282" s="157"/>
      <c r="AJ282" s="157"/>
      <c r="AK282" s="157"/>
    </row>
    <row r="283" spans="2:37" ht="10.5" customHeight="1">
      <c r="B283" s="279"/>
      <c r="C283" s="369" t="s">
        <v>2287</v>
      </c>
      <c r="D283" s="426"/>
      <c r="F283" s="506"/>
      <c r="G283" s="885" t="s">
        <v>2471</v>
      </c>
      <c r="H283" s="885" t="s">
        <v>1262</v>
      </c>
      <c r="I283" s="889" t="s">
        <v>734</v>
      </c>
      <c r="J283" s="889" t="s">
        <v>2488</v>
      </c>
      <c r="K283" s="887" t="s">
        <v>2456</v>
      </c>
      <c r="L283" s="888" t="s">
        <v>405</v>
      </c>
      <c r="M283" s="951" t="s">
        <v>1150</v>
      </c>
      <c r="N283" s="951" t="s">
        <v>1159</v>
      </c>
      <c r="O283" s="1066" t="s">
        <v>3754</v>
      </c>
      <c r="P283" s="504" t="s">
        <v>1200</v>
      </c>
      <c r="Q283" s="287"/>
      <c r="R283" s="168"/>
      <c r="S283" s="380"/>
      <c r="T283" s="473" t="s">
        <v>2445</v>
      </c>
      <c r="U283" s="473" t="s">
        <v>1916</v>
      </c>
      <c r="W283" s="418" t="s">
        <v>601</v>
      </c>
      <c r="X283" s="418" t="s">
        <v>3137</v>
      </c>
      <c r="Z283" s="418"/>
      <c r="AA283" s="157"/>
      <c r="AB283" s="157"/>
      <c r="AC283" s="809"/>
      <c r="AD283" s="481"/>
      <c r="AE283" s="157"/>
      <c r="AF283" s="157"/>
      <c r="AG283" s="157"/>
      <c r="AH283" s="157"/>
      <c r="AI283" s="157"/>
      <c r="AJ283" s="157"/>
      <c r="AK283" s="157"/>
    </row>
    <row r="284" spans="2:37" ht="10.5" customHeight="1">
      <c r="B284" s="279"/>
      <c r="C284" s="369" t="s">
        <v>2289</v>
      </c>
      <c r="D284" s="426"/>
      <c r="F284" s="506"/>
      <c r="G284" s="885" t="s">
        <v>1051</v>
      </c>
      <c r="H284" s="885" t="s">
        <v>1262</v>
      </c>
      <c r="I284" s="889" t="s">
        <v>1052</v>
      </c>
      <c r="J284" s="889" t="s">
        <v>2488</v>
      </c>
      <c r="K284" s="887" t="s">
        <v>1863</v>
      </c>
      <c r="L284" s="888" t="s">
        <v>405</v>
      </c>
      <c r="M284" s="952" t="s">
        <v>2478</v>
      </c>
      <c r="N284" s="952" t="s">
        <v>1271</v>
      </c>
      <c r="O284" s="1066" t="s">
        <v>3755</v>
      </c>
      <c r="P284" s="504" t="s">
        <v>1202</v>
      </c>
      <c r="Q284" s="287"/>
      <c r="R284" s="168"/>
      <c r="S284" s="380"/>
      <c r="T284" s="473" t="s">
        <v>1975</v>
      </c>
      <c r="U284" s="473" t="s">
        <v>191</v>
      </c>
      <c r="W284" s="418" t="s">
        <v>2184</v>
      </c>
      <c r="X284" s="418" t="s">
        <v>3137</v>
      </c>
      <c r="Z284" s="418"/>
      <c r="AA284" s="157"/>
      <c r="AB284" s="157"/>
      <c r="AC284" s="809"/>
      <c r="AD284" s="481"/>
      <c r="AE284" s="157"/>
      <c r="AF284" s="157"/>
      <c r="AG284" s="157"/>
      <c r="AH284" s="157"/>
      <c r="AI284" s="157"/>
      <c r="AJ284" s="157"/>
      <c r="AK284" s="157"/>
    </row>
    <row r="285" spans="2:37" ht="10.5" customHeight="1">
      <c r="F285" s="506"/>
      <c r="G285" s="885" t="s">
        <v>1053</v>
      </c>
      <c r="H285" s="885" t="s">
        <v>1262</v>
      </c>
      <c r="I285" s="889" t="s">
        <v>734</v>
      </c>
      <c r="J285" s="889" t="s">
        <v>2488</v>
      </c>
      <c r="K285" s="887" t="s">
        <v>2456</v>
      </c>
      <c r="L285" s="888" t="s">
        <v>405</v>
      </c>
      <c r="M285" s="951" t="s">
        <v>1150</v>
      </c>
      <c r="N285" s="951" t="s">
        <v>1159</v>
      </c>
      <c r="O285" s="1066" t="s">
        <v>3756</v>
      </c>
      <c r="P285" s="504" t="s">
        <v>1204</v>
      </c>
      <c r="Q285" s="287"/>
      <c r="R285" s="168"/>
      <c r="S285" s="380"/>
      <c r="T285" s="473" t="s">
        <v>2643</v>
      </c>
      <c r="U285" s="473" t="s">
        <v>632</v>
      </c>
      <c r="W285" s="418" t="s">
        <v>994</v>
      </c>
      <c r="X285" s="418" t="s">
        <v>3137</v>
      </c>
      <c r="Z285" s="157"/>
      <c r="AA285" s="157"/>
      <c r="AB285" s="157"/>
      <c r="AC285" s="809"/>
      <c r="AD285" s="481"/>
      <c r="AE285" s="157"/>
      <c r="AF285" s="157"/>
      <c r="AG285" s="157"/>
      <c r="AH285" s="157"/>
      <c r="AI285" s="157"/>
      <c r="AJ285" s="157"/>
      <c r="AK285" s="157"/>
    </row>
    <row r="286" spans="2:37" ht="10.5" customHeight="1">
      <c r="F286" s="506"/>
      <c r="G286" s="885" t="s">
        <v>1054</v>
      </c>
      <c r="H286" s="885" t="s">
        <v>1165</v>
      </c>
      <c r="I286" s="886" t="s">
        <v>1055</v>
      </c>
      <c r="J286" s="886" t="s">
        <v>2487</v>
      </c>
      <c r="K286" s="887" t="s">
        <v>1864</v>
      </c>
      <c r="L286" s="888" t="s">
        <v>404</v>
      </c>
      <c r="M286" s="952" t="s">
        <v>2478</v>
      </c>
      <c r="N286" s="952" t="s">
        <v>1620</v>
      </c>
      <c r="O286" s="1066" t="s">
        <v>3757</v>
      </c>
      <c r="P286" s="504" t="s">
        <v>1205</v>
      </c>
      <c r="Q286" s="287"/>
      <c r="R286" s="168"/>
      <c r="S286" s="380"/>
      <c r="T286" s="473" t="s">
        <v>1977</v>
      </c>
      <c r="U286" s="473" t="s">
        <v>191</v>
      </c>
      <c r="W286" s="418" t="s">
        <v>1854</v>
      </c>
      <c r="X286" s="418" t="s">
        <v>3137</v>
      </c>
      <c r="Z286" s="157"/>
      <c r="AA286" s="157"/>
      <c r="AB286" s="157"/>
      <c r="AC286" s="809"/>
      <c r="AD286" s="481"/>
      <c r="AE286" s="157"/>
      <c r="AF286" s="157"/>
      <c r="AG286" s="157"/>
      <c r="AH286" s="157"/>
      <c r="AI286" s="157"/>
      <c r="AJ286" s="157"/>
      <c r="AK286" s="157"/>
    </row>
    <row r="287" spans="2:37" ht="10.5" customHeight="1">
      <c r="F287" s="506"/>
      <c r="G287" s="885" t="s">
        <v>1056</v>
      </c>
      <c r="H287" s="885" t="s">
        <v>1165</v>
      </c>
      <c r="I287" s="889" t="s">
        <v>734</v>
      </c>
      <c r="J287" s="889" t="s">
        <v>2488</v>
      </c>
      <c r="K287" s="887" t="s">
        <v>2456</v>
      </c>
      <c r="L287" s="888" t="s">
        <v>405</v>
      </c>
      <c r="M287" s="951" t="s">
        <v>1150</v>
      </c>
      <c r="N287" s="951" t="s">
        <v>1159</v>
      </c>
      <c r="O287" s="1066" t="s">
        <v>3758</v>
      </c>
      <c r="P287" s="504" t="s">
        <v>1207</v>
      </c>
      <c r="Q287" s="287"/>
      <c r="R287" s="168"/>
      <c r="S287" s="380"/>
      <c r="T287" s="473" t="s">
        <v>646</v>
      </c>
      <c r="U287" s="473" t="s">
        <v>1916</v>
      </c>
      <c r="W287" s="418" t="s">
        <v>471</v>
      </c>
      <c r="X287" s="418" t="s">
        <v>3137</v>
      </c>
      <c r="Z287" s="157"/>
      <c r="AA287" s="157"/>
      <c r="AB287" s="157"/>
      <c r="AC287" s="809"/>
      <c r="AD287" s="481"/>
      <c r="AE287" s="157"/>
      <c r="AF287" s="157"/>
      <c r="AG287" s="157"/>
      <c r="AH287" s="157"/>
      <c r="AI287" s="157"/>
      <c r="AJ287" s="157"/>
      <c r="AK287" s="157"/>
    </row>
    <row r="288" spans="2:37" ht="10.5" customHeight="1">
      <c r="F288" s="506"/>
      <c r="G288" s="885" t="s">
        <v>1057</v>
      </c>
      <c r="H288" s="885" t="s">
        <v>1262</v>
      </c>
      <c r="I288" s="886" t="s">
        <v>1058</v>
      </c>
      <c r="J288" s="886" t="s">
        <v>2487</v>
      </c>
      <c r="K288" s="887" t="s">
        <v>1865</v>
      </c>
      <c r="L288" s="888" t="s">
        <v>404</v>
      </c>
      <c r="M288" s="952" t="s">
        <v>2478</v>
      </c>
      <c r="N288" s="952" t="s">
        <v>1159</v>
      </c>
      <c r="O288" s="1066" t="s">
        <v>3759</v>
      </c>
      <c r="P288" s="504" t="s">
        <v>2380</v>
      </c>
      <c r="Q288" s="287"/>
      <c r="R288" s="168"/>
      <c r="S288" s="380"/>
      <c r="T288" s="473" t="s">
        <v>2225</v>
      </c>
      <c r="U288" s="473" t="s">
        <v>115</v>
      </c>
      <c r="W288" s="418" t="s">
        <v>1575</v>
      </c>
      <c r="X288" s="418" t="s">
        <v>3137</v>
      </c>
      <c r="Z288" s="157"/>
      <c r="AA288" s="157"/>
      <c r="AB288" s="157"/>
      <c r="AC288" s="809"/>
      <c r="AD288" s="481"/>
      <c r="AE288" s="157"/>
      <c r="AF288" s="157"/>
      <c r="AG288" s="157"/>
      <c r="AH288" s="157"/>
      <c r="AI288" s="157"/>
      <c r="AJ288" s="157"/>
      <c r="AK288" s="157"/>
    </row>
    <row r="289" spans="6:37" ht="10.5" customHeight="1">
      <c r="F289" s="506"/>
      <c r="G289" s="885" t="s">
        <v>1059</v>
      </c>
      <c r="H289" s="885" t="s">
        <v>1165</v>
      </c>
      <c r="I289" s="889" t="s">
        <v>1060</v>
      </c>
      <c r="J289" s="889" t="s">
        <v>2488</v>
      </c>
      <c r="K289" s="887" t="s">
        <v>1866</v>
      </c>
      <c r="L289" s="888" t="s">
        <v>405</v>
      </c>
      <c r="M289" s="952" t="s">
        <v>2478</v>
      </c>
      <c r="N289" s="952" t="s">
        <v>1271</v>
      </c>
      <c r="O289" s="1066" t="s">
        <v>3760</v>
      </c>
      <c r="P289" s="504" t="s">
        <v>77</v>
      </c>
      <c r="Q289" s="287"/>
      <c r="R289" s="168"/>
      <c r="S289" s="380"/>
      <c r="T289" s="473" t="s">
        <v>1201</v>
      </c>
      <c r="U289" s="473" t="s">
        <v>598</v>
      </c>
      <c r="W289" s="418" t="s">
        <v>908</v>
      </c>
      <c r="X289" s="418" t="s">
        <v>3137</v>
      </c>
      <c r="Z289" s="157"/>
      <c r="AA289" s="157"/>
      <c r="AB289" s="157"/>
      <c r="AC289" s="809"/>
      <c r="AD289" s="481"/>
      <c r="AE289" s="157"/>
      <c r="AF289" s="157"/>
      <c r="AG289" s="157"/>
      <c r="AH289" s="157"/>
      <c r="AI289" s="157"/>
      <c r="AJ289" s="157"/>
      <c r="AK289" s="157"/>
    </row>
    <row r="290" spans="6:37" ht="10.5" customHeight="1">
      <c r="F290" s="506"/>
      <c r="G290" s="885" t="s">
        <v>1061</v>
      </c>
      <c r="H290" s="885" t="s">
        <v>1262</v>
      </c>
      <c r="I290" s="889" t="s">
        <v>1062</v>
      </c>
      <c r="J290" s="889" t="s">
        <v>2487</v>
      </c>
      <c r="K290" s="887" t="s">
        <v>1867</v>
      </c>
      <c r="L290" s="888" t="s">
        <v>404</v>
      </c>
      <c r="M290" s="952" t="s">
        <v>2478</v>
      </c>
      <c r="N290" s="952" t="s">
        <v>1159</v>
      </c>
      <c r="O290" s="1066" t="s">
        <v>3761</v>
      </c>
      <c r="P290" s="504" t="s">
        <v>78</v>
      </c>
      <c r="Q290" s="287"/>
      <c r="R290" s="168"/>
      <c r="S290" s="380"/>
      <c r="T290" s="473" t="s">
        <v>1203</v>
      </c>
      <c r="U290" s="473" t="s">
        <v>2141</v>
      </c>
      <c r="W290" s="418" t="s">
        <v>2202</v>
      </c>
      <c r="X290" s="418" t="s">
        <v>3137</v>
      </c>
      <c r="Z290" s="157"/>
      <c r="AA290" s="157"/>
      <c r="AB290" s="157"/>
      <c r="AC290" s="809"/>
      <c r="AD290" s="481"/>
      <c r="AE290" s="157"/>
      <c r="AF290" s="157"/>
      <c r="AG290" s="157"/>
      <c r="AH290" s="157"/>
      <c r="AI290" s="157"/>
      <c r="AJ290" s="157"/>
      <c r="AK290" s="157"/>
    </row>
    <row r="291" spans="6:37" ht="10.5" customHeight="1">
      <c r="F291" s="506"/>
      <c r="G291" s="885" t="s">
        <v>1063</v>
      </c>
      <c r="H291" s="885" t="s">
        <v>1165</v>
      </c>
      <c r="I291" s="886" t="s">
        <v>1064</v>
      </c>
      <c r="J291" s="886" t="s">
        <v>2487</v>
      </c>
      <c r="K291" s="887" t="s">
        <v>1704</v>
      </c>
      <c r="L291" s="888" t="s">
        <v>404</v>
      </c>
      <c r="M291" s="952" t="s">
        <v>2478</v>
      </c>
      <c r="N291" s="952" t="s">
        <v>153</v>
      </c>
      <c r="O291" s="1066" t="s">
        <v>3762</v>
      </c>
      <c r="P291" s="504" t="s">
        <v>79</v>
      </c>
      <c r="Q291" s="287"/>
      <c r="R291" s="168"/>
      <c r="S291" s="380"/>
      <c r="T291" s="473" t="s">
        <v>2370</v>
      </c>
      <c r="U291" s="473" t="s">
        <v>1065</v>
      </c>
      <c r="W291" s="418" t="s">
        <v>312</v>
      </c>
      <c r="X291" s="418" t="s">
        <v>3137</v>
      </c>
      <c r="Z291" s="157"/>
      <c r="AA291" s="157"/>
      <c r="AB291" s="157"/>
      <c r="AC291" s="809"/>
      <c r="AD291" s="481"/>
      <c r="AE291" s="157"/>
      <c r="AF291" s="157"/>
      <c r="AG291" s="157"/>
      <c r="AH291" s="157"/>
      <c r="AI291" s="157"/>
      <c r="AJ291" s="157"/>
      <c r="AK291" s="157"/>
    </row>
    <row r="292" spans="6:37" ht="10.5" customHeight="1">
      <c r="F292" s="506"/>
      <c r="G292" s="885" t="s">
        <v>1065</v>
      </c>
      <c r="H292" s="885" t="s">
        <v>1262</v>
      </c>
      <c r="I292" s="886" t="s">
        <v>1066</v>
      </c>
      <c r="J292" s="886" t="s">
        <v>2487</v>
      </c>
      <c r="K292" s="887" t="s">
        <v>1705</v>
      </c>
      <c r="L292" s="888" t="s">
        <v>404</v>
      </c>
      <c r="M292" s="952" t="s">
        <v>2478</v>
      </c>
      <c r="N292" s="952" t="s">
        <v>158</v>
      </c>
      <c r="O292" s="1066" t="s">
        <v>3763</v>
      </c>
      <c r="P292" s="504" t="s">
        <v>81</v>
      </c>
      <c r="Q292" s="287"/>
      <c r="R292" s="168"/>
      <c r="S292" s="380"/>
      <c r="T292" s="473" t="s">
        <v>1206</v>
      </c>
      <c r="U292" s="473" t="s">
        <v>300</v>
      </c>
      <c r="W292" s="418" t="s">
        <v>314</v>
      </c>
      <c r="X292" s="418" t="s">
        <v>3137</v>
      </c>
      <c r="Z292" s="157"/>
      <c r="AA292" s="157"/>
      <c r="AB292" s="157"/>
      <c r="AC292" s="809"/>
      <c r="AD292" s="481"/>
      <c r="AE292" s="157"/>
      <c r="AF292" s="157"/>
      <c r="AG292" s="157"/>
      <c r="AH292" s="157"/>
      <c r="AI292" s="157"/>
      <c r="AJ292" s="157"/>
      <c r="AK292" s="157"/>
    </row>
    <row r="293" spans="6:37" ht="10.5" customHeight="1">
      <c r="F293" s="506"/>
      <c r="G293" s="885" t="s">
        <v>1067</v>
      </c>
      <c r="H293" s="885" t="s">
        <v>1165</v>
      </c>
      <c r="I293" s="886" t="s">
        <v>1068</v>
      </c>
      <c r="J293" s="886" t="s">
        <v>2487</v>
      </c>
      <c r="K293" s="887" t="s">
        <v>1706</v>
      </c>
      <c r="L293" s="888" t="s">
        <v>404</v>
      </c>
      <c r="M293" s="952" t="s">
        <v>2478</v>
      </c>
      <c r="N293" s="952" t="s">
        <v>1702</v>
      </c>
      <c r="O293" s="1066" t="s">
        <v>3764</v>
      </c>
      <c r="P293" s="504" t="s">
        <v>1181</v>
      </c>
      <c r="Q293" s="287"/>
      <c r="R293" s="168"/>
      <c r="S293" s="380"/>
      <c r="T293" s="473" t="s">
        <v>2379</v>
      </c>
      <c r="U293" s="473" t="s">
        <v>107</v>
      </c>
      <c r="W293" s="418" t="s">
        <v>317</v>
      </c>
      <c r="X293" s="418" t="s">
        <v>3137</v>
      </c>
      <c r="Z293" s="157"/>
      <c r="AA293" s="157"/>
      <c r="AB293" s="157"/>
      <c r="AC293" s="809"/>
      <c r="AD293" s="481"/>
      <c r="AE293" s="157"/>
      <c r="AF293" s="157"/>
      <c r="AG293" s="157"/>
      <c r="AH293" s="157"/>
      <c r="AI293" s="157"/>
      <c r="AJ293" s="157"/>
      <c r="AK293" s="157"/>
    </row>
    <row r="294" spans="6:37" ht="10.5" customHeight="1">
      <c r="F294" s="506"/>
      <c r="G294" s="885" t="s">
        <v>1069</v>
      </c>
      <c r="H294" s="885" t="s">
        <v>1715</v>
      </c>
      <c r="I294" s="889" t="s">
        <v>735</v>
      </c>
      <c r="J294" s="889" t="s">
        <v>2488</v>
      </c>
      <c r="K294" s="887" t="s">
        <v>2477</v>
      </c>
      <c r="L294" s="888" t="s">
        <v>405</v>
      </c>
      <c r="M294" s="952" t="s">
        <v>1150</v>
      </c>
      <c r="N294" s="952" t="s">
        <v>1281</v>
      </c>
      <c r="O294" s="1066" t="s">
        <v>3765</v>
      </c>
      <c r="P294" s="504" t="s">
        <v>1183</v>
      </c>
      <c r="Q294" s="287"/>
      <c r="R294" s="168"/>
      <c r="S294" s="380"/>
      <c r="T294" s="473" t="s">
        <v>76</v>
      </c>
      <c r="U294" s="473" t="s">
        <v>188</v>
      </c>
      <c r="W294" s="418" t="s">
        <v>1676</v>
      </c>
      <c r="X294" s="418" t="s">
        <v>3137</v>
      </c>
      <c r="AA294" s="27"/>
      <c r="AB294" s="27"/>
      <c r="AC294" s="809"/>
      <c r="AD294" s="481"/>
    </row>
    <row r="295" spans="6:37" ht="10.5" customHeight="1">
      <c r="F295" s="506"/>
      <c r="G295" s="885" t="s">
        <v>1070</v>
      </c>
      <c r="H295" s="885" t="s">
        <v>1262</v>
      </c>
      <c r="I295" s="889" t="s">
        <v>734</v>
      </c>
      <c r="J295" s="889" t="s">
        <v>2488</v>
      </c>
      <c r="K295" s="887" t="s">
        <v>2456</v>
      </c>
      <c r="L295" s="888" t="s">
        <v>405</v>
      </c>
      <c r="M295" s="951" t="s">
        <v>1150</v>
      </c>
      <c r="N295" s="951" t="s">
        <v>1159</v>
      </c>
      <c r="O295" s="1066" t="s">
        <v>3766</v>
      </c>
      <c r="P295" s="504" t="s">
        <v>1185</v>
      </c>
      <c r="Q295" s="287"/>
      <c r="R295" s="168"/>
      <c r="S295" s="380"/>
      <c r="T295" s="473" t="s">
        <v>80</v>
      </c>
      <c r="U295" s="473" t="s">
        <v>2087</v>
      </c>
      <c r="W295" s="418" t="s">
        <v>661</v>
      </c>
      <c r="X295" s="418" t="s">
        <v>3137</v>
      </c>
      <c r="AA295" s="27"/>
      <c r="AB295" s="27"/>
      <c r="AC295" s="809"/>
      <c r="AD295" s="481"/>
    </row>
    <row r="296" spans="6:37" ht="10.5" customHeight="1">
      <c r="F296" s="506"/>
      <c r="G296" s="885" t="s">
        <v>1071</v>
      </c>
      <c r="H296" s="885" t="s">
        <v>1165</v>
      </c>
      <c r="I296" s="886" t="s">
        <v>2071</v>
      </c>
      <c r="J296" s="886" t="s">
        <v>2487</v>
      </c>
      <c r="K296" s="887" t="s">
        <v>1707</v>
      </c>
      <c r="L296" s="888" t="s">
        <v>404</v>
      </c>
      <c r="M296" s="952" t="s">
        <v>2478</v>
      </c>
      <c r="N296" s="952" t="s">
        <v>153</v>
      </c>
      <c r="O296" s="1066" t="s">
        <v>3767</v>
      </c>
      <c r="P296" s="504" t="s">
        <v>1187</v>
      </c>
      <c r="Q296" s="287"/>
      <c r="R296" s="168"/>
      <c r="S296" s="380"/>
      <c r="T296" s="473" t="s">
        <v>82</v>
      </c>
      <c r="U296" s="473" t="s">
        <v>1272</v>
      </c>
      <c r="W296" s="418" t="s">
        <v>2247</v>
      </c>
      <c r="X296" s="418" t="s">
        <v>3137</v>
      </c>
      <c r="AA296" s="27"/>
      <c r="AB296" s="27"/>
      <c r="AC296" s="809"/>
      <c r="AD296" s="481"/>
    </row>
    <row r="297" spans="6:37" ht="10.5" customHeight="1">
      <c r="F297" s="506"/>
      <c r="G297" s="885" t="s">
        <v>2072</v>
      </c>
      <c r="H297" s="885" t="s">
        <v>1165</v>
      </c>
      <c r="I297" s="886" t="s">
        <v>2073</v>
      </c>
      <c r="J297" s="886" t="s">
        <v>2487</v>
      </c>
      <c r="K297" s="887" t="s">
        <v>1708</v>
      </c>
      <c r="L297" s="888" t="s">
        <v>404</v>
      </c>
      <c r="M297" s="952" t="s">
        <v>2478</v>
      </c>
      <c r="N297" s="952" t="s">
        <v>1277</v>
      </c>
      <c r="O297" s="1066" t="s">
        <v>3768</v>
      </c>
      <c r="P297" s="504" t="s">
        <v>1189</v>
      </c>
      <c r="Q297" s="287"/>
      <c r="R297" s="168"/>
      <c r="S297" s="380"/>
      <c r="T297" s="473" t="s">
        <v>1182</v>
      </c>
      <c r="U297" s="473" t="s">
        <v>1860</v>
      </c>
      <c r="W297" s="418" t="s">
        <v>455</v>
      </c>
      <c r="X297" s="418" t="s">
        <v>3137</v>
      </c>
      <c r="AA297" s="27"/>
      <c r="AB297" s="27"/>
      <c r="AC297" s="809"/>
      <c r="AD297" s="481"/>
    </row>
    <row r="298" spans="6:37" ht="10.5" customHeight="1">
      <c r="F298" s="506"/>
      <c r="G298" s="885" t="s">
        <v>1542</v>
      </c>
      <c r="H298" s="885"/>
      <c r="I298" s="885" t="s">
        <v>1542</v>
      </c>
      <c r="J298" s="886"/>
      <c r="K298" s="887"/>
      <c r="L298" s="888"/>
      <c r="M298" s="885" t="s">
        <v>1542</v>
      </c>
      <c r="N298" s="885" t="s">
        <v>1542</v>
      </c>
      <c r="O298" s="1066" t="s">
        <v>3769</v>
      </c>
      <c r="P298" s="504" t="s">
        <v>1191</v>
      </c>
      <c r="Q298" s="287"/>
      <c r="R298" s="168"/>
      <c r="S298" s="380"/>
      <c r="T298" s="473" t="s">
        <v>1184</v>
      </c>
      <c r="U298" s="473" t="s">
        <v>171</v>
      </c>
      <c r="W298" s="418" t="s">
        <v>3130</v>
      </c>
      <c r="X298" s="418" t="s">
        <v>3137</v>
      </c>
      <c r="AA298" s="27"/>
      <c r="AB298" s="27"/>
      <c r="AC298" s="809"/>
      <c r="AD298" s="481"/>
    </row>
    <row r="299" spans="6:37" ht="10.5" customHeight="1">
      <c r="F299" s="506"/>
      <c r="G299" s="885" t="s">
        <v>2074</v>
      </c>
      <c r="H299" s="885" t="s">
        <v>1165</v>
      </c>
      <c r="I299" s="889" t="s">
        <v>2075</v>
      </c>
      <c r="J299" s="886" t="s">
        <v>2487</v>
      </c>
      <c r="K299" s="887" t="s">
        <v>436</v>
      </c>
      <c r="L299" s="888" t="s">
        <v>404</v>
      </c>
      <c r="M299" s="952" t="s">
        <v>2478</v>
      </c>
      <c r="N299" s="952" t="s">
        <v>1702</v>
      </c>
      <c r="O299" s="1066" t="s">
        <v>3770</v>
      </c>
      <c r="P299" s="504" t="s">
        <v>857</v>
      </c>
      <c r="Q299" s="287"/>
      <c r="R299" s="168"/>
      <c r="S299" s="380"/>
      <c r="T299" s="505" t="s">
        <v>1186</v>
      </c>
      <c r="U299" s="505" t="s">
        <v>1067</v>
      </c>
      <c r="W299" s="418" t="s">
        <v>3131</v>
      </c>
      <c r="X299" s="418" t="s">
        <v>3137</v>
      </c>
      <c r="AA299" s="27"/>
      <c r="AB299" s="27"/>
      <c r="AC299" s="809"/>
      <c r="AD299" s="481"/>
    </row>
    <row r="300" spans="6:37" ht="10.5" customHeight="1">
      <c r="F300" s="506"/>
      <c r="G300" s="885" t="s">
        <v>2076</v>
      </c>
      <c r="H300" s="885" t="s">
        <v>1262</v>
      </c>
      <c r="I300" s="889" t="s">
        <v>734</v>
      </c>
      <c r="J300" s="889" t="s">
        <v>2488</v>
      </c>
      <c r="K300" s="887" t="s">
        <v>2456</v>
      </c>
      <c r="L300" s="888" t="s">
        <v>405</v>
      </c>
      <c r="M300" s="951" t="s">
        <v>1150</v>
      </c>
      <c r="N300" s="952" t="s">
        <v>1159</v>
      </c>
      <c r="O300" s="1066" t="s">
        <v>3771</v>
      </c>
      <c r="P300" s="504" t="s">
        <v>858</v>
      </c>
      <c r="Q300" s="287"/>
      <c r="R300" s="168"/>
      <c r="S300" s="380"/>
      <c r="T300" s="473" t="s">
        <v>1188</v>
      </c>
      <c r="U300" s="473" t="s">
        <v>1160</v>
      </c>
      <c r="W300" s="418" t="s">
        <v>73</v>
      </c>
      <c r="X300" s="418" t="s">
        <v>3137</v>
      </c>
      <c r="AA300" s="27"/>
      <c r="AB300" s="27"/>
      <c r="AC300" s="810"/>
      <c r="AD300" s="481"/>
    </row>
    <row r="301" spans="6:37" ht="10.5" customHeight="1">
      <c r="F301" s="506"/>
      <c r="G301" s="885" t="s">
        <v>2077</v>
      </c>
      <c r="H301" s="885" t="s">
        <v>1262</v>
      </c>
      <c r="I301" s="889" t="s">
        <v>2078</v>
      </c>
      <c r="J301" s="889" t="s">
        <v>2487</v>
      </c>
      <c r="K301" s="887" t="s">
        <v>212</v>
      </c>
      <c r="L301" s="888" t="s">
        <v>404</v>
      </c>
      <c r="M301" s="952" t="s">
        <v>2478</v>
      </c>
      <c r="N301" s="951" t="s">
        <v>158</v>
      </c>
      <c r="O301" s="1066" t="s">
        <v>3772</v>
      </c>
      <c r="P301" s="504" t="s">
        <v>860</v>
      </c>
      <c r="Q301" s="287"/>
      <c r="R301" s="168"/>
      <c r="S301" s="380"/>
      <c r="T301" s="473" t="s">
        <v>1190</v>
      </c>
      <c r="U301" s="473" t="s">
        <v>2087</v>
      </c>
      <c r="W301" s="418" t="s">
        <v>2302</v>
      </c>
      <c r="X301" s="418" t="s">
        <v>3137</v>
      </c>
      <c r="AA301" s="27"/>
      <c r="AB301" s="27"/>
      <c r="AC301" s="809"/>
      <c r="AD301" s="481"/>
    </row>
    <row r="302" spans="6:37" ht="10.5" customHeight="1">
      <c r="F302" s="506"/>
      <c r="G302" s="885" t="s">
        <v>2079</v>
      </c>
      <c r="H302" s="885" t="s">
        <v>1165</v>
      </c>
      <c r="I302" s="886" t="s">
        <v>2080</v>
      </c>
      <c r="J302" s="889" t="s">
        <v>2487</v>
      </c>
      <c r="K302" s="887" t="s">
        <v>1370</v>
      </c>
      <c r="L302" s="888" t="s">
        <v>404</v>
      </c>
      <c r="M302" s="952" t="s">
        <v>2478</v>
      </c>
      <c r="N302" s="952" t="s">
        <v>153</v>
      </c>
      <c r="O302" s="1066" t="s">
        <v>3773</v>
      </c>
      <c r="P302" s="504" t="s">
        <v>862</v>
      </c>
      <c r="Q302" s="287"/>
      <c r="R302" s="168"/>
      <c r="S302" s="380"/>
      <c r="T302" s="473" t="s">
        <v>2376</v>
      </c>
      <c r="U302" s="473" t="s">
        <v>1565</v>
      </c>
      <c r="W302" s="418" t="s">
        <v>584</v>
      </c>
      <c r="X302" s="418" t="s">
        <v>3137</v>
      </c>
      <c r="AA302" s="27"/>
      <c r="AB302" s="27"/>
      <c r="AC302" s="809"/>
      <c r="AD302" s="481"/>
    </row>
    <row r="303" spans="6:37" ht="10.5" customHeight="1">
      <c r="F303" s="506"/>
      <c r="G303" s="885" t="s">
        <v>2081</v>
      </c>
      <c r="H303" s="885" t="s">
        <v>1715</v>
      </c>
      <c r="I303" s="886" t="s">
        <v>2082</v>
      </c>
      <c r="J303" s="886" t="s">
        <v>2487</v>
      </c>
      <c r="K303" s="887" t="s">
        <v>1371</v>
      </c>
      <c r="L303" s="888" t="s">
        <v>404</v>
      </c>
      <c r="M303" s="952" t="s">
        <v>2478</v>
      </c>
      <c r="N303" s="952" t="s">
        <v>1702</v>
      </c>
      <c r="O303" s="1066" t="s">
        <v>3774</v>
      </c>
      <c r="P303" s="504" t="s">
        <v>2043</v>
      </c>
      <c r="Q303" s="287"/>
      <c r="R303" s="168"/>
      <c r="S303" s="380"/>
      <c r="T303" s="473" t="s">
        <v>153</v>
      </c>
      <c r="U303" s="473" t="s">
        <v>2467</v>
      </c>
      <c r="W303" s="418" t="s">
        <v>928</v>
      </c>
      <c r="X303" s="418" t="s">
        <v>3137</v>
      </c>
      <c r="AA303" s="27"/>
      <c r="AB303" s="27"/>
      <c r="AC303" s="809"/>
      <c r="AD303" s="481"/>
    </row>
    <row r="304" spans="6:37" ht="10.5" customHeight="1">
      <c r="F304" s="506"/>
      <c r="G304" s="885" t="s">
        <v>2083</v>
      </c>
      <c r="H304" s="885" t="s">
        <v>1165</v>
      </c>
      <c r="I304" s="886" t="s">
        <v>2084</v>
      </c>
      <c r="J304" s="886" t="s">
        <v>2487</v>
      </c>
      <c r="K304" s="887" t="s">
        <v>1372</v>
      </c>
      <c r="L304" s="888" t="s">
        <v>404</v>
      </c>
      <c r="M304" s="952" t="s">
        <v>2478</v>
      </c>
      <c r="N304" s="952" t="s">
        <v>153</v>
      </c>
      <c r="O304" s="1066" t="s">
        <v>3775</v>
      </c>
      <c r="P304" s="504" t="s">
        <v>2044</v>
      </c>
      <c r="Q304" s="287"/>
      <c r="R304" s="168"/>
      <c r="S304" s="380"/>
      <c r="T304" s="473" t="s">
        <v>859</v>
      </c>
      <c r="U304" s="473" t="s">
        <v>171</v>
      </c>
      <c r="W304" s="418" t="s">
        <v>1432</v>
      </c>
      <c r="X304" s="418" t="s">
        <v>3137</v>
      </c>
      <c r="AA304" s="27"/>
      <c r="AB304" s="27"/>
      <c r="AC304" s="809"/>
      <c r="AD304" s="481"/>
    </row>
    <row r="305" spans="6:30" ht="10.5" customHeight="1">
      <c r="F305" s="506"/>
      <c r="G305" s="885" t="s">
        <v>2085</v>
      </c>
      <c r="H305" s="885" t="s">
        <v>1262</v>
      </c>
      <c r="I305" s="886" t="s">
        <v>2086</v>
      </c>
      <c r="J305" s="886" t="s">
        <v>2487</v>
      </c>
      <c r="K305" s="887" t="s">
        <v>1920</v>
      </c>
      <c r="L305" s="888" t="s">
        <v>404</v>
      </c>
      <c r="M305" s="952" t="s">
        <v>2478</v>
      </c>
      <c r="N305" s="952" t="s">
        <v>158</v>
      </c>
      <c r="O305" s="1066" t="s">
        <v>3776</v>
      </c>
      <c r="P305" s="504" t="s">
        <v>1962</v>
      </c>
      <c r="Q305" s="287"/>
      <c r="R305" s="168"/>
      <c r="S305" s="380"/>
      <c r="T305" s="505" t="s">
        <v>861</v>
      </c>
      <c r="U305" s="505" t="s">
        <v>312</v>
      </c>
      <c r="W305" s="418" t="s">
        <v>2232</v>
      </c>
      <c r="X305" s="418" t="s">
        <v>3137</v>
      </c>
      <c r="AA305" s="27"/>
      <c r="AB305" s="27"/>
      <c r="AC305" s="809"/>
      <c r="AD305" s="481"/>
    </row>
    <row r="306" spans="6:30" ht="10.5" customHeight="1">
      <c r="F306" s="506"/>
      <c r="G306" s="885" t="s">
        <v>2087</v>
      </c>
      <c r="H306" s="885" t="s">
        <v>1165</v>
      </c>
      <c r="I306" s="886" t="s">
        <v>2088</v>
      </c>
      <c r="J306" s="886" t="s">
        <v>2487</v>
      </c>
      <c r="K306" s="887" t="s">
        <v>1921</v>
      </c>
      <c r="L306" s="888" t="s">
        <v>404</v>
      </c>
      <c r="M306" s="952" t="s">
        <v>2478</v>
      </c>
      <c r="N306" s="952" t="s">
        <v>1277</v>
      </c>
      <c r="O306" s="1066" t="s">
        <v>3777</v>
      </c>
      <c r="P306" s="504" t="s">
        <v>1964</v>
      </c>
      <c r="Q306" s="287"/>
      <c r="R306" s="168"/>
      <c r="S306" s="380"/>
      <c r="T306" s="473" t="s">
        <v>863</v>
      </c>
      <c r="U306" s="473" t="s">
        <v>1056</v>
      </c>
      <c r="W306" s="418" t="s">
        <v>788</v>
      </c>
      <c r="X306" s="418" t="s">
        <v>3137</v>
      </c>
      <c r="AA306" s="27"/>
      <c r="AB306" s="27"/>
      <c r="AC306" s="810"/>
      <c r="AD306" s="481"/>
    </row>
    <row r="307" spans="6:30" ht="10.5" customHeight="1">
      <c r="F307" s="506"/>
      <c r="G307" s="885" t="s">
        <v>2089</v>
      </c>
      <c r="H307" s="885" t="s">
        <v>1165</v>
      </c>
      <c r="I307" s="886" t="s">
        <v>836</v>
      </c>
      <c r="J307" s="886" t="s">
        <v>2487</v>
      </c>
      <c r="K307" s="887" t="s">
        <v>1922</v>
      </c>
      <c r="L307" s="888" t="s">
        <v>404</v>
      </c>
      <c r="M307" s="952" t="s">
        <v>2478</v>
      </c>
      <c r="N307" s="952" t="s">
        <v>153</v>
      </c>
      <c r="O307" s="1066" t="s">
        <v>3778</v>
      </c>
      <c r="P307" s="504" t="s">
        <v>568</v>
      </c>
      <c r="Q307" s="287"/>
      <c r="R307" s="168"/>
      <c r="S307" s="380"/>
      <c r="T307" s="473" t="s">
        <v>2446</v>
      </c>
      <c r="U307" s="473" t="s">
        <v>2370</v>
      </c>
      <c r="W307" s="418" t="s">
        <v>791</v>
      </c>
      <c r="X307" s="418" t="s">
        <v>3137</v>
      </c>
      <c r="AA307" s="27"/>
      <c r="AB307" s="27"/>
      <c r="AC307" s="809"/>
      <c r="AD307" s="481"/>
    </row>
    <row r="308" spans="6:30" ht="10.5" customHeight="1">
      <c r="F308" s="506"/>
      <c r="G308" s="885" t="s">
        <v>837</v>
      </c>
      <c r="H308" s="885" t="s">
        <v>1165</v>
      </c>
      <c r="I308" s="886" t="s">
        <v>838</v>
      </c>
      <c r="J308" s="886" t="s">
        <v>2487</v>
      </c>
      <c r="K308" s="887" t="s">
        <v>1923</v>
      </c>
      <c r="L308" s="888" t="s">
        <v>404</v>
      </c>
      <c r="M308" s="952" t="s">
        <v>2478</v>
      </c>
      <c r="N308" s="952" t="s">
        <v>1702</v>
      </c>
      <c r="O308" s="1066" t="s">
        <v>3779</v>
      </c>
      <c r="P308" s="504" t="s">
        <v>569</v>
      </c>
      <c r="Q308" s="287"/>
      <c r="R308" s="168"/>
      <c r="S308" s="380"/>
      <c r="T308" s="473" t="s">
        <v>2045</v>
      </c>
      <c r="U308" s="473" t="s">
        <v>1070</v>
      </c>
      <c r="W308" s="418" t="s">
        <v>1448</v>
      </c>
      <c r="X308" s="418" t="s">
        <v>3137</v>
      </c>
      <c r="AA308" s="27"/>
      <c r="AB308" s="27"/>
      <c r="AC308" s="809"/>
      <c r="AD308" s="481"/>
    </row>
    <row r="309" spans="6:30" ht="10.5" customHeight="1">
      <c r="F309" s="506"/>
      <c r="G309" s="885" t="s">
        <v>1592</v>
      </c>
      <c r="H309" s="885" t="s">
        <v>1165</v>
      </c>
      <c r="I309" s="889" t="s">
        <v>1702</v>
      </c>
      <c r="J309" s="886" t="s">
        <v>2488</v>
      </c>
      <c r="K309" s="887" t="s">
        <v>1119</v>
      </c>
      <c r="L309" s="888" t="s">
        <v>405</v>
      </c>
      <c r="M309" s="951" t="s">
        <v>2478</v>
      </c>
      <c r="N309" s="952" t="s">
        <v>1702</v>
      </c>
      <c r="O309" s="1066" t="s">
        <v>3780</v>
      </c>
      <c r="P309" s="504" t="s">
        <v>571</v>
      </c>
      <c r="Q309" s="287"/>
      <c r="R309" s="168"/>
      <c r="S309" s="380"/>
      <c r="T309" s="473" t="s">
        <v>1963</v>
      </c>
      <c r="U309" s="473" t="s">
        <v>1593</v>
      </c>
      <c r="W309" s="418" t="s">
        <v>463</v>
      </c>
      <c r="X309" s="418" t="s">
        <v>3137</v>
      </c>
      <c r="AA309" s="27"/>
      <c r="AB309" s="27"/>
      <c r="AC309" s="809"/>
      <c r="AD309" s="481"/>
    </row>
    <row r="310" spans="6:30" ht="10.5" customHeight="1">
      <c r="F310" s="506"/>
      <c r="G310" s="885" t="s">
        <v>1593</v>
      </c>
      <c r="H310" s="885" t="s">
        <v>1165</v>
      </c>
      <c r="I310" s="889" t="s">
        <v>1594</v>
      </c>
      <c r="J310" s="889" t="s">
        <v>2487</v>
      </c>
      <c r="K310" s="887" t="s">
        <v>1924</v>
      </c>
      <c r="L310" s="888" t="s">
        <v>404</v>
      </c>
      <c r="M310" s="952" t="s">
        <v>2478</v>
      </c>
      <c r="N310" s="951" t="s">
        <v>1620</v>
      </c>
      <c r="O310" s="1066" t="s">
        <v>3781</v>
      </c>
      <c r="P310" s="504" t="s">
        <v>573</v>
      </c>
      <c r="Q310" s="287"/>
      <c r="R310" s="168"/>
      <c r="S310" s="380"/>
      <c r="T310" s="473" t="s">
        <v>1965</v>
      </c>
      <c r="U310" s="473" t="s">
        <v>2414</v>
      </c>
      <c r="W310" s="418" t="s">
        <v>1344</v>
      </c>
      <c r="X310" s="418" t="s">
        <v>3137</v>
      </c>
      <c r="AA310" s="27"/>
      <c r="AB310" s="27"/>
      <c r="AC310" s="809"/>
      <c r="AD310" s="481"/>
    </row>
    <row r="311" spans="6:30" ht="10.5" customHeight="1">
      <c r="F311" s="506"/>
      <c r="G311" s="885" t="s">
        <v>1595</v>
      </c>
      <c r="H311" s="885" t="s">
        <v>1165</v>
      </c>
      <c r="I311" s="889" t="s">
        <v>1818</v>
      </c>
      <c r="J311" s="889" t="s">
        <v>2487</v>
      </c>
      <c r="K311" s="887" t="s">
        <v>1123</v>
      </c>
      <c r="L311" s="888" t="s">
        <v>404</v>
      </c>
      <c r="M311" s="952" t="s">
        <v>2478</v>
      </c>
      <c r="N311" s="952" t="s">
        <v>1702</v>
      </c>
      <c r="O311" s="1066" t="s">
        <v>3782</v>
      </c>
      <c r="P311" s="504" t="s">
        <v>574</v>
      </c>
      <c r="Q311" s="287"/>
      <c r="R311" s="168"/>
      <c r="S311" s="380"/>
      <c r="T311" s="473" t="s">
        <v>793</v>
      </c>
      <c r="U311" s="473" t="s">
        <v>307</v>
      </c>
      <c r="W311" s="418" t="s">
        <v>1346</v>
      </c>
      <c r="X311" s="418" t="s">
        <v>3137</v>
      </c>
      <c r="AA311" s="27"/>
      <c r="AB311" s="27"/>
      <c r="AC311" s="809"/>
      <c r="AD311" s="813"/>
    </row>
    <row r="312" spans="6:30" ht="10.5" customHeight="1">
      <c r="F312" s="506"/>
      <c r="G312" s="885" t="s">
        <v>1819</v>
      </c>
      <c r="H312" s="885" t="s">
        <v>1165</v>
      </c>
      <c r="I312" s="889" t="s">
        <v>1820</v>
      </c>
      <c r="J312" s="889" t="s">
        <v>2487</v>
      </c>
      <c r="K312" s="887" t="s">
        <v>1124</v>
      </c>
      <c r="L312" s="888" t="s">
        <v>404</v>
      </c>
      <c r="M312" s="952" t="s">
        <v>2478</v>
      </c>
      <c r="N312" s="952" t="s">
        <v>1277</v>
      </c>
      <c r="O312" s="1066" t="s">
        <v>3783</v>
      </c>
      <c r="P312" s="504" t="s">
        <v>575</v>
      </c>
      <c r="Q312" s="287"/>
      <c r="R312" s="168"/>
      <c r="S312" s="380"/>
      <c r="T312" s="473" t="s">
        <v>570</v>
      </c>
      <c r="U312" s="473" t="s">
        <v>115</v>
      </c>
      <c r="W312" s="418" t="s">
        <v>2378</v>
      </c>
      <c r="X312" s="418" t="s">
        <v>3137</v>
      </c>
      <c r="AA312" s="27"/>
      <c r="AB312" s="27"/>
      <c r="AC312" s="809"/>
      <c r="AD312" s="481"/>
    </row>
    <row r="313" spans="6:30" ht="10.5" customHeight="1">
      <c r="F313" s="506"/>
      <c r="G313" s="885" t="s">
        <v>1821</v>
      </c>
      <c r="H313" s="885" t="s">
        <v>1262</v>
      </c>
      <c r="I313" s="889" t="s">
        <v>1822</v>
      </c>
      <c r="J313" s="889" t="s">
        <v>2487</v>
      </c>
      <c r="K313" s="887" t="s">
        <v>1125</v>
      </c>
      <c r="L313" s="888" t="s">
        <v>404</v>
      </c>
      <c r="M313" s="952" t="s">
        <v>2478</v>
      </c>
      <c r="N313" s="952" t="s">
        <v>158</v>
      </c>
      <c r="O313" s="1066" t="s">
        <v>3784</v>
      </c>
      <c r="P313" s="504" t="s">
        <v>577</v>
      </c>
      <c r="Q313" s="287"/>
      <c r="R313" s="168"/>
      <c r="S313" s="380"/>
      <c r="T313" s="473" t="s">
        <v>2447</v>
      </c>
      <c r="U313" s="473" t="s">
        <v>1278</v>
      </c>
      <c r="W313" s="418" t="s">
        <v>1017</v>
      </c>
      <c r="X313" s="418" t="s">
        <v>3137</v>
      </c>
      <c r="AA313" s="27"/>
      <c r="AB313" s="27"/>
      <c r="AC313" s="809"/>
      <c r="AD313" s="481"/>
    </row>
    <row r="314" spans="6:30" ht="10.5" customHeight="1">
      <c r="F314" s="506"/>
      <c r="G314" s="885" t="s">
        <v>1823</v>
      </c>
      <c r="H314" s="885" t="s">
        <v>1165</v>
      </c>
      <c r="I314" s="889" t="s">
        <v>1824</v>
      </c>
      <c r="J314" s="889" t="s">
        <v>2487</v>
      </c>
      <c r="K314" s="887" t="s">
        <v>1126</v>
      </c>
      <c r="L314" s="888" t="s">
        <v>404</v>
      </c>
      <c r="M314" s="952" t="s">
        <v>2478</v>
      </c>
      <c r="N314" s="952" t="s">
        <v>1271</v>
      </c>
      <c r="O314" s="1066" t="s">
        <v>3785</v>
      </c>
      <c r="P314" s="504" t="s">
        <v>579</v>
      </c>
      <c r="Q314" s="287"/>
      <c r="R314" s="168"/>
      <c r="S314" s="380"/>
      <c r="T314" s="473" t="s">
        <v>572</v>
      </c>
      <c r="U314" s="473" t="s">
        <v>2468</v>
      </c>
      <c r="W314" s="418" t="s">
        <v>1271</v>
      </c>
      <c r="X314" s="418" t="s">
        <v>3137</v>
      </c>
      <c r="AA314" s="27"/>
      <c r="AB314" s="27"/>
      <c r="AC314" s="809"/>
      <c r="AD314" s="481"/>
    </row>
    <row r="315" spans="6:30" ht="10.5" customHeight="1">
      <c r="F315" s="506"/>
      <c r="G315" s="885" t="s">
        <v>1825</v>
      </c>
      <c r="H315" s="885" t="s">
        <v>1165</v>
      </c>
      <c r="I315" s="886" t="s">
        <v>1826</v>
      </c>
      <c r="J315" s="889" t="s">
        <v>2487</v>
      </c>
      <c r="K315" s="887" t="s">
        <v>1127</v>
      </c>
      <c r="L315" s="888" t="s">
        <v>404</v>
      </c>
      <c r="M315" s="952" t="s">
        <v>2478</v>
      </c>
      <c r="N315" s="952" t="s">
        <v>1159</v>
      </c>
      <c r="O315" s="1066" t="s">
        <v>3786</v>
      </c>
      <c r="P315" s="504" t="s">
        <v>521</v>
      </c>
      <c r="Q315" s="287"/>
      <c r="R315" s="168"/>
      <c r="S315" s="380"/>
      <c r="T315" s="473" t="s">
        <v>2413</v>
      </c>
      <c r="U315" s="473" t="s">
        <v>2470</v>
      </c>
      <c r="W315" s="418" t="s">
        <v>171</v>
      </c>
      <c r="X315" s="418" t="s">
        <v>3137</v>
      </c>
      <c r="AA315" s="27"/>
      <c r="AB315" s="27"/>
      <c r="AC315" s="809"/>
      <c r="AD315" s="481"/>
    </row>
    <row r="316" spans="6:30" ht="10.5" customHeight="1">
      <c r="F316" s="506"/>
      <c r="G316" s="885" t="s">
        <v>1827</v>
      </c>
      <c r="H316" s="885" t="s">
        <v>1165</v>
      </c>
      <c r="I316" s="889" t="s">
        <v>1828</v>
      </c>
      <c r="J316" s="886" t="s">
        <v>2487</v>
      </c>
      <c r="K316" s="887" t="s">
        <v>1128</v>
      </c>
      <c r="L316" s="888" t="s">
        <v>404</v>
      </c>
      <c r="M316" s="952" t="s">
        <v>2478</v>
      </c>
      <c r="N316" s="952" t="s">
        <v>1702</v>
      </c>
      <c r="O316" s="1066" t="s">
        <v>3787</v>
      </c>
      <c r="P316" s="504" t="s">
        <v>1114</v>
      </c>
      <c r="Q316" s="287"/>
      <c r="R316" s="168"/>
      <c r="S316" s="380"/>
      <c r="T316" s="473" t="s">
        <v>576</v>
      </c>
      <c r="U316" s="473" t="s">
        <v>2085</v>
      </c>
      <c r="W316" s="418" t="s">
        <v>1511</v>
      </c>
      <c r="X316" s="418" t="s">
        <v>3137</v>
      </c>
      <c r="AA316" s="27"/>
      <c r="AB316" s="27"/>
      <c r="AC316" s="809"/>
      <c r="AD316" s="481"/>
    </row>
    <row r="317" spans="6:30" ht="10.5" customHeight="1">
      <c r="F317" s="506"/>
      <c r="G317" s="885" t="s">
        <v>1829</v>
      </c>
      <c r="H317" s="885" t="s">
        <v>1165</v>
      </c>
      <c r="I317" s="889" t="s">
        <v>1271</v>
      </c>
      <c r="J317" s="889" t="s">
        <v>2488</v>
      </c>
      <c r="K317" s="887" t="s">
        <v>2459</v>
      </c>
      <c r="L317" s="888" t="s">
        <v>405</v>
      </c>
      <c r="M317" s="951" t="s">
        <v>2478</v>
      </c>
      <c r="N317" s="952" t="s">
        <v>1271</v>
      </c>
      <c r="O317" s="1066" t="s">
        <v>3788</v>
      </c>
      <c r="P317" s="504" t="s">
        <v>717</v>
      </c>
      <c r="Q317" s="287"/>
      <c r="R317" s="168"/>
      <c r="S317" s="380"/>
      <c r="T317" s="473" t="s">
        <v>2644</v>
      </c>
      <c r="U317" s="473" t="s">
        <v>1061</v>
      </c>
      <c r="W317" s="418" t="s">
        <v>361</v>
      </c>
      <c r="X317" s="418" t="s">
        <v>3137</v>
      </c>
      <c r="AA317" s="27"/>
      <c r="AB317" s="27"/>
      <c r="AC317" s="809"/>
      <c r="AD317" s="481"/>
    </row>
    <row r="318" spans="6:30" ht="10.5" customHeight="1">
      <c r="F318" s="506"/>
      <c r="G318" s="885" t="s">
        <v>1830</v>
      </c>
      <c r="H318" s="885" t="s">
        <v>1262</v>
      </c>
      <c r="I318" s="889" t="s">
        <v>1831</v>
      </c>
      <c r="J318" s="889" t="s">
        <v>2487</v>
      </c>
      <c r="K318" s="887" t="s">
        <v>1129</v>
      </c>
      <c r="L318" s="888" t="s">
        <v>404</v>
      </c>
      <c r="M318" s="952" t="s">
        <v>2478</v>
      </c>
      <c r="N318" s="951" t="s">
        <v>158</v>
      </c>
      <c r="O318" s="1066" t="s">
        <v>3789</v>
      </c>
      <c r="P318" s="504" t="s">
        <v>33</v>
      </c>
      <c r="Q318" s="287"/>
      <c r="R318" s="168"/>
      <c r="S318" s="380"/>
      <c r="T318" s="473" t="s">
        <v>578</v>
      </c>
      <c r="U318" s="473" t="s">
        <v>1569</v>
      </c>
      <c r="W318" s="418" t="s">
        <v>363</v>
      </c>
      <c r="X318" s="418" t="s">
        <v>3137</v>
      </c>
      <c r="AA318" s="27"/>
      <c r="AB318" s="27"/>
      <c r="AC318" s="809"/>
      <c r="AD318" s="481"/>
    </row>
    <row r="319" spans="6:30" ht="10.5" customHeight="1">
      <c r="F319" s="506"/>
      <c r="G319" s="885" t="s">
        <v>1914</v>
      </c>
      <c r="H319" s="885" t="s">
        <v>1165</v>
      </c>
      <c r="I319" s="886" t="s">
        <v>1915</v>
      </c>
      <c r="J319" s="889" t="s">
        <v>2487</v>
      </c>
      <c r="K319" s="887" t="s">
        <v>1130</v>
      </c>
      <c r="L319" s="888" t="s">
        <v>404</v>
      </c>
      <c r="M319" s="952" t="s">
        <v>2478</v>
      </c>
      <c r="N319" s="952" t="s">
        <v>1159</v>
      </c>
      <c r="O319" s="1066" t="s">
        <v>3790</v>
      </c>
      <c r="P319" s="504" t="s">
        <v>1874</v>
      </c>
      <c r="Q319" s="287"/>
      <c r="R319" s="168"/>
      <c r="S319" s="380"/>
      <c r="T319" s="473" t="s">
        <v>520</v>
      </c>
      <c r="U319" s="473" t="s">
        <v>629</v>
      </c>
      <c r="W319" s="418" t="s">
        <v>1541</v>
      </c>
      <c r="X319" s="418" t="s">
        <v>3137</v>
      </c>
      <c r="AA319" s="27"/>
      <c r="AB319" s="27"/>
      <c r="AC319" s="809"/>
      <c r="AD319" s="481"/>
    </row>
    <row r="320" spans="6:30" ht="10.5" customHeight="1">
      <c r="F320" s="506"/>
      <c r="G320" s="885" t="s">
        <v>1916</v>
      </c>
      <c r="H320" s="885" t="s">
        <v>1262</v>
      </c>
      <c r="I320" s="889" t="s">
        <v>1460</v>
      </c>
      <c r="J320" s="886" t="s">
        <v>2488</v>
      </c>
      <c r="K320" s="887" t="s">
        <v>1604</v>
      </c>
      <c r="L320" s="888" t="s">
        <v>405</v>
      </c>
      <c r="M320" s="951" t="s">
        <v>2478</v>
      </c>
      <c r="N320" s="952" t="s">
        <v>1460</v>
      </c>
      <c r="O320" s="1066" t="s">
        <v>3791</v>
      </c>
      <c r="P320" s="504" t="s">
        <v>1876</v>
      </c>
      <c r="Q320" s="287"/>
      <c r="R320" s="168"/>
      <c r="S320" s="380"/>
      <c r="T320" s="473" t="s">
        <v>522</v>
      </c>
      <c r="U320" s="473" t="s">
        <v>152</v>
      </c>
      <c r="W320" s="418" t="s">
        <v>1048</v>
      </c>
      <c r="X320" s="418" t="s">
        <v>3137</v>
      </c>
      <c r="AA320" s="27"/>
      <c r="AB320" s="27"/>
      <c r="AC320" s="809"/>
      <c r="AD320" s="481"/>
    </row>
    <row r="321" spans="3:30" ht="10.5" customHeight="1">
      <c r="F321" s="506"/>
      <c r="G321" s="885" t="s">
        <v>1917</v>
      </c>
      <c r="H321" s="885" t="s">
        <v>1262</v>
      </c>
      <c r="I321" s="889" t="s">
        <v>734</v>
      </c>
      <c r="J321" s="889" t="s">
        <v>2488</v>
      </c>
      <c r="K321" s="887" t="s">
        <v>2456</v>
      </c>
      <c r="L321" s="888" t="s">
        <v>405</v>
      </c>
      <c r="M321" s="951" t="s">
        <v>1150</v>
      </c>
      <c r="N321" s="951" t="s">
        <v>1159</v>
      </c>
      <c r="O321" s="1066" t="s">
        <v>3792</v>
      </c>
      <c r="P321" s="504" t="s">
        <v>323</v>
      </c>
      <c r="Q321" s="287"/>
      <c r="R321" s="168"/>
      <c r="S321" s="380"/>
      <c r="T321" s="473" t="s">
        <v>716</v>
      </c>
      <c r="U321" s="473" t="s">
        <v>1067</v>
      </c>
      <c r="W321" s="418" t="s">
        <v>3132</v>
      </c>
      <c r="X321" s="418" t="s">
        <v>3137</v>
      </c>
      <c r="AA321" s="27"/>
      <c r="AB321" s="27"/>
      <c r="AC321" s="809"/>
      <c r="AD321" s="481"/>
    </row>
    <row r="322" spans="3:30" ht="10.5" customHeight="1">
      <c r="F322" s="506"/>
      <c r="G322" s="885" t="s">
        <v>1918</v>
      </c>
      <c r="H322" s="885" t="s">
        <v>1165</v>
      </c>
      <c r="I322" s="889" t="s">
        <v>96</v>
      </c>
      <c r="J322" s="889" t="s">
        <v>2487</v>
      </c>
      <c r="K322" s="887" t="s">
        <v>1131</v>
      </c>
      <c r="L322" s="888" t="s">
        <v>404</v>
      </c>
      <c r="M322" s="952" t="s">
        <v>2478</v>
      </c>
      <c r="N322" s="951" t="s">
        <v>1620</v>
      </c>
      <c r="O322" s="1066" t="s">
        <v>3793</v>
      </c>
      <c r="P322" s="504" t="s">
        <v>325</v>
      </c>
      <c r="Q322" s="287"/>
      <c r="R322" s="168"/>
      <c r="S322" s="380"/>
      <c r="T322" s="473" t="s">
        <v>718</v>
      </c>
      <c r="U322" s="473" t="s">
        <v>114</v>
      </c>
      <c r="W322" s="418" t="s">
        <v>3133</v>
      </c>
      <c r="X322" s="418" t="s">
        <v>3137</v>
      </c>
      <c r="AA322" s="27"/>
      <c r="AB322" s="27"/>
      <c r="AC322" s="809"/>
      <c r="AD322" s="481"/>
    </row>
    <row r="323" spans="3:30" ht="10.5" customHeight="1">
      <c r="F323" s="506"/>
      <c r="G323" s="885" t="s">
        <v>97</v>
      </c>
      <c r="H323" s="885" t="s">
        <v>1262</v>
      </c>
      <c r="I323" s="889" t="s">
        <v>98</v>
      </c>
      <c r="J323" s="889" t="s">
        <v>2487</v>
      </c>
      <c r="K323" s="887" t="s">
        <v>1132</v>
      </c>
      <c r="L323" s="888" t="s">
        <v>404</v>
      </c>
      <c r="M323" s="952" t="s">
        <v>2478</v>
      </c>
      <c r="N323" s="952" t="s">
        <v>1281</v>
      </c>
      <c r="O323" s="1066" t="s">
        <v>3794</v>
      </c>
      <c r="P323" s="504" t="s">
        <v>327</v>
      </c>
      <c r="Q323" s="287"/>
      <c r="R323" s="168"/>
      <c r="S323" s="380"/>
      <c r="T323" s="473" t="s">
        <v>34</v>
      </c>
      <c r="U323" s="473" t="s">
        <v>168</v>
      </c>
      <c r="W323" s="418" t="s">
        <v>496</v>
      </c>
      <c r="X323" s="418" t="s">
        <v>3137</v>
      </c>
      <c r="AA323" s="27"/>
      <c r="AB323" s="27"/>
      <c r="AC323" s="809"/>
      <c r="AD323" s="481"/>
    </row>
    <row r="324" spans="3:30" ht="10.5" customHeight="1">
      <c r="F324" s="506"/>
      <c r="G324" s="885" t="s">
        <v>99</v>
      </c>
      <c r="H324" s="885" t="s">
        <v>1165</v>
      </c>
      <c r="I324" s="889" t="s">
        <v>100</v>
      </c>
      <c r="J324" s="889" t="s">
        <v>2487</v>
      </c>
      <c r="K324" s="887" t="s">
        <v>1133</v>
      </c>
      <c r="L324" s="888" t="s">
        <v>404</v>
      </c>
      <c r="M324" s="952" t="s">
        <v>2478</v>
      </c>
      <c r="N324" s="952" t="s">
        <v>1271</v>
      </c>
      <c r="O324" s="1066" t="s">
        <v>3795</v>
      </c>
      <c r="P324" s="504" t="s">
        <v>329</v>
      </c>
      <c r="Q324" s="287"/>
      <c r="R324" s="168"/>
      <c r="S324" s="380"/>
      <c r="T324" s="473" t="s">
        <v>1875</v>
      </c>
      <c r="U324" s="473" t="s">
        <v>2141</v>
      </c>
      <c r="W324" s="418" t="s">
        <v>498</v>
      </c>
      <c r="X324" s="418" t="s">
        <v>3137</v>
      </c>
      <c r="AA324" s="27"/>
      <c r="AB324" s="27"/>
      <c r="AC324" s="809"/>
      <c r="AD324" s="481"/>
    </row>
    <row r="325" spans="3:30" ht="10.5" customHeight="1">
      <c r="F325" s="506"/>
      <c r="G325" s="885" t="s">
        <v>101</v>
      </c>
      <c r="H325" s="885" t="s">
        <v>1165</v>
      </c>
      <c r="I325" s="889" t="s">
        <v>102</v>
      </c>
      <c r="J325" s="889" t="s">
        <v>2487</v>
      </c>
      <c r="K325" s="887" t="s">
        <v>1134</v>
      </c>
      <c r="L325" s="888" t="s">
        <v>404</v>
      </c>
      <c r="M325" s="952" t="s">
        <v>2478</v>
      </c>
      <c r="N325" s="952" t="s">
        <v>1277</v>
      </c>
      <c r="O325" s="1066" t="s">
        <v>3796</v>
      </c>
      <c r="P325" s="504" t="s">
        <v>331</v>
      </c>
      <c r="Q325" s="287"/>
      <c r="R325" s="168"/>
      <c r="S325" s="380"/>
      <c r="T325" s="473" t="s">
        <v>1877</v>
      </c>
      <c r="U325" s="473" t="s">
        <v>2471</v>
      </c>
      <c r="W325" s="418" t="s">
        <v>504</v>
      </c>
      <c r="X325" s="418" t="s">
        <v>3137</v>
      </c>
      <c r="AA325" s="27"/>
      <c r="AB325" s="27"/>
      <c r="AC325" s="809"/>
      <c r="AD325" s="481"/>
    </row>
    <row r="326" spans="3:30" ht="10.5" customHeight="1">
      <c r="F326" s="506"/>
      <c r="G326" s="885" t="s">
        <v>103</v>
      </c>
      <c r="H326" s="885" t="s">
        <v>1165</v>
      </c>
      <c r="I326" s="889" t="s">
        <v>104</v>
      </c>
      <c r="J326" s="889" t="s">
        <v>2487</v>
      </c>
      <c r="K326" s="887" t="s">
        <v>1135</v>
      </c>
      <c r="L326" s="888" t="s">
        <v>404</v>
      </c>
      <c r="M326" s="952" t="s">
        <v>2478</v>
      </c>
      <c r="N326" s="952" t="s">
        <v>153</v>
      </c>
      <c r="O326" s="1066" t="s">
        <v>3797</v>
      </c>
      <c r="P326" s="504" t="s">
        <v>333</v>
      </c>
      <c r="Q326" s="287"/>
      <c r="R326" s="168"/>
      <c r="S326" s="380"/>
      <c r="T326" s="473" t="s">
        <v>324</v>
      </c>
      <c r="U326" s="473" t="s">
        <v>1860</v>
      </c>
      <c r="W326" s="418" t="s">
        <v>516</v>
      </c>
      <c r="X326" s="418" t="s">
        <v>3137</v>
      </c>
      <c r="AA326" s="27"/>
      <c r="AB326" s="27"/>
      <c r="AC326" s="809"/>
      <c r="AD326" s="481"/>
    </row>
    <row r="327" spans="3:30" ht="10.5" customHeight="1">
      <c r="F327" s="506"/>
      <c r="G327" s="885" t="s">
        <v>105</v>
      </c>
      <c r="H327" s="885" t="s">
        <v>1165</v>
      </c>
      <c r="I327" s="889" t="s">
        <v>106</v>
      </c>
      <c r="J327" s="889" t="s">
        <v>2487</v>
      </c>
      <c r="K327" s="887" t="s">
        <v>2251</v>
      </c>
      <c r="L327" s="888" t="s">
        <v>404</v>
      </c>
      <c r="M327" s="952" t="s">
        <v>2478</v>
      </c>
      <c r="N327" s="952" t="s">
        <v>1271</v>
      </c>
      <c r="O327" s="1066" t="s">
        <v>3798</v>
      </c>
      <c r="P327" s="504" t="s">
        <v>1850</v>
      </c>
      <c r="Q327" s="287"/>
      <c r="R327" s="168"/>
      <c r="S327" s="380"/>
      <c r="T327" s="473" t="s">
        <v>326</v>
      </c>
      <c r="U327" s="473" t="s">
        <v>840</v>
      </c>
      <c r="W327" s="418" t="s">
        <v>1569</v>
      </c>
      <c r="X327" s="418" t="s">
        <v>3137</v>
      </c>
      <c r="AA327" s="27"/>
      <c r="AB327" s="27"/>
      <c r="AC327" s="809"/>
      <c r="AD327" s="481"/>
    </row>
    <row r="328" spans="3:30" ht="10.5" customHeight="1">
      <c r="F328" s="506"/>
      <c r="G328" s="885" t="s">
        <v>107</v>
      </c>
      <c r="H328" s="885" t="s">
        <v>1262</v>
      </c>
      <c r="I328" s="889" t="s">
        <v>108</v>
      </c>
      <c r="J328" s="889" t="s">
        <v>2487</v>
      </c>
      <c r="K328" s="887" t="s">
        <v>2252</v>
      </c>
      <c r="L328" s="888" t="s">
        <v>404</v>
      </c>
      <c r="M328" s="952" t="s">
        <v>2478</v>
      </c>
      <c r="N328" s="952" t="s">
        <v>158</v>
      </c>
      <c r="O328" s="1066" t="s">
        <v>3799</v>
      </c>
      <c r="P328" s="504" t="s">
        <v>1852</v>
      </c>
      <c r="Q328" s="287"/>
      <c r="R328" s="168"/>
      <c r="S328" s="380"/>
      <c r="T328" s="473" t="s">
        <v>328</v>
      </c>
      <c r="U328" s="473" t="s">
        <v>171</v>
      </c>
      <c r="W328" s="418" t="s">
        <v>2002</v>
      </c>
      <c r="X328" s="418" t="s">
        <v>3137</v>
      </c>
      <c r="AA328" s="27"/>
      <c r="AB328" s="27"/>
      <c r="AC328" s="809"/>
      <c r="AD328" s="481"/>
    </row>
    <row r="329" spans="3:30" ht="10.5" customHeight="1">
      <c r="F329" s="506"/>
      <c r="G329" s="885" t="s">
        <v>1860</v>
      </c>
      <c r="H329" s="885" t="s">
        <v>1262</v>
      </c>
      <c r="I329" s="886" t="s">
        <v>324</v>
      </c>
      <c r="J329" s="889" t="s">
        <v>2488</v>
      </c>
      <c r="K329" s="887" t="s">
        <v>2253</v>
      </c>
      <c r="L329" s="888" t="s">
        <v>405</v>
      </c>
      <c r="M329" s="952" t="s">
        <v>1150</v>
      </c>
      <c r="N329" s="952" t="s">
        <v>1460</v>
      </c>
      <c r="O329" s="1066" t="s">
        <v>3800</v>
      </c>
      <c r="P329" s="504" t="s">
        <v>2059</v>
      </c>
      <c r="Q329" s="287"/>
      <c r="R329" s="168"/>
      <c r="S329" s="380"/>
      <c r="T329" s="505" t="s">
        <v>330</v>
      </c>
      <c r="U329" s="505" t="s">
        <v>2288</v>
      </c>
      <c r="W329" s="418" t="s">
        <v>3134</v>
      </c>
      <c r="X329" s="418" t="s">
        <v>3137</v>
      </c>
      <c r="AA329" s="27"/>
      <c r="AB329" s="27"/>
      <c r="AC329" s="809"/>
      <c r="AD329" s="481"/>
    </row>
    <row r="330" spans="3:30" ht="10.5" customHeight="1">
      <c r="F330" s="506"/>
      <c r="G330" s="885" t="s">
        <v>1861</v>
      </c>
      <c r="H330" s="885" t="s">
        <v>1165</v>
      </c>
      <c r="I330" s="889" t="s">
        <v>2285</v>
      </c>
      <c r="J330" s="886" t="s">
        <v>2487</v>
      </c>
      <c r="K330" s="887" t="s">
        <v>2254</v>
      </c>
      <c r="L330" s="888" t="s">
        <v>404</v>
      </c>
      <c r="M330" s="952" t="s">
        <v>2478</v>
      </c>
      <c r="N330" s="952" t="s">
        <v>1702</v>
      </c>
      <c r="O330" s="1066" t="s">
        <v>3801</v>
      </c>
      <c r="P330" s="504" t="s">
        <v>145</v>
      </c>
      <c r="Q330" s="287"/>
      <c r="R330" s="168"/>
      <c r="S330" s="380"/>
      <c r="T330" s="473" t="s">
        <v>332</v>
      </c>
      <c r="U330" s="473" t="s">
        <v>1788</v>
      </c>
      <c r="W330" s="418" t="s">
        <v>2145</v>
      </c>
      <c r="X330" s="418" t="s">
        <v>3137</v>
      </c>
      <c r="AA330" s="27"/>
      <c r="AB330" s="27"/>
      <c r="AC330" s="810"/>
      <c r="AD330" s="481"/>
    </row>
    <row r="331" spans="3:30" ht="10.5" customHeight="1">
      <c r="F331" s="506"/>
      <c r="G331" s="885" t="s">
        <v>2286</v>
      </c>
      <c r="H331" s="885" t="s">
        <v>1262</v>
      </c>
      <c r="I331" s="889" t="s">
        <v>2287</v>
      </c>
      <c r="J331" s="889" t="s">
        <v>2487</v>
      </c>
      <c r="K331" s="887" t="s">
        <v>402</v>
      </c>
      <c r="L331" s="888" t="s">
        <v>404</v>
      </c>
      <c r="M331" s="952" t="s">
        <v>2478</v>
      </c>
      <c r="N331" s="952" t="s">
        <v>1281</v>
      </c>
      <c r="O331" s="1066" t="s">
        <v>3802</v>
      </c>
      <c r="P331" s="504" t="s">
        <v>146</v>
      </c>
      <c r="Q331" s="287"/>
      <c r="R331" s="168"/>
      <c r="S331" s="380"/>
      <c r="T331" s="473" t="s">
        <v>334</v>
      </c>
      <c r="U331" s="473" t="s">
        <v>167</v>
      </c>
      <c r="W331" s="418" t="s">
        <v>380</v>
      </c>
      <c r="X331" s="418" t="s">
        <v>3137</v>
      </c>
      <c r="AA331" s="27"/>
      <c r="AB331" s="27"/>
      <c r="AC331" s="809"/>
      <c r="AD331" s="481"/>
    </row>
    <row r="332" spans="3:30" ht="10.5" customHeight="1">
      <c r="F332" s="506"/>
      <c r="G332" s="885" t="s">
        <v>2288</v>
      </c>
      <c r="H332" s="885" t="s">
        <v>1165</v>
      </c>
      <c r="I332" s="889" t="s">
        <v>2289</v>
      </c>
      <c r="J332" s="889" t="s">
        <v>2487</v>
      </c>
      <c r="K332" s="887" t="s">
        <v>403</v>
      </c>
      <c r="L332" s="888" t="s">
        <v>404</v>
      </c>
      <c r="M332" s="952" t="s">
        <v>2478</v>
      </c>
      <c r="N332" s="952" t="s">
        <v>1271</v>
      </c>
      <c r="O332" s="1066" t="s">
        <v>3803</v>
      </c>
      <c r="P332" s="504" t="s">
        <v>1516</v>
      </c>
      <c r="Q332" s="287"/>
      <c r="R332" s="168"/>
      <c r="S332" s="380"/>
      <c r="T332" s="473" t="s">
        <v>1851</v>
      </c>
      <c r="U332" s="473" t="s">
        <v>99</v>
      </c>
      <c r="W332" s="418" t="s">
        <v>1754</v>
      </c>
      <c r="X332" s="418" t="s">
        <v>3137</v>
      </c>
      <c r="AA332" s="27"/>
      <c r="AB332" s="27"/>
      <c r="AC332" s="809"/>
      <c r="AD332" s="481"/>
    </row>
    <row r="333" spans="3:30" ht="10.5" customHeight="1">
      <c r="F333" s="325"/>
      <c r="G333" s="885" t="s">
        <v>2290</v>
      </c>
      <c r="H333" s="885" t="s">
        <v>1165</v>
      </c>
      <c r="I333" s="889" t="s">
        <v>1702</v>
      </c>
      <c r="J333" s="889" t="s">
        <v>2488</v>
      </c>
      <c r="K333" s="887" t="s">
        <v>1119</v>
      </c>
      <c r="L333" s="888" t="s">
        <v>405</v>
      </c>
      <c r="M333" s="951" t="s">
        <v>2478</v>
      </c>
      <c r="N333" s="952" t="s">
        <v>1702</v>
      </c>
      <c r="O333" s="1066" t="s">
        <v>3804</v>
      </c>
      <c r="P333" s="504" t="s">
        <v>758</v>
      </c>
      <c r="Q333" s="287"/>
      <c r="R333" s="168"/>
      <c r="S333" s="380"/>
      <c r="T333" s="473" t="s">
        <v>187</v>
      </c>
      <c r="U333" s="473" t="s">
        <v>1592</v>
      </c>
      <c r="W333" s="418" t="s">
        <v>2168</v>
      </c>
      <c r="X333" s="418" t="s">
        <v>3137</v>
      </c>
      <c r="AA333" s="27"/>
      <c r="AB333" s="27"/>
      <c r="AC333" s="809"/>
      <c r="AD333" s="481"/>
    </row>
    <row r="334" spans="3:30" ht="10.5" customHeight="1">
      <c r="F334" s="325"/>
      <c r="G334" s="307"/>
      <c r="H334" s="307"/>
      <c r="I334" s="1492"/>
      <c r="J334" s="1492"/>
      <c r="K334" s="1493"/>
      <c r="L334" s="1494"/>
      <c r="M334" s="357"/>
      <c r="N334" s="357"/>
      <c r="O334" s="357"/>
      <c r="P334" s="504" t="s">
        <v>760</v>
      </c>
      <c r="Q334" s="287"/>
      <c r="R334" s="168"/>
      <c r="S334" s="380"/>
      <c r="T334" s="473" t="s">
        <v>2060</v>
      </c>
      <c r="U334" s="473" t="s">
        <v>187</v>
      </c>
      <c r="W334" s="418" t="s">
        <v>534</v>
      </c>
      <c r="X334" s="418" t="s">
        <v>3137</v>
      </c>
      <c r="AA334" s="27"/>
      <c r="AB334" s="27"/>
      <c r="AC334" s="809"/>
      <c r="AD334" s="481"/>
    </row>
    <row r="335" spans="3:30" ht="10.5" customHeight="1">
      <c r="C335" s="4767">
        <v>2019</v>
      </c>
      <c r="D335" s="4768"/>
      <c r="E335" s="4768"/>
      <c r="F335" s="4768"/>
      <c r="G335" s="4767">
        <v>2020</v>
      </c>
      <c r="H335" s="4767"/>
      <c r="I335" s="4767"/>
      <c r="J335" s="4767"/>
      <c r="K335"/>
      <c r="L335" s="4769" t="s">
        <v>4263</v>
      </c>
      <c r="M335" s="4770"/>
      <c r="N335" s="4770"/>
      <c r="O335" s="4771"/>
      <c r="P335" s="504" t="s">
        <v>762</v>
      </c>
      <c r="Q335" s="287"/>
      <c r="R335" s="168"/>
      <c r="S335" s="380"/>
      <c r="T335" s="505" t="s">
        <v>659</v>
      </c>
      <c r="U335" s="505" t="s">
        <v>2081</v>
      </c>
      <c r="W335" s="418" t="s">
        <v>1395</v>
      </c>
      <c r="X335" s="418" t="s">
        <v>3137</v>
      </c>
      <c r="AA335" s="27"/>
      <c r="AB335" s="27"/>
      <c r="AC335" s="809"/>
      <c r="AD335" s="481"/>
    </row>
    <row r="336" spans="3:30" ht="10.5" customHeight="1">
      <c r="C336" s="4772" t="s">
        <v>4163</v>
      </c>
      <c r="D336" s="4773" t="s">
        <v>4164</v>
      </c>
      <c r="E336" s="4773" t="s">
        <v>4165</v>
      </c>
      <c r="F336" s="4773" t="s">
        <v>4166</v>
      </c>
      <c r="G336" s="4772" t="s">
        <v>4163</v>
      </c>
      <c r="H336" s="4773" t="s">
        <v>4164</v>
      </c>
      <c r="I336" s="4773" t="s">
        <v>4165</v>
      </c>
      <c r="J336" s="4773" t="s">
        <v>4166</v>
      </c>
      <c r="K336"/>
      <c r="L336" s="4772" t="s">
        <v>4163</v>
      </c>
      <c r="M336" s="4773" t="s">
        <v>4164</v>
      </c>
      <c r="N336" s="4773" t="s">
        <v>4165</v>
      </c>
      <c r="O336" s="4773" t="s">
        <v>4166</v>
      </c>
      <c r="P336" s="504" t="s">
        <v>2310</v>
      </c>
      <c r="Q336" s="287"/>
      <c r="R336" s="168"/>
      <c r="S336" s="380"/>
      <c r="T336" s="473" t="s">
        <v>147</v>
      </c>
      <c r="U336" s="473" t="s">
        <v>1787</v>
      </c>
      <c r="W336" s="418" t="s">
        <v>1518</v>
      </c>
      <c r="X336" s="418" t="s">
        <v>3137</v>
      </c>
      <c r="AA336" s="27"/>
      <c r="AB336" s="27"/>
      <c r="AC336" s="810"/>
      <c r="AD336" s="481"/>
    </row>
    <row r="337" spans="3:30" ht="10.5" customHeight="1">
      <c r="C337" s="4772"/>
      <c r="D337" s="4773"/>
      <c r="E337" s="4773"/>
      <c r="F337" s="4773"/>
      <c r="G337" s="4772"/>
      <c r="H337" s="4773"/>
      <c r="I337" s="4773"/>
      <c r="J337" s="4773"/>
      <c r="K337"/>
      <c r="L337" s="4772"/>
      <c r="M337" s="4773"/>
      <c r="N337" s="4773"/>
      <c r="O337" s="4773"/>
      <c r="P337" s="504" t="s">
        <v>2311</v>
      </c>
      <c r="Q337" s="287"/>
      <c r="R337" s="168"/>
      <c r="S337" s="380"/>
      <c r="T337" s="473" t="s">
        <v>188</v>
      </c>
      <c r="U337" s="473" t="s">
        <v>598</v>
      </c>
      <c r="W337" s="418" t="s">
        <v>2025</v>
      </c>
      <c r="X337" s="418" t="s">
        <v>3137</v>
      </c>
      <c r="AA337" s="27"/>
      <c r="AB337" s="27"/>
      <c r="AC337" s="809"/>
      <c r="AD337" s="481"/>
    </row>
    <row r="338" spans="3:30" ht="10.5" customHeight="1">
      <c r="C338" s="4772"/>
      <c r="D338" s="4773"/>
      <c r="E338" s="4773"/>
      <c r="F338" s="4773"/>
      <c r="G338" s="4772"/>
      <c r="H338" s="4773"/>
      <c r="I338" s="4773"/>
      <c r="J338" s="4773"/>
      <c r="K338"/>
      <c r="L338" s="4772"/>
      <c r="M338" s="4773"/>
      <c r="N338" s="4773"/>
      <c r="O338" s="4773"/>
      <c r="P338" s="504" t="s">
        <v>2313</v>
      </c>
      <c r="Q338" s="287"/>
      <c r="R338" s="168"/>
      <c r="S338" s="380"/>
      <c r="T338" s="473" t="s">
        <v>2448</v>
      </c>
      <c r="U338" s="473" t="s">
        <v>1918</v>
      </c>
      <c r="W338" s="418" t="s">
        <v>2027</v>
      </c>
      <c r="X338" s="418" t="s">
        <v>3137</v>
      </c>
      <c r="AA338" s="27"/>
      <c r="AB338" s="27"/>
      <c r="AC338" s="809"/>
      <c r="AD338" s="481"/>
    </row>
    <row r="339" spans="3:30" ht="10.5" customHeight="1">
      <c r="C339" s="4772"/>
      <c r="D339" s="4773"/>
      <c r="E339" s="4773"/>
      <c r="F339" s="4773"/>
      <c r="G339" s="4772"/>
      <c r="H339" s="4773"/>
      <c r="I339" s="4773"/>
      <c r="J339" s="4773"/>
      <c r="K339"/>
      <c r="L339" s="4772"/>
      <c r="M339" s="4773"/>
      <c r="N339" s="4773"/>
      <c r="O339" s="4773"/>
      <c r="P339" s="504" t="s">
        <v>2315</v>
      </c>
      <c r="Q339" s="287"/>
      <c r="R339" s="168"/>
      <c r="S339" s="380"/>
      <c r="T339" s="473" t="s">
        <v>759</v>
      </c>
      <c r="U339" s="473" t="s">
        <v>99</v>
      </c>
      <c r="W339" s="418" t="s">
        <v>1386</v>
      </c>
      <c r="X339" s="418" t="s">
        <v>3137</v>
      </c>
      <c r="AA339" s="27"/>
      <c r="AB339" s="27"/>
      <c r="AC339" s="809"/>
      <c r="AD339" s="481"/>
    </row>
    <row r="340" spans="3:30" ht="10.5" customHeight="1">
      <c r="C340" s="4772"/>
      <c r="D340" s="4773"/>
      <c r="E340" s="4773"/>
      <c r="F340" s="4773"/>
      <c r="G340" s="4772"/>
      <c r="H340" s="4773"/>
      <c r="I340" s="4773"/>
      <c r="J340" s="4773"/>
      <c r="K340"/>
      <c r="L340" s="4772"/>
      <c r="M340" s="4773"/>
      <c r="N340" s="4773"/>
      <c r="O340" s="4773"/>
      <c r="P340" s="504" t="s">
        <v>2316</v>
      </c>
      <c r="Q340" s="287"/>
      <c r="R340" s="168"/>
      <c r="S340" s="380"/>
      <c r="T340" s="473" t="s">
        <v>761</v>
      </c>
      <c r="U340" s="473" t="s">
        <v>115</v>
      </c>
      <c r="W340" s="418" t="s">
        <v>1492</v>
      </c>
      <c r="X340" s="418" t="s">
        <v>3137</v>
      </c>
      <c r="AA340" s="27"/>
      <c r="AB340" s="27"/>
      <c r="AC340" s="809"/>
      <c r="AD340" s="481"/>
    </row>
    <row r="341" spans="3:30" ht="10.5" customHeight="1">
      <c r="C341" s="4772"/>
      <c r="D341" s="4773"/>
      <c r="E341" s="4773"/>
      <c r="F341" s="4773"/>
      <c r="G341" s="4772"/>
      <c r="H341" s="4773"/>
      <c r="I341" s="4773"/>
      <c r="J341" s="4773"/>
      <c r="K341"/>
      <c r="L341" s="4772"/>
      <c r="M341" s="4773"/>
      <c r="N341" s="4773"/>
      <c r="O341" s="4773"/>
      <c r="P341" s="504" t="s">
        <v>365</v>
      </c>
      <c r="Q341" s="287"/>
      <c r="R341" s="168"/>
      <c r="S341" s="380"/>
      <c r="T341" s="473" t="s">
        <v>763</v>
      </c>
      <c r="U341" s="473" t="s">
        <v>315</v>
      </c>
      <c r="W341" s="418" t="s">
        <v>1139</v>
      </c>
      <c r="X341" s="418" t="s">
        <v>3137</v>
      </c>
      <c r="AA341" s="27"/>
      <c r="AB341" s="27"/>
      <c r="AC341" s="809"/>
      <c r="AD341" s="481"/>
    </row>
    <row r="342" spans="3:30" ht="10.5" customHeight="1">
      <c r="C342" s="1522">
        <v>13001950100</v>
      </c>
      <c r="D342" s="1523">
        <v>0</v>
      </c>
      <c r="E342" s="1523">
        <v>1</v>
      </c>
      <c r="F342" s="1524">
        <v>1</v>
      </c>
      <c r="G342" s="1534" t="s">
        <v>4248</v>
      </c>
      <c r="H342" s="1535">
        <v>0</v>
      </c>
      <c r="I342" s="1535">
        <v>0</v>
      </c>
      <c r="J342" s="1536">
        <v>0</v>
      </c>
      <c r="K342" s="1525"/>
      <c r="L342" s="1517" t="s">
        <v>4248</v>
      </c>
      <c r="M342" s="1518">
        <v>0</v>
      </c>
      <c r="N342" s="1518">
        <v>1</v>
      </c>
      <c r="O342" s="1518">
        <v>1</v>
      </c>
      <c r="P342" s="504" t="s">
        <v>42</v>
      </c>
      <c r="Q342" s="287"/>
      <c r="R342" s="168"/>
      <c r="S342" s="380"/>
      <c r="T342" s="505" t="s">
        <v>2645</v>
      </c>
      <c r="U342" s="505" t="s">
        <v>844</v>
      </c>
      <c r="W342" s="418" t="s">
        <v>1671</v>
      </c>
      <c r="X342" s="418" t="s">
        <v>3137</v>
      </c>
      <c r="AA342" s="27"/>
      <c r="AB342" s="27"/>
      <c r="AC342" s="809"/>
      <c r="AD342" s="481"/>
    </row>
    <row r="343" spans="3:30" ht="10.5" customHeight="1">
      <c r="C343" s="1526" t="s">
        <v>4301</v>
      </c>
      <c r="D343" s="1523">
        <v>0</v>
      </c>
      <c r="E343" s="1523">
        <v>0</v>
      </c>
      <c r="F343" s="1524">
        <v>0</v>
      </c>
      <c r="G343" s="1537" t="s">
        <v>4301</v>
      </c>
      <c r="H343" s="1521">
        <v>0</v>
      </c>
      <c r="I343" s="1521">
        <v>0</v>
      </c>
      <c r="J343" s="1538">
        <v>0</v>
      </c>
      <c r="K343" s="1525"/>
      <c r="L343" s="1519">
        <v>13001950200</v>
      </c>
      <c r="M343" s="1520">
        <v>0</v>
      </c>
      <c r="N343" s="1520">
        <v>0</v>
      </c>
      <c r="O343" s="1520">
        <v>0</v>
      </c>
      <c r="P343" s="504" t="s">
        <v>44</v>
      </c>
      <c r="Q343" s="287"/>
      <c r="R343" s="168"/>
      <c r="S343" s="380"/>
      <c r="T343" s="473" t="s">
        <v>2312</v>
      </c>
      <c r="U343" s="473" t="s">
        <v>1397</v>
      </c>
      <c r="W343" s="418" t="s">
        <v>1731</v>
      </c>
      <c r="X343" s="418" t="s">
        <v>3137</v>
      </c>
      <c r="AA343" s="27"/>
      <c r="AB343" s="27"/>
      <c r="AC343" s="810"/>
      <c r="AD343" s="481"/>
    </row>
    <row r="344" spans="3:30" ht="10.5" customHeight="1">
      <c r="C344" s="1526" t="s">
        <v>4302</v>
      </c>
      <c r="D344" s="1523">
        <v>0</v>
      </c>
      <c r="E344" s="1523">
        <v>0</v>
      </c>
      <c r="F344" s="1524">
        <v>0</v>
      </c>
      <c r="G344" s="1537" t="s">
        <v>4302</v>
      </c>
      <c r="H344" s="1521">
        <v>0</v>
      </c>
      <c r="I344" s="1521">
        <v>0</v>
      </c>
      <c r="J344" s="1538">
        <v>0</v>
      </c>
      <c r="K344" s="1525"/>
      <c r="L344" s="1519">
        <v>13001950300</v>
      </c>
      <c r="M344" s="1520">
        <v>0</v>
      </c>
      <c r="N344" s="1520">
        <v>0</v>
      </c>
      <c r="O344" s="1520">
        <v>0</v>
      </c>
      <c r="P344" s="504" t="s">
        <v>1832</v>
      </c>
      <c r="Q344" s="287"/>
      <c r="R344" s="168"/>
      <c r="S344" s="380"/>
      <c r="T344" s="473" t="s">
        <v>2314</v>
      </c>
      <c r="U344" s="473" t="s">
        <v>1065</v>
      </c>
      <c r="W344" s="418" t="s">
        <v>1063</v>
      </c>
      <c r="X344" s="418" t="s">
        <v>3137</v>
      </c>
      <c r="AA344" s="27"/>
      <c r="AB344" s="27"/>
      <c r="AC344" s="809"/>
      <c r="AD344" s="481"/>
    </row>
    <row r="345" spans="3:30" ht="10.5" customHeight="1">
      <c r="C345" s="1526" t="s">
        <v>4303</v>
      </c>
      <c r="D345" s="1523">
        <v>0</v>
      </c>
      <c r="E345" s="1523">
        <v>0</v>
      </c>
      <c r="F345" s="1524">
        <v>0</v>
      </c>
      <c r="G345" s="1537" t="s">
        <v>4303</v>
      </c>
      <c r="H345" s="1521">
        <v>0</v>
      </c>
      <c r="I345" s="1521">
        <v>0</v>
      </c>
      <c r="J345" s="1538">
        <v>0</v>
      </c>
      <c r="K345" s="1525"/>
      <c r="L345" s="1519">
        <v>13001950400</v>
      </c>
      <c r="M345" s="1520">
        <v>0</v>
      </c>
      <c r="N345" s="1520">
        <v>0</v>
      </c>
      <c r="O345" s="1520">
        <v>0</v>
      </c>
      <c r="P345" s="504" t="s">
        <v>1833</v>
      </c>
      <c r="Q345" s="287"/>
      <c r="R345" s="168"/>
      <c r="S345" s="380"/>
      <c r="T345" s="473" t="s">
        <v>2449</v>
      </c>
      <c r="U345" s="473" t="s">
        <v>636</v>
      </c>
      <c r="W345" s="418" t="s">
        <v>3135</v>
      </c>
      <c r="X345" s="418" t="s">
        <v>3137</v>
      </c>
      <c r="AA345" s="27"/>
      <c r="AB345" s="27"/>
      <c r="AC345" s="809"/>
      <c r="AD345" s="481"/>
    </row>
    <row r="346" spans="3:30" ht="10.5" customHeight="1">
      <c r="C346" s="1526" t="s">
        <v>4304</v>
      </c>
      <c r="D346" s="1523">
        <v>0</v>
      </c>
      <c r="E346" s="1523">
        <v>0</v>
      </c>
      <c r="F346" s="1524">
        <v>0</v>
      </c>
      <c r="G346" s="1537" t="s">
        <v>4304</v>
      </c>
      <c r="H346" s="1521">
        <v>0</v>
      </c>
      <c r="I346" s="1521">
        <v>0</v>
      </c>
      <c r="J346" s="1538">
        <v>0</v>
      </c>
      <c r="K346" s="1525"/>
      <c r="L346" s="1519">
        <v>13001950500</v>
      </c>
      <c r="M346" s="1520">
        <v>0</v>
      </c>
      <c r="N346" s="1520">
        <v>0</v>
      </c>
      <c r="O346" s="1520">
        <v>0</v>
      </c>
      <c r="P346" s="504" t="s">
        <v>1835</v>
      </c>
      <c r="Q346" s="287"/>
      <c r="R346" s="168"/>
      <c r="S346" s="380"/>
      <c r="T346" s="507" t="s">
        <v>364</v>
      </c>
      <c r="U346" s="473" t="s">
        <v>2376</v>
      </c>
      <c r="W346" s="418" t="s">
        <v>2049</v>
      </c>
      <c r="X346" s="418" t="s">
        <v>3137</v>
      </c>
      <c r="AA346" s="27"/>
      <c r="AB346" s="27"/>
      <c r="AC346" s="809"/>
      <c r="AD346" s="481"/>
    </row>
    <row r="347" spans="3:30" ht="10.5" customHeight="1">
      <c r="C347" s="1526" t="s">
        <v>4305</v>
      </c>
      <c r="D347" s="1523">
        <v>0</v>
      </c>
      <c r="E347" s="1523">
        <v>0</v>
      </c>
      <c r="F347" s="1524">
        <v>0</v>
      </c>
      <c r="G347" s="1537" t="s">
        <v>4305</v>
      </c>
      <c r="H347" s="1521">
        <v>0</v>
      </c>
      <c r="I347" s="1521">
        <v>0</v>
      </c>
      <c r="J347" s="1538">
        <v>0</v>
      </c>
      <c r="K347" s="1525"/>
      <c r="L347" s="1519">
        <v>13003960100</v>
      </c>
      <c r="M347" s="1520">
        <v>0</v>
      </c>
      <c r="N347" s="1520">
        <v>0</v>
      </c>
      <c r="O347" s="1520">
        <v>0</v>
      </c>
      <c r="P347" s="504" t="s">
        <v>1836</v>
      </c>
      <c r="Q347" s="287"/>
      <c r="R347" s="168"/>
      <c r="S347" s="380"/>
      <c r="T347" s="473" t="s">
        <v>366</v>
      </c>
      <c r="U347" s="473" t="s">
        <v>2074</v>
      </c>
      <c r="W347" s="418" t="s">
        <v>1458</v>
      </c>
      <c r="X347" s="418" t="s">
        <v>3137</v>
      </c>
      <c r="AA347" s="27"/>
      <c r="AB347" s="27"/>
      <c r="AC347" s="811"/>
      <c r="AD347" s="481"/>
    </row>
    <row r="348" spans="3:30" ht="10.5" customHeight="1">
      <c r="C348" s="1526" t="s">
        <v>4306</v>
      </c>
      <c r="D348" s="1523">
        <v>0</v>
      </c>
      <c r="E348" s="1523">
        <v>0</v>
      </c>
      <c r="F348" s="1524">
        <v>0</v>
      </c>
      <c r="G348" s="1537" t="s">
        <v>4306</v>
      </c>
      <c r="H348" s="1521">
        <v>0</v>
      </c>
      <c r="I348" s="1521">
        <v>0</v>
      </c>
      <c r="J348" s="1538">
        <v>0</v>
      </c>
      <c r="K348" s="1525"/>
      <c r="L348" s="1519">
        <v>13003960200</v>
      </c>
      <c r="M348" s="1520">
        <v>0</v>
      </c>
      <c r="N348" s="1520">
        <v>0</v>
      </c>
      <c r="O348" s="1520">
        <v>0</v>
      </c>
      <c r="P348" s="504" t="s">
        <v>1837</v>
      </c>
      <c r="Q348" s="287"/>
      <c r="R348" s="168"/>
      <c r="S348" s="380"/>
      <c r="T348" s="473" t="s">
        <v>43</v>
      </c>
      <c r="U348" s="473" t="s">
        <v>917</v>
      </c>
      <c r="W348" s="418" t="s">
        <v>58</v>
      </c>
      <c r="X348" s="418" t="s">
        <v>3137</v>
      </c>
      <c r="AA348" s="27"/>
      <c r="AB348" s="27"/>
      <c r="AC348" s="809"/>
      <c r="AD348" s="481"/>
    </row>
    <row r="349" spans="3:30" ht="10.5" customHeight="1">
      <c r="C349" s="1526" t="s">
        <v>4307</v>
      </c>
      <c r="D349" s="1523">
        <v>0</v>
      </c>
      <c r="E349" s="1523">
        <v>0</v>
      </c>
      <c r="F349" s="1524">
        <v>0</v>
      </c>
      <c r="G349" s="1537" t="s">
        <v>4307</v>
      </c>
      <c r="H349" s="1521">
        <v>0</v>
      </c>
      <c r="I349" s="1521">
        <v>0</v>
      </c>
      <c r="J349" s="1538">
        <v>0</v>
      </c>
      <c r="K349" s="1525"/>
      <c r="L349" s="1519">
        <v>13003960300</v>
      </c>
      <c r="M349" s="1520">
        <v>0</v>
      </c>
      <c r="N349" s="1520">
        <v>0</v>
      </c>
      <c r="O349" s="1520">
        <v>0</v>
      </c>
      <c r="P349" s="504" t="s">
        <v>1839</v>
      </c>
      <c r="Q349" s="287"/>
      <c r="R349" s="168"/>
      <c r="S349" s="380"/>
      <c r="T349" s="473" t="s">
        <v>45</v>
      </c>
      <c r="U349" s="473" t="s">
        <v>598</v>
      </c>
      <c r="W349" s="418" t="s">
        <v>62</v>
      </c>
      <c r="X349" s="418" t="s">
        <v>3137</v>
      </c>
      <c r="AA349" s="27"/>
      <c r="AB349" s="27"/>
      <c r="AC349" s="809"/>
      <c r="AD349" s="481"/>
    </row>
    <row r="350" spans="3:30" ht="10.5" customHeight="1">
      <c r="C350" s="1526" t="s">
        <v>4308</v>
      </c>
      <c r="D350" s="1523">
        <v>1</v>
      </c>
      <c r="E350" s="1523">
        <v>0</v>
      </c>
      <c r="F350" s="1524">
        <v>1</v>
      </c>
      <c r="G350" s="1537" t="s">
        <v>4308</v>
      </c>
      <c r="H350" s="1521">
        <v>0</v>
      </c>
      <c r="I350" s="1521">
        <v>0</v>
      </c>
      <c r="J350" s="1538">
        <v>0</v>
      </c>
      <c r="K350" s="1525"/>
      <c r="L350" s="1519">
        <v>13005970100</v>
      </c>
      <c r="M350" s="1520">
        <v>1</v>
      </c>
      <c r="N350" s="1520">
        <v>0</v>
      </c>
      <c r="O350" s="1520">
        <v>1</v>
      </c>
      <c r="P350" s="504" t="s">
        <v>686</v>
      </c>
      <c r="Q350" s="287"/>
      <c r="R350" s="168"/>
      <c r="S350" s="380"/>
      <c r="T350" s="505" t="s">
        <v>839</v>
      </c>
      <c r="U350" s="505" t="s">
        <v>2374</v>
      </c>
      <c r="W350" s="418" t="s">
        <v>64</v>
      </c>
      <c r="X350" s="418" t="s">
        <v>3137</v>
      </c>
      <c r="AA350" s="27"/>
      <c r="AB350" s="27"/>
      <c r="AC350" s="809"/>
      <c r="AD350" s="481"/>
    </row>
    <row r="351" spans="3:30" ht="10.5" customHeight="1">
      <c r="C351" s="1526" t="s">
        <v>4309</v>
      </c>
      <c r="D351" s="1523">
        <v>0</v>
      </c>
      <c r="E351" s="1523">
        <v>0</v>
      </c>
      <c r="F351" s="1524">
        <v>0</v>
      </c>
      <c r="G351" s="1537" t="s">
        <v>4309</v>
      </c>
      <c r="H351" s="1521">
        <v>0</v>
      </c>
      <c r="I351" s="1521">
        <v>0</v>
      </c>
      <c r="J351" s="1538">
        <v>0</v>
      </c>
      <c r="K351" s="1525"/>
      <c r="L351" s="1519">
        <v>13005970201</v>
      </c>
      <c r="M351" s="1520">
        <v>0</v>
      </c>
      <c r="N351" s="1520">
        <v>0</v>
      </c>
      <c r="O351" s="1520">
        <v>0</v>
      </c>
      <c r="P351" s="504" t="s">
        <v>1097</v>
      </c>
      <c r="Q351" s="287"/>
      <c r="R351" s="168"/>
      <c r="S351" s="380"/>
      <c r="T351" s="505" t="s">
        <v>1834</v>
      </c>
      <c r="U351" s="505" t="s">
        <v>839</v>
      </c>
      <c r="W351" s="418" t="s">
        <v>745</v>
      </c>
      <c r="X351" s="418" t="s">
        <v>3137</v>
      </c>
      <c r="AA351" s="27"/>
      <c r="AB351" s="27"/>
      <c r="AC351" s="810"/>
      <c r="AD351" s="481"/>
    </row>
    <row r="352" spans="3:30" ht="10.5" customHeight="1">
      <c r="C352" s="1526" t="s">
        <v>4310</v>
      </c>
      <c r="D352" s="1523">
        <v>0</v>
      </c>
      <c r="E352" s="1523">
        <v>0</v>
      </c>
      <c r="F352" s="1524">
        <v>0</v>
      </c>
      <c r="G352" s="1537" t="s">
        <v>4310</v>
      </c>
      <c r="H352" s="1521">
        <v>0</v>
      </c>
      <c r="I352" s="1521">
        <v>0</v>
      </c>
      <c r="J352" s="1538">
        <v>0</v>
      </c>
      <c r="K352" s="1525"/>
      <c r="L352" s="1519">
        <v>13005970202</v>
      </c>
      <c r="M352" s="1520">
        <v>0</v>
      </c>
      <c r="N352" s="1520">
        <v>0</v>
      </c>
      <c r="O352" s="1520">
        <v>0</v>
      </c>
      <c r="P352" s="504" t="s">
        <v>1099</v>
      </c>
      <c r="Q352" s="287"/>
      <c r="R352" s="168"/>
      <c r="S352" s="380"/>
      <c r="T352" s="473" t="s">
        <v>2450</v>
      </c>
      <c r="U352" s="473" t="s">
        <v>598</v>
      </c>
      <c r="W352" s="418" t="s">
        <v>906</v>
      </c>
      <c r="X352" s="418" t="s">
        <v>3137</v>
      </c>
      <c r="AA352" s="27"/>
      <c r="AB352" s="27"/>
      <c r="AC352" s="810"/>
      <c r="AD352" s="481"/>
    </row>
    <row r="353" spans="3:30" ht="10.5" customHeight="1">
      <c r="C353" s="1526" t="s">
        <v>4311</v>
      </c>
      <c r="D353" s="1523">
        <v>0</v>
      </c>
      <c r="E353" s="1523">
        <v>0</v>
      </c>
      <c r="F353" s="1524">
        <v>0</v>
      </c>
      <c r="G353" s="1537" t="s">
        <v>4311</v>
      </c>
      <c r="H353" s="1521">
        <v>0</v>
      </c>
      <c r="I353" s="1521">
        <v>1</v>
      </c>
      <c r="J353" s="1538">
        <v>1</v>
      </c>
      <c r="K353" s="1525"/>
      <c r="L353" s="1519">
        <v>13007960100</v>
      </c>
      <c r="M353" s="1520">
        <v>0</v>
      </c>
      <c r="N353" s="1520">
        <v>1</v>
      </c>
      <c r="O353" s="1520">
        <v>1</v>
      </c>
      <c r="P353" s="504" t="s">
        <v>1101</v>
      </c>
      <c r="Q353" s="287"/>
      <c r="R353" s="168"/>
      <c r="S353" s="380"/>
      <c r="T353" s="473" t="s">
        <v>2646</v>
      </c>
      <c r="U353" s="473" t="s">
        <v>2371</v>
      </c>
      <c r="W353" s="418" t="s">
        <v>1003</v>
      </c>
      <c r="X353" s="418" t="s">
        <v>3137</v>
      </c>
      <c r="AA353" s="27"/>
      <c r="AB353" s="27"/>
      <c r="AC353" s="809"/>
      <c r="AD353" s="481"/>
    </row>
    <row r="354" spans="3:30" ht="10.5" customHeight="1">
      <c r="C354" s="1526" t="s">
        <v>4312</v>
      </c>
      <c r="D354" s="1523">
        <v>1</v>
      </c>
      <c r="E354" s="1523">
        <v>0</v>
      </c>
      <c r="F354" s="1524">
        <v>1</v>
      </c>
      <c r="G354" s="1537" t="s">
        <v>4312</v>
      </c>
      <c r="H354" s="1521">
        <v>0</v>
      </c>
      <c r="I354" s="1521">
        <v>0</v>
      </c>
      <c r="J354" s="1538">
        <v>0</v>
      </c>
      <c r="K354" s="1525"/>
      <c r="L354" s="1519">
        <v>13007960200</v>
      </c>
      <c r="M354" s="1520">
        <v>1</v>
      </c>
      <c r="N354" s="1520">
        <v>0</v>
      </c>
      <c r="O354" s="1520">
        <v>1</v>
      </c>
      <c r="P354" s="504" t="s">
        <v>2394</v>
      </c>
      <c r="Q354" s="287"/>
      <c r="R354" s="168"/>
      <c r="S354" s="380"/>
      <c r="T354" s="473" t="s">
        <v>1838</v>
      </c>
      <c r="U354" s="473" t="s">
        <v>1397</v>
      </c>
      <c r="W354" s="418" t="s">
        <v>2164</v>
      </c>
      <c r="X354" s="418" t="s">
        <v>3137</v>
      </c>
      <c r="AA354" s="27"/>
      <c r="AB354" s="27"/>
      <c r="AC354" s="809"/>
      <c r="AD354" s="481"/>
    </row>
    <row r="355" spans="3:30" ht="10.5" customHeight="1">
      <c r="C355" s="1526" t="s">
        <v>4313</v>
      </c>
      <c r="D355" s="1523">
        <v>0</v>
      </c>
      <c r="E355" s="1523">
        <v>0</v>
      </c>
      <c r="F355" s="1524">
        <v>0</v>
      </c>
      <c r="G355" s="1537" t="s">
        <v>4313</v>
      </c>
      <c r="H355" s="1521">
        <v>1</v>
      </c>
      <c r="I355" s="1521">
        <v>0</v>
      </c>
      <c r="J355" s="1538">
        <v>1</v>
      </c>
      <c r="K355" s="1525"/>
      <c r="L355" s="1519">
        <v>13009970100</v>
      </c>
      <c r="M355" s="1520">
        <v>1</v>
      </c>
      <c r="N355" s="1520">
        <v>0</v>
      </c>
      <c r="O355" s="1520">
        <v>1</v>
      </c>
      <c r="P355" s="504" t="s">
        <v>2396</v>
      </c>
      <c r="Q355" s="287"/>
      <c r="R355" s="168"/>
      <c r="S355" s="380"/>
      <c r="T355" s="473" t="s">
        <v>1840</v>
      </c>
      <c r="U355" s="473" t="s">
        <v>1397</v>
      </c>
      <c r="W355" s="418" t="s">
        <v>2402</v>
      </c>
      <c r="X355" s="418" t="s">
        <v>3137</v>
      </c>
      <c r="AA355" s="27"/>
      <c r="AB355" s="27"/>
      <c r="AC355" s="809"/>
      <c r="AD355" s="481"/>
    </row>
    <row r="356" spans="3:30" ht="10.5" customHeight="1">
      <c r="C356" s="1526" t="s">
        <v>4314</v>
      </c>
      <c r="D356" s="1523">
        <v>0</v>
      </c>
      <c r="E356" s="1523">
        <v>0</v>
      </c>
      <c r="F356" s="1524">
        <v>0</v>
      </c>
      <c r="G356" s="1537" t="s">
        <v>4314</v>
      </c>
      <c r="H356" s="1521">
        <v>0</v>
      </c>
      <c r="I356" s="1521">
        <v>1</v>
      </c>
      <c r="J356" s="1538">
        <v>1</v>
      </c>
      <c r="K356" s="1525"/>
      <c r="L356" s="1519">
        <v>13009970200</v>
      </c>
      <c r="M356" s="1520">
        <v>0</v>
      </c>
      <c r="N356" s="1520">
        <v>1</v>
      </c>
      <c r="O356" s="1520">
        <v>1</v>
      </c>
      <c r="P356" s="504" t="s">
        <v>180</v>
      </c>
      <c r="Q356" s="287"/>
      <c r="R356" s="168"/>
      <c r="S356" s="380"/>
      <c r="T356" s="473" t="s">
        <v>687</v>
      </c>
      <c r="U356" s="473" t="s">
        <v>114</v>
      </c>
      <c r="W356" s="418" t="s">
        <v>2069</v>
      </c>
      <c r="X356" s="418" t="s">
        <v>3137</v>
      </c>
      <c r="AA356" s="27"/>
      <c r="AB356" s="27"/>
      <c r="AC356" s="809"/>
      <c r="AD356" s="481"/>
    </row>
    <row r="357" spans="3:30" ht="10.5" customHeight="1">
      <c r="C357" s="1526" t="s">
        <v>4315</v>
      </c>
      <c r="D357" s="1523">
        <v>1</v>
      </c>
      <c r="E357" s="1523">
        <v>1</v>
      </c>
      <c r="F357" s="1524">
        <v>2</v>
      </c>
      <c r="G357" s="1537" t="s">
        <v>4315</v>
      </c>
      <c r="H357" s="1521">
        <v>0</v>
      </c>
      <c r="I357" s="1521">
        <v>1</v>
      </c>
      <c r="J357" s="1538">
        <v>1</v>
      </c>
      <c r="K357" s="1525"/>
      <c r="L357" s="1519">
        <v>13009970300</v>
      </c>
      <c r="M357" s="1520">
        <v>1</v>
      </c>
      <c r="N357" s="1520">
        <v>1</v>
      </c>
      <c r="O357" s="1520">
        <v>2</v>
      </c>
      <c r="P357" s="504" t="s">
        <v>181</v>
      </c>
      <c r="Q357" s="287"/>
      <c r="R357" s="168"/>
      <c r="S357" s="380"/>
      <c r="T357" s="473" t="s">
        <v>660</v>
      </c>
      <c r="U357" s="473" t="s">
        <v>598</v>
      </c>
      <c r="W357" s="418" t="s">
        <v>1548</v>
      </c>
      <c r="X357" s="418" t="s">
        <v>3137</v>
      </c>
      <c r="AA357" s="27"/>
      <c r="AB357" s="27"/>
      <c r="AC357" s="809"/>
      <c r="AD357" s="481"/>
    </row>
    <row r="358" spans="3:30" ht="10.5" customHeight="1">
      <c r="C358" s="1526" t="s">
        <v>4316</v>
      </c>
      <c r="D358" s="1523">
        <v>0</v>
      </c>
      <c r="E358" s="1523">
        <v>0</v>
      </c>
      <c r="F358" s="1524">
        <v>0</v>
      </c>
      <c r="G358" s="1537" t="s">
        <v>4316</v>
      </c>
      <c r="H358" s="1521">
        <v>0</v>
      </c>
      <c r="I358" s="1521">
        <v>1</v>
      </c>
      <c r="J358" s="1538">
        <v>1</v>
      </c>
      <c r="K358" s="1525"/>
      <c r="L358" s="1519">
        <v>13009970400</v>
      </c>
      <c r="M358" s="1520">
        <v>0</v>
      </c>
      <c r="N358" s="1520">
        <v>1</v>
      </c>
      <c r="O358" s="1520">
        <v>1</v>
      </c>
      <c r="P358" s="504" t="s">
        <v>1738</v>
      </c>
      <c r="Q358" s="287"/>
      <c r="R358" s="168"/>
      <c r="S358" s="380"/>
      <c r="T358" s="473" t="s">
        <v>2647</v>
      </c>
      <c r="U358" s="473" t="s">
        <v>151</v>
      </c>
      <c r="W358" s="418" t="s">
        <v>2305</v>
      </c>
      <c r="X358" s="418" t="s">
        <v>3137</v>
      </c>
      <c r="AA358" s="27"/>
      <c r="AB358" s="27"/>
      <c r="AC358" s="809"/>
      <c r="AD358" s="481"/>
    </row>
    <row r="359" spans="3:30" ht="10.5" customHeight="1">
      <c r="C359" s="1526" t="s">
        <v>4317</v>
      </c>
      <c r="D359" s="1523">
        <v>0</v>
      </c>
      <c r="E359" s="1523">
        <v>0</v>
      </c>
      <c r="F359" s="1524">
        <v>0</v>
      </c>
      <c r="G359" s="1537" t="s">
        <v>4317</v>
      </c>
      <c r="H359" s="1521">
        <v>0</v>
      </c>
      <c r="I359" s="1521">
        <v>0</v>
      </c>
      <c r="J359" s="1538">
        <v>0</v>
      </c>
      <c r="K359" s="1525"/>
      <c r="L359" s="1519">
        <v>13009970500</v>
      </c>
      <c r="M359" s="1520">
        <v>0</v>
      </c>
      <c r="N359" s="1520">
        <v>0</v>
      </c>
      <c r="O359" s="1520">
        <v>0</v>
      </c>
      <c r="P359" s="504" t="s">
        <v>1740</v>
      </c>
      <c r="Q359" s="287"/>
      <c r="R359" s="168"/>
      <c r="S359" s="380"/>
      <c r="T359" s="473" t="s">
        <v>2648</v>
      </c>
      <c r="U359" s="473" t="s">
        <v>305</v>
      </c>
      <c r="W359" s="418" t="s">
        <v>782</v>
      </c>
      <c r="X359" s="418" t="s">
        <v>3137</v>
      </c>
      <c r="AA359" s="27"/>
      <c r="AB359" s="27"/>
      <c r="AC359" s="809"/>
      <c r="AD359" s="481"/>
    </row>
    <row r="360" spans="3:30" ht="10.5" customHeight="1">
      <c r="C360" s="1526" t="s">
        <v>4318</v>
      </c>
      <c r="D360" s="1523">
        <v>0</v>
      </c>
      <c r="E360" s="1523">
        <v>0</v>
      </c>
      <c r="F360" s="1524">
        <v>0</v>
      </c>
      <c r="G360" s="1537" t="s">
        <v>4318</v>
      </c>
      <c r="H360" s="1521">
        <v>0</v>
      </c>
      <c r="I360" s="1521">
        <v>0</v>
      </c>
      <c r="J360" s="1538">
        <v>0</v>
      </c>
      <c r="K360" s="1525"/>
      <c r="L360" s="1519">
        <v>13009970600</v>
      </c>
      <c r="M360" s="1520">
        <v>0</v>
      </c>
      <c r="N360" s="1520">
        <v>0</v>
      </c>
      <c r="O360" s="1520">
        <v>0</v>
      </c>
      <c r="P360" s="504" t="s">
        <v>1801</v>
      </c>
      <c r="Q360" s="287"/>
      <c r="R360" s="168"/>
      <c r="S360" s="380"/>
      <c r="T360" s="473" t="s">
        <v>1098</v>
      </c>
      <c r="U360" s="473" t="s">
        <v>1397</v>
      </c>
      <c r="W360" s="418" t="s">
        <v>160</v>
      </c>
      <c r="X360" s="418" t="s">
        <v>3137</v>
      </c>
      <c r="AA360" s="27"/>
      <c r="AB360" s="27"/>
      <c r="AC360" s="809"/>
      <c r="AD360" s="481"/>
    </row>
    <row r="361" spans="3:30" ht="10.5" customHeight="1">
      <c r="C361" s="1526" t="s">
        <v>4319</v>
      </c>
      <c r="D361" s="1523">
        <v>0</v>
      </c>
      <c r="E361" s="1523">
        <v>0</v>
      </c>
      <c r="F361" s="1524">
        <v>0</v>
      </c>
      <c r="G361" s="1537" t="s">
        <v>4319</v>
      </c>
      <c r="H361" s="1521">
        <v>0</v>
      </c>
      <c r="I361" s="1521">
        <v>0</v>
      </c>
      <c r="J361" s="1538">
        <v>0</v>
      </c>
      <c r="K361" s="1525"/>
      <c r="L361" s="1519">
        <v>13009970701</v>
      </c>
      <c r="M361" s="1520">
        <v>0</v>
      </c>
      <c r="N361" s="1520">
        <v>0</v>
      </c>
      <c r="O361" s="1520">
        <v>0</v>
      </c>
      <c r="P361" s="504" t="s">
        <v>1803</v>
      </c>
      <c r="Q361" s="287"/>
      <c r="R361" s="168"/>
      <c r="S361" s="380"/>
      <c r="T361" s="473" t="s">
        <v>1100</v>
      </c>
      <c r="U361" s="473" t="s">
        <v>632</v>
      </c>
      <c r="W361" s="418" t="s">
        <v>1277</v>
      </c>
      <c r="X361" s="418" t="s">
        <v>3137</v>
      </c>
      <c r="AA361" s="27"/>
      <c r="AB361" s="27"/>
      <c r="AC361" s="809"/>
      <c r="AD361" s="481"/>
    </row>
    <row r="362" spans="3:30" ht="10.5" customHeight="1">
      <c r="C362" s="1526" t="s">
        <v>4320</v>
      </c>
      <c r="D362" s="1523">
        <v>0</v>
      </c>
      <c r="E362" s="1523">
        <v>0</v>
      </c>
      <c r="F362" s="1524">
        <v>0</v>
      </c>
      <c r="G362" s="1537" t="s">
        <v>4320</v>
      </c>
      <c r="H362" s="1521">
        <v>0</v>
      </c>
      <c r="I362" s="1521">
        <v>0</v>
      </c>
      <c r="J362" s="1538">
        <v>0</v>
      </c>
      <c r="K362" s="1525"/>
      <c r="L362" s="1519">
        <v>13009970702</v>
      </c>
      <c r="M362" s="1520">
        <v>0</v>
      </c>
      <c r="N362" s="1520">
        <v>0</v>
      </c>
      <c r="O362" s="1520">
        <v>0</v>
      </c>
      <c r="P362" s="504" t="s">
        <v>1804</v>
      </c>
      <c r="Q362" s="287"/>
      <c r="R362" s="168"/>
      <c r="S362" s="380"/>
      <c r="T362" s="473" t="s">
        <v>2451</v>
      </c>
      <c r="U362" s="473" t="s">
        <v>2076</v>
      </c>
      <c r="W362" s="418" t="s">
        <v>1032</v>
      </c>
      <c r="X362" s="418" t="s">
        <v>3137</v>
      </c>
      <c r="AA362" s="27"/>
      <c r="AB362" s="27"/>
      <c r="AC362" s="809"/>
      <c r="AD362" s="481"/>
    </row>
    <row r="363" spans="3:30" ht="10.5" customHeight="1">
      <c r="C363" s="1526" t="s">
        <v>4321</v>
      </c>
      <c r="D363" s="1523">
        <v>0</v>
      </c>
      <c r="E363" s="1523">
        <v>0</v>
      </c>
      <c r="F363" s="1524">
        <v>0</v>
      </c>
      <c r="G363" s="1537" t="s">
        <v>4321</v>
      </c>
      <c r="H363" s="1521">
        <v>0</v>
      </c>
      <c r="I363" s="1521">
        <v>0</v>
      </c>
      <c r="J363" s="1538">
        <v>0</v>
      </c>
      <c r="K363" s="1525"/>
      <c r="L363" s="1519">
        <v>13009970800</v>
      </c>
      <c r="M363" s="1520">
        <v>0</v>
      </c>
      <c r="N363" s="1520">
        <v>0</v>
      </c>
      <c r="O363" s="1520">
        <v>0</v>
      </c>
      <c r="P363" s="504" t="s">
        <v>1806</v>
      </c>
      <c r="Q363" s="287"/>
      <c r="R363" s="168"/>
      <c r="S363" s="380"/>
      <c r="T363" s="473" t="s">
        <v>2452</v>
      </c>
      <c r="U363" s="473" t="s">
        <v>2412</v>
      </c>
      <c r="W363" s="418" t="s">
        <v>1901</v>
      </c>
      <c r="X363" s="418" t="s">
        <v>3137</v>
      </c>
      <c r="AA363" s="27"/>
      <c r="AB363" s="27"/>
      <c r="AC363" s="809"/>
      <c r="AD363" s="481"/>
    </row>
    <row r="364" spans="3:30" ht="10.5" customHeight="1">
      <c r="C364" s="1526" t="s">
        <v>4322</v>
      </c>
      <c r="D364" s="1523">
        <v>0</v>
      </c>
      <c r="E364" s="1523">
        <v>0</v>
      </c>
      <c r="F364" s="1524">
        <v>0</v>
      </c>
      <c r="G364" s="1537" t="s">
        <v>4322</v>
      </c>
      <c r="H364" s="1521">
        <v>0</v>
      </c>
      <c r="I364" s="1521">
        <v>0</v>
      </c>
      <c r="J364" s="1538">
        <v>0</v>
      </c>
      <c r="K364" s="1525"/>
      <c r="L364" s="1519">
        <v>13011970100</v>
      </c>
      <c r="M364" s="1520">
        <v>0</v>
      </c>
      <c r="N364" s="1520">
        <v>0</v>
      </c>
      <c r="O364" s="1520">
        <v>0</v>
      </c>
      <c r="P364" s="504" t="s">
        <v>1808</v>
      </c>
      <c r="Q364" s="287"/>
      <c r="R364" s="168"/>
      <c r="S364" s="380"/>
      <c r="T364" s="473" t="s">
        <v>1102</v>
      </c>
      <c r="U364" s="473" t="s">
        <v>1160</v>
      </c>
      <c r="W364" s="418" t="s">
        <v>1798</v>
      </c>
      <c r="X364" s="418" t="s">
        <v>3137</v>
      </c>
      <c r="AA364" s="27"/>
      <c r="AB364" s="27"/>
      <c r="AC364" s="809"/>
      <c r="AD364" s="481"/>
    </row>
    <row r="365" spans="3:30" ht="10.5" customHeight="1">
      <c r="C365" s="1526" t="s">
        <v>4323</v>
      </c>
      <c r="D365" s="1523">
        <v>0</v>
      </c>
      <c r="E365" s="1523">
        <v>0</v>
      </c>
      <c r="F365" s="1524">
        <v>0</v>
      </c>
      <c r="G365" s="1537" t="s">
        <v>4323</v>
      </c>
      <c r="H365" s="1521">
        <v>0</v>
      </c>
      <c r="I365" s="1521">
        <v>0</v>
      </c>
      <c r="J365" s="1538">
        <v>0</v>
      </c>
      <c r="K365" s="1525"/>
      <c r="L365" s="1519">
        <v>13011970200</v>
      </c>
      <c r="M365" s="1520">
        <v>0</v>
      </c>
      <c r="N365" s="1520">
        <v>0</v>
      </c>
      <c r="O365" s="1520">
        <v>0</v>
      </c>
      <c r="P365" s="504" t="s">
        <v>1842</v>
      </c>
      <c r="Q365" s="287"/>
      <c r="R365" s="168"/>
      <c r="S365" s="380"/>
      <c r="T365" s="473" t="s">
        <v>2395</v>
      </c>
      <c r="U365" s="473" t="s">
        <v>191</v>
      </c>
      <c r="W365" s="418" t="s">
        <v>2417</v>
      </c>
      <c r="X365" s="418" t="s">
        <v>3137</v>
      </c>
      <c r="AA365" s="27"/>
      <c r="AB365" s="27"/>
      <c r="AC365" s="809"/>
      <c r="AD365" s="481"/>
    </row>
    <row r="366" spans="3:30" ht="10.5" customHeight="1">
      <c r="C366" s="1526" t="s">
        <v>4324</v>
      </c>
      <c r="D366" s="1523">
        <v>1</v>
      </c>
      <c r="E366" s="1523">
        <v>1</v>
      </c>
      <c r="F366" s="1524">
        <v>2</v>
      </c>
      <c r="G366" s="1537" t="s">
        <v>4324</v>
      </c>
      <c r="H366" s="1521">
        <v>0</v>
      </c>
      <c r="I366" s="1521">
        <v>0</v>
      </c>
      <c r="J366" s="1538">
        <v>0</v>
      </c>
      <c r="K366" s="1525"/>
      <c r="L366" s="1519">
        <v>13011970300</v>
      </c>
      <c r="M366" s="1520">
        <v>1</v>
      </c>
      <c r="N366" s="1520">
        <v>1</v>
      </c>
      <c r="O366" s="1520">
        <v>2</v>
      </c>
      <c r="P366" s="504" t="s">
        <v>1844</v>
      </c>
      <c r="Q366" s="287"/>
      <c r="R366" s="168"/>
      <c r="S366" s="380"/>
      <c r="T366" s="505" t="s">
        <v>435</v>
      </c>
      <c r="U366" s="505" t="s">
        <v>1061</v>
      </c>
      <c r="W366" s="418" t="s">
        <v>1113</v>
      </c>
      <c r="X366" s="418" t="s">
        <v>3137</v>
      </c>
      <c r="AA366" s="27"/>
      <c r="AB366" s="27"/>
      <c r="AC366" s="809"/>
      <c r="AD366" s="481"/>
    </row>
    <row r="367" spans="3:30" ht="10.5" customHeight="1">
      <c r="C367" s="1526" t="s">
        <v>4325</v>
      </c>
      <c r="D367" s="1523">
        <v>0</v>
      </c>
      <c r="E367" s="1523">
        <v>0</v>
      </c>
      <c r="F367" s="1524">
        <v>0</v>
      </c>
      <c r="G367" s="1537" t="s">
        <v>4325</v>
      </c>
      <c r="H367" s="1521">
        <v>0</v>
      </c>
      <c r="I367" s="1521">
        <v>0</v>
      </c>
      <c r="J367" s="1538">
        <v>0</v>
      </c>
      <c r="K367" s="1525"/>
      <c r="L367" s="1519">
        <v>13011970400</v>
      </c>
      <c r="M367" s="1520">
        <v>0</v>
      </c>
      <c r="N367" s="1520">
        <v>0</v>
      </c>
      <c r="O367" s="1520">
        <v>0</v>
      </c>
      <c r="P367" s="504" t="s">
        <v>1845</v>
      </c>
      <c r="Q367" s="287"/>
      <c r="R367" s="168"/>
      <c r="S367" s="380"/>
      <c r="T367" s="505" t="s">
        <v>3939</v>
      </c>
      <c r="U367" s="505" t="s">
        <v>634</v>
      </c>
      <c r="W367" s="418" t="s">
        <v>2398</v>
      </c>
      <c r="X367" s="418" t="s">
        <v>3137</v>
      </c>
      <c r="AA367" s="27"/>
      <c r="AB367" s="27"/>
      <c r="AC367" s="810"/>
      <c r="AD367" s="481"/>
    </row>
    <row r="368" spans="3:30" ht="10.5" customHeight="1">
      <c r="C368" s="1526" t="s">
        <v>4326</v>
      </c>
      <c r="D368" s="1523">
        <v>1</v>
      </c>
      <c r="E368" s="1523">
        <v>1</v>
      </c>
      <c r="F368" s="1524">
        <v>2</v>
      </c>
      <c r="G368" s="1537" t="s">
        <v>4326</v>
      </c>
      <c r="H368" s="1521">
        <v>1</v>
      </c>
      <c r="I368" s="1521">
        <v>1</v>
      </c>
      <c r="J368" s="1538">
        <v>2</v>
      </c>
      <c r="K368" s="1525"/>
      <c r="L368" s="1519">
        <v>13013180103</v>
      </c>
      <c r="M368" s="1520">
        <v>1</v>
      </c>
      <c r="N368" s="1520">
        <v>1</v>
      </c>
      <c r="O368" s="1520">
        <v>2</v>
      </c>
      <c r="P368" s="504" t="s">
        <v>1847</v>
      </c>
      <c r="Q368" s="287"/>
      <c r="R368" s="168"/>
      <c r="S368" s="380"/>
      <c r="T368" s="505" t="s">
        <v>290</v>
      </c>
      <c r="U368" s="505" t="s">
        <v>1283</v>
      </c>
      <c r="W368" s="418" t="s">
        <v>783</v>
      </c>
      <c r="X368" s="418" t="s">
        <v>3137</v>
      </c>
      <c r="AA368" s="27"/>
      <c r="AB368" s="27"/>
      <c r="AC368" s="810"/>
      <c r="AD368" s="481"/>
    </row>
    <row r="369" spans="3:30" ht="10.5" customHeight="1">
      <c r="C369" s="1526" t="s">
        <v>4327</v>
      </c>
      <c r="D369" s="1523">
        <v>0</v>
      </c>
      <c r="E369" s="1523">
        <v>1</v>
      </c>
      <c r="F369" s="1524">
        <v>1</v>
      </c>
      <c r="G369" s="1537" t="s">
        <v>4327</v>
      </c>
      <c r="H369" s="1521">
        <v>0</v>
      </c>
      <c r="I369" s="1521">
        <v>0</v>
      </c>
      <c r="J369" s="1538">
        <v>0</v>
      </c>
      <c r="K369" s="1525"/>
      <c r="L369" s="1519">
        <v>13013180104</v>
      </c>
      <c r="M369" s="1520">
        <v>0</v>
      </c>
      <c r="N369" s="1520">
        <v>1</v>
      </c>
      <c r="O369" s="1520">
        <v>1</v>
      </c>
      <c r="P369" s="504" t="s">
        <v>1849</v>
      </c>
      <c r="Q369" s="287"/>
      <c r="R369" s="168"/>
      <c r="S369" s="380"/>
      <c r="T369" s="473" t="s">
        <v>1739</v>
      </c>
      <c r="U369" s="473" t="s">
        <v>844</v>
      </c>
      <c r="W369" s="418" t="s">
        <v>2009</v>
      </c>
      <c r="X369" s="418" t="s">
        <v>3137</v>
      </c>
      <c r="AA369" s="27"/>
      <c r="AB369" s="27"/>
      <c r="AC369" s="810"/>
      <c r="AD369" s="481"/>
    </row>
    <row r="370" spans="3:30" ht="10.5" customHeight="1">
      <c r="C370" s="1526" t="s">
        <v>4328</v>
      </c>
      <c r="D370" s="1523">
        <v>0</v>
      </c>
      <c r="E370" s="1523">
        <v>1</v>
      </c>
      <c r="F370" s="1524">
        <v>1</v>
      </c>
      <c r="G370" s="1537" t="s">
        <v>4328</v>
      </c>
      <c r="H370" s="1521">
        <v>1</v>
      </c>
      <c r="I370" s="1521">
        <v>0</v>
      </c>
      <c r="J370" s="1538">
        <v>1</v>
      </c>
      <c r="K370" s="1525"/>
      <c r="L370" s="1519">
        <v>13013180105</v>
      </c>
      <c r="M370" s="1520">
        <v>1</v>
      </c>
      <c r="N370" s="1520">
        <v>1</v>
      </c>
      <c r="O370" s="1520">
        <v>1</v>
      </c>
      <c r="P370" s="504" t="s">
        <v>400</v>
      </c>
      <c r="Q370" s="287"/>
      <c r="R370" s="168"/>
      <c r="S370" s="380"/>
      <c r="T370" s="473" t="s">
        <v>1741</v>
      </c>
      <c r="U370" s="473" t="s">
        <v>1071</v>
      </c>
      <c r="W370" s="418" t="s">
        <v>904</v>
      </c>
      <c r="X370" s="418" t="s">
        <v>3137</v>
      </c>
      <c r="AA370" s="27"/>
      <c r="AB370" s="27"/>
      <c r="AC370" s="809"/>
      <c r="AD370" s="481"/>
    </row>
    <row r="371" spans="3:30" ht="10.5" customHeight="1">
      <c r="C371" s="1526" t="s">
        <v>4329</v>
      </c>
      <c r="D371" s="1523">
        <v>0</v>
      </c>
      <c r="E371" s="1523">
        <v>1</v>
      </c>
      <c r="F371" s="1524">
        <v>1</v>
      </c>
      <c r="G371" s="1537" t="s">
        <v>4329</v>
      </c>
      <c r="H371" s="1521">
        <v>1</v>
      </c>
      <c r="I371" s="1521">
        <v>0</v>
      </c>
      <c r="J371" s="1538">
        <v>1</v>
      </c>
      <c r="K371" s="1525"/>
      <c r="L371" s="1519">
        <v>13013180106</v>
      </c>
      <c r="M371" s="1520">
        <v>1</v>
      </c>
      <c r="N371" s="1520">
        <v>1</v>
      </c>
      <c r="O371" s="1520">
        <v>1</v>
      </c>
      <c r="P371" s="504" t="s">
        <v>126</v>
      </c>
      <c r="Q371" s="287"/>
      <c r="R371" s="168"/>
      <c r="S371" s="380"/>
      <c r="T371" s="505" t="s">
        <v>1802</v>
      </c>
      <c r="U371" s="505" t="s">
        <v>2376</v>
      </c>
      <c r="W371" s="418" t="s">
        <v>2386</v>
      </c>
      <c r="X371" s="418" t="s">
        <v>3137</v>
      </c>
      <c r="AA371" s="27"/>
      <c r="AB371" s="27"/>
      <c r="AC371" s="809"/>
      <c r="AD371" s="481"/>
    </row>
    <row r="372" spans="3:30" ht="10.5" customHeight="1">
      <c r="C372" s="1526" t="s">
        <v>4330</v>
      </c>
      <c r="D372" s="1523">
        <v>0</v>
      </c>
      <c r="E372" s="1523">
        <v>0</v>
      </c>
      <c r="F372" s="1524">
        <v>0</v>
      </c>
      <c r="G372" s="1537" t="s">
        <v>4330</v>
      </c>
      <c r="H372" s="1521">
        <v>0</v>
      </c>
      <c r="I372" s="1521">
        <v>0</v>
      </c>
      <c r="J372" s="1538">
        <v>0</v>
      </c>
      <c r="K372" s="1525"/>
      <c r="L372" s="1519">
        <v>13013180107</v>
      </c>
      <c r="M372" s="1520">
        <v>0</v>
      </c>
      <c r="N372" s="1520">
        <v>0</v>
      </c>
      <c r="O372" s="1520">
        <v>0</v>
      </c>
      <c r="P372" s="504" t="s">
        <v>1598</v>
      </c>
      <c r="Q372" s="287"/>
      <c r="R372" s="168"/>
      <c r="S372" s="380"/>
      <c r="T372" s="505" t="s">
        <v>6300</v>
      </c>
      <c r="U372" s="505" t="s">
        <v>2370</v>
      </c>
      <c r="W372" s="418" t="s">
        <v>1815</v>
      </c>
      <c r="X372" s="418" t="s">
        <v>3137</v>
      </c>
      <c r="AA372" s="27"/>
      <c r="AB372" s="27"/>
      <c r="AC372" s="810"/>
      <c r="AD372" s="481"/>
    </row>
    <row r="373" spans="3:30" ht="10.5" customHeight="1">
      <c r="C373" s="1526" t="s">
        <v>4331</v>
      </c>
      <c r="D373" s="1523">
        <v>0</v>
      </c>
      <c r="E373" s="1523">
        <v>1</v>
      </c>
      <c r="F373" s="1524">
        <v>1</v>
      </c>
      <c r="G373" s="1537" t="s">
        <v>4331</v>
      </c>
      <c r="H373" s="1521">
        <v>0</v>
      </c>
      <c r="I373" s="1521">
        <v>0</v>
      </c>
      <c r="J373" s="1538">
        <v>0</v>
      </c>
      <c r="K373" s="1525"/>
      <c r="L373" s="1519">
        <v>13013180108</v>
      </c>
      <c r="M373" s="1520">
        <v>0</v>
      </c>
      <c r="N373" s="1520">
        <v>1</v>
      </c>
      <c r="O373" s="1520">
        <v>1</v>
      </c>
      <c r="P373" s="504" t="s">
        <v>1669</v>
      </c>
      <c r="Q373" s="287"/>
      <c r="R373" s="168"/>
      <c r="S373" s="380"/>
      <c r="T373" s="473" t="s">
        <v>1805</v>
      </c>
      <c r="U373" s="473" t="s">
        <v>632</v>
      </c>
      <c r="W373" s="418" t="s">
        <v>1363</v>
      </c>
      <c r="X373" s="418" t="s">
        <v>3137</v>
      </c>
      <c r="AA373" s="27"/>
      <c r="AB373" s="27"/>
      <c r="AC373" s="809"/>
      <c r="AD373" s="481"/>
    </row>
    <row r="374" spans="3:30" ht="10.5" customHeight="1">
      <c r="C374" s="1526" t="s">
        <v>4332</v>
      </c>
      <c r="D374" s="1523">
        <v>0</v>
      </c>
      <c r="E374" s="1523">
        <v>0</v>
      </c>
      <c r="F374" s="1524">
        <v>0</v>
      </c>
      <c r="G374" s="1537" t="s">
        <v>4332</v>
      </c>
      <c r="H374" s="1521">
        <v>0</v>
      </c>
      <c r="I374" s="1521">
        <v>0</v>
      </c>
      <c r="J374" s="1538">
        <v>0</v>
      </c>
      <c r="K374" s="1525"/>
      <c r="L374" s="1519">
        <v>13013180203</v>
      </c>
      <c r="M374" s="1520">
        <v>0</v>
      </c>
      <c r="N374" s="1520">
        <v>0</v>
      </c>
      <c r="O374" s="1520">
        <v>0</v>
      </c>
      <c r="P374" s="504" t="s">
        <v>2174</v>
      </c>
      <c r="Q374" s="287"/>
      <c r="R374" s="168"/>
      <c r="S374" s="380"/>
      <c r="T374" s="473" t="s">
        <v>1807</v>
      </c>
      <c r="U374" s="473" t="s">
        <v>1265</v>
      </c>
      <c r="W374" s="418" t="s">
        <v>2154</v>
      </c>
      <c r="X374" s="418" t="s">
        <v>3137</v>
      </c>
      <c r="AA374" s="27"/>
      <c r="AB374" s="27"/>
      <c r="AC374" s="809"/>
      <c r="AD374" s="481"/>
    </row>
    <row r="375" spans="3:30" ht="10.5" customHeight="1">
      <c r="C375" s="1526" t="s">
        <v>4333</v>
      </c>
      <c r="D375" s="1523">
        <v>0</v>
      </c>
      <c r="E375" s="1523">
        <v>0</v>
      </c>
      <c r="F375" s="1524">
        <v>0</v>
      </c>
      <c r="G375" s="1537" t="s">
        <v>4333</v>
      </c>
      <c r="H375" s="1521">
        <v>0</v>
      </c>
      <c r="I375" s="1521">
        <v>0</v>
      </c>
      <c r="J375" s="1538">
        <v>0</v>
      </c>
      <c r="K375" s="1525"/>
      <c r="L375" s="1519">
        <v>13013180204</v>
      </c>
      <c r="M375" s="1520">
        <v>0</v>
      </c>
      <c r="N375" s="1520">
        <v>0</v>
      </c>
      <c r="O375" s="1520">
        <v>0</v>
      </c>
      <c r="P375" s="504" t="s">
        <v>2176</v>
      </c>
      <c r="Q375" s="287"/>
      <c r="R375" s="168"/>
      <c r="S375" s="380"/>
      <c r="T375" s="473" t="s">
        <v>2649</v>
      </c>
      <c r="U375" s="473" t="s">
        <v>191</v>
      </c>
      <c r="W375" s="418" t="s">
        <v>2156</v>
      </c>
      <c r="X375" s="418" t="s">
        <v>3137</v>
      </c>
      <c r="AA375" s="27"/>
      <c r="AB375" s="27"/>
      <c r="AC375" s="809"/>
      <c r="AD375" s="481"/>
    </row>
    <row r="376" spans="3:30" ht="10.5" customHeight="1">
      <c r="C376" s="1526" t="s">
        <v>4334</v>
      </c>
      <c r="D376" s="1523">
        <v>0</v>
      </c>
      <c r="E376" s="1523">
        <v>0</v>
      </c>
      <c r="F376" s="1524">
        <v>0</v>
      </c>
      <c r="G376" s="1537" t="s">
        <v>4334</v>
      </c>
      <c r="H376" s="1521">
        <v>0</v>
      </c>
      <c r="I376" s="1521">
        <v>0</v>
      </c>
      <c r="J376" s="1538">
        <v>0</v>
      </c>
      <c r="K376" s="1525"/>
      <c r="L376" s="1519">
        <v>13013180205</v>
      </c>
      <c r="M376" s="1520">
        <v>0</v>
      </c>
      <c r="N376" s="1520">
        <v>0</v>
      </c>
      <c r="O376" s="1520">
        <v>0</v>
      </c>
      <c r="P376" s="504" t="s">
        <v>953</v>
      </c>
      <c r="Q376" s="287"/>
      <c r="R376" s="168"/>
      <c r="S376" s="380"/>
      <c r="T376" s="473" t="s">
        <v>1809</v>
      </c>
      <c r="U376" s="473" t="s">
        <v>1268</v>
      </c>
      <c r="W376" s="418" t="s">
        <v>1076</v>
      </c>
      <c r="X376" s="418" t="s">
        <v>3137</v>
      </c>
      <c r="AA376" s="27"/>
      <c r="AB376" s="27"/>
      <c r="AC376" s="809"/>
      <c r="AD376" s="481"/>
    </row>
    <row r="377" spans="3:30" ht="10.5" customHeight="1">
      <c r="C377" s="1526" t="s">
        <v>4335</v>
      </c>
      <c r="D377" s="1523">
        <v>1</v>
      </c>
      <c r="E377" s="1523">
        <v>1</v>
      </c>
      <c r="F377" s="1524">
        <v>2</v>
      </c>
      <c r="G377" s="1537" t="s">
        <v>4335</v>
      </c>
      <c r="H377" s="1521">
        <v>1</v>
      </c>
      <c r="I377" s="1521">
        <v>0</v>
      </c>
      <c r="J377" s="1538">
        <v>1</v>
      </c>
      <c r="K377" s="1525"/>
      <c r="L377" s="1519">
        <v>13013180206</v>
      </c>
      <c r="M377" s="1520">
        <v>1</v>
      </c>
      <c r="N377" s="1520">
        <v>1</v>
      </c>
      <c r="O377" s="1520">
        <v>2</v>
      </c>
      <c r="P377" s="504" t="s">
        <v>647</v>
      </c>
      <c r="Q377" s="287"/>
      <c r="R377" s="168"/>
      <c r="S377" s="380"/>
      <c r="T377" s="473" t="s">
        <v>1843</v>
      </c>
      <c r="U377" s="473" t="s">
        <v>307</v>
      </c>
      <c r="W377" s="418" t="s">
        <v>2030</v>
      </c>
      <c r="X377" s="418" t="s">
        <v>3137</v>
      </c>
      <c r="AA377" s="27"/>
      <c r="AB377" s="27"/>
      <c r="AC377" s="809"/>
      <c r="AD377" s="481"/>
    </row>
    <row r="378" spans="3:30" ht="10.5" customHeight="1">
      <c r="C378" s="1526" t="s">
        <v>4336</v>
      </c>
      <c r="D378" s="1523">
        <v>1</v>
      </c>
      <c r="E378" s="1523">
        <v>1</v>
      </c>
      <c r="F378" s="1524">
        <v>2</v>
      </c>
      <c r="G378" s="1537" t="s">
        <v>4336</v>
      </c>
      <c r="H378" s="1521">
        <v>1</v>
      </c>
      <c r="I378" s="1521">
        <v>0</v>
      </c>
      <c r="J378" s="1538">
        <v>1</v>
      </c>
      <c r="K378" s="1525"/>
      <c r="L378" s="1519">
        <v>13013180301</v>
      </c>
      <c r="M378" s="1520">
        <v>1</v>
      </c>
      <c r="N378" s="1520">
        <v>1</v>
      </c>
      <c r="O378" s="1520">
        <v>2</v>
      </c>
      <c r="P378" s="504" t="s">
        <v>540</v>
      </c>
      <c r="Q378" s="287"/>
      <c r="R378" s="168"/>
      <c r="S378" s="380"/>
      <c r="T378" s="473" t="s">
        <v>2650</v>
      </c>
      <c r="U378" s="473" t="s">
        <v>625</v>
      </c>
      <c r="W378" s="418" t="s">
        <v>2031</v>
      </c>
      <c r="X378" s="418" t="s">
        <v>3137</v>
      </c>
      <c r="AA378" s="27"/>
      <c r="AB378" s="27"/>
      <c r="AC378" s="809"/>
      <c r="AD378" s="481"/>
    </row>
    <row r="379" spans="3:30" ht="10.5" customHeight="1">
      <c r="C379" s="1526" t="s">
        <v>4337</v>
      </c>
      <c r="D379" s="1523">
        <v>1</v>
      </c>
      <c r="E379" s="1523">
        <v>1</v>
      </c>
      <c r="F379" s="1524">
        <v>2</v>
      </c>
      <c r="G379" s="1537" t="s">
        <v>4337</v>
      </c>
      <c r="H379" s="1521">
        <v>1</v>
      </c>
      <c r="I379" s="1521">
        <v>1</v>
      </c>
      <c r="J379" s="1538">
        <v>2</v>
      </c>
      <c r="K379" s="1525"/>
      <c r="L379" s="1519">
        <v>13013180302</v>
      </c>
      <c r="M379" s="1520">
        <v>1</v>
      </c>
      <c r="N379" s="1520">
        <v>1</v>
      </c>
      <c r="O379" s="1520">
        <v>2</v>
      </c>
      <c r="P379" s="504" t="s">
        <v>643</v>
      </c>
      <c r="Q379" s="287"/>
      <c r="R379" s="168"/>
      <c r="S379" s="380"/>
      <c r="T379" s="473" t="s">
        <v>1846</v>
      </c>
      <c r="U379" s="473" t="s">
        <v>2465</v>
      </c>
      <c r="W379" s="418" t="s">
        <v>2032</v>
      </c>
      <c r="X379" s="418" t="s">
        <v>3137</v>
      </c>
      <c r="AA379" s="27"/>
      <c r="AB379" s="27"/>
      <c r="AC379" s="809"/>
      <c r="AD379" s="481"/>
    </row>
    <row r="380" spans="3:30" ht="10.5" customHeight="1">
      <c r="C380" s="1526" t="s">
        <v>4338</v>
      </c>
      <c r="D380" s="1523">
        <v>1</v>
      </c>
      <c r="E380" s="1523">
        <v>1</v>
      </c>
      <c r="F380" s="1524">
        <v>2</v>
      </c>
      <c r="G380" s="1537" t="s">
        <v>4338</v>
      </c>
      <c r="H380" s="1521">
        <v>0</v>
      </c>
      <c r="I380" s="1521">
        <v>0</v>
      </c>
      <c r="J380" s="1538">
        <v>0</v>
      </c>
      <c r="K380" s="1525"/>
      <c r="L380" s="1519">
        <v>13013180303</v>
      </c>
      <c r="M380" s="1520">
        <v>1</v>
      </c>
      <c r="N380" s="1520">
        <v>1</v>
      </c>
      <c r="O380" s="1520">
        <v>2</v>
      </c>
      <c r="P380" s="504" t="s">
        <v>2279</v>
      </c>
      <c r="Q380" s="287"/>
      <c r="R380" s="168"/>
      <c r="S380" s="380"/>
      <c r="T380" s="473" t="s">
        <v>1848</v>
      </c>
      <c r="U380" s="473" t="s">
        <v>1265</v>
      </c>
      <c r="W380" s="418" t="s">
        <v>2227</v>
      </c>
      <c r="X380" s="418" t="s">
        <v>3137</v>
      </c>
      <c r="AA380" s="27"/>
      <c r="AB380" s="27"/>
      <c r="AC380" s="809"/>
      <c r="AD380" s="481"/>
    </row>
    <row r="381" spans="3:30" ht="10.5" customHeight="1">
      <c r="C381" s="1526" t="s">
        <v>4339</v>
      </c>
      <c r="D381" s="1523">
        <v>1</v>
      </c>
      <c r="E381" s="1523">
        <v>1</v>
      </c>
      <c r="F381" s="1524">
        <v>2</v>
      </c>
      <c r="G381" s="1537" t="s">
        <v>4339</v>
      </c>
      <c r="H381" s="1521">
        <v>0</v>
      </c>
      <c r="I381" s="1521">
        <v>1</v>
      </c>
      <c r="J381" s="1538">
        <v>1</v>
      </c>
      <c r="K381" s="1525"/>
      <c r="L381" s="1519">
        <v>13013180401</v>
      </c>
      <c r="M381" s="1520">
        <v>1</v>
      </c>
      <c r="N381" s="1520">
        <v>1</v>
      </c>
      <c r="O381" s="1520">
        <v>2</v>
      </c>
      <c r="P381" s="504" t="s">
        <v>210</v>
      </c>
      <c r="Q381" s="287"/>
      <c r="R381" s="168"/>
      <c r="S381" s="380"/>
      <c r="T381" s="473" t="s">
        <v>2141</v>
      </c>
      <c r="U381" s="473" t="s">
        <v>2409</v>
      </c>
      <c r="W381" s="418" t="s">
        <v>2229</v>
      </c>
      <c r="X381" s="418" t="s">
        <v>3137</v>
      </c>
      <c r="AA381" s="27"/>
      <c r="AB381" s="27"/>
      <c r="AC381" s="809"/>
      <c r="AD381" s="481"/>
    </row>
    <row r="382" spans="3:30" ht="10.5" customHeight="1">
      <c r="C382" s="1526" t="s">
        <v>4340</v>
      </c>
      <c r="D382" s="1523">
        <v>0</v>
      </c>
      <c r="E382" s="1523">
        <v>0</v>
      </c>
      <c r="F382" s="1524">
        <v>0</v>
      </c>
      <c r="G382" s="1537" t="s">
        <v>4340</v>
      </c>
      <c r="H382" s="1521">
        <v>0</v>
      </c>
      <c r="I382" s="1521">
        <v>0</v>
      </c>
      <c r="J382" s="1538">
        <v>0</v>
      </c>
      <c r="K382" s="1525"/>
      <c r="L382" s="1519">
        <v>13013180402</v>
      </c>
      <c r="M382" s="1520">
        <v>0</v>
      </c>
      <c r="N382" s="1520">
        <v>0</v>
      </c>
      <c r="O382" s="1520">
        <v>0</v>
      </c>
      <c r="P382" s="504" t="s">
        <v>749</v>
      </c>
      <c r="Q382" s="287"/>
      <c r="R382" s="168"/>
      <c r="S382" s="380"/>
      <c r="T382" s="473" t="s">
        <v>2453</v>
      </c>
      <c r="U382" s="473" t="s">
        <v>2076</v>
      </c>
      <c r="W382" s="418" t="s">
        <v>2157</v>
      </c>
      <c r="X382" s="418" t="s">
        <v>3137</v>
      </c>
      <c r="AA382" s="27"/>
      <c r="AB382" s="27"/>
      <c r="AC382" s="809"/>
      <c r="AD382" s="481"/>
    </row>
    <row r="383" spans="3:30" ht="10.5" customHeight="1">
      <c r="C383" s="1526" t="s">
        <v>4341</v>
      </c>
      <c r="D383" s="1523">
        <v>1</v>
      </c>
      <c r="E383" s="1523">
        <v>1</v>
      </c>
      <c r="F383" s="1524">
        <v>2</v>
      </c>
      <c r="G383" s="1537" t="s">
        <v>4341</v>
      </c>
      <c r="H383" s="1521">
        <v>1</v>
      </c>
      <c r="I383" s="1521" t="s">
        <v>4096</v>
      </c>
      <c r="J383" s="1538">
        <v>1</v>
      </c>
      <c r="K383" s="1525"/>
      <c r="L383" s="1519">
        <v>13013180501</v>
      </c>
      <c r="M383" s="1520">
        <v>1</v>
      </c>
      <c r="N383" s="1520">
        <v>1</v>
      </c>
      <c r="O383" s="1520">
        <v>2</v>
      </c>
      <c r="P383" s="504" t="s">
        <v>750</v>
      </c>
      <c r="Q383" s="287"/>
      <c r="R383" s="168"/>
      <c r="S383" s="380"/>
      <c r="T383" s="473" t="s">
        <v>2454</v>
      </c>
      <c r="U383" s="473" t="s">
        <v>2373</v>
      </c>
      <c r="W383" s="418" t="s">
        <v>1561</v>
      </c>
      <c r="X383" s="418" t="s">
        <v>3137</v>
      </c>
      <c r="AA383" s="27"/>
      <c r="AB383" s="27"/>
      <c r="AC383" s="809"/>
      <c r="AD383" s="481"/>
    </row>
    <row r="384" spans="3:30" ht="10.5" customHeight="1">
      <c r="C384" s="1526" t="s">
        <v>4342</v>
      </c>
      <c r="D384" s="1523">
        <v>1</v>
      </c>
      <c r="E384" s="1523">
        <v>1</v>
      </c>
      <c r="F384" s="1524">
        <v>2</v>
      </c>
      <c r="G384" s="1537" t="s">
        <v>4342</v>
      </c>
      <c r="H384" s="1521">
        <v>1</v>
      </c>
      <c r="I384" s="1521">
        <v>0</v>
      </c>
      <c r="J384" s="1538">
        <v>1</v>
      </c>
      <c r="K384" s="1525"/>
      <c r="L384" s="1519">
        <v>13013180502</v>
      </c>
      <c r="M384" s="1520">
        <v>1</v>
      </c>
      <c r="N384" s="1520">
        <v>1</v>
      </c>
      <c r="O384" s="1520">
        <v>2</v>
      </c>
      <c r="P384" s="504" t="s">
        <v>220</v>
      </c>
      <c r="Q384" s="287"/>
      <c r="R384" s="168"/>
      <c r="S384" s="380"/>
      <c r="T384" s="505" t="s">
        <v>401</v>
      </c>
      <c r="U384" s="505" t="s">
        <v>1160</v>
      </c>
      <c r="W384" s="418" t="s">
        <v>1610</v>
      </c>
      <c r="X384" s="418" t="s">
        <v>3137</v>
      </c>
      <c r="AA384" s="27"/>
      <c r="AB384" s="27"/>
      <c r="AC384" s="810"/>
      <c r="AD384" s="481"/>
    </row>
    <row r="385" spans="3:30" ht="10.5" customHeight="1">
      <c r="C385" s="1526" t="s">
        <v>4343</v>
      </c>
      <c r="D385" s="1523">
        <v>1</v>
      </c>
      <c r="E385" s="1523">
        <v>1</v>
      </c>
      <c r="F385" s="1524">
        <v>2</v>
      </c>
      <c r="G385" s="1537" t="s">
        <v>4343</v>
      </c>
      <c r="H385" s="1521">
        <v>1</v>
      </c>
      <c r="I385" s="1521">
        <v>1</v>
      </c>
      <c r="J385" s="1538">
        <v>2</v>
      </c>
      <c r="K385" s="1525"/>
      <c r="L385" s="1519">
        <v>13013180503</v>
      </c>
      <c r="M385" s="1520">
        <v>1</v>
      </c>
      <c r="N385" s="1520">
        <v>1</v>
      </c>
      <c r="O385" s="1520">
        <v>2</v>
      </c>
      <c r="P385" s="504" t="s">
        <v>222</v>
      </c>
      <c r="Q385" s="287"/>
      <c r="R385" s="168"/>
      <c r="S385" s="380"/>
      <c r="T385" s="473" t="s">
        <v>218</v>
      </c>
      <c r="U385" s="473" t="s">
        <v>637</v>
      </c>
      <c r="W385" s="418" t="s">
        <v>1037</v>
      </c>
      <c r="X385" s="418" t="s">
        <v>3137</v>
      </c>
      <c r="AA385" s="27"/>
      <c r="AB385" s="27"/>
      <c r="AC385" s="809"/>
      <c r="AD385" s="481"/>
    </row>
    <row r="386" spans="3:30" ht="10.5" customHeight="1">
      <c r="C386" s="1526" t="s">
        <v>4344</v>
      </c>
      <c r="D386" s="1523">
        <v>1</v>
      </c>
      <c r="E386" s="1523">
        <v>1</v>
      </c>
      <c r="F386" s="1524">
        <v>2</v>
      </c>
      <c r="G386" s="1537" t="s">
        <v>4344</v>
      </c>
      <c r="H386" s="1521">
        <v>1</v>
      </c>
      <c r="I386" s="1521">
        <v>1</v>
      </c>
      <c r="J386" s="1538">
        <v>2</v>
      </c>
      <c r="K386" s="1525"/>
      <c r="L386" s="1519">
        <v>13015960101</v>
      </c>
      <c r="M386" s="1520">
        <v>1</v>
      </c>
      <c r="N386" s="1520">
        <v>1</v>
      </c>
      <c r="O386" s="1520">
        <v>2</v>
      </c>
      <c r="P386" s="504" t="s">
        <v>224</v>
      </c>
      <c r="Q386" s="287"/>
      <c r="R386" s="168"/>
      <c r="S386" s="380"/>
      <c r="T386" s="473" t="s">
        <v>2455</v>
      </c>
      <c r="U386" s="473" t="s">
        <v>1916</v>
      </c>
      <c r="W386" s="418" t="s">
        <v>1617</v>
      </c>
      <c r="X386" s="418" t="s">
        <v>3137</v>
      </c>
      <c r="AA386" s="27"/>
      <c r="AB386" s="27"/>
      <c r="AC386" s="809"/>
      <c r="AD386" s="481"/>
    </row>
    <row r="387" spans="3:30" ht="10.5" customHeight="1">
      <c r="C387" s="1526" t="s">
        <v>4345</v>
      </c>
      <c r="D387" s="1523">
        <v>1</v>
      </c>
      <c r="E387" s="1523">
        <v>1</v>
      </c>
      <c r="F387" s="1524">
        <v>2</v>
      </c>
      <c r="G387" s="1537" t="s">
        <v>4345</v>
      </c>
      <c r="H387" s="1521">
        <v>1</v>
      </c>
      <c r="I387" s="1521">
        <v>1</v>
      </c>
      <c r="J387" s="1538">
        <v>2</v>
      </c>
      <c r="K387" s="1525"/>
      <c r="L387" s="1519">
        <v>13015960102</v>
      </c>
      <c r="M387" s="1520">
        <v>1</v>
      </c>
      <c r="N387" s="1520">
        <v>1</v>
      </c>
      <c r="O387" s="1520">
        <v>2</v>
      </c>
      <c r="P387" s="504" t="s">
        <v>753</v>
      </c>
      <c r="Q387" s="287"/>
      <c r="R387" s="168"/>
      <c r="S387" s="380"/>
      <c r="T387" s="473" t="s">
        <v>1599</v>
      </c>
      <c r="U387" s="473" t="s">
        <v>2371</v>
      </c>
      <c r="W387" s="418" t="s">
        <v>1618</v>
      </c>
      <c r="X387" s="418" t="s">
        <v>3137</v>
      </c>
      <c r="AA387" s="27"/>
      <c r="AB387" s="27"/>
      <c r="AC387" s="809"/>
      <c r="AD387" s="481"/>
    </row>
    <row r="388" spans="3:30" ht="10.5" customHeight="1">
      <c r="C388" s="1526" t="s">
        <v>4346</v>
      </c>
      <c r="D388" s="1523">
        <v>0</v>
      </c>
      <c r="E388" s="1523">
        <v>1</v>
      </c>
      <c r="F388" s="1524">
        <v>1</v>
      </c>
      <c r="G388" s="1537" t="s">
        <v>4346</v>
      </c>
      <c r="H388" s="1521">
        <v>1</v>
      </c>
      <c r="I388" s="1521">
        <v>0</v>
      </c>
      <c r="J388" s="1538">
        <v>1</v>
      </c>
      <c r="K388" s="1525"/>
      <c r="L388" s="1519">
        <v>13015960200</v>
      </c>
      <c r="M388" s="1520">
        <v>1</v>
      </c>
      <c r="N388" s="1520">
        <v>1</v>
      </c>
      <c r="O388" s="1520">
        <v>1</v>
      </c>
      <c r="P388" s="504" t="s">
        <v>754</v>
      </c>
      <c r="Q388" s="287"/>
      <c r="R388" s="168"/>
      <c r="S388" s="380"/>
      <c r="T388" s="473" t="s">
        <v>2175</v>
      </c>
      <c r="U388" s="473" t="s">
        <v>627</v>
      </c>
      <c r="W388" s="418" t="s">
        <v>1620</v>
      </c>
      <c r="X388" s="418" t="s">
        <v>3137</v>
      </c>
      <c r="AA388" s="27"/>
      <c r="AB388" s="27"/>
      <c r="AC388" s="809"/>
      <c r="AD388" s="481"/>
    </row>
    <row r="389" spans="3:30" ht="10.5" customHeight="1">
      <c r="C389" s="1526" t="s">
        <v>4347</v>
      </c>
      <c r="D389" s="1523">
        <v>1</v>
      </c>
      <c r="E389" s="1523">
        <v>1</v>
      </c>
      <c r="F389" s="1524">
        <v>2</v>
      </c>
      <c r="G389" s="1537" t="s">
        <v>4347</v>
      </c>
      <c r="H389" s="1521">
        <v>1</v>
      </c>
      <c r="I389" s="1521">
        <v>1</v>
      </c>
      <c r="J389" s="1538">
        <v>2</v>
      </c>
      <c r="K389" s="1525"/>
      <c r="L389" s="1519">
        <v>13015960300</v>
      </c>
      <c r="M389" s="1520">
        <v>1</v>
      </c>
      <c r="N389" s="1520">
        <v>1</v>
      </c>
      <c r="O389" s="1520">
        <v>2</v>
      </c>
      <c r="P389" s="504" t="s">
        <v>756</v>
      </c>
      <c r="Q389" s="287"/>
      <c r="R389" s="168"/>
      <c r="S389" s="380"/>
      <c r="T389" s="473" t="s">
        <v>2177</v>
      </c>
      <c r="U389" s="473" t="s">
        <v>1266</v>
      </c>
      <c r="W389" s="418" t="s">
        <v>1623</v>
      </c>
      <c r="X389" s="418" t="s">
        <v>3137</v>
      </c>
      <c r="AA389" s="27"/>
      <c r="AB389" s="27"/>
      <c r="AC389" s="809"/>
      <c r="AD389" s="481"/>
    </row>
    <row r="390" spans="3:30" ht="10.5" customHeight="1">
      <c r="C390" s="1526" t="s">
        <v>4348</v>
      </c>
      <c r="D390" s="1523">
        <v>1</v>
      </c>
      <c r="E390" s="1523">
        <v>1</v>
      </c>
      <c r="F390" s="1524">
        <v>2</v>
      </c>
      <c r="G390" s="1537" t="s">
        <v>4348</v>
      </c>
      <c r="H390" s="1521">
        <v>1</v>
      </c>
      <c r="I390" s="1521">
        <v>0</v>
      </c>
      <c r="J390" s="1538">
        <v>1</v>
      </c>
      <c r="K390" s="1525"/>
      <c r="L390" s="1519">
        <v>13015960401</v>
      </c>
      <c r="M390" s="1520">
        <v>1</v>
      </c>
      <c r="N390" s="1520">
        <v>1</v>
      </c>
      <c r="O390" s="1520">
        <v>2</v>
      </c>
      <c r="P390" s="504" t="s">
        <v>1490</v>
      </c>
      <c r="Q390" s="287"/>
      <c r="R390" s="168"/>
      <c r="S390" s="380"/>
      <c r="T390" s="473" t="s">
        <v>954</v>
      </c>
      <c r="U390" s="473" t="s">
        <v>1400</v>
      </c>
      <c r="W390" s="418" t="s">
        <v>1625</v>
      </c>
      <c r="X390" s="418" t="s">
        <v>3137</v>
      </c>
      <c r="AA390" s="27"/>
      <c r="AB390" s="27"/>
      <c r="AC390" s="809"/>
      <c r="AD390" s="481"/>
    </row>
    <row r="391" spans="3:30" ht="10.5" customHeight="1">
      <c r="C391" s="1526" t="s">
        <v>4349</v>
      </c>
      <c r="D391" s="1523">
        <v>0</v>
      </c>
      <c r="E391" s="1523">
        <v>1</v>
      </c>
      <c r="F391" s="1524">
        <v>1</v>
      </c>
      <c r="G391" s="1537" t="s">
        <v>4349</v>
      </c>
      <c r="H391" s="1521">
        <v>0</v>
      </c>
      <c r="I391" s="1521">
        <v>0</v>
      </c>
      <c r="J391" s="1538">
        <v>0</v>
      </c>
      <c r="K391" s="1525"/>
      <c r="L391" s="1519">
        <v>13015960402</v>
      </c>
      <c r="M391" s="1520">
        <v>0</v>
      </c>
      <c r="N391" s="1520">
        <v>1</v>
      </c>
      <c r="O391" s="1520">
        <v>1</v>
      </c>
      <c r="P391" s="504" t="s">
        <v>1174</v>
      </c>
      <c r="Q391" s="287"/>
      <c r="R391" s="168"/>
      <c r="S391" s="380"/>
      <c r="T391" s="473" t="s">
        <v>541</v>
      </c>
      <c r="U391" s="473" t="s">
        <v>1282</v>
      </c>
      <c r="W391" s="418" t="s">
        <v>1626</v>
      </c>
      <c r="X391" s="418" t="s">
        <v>3137</v>
      </c>
      <c r="AA391" s="27"/>
      <c r="AB391" s="27"/>
      <c r="AC391" s="809"/>
      <c r="AD391" s="481"/>
    </row>
    <row r="392" spans="3:30" ht="10.5" customHeight="1">
      <c r="C392" s="1526" t="s">
        <v>4350</v>
      </c>
      <c r="D392" s="1523">
        <v>0</v>
      </c>
      <c r="E392" s="1523">
        <v>0</v>
      </c>
      <c r="F392" s="1524">
        <v>0</v>
      </c>
      <c r="G392" s="1537" t="s">
        <v>4350</v>
      </c>
      <c r="H392" s="1521">
        <v>0</v>
      </c>
      <c r="I392" s="1521">
        <v>0</v>
      </c>
      <c r="J392" s="1538">
        <v>0</v>
      </c>
      <c r="K392" s="1525"/>
      <c r="L392" s="1519">
        <v>13015960500</v>
      </c>
      <c r="M392" s="1520">
        <v>0</v>
      </c>
      <c r="N392" s="1520">
        <v>0</v>
      </c>
      <c r="O392" s="1520">
        <v>0</v>
      </c>
      <c r="P392" s="504" t="s">
        <v>1176</v>
      </c>
      <c r="Q392" s="287"/>
      <c r="R392" s="168"/>
      <c r="S392" s="380"/>
      <c r="T392" s="473" t="s">
        <v>644</v>
      </c>
      <c r="U392" s="473" t="s">
        <v>300</v>
      </c>
      <c r="W392" s="418" t="s">
        <v>1628</v>
      </c>
      <c r="X392" s="418" t="s">
        <v>3137</v>
      </c>
      <c r="AA392" s="27"/>
      <c r="AB392" s="27"/>
      <c r="AC392" s="809"/>
      <c r="AD392" s="481"/>
    </row>
    <row r="393" spans="3:30" ht="10.5" customHeight="1">
      <c r="C393" s="1526" t="s">
        <v>4351</v>
      </c>
      <c r="D393" s="1523">
        <v>0</v>
      </c>
      <c r="E393" s="1523">
        <v>0</v>
      </c>
      <c r="F393" s="1524">
        <v>0</v>
      </c>
      <c r="G393" s="1537" t="s">
        <v>4351</v>
      </c>
      <c r="H393" s="1521">
        <v>1</v>
      </c>
      <c r="I393" s="1521">
        <v>0</v>
      </c>
      <c r="J393" s="1538">
        <v>0</v>
      </c>
      <c r="K393" s="1525"/>
      <c r="L393" s="1519">
        <v>13015960600</v>
      </c>
      <c r="M393" s="1520">
        <v>1</v>
      </c>
      <c r="N393" s="1520">
        <v>0</v>
      </c>
      <c r="O393" s="1520">
        <v>0</v>
      </c>
      <c r="P393" s="504" t="s">
        <v>864</v>
      </c>
      <c r="Q393" s="287"/>
      <c r="R393" s="168"/>
      <c r="S393" s="380"/>
      <c r="T393" s="473" t="s">
        <v>2280</v>
      </c>
      <c r="U393" s="473" t="s">
        <v>149</v>
      </c>
      <c r="W393" s="418" t="s">
        <v>1632</v>
      </c>
      <c r="X393" s="418" t="s">
        <v>3137</v>
      </c>
      <c r="AA393" s="27"/>
      <c r="AB393" s="27"/>
      <c r="AC393" s="809"/>
      <c r="AD393" s="481"/>
    </row>
    <row r="394" spans="3:30" ht="10.5" customHeight="1">
      <c r="C394" s="1526" t="s">
        <v>4352</v>
      </c>
      <c r="D394" s="1523">
        <v>0</v>
      </c>
      <c r="E394" s="1523">
        <v>0</v>
      </c>
      <c r="F394" s="1524">
        <v>0</v>
      </c>
      <c r="G394" s="1537" t="s">
        <v>4352</v>
      </c>
      <c r="H394" s="1521">
        <v>0</v>
      </c>
      <c r="I394" s="1521">
        <v>0</v>
      </c>
      <c r="J394" s="1538">
        <v>0</v>
      </c>
      <c r="K394" s="1525"/>
      <c r="L394" s="1519">
        <v>13015960700</v>
      </c>
      <c r="M394" s="1520">
        <v>0</v>
      </c>
      <c r="N394" s="1520">
        <v>0</v>
      </c>
      <c r="O394" s="1520">
        <v>0</v>
      </c>
      <c r="P394" s="504" t="s">
        <v>2348</v>
      </c>
      <c r="Q394" s="287"/>
      <c r="R394" s="168"/>
      <c r="S394" s="380"/>
      <c r="T394" s="473" t="s">
        <v>211</v>
      </c>
      <c r="U394" s="473" t="s">
        <v>2370</v>
      </c>
      <c r="W394" s="418" t="s">
        <v>1633</v>
      </c>
      <c r="X394" s="418" t="s">
        <v>3137</v>
      </c>
      <c r="AA394" s="27"/>
      <c r="AB394" s="27"/>
      <c r="AC394" s="809"/>
      <c r="AD394" s="481"/>
    </row>
    <row r="395" spans="3:30" ht="10.5" customHeight="1">
      <c r="C395" s="1526" t="s">
        <v>4353</v>
      </c>
      <c r="D395" s="1523">
        <v>0</v>
      </c>
      <c r="E395" s="1523">
        <v>0</v>
      </c>
      <c r="F395" s="1524">
        <v>0</v>
      </c>
      <c r="G395" s="1537" t="s">
        <v>4353</v>
      </c>
      <c r="H395" s="1521">
        <v>0</v>
      </c>
      <c r="I395" s="1521">
        <v>0</v>
      </c>
      <c r="J395" s="1538">
        <v>0</v>
      </c>
      <c r="K395" s="1525"/>
      <c r="L395" s="1519">
        <v>13015960801</v>
      </c>
      <c r="M395" s="1520">
        <v>0</v>
      </c>
      <c r="N395" s="1520">
        <v>0</v>
      </c>
      <c r="O395" s="1520">
        <v>0</v>
      </c>
      <c r="P395" s="504" t="s">
        <v>3353</v>
      </c>
      <c r="Q395" s="287"/>
      <c r="R395" s="168"/>
      <c r="S395" s="380"/>
      <c r="T395" s="473" t="s">
        <v>629</v>
      </c>
      <c r="U395" s="473" t="s">
        <v>1569</v>
      </c>
      <c r="W395" s="418" t="s">
        <v>1634</v>
      </c>
      <c r="X395" s="418" t="s">
        <v>3137</v>
      </c>
      <c r="AA395" s="27"/>
      <c r="AB395" s="27"/>
      <c r="AC395" s="809"/>
      <c r="AD395" s="481"/>
    </row>
    <row r="396" spans="3:30" ht="10.5" customHeight="1">
      <c r="C396" s="1526" t="s">
        <v>4354</v>
      </c>
      <c r="D396" s="1523">
        <v>0</v>
      </c>
      <c r="E396" s="1523">
        <v>0</v>
      </c>
      <c r="F396" s="1524">
        <v>0</v>
      </c>
      <c r="G396" s="1537" t="s">
        <v>4354</v>
      </c>
      <c r="H396" s="1521">
        <v>0</v>
      </c>
      <c r="I396" s="1521">
        <v>0</v>
      </c>
      <c r="J396" s="1538">
        <v>0</v>
      </c>
      <c r="K396" s="1525"/>
      <c r="L396" s="1519">
        <v>13015960802</v>
      </c>
      <c r="M396" s="1520">
        <v>0</v>
      </c>
      <c r="N396" s="1520">
        <v>0</v>
      </c>
      <c r="O396" s="1520">
        <v>0</v>
      </c>
      <c r="P396" s="504" t="s">
        <v>867</v>
      </c>
      <c r="Q396" s="287"/>
      <c r="R396" s="168"/>
      <c r="S396" s="380"/>
      <c r="T396" s="473" t="s">
        <v>2257</v>
      </c>
      <c r="U396" s="473" t="s">
        <v>2368</v>
      </c>
      <c r="W396" s="418" t="s">
        <v>99</v>
      </c>
      <c r="X396" s="418" t="s">
        <v>3137</v>
      </c>
      <c r="AA396" s="27"/>
      <c r="AB396" s="27"/>
      <c r="AC396" s="809"/>
      <c r="AD396" s="481"/>
    </row>
    <row r="397" spans="3:30" ht="10.5" customHeight="1">
      <c r="C397" s="1526" t="s">
        <v>4355</v>
      </c>
      <c r="D397" s="1523">
        <v>0</v>
      </c>
      <c r="E397" s="1523">
        <v>0</v>
      </c>
      <c r="F397" s="1524">
        <v>0</v>
      </c>
      <c r="G397" s="1537" t="s">
        <v>4355</v>
      </c>
      <c r="H397" s="1521">
        <v>0</v>
      </c>
      <c r="I397" s="1521">
        <v>0</v>
      </c>
      <c r="J397" s="1538">
        <v>0</v>
      </c>
      <c r="K397" s="1525"/>
      <c r="L397" s="1519">
        <v>13015960803</v>
      </c>
      <c r="M397" s="1520">
        <v>0</v>
      </c>
      <c r="N397" s="1520">
        <v>0</v>
      </c>
      <c r="O397" s="1520">
        <v>0</v>
      </c>
      <c r="P397" s="504" t="s">
        <v>869</v>
      </c>
      <c r="Q397" s="287"/>
      <c r="R397" s="168"/>
      <c r="S397" s="380"/>
      <c r="T397" s="473" t="s">
        <v>221</v>
      </c>
      <c r="U397" s="473" t="s">
        <v>1459</v>
      </c>
      <c r="W397" s="418" t="s">
        <v>285</v>
      </c>
      <c r="X397" s="418" t="s">
        <v>3137</v>
      </c>
      <c r="AA397" s="27"/>
      <c r="AB397" s="27"/>
      <c r="AC397" s="809"/>
      <c r="AD397" s="481"/>
    </row>
    <row r="398" spans="3:30" ht="10.5" customHeight="1">
      <c r="C398" s="1526" t="s">
        <v>4356</v>
      </c>
      <c r="D398" s="1523">
        <v>0</v>
      </c>
      <c r="E398" s="1523">
        <v>1</v>
      </c>
      <c r="F398" s="1524">
        <v>1</v>
      </c>
      <c r="G398" s="1537" t="s">
        <v>4356</v>
      </c>
      <c r="H398" s="1521">
        <v>1</v>
      </c>
      <c r="I398" s="1521" t="s">
        <v>4096</v>
      </c>
      <c r="J398" s="1538">
        <v>1</v>
      </c>
      <c r="K398" s="1525"/>
      <c r="L398" s="1519">
        <v>13015960901</v>
      </c>
      <c r="M398" s="1520">
        <v>1</v>
      </c>
      <c r="N398" s="1520">
        <v>1</v>
      </c>
      <c r="O398" s="1520">
        <v>1</v>
      </c>
      <c r="P398" s="504" t="s">
        <v>871</v>
      </c>
      <c r="Q398" s="287"/>
      <c r="R398" s="168"/>
      <c r="S398" s="380"/>
      <c r="T398" s="473" t="s">
        <v>1005</v>
      </c>
      <c r="U398" s="473" t="s">
        <v>1400</v>
      </c>
      <c r="W398" s="418" t="s">
        <v>286</v>
      </c>
      <c r="X398" s="418" t="s">
        <v>3137</v>
      </c>
      <c r="AA398" s="27"/>
      <c r="AB398" s="27"/>
      <c r="AC398" s="809"/>
      <c r="AD398" s="481"/>
    </row>
    <row r="399" spans="3:30" ht="10.5" customHeight="1">
      <c r="C399" s="1526" t="s">
        <v>4357</v>
      </c>
      <c r="D399" s="1523">
        <v>1</v>
      </c>
      <c r="E399" s="1523">
        <v>1</v>
      </c>
      <c r="F399" s="1524">
        <v>2</v>
      </c>
      <c r="G399" s="1537" t="s">
        <v>4357</v>
      </c>
      <c r="H399" s="1521">
        <v>0</v>
      </c>
      <c r="I399" s="1521">
        <v>1</v>
      </c>
      <c r="J399" s="1538">
        <v>1</v>
      </c>
      <c r="K399" s="1525"/>
      <c r="L399" s="1519">
        <v>13015960902</v>
      </c>
      <c r="M399" s="1520">
        <v>1</v>
      </c>
      <c r="N399" s="1520">
        <v>1</v>
      </c>
      <c r="O399" s="1520">
        <v>2</v>
      </c>
      <c r="P399" s="504" t="s">
        <v>873</v>
      </c>
      <c r="Q399" s="287"/>
      <c r="R399" s="168"/>
      <c r="S399" s="380"/>
      <c r="T399" s="473" t="s">
        <v>223</v>
      </c>
      <c r="U399" s="473" t="s">
        <v>1051</v>
      </c>
      <c r="W399" s="418" t="s">
        <v>287</v>
      </c>
      <c r="X399" s="418" t="s">
        <v>3137</v>
      </c>
      <c r="AA399" s="27"/>
      <c r="AB399" s="27"/>
      <c r="AC399" s="809"/>
      <c r="AD399" s="481"/>
    </row>
    <row r="400" spans="3:30" ht="10.5" customHeight="1">
      <c r="C400" s="1526" t="s">
        <v>4358</v>
      </c>
      <c r="D400" s="1523">
        <v>1</v>
      </c>
      <c r="E400" s="1523">
        <v>1</v>
      </c>
      <c r="F400" s="1524">
        <v>2</v>
      </c>
      <c r="G400" s="1537" t="s">
        <v>4358</v>
      </c>
      <c r="H400" s="1521">
        <v>1</v>
      </c>
      <c r="I400" s="1521">
        <v>0</v>
      </c>
      <c r="J400" s="1538">
        <v>1</v>
      </c>
      <c r="K400" s="1525"/>
      <c r="L400" s="1519">
        <v>13015961000</v>
      </c>
      <c r="M400" s="1520">
        <v>1</v>
      </c>
      <c r="N400" s="1520">
        <v>1</v>
      </c>
      <c r="O400" s="1520">
        <v>2</v>
      </c>
      <c r="P400" s="504" t="s">
        <v>875</v>
      </c>
      <c r="Q400" s="287"/>
      <c r="R400" s="168"/>
      <c r="S400" s="380"/>
      <c r="T400" s="473" t="s">
        <v>630</v>
      </c>
      <c r="U400" s="473" t="s">
        <v>307</v>
      </c>
      <c r="W400" s="418" t="s">
        <v>1479</v>
      </c>
      <c r="X400" s="418" t="s">
        <v>3137</v>
      </c>
      <c r="AA400" s="27"/>
      <c r="AB400" s="27"/>
      <c r="AC400" s="809"/>
      <c r="AD400" s="481"/>
    </row>
    <row r="401" spans="3:30" ht="10.5" customHeight="1">
      <c r="C401" s="1526" t="s">
        <v>4359</v>
      </c>
      <c r="D401" s="1523">
        <v>0</v>
      </c>
      <c r="E401" s="1523">
        <v>0</v>
      </c>
      <c r="F401" s="1524">
        <v>0</v>
      </c>
      <c r="G401" s="1537" t="s">
        <v>4359</v>
      </c>
      <c r="H401" s="1521">
        <v>0</v>
      </c>
      <c r="I401" s="1521">
        <v>0</v>
      </c>
      <c r="J401" s="1538">
        <v>0</v>
      </c>
      <c r="K401" s="1525"/>
      <c r="L401" s="1519">
        <v>13017960100</v>
      </c>
      <c r="M401" s="1520">
        <v>0</v>
      </c>
      <c r="N401" s="1520">
        <v>0</v>
      </c>
      <c r="O401" s="1520">
        <v>0</v>
      </c>
      <c r="P401" s="504" t="s">
        <v>649</v>
      </c>
      <c r="Q401" s="287"/>
      <c r="R401" s="168"/>
      <c r="S401" s="380"/>
      <c r="T401" s="473" t="s">
        <v>755</v>
      </c>
      <c r="U401" s="473" t="s">
        <v>630</v>
      </c>
      <c r="W401" s="418" t="s">
        <v>1480</v>
      </c>
      <c r="X401" s="418" t="s">
        <v>3137</v>
      </c>
      <c r="AA401" s="27"/>
      <c r="AB401" s="27"/>
      <c r="AC401" s="809"/>
      <c r="AD401" s="481"/>
    </row>
    <row r="402" spans="3:30" ht="10.5" customHeight="1">
      <c r="C402" s="1526" t="s">
        <v>4360</v>
      </c>
      <c r="D402" s="1523">
        <v>0</v>
      </c>
      <c r="E402" s="1523">
        <v>0</v>
      </c>
      <c r="F402" s="1524">
        <v>0</v>
      </c>
      <c r="G402" s="1537" t="s">
        <v>4360</v>
      </c>
      <c r="H402" s="1521">
        <v>0</v>
      </c>
      <c r="I402" s="1521">
        <v>0</v>
      </c>
      <c r="J402" s="1538">
        <v>0</v>
      </c>
      <c r="K402" s="1525"/>
      <c r="L402" s="1519">
        <v>13017960200</v>
      </c>
      <c r="M402" s="1520">
        <v>0</v>
      </c>
      <c r="N402" s="1520">
        <v>0</v>
      </c>
      <c r="O402" s="1520">
        <v>0</v>
      </c>
      <c r="P402" s="504" t="s">
        <v>49</v>
      </c>
      <c r="Q402" s="287"/>
      <c r="R402" s="168"/>
      <c r="S402" s="380"/>
      <c r="T402" s="473" t="s">
        <v>1173</v>
      </c>
      <c r="U402" s="473" t="s">
        <v>2376</v>
      </c>
      <c r="W402" s="418" t="s">
        <v>1481</v>
      </c>
      <c r="X402" s="418" t="s">
        <v>3137</v>
      </c>
      <c r="AA402" s="27"/>
      <c r="AB402" s="27"/>
      <c r="AC402" s="809"/>
      <c r="AD402" s="481"/>
    </row>
    <row r="403" spans="3:30" ht="10.5" customHeight="1">
      <c r="C403" s="1526" t="s">
        <v>4361</v>
      </c>
      <c r="D403" s="1523">
        <v>0</v>
      </c>
      <c r="E403" s="1523">
        <v>0</v>
      </c>
      <c r="F403" s="1524">
        <v>0</v>
      </c>
      <c r="G403" s="1537" t="s">
        <v>4361</v>
      </c>
      <c r="H403" s="1521">
        <v>0</v>
      </c>
      <c r="I403" s="1521">
        <v>0</v>
      </c>
      <c r="J403" s="1538">
        <v>0</v>
      </c>
      <c r="K403" s="1525"/>
      <c r="L403" s="1519">
        <v>13017960300</v>
      </c>
      <c r="M403" s="1520">
        <v>0</v>
      </c>
      <c r="N403" s="1520">
        <v>0</v>
      </c>
      <c r="O403" s="1520">
        <v>0</v>
      </c>
      <c r="P403" s="504" t="s">
        <v>925</v>
      </c>
      <c r="Q403" s="287"/>
      <c r="R403" s="168"/>
      <c r="S403" s="380"/>
      <c r="T403" s="473" t="s">
        <v>1175</v>
      </c>
      <c r="U403" s="473" t="s">
        <v>300</v>
      </c>
      <c r="W403" s="418" t="s">
        <v>1486</v>
      </c>
      <c r="X403" s="418" t="s">
        <v>3137</v>
      </c>
      <c r="AA403" s="27"/>
      <c r="AB403" s="27"/>
      <c r="AC403" s="809"/>
      <c r="AD403" s="481"/>
    </row>
    <row r="404" spans="3:30" ht="10.5" customHeight="1">
      <c r="C404" s="1526" t="s">
        <v>4362</v>
      </c>
      <c r="D404" s="1523">
        <v>0</v>
      </c>
      <c r="E404" s="1523">
        <v>0</v>
      </c>
      <c r="F404" s="1524">
        <v>0</v>
      </c>
      <c r="G404" s="1537" t="s">
        <v>4362</v>
      </c>
      <c r="H404" s="1521">
        <v>0</v>
      </c>
      <c r="I404" s="1521">
        <v>0</v>
      </c>
      <c r="J404" s="1538">
        <v>0</v>
      </c>
      <c r="K404" s="1525"/>
      <c r="L404" s="1519">
        <v>13017960400</v>
      </c>
      <c r="M404" s="1520">
        <v>0</v>
      </c>
      <c r="N404" s="1520">
        <v>0</v>
      </c>
      <c r="O404" s="1520">
        <v>0</v>
      </c>
      <c r="P404" s="504" t="s">
        <v>1662</v>
      </c>
      <c r="Q404" s="287"/>
      <c r="R404" s="168"/>
      <c r="S404" s="380"/>
      <c r="T404" s="473" t="s">
        <v>1177</v>
      </c>
      <c r="U404" s="473" t="s">
        <v>151</v>
      </c>
      <c r="W404" s="418" t="s">
        <v>2276</v>
      </c>
      <c r="X404" s="418" t="s">
        <v>3137</v>
      </c>
      <c r="AA404" s="27"/>
      <c r="AB404" s="27"/>
      <c r="AC404" s="809"/>
      <c r="AD404" s="481"/>
    </row>
    <row r="405" spans="3:30" ht="10.5" customHeight="1">
      <c r="C405" s="1526" t="s">
        <v>4363</v>
      </c>
      <c r="D405" s="1523">
        <v>0</v>
      </c>
      <c r="E405" s="1523">
        <v>0</v>
      </c>
      <c r="F405" s="1524">
        <v>0</v>
      </c>
      <c r="G405" s="1537" t="s">
        <v>4363</v>
      </c>
      <c r="H405" s="1521">
        <v>0</v>
      </c>
      <c r="I405" s="1521">
        <v>1</v>
      </c>
      <c r="J405" s="1538">
        <v>1</v>
      </c>
      <c r="K405" s="1525"/>
      <c r="L405" s="1519">
        <v>13017960500</v>
      </c>
      <c r="M405" s="1520">
        <v>0</v>
      </c>
      <c r="N405" s="1520">
        <v>1</v>
      </c>
      <c r="O405" s="1520">
        <v>1</v>
      </c>
      <c r="P405" s="504" t="s">
        <v>959</v>
      </c>
      <c r="Q405" s="287"/>
      <c r="R405" s="168"/>
      <c r="S405" s="380"/>
      <c r="T405" s="473" t="s">
        <v>865</v>
      </c>
      <c r="U405" s="473" t="s">
        <v>2139</v>
      </c>
      <c r="W405" s="418" t="s">
        <v>801</v>
      </c>
      <c r="X405" s="418" t="s">
        <v>3137</v>
      </c>
      <c r="AA405" s="27"/>
      <c r="AB405" s="27"/>
      <c r="AC405" s="809"/>
      <c r="AD405" s="481"/>
    </row>
    <row r="406" spans="3:30" ht="10.5" customHeight="1">
      <c r="C406" s="1526" t="s">
        <v>4364</v>
      </c>
      <c r="D406" s="1523">
        <v>0</v>
      </c>
      <c r="E406" s="1523">
        <v>0</v>
      </c>
      <c r="F406" s="1524">
        <v>0</v>
      </c>
      <c r="G406" s="1537" t="s">
        <v>4364</v>
      </c>
      <c r="H406" s="1521">
        <v>0</v>
      </c>
      <c r="I406" s="1521" t="s">
        <v>4096</v>
      </c>
      <c r="J406" s="1538">
        <v>0</v>
      </c>
      <c r="K406" s="1525"/>
      <c r="L406" s="1519">
        <v>13019970100</v>
      </c>
      <c r="M406" s="1520">
        <v>0</v>
      </c>
      <c r="N406" s="1520">
        <v>0</v>
      </c>
      <c r="O406" s="1520">
        <v>0</v>
      </c>
      <c r="P406" s="504" t="s">
        <v>960</v>
      </c>
      <c r="Q406" s="287"/>
      <c r="R406" s="168"/>
      <c r="S406" s="380"/>
      <c r="T406" s="473" t="s">
        <v>2349</v>
      </c>
      <c r="U406" s="473" t="s">
        <v>1789</v>
      </c>
      <c r="W406" s="418" t="s">
        <v>803</v>
      </c>
      <c r="X406" s="418" t="s">
        <v>3137</v>
      </c>
      <c r="AA406" s="27"/>
      <c r="AB406" s="27"/>
      <c r="AC406" s="809"/>
      <c r="AD406" s="481"/>
    </row>
    <row r="407" spans="3:30" ht="10.5" customHeight="1">
      <c r="C407" s="1526" t="s">
        <v>4365</v>
      </c>
      <c r="D407" s="1523">
        <v>0</v>
      </c>
      <c r="E407" s="1523">
        <v>0</v>
      </c>
      <c r="F407" s="1524">
        <v>0</v>
      </c>
      <c r="G407" s="1537" t="s">
        <v>4365</v>
      </c>
      <c r="H407" s="1521">
        <v>0</v>
      </c>
      <c r="I407" s="1521">
        <v>0</v>
      </c>
      <c r="J407" s="1538">
        <v>0</v>
      </c>
      <c r="K407" s="1525"/>
      <c r="L407" s="1519">
        <v>13019970200</v>
      </c>
      <c r="M407" s="1520">
        <v>0</v>
      </c>
      <c r="N407" s="1520">
        <v>0</v>
      </c>
      <c r="O407" s="1520">
        <v>0</v>
      </c>
      <c r="P407" s="504" t="s">
        <v>962</v>
      </c>
      <c r="Q407" s="287"/>
      <c r="R407" s="168"/>
      <c r="S407" s="380"/>
      <c r="T407" s="505" t="s">
        <v>868</v>
      </c>
      <c r="U407" s="505" t="s">
        <v>2083</v>
      </c>
      <c r="AA407" s="27"/>
      <c r="AB407" s="27"/>
      <c r="AC407" s="810"/>
      <c r="AD407" s="481"/>
    </row>
    <row r="408" spans="3:30" ht="10.5" customHeight="1">
      <c r="C408" s="1526" t="s">
        <v>4366</v>
      </c>
      <c r="D408" s="1523">
        <v>0</v>
      </c>
      <c r="E408" s="1523">
        <v>0</v>
      </c>
      <c r="F408" s="1524">
        <v>0</v>
      </c>
      <c r="G408" s="1537" t="s">
        <v>4366</v>
      </c>
      <c r="H408" s="1521">
        <v>0</v>
      </c>
      <c r="I408" s="1521">
        <v>0</v>
      </c>
      <c r="J408" s="1538">
        <v>0</v>
      </c>
      <c r="K408" s="1525"/>
      <c r="L408" s="1519">
        <v>13019970300</v>
      </c>
      <c r="M408" s="1520">
        <v>0</v>
      </c>
      <c r="N408" s="1520">
        <v>0</v>
      </c>
      <c r="O408" s="1520">
        <v>0</v>
      </c>
      <c r="P408" s="504" t="s">
        <v>941</v>
      </c>
      <c r="Q408" s="287"/>
      <c r="R408" s="168"/>
      <c r="S408" s="380"/>
      <c r="T408" s="473" t="s">
        <v>870</v>
      </c>
      <c r="U408" s="473" t="s">
        <v>1063</v>
      </c>
      <c r="AA408" s="27"/>
      <c r="AB408" s="27"/>
      <c r="AC408" s="809"/>
      <c r="AD408" s="481"/>
    </row>
    <row r="409" spans="3:30" ht="10.5" customHeight="1">
      <c r="C409" s="1526" t="s">
        <v>4367</v>
      </c>
      <c r="D409" s="1523">
        <v>0</v>
      </c>
      <c r="E409" s="1523">
        <v>0</v>
      </c>
      <c r="F409" s="1524">
        <v>0</v>
      </c>
      <c r="G409" s="1537" t="s">
        <v>4367</v>
      </c>
      <c r="H409" s="1521">
        <v>0</v>
      </c>
      <c r="I409" s="1521">
        <v>0</v>
      </c>
      <c r="J409" s="1538">
        <v>0</v>
      </c>
      <c r="K409" s="1525"/>
      <c r="L409" s="1519">
        <v>13019970400</v>
      </c>
      <c r="M409" s="1520">
        <v>0</v>
      </c>
      <c r="N409" s="1520">
        <v>0</v>
      </c>
      <c r="O409" s="1520">
        <v>0</v>
      </c>
      <c r="P409" s="504" t="s">
        <v>943</v>
      </c>
      <c r="Q409" s="287"/>
      <c r="R409" s="168"/>
      <c r="S409" s="380"/>
      <c r="T409" s="473" t="s">
        <v>872</v>
      </c>
      <c r="U409" s="473" t="s">
        <v>634</v>
      </c>
      <c r="AA409" s="27"/>
      <c r="AB409" s="27"/>
      <c r="AC409" s="809"/>
      <c r="AD409" s="481"/>
    </row>
    <row r="410" spans="3:30" ht="10.5" customHeight="1">
      <c r="C410" s="1526" t="s">
        <v>4368</v>
      </c>
      <c r="D410" s="1523">
        <v>0</v>
      </c>
      <c r="E410" s="1523">
        <v>0</v>
      </c>
      <c r="F410" s="1524">
        <v>0</v>
      </c>
      <c r="G410" s="1537" t="s">
        <v>4368</v>
      </c>
      <c r="H410" s="1521">
        <v>0</v>
      </c>
      <c r="I410" s="1521">
        <v>1</v>
      </c>
      <c r="J410" s="1538">
        <v>1</v>
      </c>
      <c r="K410" s="1525"/>
      <c r="L410" s="1519">
        <v>13019970500</v>
      </c>
      <c r="M410" s="1520">
        <v>0</v>
      </c>
      <c r="N410" s="1520">
        <v>1</v>
      </c>
      <c r="O410" s="1520">
        <v>1</v>
      </c>
      <c r="P410" s="504" t="s">
        <v>945</v>
      </c>
      <c r="Q410" s="287"/>
      <c r="R410" s="168"/>
      <c r="S410" s="380"/>
      <c r="T410" s="473" t="s">
        <v>874</v>
      </c>
      <c r="U410" s="473" t="s">
        <v>300</v>
      </c>
      <c r="AA410" s="27"/>
      <c r="AB410" s="27"/>
      <c r="AC410" s="809"/>
      <c r="AD410" s="481"/>
    </row>
    <row r="411" spans="3:30" ht="10.5" customHeight="1">
      <c r="C411" s="1526" t="s">
        <v>4369</v>
      </c>
      <c r="D411" s="1523">
        <v>0</v>
      </c>
      <c r="E411" s="1523">
        <v>0</v>
      </c>
      <c r="F411" s="1524">
        <v>0</v>
      </c>
      <c r="G411" s="1537" t="s">
        <v>4369</v>
      </c>
      <c r="H411" s="1521">
        <v>0</v>
      </c>
      <c r="I411" s="1521">
        <v>0</v>
      </c>
      <c r="J411" s="1538">
        <v>0</v>
      </c>
      <c r="K411" s="1525"/>
      <c r="L411" s="1519">
        <v>13019970600</v>
      </c>
      <c r="M411" s="1520">
        <v>0</v>
      </c>
      <c r="N411" s="1520">
        <v>0</v>
      </c>
      <c r="O411" s="1520">
        <v>0</v>
      </c>
      <c r="P411" s="504" t="s">
        <v>947</v>
      </c>
      <c r="Q411" s="287"/>
      <c r="R411" s="168"/>
      <c r="S411" s="380"/>
      <c r="T411" s="505" t="s">
        <v>876</v>
      </c>
      <c r="U411" s="505" t="s">
        <v>1280</v>
      </c>
      <c r="AA411" s="27"/>
      <c r="AB411" s="27"/>
      <c r="AC411" s="810"/>
      <c r="AD411" s="481"/>
    </row>
    <row r="412" spans="3:30" ht="10.5" customHeight="1">
      <c r="C412" s="1526" t="s">
        <v>4370</v>
      </c>
      <c r="D412" s="1523">
        <v>0</v>
      </c>
      <c r="E412" s="1523">
        <v>0</v>
      </c>
      <c r="F412" s="1524">
        <v>0</v>
      </c>
      <c r="G412" s="1537" t="s">
        <v>4370</v>
      </c>
      <c r="H412" s="1521">
        <v>0</v>
      </c>
      <c r="I412" s="1521">
        <v>0</v>
      </c>
      <c r="J412" s="1538">
        <v>0</v>
      </c>
      <c r="K412" s="1525"/>
      <c r="L412" s="1519">
        <v>13021010100</v>
      </c>
      <c r="M412" s="1520">
        <v>0</v>
      </c>
      <c r="N412" s="1520">
        <v>0</v>
      </c>
      <c r="O412" s="1520">
        <v>0</v>
      </c>
      <c r="P412" s="504" t="s">
        <v>544</v>
      </c>
      <c r="Q412" s="287"/>
      <c r="R412" s="168"/>
      <c r="S412" s="380"/>
      <c r="T412" s="473" t="s">
        <v>650</v>
      </c>
      <c r="U412" s="473" t="s">
        <v>2087</v>
      </c>
      <c r="AA412" s="27"/>
      <c r="AB412" s="27"/>
      <c r="AC412" s="809"/>
      <c r="AD412" s="481"/>
    </row>
    <row r="413" spans="3:30" ht="10.5" customHeight="1">
      <c r="C413" s="1526" t="s">
        <v>4371</v>
      </c>
      <c r="D413" s="1523">
        <v>0</v>
      </c>
      <c r="E413" s="1523">
        <v>0</v>
      </c>
      <c r="F413" s="1524">
        <v>0</v>
      </c>
      <c r="G413" s="1537" t="s">
        <v>4371</v>
      </c>
      <c r="H413" s="1521">
        <v>0</v>
      </c>
      <c r="I413" s="1521">
        <v>1</v>
      </c>
      <c r="J413" s="1538">
        <v>1</v>
      </c>
      <c r="K413" s="1525"/>
      <c r="L413" s="1519">
        <v>13021010200</v>
      </c>
      <c r="M413" s="1520">
        <v>0</v>
      </c>
      <c r="N413" s="1520">
        <v>1</v>
      </c>
      <c r="O413" s="1520">
        <v>1</v>
      </c>
      <c r="P413" s="504" t="s">
        <v>355</v>
      </c>
      <c r="Q413" s="287"/>
      <c r="R413" s="168"/>
      <c r="S413" s="380"/>
      <c r="T413" s="473" t="s">
        <v>50</v>
      </c>
      <c r="U413" s="473" t="s">
        <v>105</v>
      </c>
      <c r="AA413" s="27"/>
      <c r="AB413" s="27"/>
      <c r="AC413" s="809"/>
      <c r="AD413" s="481"/>
    </row>
    <row r="414" spans="3:30" ht="10.5" customHeight="1">
      <c r="C414" s="1526" t="s">
        <v>4372</v>
      </c>
      <c r="D414" s="1523">
        <v>0</v>
      </c>
      <c r="E414" s="1523">
        <v>0</v>
      </c>
      <c r="F414" s="1524">
        <v>0</v>
      </c>
      <c r="G414" s="1537" t="s">
        <v>4372</v>
      </c>
      <c r="H414" s="1521">
        <v>0</v>
      </c>
      <c r="I414" s="1521" t="s">
        <v>4096</v>
      </c>
      <c r="J414" s="1538">
        <v>0</v>
      </c>
      <c r="K414" s="1525"/>
      <c r="L414" s="1519">
        <v>13021010300</v>
      </c>
      <c r="M414" s="1520">
        <v>0</v>
      </c>
      <c r="N414" s="1520">
        <v>0</v>
      </c>
      <c r="O414" s="1520">
        <v>0</v>
      </c>
      <c r="P414" s="504" t="s">
        <v>357</v>
      </c>
      <c r="Q414" s="287"/>
      <c r="R414" s="168"/>
      <c r="S414" s="380"/>
      <c r="T414" s="473" t="s">
        <v>926</v>
      </c>
      <c r="U414" s="473" t="s">
        <v>1917</v>
      </c>
      <c r="AA414" s="27"/>
      <c r="AB414" s="27"/>
      <c r="AC414" s="809"/>
      <c r="AD414" s="481"/>
    </row>
    <row r="415" spans="3:30" ht="10.5" customHeight="1">
      <c r="C415" s="1526" t="s">
        <v>4373</v>
      </c>
      <c r="D415" s="1523">
        <v>0</v>
      </c>
      <c r="E415" s="1523">
        <v>0</v>
      </c>
      <c r="F415" s="1524">
        <v>0</v>
      </c>
      <c r="G415" s="1537" t="s">
        <v>4373</v>
      </c>
      <c r="H415" s="1521">
        <v>0</v>
      </c>
      <c r="I415" s="1521">
        <v>0</v>
      </c>
      <c r="J415" s="1538">
        <v>0</v>
      </c>
      <c r="K415" s="1525"/>
      <c r="L415" s="1519">
        <v>13021010400</v>
      </c>
      <c r="M415" s="1520">
        <v>0</v>
      </c>
      <c r="N415" s="1520">
        <v>0</v>
      </c>
      <c r="O415" s="1520">
        <v>0</v>
      </c>
      <c r="P415" s="504" t="s">
        <v>359</v>
      </c>
      <c r="Q415" s="287"/>
      <c r="R415" s="168"/>
      <c r="S415" s="380"/>
      <c r="T415" s="473" t="s">
        <v>637</v>
      </c>
      <c r="U415" s="473" t="s">
        <v>2288</v>
      </c>
      <c r="AA415" s="27"/>
      <c r="AB415" s="27"/>
      <c r="AC415" s="809"/>
      <c r="AD415" s="481"/>
    </row>
    <row r="416" spans="3:30" ht="10.5" customHeight="1">
      <c r="C416" s="1526" t="s">
        <v>4374</v>
      </c>
      <c r="D416" s="1523">
        <v>0</v>
      </c>
      <c r="E416" s="1523">
        <v>0</v>
      </c>
      <c r="F416" s="1524">
        <v>0</v>
      </c>
      <c r="G416" s="1537" t="s">
        <v>4374</v>
      </c>
      <c r="H416" s="1521">
        <v>0</v>
      </c>
      <c r="I416" s="1521">
        <v>0</v>
      </c>
      <c r="J416" s="1538">
        <v>0</v>
      </c>
      <c r="K416" s="1525"/>
      <c r="L416" s="1519">
        <v>13021010500</v>
      </c>
      <c r="M416" s="1520">
        <v>0</v>
      </c>
      <c r="N416" s="1520">
        <v>0</v>
      </c>
      <c r="O416" s="1520">
        <v>0</v>
      </c>
      <c r="P416" s="504" t="s">
        <v>567</v>
      </c>
      <c r="Q416" s="287"/>
      <c r="R416" s="168"/>
      <c r="S416" s="380"/>
      <c r="T416" s="473" t="s">
        <v>961</v>
      </c>
      <c r="U416" s="473" t="s">
        <v>1164</v>
      </c>
      <c r="AA416" s="27"/>
      <c r="AB416" s="27"/>
      <c r="AC416" s="809"/>
      <c r="AD416" s="481"/>
    </row>
    <row r="417" spans="3:30" ht="10.5" customHeight="1">
      <c r="C417" s="1526" t="s">
        <v>4375</v>
      </c>
      <c r="D417" s="1523">
        <v>1</v>
      </c>
      <c r="E417" s="1523">
        <v>1</v>
      </c>
      <c r="F417" s="1524">
        <v>2</v>
      </c>
      <c r="G417" s="1537" t="s">
        <v>4375</v>
      </c>
      <c r="H417" s="1521">
        <v>0</v>
      </c>
      <c r="I417" s="1521" t="s">
        <v>4096</v>
      </c>
      <c r="J417" s="1538">
        <v>0</v>
      </c>
      <c r="K417" s="1525"/>
      <c r="L417" s="1519">
        <v>13021010800</v>
      </c>
      <c r="M417" s="1520">
        <v>1</v>
      </c>
      <c r="N417" s="1520">
        <v>1</v>
      </c>
      <c r="O417" s="1520">
        <v>2</v>
      </c>
      <c r="P417" s="504" t="s">
        <v>1365</v>
      </c>
      <c r="Q417" s="287"/>
      <c r="R417" s="168"/>
      <c r="S417" s="380"/>
      <c r="T417" s="505" t="s">
        <v>963</v>
      </c>
      <c r="U417" s="505" t="s">
        <v>2412</v>
      </c>
      <c r="AA417" s="27"/>
      <c r="AB417" s="27"/>
      <c r="AC417" s="810"/>
      <c r="AD417" s="481"/>
    </row>
    <row r="418" spans="3:30" ht="10.5" customHeight="1">
      <c r="C418" s="1526" t="s">
        <v>4376</v>
      </c>
      <c r="D418" s="1523">
        <v>0</v>
      </c>
      <c r="E418" s="1523">
        <v>0</v>
      </c>
      <c r="F418" s="1524">
        <v>0</v>
      </c>
      <c r="G418" s="1537" t="s">
        <v>4376</v>
      </c>
      <c r="H418" s="1521">
        <v>0</v>
      </c>
      <c r="I418" s="1521">
        <v>0</v>
      </c>
      <c r="J418" s="1538">
        <v>0</v>
      </c>
      <c r="K418" s="1525"/>
      <c r="L418" s="1519">
        <v>13021011000</v>
      </c>
      <c r="M418" s="1520">
        <v>0</v>
      </c>
      <c r="N418" s="1520">
        <v>0</v>
      </c>
      <c r="O418" s="1520">
        <v>0</v>
      </c>
      <c r="P418" s="504" t="s">
        <v>1528</v>
      </c>
      <c r="Q418" s="287"/>
      <c r="R418" s="168"/>
      <c r="S418" s="380"/>
      <c r="T418" s="473" t="s">
        <v>942</v>
      </c>
      <c r="U418" s="473" t="s">
        <v>409</v>
      </c>
      <c r="AA418" s="27"/>
      <c r="AB418" s="27"/>
      <c r="AC418" s="809"/>
      <c r="AD418" s="481"/>
    </row>
    <row r="419" spans="3:30" ht="10.5" customHeight="1">
      <c r="C419" s="1526" t="s">
        <v>4377</v>
      </c>
      <c r="D419" s="1523">
        <v>0</v>
      </c>
      <c r="E419" s="1523">
        <v>0</v>
      </c>
      <c r="F419" s="1524">
        <v>0</v>
      </c>
      <c r="G419" s="1537" t="s">
        <v>4377</v>
      </c>
      <c r="H419" s="1521">
        <v>0</v>
      </c>
      <c r="I419" s="1521">
        <v>0</v>
      </c>
      <c r="J419" s="1538">
        <v>0</v>
      </c>
      <c r="K419" s="1525"/>
      <c r="L419" s="1519">
        <v>13021011100</v>
      </c>
      <c r="M419" s="1520">
        <v>0</v>
      </c>
      <c r="N419" s="1520">
        <v>0</v>
      </c>
      <c r="O419" s="1520">
        <v>0</v>
      </c>
      <c r="P419" s="504" t="s">
        <v>969</v>
      </c>
      <c r="Q419" s="287"/>
      <c r="R419" s="168"/>
      <c r="S419" s="380"/>
      <c r="T419" s="473" t="s">
        <v>944</v>
      </c>
      <c r="U419" s="473" t="s">
        <v>114</v>
      </c>
      <c r="AA419" s="27"/>
      <c r="AB419" s="27"/>
      <c r="AC419" s="809"/>
      <c r="AD419" s="481"/>
    </row>
    <row r="420" spans="3:30" ht="10.5" customHeight="1">
      <c r="C420" s="1526" t="s">
        <v>4378</v>
      </c>
      <c r="D420" s="1523">
        <v>0</v>
      </c>
      <c r="E420" s="1523">
        <v>0</v>
      </c>
      <c r="F420" s="1524">
        <v>0</v>
      </c>
      <c r="G420" s="1537" t="s">
        <v>4378</v>
      </c>
      <c r="H420" s="1521">
        <v>0</v>
      </c>
      <c r="I420" s="1521">
        <v>0</v>
      </c>
      <c r="J420" s="1538">
        <v>0</v>
      </c>
      <c r="K420" s="1525"/>
      <c r="L420" s="1519">
        <v>13021011500</v>
      </c>
      <c r="M420" s="1520">
        <v>0</v>
      </c>
      <c r="N420" s="1520">
        <v>0</v>
      </c>
      <c r="O420" s="1520">
        <v>0</v>
      </c>
      <c r="P420" s="504" t="s">
        <v>971</v>
      </c>
      <c r="Q420" s="287"/>
      <c r="R420" s="168"/>
      <c r="S420" s="380"/>
      <c r="T420" s="473" t="s">
        <v>946</v>
      </c>
      <c r="U420" s="473" t="s">
        <v>641</v>
      </c>
      <c r="AA420" s="27"/>
      <c r="AB420" s="27"/>
      <c r="AC420" s="809"/>
      <c r="AD420" s="481"/>
    </row>
    <row r="421" spans="3:30" ht="10.5" customHeight="1">
      <c r="C421" s="1526" t="s">
        <v>4379</v>
      </c>
      <c r="D421" s="1523">
        <v>0</v>
      </c>
      <c r="E421" s="1523">
        <v>0</v>
      </c>
      <c r="F421" s="1524">
        <v>0</v>
      </c>
      <c r="G421" s="1537" t="s">
        <v>4379</v>
      </c>
      <c r="H421" s="1521">
        <v>0</v>
      </c>
      <c r="I421" s="1521">
        <v>1</v>
      </c>
      <c r="J421" s="1538">
        <v>1</v>
      </c>
      <c r="K421" s="1525"/>
      <c r="L421" s="1519">
        <v>13021011701</v>
      </c>
      <c r="M421" s="1520">
        <v>0</v>
      </c>
      <c r="N421" s="1520">
        <v>1</v>
      </c>
      <c r="O421" s="1520">
        <v>1</v>
      </c>
      <c r="P421" s="504" t="s">
        <v>973</v>
      </c>
      <c r="Q421" s="287"/>
      <c r="R421" s="168"/>
      <c r="S421" s="380"/>
      <c r="T421" s="473" t="s">
        <v>948</v>
      </c>
      <c r="U421" s="473" t="s">
        <v>1789</v>
      </c>
      <c r="AA421" s="27"/>
      <c r="AB421" s="27"/>
      <c r="AC421" s="809"/>
      <c r="AD421" s="481"/>
    </row>
    <row r="422" spans="3:30" ht="10.5" customHeight="1">
      <c r="C422" s="1526" t="s">
        <v>4380</v>
      </c>
      <c r="D422" s="1523">
        <v>0</v>
      </c>
      <c r="E422" s="1523">
        <v>0</v>
      </c>
      <c r="F422" s="1524">
        <v>0</v>
      </c>
      <c r="G422" s="1537" t="s">
        <v>4380</v>
      </c>
      <c r="H422" s="1521">
        <v>0</v>
      </c>
      <c r="I422" s="1521">
        <v>0</v>
      </c>
      <c r="J422" s="1538">
        <v>0</v>
      </c>
      <c r="K422" s="1525"/>
      <c r="L422" s="1519">
        <v>13021011702</v>
      </c>
      <c r="M422" s="1520">
        <v>0</v>
      </c>
      <c r="N422" s="1520">
        <v>0</v>
      </c>
      <c r="O422" s="1520">
        <v>0</v>
      </c>
      <c r="P422" s="504" t="s">
        <v>1600</v>
      </c>
      <c r="Q422" s="287"/>
      <c r="R422" s="168"/>
      <c r="S422" s="380"/>
      <c r="T422" s="473" t="s">
        <v>1006</v>
      </c>
      <c r="U422" s="473" t="s">
        <v>598</v>
      </c>
      <c r="AA422" s="27"/>
      <c r="AB422" s="27"/>
      <c r="AC422" s="809"/>
      <c r="AD422" s="481"/>
    </row>
    <row r="423" spans="3:30" ht="10.5" customHeight="1">
      <c r="C423" s="1526" t="s">
        <v>4381</v>
      </c>
      <c r="D423" s="1523">
        <v>1</v>
      </c>
      <c r="E423" s="1523">
        <v>0</v>
      </c>
      <c r="F423" s="1524">
        <v>1</v>
      </c>
      <c r="G423" s="1537" t="s">
        <v>4381</v>
      </c>
      <c r="H423" s="1521">
        <v>1</v>
      </c>
      <c r="I423" s="1521">
        <v>1</v>
      </c>
      <c r="J423" s="1538">
        <v>2</v>
      </c>
      <c r="K423" s="1525"/>
      <c r="L423" s="1519">
        <v>13021011800</v>
      </c>
      <c r="M423" s="1520">
        <v>1</v>
      </c>
      <c r="N423" s="1520">
        <v>1</v>
      </c>
      <c r="O423" s="1520">
        <v>2</v>
      </c>
      <c r="P423" s="504" t="s">
        <v>1601</v>
      </c>
      <c r="Q423" s="287"/>
      <c r="R423" s="168"/>
      <c r="S423" s="380"/>
      <c r="T423" s="473" t="s">
        <v>545</v>
      </c>
      <c r="U423" s="473" t="s">
        <v>2076</v>
      </c>
      <c r="AA423" s="27"/>
      <c r="AB423" s="27"/>
      <c r="AC423" s="809"/>
      <c r="AD423" s="481"/>
    </row>
    <row r="424" spans="3:30" ht="10.5" customHeight="1">
      <c r="C424" s="1526" t="s">
        <v>4382</v>
      </c>
      <c r="D424" s="1523">
        <v>0</v>
      </c>
      <c r="E424" s="1523">
        <v>0</v>
      </c>
      <c r="F424" s="1524">
        <v>0</v>
      </c>
      <c r="G424" s="1537" t="s">
        <v>4382</v>
      </c>
      <c r="H424" s="1521">
        <v>0</v>
      </c>
      <c r="I424" s="1521">
        <v>0</v>
      </c>
      <c r="J424" s="1538">
        <v>0</v>
      </c>
      <c r="K424" s="1525"/>
      <c r="L424" s="1519">
        <v>13021011900</v>
      </c>
      <c r="M424" s="1520">
        <v>0</v>
      </c>
      <c r="N424" s="1520">
        <v>0</v>
      </c>
      <c r="O424" s="1520">
        <v>0</v>
      </c>
      <c r="P424" s="504" t="s">
        <v>1602</v>
      </c>
      <c r="Q424" s="287"/>
      <c r="R424" s="168"/>
      <c r="S424" s="380"/>
      <c r="T424" s="473" t="s">
        <v>356</v>
      </c>
      <c r="U424" s="473" t="s">
        <v>2409</v>
      </c>
      <c r="AA424" s="27"/>
      <c r="AB424" s="27"/>
      <c r="AC424" s="809"/>
      <c r="AD424" s="481"/>
    </row>
    <row r="425" spans="3:30" ht="10.5" customHeight="1">
      <c r="C425" s="1526" t="s">
        <v>4383</v>
      </c>
      <c r="D425" s="1523">
        <v>1</v>
      </c>
      <c r="E425" s="1523">
        <v>1</v>
      </c>
      <c r="F425" s="1524">
        <v>2</v>
      </c>
      <c r="G425" s="1537" t="s">
        <v>4383</v>
      </c>
      <c r="H425" s="1521">
        <v>1</v>
      </c>
      <c r="I425" s="1521">
        <v>1</v>
      </c>
      <c r="J425" s="1538">
        <v>2</v>
      </c>
      <c r="K425" s="1525"/>
      <c r="L425" s="1519">
        <v>13021012000</v>
      </c>
      <c r="M425" s="1520">
        <v>1</v>
      </c>
      <c r="N425" s="1520">
        <v>1</v>
      </c>
      <c r="O425" s="1520">
        <v>2</v>
      </c>
      <c r="P425" s="504" t="s">
        <v>830</v>
      </c>
      <c r="Q425" s="287"/>
      <c r="R425" s="168"/>
      <c r="S425" s="380"/>
      <c r="T425" s="473" t="s">
        <v>358</v>
      </c>
      <c r="U425" s="473" t="s">
        <v>1400</v>
      </c>
      <c r="AA425" s="27"/>
      <c r="AB425" s="27"/>
      <c r="AC425" s="809"/>
      <c r="AD425" s="481"/>
    </row>
    <row r="426" spans="3:30" ht="10.5" customHeight="1">
      <c r="C426" s="1526" t="s">
        <v>4384</v>
      </c>
      <c r="D426" s="1523">
        <v>1</v>
      </c>
      <c r="E426" s="1523">
        <v>1</v>
      </c>
      <c r="F426" s="1524">
        <v>2</v>
      </c>
      <c r="G426" s="1537" t="s">
        <v>4384</v>
      </c>
      <c r="H426" s="1521">
        <v>1</v>
      </c>
      <c r="I426" s="1521">
        <v>1</v>
      </c>
      <c r="J426" s="1538">
        <v>2</v>
      </c>
      <c r="K426" s="1525"/>
      <c r="L426" s="1519">
        <v>13021012101</v>
      </c>
      <c r="M426" s="1520">
        <v>1</v>
      </c>
      <c r="N426" s="1520">
        <v>1</v>
      </c>
      <c r="O426" s="1520">
        <v>2</v>
      </c>
      <c r="P426" s="504" t="s">
        <v>832</v>
      </c>
      <c r="Q426" s="287"/>
      <c r="R426" s="168"/>
      <c r="S426" s="380"/>
      <c r="T426" s="473" t="s">
        <v>1007</v>
      </c>
      <c r="U426" s="473" t="s">
        <v>1821</v>
      </c>
      <c r="AA426" s="27"/>
      <c r="AB426" s="27"/>
      <c r="AC426" s="809"/>
      <c r="AD426" s="481"/>
    </row>
    <row r="427" spans="3:30" ht="10.5" customHeight="1">
      <c r="C427" s="1526" t="s">
        <v>4385</v>
      </c>
      <c r="D427" s="1523">
        <v>0</v>
      </c>
      <c r="E427" s="1523">
        <v>1</v>
      </c>
      <c r="F427" s="1524">
        <v>1</v>
      </c>
      <c r="G427" s="1537" t="s">
        <v>4385</v>
      </c>
      <c r="H427" s="1521">
        <v>0</v>
      </c>
      <c r="I427" s="1521">
        <v>1</v>
      </c>
      <c r="J427" s="1538">
        <v>1</v>
      </c>
      <c r="K427" s="1525"/>
      <c r="L427" s="1519">
        <v>13021012102</v>
      </c>
      <c r="M427" s="1520">
        <v>0</v>
      </c>
      <c r="N427" s="1520">
        <v>1</v>
      </c>
      <c r="O427" s="1520">
        <v>1</v>
      </c>
      <c r="P427" s="504" t="s">
        <v>834</v>
      </c>
      <c r="Q427" s="287"/>
      <c r="R427" s="168"/>
      <c r="S427" s="380"/>
      <c r="T427" s="473" t="s">
        <v>360</v>
      </c>
      <c r="U427" s="473" t="s">
        <v>843</v>
      </c>
      <c r="AA427" s="27"/>
      <c r="AB427" s="27"/>
      <c r="AC427" s="809"/>
      <c r="AD427" s="481"/>
    </row>
    <row r="428" spans="3:30" ht="10.5" customHeight="1">
      <c r="C428" s="1526" t="s">
        <v>4386</v>
      </c>
      <c r="D428" s="1523">
        <v>0</v>
      </c>
      <c r="E428" s="1523">
        <v>0</v>
      </c>
      <c r="F428" s="1524">
        <v>0</v>
      </c>
      <c r="G428" s="1537" t="s">
        <v>4386</v>
      </c>
      <c r="H428" s="1521">
        <v>0</v>
      </c>
      <c r="I428" s="1521">
        <v>0</v>
      </c>
      <c r="J428" s="1538">
        <v>0</v>
      </c>
      <c r="K428" s="1525"/>
      <c r="L428" s="1519">
        <v>13021012200</v>
      </c>
      <c r="M428" s="1520">
        <v>0</v>
      </c>
      <c r="N428" s="1520">
        <v>0</v>
      </c>
      <c r="O428" s="1520">
        <v>0</v>
      </c>
      <c r="P428" s="504" t="s">
        <v>412</v>
      </c>
      <c r="Q428" s="287"/>
      <c r="R428" s="168"/>
      <c r="S428" s="380"/>
      <c r="T428" s="473" t="s">
        <v>1366</v>
      </c>
      <c r="U428" s="473" t="s">
        <v>2141</v>
      </c>
      <c r="AA428" s="27"/>
      <c r="AB428" s="27"/>
      <c r="AC428" s="809"/>
      <c r="AD428" s="481"/>
    </row>
    <row r="429" spans="3:30" ht="10.5" customHeight="1">
      <c r="C429" s="1526" t="s">
        <v>4387</v>
      </c>
      <c r="D429" s="1523">
        <v>0</v>
      </c>
      <c r="E429" s="1523">
        <v>0</v>
      </c>
      <c r="F429" s="1524">
        <v>0</v>
      </c>
      <c r="G429" s="1537" t="s">
        <v>4387</v>
      </c>
      <c r="H429" s="1521">
        <v>0</v>
      </c>
      <c r="I429" s="1521">
        <v>0</v>
      </c>
      <c r="J429" s="1538">
        <v>0</v>
      </c>
      <c r="K429" s="1525"/>
      <c r="L429" s="1519">
        <v>13021012300</v>
      </c>
      <c r="M429" s="1520">
        <v>0</v>
      </c>
      <c r="N429" s="1520">
        <v>0</v>
      </c>
      <c r="O429" s="1520">
        <v>0</v>
      </c>
      <c r="P429" s="504" t="s">
        <v>1645</v>
      </c>
      <c r="Q429" s="287"/>
      <c r="R429" s="168"/>
      <c r="S429" s="380"/>
      <c r="T429" s="473" t="s">
        <v>1529</v>
      </c>
      <c r="U429" s="473" t="s">
        <v>167</v>
      </c>
      <c r="AA429" s="27"/>
      <c r="AB429" s="27"/>
      <c r="AC429" s="809"/>
      <c r="AD429" s="481"/>
    </row>
    <row r="430" spans="3:30" ht="10.5" customHeight="1">
      <c r="C430" s="1526" t="s">
        <v>4388</v>
      </c>
      <c r="D430" s="1523">
        <v>0</v>
      </c>
      <c r="E430" s="1523">
        <v>0</v>
      </c>
      <c r="F430" s="1524">
        <v>0</v>
      </c>
      <c r="G430" s="1537" t="s">
        <v>4388</v>
      </c>
      <c r="H430" s="1521">
        <v>0</v>
      </c>
      <c r="I430" s="1521">
        <v>0</v>
      </c>
      <c r="J430" s="1538">
        <v>0</v>
      </c>
      <c r="K430" s="1525"/>
      <c r="L430" s="1519">
        <v>13021012400</v>
      </c>
      <c r="M430" s="1520">
        <v>0</v>
      </c>
      <c r="N430" s="1520">
        <v>0</v>
      </c>
      <c r="O430" s="1520">
        <v>0</v>
      </c>
      <c r="P430" s="504" t="s">
        <v>2183</v>
      </c>
      <c r="Q430" s="287"/>
      <c r="R430" s="168"/>
      <c r="S430" s="380"/>
      <c r="T430" s="505" t="s">
        <v>970</v>
      </c>
      <c r="U430" s="505" t="s">
        <v>304</v>
      </c>
      <c r="AA430" s="27"/>
      <c r="AB430" s="27"/>
      <c r="AC430" s="810"/>
      <c r="AD430" s="481"/>
    </row>
    <row r="431" spans="3:30" ht="10.5" customHeight="1">
      <c r="C431" s="1526" t="s">
        <v>4389</v>
      </c>
      <c r="D431" s="1523">
        <v>0</v>
      </c>
      <c r="E431" s="1523">
        <v>0</v>
      </c>
      <c r="F431" s="1524">
        <v>0</v>
      </c>
      <c r="G431" s="1537" t="s">
        <v>4389</v>
      </c>
      <c r="H431" s="1521">
        <v>0</v>
      </c>
      <c r="I431" s="1521">
        <v>0</v>
      </c>
      <c r="J431" s="1538">
        <v>0</v>
      </c>
      <c r="K431" s="1525"/>
      <c r="L431" s="1519">
        <v>13021012500</v>
      </c>
      <c r="M431" s="1520">
        <v>0</v>
      </c>
      <c r="N431" s="1520">
        <v>0</v>
      </c>
      <c r="O431" s="1520">
        <v>0</v>
      </c>
      <c r="P431" s="504" t="s">
        <v>1912</v>
      </c>
      <c r="Q431" s="287"/>
      <c r="R431" s="168"/>
      <c r="S431" s="380"/>
      <c r="T431" s="473" t="s">
        <v>972</v>
      </c>
      <c r="U431" s="473" t="s">
        <v>308</v>
      </c>
      <c r="AA431" s="27"/>
      <c r="AB431" s="27"/>
      <c r="AC431" s="809"/>
      <c r="AD431" s="481"/>
    </row>
    <row r="432" spans="3:30" ht="10.5" customHeight="1">
      <c r="C432" s="1526" t="s">
        <v>4390</v>
      </c>
      <c r="D432" s="1523">
        <v>0</v>
      </c>
      <c r="E432" s="1523">
        <v>0</v>
      </c>
      <c r="F432" s="1524">
        <v>0</v>
      </c>
      <c r="G432" s="1537" t="s">
        <v>4390</v>
      </c>
      <c r="H432" s="1521">
        <v>0</v>
      </c>
      <c r="I432" s="1521">
        <v>0</v>
      </c>
      <c r="J432" s="1538">
        <v>0</v>
      </c>
      <c r="K432" s="1525"/>
      <c r="L432" s="1519">
        <v>13021012600</v>
      </c>
      <c r="M432" s="1520">
        <v>0</v>
      </c>
      <c r="N432" s="1520">
        <v>0</v>
      </c>
      <c r="O432" s="1520">
        <v>0</v>
      </c>
      <c r="P432" s="504" t="s">
        <v>993</v>
      </c>
      <c r="Q432" s="287"/>
      <c r="R432" s="168"/>
      <c r="S432" s="380"/>
      <c r="T432" s="473" t="s">
        <v>1008</v>
      </c>
      <c r="U432" s="473" t="s">
        <v>1914</v>
      </c>
      <c r="AA432" s="27"/>
      <c r="AB432" s="27"/>
      <c r="AC432" s="809"/>
      <c r="AD432" s="481"/>
    </row>
    <row r="433" spans="3:30" ht="10.5" customHeight="1">
      <c r="C433" s="1526" t="s">
        <v>4391</v>
      </c>
      <c r="D433" s="1523">
        <v>0</v>
      </c>
      <c r="E433" s="1523">
        <v>0</v>
      </c>
      <c r="F433" s="1524">
        <v>0</v>
      </c>
      <c r="G433" s="1537" t="s">
        <v>4391</v>
      </c>
      <c r="H433" s="1521">
        <v>0</v>
      </c>
      <c r="I433" s="1521">
        <v>0</v>
      </c>
      <c r="J433" s="1538">
        <v>0</v>
      </c>
      <c r="K433" s="1525"/>
      <c r="L433" s="1519">
        <v>13021012700</v>
      </c>
      <c r="M433" s="1520">
        <v>0</v>
      </c>
      <c r="N433" s="1520">
        <v>0</v>
      </c>
      <c r="O433" s="1520">
        <v>0</v>
      </c>
      <c r="P433" s="504" t="s">
        <v>392</v>
      </c>
      <c r="Q433" s="287"/>
      <c r="R433" s="168"/>
      <c r="S433" s="380"/>
      <c r="T433" s="473" t="s">
        <v>974</v>
      </c>
      <c r="U433" s="473" t="s">
        <v>1160</v>
      </c>
      <c r="AA433" s="27"/>
      <c r="AB433" s="27"/>
      <c r="AC433" s="809"/>
      <c r="AD433" s="481"/>
    </row>
    <row r="434" spans="3:30" ht="10.5" customHeight="1">
      <c r="C434" s="1526" t="s">
        <v>4392</v>
      </c>
      <c r="D434" s="1523">
        <v>0</v>
      </c>
      <c r="E434" s="1523">
        <v>0</v>
      </c>
      <c r="F434" s="1524">
        <v>0</v>
      </c>
      <c r="G434" s="1537" t="s">
        <v>4392</v>
      </c>
      <c r="H434" s="1521">
        <v>0</v>
      </c>
      <c r="I434" s="1521">
        <v>0</v>
      </c>
      <c r="J434" s="1538">
        <v>0</v>
      </c>
      <c r="K434" s="1525"/>
      <c r="L434" s="1519">
        <v>13021012800</v>
      </c>
      <c r="M434" s="1520">
        <v>0</v>
      </c>
      <c r="N434" s="1520">
        <v>0</v>
      </c>
      <c r="O434" s="1520">
        <v>0</v>
      </c>
      <c r="P434" s="504" t="s">
        <v>394</v>
      </c>
      <c r="Q434" s="287"/>
      <c r="R434" s="168"/>
      <c r="S434" s="380"/>
      <c r="T434" s="473" t="s">
        <v>303</v>
      </c>
      <c r="U434" s="473" t="s">
        <v>2412</v>
      </c>
      <c r="AA434" s="27"/>
      <c r="AB434" s="27"/>
      <c r="AC434" s="809"/>
      <c r="AD434" s="481"/>
    </row>
    <row r="435" spans="3:30" ht="10.5" customHeight="1">
      <c r="C435" s="1526" t="s">
        <v>4393</v>
      </c>
      <c r="D435" s="1523">
        <v>0</v>
      </c>
      <c r="E435" s="1523">
        <v>0</v>
      </c>
      <c r="F435" s="1524">
        <v>0</v>
      </c>
      <c r="G435" s="1537" t="s">
        <v>4393</v>
      </c>
      <c r="H435" s="1521">
        <v>0</v>
      </c>
      <c r="I435" s="1521">
        <v>0</v>
      </c>
      <c r="J435" s="1538">
        <v>0</v>
      </c>
      <c r="K435" s="1525"/>
      <c r="L435" s="1519">
        <v>13021012900</v>
      </c>
      <c r="M435" s="1520">
        <v>0</v>
      </c>
      <c r="N435" s="1520">
        <v>0</v>
      </c>
      <c r="O435" s="1520">
        <v>0</v>
      </c>
      <c r="P435" s="504" t="s">
        <v>395</v>
      </c>
      <c r="Q435" s="287"/>
      <c r="R435" s="168"/>
      <c r="S435" s="380"/>
      <c r="T435" s="473" t="s">
        <v>2651</v>
      </c>
      <c r="U435" s="473" t="s">
        <v>1703</v>
      </c>
      <c r="AA435" s="27"/>
      <c r="AB435" s="27"/>
      <c r="AC435" s="809"/>
      <c r="AD435" s="481"/>
    </row>
    <row r="436" spans="3:30" ht="10.5" customHeight="1">
      <c r="C436" s="1526" t="s">
        <v>4394</v>
      </c>
      <c r="D436" s="1523">
        <v>0</v>
      </c>
      <c r="E436" s="1523">
        <v>0</v>
      </c>
      <c r="F436" s="1524">
        <v>0</v>
      </c>
      <c r="G436" s="1537" t="s">
        <v>4394</v>
      </c>
      <c r="H436" s="1521">
        <v>0</v>
      </c>
      <c r="I436" s="1521">
        <v>0</v>
      </c>
      <c r="J436" s="1538">
        <v>0</v>
      </c>
      <c r="K436" s="1525"/>
      <c r="L436" s="1519">
        <v>13021013101</v>
      </c>
      <c r="M436" s="1520">
        <v>0</v>
      </c>
      <c r="N436" s="1520">
        <v>0</v>
      </c>
      <c r="O436" s="1520">
        <v>0</v>
      </c>
      <c r="P436" s="504" t="s">
        <v>1853</v>
      </c>
      <c r="Q436" s="287"/>
      <c r="R436" s="168"/>
      <c r="S436" s="380"/>
      <c r="T436" s="473" t="s">
        <v>1603</v>
      </c>
      <c r="U436" s="473" t="s">
        <v>2409</v>
      </c>
      <c r="AA436" s="27"/>
      <c r="AB436" s="27"/>
      <c r="AC436" s="809"/>
      <c r="AD436" s="481"/>
    </row>
    <row r="437" spans="3:30" ht="10.5" customHeight="1">
      <c r="C437" s="1526" t="s">
        <v>4395</v>
      </c>
      <c r="D437" s="1523">
        <v>0</v>
      </c>
      <c r="E437" s="1523">
        <v>0</v>
      </c>
      <c r="F437" s="1524">
        <v>0</v>
      </c>
      <c r="G437" s="1537" t="s">
        <v>4395</v>
      </c>
      <c r="H437" s="1521">
        <v>0</v>
      </c>
      <c r="I437" s="1521">
        <v>0</v>
      </c>
      <c r="J437" s="1538">
        <v>0</v>
      </c>
      <c r="K437" s="1525"/>
      <c r="L437" s="1519">
        <v>13021013102</v>
      </c>
      <c r="M437" s="1520">
        <v>0</v>
      </c>
      <c r="N437" s="1520">
        <v>0</v>
      </c>
      <c r="O437" s="1520">
        <v>0</v>
      </c>
      <c r="P437" s="504" t="s">
        <v>470</v>
      </c>
      <c r="Q437" s="287"/>
      <c r="R437" s="168"/>
      <c r="S437" s="380"/>
      <c r="T437" s="473" t="s">
        <v>831</v>
      </c>
      <c r="U437" s="473" t="s">
        <v>99</v>
      </c>
      <c r="AA437" s="27"/>
      <c r="AB437" s="27"/>
      <c r="AC437" s="809"/>
      <c r="AD437" s="481"/>
    </row>
    <row r="438" spans="3:30" ht="10.5" customHeight="1">
      <c r="C438" s="1526" t="s">
        <v>4396</v>
      </c>
      <c r="D438" s="1523">
        <v>0</v>
      </c>
      <c r="E438" s="1523">
        <v>0</v>
      </c>
      <c r="F438" s="1524">
        <v>0</v>
      </c>
      <c r="G438" s="1537" t="s">
        <v>4396</v>
      </c>
      <c r="H438" s="1521">
        <v>0</v>
      </c>
      <c r="I438" s="1521">
        <v>0</v>
      </c>
      <c r="J438" s="1538">
        <v>0</v>
      </c>
      <c r="K438" s="1525"/>
      <c r="L438" s="1519">
        <v>13021013201</v>
      </c>
      <c r="M438" s="1520">
        <v>0</v>
      </c>
      <c r="N438" s="1520">
        <v>0</v>
      </c>
      <c r="O438" s="1520">
        <v>0</v>
      </c>
      <c r="P438" s="504" t="s">
        <v>2066</v>
      </c>
      <c r="Q438" s="287"/>
      <c r="R438" s="168"/>
      <c r="S438" s="380"/>
      <c r="T438" s="473" t="s">
        <v>833</v>
      </c>
      <c r="U438" s="473" t="s">
        <v>305</v>
      </c>
      <c r="AA438" s="27"/>
      <c r="AB438" s="27"/>
      <c r="AC438" s="809"/>
      <c r="AD438" s="481"/>
    </row>
    <row r="439" spans="3:30" ht="10.5" customHeight="1">
      <c r="C439" s="1526" t="s">
        <v>4397</v>
      </c>
      <c r="D439" s="1523">
        <v>0</v>
      </c>
      <c r="E439" s="1523">
        <v>0</v>
      </c>
      <c r="F439" s="1524">
        <v>0</v>
      </c>
      <c r="G439" s="1537" t="s">
        <v>4397</v>
      </c>
      <c r="H439" s="1521">
        <v>0</v>
      </c>
      <c r="I439" s="1521">
        <v>0</v>
      </c>
      <c r="J439" s="1538">
        <v>0</v>
      </c>
      <c r="K439" s="1525"/>
      <c r="L439" s="1519">
        <v>13021013202</v>
      </c>
      <c r="M439" s="1520">
        <v>0</v>
      </c>
      <c r="N439" s="1520">
        <v>0</v>
      </c>
      <c r="O439" s="1520">
        <v>0</v>
      </c>
      <c r="P439" s="504" t="s">
        <v>1574</v>
      </c>
      <c r="Q439" s="287"/>
      <c r="R439" s="168"/>
      <c r="S439" s="380"/>
      <c r="T439" s="473" t="s">
        <v>1661</v>
      </c>
      <c r="U439" s="473" t="s">
        <v>1059</v>
      </c>
      <c r="AA439" s="27"/>
      <c r="AB439" s="27"/>
      <c r="AC439" s="809"/>
      <c r="AD439" s="481"/>
    </row>
    <row r="440" spans="3:30" ht="10.5" customHeight="1">
      <c r="C440" s="1526" t="s">
        <v>4398</v>
      </c>
      <c r="D440" s="1523">
        <v>0</v>
      </c>
      <c r="E440" s="1523">
        <v>0</v>
      </c>
      <c r="F440" s="1524">
        <v>0</v>
      </c>
      <c r="G440" s="1537" t="s">
        <v>4398</v>
      </c>
      <c r="H440" s="1521">
        <v>0</v>
      </c>
      <c r="I440" s="1521">
        <v>0</v>
      </c>
      <c r="J440" s="1538">
        <v>0</v>
      </c>
      <c r="K440" s="1525"/>
      <c r="L440" s="1519">
        <v>13021013302</v>
      </c>
      <c r="M440" s="1520">
        <v>0</v>
      </c>
      <c r="N440" s="1520">
        <v>0</v>
      </c>
      <c r="O440" s="1520">
        <v>0</v>
      </c>
      <c r="P440" s="504" t="s">
        <v>1576</v>
      </c>
      <c r="Q440" s="287"/>
      <c r="R440" s="168"/>
      <c r="S440" s="380"/>
      <c r="T440" s="473" t="s">
        <v>601</v>
      </c>
      <c r="U440" s="473" t="s">
        <v>315</v>
      </c>
      <c r="AA440" s="27"/>
      <c r="AB440" s="27"/>
      <c r="AC440" s="809"/>
      <c r="AD440" s="481"/>
    </row>
    <row r="441" spans="3:30" ht="10.5" customHeight="1">
      <c r="C441" s="1526" t="s">
        <v>4399</v>
      </c>
      <c r="D441" s="1523">
        <v>1</v>
      </c>
      <c r="E441" s="1523">
        <v>1</v>
      </c>
      <c r="F441" s="1524">
        <v>2</v>
      </c>
      <c r="G441" s="1537" t="s">
        <v>4399</v>
      </c>
      <c r="H441" s="1521">
        <v>0</v>
      </c>
      <c r="I441" s="1521">
        <v>1</v>
      </c>
      <c r="J441" s="1538">
        <v>1</v>
      </c>
      <c r="K441" s="1525"/>
      <c r="L441" s="1519">
        <v>13021013407</v>
      </c>
      <c r="M441" s="1520">
        <v>1</v>
      </c>
      <c r="N441" s="1520">
        <v>1</v>
      </c>
      <c r="O441" s="1520">
        <v>2</v>
      </c>
      <c r="P441" s="504" t="s">
        <v>295</v>
      </c>
      <c r="Q441" s="287"/>
      <c r="R441" s="168"/>
      <c r="S441" s="380"/>
      <c r="T441" s="473" t="s">
        <v>1646</v>
      </c>
      <c r="U441" s="473" t="s">
        <v>107</v>
      </c>
      <c r="AA441" s="27"/>
      <c r="AB441" s="27"/>
      <c r="AC441" s="809"/>
      <c r="AD441" s="481"/>
    </row>
    <row r="442" spans="3:30" ht="10.5" customHeight="1">
      <c r="C442" s="1526" t="s">
        <v>4400</v>
      </c>
      <c r="D442" s="1523">
        <v>1</v>
      </c>
      <c r="E442" s="1523">
        <v>1</v>
      </c>
      <c r="F442" s="1524">
        <v>2</v>
      </c>
      <c r="G442" s="1537" t="s">
        <v>4400</v>
      </c>
      <c r="H442" s="1521">
        <v>1</v>
      </c>
      <c r="I442" s="1521">
        <v>1</v>
      </c>
      <c r="J442" s="1538">
        <v>2</v>
      </c>
      <c r="K442" s="1525"/>
      <c r="L442" s="1519">
        <v>13021013408</v>
      </c>
      <c r="M442" s="1520">
        <v>1</v>
      </c>
      <c r="N442" s="1520">
        <v>1</v>
      </c>
      <c r="O442" s="1520">
        <v>2</v>
      </c>
      <c r="P442" s="504" t="s">
        <v>297</v>
      </c>
      <c r="Q442" s="287"/>
      <c r="R442" s="168"/>
      <c r="S442" s="380"/>
      <c r="T442" s="473" t="s">
        <v>2652</v>
      </c>
      <c r="U442" s="473" t="s">
        <v>151</v>
      </c>
      <c r="AA442" s="27"/>
      <c r="AB442" s="27"/>
      <c r="AC442" s="809"/>
      <c r="AD442" s="481"/>
    </row>
    <row r="443" spans="3:30" ht="10.5" customHeight="1">
      <c r="C443" s="1526" t="s">
        <v>4401</v>
      </c>
      <c r="D443" s="1523">
        <v>1</v>
      </c>
      <c r="E443" s="1523">
        <v>1</v>
      </c>
      <c r="F443" s="1524">
        <v>2</v>
      </c>
      <c r="G443" s="1537" t="s">
        <v>4401</v>
      </c>
      <c r="H443" s="1521">
        <v>1</v>
      </c>
      <c r="I443" s="1521">
        <v>1</v>
      </c>
      <c r="J443" s="1538">
        <v>2</v>
      </c>
      <c r="K443" s="1525"/>
      <c r="L443" s="1519">
        <v>13021013409</v>
      </c>
      <c r="M443" s="1520">
        <v>1</v>
      </c>
      <c r="N443" s="1520">
        <v>1</v>
      </c>
      <c r="O443" s="1520">
        <v>2</v>
      </c>
      <c r="P443" s="504" t="s">
        <v>907</v>
      </c>
      <c r="Q443" s="287"/>
      <c r="R443" s="168"/>
      <c r="S443" s="380"/>
      <c r="T443" s="473" t="s">
        <v>1913</v>
      </c>
      <c r="U443" s="473" t="s">
        <v>1069</v>
      </c>
      <c r="AA443" s="27"/>
      <c r="AB443" s="27"/>
      <c r="AC443" s="809"/>
      <c r="AD443" s="481"/>
    </row>
    <row r="444" spans="3:30" ht="10.5" customHeight="1">
      <c r="C444" s="1526" t="s">
        <v>4402</v>
      </c>
      <c r="D444" s="1523">
        <v>1</v>
      </c>
      <c r="E444" s="1523">
        <v>1</v>
      </c>
      <c r="F444" s="1524">
        <v>2</v>
      </c>
      <c r="G444" s="1537" t="s">
        <v>4402</v>
      </c>
      <c r="H444" s="1521">
        <v>1</v>
      </c>
      <c r="I444" s="1521">
        <v>1</v>
      </c>
      <c r="J444" s="1538">
        <v>2</v>
      </c>
      <c r="K444" s="1525"/>
      <c r="L444" s="1519">
        <v>13021013410</v>
      </c>
      <c r="M444" s="1520">
        <v>1</v>
      </c>
      <c r="N444" s="1520">
        <v>1</v>
      </c>
      <c r="O444" s="1520">
        <v>2</v>
      </c>
      <c r="P444" s="504" t="s">
        <v>2216</v>
      </c>
      <c r="Q444" s="287"/>
      <c r="R444" s="168"/>
      <c r="S444" s="380"/>
      <c r="T444" s="505" t="s">
        <v>2653</v>
      </c>
      <c r="U444" s="505" t="s">
        <v>308</v>
      </c>
      <c r="AA444" s="27"/>
      <c r="AB444" s="27"/>
      <c r="AC444" s="810"/>
      <c r="AD444" s="481"/>
    </row>
    <row r="445" spans="3:30" ht="10.5" customHeight="1">
      <c r="C445" s="1526" t="s">
        <v>4403</v>
      </c>
      <c r="D445" s="1523">
        <v>1</v>
      </c>
      <c r="E445" s="1523">
        <v>1</v>
      </c>
      <c r="F445" s="1524">
        <v>2</v>
      </c>
      <c r="G445" s="1537" t="s">
        <v>4403</v>
      </c>
      <c r="H445" s="1521">
        <v>1</v>
      </c>
      <c r="I445" s="1521" t="s">
        <v>4096</v>
      </c>
      <c r="J445" s="1538">
        <v>1</v>
      </c>
      <c r="K445" s="1525"/>
      <c r="L445" s="1519">
        <v>13021013411</v>
      </c>
      <c r="M445" s="1520">
        <v>1</v>
      </c>
      <c r="N445" s="1520">
        <v>1</v>
      </c>
      <c r="O445" s="1520">
        <v>2</v>
      </c>
      <c r="P445" s="504" t="s">
        <v>2217</v>
      </c>
      <c r="Q445" s="287"/>
      <c r="R445" s="168"/>
      <c r="S445" s="380"/>
      <c r="T445" s="473" t="s">
        <v>994</v>
      </c>
      <c r="U445" s="473" t="s">
        <v>1821</v>
      </c>
      <c r="AA445" s="27"/>
      <c r="AB445" s="27"/>
      <c r="AC445" s="809"/>
      <c r="AD445" s="481"/>
    </row>
    <row r="446" spans="3:30" ht="10.5" customHeight="1">
      <c r="C446" s="1526" t="s">
        <v>4404</v>
      </c>
      <c r="D446" s="1523">
        <v>0</v>
      </c>
      <c r="E446" s="1523">
        <v>0</v>
      </c>
      <c r="F446" s="1524">
        <v>0</v>
      </c>
      <c r="G446" s="1537" t="s">
        <v>4404</v>
      </c>
      <c r="H446" s="1521">
        <v>0</v>
      </c>
      <c r="I446" s="1521">
        <v>0</v>
      </c>
      <c r="J446" s="1538">
        <v>0</v>
      </c>
      <c r="K446" s="1525"/>
      <c r="L446" s="1519">
        <v>13021013502</v>
      </c>
      <c r="M446" s="1520">
        <v>0</v>
      </c>
      <c r="N446" s="1520">
        <v>0</v>
      </c>
      <c r="O446" s="1520">
        <v>0</v>
      </c>
      <c r="P446" s="504" t="s">
        <v>2198</v>
      </c>
      <c r="Q446" s="287"/>
      <c r="R446" s="168"/>
      <c r="S446" s="380"/>
      <c r="T446" s="505" t="s">
        <v>393</v>
      </c>
      <c r="U446" s="505" t="s">
        <v>176</v>
      </c>
      <c r="AA446" s="27"/>
      <c r="AB446" s="27"/>
      <c r="AC446" s="810"/>
      <c r="AD446" s="481"/>
    </row>
    <row r="447" spans="3:30" ht="10.5" customHeight="1">
      <c r="C447" s="1526" t="s">
        <v>4405</v>
      </c>
      <c r="D447" s="1523">
        <v>0</v>
      </c>
      <c r="E447" s="1523">
        <v>0</v>
      </c>
      <c r="F447" s="1524">
        <v>0</v>
      </c>
      <c r="G447" s="1537" t="s">
        <v>4405</v>
      </c>
      <c r="H447" s="1521">
        <v>0</v>
      </c>
      <c r="I447" s="1521">
        <v>0</v>
      </c>
      <c r="J447" s="1538">
        <v>0</v>
      </c>
      <c r="K447" s="1525"/>
      <c r="L447" s="1519">
        <v>13021013503</v>
      </c>
      <c r="M447" s="1520">
        <v>0</v>
      </c>
      <c r="N447" s="1520">
        <v>0</v>
      </c>
      <c r="O447" s="1520">
        <v>0</v>
      </c>
      <c r="P447" s="504" t="s">
        <v>2199</v>
      </c>
      <c r="Q447" s="287"/>
      <c r="R447" s="168"/>
      <c r="S447" s="380"/>
      <c r="T447" s="473" t="s">
        <v>1009</v>
      </c>
      <c r="U447" s="473" t="s">
        <v>1056</v>
      </c>
      <c r="AA447" s="27"/>
      <c r="AB447" s="27"/>
      <c r="AC447" s="809"/>
      <c r="AD447" s="481"/>
    </row>
    <row r="448" spans="3:30" ht="10.5" customHeight="1">
      <c r="C448" s="1526" t="s">
        <v>4406</v>
      </c>
      <c r="D448" s="1523">
        <v>1</v>
      </c>
      <c r="E448" s="1523">
        <v>1</v>
      </c>
      <c r="F448" s="1524">
        <v>2</v>
      </c>
      <c r="G448" s="1537" t="s">
        <v>4406</v>
      </c>
      <c r="H448" s="1521">
        <v>0</v>
      </c>
      <c r="I448" s="1521">
        <v>0</v>
      </c>
      <c r="J448" s="1538">
        <v>0</v>
      </c>
      <c r="K448" s="1525"/>
      <c r="L448" s="1519">
        <v>13021013504</v>
      </c>
      <c r="M448" s="1520">
        <v>1</v>
      </c>
      <c r="N448" s="1520">
        <v>1</v>
      </c>
      <c r="O448" s="1520">
        <v>2</v>
      </c>
      <c r="P448" s="504" t="s">
        <v>2201</v>
      </c>
      <c r="Q448" s="287"/>
      <c r="R448" s="168"/>
      <c r="S448" s="380"/>
      <c r="T448" s="505" t="s">
        <v>396</v>
      </c>
      <c r="U448" s="505" t="s">
        <v>2072</v>
      </c>
      <c r="AA448" s="27"/>
      <c r="AB448" s="27"/>
      <c r="AC448" s="810"/>
      <c r="AD448" s="481"/>
    </row>
    <row r="449" spans="3:30" ht="10.5" customHeight="1">
      <c r="C449" s="1526" t="s">
        <v>4407</v>
      </c>
      <c r="D449" s="1523">
        <v>0</v>
      </c>
      <c r="E449" s="1523">
        <v>1</v>
      </c>
      <c r="F449" s="1524">
        <v>1</v>
      </c>
      <c r="G449" s="1537" t="s">
        <v>4407</v>
      </c>
      <c r="H449" s="1521">
        <v>0</v>
      </c>
      <c r="I449" s="1521">
        <v>1</v>
      </c>
      <c r="J449" s="1538">
        <v>1</v>
      </c>
      <c r="K449" s="1525"/>
      <c r="L449" s="1519">
        <v>13021013603</v>
      </c>
      <c r="M449" s="1520">
        <v>0</v>
      </c>
      <c r="N449" s="1520">
        <v>1</v>
      </c>
      <c r="O449" s="1520">
        <v>1</v>
      </c>
      <c r="P449" s="504" t="s">
        <v>487</v>
      </c>
      <c r="Q449" s="287"/>
      <c r="R449" s="168"/>
      <c r="S449" s="380"/>
      <c r="T449" s="473" t="s">
        <v>1854</v>
      </c>
      <c r="U449" s="473" t="s">
        <v>1400</v>
      </c>
      <c r="AA449" s="27"/>
      <c r="AB449" s="27"/>
      <c r="AC449" s="809"/>
      <c r="AD449" s="481"/>
    </row>
    <row r="450" spans="3:30" ht="10.5" customHeight="1">
      <c r="C450" s="1526" t="s">
        <v>4408</v>
      </c>
      <c r="D450" s="1523">
        <v>1</v>
      </c>
      <c r="E450" s="1523">
        <v>1</v>
      </c>
      <c r="F450" s="1524">
        <v>2</v>
      </c>
      <c r="G450" s="1537" t="s">
        <v>4408</v>
      </c>
      <c r="H450" s="1521">
        <v>0</v>
      </c>
      <c r="I450" s="1521" t="s">
        <v>4096</v>
      </c>
      <c r="J450" s="1538">
        <v>0</v>
      </c>
      <c r="K450" s="1525"/>
      <c r="L450" s="1519">
        <v>13021013604</v>
      </c>
      <c r="M450" s="1520">
        <v>1</v>
      </c>
      <c r="N450" s="1520">
        <v>1</v>
      </c>
      <c r="O450" s="1520">
        <v>2</v>
      </c>
      <c r="P450" s="504" t="s">
        <v>178</v>
      </c>
      <c r="Q450" s="287"/>
      <c r="R450" s="168"/>
      <c r="S450" s="380"/>
      <c r="T450" s="473" t="s">
        <v>471</v>
      </c>
      <c r="U450" s="473" t="s">
        <v>2471</v>
      </c>
      <c r="AA450" s="27"/>
      <c r="AB450" s="27"/>
      <c r="AC450" s="809"/>
      <c r="AD450" s="481"/>
    </row>
    <row r="451" spans="3:30" ht="10.5" customHeight="1">
      <c r="C451" s="1526" t="s">
        <v>4409</v>
      </c>
      <c r="D451" s="1523">
        <v>1</v>
      </c>
      <c r="E451" s="1523">
        <v>1</v>
      </c>
      <c r="F451" s="1524">
        <v>2</v>
      </c>
      <c r="G451" s="1537" t="s">
        <v>4409</v>
      </c>
      <c r="H451" s="1521">
        <v>1</v>
      </c>
      <c r="I451" s="1521" t="s">
        <v>4096</v>
      </c>
      <c r="J451" s="1538">
        <v>1</v>
      </c>
      <c r="K451" s="1525"/>
      <c r="L451" s="1519">
        <v>13021013605</v>
      </c>
      <c r="M451" s="1520">
        <v>1</v>
      </c>
      <c r="N451" s="1520">
        <v>1</v>
      </c>
      <c r="O451" s="1520">
        <v>2</v>
      </c>
      <c r="P451" s="504" t="s">
        <v>2019</v>
      </c>
      <c r="Q451" s="287"/>
      <c r="R451" s="168"/>
      <c r="S451" s="380"/>
      <c r="T451" s="473" t="s">
        <v>2067</v>
      </c>
      <c r="U451" s="473" t="s">
        <v>1274</v>
      </c>
      <c r="AA451" s="27"/>
      <c r="AB451" s="27"/>
      <c r="AC451" s="809"/>
      <c r="AD451" s="481"/>
    </row>
    <row r="452" spans="3:30" ht="10.5" customHeight="1">
      <c r="C452" s="1526" t="s">
        <v>4410</v>
      </c>
      <c r="D452" s="1523">
        <v>1</v>
      </c>
      <c r="E452" s="1523">
        <v>1</v>
      </c>
      <c r="F452" s="1524">
        <v>2</v>
      </c>
      <c r="G452" s="1537" t="s">
        <v>4410</v>
      </c>
      <c r="H452" s="1521">
        <v>1</v>
      </c>
      <c r="I452" s="1521">
        <v>1</v>
      </c>
      <c r="J452" s="1538">
        <v>2</v>
      </c>
      <c r="K452" s="1525"/>
      <c r="L452" s="1519">
        <v>13021013606</v>
      </c>
      <c r="M452" s="1520">
        <v>1</v>
      </c>
      <c r="N452" s="1520">
        <v>1</v>
      </c>
      <c r="O452" s="1520">
        <v>2</v>
      </c>
      <c r="P452" s="504" t="s">
        <v>1885</v>
      </c>
      <c r="Q452" s="287"/>
      <c r="R452" s="168"/>
      <c r="S452" s="380"/>
      <c r="T452" s="473" t="s">
        <v>1575</v>
      </c>
      <c r="U452" s="473" t="s">
        <v>1825</v>
      </c>
      <c r="AA452" s="27"/>
      <c r="AB452" s="27"/>
      <c r="AC452" s="809"/>
      <c r="AD452" s="481"/>
    </row>
    <row r="453" spans="3:30" ht="10.5" customHeight="1">
      <c r="C453" s="1526" t="s">
        <v>4411</v>
      </c>
      <c r="D453" s="1523">
        <v>0</v>
      </c>
      <c r="E453" s="1523">
        <v>0</v>
      </c>
      <c r="F453" s="1524">
        <v>0</v>
      </c>
      <c r="G453" s="1537" t="s">
        <v>4411</v>
      </c>
      <c r="H453" s="1521">
        <v>0</v>
      </c>
      <c r="I453" s="1521">
        <v>1</v>
      </c>
      <c r="J453" s="1538">
        <v>1</v>
      </c>
      <c r="K453" s="1525"/>
      <c r="L453" s="1519">
        <v>13021013700</v>
      </c>
      <c r="M453" s="1520">
        <v>0</v>
      </c>
      <c r="N453" s="1520">
        <v>1</v>
      </c>
      <c r="O453" s="1520">
        <v>1</v>
      </c>
      <c r="P453" s="504" t="s">
        <v>1887</v>
      </c>
      <c r="Q453" s="287"/>
      <c r="R453" s="168"/>
      <c r="S453" s="380"/>
      <c r="T453" s="473" t="s">
        <v>1577</v>
      </c>
      <c r="U453" s="473" t="s">
        <v>156</v>
      </c>
      <c r="AA453" s="27"/>
      <c r="AB453" s="27"/>
      <c r="AC453" s="809"/>
      <c r="AD453" s="481"/>
    </row>
    <row r="454" spans="3:30" ht="10.5" customHeight="1">
      <c r="C454" s="1526" t="s">
        <v>4412</v>
      </c>
      <c r="D454" s="1523">
        <v>0</v>
      </c>
      <c r="E454" s="1523">
        <v>0</v>
      </c>
      <c r="F454" s="1524">
        <v>0</v>
      </c>
      <c r="G454" s="1537" t="s">
        <v>4412</v>
      </c>
      <c r="H454" s="1521">
        <v>0</v>
      </c>
      <c r="I454" s="1521">
        <v>0</v>
      </c>
      <c r="J454" s="1538">
        <v>0</v>
      </c>
      <c r="K454" s="1525"/>
      <c r="L454" s="1519">
        <v>13021013800</v>
      </c>
      <c r="M454" s="1520">
        <v>0</v>
      </c>
      <c r="N454" s="1520">
        <v>0</v>
      </c>
      <c r="O454" s="1520">
        <v>0</v>
      </c>
      <c r="P454" s="504" t="s">
        <v>1103</v>
      </c>
      <c r="Q454" s="287"/>
      <c r="R454" s="168"/>
      <c r="S454" s="380"/>
      <c r="T454" s="473" t="s">
        <v>296</v>
      </c>
      <c r="U454" s="473" t="s">
        <v>149</v>
      </c>
      <c r="AA454" s="27"/>
      <c r="AB454" s="27"/>
      <c r="AC454" s="809"/>
      <c r="AD454" s="481"/>
    </row>
    <row r="455" spans="3:30" ht="10.5" customHeight="1">
      <c r="C455" s="1526" t="s">
        <v>4413</v>
      </c>
      <c r="D455" s="1523">
        <v>0</v>
      </c>
      <c r="E455" s="1523">
        <v>0</v>
      </c>
      <c r="F455" s="1524">
        <v>0</v>
      </c>
      <c r="G455" s="1537" t="s">
        <v>4413</v>
      </c>
      <c r="H455" s="1521">
        <v>0</v>
      </c>
      <c r="I455" s="1521">
        <v>0</v>
      </c>
      <c r="J455" s="1538">
        <v>0</v>
      </c>
      <c r="K455" s="1525"/>
      <c r="L455" s="1519">
        <v>13021013900</v>
      </c>
      <c r="M455" s="1520">
        <v>0</v>
      </c>
      <c r="N455" s="1520">
        <v>0</v>
      </c>
      <c r="O455" s="1520">
        <v>0</v>
      </c>
      <c r="P455" s="504" t="s">
        <v>1105</v>
      </c>
      <c r="Q455" s="287"/>
      <c r="R455" s="168"/>
      <c r="S455" s="380"/>
      <c r="T455" s="473" t="s">
        <v>298</v>
      </c>
      <c r="U455" s="473" t="s">
        <v>1261</v>
      </c>
      <c r="AA455" s="27"/>
      <c r="AB455" s="27"/>
      <c r="AC455" s="809"/>
      <c r="AD455" s="481"/>
    </row>
    <row r="456" spans="3:30" ht="10.5" customHeight="1">
      <c r="C456" s="1526" t="s">
        <v>4414</v>
      </c>
      <c r="D456" s="1523">
        <v>1</v>
      </c>
      <c r="E456" s="1523">
        <v>0</v>
      </c>
      <c r="F456" s="1524">
        <v>1</v>
      </c>
      <c r="G456" s="1537" t="s">
        <v>4414</v>
      </c>
      <c r="H456" s="1521">
        <v>0</v>
      </c>
      <c r="I456" s="1521">
        <v>0</v>
      </c>
      <c r="J456" s="1538">
        <v>0</v>
      </c>
      <c r="K456" s="1525"/>
      <c r="L456" s="1519">
        <v>13023790100</v>
      </c>
      <c r="M456" s="1520">
        <v>1</v>
      </c>
      <c r="N456" s="1520">
        <v>0</v>
      </c>
      <c r="O456" s="1520">
        <v>1</v>
      </c>
      <c r="P456" s="504" t="s">
        <v>1073</v>
      </c>
      <c r="Q456" s="287"/>
      <c r="R456" s="168"/>
      <c r="S456" s="380"/>
      <c r="T456" s="473" t="s">
        <v>908</v>
      </c>
      <c r="U456" s="473" t="s">
        <v>2371</v>
      </c>
      <c r="AA456" s="27"/>
      <c r="AB456" s="27"/>
      <c r="AC456" s="809"/>
      <c r="AD456" s="481"/>
    </row>
    <row r="457" spans="3:30" ht="10.5" customHeight="1">
      <c r="C457" s="1526" t="s">
        <v>4415</v>
      </c>
      <c r="D457" s="1523">
        <v>0</v>
      </c>
      <c r="E457" s="1523">
        <v>0</v>
      </c>
      <c r="F457" s="1524">
        <v>0</v>
      </c>
      <c r="G457" s="1537" t="s">
        <v>4415</v>
      </c>
      <c r="H457" s="1521">
        <v>0</v>
      </c>
      <c r="I457" s="1521">
        <v>0</v>
      </c>
      <c r="J457" s="1538">
        <v>0</v>
      </c>
      <c r="K457" s="1525"/>
      <c r="L457" s="1519">
        <v>13023790200</v>
      </c>
      <c r="M457" s="1520">
        <v>0</v>
      </c>
      <c r="N457" s="1520">
        <v>0</v>
      </c>
      <c r="O457" s="1520">
        <v>0</v>
      </c>
      <c r="P457" s="504" t="s">
        <v>1074</v>
      </c>
      <c r="Q457" s="287"/>
      <c r="R457" s="168"/>
      <c r="S457" s="380"/>
      <c r="T457" s="473" t="s">
        <v>2218</v>
      </c>
      <c r="U457" s="473" t="s">
        <v>312</v>
      </c>
      <c r="AA457" s="27"/>
      <c r="AB457" s="27"/>
      <c r="AC457" s="809"/>
      <c r="AD457" s="481"/>
    </row>
    <row r="458" spans="3:30" ht="10.5" customHeight="1">
      <c r="C458" s="1526" t="s">
        <v>4416</v>
      </c>
      <c r="D458" s="1523">
        <v>0</v>
      </c>
      <c r="E458" s="1523">
        <v>0</v>
      </c>
      <c r="F458" s="1524">
        <v>0</v>
      </c>
      <c r="G458" s="1537" t="s">
        <v>4416</v>
      </c>
      <c r="H458" s="1521">
        <v>0</v>
      </c>
      <c r="I458" s="1521">
        <v>1</v>
      </c>
      <c r="J458" s="1538">
        <v>1</v>
      </c>
      <c r="K458" s="1525"/>
      <c r="L458" s="1519">
        <v>13023790300</v>
      </c>
      <c r="M458" s="1520">
        <v>0</v>
      </c>
      <c r="N458" s="1520">
        <v>1</v>
      </c>
      <c r="O458" s="1520">
        <v>1</v>
      </c>
      <c r="P458" s="504" t="s">
        <v>67</v>
      </c>
      <c r="Q458" s="287"/>
      <c r="R458" s="168"/>
      <c r="S458" s="380"/>
      <c r="T458" s="473" t="s">
        <v>2654</v>
      </c>
      <c r="U458" s="473" t="s">
        <v>2089</v>
      </c>
      <c r="AA458" s="27"/>
      <c r="AB458" s="27"/>
      <c r="AC458" s="809"/>
      <c r="AD458" s="481"/>
    </row>
    <row r="459" spans="3:30" ht="10.5" customHeight="1">
      <c r="C459" s="1526" t="s">
        <v>4417</v>
      </c>
      <c r="D459" s="1523">
        <v>0</v>
      </c>
      <c r="E459" s="1523">
        <v>0</v>
      </c>
      <c r="F459" s="1524">
        <v>0</v>
      </c>
      <c r="G459" s="1537" t="s">
        <v>4417</v>
      </c>
      <c r="H459" s="1521">
        <v>0</v>
      </c>
      <c r="I459" s="1521">
        <v>0</v>
      </c>
      <c r="J459" s="1538">
        <v>0</v>
      </c>
      <c r="K459" s="1525"/>
      <c r="L459" s="1519">
        <v>13025960100</v>
      </c>
      <c r="M459" s="1520">
        <v>0</v>
      </c>
      <c r="N459" s="1520">
        <v>0</v>
      </c>
      <c r="O459" s="1520">
        <v>0</v>
      </c>
      <c r="P459" s="504" t="s">
        <v>351</v>
      </c>
      <c r="Q459" s="287"/>
      <c r="R459" s="168"/>
      <c r="S459" s="380"/>
      <c r="T459" s="507" t="s">
        <v>2200</v>
      </c>
      <c r="U459" s="473" t="s">
        <v>171</v>
      </c>
      <c r="AA459" s="27"/>
      <c r="AB459" s="27"/>
      <c r="AC459" s="811"/>
      <c r="AD459" s="481"/>
    </row>
    <row r="460" spans="3:30" ht="10.5" customHeight="1">
      <c r="C460" s="1526" t="s">
        <v>4418</v>
      </c>
      <c r="D460" s="1523">
        <v>0</v>
      </c>
      <c r="E460" s="1523">
        <v>0</v>
      </c>
      <c r="F460" s="1524">
        <v>0</v>
      </c>
      <c r="G460" s="1537" t="s">
        <v>4418</v>
      </c>
      <c r="H460" s="1521">
        <v>0</v>
      </c>
      <c r="I460" s="1521">
        <v>0</v>
      </c>
      <c r="J460" s="1538">
        <v>0</v>
      </c>
      <c r="K460" s="1525"/>
      <c r="L460" s="1519">
        <v>13025960200</v>
      </c>
      <c r="M460" s="1520">
        <v>0</v>
      </c>
      <c r="N460" s="1520">
        <v>0</v>
      </c>
      <c r="O460" s="1520">
        <v>0</v>
      </c>
      <c r="P460" s="504" t="s">
        <v>2146</v>
      </c>
      <c r="Q460" s="287"/>
      <c r="R460" s="168"/>
      <c r="S460" s="380"/>
      <c r="T460" s="473" t="s">
        <v>2202</v>
      </c>
      <c r="U460" s="473" t="s">
        <v>1271</v>
      </c>
      <c r="AA460" s="27"/>
      <c r="AB460" s="27"/>
      <c r="AC460" s="809"/>
      <c r="AD460" s="481"/>
    </row>
    <row r="461" spans="3:30" ht="10.5" customHeight="1">
      <c r="C461" s="1526" t="s">
        <v>4419</v>
      </c>
      <c r="D461" s="1523">
        <v>0</v>
      </c>
      <c r="E461" s="1523">
        <v>0</v>
      </c>
      <c r="F461" s="1524">
        <v>0</v>
      </c>
      <c r="G461" s="1537" t="s">
        <v>4419</v>
      </c>
      <c r="H461" s="1521">
        <v>0</v>
      </c>
      <c r="I461" s="1521">
        <v>0</v>
      </c>
      <c r="J461" s="1538">
        <v>0</v>
      </c>
      <c r="K461" s="1525"/>
      <c r="L461" s="1519">
        <v>13025960300</v>
      </c>
      <c r="M461" s="1520">
        <v>0</v>
      </c>
      <c r="N461" s="1520">
        <v>0</v>
      </c>
      <c r="O461" s="1520">
        <v>0</v>
      </c>
      <c r="P461" s="504" t="s">
        <v>1734</v>
      </c>
      <c r="Q461" s="287"/>
      <c r="R461" s="168"/>
      <c r="S461" s="380"/>
      <c r="T461" s="473" t="s">
        <v>488</v>
      </c>
      <c r="U461" s="473" t="s">
        <v>171</v>
      </c>
      <c r="AA461" s="27"/>
      <c r="AB461" s="27"/>
      <c r="AC461" s="809"/>
      <c r="AD461" s="481"/>
    </row>
    <row r="462" spans="3:30" ht="10.5" customHeight="1">
      <c r="C462" s="1526" t="s">
        <v>4420</v>
      </c>
      <c r="D462" s="1523">
        <v>0</v>
      </c>
      <c r="E462" s="1523">
        <v>0</v>
      </c>
      <c r="F462" s="1524">
        <v>0</v>
      </c>
      <c r="G462" s="1537" t="s">
        <v>4420</v>
      </c>
      <c r="H462" s="1521">
        <v>0</v>
      </c>
      <c r="I462" s="1521">
        <v>0</v>
      </c>
      <c r="J462" s="1538">
        <v>0</v>
      </c>
      <c r="K462" s="1525"/>
      <c r="L462" s="1519">
        <v>13027960200</v>
      </c>
      <c r="M462" s="1520">
        <v>0</v>
      </c>
      <c r="N462" s="1520">
        <v>0</v>
      </c>
      <c r="O462" s="1520">
        <v>0</v>
      </c>
      <c r="P462" s="504" t="s">
        <v>1675</v>
      </c>
      <c r="Q462" s="287"/>
      <c r="R462" s="168"/>
      <c r="S462" s="380"/>
      <c r="T462" s="473" t="s">
        <v>1010</v>
      </c>
      <c r="U462" s="473" t="s">
        <v>1459</v>
      </c>
      <c r="AA462" s="27"/>
      <c r="AB462" s="27"/>
      <c r="AC462" s="809"/>
      <c r="AD462" s="481"/>
    </row>
    <row r="463" spans="3:30" ht="10.5" customHeight="1">
      <c r="C463" s="1526" t="s">
        <v>4421</v>
      </c>
      <c r="D463" s="1523">
        <v>0</v>
      </c>
      <c r="E463" s="1523">
        <v>0</v>
      </c>
      <c r="F463" s="1524">
        <v>0</v>
      </c>
      <c r="G463" s="1537" t="s">
        <v>4421</v>
      </c>
      <c r="H463" s="1521">
        <v>0</v>
      </c>
      <c r="I463" s="1521">
        <v>0</v>
      </c>
      <c r="J463" s="1538">
        <v>0</v>
      </c>
      <c r="K463" s="1525"/>
      <c r="L463" s="1519">
        <v>13027960300</v>
      </c>
      <c r="M463" s="1520">
        <v>0</v>
      </c>
      <c r="N463" s="1520">
        <v>0</v>
      </c>
      <c r="O463" s="1520">
        <v>0</v>
      </c>
      <c r="P463" s="504" t="s">
        <v>263</v>
      </c>
      <c r="Q463" s="287"/>
      <c r="R463" s="168"/>
      <c r="S463" s="380"/>
      <c r="T463" s="473" t="s">
        <v>179</v>
      </c>
      <c r="U463" s="473" t="s">
        <v>2074</v>
      </c>
      <c r="AA463" s="27"/>
      <c r="AB463" s="27"/>
      <c r="AC463" s="809"/>
      <c r="AD463" s="481"/>
    </row>
    <row r="464" spans="3:30" ht="10.5" customHeight="1">
      <c r="C464" s="1526" t="s">
        <v>4422</v>
      </c>
      <c r="D464" s="1523">
        <v>0</v>
      </c>
      <c r="E464" s="1523">
        <v>0</v>
      </c>
      <c r="F464" s="1524">
        <v>0</v>
      </c>
      <c r="G464" s="1537" t="s">
        <v>4422</v>
      </c>
      <c r="H464" s="1521">
        <v>0</v>
      </c>
      <c r="I464" s="1521">
        <v>0</v>
      </c>
      <c r="J464" s="1538">
        <v>0</v>
      </c>
      <c r="K464" s="1525"/>
      <c r="L464" s="1519">
        <v>13027960400</v>
      </c>
      <c r="M464" s="1520">
        <v>0</v>
      </c>
      <c r="N464" s="1520">
        <v>0</v>
      </c>
      <c r="O464" s="1520">
        <v>0</v>
      </c>
      <c r="P464" s="504" t="s">
        <v>2248</v>
      </c>
      <c r="Q464" s="287"/>
      <c r="R464" s="168"/>
      <c r="S464" s="380"/>
      <c r="T464" s="505" t="s">
        <v>1011</v>
      </c>
      <c r="U464" s="505" t="s">
        <v>2370</v>
      </c>
      <c r="AA464" s="27"/>
      <c r="AB464" s="27"/>
      <c r="AC464" s="810"/>
      <c r="AD464" s="481"/>
    </row>
    <row r="465" spans="3:30" ht="10.5" customHeight="1">
      <c r="C465" s="1526" t="s">
        <v>4423</v>
      </c>
      <c r="D465" s="1523">
        <v>0</v>
      </c>
      <c r="E465" s="1523">
        <v>0</v>
      </c>
      <c r="F465" s="1524">
        <v>0</v>
      </c>
      <c r="G465" s="1537" t="s">
        <v>4423</v>
      </c>
      <c r="H465" s="1521">
        <v>0</v>
      </c>
      <c r="I465" s="1521">
        <v>0</v>
      </c>
      <c r="J465" s="1538">
        <v>0</v>
      </c>
      <c r="K465" s="1525"/>
      <c r="L465" s="1519">
        <v>13027960500</v>
      </c>
      <c r="M465" s="1520">
        <v>0</v>
      </c>
      <c r="N465" s="1520">
        <v>0</v>
      </c>
      <c r="O465" s="1520">
        <v>0</v>
      </c>
      <c r="P465" s="504" t="s">
        <v>449</v>
      </c>
      <c r="Q465" s="287"/>
      <c r="R465" s="168"/>
      <c r="S465" s="380"/>
      <c r="T465" s="473" t="s">
        <v>1884</v>
      </c>
      <c r="U465" s="473" t="s">
        <v>2288</v>
      </c>
      <c r="AA465" s="27"/>
      <c r="AB465" s="27"/>
      <c r="AC465" s="809"/>
      <c r="AD465" s="481"/>
    </row>
    <row r="466" spans="3:30" ht="10.5" customHeight="1">
      <c r="C466" s="1526" t="s">
        <v>4424</v>
      </c>
      <c r="D466" s="1523">
        <v>0</v>
      </c>
      <c r="E466" s="1523">
        <v>0</v>
      </c>
      <c r="F466" s="1524">
        <v>0</v>
      </c>
      <c r="G466" s="1537" t="s">
        <v>4424</v>
      </c>
      <c r="H466" s="1521">
        <v>0</v>
      </c>
      <c r="I466" s="1521">
        <v>0</v>
      </c>
      <c r="J466" s="1538">
        <v>0</v>
      </c>
      <c r="K466" s="1525"/>
      <c r="L466" s="1519">
        <v>13027960600</v>
      </c>
      <c r="M466" s="1520">
        <v>0</v>
      </c>
      <c r="N466" s="1520">
        <v>0</v>
      </c>
      <c r="O466" s="1520">
        <v>0</v>
      </c>
      <c r="P466" s="504" t="s">
        <v>450</v>
      </c>
      <c r="Q466" s="287"/>
      <c r="R466" s="168"/>
      <c r="S466" s="380"/>
      <c r="T466" s="473" t="s">
        <v>1012</v>
      </c>
      <c r="U466" s="473" t="s">
        <v>151</v>
      </c>
      <c r="AA466" s="27"/>
      <c r="AB466" s="27"/>
      <c r="AC466" s="809"/>
      <c r="AD466" s="481"/>
    </row>
    <row r="467" spans="3:30" ht="10.5" customHeight="1">
      <c r="C467" s="1526" t="s">
        <v>4425</v>
      </c>
      <c r="D467" s="1523">
        <v>0</v>
      </c>
      <c r="E467" s="1523">
        <v>0</v>
      </c>
      <c r="F467" s="1524">
        <v>0</v>
      </c>
      <c r="G467" s="1537" t="s">
        <v>4425</v>
      </c>
      <c r="H467" s="1521">
        <v>0</v>
      </c>
      <c r="I467" s="1521">
        <v>0</v>
      </c>
      <c r="J467" s="1538">
        <v>0</v>
      </c>
      <c r="K467" s="1525"/>
      <c r="L467" s="1519">
        <v>13029920101</v>
      </c>
      <c r="M467" s="1520">
        <v>0</v>
      </c>
      <c r="N467" s="1520">
        <v>0</v>
      </c>
      <c r="O467" s="1520">
        <v>0</v>
      </c>
      <c r="P467" s="504" t="s">
        <v>452</v>
      </c>
      <c r="Q467" s="287"/>
      <c r="R467" s="168"/>
      <c r="S467" s="380"/>
      <c r="T467" s="473" t="s">
        <v>1886</v>
      </c>
      <c r="U467" s="473" t="s">
        <v>2288</v>
      </c>
      <c r="AA467" s="27"/>
      <c r="AB467" s="27"/>
      <c r="AC467" s="809"/>
      <c r="AD467" s="481"/>
    </row>
    <row r="468" spans="3:30" ht="10.5" customHeight="1">
      <c r="C468" s="1526" t="s">
        <v>4426</v>
      </c>
      <c r="D468" s="1523">
        <v>0</v>
      </c>
      <c r="E468" s="1523">
        <v>0</v>
      </c>
      <c r="F468" s="1524">
        <v>0</v>
      </c>
      <c r="G468" s="1537" t="s">
        <v>4426</v>
      </c>
      <c r="H468" s="1521">
        <v>0</v>
      </c>
      <c r="I468" s="1521">
        <v>0</v>
      </c>
      <c r="J468" s="1538">
        <v>0</v>
      </c>
      <c r="K468" s="1525"/>
      <c r="L468" s="1519">
        <v>13029920102</v>
      </c>
      <c r="M468" s="1520">
        <v>0</v>
      </c>
      <c r="N468" s="1520">
        <v>0</v>
      </c>
      <c r="O468" s="1520">
        <v>0</v>
      </c>
      <c r="P468" s="504" t="s">
        <v>454</v>
      </c>
      <c r="Q468" s="287"/>
      <c r="R468" s="168"/>
      <c r="S468" s="380"/>
      <c r="T468" s="473" t="s">
        <v>312</v>
      </c>
      <c r="U468" s="473" t="s">
        <v>1282</v>
      </c>
      <c r="AA468" s="27"/>
      <c r="AB468" s="27"/>
      <c r="AC468" s="809"/>
      <c r="AD468" s="481"/>
    </row>
    <row r="469" spans="3:30" ht="10.5" customHeight="1">
      <c r="C469" s="1526" t="s">
        <v>4427</v>
      </c>
      <c r="D469" s="1523">
        <v>1</v>
      </c>
      <c r="E469" s="1523">
        <v>1</v>
      </c>
      <c r="F469" s="1524">
        <v>2</v>
      </c>
      <c r="G469" s="1537" t="s">
        <v>4427</v>
      </c>
      <c r="H469" s="1521">
        <v>1</v>
      </c>
      <c r="I469" s="1521" t="s">
        <v>4096</v>
      </c>
      <c r="J469" s="1538">
        <v>1</v>
      </c>
      <c r="K469" s="1525"/>
      <c r="L469" s="1519">
        <v>13029920301</v>
      </c>
      <c r="M469" s="1520">
        <v>1</v>
      </c>
      <c r="N469" s="1520">
        <v>1</v>
      </c>
      <c r="O469" s="1520">
        <v>2</v>
      </c>
      <c r="P469" s="504" t="s">
        <v>1194</v>
      </c>
      <c r="Q469" s="287"/>
      <c r="R469" s="168"/>
      <c r="S469" s="380"/>
      <c r="T469" s="473" t="s">
        <v>1104</v>
      </c>
      <c r="U469" s="473" t="s">
        <v>837</v>
      </c>
      <c r="AA469" s="27"/>
      <c r="AB469" s="27"/>
      <c r="AC469" s="809"/>
      <c r="AD469" s="481"/>
    </row>
    <row r="470" spans="3:30" ht="10.5" customHeight="1">
      <c r="C470" s="1526" t="s">
        <v>4428</v>
      </c>
      <c r="D470" s="1523">
        <v>1</v>
      </c>
      <c r="E470" s="1523">
        <v>1</v>
      </c>
      <c r="F470" s="1524">
        <v>2</v>
      </c>
      <c r="G470" s="1537" t="s">
        <v>4428</v>
      </c>
      <c r="H470" s="1521">
        <v>0</v>
      </c>
      <c r="I470" s="1521">
        <v>0</v>
      </c>
      <c r="J470" s="1538">
        <v>0</v>
      </c>
      <c r="K470" s="1525"/>
      <c r="L470" s="1519">
        <v>13029920303</v>
      </c>
      <c r="M470" s="1520">
        <v>1</v>
      </c>
      <c r="N470" s="1520">
        <v>1</v>
      </c>
      <c r="O470" s="1520">
        <v>2</v>
      </c>
      <c r="P470" s="504" t="s">
        <v>1196</v>
      </c>
      <c r="Q470" s="287"/>
      <c r="R470" s="168"/>
      <c r="S470" s="380"/>
      <c r="T470" s="473" t="s">
        <v>1072</v>
      </c>
      <c r="U470" s="473" t="s">
        <v>840</v>
      </c>
      <c r="AA470" s="27"/>
      <c r="AB470" s="27"/>
      <c r="AC470" s="809"/>
      <c r="AD470" s="481"/>
    </row>
    <row r="471" spans="3:30" ht="10.5" customHeight="1">
      <c r="C471" s="1526" t="s">
        <v>4429</v>
      </c>
      <c r="D471" s="1523">
        <v>1</v>
      </c>
      <c r="E471" s="1523">
        <v>1</v>
      </c>
      <c r="F471" s="1524">
        <v>2</v>
      </c>
      <c r="G471" s="1537" t="s">
        <v>4429</v>
      </c>
      <c r="H471" s="1521">
        <v>1</v>
      </c>
      <c r="I471" s="1521">
        <v>1</v>
      </c>
      <c r="J471" s="1538">
        <v>2</v>
      </c>
      <c r="K471" s="1525"/>
      <c r="L471" s="1519">
        <v>13029920305</v>
      </c>
      <c r="M471" s="1520">
        <v>1</v>
      </c>
      <c r="N471" s="1520">
        <v>1</v>
      </c>
      <c r="O471" s="1520">
        <v>2</v>
      </c>
      <c r="P471" s="504" t="s">
        <v>1902</v>
      </c>
      <c r="Q471" s="287"/>
      <c r="R471" s="168"/>
      <c r="S471" s="380"/>
      <c r="T471" s="473" t="s">
        <v>314</v>
      </c>
      <c r="U471" s="473" t="s">
        <v>1053</v>
      </c>
      <c r="AA471" s="27"/>
      <c r="AB471" s="27"/>
      <c r="AC471" s="809"/>
      <c r="AD471" s="481"/>
    </row>
    <row r="472" spans="3:30" ht="10.5" customHeight="1">
      <c r="C472" s="1526" t="s">
        <v>4430</v>
      </c>
      <c r="D472" s="1523">
        <v>1</v>
      </c>
      <c r="E472" s="1523">
        <v>1</v>
      </c>
      <c r="F472" s="1524">
        <v>2</v>
      </c>
      <c r="G472" s="1537" t="s">
        <v>4430</v>
      </c>
      <c r="H472" s="1521">
        <v>1</v>
      </c>
      <c r="I472" s="1521">
        <v>1</v>
      </c>
      <c r="J472" s="1538">
        <v>2</v>
      </c>
      <c r="K472" s="1525"/>
      <c r="L472" s="1519">
        <v>13029920306</v>
      </c>
      <c r="M472" s="1520">
        <v>1</v>
      </c>
      <c r="N472" s="1520">
        <v>1</v>
      </c>
      <c r="O472" s="1520">
        <v>2</v>
      </c>
      <c r="P472" s="504" t="s">
        <v>1903</v>
      </c>
      <c r="Q472" s="287"/>
      <c r="R472" s="168"/>
      <c r="S472" s="380"/>
      <c r="T472" s="473" t="s">
        <v>317</v>
      </c>
      <c r="U472" s="473" t="s">
        <v>312</v>
      </c>
      <c r="AA472" s="27"/>
      <c r="AB472" s="27"/>
      <c r="AC472" s="809"/>
      <c r="AD472" s="481"/>
    </row>
    <row r="473" spans="3:30" ht="10.5" customHeight="1">
      <c r="C473" s="1526" t="s">
        <v>4431</v>
      </c>
      <c r="D473" s="1523" t="s">
        <v>4096</v>
      </c>
      <c r="E473" s="1523" t="s">
        <v>4096</v>
      </c>
      <c r="F473" s="1524">
        <v>0</v>
      </c>
      <c r="G473" s="1537" t="s">
        <v>4431</v>
      </c>
      <c r="H473" s="1521" t="s">
        <v>4096</v>
      </c>
      <c r="I473" s="1521" t="s">
        <v>4096</v>
      </c>
      <c r="J473" s="1538">
        <v>0</v>
      </c>
      <c r="K473" s="1525"/>
      <c r="L473" s="1519">
        <v>13029980000</v>
      </c>
      <c r="M473" s="1520">
        <v>0</v>
      </c>
      <c r="N473" s="1520">
        <v>0</v>
      </c>
      <c r="O473" s="1520">
        <v>0</v>
      </c>
      <c r="P473" s="504" t="s">
        <v>70</v>
      </c>
      <c r="Q473" s="287"/>
      <c r="R473" s="168"/>
      <c r="S473" s="380"/>
      <c r="T473" s="505" t="s">
        <v>68</v>
      </c>
      <c r="U473" s="505" t="s">
        <v>1829</v>
      </c>
      <c r="AA473" s="27"/>
      <c r="AB473" s="27"/>
      <c r="AC473" s="810"/>
      <c r="AD473" s="481"/>
    </row>
    <row r="474" spans="3:30" ht="10.5" customHeight="1">
      <c r="C474" s="1526" t="s">
        <v>4432</v>
      </c>
      <c r="D474" s="1523">
        <v>0</v>
      </c>
      <c r="E474" s="1523">
        <v>0</v>
      </c>
      <c r="F474" s="1524">
        <v>0</v>
      </c>
      <c r="G474" s="1537" t="s">
        <v>4432</v>
      </c>
      <c r="H474" s="1521">
        <v>0</v>
      </c>
      <c r="I474" s="1521">
        <v>0</v>
      </c>
      <c r="J474" s="1538">
        <v>0</v>
      </c>
      <c r="K474" s="1525"/>
      <c r="L474" s="1519">
        <v>13031110100</v>
      </c>
      <c r="M474" s="1520">
        <v>0</v>
      </c>
      <c r="N474" s="1520">
        <v>0</v>
      </c>
      <c r="O474" s="1520">
        <v>0</v>
      </c>
      <c r="P474" s="504" t="s">
        <v>72</v>
      </c>
      <c r="Q474" s="287"/>
      <c r="R474" s="168"/>
      <c r="S474" s="380"/>
      <c r="T474" s="505" t="s">
        <v>2147</v>
      </c>
      <c r="U474" s="505" t="s">
        <v>1282</v>
      </c>
      <c r="AA474" s="27"/>
      <c r="AB474" s="27"/>
      <c r="AC474" s="810"/>
      <c r="AD474" s="481"/>
    </row>
    <row r="475" spans="3:30" ht="10.5" customHeight="1">
      <c r="C475" s="1526" t="s">
        <v>4433</v>
      </c>
      <c r="D475" s="1523">
        <v>0</v>
      </c>
      <c r="E475" s="1523">
        <v>0</v>
      </c>
      <c r="F475" s="1524">
        <v>0</v>
      </c>
      <c r="G475" s="1537" t="s">
        <v>4433</v>
      </c>
      <c r="H475" s="1521">
        <v>1</v>
      </c>
      <c r="I475" s="1521">
        <v>0</v>
      </c>
      <c r="J475" s="1538">
        <v>1</v>
      </c>
      <c r="K475" s="1525"/>
      <c r="L475" s="1519">
        <v>13031110200</v>
      </c>
      <c r="M475" s="1520">
        <v>1</v>
      </c>
      <c r="N475" s="1520">
        <v>0</v>
      </c>
      <c r="O475" s="1520">
        <v>1</v>
      </c>
      <c r="P475" s="504" t="s">
        <v>2301</v>
      </c>
      <c r="Q475" s="287"/>
      <c r="R475" s="168"/>
      <c r="S475" s="380"/>
      <c r="T475" s="473" t="s">
        <v>1674</v>
      </c>
      <c r="U475" s="473" t="s">
        <v>1917</v>
      </c>
      <c r="AA475" s="27"/>
      <c r="AB475" s="27"/>
      <c r="AC475" s="809"/>
      <c r="AD475" s="481"/>
    </row>
    <row r="476" spans="3:30" ht="10.5" customHeight="1">
      <c r="C476" s="1526" t="s">
        <v>4434</v>
      </c>
      <c r="D476" s="1523">
        <v>1</v>
      </c>
      <c r="E476" s="1523">
        <v>1</v>
      </c>
      <c r="F476" s="1524">
        <v>2</v>
      </c>
      <c r="G476" s="1537" t="s">
        <v>4434</v>
      </c>
      <c r="H476" s="1521">
        <v>1</v>
      </c>
      <c r="I476" s="1521">
        <v>1</v>
      </c>
      <c r="J476" s="1538">
        <v>2</v>
      </c>
      <c r="K476" s="1525"/>
      <c r="L476" s="1519">
        <v>13031110300</v>
      </c>
      <c r="M476" s="1520">
        <v>1</v>
      </c>
      <c r="N476" s="1520">
        <v>1</v>
      </c>
      <c r="O476" s="1520">
        <v>2</v>
      </c>
      <c r="P476" s="504" t="s">
        <v>2103</v>
      </c>
      <c r="Q476" s="287"/>
      <c r="R476" s="168"/>
      <c r="S476" s="380"/>
      <c r="T476" s="473" t="s">
        <v>1676</v>
      </c>
      <c r="U476" s="473" t="s">
        <v>101</v>
      </c>
      <c r="AA476" s="27"/>
      <c r="AB476" s="27"/>
      <c r="AC476" s="809"/>
      <c r="AD476" s="481"/>
    </row>
    <row r="477" spans="3:30" ht="10.5" customHeight="1">
      <c r="C477" s="1526" t="s">
        <v>4435</v>
      </c>
      <c r="D477" s="1523">
        <v>0</v>
      </c>
      <c r="E477" s="1523">
        <v>0</v>
      </c>
      <c r="F477" s="1524">
        <v>0</v>
      </c>
      <c r="G477" s="1537" t="s">
        <v>4435</v>
      </c>
      <c r="H477" s="1521">
        <v>0</v>
      </c>
      <c r="I477" s="1521">
        <v>0</v>
      </c>
      <c r="J477" s="1538">
        <v>0</v>
      </c>
      <c r="K477" s="1525"/>
      <c r="L477" s="1519">
        <v>13031110401</v>
      </c>
      <c r="M477" s="1520">
        <v>0</v>
      </c>
      <c r="N477" s="1520">
        <v>0</v>
      </c>
      <c r="O477" s="1520">
        <v>0</v>
      </c>
      <c r="P477" s="504" t="s">
        <v>2104</v>
      </c>
      <c r="Q477" s="287"/>
      <c r="R477" s="168"/>
      <c r="S477" s="380"/>
      <c r="T477" s="473" t="s">
        <v>661</v>
      </c>
      <c r="U477" s="473" t="s">
        <v>1160</v>
      </c>
      <c r="AA477" s="27"/>
      <c r="AB477" s="27"/>
      <c r="AC477" s="809"/>
      <c r="AD477" s="481"/>
    </row>
    <row r="478" spans="3:30" ht="10.5" customHeight="1">
      <c r="C478" s="1526" t="s">
        <v>4436</v>
      </c>
      <c r="D478" s="1523">
        <v>0</v>
      </c>
      <c r="E478" s="1523">
        <v>1</v>
      </c>
      <c r="F478" s="1524">
        <v>1</v>
      </c>
      <c r="G478" s="1537" t="s">
        <v>4436</v>
      </c>
      <c r="H478" s="1521">
        <v>0</v>
      </c>
      <c r="I478" s="1521" t="s">
        <v>4096</v>
      </c>
      <c r="J478" s="1538">
        <v>0</v>
      </c>
      <c r="K478" s="1525"/>
      <c r="L478" s="1519">
        <v>13031110403</v>
      </c>
      <c r="M478" s="1520">
        <v>0</v>
      </c>
      <c r="N478" s="1520">
        <v>1</v>
      </c>
      <c r="O478" s="1520">
        <v>1</v>
      </c>
      <c r="P478" s="504" t="s">
        <v>927</v>
      </c>
      <c r="Q478" s="287"/>
      <c r="R478" s="168"/>
      <c r="S478" s="380"/>
      <c r="T478" s="473" t="s">
        <v>2247</v>
      </c>
      <c r="U478" s="473" t="s">
        <v>2370</v>
      </c>
      <c r="AA478" s="27"/>
      <c r="AB478" s="27"/>
      <c r="AC478" s="809"/>
      <c r="AD478" s="481"/>
    </row>
    <row r="479" spans="3:30" ht="10.5" customHeight="1">
      <c r="C479" s="1526" t="s">
        <v>4437</v>
      </c>
      <c r="D479" s="1523">
        <v>0</v>
      </c>
      <c r="E479" s="1523">
        <v>1</v>
      </c>
      <c r="F479" s="1524">
        <v>1</v>
      </c>
      <c r="G479" s="1537" t="s">
        <v>4437</v>
      </c>
      <c r="H479" s="1521">
        <v>0</v>
      </c>
      <c r="I479" s="1521" t="s">
        <v>4096</v>
      </c>
      <c r="J479" s="1538">
        <v>0</v>
      </c>
      <c r="K479" s="1525"/>
      <c r="L479" s="1519">
        <v>13031110404</v>
      </c>
      <c r="M479" s="1520">
        <v>0</v>
      </c>
      <c r="N479" s="1520">
        <v>1</v>
      </c>
      <c r="O479" s="1520">
        <v>1</v>
      </c>
      <c r="P479" s="504" t="s">
        <v>929</v>
      </c>
      <c r="Q479" s="287"/>
      <c r="R479" s="168"/>
      <c r="S479" s="380"/>
      <c r="T479" s="473" t="s">
        <v>2249</v>
      </c>
      <c r="U479" s="473" t="s">
        <v>2083</v>
      </c>
      <c r="AA479" s="27"/>
      <c r="AB479" s="27"/>
      <c r="AC479" s="809"/>
      <c r="AD479" s="481"/>
    </row>
    <row r="480" spans="3:30" ht="10.5" customHeight="1">
      <c r="C480" s="1526" t="s">
        <v>4438</v>
      </c>
      <c r="D480" s="1523">
        <v>0</v>
      </c>
      <c r="E480" s="1523">
        <v>0</v>
      </c>
      <c r="F480" s="1524">
        <v>0</v>
      </c>
      <c r="G480" s="1537" t="s">
        <v>4438</v>
      </c>
      <c r="H480" s="1521">
        <v>0</v>
      </c>
      <c r="I480" s="1521" t="s">
        <v>4096</v>
      </c>
      <c r="J480" s="1538">
        <v>0</v>
      </c>
      <c r="K480" s="1525"/>
      <c r="L480" s="1519">
        <v>13031110500</v>
      </c>
      <c r="M480" s="1520">
        <v>0</v>
      </c>
      <c r="N480" s="1520">
        <v>0</v>
      </c>
      <c r="O480" s="1520">
        <v>0</v>
      </c>
      <c r="P480" s="504" t="s">
        <v>1430</v>
      </c>
      <c r="Q480" s="287"/>
      <c r="R480" s="168"/>
      <c r="S480" s="380"/>
      <c r="T480" s="473" t="s">
        <v>451</v>
      </c>
      <c r="U480" s="473" t="s">
        <v>2373</v>
      </c>
      <c r="AA480" s="27"/>
      <c r="AB480" s="27"/>
      <c r="AC480" s="809"/>
      <c r="AD480" s="481"/>
    </row>
    <row r="481" spans="3:30" ht="10.5" customHeight="1">
      <c r="C481" s="1526" t="s">
        <v>4439</v>
      </c>
      <c r="D481" s="1523">
        <v>1</v>
      </c>
      <c r="E481" s="1523">
        <v>0</v>
      </c>
      <c r="F481" s="1524">
        <v>1</v>
      </c>
      <c r="G481" s="1537" t="s">
        <v>4439</v>
      </c>
      <c r="H481" s="1521">
        <v>0</v>
      </c>
      <c r="I481" s="1521">
        <v>1</v>
      </c>
      <c r="J481" s="1538">
        <v>1</v>
      </c>
      <c r="K481" s="1525"/>
      <c r="L481" s="1519">
        <v>13031110601</v>
      </c>
      <c r="M481" s="1520">
        <v>1</v>
      </c>
      <c r="N481" s="1520">
        <v>1</v>
      </c>
      <c r="O481" s="1520">
        <v>1</v>
      </c>
      <c r="P481" s="504" t="s">
        <v>1431</v>
      </c>
      <c r="Q481" s="287"/>
      <c r="R481" s="168"/>
      <c r="S481" s="380"/>
      <c r="T481" s="473" t="s">
        <v>453</v>
      </c>
      <c r="U481" s="473" t="s">
        <v>1280</v>
      </c>
      <c r="AA481" s="27"/>
      <c r="AB481" s="27"/>
      <c r="AC481" s="809"/>
      <c r="AD481" s="481"/>
    </row>
    <row r="482" spans="3:30" ht="10.5" customHeight="1">
      <c r="C482" s="1526" t="s">
        <v>4440</v>
      </c>
      <c r="D482" s="1523">
        <v>0</v>
      </c>
      <c r="E482" s="1523">
        <v>0</v>
      </c>
      <c r="F482" s="1524">
        <v>0</v>
      </c>
      <c r="G482" s="1537" t="s">
        <v>4440</v>
      </c>
      <c r="H482" s="1521">
        <v>0</v>
      </c>
      <c r="I482" s="1521">
        <v>0</v>
      </c>
      <c r="J482" s="1538">
        <v>0</v>
      </c>
      <c r="K482" s="1525"/>
      <c r="L482" s="1519">
        <v>13031110602</v>
      </c>
      <c r="M482" s="1520">
        <v>0</v>
      </c>
      <c r="N482" s="1520">
        <v>0</v>
      </c>
      <c r="O482" s="1520">
        <v>0</v>
      </c>
      <c r="P482" s="504" t="s">
        <v>1433</v>
      </c>
      <c r="Q482" s="287"/>
      <c r="R482" s="168"/>
      <c r="S482" s="380"/>
      <c r="T482" s="473" t="s">
        <v>1013</v>
      </c>
      <c r="U482" s="473" t="s">
        <v>1285</v>
      </c>
      <c r="AA482" s="27"/>
      <c r="AB482" s="27"/>
      <c r="AC482" s="809"/>
      <c r="AD482" s="481"/>
    </row>
    <row r="483" spans="3:30" ht="10.5" customHeight="1">
      <c r="C483" s="1526" t="s">
        <v>4441</v>
      </c>
      <c r="D483" s="1523">
        <v>1</v>
      </c>
      <c r="E483" s="1523">
        <v>1</v>
      </c>
      <c r="F483" s="1524">
        <v>2</v>
      </c>
      <c r="G483" s="1537" t="s">
        <v>4441</v>
      </c>
      <c r="H483" s="1521">
        <v>1</v>
      </c>
      <c r="I483" s="1521">
        <v>1</v>
      </c>
      <c r="J483" s="1538">
        <v>2</v>
      </c>
      <c r="K483" s="1525"/>
      <c r="L483" s="1519">
        <v>13031110700</v>
      </c>
      <c r="M483" s="1520">
        <v>1</v>
      </c>
      <c r="N483" s="1520">
        <v>1</v>
      </c>
      <c r="O483" s="1520">
        <v>2</v>
      </c>
      <c r="P483" s="504" t="s">
        <v>1435</v>
      </c>
      <c r="Q483" s="287"/>
      <c r="R483" s="168"/>
      <c r="S483" s="380"/>
      <c r="T483" s="473" t="s">
        <v>455</v>
      </c>
      <c r="U483" s="473" t="s">
        <v>1285</v>
      </c>
      <c r="AA483" s="27"/>
      <c r="AB483" s="27"/>
      <c r="AC483" s="809"/>
      <c r="AD483" s="481"/>
    </row>
    <row r="484" spans="3:30" ht="10.5" customHeight="1">
      <c r="C484" s="1526" t="s">
        <v>4442</v>
      </c>
      <c r="D484" s="1523">
        <v>0</v>
      </c>
      <c r="E484" s="1523">
        <v>0</v>
      </c>
      <c r="F484" s="1524">
        <v>0</v>
      </c>
      <c r="G484" s="1537" t="s">
        <v>4442</v>
      </c>
      <c r="H484" s="1521">
        <v>0</v>
      </c>
      <c r="I484" s="1521">
        <v>0</v>
      </c>
      <c r="J484" s="1538">
        <v>0</v>
      </c>
      <c r="K484" s="1525"/>
      <c r="L484" s="1519">
        <v>13031110800</v>
      </c>
      <c r="M484" s="1520">
        <v>0</v>
      </c>
      <c r="N484" s="1520">
        <v>0</v>
      </c>
      <c r="O484" s="1520">
        <v>0</v>
      </c>
      <c r="P484" s="504" t="s">
        <v>1437</v>
      </c>
      <c r="Q484" s="287"/>
      <c r="R484" s="168"/>
      <c r="S484" s="380"/>
      <c r="T484" s="505" t="s">
        <v>1195</v>
      </c>
      <c r="U484" s="505" t="s">
        <v>1265</v>
      </c>
      <c r="AA484" s="27"/>
      <c r="AB484" s="27"/>
      <c r="AC484" s="810"/>
      <c r="AD484" s="481"/>
    </row>
    <row r="485" spans="3:30" ht="10.5" customHeight="1">
      <c r="C485" s="1526" t="s">
        <v>4443</v>
      </c>
      <c r="D485" s="1523">
        <v>0</v>
      </c>
      <c r="E485" s="1523">
        <v>0</v>
      </c>
      <c r="F485" s="1524">
        <v>0</v>
      </c>
      <c r="G485" s="1537" t="s">
        <v>4443</v>
      </c>
      <c r="H485" s="1521">
        <v>0</v>
      </c>
      <c r="I485" s="1521">
        <v>0</v>
      </c>
      <c r="J485" s="1538">
        <v>0</v>
      </c>
      <c r="K485" s="1525"/>
      <c r="L485" s="1519">
        <v>13031110900</v>
      </c>
      <c r="M485" s="1520">
        <v>0</v>
      </c>
      <c r="N485" s="1520">
        <v>0</v>
      </c>
      <c r="O485" s="1520">
        <v>0</v>
      </c>
      <c r="P485" s="504" t="s">
        <v>2233</v>
      </c>
      <c r="Q485" s="287"/>
      <c r="R485" s="168"/>
      <c r="S485" s="380"/>
      <c r="T485" s="473" t="s">
        <v>1197</v>
      </c>
      <c r="U485" s="473" t="s">
        <v>321</v>
      </c>
      <c r="AA485" s="27"/>
      <c r="AB485" s="27"/>
      <c r="AC485" s="809"/>
      <c r="AD485" s="481"/>
    </row>
    <row r="486" spans="3:30" ht="10.5" customHeight="1">
      <c r="C486" s="1526" t="s">
        <v>4444</v>
      </c>
      <c r="D486" s="1523">
        <v>0</v>
      </c>
      <c r="E486" s="1523">
        <v>0</v>
      </c>
      <c r="F486" s="1524">
        <v>0</v>
      </c>
      <c r="G486" s="1537" t="s">
        <v>4444</v>
      </c>
      <c r="H486" s="1521">
        <v>0</v>
      </c>
      <c r="I486" s="1521">
        <v>0</v>
      </c>
      <c r="J486" s="1538">
        <v>0</v>
      </c>
      <c r="K486" s="1525"/>
      <c r="L486" s="1519">
        <v>13033950100</v>
      </c>
      <c r="M486" s="1520">
        <v>0</v>
      </c>
      <c r="N486" s="1520">
        <v>0</v>
      </c>
      <c r="O486" s="1520">
        <v>0</v>
      </c>
      <c r="P486" s="504" t="s">
        <v>2475</v>
      </c>
      <c r="Q486" s="287"/>
      <c r="R486" s="168"/>
      <c r="S486" s="380"/>
      <c r="T486" s="473" t="s">
        <v>2655</v>
      </c>
      <c r="U486" s="473" t="s">
        <v>2413</v>
      </c>
      <c r="AA486" s="27"/>
      <c r="AB486" s="27"/>
      <c r="AC486" s="809"/>
      <c r="AD486" s="481"/>
    </row>
    <row r="487" spans="3:30" ht="10.5" customHeight="1">
      <c r="C487" s="1526" t="s">
        <v>4445</v>
      </c>
      <c r="D487" s="1523">
        <v>0</v>
      </c>
      <c r="E487" s="1523">
        <v>0</v>
      </c>
      <c r="F487" s="1524">
        <v>0</v>
      </c>
      <c r="G487" s="1537" t="s">
        <v>4445</v>
      </c>
      <c r="H487" s="1521">
        <v>0</v>
      </c>
      <c r="I487" s="1521" t="s">
        <v>4096</v>
      </c>
      <c r="J487" s="1538">
        <v>0</v>
      </c>
      <c r="K487" s="1525"/>
      <c r="L487" s="1519">
        <v>13033950200</v>
      </c>
      <c r="M487" s="1520">
        <v>0</v>
      </c>
      <c r="N487" s="1520">
        <v>0</v>
      </c>
      <c r="O487" s="1520">
        <v>0</v>
      </c>
      <c r="P487" s="504" t="s">
        <v>1233</v>
      </c>
      <c r="Q487" s="287"/>
      <c r="R487" s="168"/>
      <c r="S487" s="380"/>
      <c r="T487" s="473" t="s">
        <v>1904</v>
      </c>
      <c r="U487" s="473" t="s">
        <v>1916</v>
      </c>
      <c r="AA487" s="27"/>
      <c r="AB487" s="27"/>
      <c r="AC487" s="809"/>
      <c r="AD487" s="481"/>
    </row>
    <row r="488" spans="3:30" ht="10.5" customHeight="1">
      <c r="C488" s="1526" t="s">
        <v>4446</v>
      </c>
      <c r="D488" s="1523">
        <v>0</v>
      </c>
      <c r="E488" s="1523">
        <v>0</v>
      </c>
      <c r="F488" s="1524">
        <v>0</v>
      </c>
      <c r="G488" s="1537" t="s">
        <v>4446</v>
      </c>
      <c r="H488" s="1521">
        <v>0</v>
      </c>
      <c r="I488" s="1521">
        <v>0</v>
      </c>
      <c r="J488" s="1538">
        <v>0</v>
      </c>
      <c r="K488" s="1525"/>
      <c r="L488" s="1519">
        <v>13033950400</v>
      </c>
      <c r="M488" s="1520">
        <v>0</v>
      </c>
      <c r="N488" s="1520">
        <v>0</v>
      </c>
      <c r="O488" s="1520">
        <v>0</v>
      </c>
      <c r="P488" s="504" t="s">
        <v>1447</v>
      </c>
      <c r="Q488" s="287"/>
      <c r="R488" s="168"/>
      <c r="S488" s="380"/>
      <c r="T488" s="473" t="s">
        <v>71</v>
      </c>
      <c r="U488" s="473" t="s">
        <v>1825</v>
      </c>
      <c r="AA488" s="27"/>
      <c r="AB488" s="27"/>
      <c r="AC488" s="809"/>
      <c r="AD488" s="481"/>
    </row>
    <row r="489" spans="3:30" ht="10.5" customHeight="1">
      <c r="C489" s="1526" t="s">
        <v>4447</v>
      </c>
      <c r="D489" s="1523">
        <v>0</v>
      </c>
      <c r="E489" s="1523">
        <v>0</v>
      </c>
      <c r="F489" s="1524">
        <v>0</v>
      </c>
      <c r="G489" s="1537" t="s">
        <v>4447</v>
      </c>
      <c r="H489" s="1521">
        <v>0</v>
      </c>
      <c r="I489" s="1521">
        <v>0</v>
      </c>
      <c r="J489" s="1538">
        <v>0</v>
      </c>
      <c r="K489" s="1525"/>
      <c r="L489" s="1519">
        <v>13033950500</v>
      </c>
      <c r="M489" s="1520">
        <v>0</v>
      </c>
      <c r="N489" s="1520">
        <v>0</v>
      </c>
      <c r="O489" s="1520">
        <v>0</v>
      </c>
      <c r="P489" s="504" t="s">
        <v>786</v>
      </c>
      <c r="Q489" s="287"/>
      <c r="R489" s="168"/>
      <c r="S489" s="380"/>
      <c r="T489" s="473" t="s">
        <v>602</v>
      </c>
      <c r="U489" s="473" t="s">
        <v>2370</v>
      </c>
      <c r="AA489" s="27"/>
      <c r="AB489" s="27"/>
      <c r="AC489" s="809"/>
      <c r="AD489" s="481"/>
    </row>
    <row r="490" spans="3:30" ht="10.5" customHeight="1">
      <c r="C490" s="1526" t="s">
        <v>4448</v>
      </c>
      <c r="D490" s="1523">
        <v>0</v>
      </c>
      <c r="E490" s="1523">
        <v>0</v>
      </c>
      <c r="F490" s="1524">
        <v>0</v>
      </c>
      <c r="G490" s="1537" t="s">
        <v>4448</v>
      </c>
      <c r="H490" s="1521">
        <v>0</v>
      </c>
      <c r="I490" s="1521">
        <v>0</v>
      </c>
      <c r="J490" s="1538">
        <v>0</v>
      </c>
      <c r="K490" s="1525"/>
      <c r="L490" s="1519">
        <v>13033950700</v>
      </c>
      <c r="M490" s="1520">
        <v>0</v>
      </c>
      <c r="N490" s="1520">
        <v>0</v>
      </c>
      <c r="O490" s="1520">
        <v>0</v>
      </c>
      <c r="P490" s="504" t="s">
        <v>787</v>
      </c>
      <c r="Q490" s="287"/>
      <c r="R490" s="168"/>
      <c r="S490" s="380"/>
      <c r="T490" s="473" t="s">
        <v>73</v>
      </c>
      <c r="U490" s="473" t="s">
        <v>167</v>
      </c>
      <c r="AA490" s="27"/>
      <c r="AB490" s="27"/>
      <c r="AC490" s="809"/>
      <c r="AD490" s="481"/>
    </row>
    <row r="491" spans="3:30" ht="10.5" customHeight="1">
      <c r="C491" s="1526" t="s">
        <v>4449</v>
      </c>
      <c r="D491" s="1523">
        <v>0</v>
      </c>
      <c r="E491" s="1523">
        <v>0</v>
      </c>
      <c r="F491" s="1524">
        <v>0</v>
      </c>
      <c r="G491" s="1537" t="s">
        <v>4449</v>
      </c>
      <c r="H491" s="1521">
        <v>0</v>
      </c>
      <c r="I491" s="1521">
        <v>0</v>
      </c>
      <c r="J491" s="1538">
        <v>0</v>
      </c>
      <c r="K491" s="1525"/>
      <c r="L491" s="1519">
        <v>13033950900</v>
      </c>
      <c r="M491" s="1520">
        <v>0</v>
      </c>
      <c r="N491" s="1520">
        <v>0</v>
      </c>
      <c r="O491" s="1520">
        <v>0</v>
      </c>
      <c r="P491" s="504" t="s">
        <v>789</v>
      </c>
      <c r="Q491" s="287"/>
      <c r="R491" s="168"/>
      <c r="S491" s="380"/>
      <c r="T491" s="473" t="s">
        <v>2302</v>
      </c>
      <c r="U491" s="473" t="s">
        <v>1396</v>
      </c>
      <c r="AA491" s="27"/>
      <c r="AB491" s="27"/>
      <c r="AC491" s="809"/>
      <c r="AD491" s="481"/>
    </row>
    <row r="492" spans="3:30" ht="10.5" customHeight="1">
      <c r="C492" s="1526" t="s">
        <v>4450</v>
      </c>
      <c r="D492" s="1523">
        <v>0</v>
      </c>
      <c r="E492" s="1523">
        <v>1</v>
      </c>
      <c r="F492" s="1524">
        <v>1</v>
      </c>
      <c r="G492" s="1537" t="s">
        <v>4450</v>
      </c>
      <c r="H492" s="1521">
        <v>0</v>
      </c>
      <c r="I492" s="1521">
        <v>0</v>
      </c>
      <c r="J492" s="1538">
        <v>0</v>
      </c>
      <c r="K492" s="1525"/>
      <c r="L492" s="1519">
        <v>13035150100</v>
      </c>
      <c r="M492" s="1520">
        <v>0</v>
      </c>
      <c r="N492" s="1520">
        <v>1</v>
      </c>
      <c r="O492" s="1520">
        <v>1</v>
      </c>
      <c r="P492" s="504" t="s">
        <v>790</v>
      </c>
      <c r="Q492" s="287"/>
      <c r="R492" s="168"/>
      <c r="S492" s="380"/>
      <c r="T492" s="473" t="s">
        <v>1014</v>
      </c>
      <c r="U492" s="473" t="s">
        <v>1459</v>
      </c>
      <c r="AA492" s="27"/>
      <c r="AB492" s="27"/>
      <c r="AC492" s="809"/>
      <c r="AD492" s="481"/>
    </row>
    <row r="493" spans="3:30" ht="10.5" customHeight="1">
      <c r="C493" s="1526" t="s">
        <v>4451</v>
      </c>
      <c r="D493" s="1523">
        <v>0</v>
      </c>
      <c r="E493" s="1523">
        <v>0</v>
      </c>
      <c r="F493" s="1524">
        <v>0</v>
      </c>
      <c r="G493" s="1537" t="s">
        <v>4451</v>
      </c>
      <c r="H493" s="1521">
        <v>0</v>
      </c>
      <c r="I493" s="1521">
        <v>0</v>
      </c>
      <c r="J493" s="1538">
        <v>0</v>
      </c>
      <c r="K493" s="1525"/>
      <c r="L493" s="1519">
        <v>13035150200</v>
      </c>
      <c r="M493" s="1520">
        <v>0</v>
      </c>
      <c r="N493" s="1520">
        <v>0</v>
      </c>
      <c r="O493" s="1520">
        <v>0</v>
      </c>
      <c r="P493" s="504" t="s">
        <v>112</v>
      </c>
      <c r="Q493" s="287"/>
      <c r="R493" s="168"/>
      <c r="S493" s="380"/>
      <c r="T493" s="473" t="s">
        <v>1015</v>
      </c>
      <c r="U493" s="473" t="s">
        <v>1070</v>
      </c>
      <c r="AA493" s="27"/>
      <c r="AB493" s="27"/>
      <c r="AC493" s="809"/>
      <c r="AD493" s="481"/>
    </row>
    <row r="494" spans="3:30" ht="10.5" customHeight="1">
      <c r="C494" s="1526" t="s">
        <v>4452</v>
      </c>
      <c r="D494" s="1523">
        <v>0</v>
      </c>
      <c r="E494" s="1523">
        <v>1</v>
      </c>
      <c r="F494" s="1524">
        <v>1</v>
      </c>
      <c r="G494" s="1537" t="s">
        <v>4452</v>
      </c>
      <c r="H494" s="1521">
        <v>0</v>
      </c>
      <c r="I494" s="1521">
        <v>1</v>
      </c>
      <c r="J494" s="1538">
        <v>1</v>
      </c>
      <c r="K494" s="1525"/>
      <c r="L494" s="1519">
        <v>13035150300</v>
      </c>
      <c r="M494" s="1520">
        <v>0</v>
      </c>
      <c r="N494" s="1520">
        <v>1</v>
      </c>
      <c r="O494" s="1520">
        <v>1</v>
      </c>
      <c r="P494" s="504" t="s">
        <v>238</v>
      </c>
      <c r="Q494" s="287"/>
      <c r="R494" s="168"/>
      <c r="S494" s="380"/>
      <c r="T494" s="473" t="s">
        <v>584</v>
      </c>
      <c r="U494" s="473" t="s">
        <v>630</v>
      </c>
      <c r="AA494" s="27"/>
      <c r="AB494" s="27"/>
      <c r="AC494" s="809"/>
      <c r="AD494" s="481"/>
    </row>
    <row r="495" spans="3:30" ht="10.5" customHeight="1">
      <c r="C495" s="1526" t="s">
        <v>4453</v>
      </c>
      <c r="D495" s="1523">
        <v>0</v>
      </c>
      <c r="E495" s="1523">
        <v>0</v>
      </c>
      <c r="F495" s="1524">
        <v>0</v>
      </c>
      <c r="G495" s="1537" t="s">
        <v>4453</v>
      </c>
      <c r="H495" s="1521">
        <v>0</v>
      </c>
      <c r="I495" s="1521">
        <v>1</v>
      </c>
      <c r="J495" s="1538">
        <v>1</v>
      </c>
      <c r="K495" s="1525"/>
      <c r="L495" s="1519">
        <v>13037950100</v>
      </c>
      <c r="M495" s="1520">
        <v>0</v>
      </c>
      <c r="N495" s="1520">
        <v>1</v>
      </c>
      <c r="O495" s="1520">
        <v>1</v>
      </c>
      <c r="P495" s="504" t="s">
        <v>1444</v>
      </c>
      <c r="Q495" s="287"/>
      <c r="R495" s="168"/>
      <c r="S495" s="380"/>
      <c r="T495" s="473" t="s">
        <v>928</v>
      </c>
      <c r="U495" s="473" t="s">
        <v>114</v>
      </c>
      <c r="AA495" s="27"/>
      <c r="AB495" s="27"/>
      <c r="AC495" s="809"/>
      <c r="AD495" s="481"/>
    </row>
    <row r="496" spans="3:30" ht="10.5" customHeight="1">
      <c r="C496" s="1526" t="s">
        <v>4454</v>
      </c>
      <c r="D496" s="1523">
        <v>0</v>
      </c>
      <c r="E496" s="1523">
        <v>0</v>
      </c>
      <c r="F496" s="1524">
        <v>0</v>
      </c>
      <c r="G496" s="1537" t="s">
        <v>4454</v>
      </c>
      <c r="H496" s="1521">
        <v>0</v>
      </c>
      <c r="I496" s="1521">
        <v>0</v>
      </c>
      <c r="J496" s="1538">
        <v>0</v>
      </c>
      <c r="K496" s="1525"/>
      <c r="L496" s="1519">
        <v>13037950200</v>
      </c>
      <c r="M496" s="1520">
        <v>0</v>
      </c>
      <c r="N496" s="1520">
        <v>0</v>
      </c>
      <c r="O496" s="1520">
        <v>0</v>
      </c>
      <c r="P496" s="504" t="s">
        <v>233</v>
      </c>
      <c r="Q496" s="287"/>
      <c r="R496" s="168"/>
      <c r="S496" s="380"/>
      <c r="T496" s="473" t="s">
        <v>930</v>
      </c>
      <c r="U496" s="473" t="s">
        <v>1283</v>
      </c>
      <c r="AA496" s="27"/>
      <c r="AB496" s="27"/>
      <c r="AC496" s="809"/>
      <c r="AD496" s="481"/>
    </row>
    <row r="497" spans="3:30" ht="10.5" customHeight="1">
      <c r="C497" s="1526" t="s">
        <v>4455</v>
      </c>
      <c r="D497" s="1523">
        <v>0</v>
      </c>
      <c r="E497" s="1523">
        <v>0</v>
      </c>
      <c r="F497" s="1524">
        <v>0</v>
      </c>
      <c r="G497" s="1537" t="s">
        <v>4455</v>
      </c>
      <c r="H497" s="1521">
        <v>0</v>
      </c>
      <c r="I497" s="1521">
        <v>1</v>
      </c>
      <c r="J497" s="1538">
        <v>1</v>
      </c>
      <c r="K497" s="1525"/>
      <c r="L497" s="1519">
        <v>13039010100</v>
      </c>
      <c r="M497" s="1520">
        <v>0</v>
      </c>
      <c r="N497" s="1520">
        <v>1</v>
      </c>
      <c r="O497" s="1520">
        <v>1</v>
      </c>
      <c r="P497" s="504" t="s">
        <v>1449</v>
      </c>
      <c r="Q497" s="287"/>
      <c r="R497" s="168"/>
      <c r="S497" s="380"/>
      <c r="T497" s="473" t="s">
        <v>1432</v>
      </c>
      <c r="U497" s="473" t="s">
        <v>1399</v>
      </c>
      <c r="AA497" s="27"/>
      <c r="AB497" s="27"/>
      <c r="AC497" s="809"/>
      <c r="AD497" s="481"/>
    </row>
    <row r="498" spans="3:30" ht="10.5" customHeight="1">
      <c r="C498" s="1526" t="s">
        <v>4456</v>
      </c>
      <c r="D498" s="1523">
        <v>0</v>
      </c>
      <c r="E498" s="1523">
        <v>1</v>
      </c>
      <c r="F498" s="1524">
        <v>1</v>
      </c>
      <c r="G498" s="1537" t="s">
        <v>4456</v>
      </c>
      <c r="H498" s="1521">
        <v>0</v>
      </c>
      <c r="I498" s="1521">
        <v>0</v>
      </c>
      <c r="J498" s="1538">
        <v>0</v>
      </c>
      <c r="K498" s="1525"/>
      <c r="L498" s="1519">
        <v>13039010200</v>
      </c>
      <c r="M498" s="1520">
        <v>0</v>
      </c>
      <c r="N498" s="1520">
        <v>1</v>
      </c>
      <c r="O498" s="1520">
        <v>1</v>
      </c>
      <c r="P498" s="504" t="s">
        <v>1451</v>
      </c>
      <c r="Q498" s="287"/>
      <c r="R498" s="168"/>
      <c r="S498" s="380"/>
      <c r="T498" s="473" t="s">
        <v>1434</v>
      </c>
      <c r="U498" s="473" t="s">
        <v>2410</v>
      </c>
      <c r="AA498" s="27"/>
      <c r="AB498" s="27"/>
      <c r="AC498" s="809"/>
      <c r="AD498" s="481"/>
    </row>
    <row r="499" spans="3:30" ht="10.5" customHeight="1">
      <c r="C499" s="1526" t="s">
        <v>4457</v>
      </c>
      <c r="D499" s="1523">
        <v>0</v>
      </c>
      <c r="E499" s="1523">
        <v>0</v>
      </c>
      <c r="F499" s="1524">
        <v>0</v>
      </c>
      <c r="G499" s="1537" t="s">
        <v>4457</v>
      </c>
      <c r="H499" s="1521">
        <v>0</v>
      </c>
      <c r="I499" s="1521">
        <v>0</v>
      </c>
      <c r="J499" s="1538">
        <v>0</v>
      </c>
      <c r="K499" s="1525"/>
      <c r="L499" s="1519">
        <v>13039010301</v>
      </c>
      <c r="M499" s="1520">
        <v>0</v>
      </c>
      <c r="N499" s="1520">
        <v>0</v>
      </c>
      <c r="O499" s="1520">
        <v>0</v>
      </c>
      <c r="P499" s="504" t="s">
        <v>1343</v>
      </c>
      <c r="Q499" s="287"/>
      <c r="R499" s="168"/>
      <c r="S499" s="380"/>
      <c r="T499" s="473" t="s">
        <v>1436</v>
      </c>
      <c r="U499" s="473" t="s">
        <v>2081</v>
      </c>
      <c r="AA499" s="27"/>
      <c r="AB499" s="27"/>
      <c r="AC499" s="809"/>
      <c r="AD499" s="481"/>
    </row>
    <row r="500" spans="3:30" ht="10.5" customHeight="1">
      <c r="C500" s="1526" t="s">
        <v>4458</v>
      </c>
      <c r="D500" s="1523">
        <v>0</v>
      </c>
      <c r="E500" s="1523">
        <v>0</v>
      </c>
      <c r="F500" s="1524">
        <v>0</v>
      </c>
      <c r="G500" s="1537" t="s">
        <v>4458</v>
      </c>
      <c r="H500" s="1521">
        <v>0</v>
      </c>
      <c r="I500" s="1521">
        <v>0</v>
      </c>
      <c r="J500" s="1538">
        <v>0</v>
      </c>
      <c r="K500" s="1525"/>
      <c r="L500" s="1519">
        <v>13039010302</v>
      </c>
      <c r="M500" s="1520">
        <v>0</v>
      </c>
      <c r="N500" s="1520">
        <v>0</v>
      </c>
      <c r="O500" s="1520">
        <v>0</v>
      </c>
      <c r="P500" s="504" t="s">
        <v>1345</v>
      </c>
      <c r="Q500" s="287"/>
      <c r="R500" s="168"/>
      <c r="S500" s="380"/>
      <c r="T500" s="473" t="s">
        <v>2232</v>
      </c>
      <c r="U500" s="473" t="s">
        <v>2470</v>
      </c>
      <c r="AA500" s="27"/>
      <c r="AB500" s="27"/>
      <c r="AC500" s="809"/>
      <c r="AD500" s="481"/>
    </row>
    <row r="501" spans="3:30" ht="10.5" customHeight="1">
      <c r="C501" s="1526" t="s">
        <v>4459</v>
      </c>
      <c r="D501" s="1523">
        <v>1</v>
      </c>
      <c r="E501" s="1523">
        <v>1</v>
      </c>
      <c r="F501" s="1524">
        <v>2</v>
      </c>
      <c r="G501" s="1537" t="s">
        <v>4459</v>
      </c>
      <c r="H501" s="1521">
        <v>1</v>
      </c>
      <c r="I501" s="1521">
        <v>0</v>
      </c>
      <c r="J501" s="1538">
        <v>1</v>
      </c>
      <c r="K501" s="1525"/>
      <c r="L501" s="1519">
        <v>13039010401</v>
      </c>
      <c r="M501" s="1520">
        <v>1</v>
      </c>
      <c r="N501" s="1520">
        <v>1</v>
      </c>
      <c r="O501" s="1520">
        <v>2</v>
      </c>
      <c r="P501" s="504" t="s">
        <v>1347</v>
      </c>
      <c r="Q501" s="287"/>
      <c r="R501" s="168"/>
      <c r="S501" s="380"/>
      <c r="T501" s="473" t="s">
        <v>2234</v>
      </c>
      <c r="U501" s="473" t="s">
        <v>114</v>
      </c>
      <c r="AA501" s="27"/>
      <c r="AB501" s="27"/>
      <c r="AC501" s="809"/>
      <c r="AD501" s="481"/>
    </row>
    <row r="502" spans="3:30" ht="10.5" customHeight="1">
      <c r="C502" s="1526" t="s">
        <v>4460</v>
      </c>
      <c r="D502" s="1523">
        <v>1</v>
      </c>
      <c r="E502" s="1523">
        <v>1</v>
      </c>
      <c r="F502" s="1524">
        <v>2</v>
      </c>
      <c r="G502" s="1537" t="s">
        <v>4460</v>
      </c>
      <c r="H502" s="1521">
        <v>1</v>
      </c>
      <c r="I502" s="1521">
        <v>1</v>
      </c>
      <c r="J502" s="1538">
        <v>2</v>
      </c>
      <c r="K502" s="1525"/>
      <c r="L502" s="1519">
        <v>13039010402</v>
      </c>
      <c r="M502" s="1520">
        <v>1</v>
      </c>
      <c r="N502" s="1520">
        <v>1</v>
      </c>
      <c r="O502" s="1520">
        <v>2</v>
      </c>
      <c r="P502" s="504" t="s">
        <v>1348</v>
      </c>
      <c r="Q502" s="287"/>
      <c r="R502" s="168"/>
      <c r="S502" s="380"/>
      <c r="T502" s="505" t="s">
        <v>1232</v>
      </c>
      <c r="U502" s="505" t="s">
        <v>917</v>
      </c>
      <c r="AA502" s="27"/>
      <c r="AB502" s="27"/>
      <c r="AC502" s="810"/>
      <c r="AD502" s="481"/>
    </row>
    <row r="503" spans="3:30" ht="10.5" customHeight="1">
      <c r="C503" s="1526" t="s">
        <v>4461</v>
      </c>
      <c r="D503" s="1523">
        <v>1</v>
      </c>
      <c r="E503" s="1523">
        <v>1</v>
      </c>
      <c r="F503" s="1524">
        <v>2</v>
      </c>
      <c r="G503" s="1537" t="s">
        <v>4461</v>
      </c>
      <c r="H503" s="1521">
        <v>1</v>
      </c>
      <c r="I503" s="1521">
        <v>1</v>
      </c>
      <c r="J503" s="1538">
        <v>2</v>
      </c>
      <c r="K503" s="1525"/>
      <c r="L503" s="1519">
        <v>13039010403</v>
      </c>
      <c r="M503" s="1520">
        <v>1</v>
      </c>
      <c r="N503" s="1520">
        <v>1</v>
      </c>
      <c r="O503" s="1520">
        <v>2</v>
      </c>
      <c r="P503" s="504" t="s">
        <v>1350</v>
      </c>
      <c r="Q503" s="287"/>
      <c r="R503" s="168"/>
      <c r="S503" s="380"/>
      <c r="T503" s="473" t="s">
        <v>1016</v>
      </c>
      <c r="U503" s="473" t="s">
        <v>1914</v>
      </c>
      <c r="AA503" s="27"/>
      <c r="AB503" s="27"/>
      <c r="AC503" s="809"/>
      <c r="AD503" s="481"/>
    </row>
    <row r="504" spans="3:30" ht="10.5" customHeight="1">
      <c r="C504" s="1526" t="s">
        <v>4462</v>
      </c>
      <c r="D504" s="1523">
        <v>0</v>
      </c>
      <c r="E504" s="1523">
        <v>1</v>
      </c>
      <c r="F504" s="1524">
        <v>1</v>
      </c>
      <c r="G504" s="1537" t="s">
        <v>4462</v>
      </c>
      <c r="H504" s="1521">
        <v>0</v>
      </c>
      <c r="I504" s="1521" t="s">
        <v>4096</v>
      </c>
      <c r="J504" s="1538">
        <v>0</v>
      </c>
      <c r="K504" s="1525"/>
      <c r="L504" s="1519">
        <v>13039010500</v>
      </c>
      <c r="M504" s="1520">
        <v>0</v>
      </c>
      <c r="N504" s="1520">
        <v>1</v>
      </c>
      <c r="O504" s="1520">
        <v>1</v>
      </c>
      <c r="P504" s="504" t="s">
        <v>1352</v>
      </c>
      <c r="Q504" s="287"/>
      <c r="R504" s="168"/>
      <c r="S504" s="380"/>
      <c r="T504" s="473" t="s">
        <v>1234</v>
      </c>
      <c r="U504" s="473" t="s">
        <v>1401</v>
      </c>
      <c r="AA504" s="27"/>
      <c r="AB504" s="27"/>
      <c r="AC504" s="809"/>
      <c r="AD504" s="481"/>
    </row>
    <row r="505" spans="3:30" ht="10.5" customHeight="1">
      <c r="C505" s="1526" t="s">
        <v>4463</v>
      </c>
      <c r="D505" s="1523">
        <v>0</v>
      </c>
      <c r="E505" s="1523">
        <v>0</v>
      </c>
      <c r="F505" s="1524">
        <v>0</v>
      </c>
      <c r="G505" s="1537" t="s">
        <v>4463</v>
      </c>
      <c r="H505" s="1521">
        <v>0</v>
      </c>
      <c r="I505" s="1521">
        <v>0</v>
      </c>
      <c r="J505" s="1538">
        <v>0</v>
      </c>
      <c r="K505" s="1525"/>
      <c r="L505" s="1519">
        <v>13039010601</v>
      </c>
      <c r="M505" s="1520">
        <v>0</v>
      </c>
      <c r="N505" s="1520">
        <v>0</v>
      </c>
      <c r="O505" s="1520">
        <v>0</v>
      </c>
      <c r="P505" s="504" t="s">
        <v>1505</v>
      </c>
      <c r="Q505" s="287"/>
      <c r="R505" s="168"/>
      <c r="S505" s="380"/>
      <c r="T505" s="473" t="s">
        <v>794</v>
      </c>
      <c r="U505" s="473" t="s">
        <v>1916</v>
      </c>
      <c r="AA505" s="27"/>
      <c r="AB505" s="27"/>
      <c r="AC505" s="809"/>
      <c r="AD505" s="481"/>
    </row>
    <row r="506" spans="3:30" ht="10.5" customHeight="1">
      <c r="C506" s="1526" t="s">
        <v>4464</v>
      </c>
      <c r="D506" s="1523">
        <v>0</v>
      </c>
      <c r="E506" s="1523">
        <v>0</v>
      </c>
      <c r="F506" s="1524">
        <v>0</v>
      </c>
      <c r="G506" s="1537" t="s">
        <v>4464</v>
      </c>
      <c r="H506" s="1521">
        <v>0</v>
      </c>
      <c r="I506" s="1521" t="s">
        <v>4096</v>
      </c>
      <c r="J506" s="1538">
        <v>0</v>
      </c>
      <c r="K506" s="1525"/>
      <c r="L506" s="1519">
        <v>13039010602</v>
      </c>
      <c r="M506" s="1520">
        <v>0</v>
      </c>
      <c r="N506" s="1520">
        <v>0</v>
      </c>
      <c r="O506" s="1520">
        <v>0</v>
      </c>
      <c r="P506" s="504" t="s">
        <v>1506</v>
      </c>
      <c r="Q506" s="287"/>
      <c r="R506" s="168"/>
      <c r="S506" s="380"/>
      <c r="T506" s="473" t="s">
        <v>795</v>
      </c>
      <c r="U506" s="473" t="s">
        <v>839</v>
      </c>
      <c r="AA506" s="27"/>
      <c r="AB506" s="27"/>
      <c r="AC506" s="809"/>
      <c r="AD506" s="481"/>
    </row>
    <row r="507" spans="3:30" ht="10.5" customHeight="1">
      <c r="C507" s="1526" t="s">
        <v>4465</v>
      </c>
      <c r="D507" s="1523" t="s">
        <v>4096</v>
      </c>
      <c r="E507" s="1523" t="s">
        <v>4096</v>
      </c>
      <c r="F507" s="1524">
        <v>0</v>
      </c>
      <c r="G507" s="1537" t="s">
        <v>4465</v>
      </c>
      <c r="H507" s="1521" t="s">
        <v>4096</v>
      </c>
      <c r="I507" s="1521" t="s">
        <v>4096</v>
      </c>
      <c r="J507" s="1538">
        <v>0</v>
      </c>
      <c r="K507" s="1525"/>
      <c r="L507" s="1519">
        <v>13039990000</v>
      </c>
      <c r="M507" s="1520">
        <v>0</v>
      </c>
      <c r="N507" s="1520">
        <v>0</v>
      </c>
      <c r="O507" s="1520">
        <v>0</v>
      </c>
      <c r="P507" s="504" t="s">
        <v>1507</v>
      </c>
      <c r="Q507" s="287"/>
      <c r="R507" s="168"/>
      <c r="S507" s="380"/>
      <c r="T507" s="473" t="s">
        <v>788</v>
      </c>
      <c r="U507" s="473" t="s">
        <v>598</v>
      </c>
      <c r="AA507" s="27"/>
      <c r="AB507" s="27"/>
      <c r="AC507" s="809"/>
      <c r="AD507" s="481"/>
    </row>
    <row r="508" spans="3:30" ht="10.5" customHeight="1">
      <c r="C508" s="1526" t="s">
        <v>4466</v>
      </c>
      <c r="D508" s="1523">
        <v>0</v>
      </c>
      <c r="E508" s="1523">
        <v>0</v>
      </c>
      <c r="F508" s="1524">
        <v>0</v>
      </c>
      <c r="G508" s="1537" t="s">
        <v>4466</v>
      </c>
      <c r="H508" s="1521">
        <v>0</v>
      </c>
      <c r="I508" s="1521">
        <v>0</v>
      </c>
      <c r="J508" s="1538">
        <v>0</v>
      </c>
      <c r="K508" s="1525"/>
      <c r="L508" s="1519">
        <v>13043950100</v>
      </c>
      <c r="M508" s="1520">
        <v>0</v>
      </c>
      <c r="N508" s="1520">
        <v>0</v>
      </c>
      <c r="O508" s="1520">
        <v>0</v>
      </c>
      <c r="P508" s="504" t="s">
        <v>1508</v>
      </c>
      <c r="Q508" s="287"/>
      <c r="R508" s="168"/>
      <c r="S508" s="380"/>
      <c r="T508" s="473" t="s">
        <v>791</v>
      </c>
      <c r="U508" s="473" t="s">
        <v>308</v>
      </c>
      <c r="AA508" s="27"/>
      <c r="AB508" s="27"/>
      <c r="AC508" s="809"/>
      <c r="AD508" s="481"/>
    </row>
    <row r="509" spans="3:30" ht="10.5" customHeight="1">
      <c r="C509" s="1526" t="s">
        <v>4467</v>
      </c>
      <c r="D509" s="1523">
        <v>0</v>
      </c>
      <c r="E509" s="1523">
        <v>0</v>
      </c>
      <c r="F509" s="1524">
        <v>0</v>
      </c>
      <c r="G509" s="1537" t="s">
        <v>4467</v>
      </c>
      <c r="H509" s="1521">
        <v>0</v>
      </c>
      <c r="I509" s="1521">
        <v>0</v>
      </c>
      <c r="J509" s="1538">
        <v>0</v>
      </c>
      <c r="K509" s="1525"/>
      <c r="L509" s="1519">
        <v>13043950200</v>
      </c>
      <c r="M509" s="1520">
        <v>0</v>
      </c>
      <c r="N509" s="1520">
        <v>0</v>
      </c>
      <c r="O509" s="1520">
        <v>0</v>
      </c>
      <c r="P509" s="504" t="s">
        <v>1510</v>
      </c>
      <c r="Q509" s="287"/>
      <c r="R509" s="168"/>
      <c r="S509" s="380"/>
      <c r="T509" s="473" t="s">
        <v>113</v>
      </c>
      <c r="U509" s="473" t="s">
        <v>1917</v>
      </c>
      <c r="AA509" s="27"/>
      <c r="AB509" s="27"/>
      <c r="AC509" s="809"/>
      <c r="AD509" s="481"/>
    </row>
    <row r="510" spans="3:30" ht="10.5" customHeight="1">
      <c r="C510" s="1526" t="s">
        <v>4468</v>
      </c>
      <c r="D510" s="1523">
        <v>0</v>
      </c>
      <c r="E510" s="1523">
        <v>0</v>
      </c>
      <c r="F510" s="1524">
        <v>0</v>
      </c>
      <c r="G510" s="1537" t="s">
        <v>4468</v>
      </c>
      <c r="H510" s="1521">
        <v>0</v>
      </c>
      <c r="I510" s="1521">
        <v>0</v>
      </c>
      <c r="J510" s="1538">
        <v>0</v>
      </c>
      <c r="K510" s="1525"/>
      <c r="L510" s="1519">
        <v>13043950300</v>
      </c>
      <c r="M510" s="1520">
        <v>0</v>
      </c>
      <c r="N510" s="1520">
        <v>0</v>
      </c>
      <c r="O510" s="1520">
        <v>0</v>
      </c>
      <c r="P510" s="504" t="s">
        <v>1512</v>
      </c>
      <c r="Q510" s="287"/>
      <c r="R510" s="168"/>
      <c r="S510" s="380"/>
      <c r="T510" s="473" t="s">
        <v>239</v>
      </c>
      <c r="U510" s="473" t="s">
        <v>1789</v>
      </c>
      <c r="AA510" s="27"/>
      <c r="AB510" s="27"/>
      <c r="AC510" s="809"/>
      <c r="AD510" s="481"/>
    </row>
    <row r="511" spans="3:30" ht="10.5" customHeight="1">
      <c r="C511" s="1526" t="s">
        <v>4469</v>
      </c>
      <c r="D511" s="1523">
        <v>0</v>
      </c>
      <c r="E511" s="1523">
        <v>1</v>
      </c>
      <c r="F511" s="1524">
        <v>1</v>
      </c>
      <c r="G511" s="1537" t="s">
        <v>4469</v>
      </c>
      <c r="H511" s="1521">
        <v>0</v>
      </c>
      <c r="I511" s="1521">
        <v>0</v>
      </c>
      <c r="J511" s="1538">
        <v>0</v>
      </c>
      <c r="K511" s="1525"/>
      <c r="L511" s="1519">
        <v>13045910101</v>
      </c>
      <c r="M511" s="1520">
        <v>0</v>
      </c>
      <c r="N511" s="1520">
        <v>1</v>
      </c>
      <c r="O511" s="1520">
        <v>1</v>
      </c>
      <c r="P511" s="504" t="s">
        <v>1513</v>
      </c>
      <c r="Q511" s="287"/>
      <c r="R511" s="168"/>
      <c r="S511" s="380"/>
      <c r="T511" s="505" t="s">
        <v>1445</v>
      </c>
      <c r="U511" s="505" t="s">
        <v>1916</v>
      </c>
      <c r="AA511" s="27"/>
      <c r="AB511" s="27"/>
      <c r="AC511" s="810"/>
      <c r="AD511" s="481"/>
    </row>
    <row r="512" spans="3:30" ht="10.5" customHeight="1">
      <c r="C512" s="1526" t="s">
        <v>4470</v>
      </c>
      <c r="D512" s="1523">
        <v>1</v>
      </c>
      <c r="E512" s="1523">
        <v>1</v>
      </c>
      <c r="F512" s="1524">
        <v>2</v>
      </c>
      <c r="G512" s="1537" t="s">
        <v>4470</v>
      </c>
      <c r="H512" s="1521">
        <v>1</v>
      </c>
      <c r="I512" s="1521">
        <v>0</v>
      </c>
      <c r="J512" s="1538">
        <v>1</v>
      </c>
      <c r="K512" s="1525"/>
      <c r="L512" s="1519">
        <v>13045910103</v>
      </c>
      <c r="M512" s="1520">
        <v>1</v>
      </c>
      <c r="N512" s="1520">
        <v>1</v>
      </c>
      <c r="O512" s="1520">
        <v>2</v>
      </c>
      <c r="P512" s="504" t="s">
        <v>1515</v>
      </c>
      <c r="Q512" s="287"/>
      <c r="R512" s="168"/>
      <c r="S512" s="380"/>
      <c r="T512" s="473" t="s">
        <v>1448</v>
      </c>
      <c r="U512" s="473" t="s">
        <v>317</v>
      </c>
      <c r="AA512" s="27"/>
      <c r="AB512" s="27"/>
      <c r="AC512" s="809"/>
      <c r="AD512" s="481"/>
    </row>
    <row r="513" spans="3:30" ht="10.5" customHeight="1">
      <c r="C513" s="1526" t="s">
        <v>4471</v>
      </c>
      <c r="D513" s="1523">
        <v>0</v>
      </c>
      <c r="E513" s="1523">
        <v>1</v>
      </c>
      <c r="F513" s="1524">
        <v>1</v>
      </c>
      <c r="G513" s="1537" t="s">
        <v>4471</v>
      </c>
      <c r="H513" s="1521">
        <v>0</v>
      </c>
      <c r="I513" s="1521">
        <v>0</v>
      </c>
      <c r="J513" s="1538">
        <v>0</v>
      </c>
      <c r="K513" s="1525"/>
      <c r="L513" s="1519">
        <v>13045910104</v>
      </c>
      <c r="M513" s="1520">
        <v>0</v>
      </c>
      <c r="N513" s="1520">
        <v>1</v>
      </c>
      <c r="O513" s="1520">
        <v>1</v>
      </c>
      <c r="P513" s="504" t="s">
        <v>362</v>
      </c>
      <c r="Q513" s="287"/>
      <c r="R513" s="168"/>
      <c r="S513" s="380"/>
      <c r="T513" s="473" t="s">
        <v>1450</v>
      </c>
      <c r="U513" s="473" t="s">
        <v>2370</v>
      </c>
      <c r="AA513" s="27"/>
      <c r="AB513" s="27"/>
      <c r="AC513" s="809"/>
      <c r="AD513" s="481"/>
    </row>
    <row r="514" spans="3:30" ht="10.5" customHeight="1">
      <c r="C514" s="1526" t="s">
        <v>4472</v>
      </c>
      <c r="D514" s="1523">
        <v>0</v>
      </c>
      <c r="E514" s="1523">
        <v>0</v>
      </c>
      <c r="F514" s="1524">
        <v>0</v>
      </c>
      <c r="G514" s="1537" t="s">
        <v>4472</v>
      </c>
      <c r="H514" s="1521">
        <v>0</v>
      </c>
      <c r="I514" s="1521">
        <v>0</v>
      </c>
      <c r="J514" s="1538">
        <v>0</v>
      </c>
      <c r="K514" s="1525"/>
      <c r="L514" s="1519">
        <v>13045910200</v>
      </c>
      <c r="M514" s="1520">
        <v>0</v>
      </c>
      <c r="N514" s="1520">
        <v>0</v>
      </c>
      <c r="O514" s="1520">
        <v>0</v>
      </c>
      <c r="P514" s="504" t="s">
        <v>235</v>
      </c>
      <c r="Q514" s="287"/>
      <c r="R514" s="168"/>
      <c r="S514" s="380"/>
      <c r="T514" s="473" t="s">
        <v>463</v>
      </c>
      <c r="U514" s="473" t="s">
        <v>1403</v>
      </c>
      <c r="AA514" s="27"/>
      <c r="AB514" s="27"/>
      <c r="AC514" s="809"/>
      <c r="AD514" s="481"/>
    </row>
    <row r="515" spans="3:30" ht="10.5" customHeight="1">
      <c r="C515" s="1526" t="s">
        <v>4473</v>
      </c>
      <c r="D515" s="1523">
        <v>0</v>
      </c>
      <c r="E515" s="1523">
        <v>1</v>
      </c>
      <c r="F515" s="1524">
        <v>1</v>
      </c>
      <c r="G515" s="1537" t="s">
        <v>4473</v>
      </c>
      <c r="H515" s="1521">
        <v>0</v>
      </c>
      <c r="I515" s="1521">
        <v>0</v>
      </c>
      <c r="J515" s="1538">
        <v>0</v>
      </c>
      <c r="K515" s="1525"/>
      <c r="L515" s="1519">
        <v>13045910300</v>
      </c>
      <c r="M515" s="1520">
        <v>0</v>
      </c>
      <c r="N515" s="1520">
        <v>1</v>
      </c>
      <c r="O515" s="1520">
        <v>1</v>
      </c>
      <c r="P515" s="504" t="s">
        <v>237</v>
      </c>
      <c r="Q515" s="287"/>
      <c r="R515" s="168"/>
      <c r="S515" s="380"/>
      <c r="T515" s="473" t="s">
        <v>1344</v>
      </c>
      <c r="U515" s="473" t="s">
        <v>300</v>
      </c>
      <c r="AA515" s="27"/>
      <c r="AB515" s="27"/>
      <c r="AC515" s="809"/>
      <c r="AD515" s="481"/>
    </row>
    <row r="516" spans="3:30" ht="10.5" customHeight="1">
      <c r="C516" s="1526" t="s">
        <v>4474</v>
      </c>
      <c r="D516" s="1523">
        <v>0</v>
      </c>
      <c r="E516" s="1523">
        <v>0</v>
      </c>
      <c r="F516" s="1524">
        <v>0</v>
      </c>
      <c r="G516" s="1537" t="s">
        <v>4474</v>
      </c>
      <c r="H516" s="1521">
        <v>0</v>
      </c>
      <c r="I516" s="1521" t="s">
        <v>4096</v>
      </c>
      <c r="J516" s="1538">
        <v>0</v>
      </c>
      <c r="K516" s="1525"/>
      <c r="L516" s="1519">
        <v>13045910400</v>
      </c>
      <c r="M516" s="1520">
        <v>0</v>
      </c>
      <c r="N516" s="1520">
        <v>0</v>
      </c>
      <c r="O516" s="1520">
        <v>0</v>
      </c>
      <c r="P516" s="504" t="s">
        <v>11</v>
      </c>
      <c r="Q516" s="287"/>
      <c r="R516" s="168"/>
      <c r="S516" s="380"/>
      <c r="T516" s="473" t="s">
        <v>1346</v>
      </c>
      <c r="U516" s="473" t="s">
        <v>837</v>
      </c>
      <c r="AA516" s="27"/>
      <c r="AB516" s="27"/>
      <c r="AC516" s="809"/>
      <c r="AD516" s="481"/>
    </row>
    <row r="517" spans="3:30" ht="10.5" customHeight="1">
      <c r="C517" s="1526" t="s">
        <v>4475</v>
      </c>
      <c r="D517" s="1523">
        <v>0</v>
      </c>
      <c r="E517" s="1523">
        <v>1</v>
      </c>
      <c r="F517" s="1524">
        <v>1</v>
      </c>
      <c r="G517" s="1537" t="s">
        <v>4475</v>
      </c>
      <c r="H517" s="1521">
        <v>0</v>
      </c>
      <c r="I517" s="1521">
        <v>0</v>
      </c>
      <c r="J517" s="1538">
        <v>0</v>
      </c>
      <c r="K517" s="1525"/>
      <c r="L517" s="1519">
        <v>13045910501</v>
      </c>
      <c r="M517" s="1520">
        <v>0</v>
      </c>
      <c r="N517" s="1520">
        <v>1</v>
      </c>
      <c r="O517" s="1520">
        <v>1</v>
      </c>
      <c r="P517" s="504" t="s">
        <v>1045</v>
      </c>
      <c r="Q517" s="287"/>
      <c r="R517" s="168"/>
      <c r="S517" s="380"/>
      <c r="T517" s="473" t="s">
        <v>168</v>
      </c>
      <c r="U517" s="473" t="s">
        <v>2079</v>
      </c>
      <c r="AA517" s="27"/>
      <c r="AB517" s="27"/>
      <c r="AC517" s="809"/>
      <c r="AD517" s="481"/>
    </row>
    <row r="518" spans="3:30" ht="10.5" customHeight="1">
      <c r="C518" s="1526" t="s">
        <v>4476</v>
      </c>
      <c r="D518" s="1523">
        <v>0</v>
      </c>
      <c r="E518" s="1523">
        <v>0</v>
      </c>
      <c r="F518" s="1524">
        <v>0</v>
      </c>
      <c r="G518" s="1537" t="s">
        <v>4476</v>
      </c>
      <c r="H518" s="1521">
        <v>0</v>
      </c>
      <c r="I518" s="1521">
        <v>0</v>
      </c>
      <c r="J518" s="1538">
        <v>0</v>
      </c>
      <c r="K518" s="1525"/>
      <c r="L518" s="1519">
        <v>13045910502</v>
      </c>
      <c r="M518" s="1520">
        <v>0</v>
      </c>
      <c r="N518" s="1520">
        <v>0</v>
      </c>
      <c r="O518" s="1520">
        <v>0</v>
      </c>
      <c r="P518" s="504" t="s">
        <v>1047</v>
      </c>
      <c r="Q518" s="287"/>
      <c r="R518" s="168"/>
      <c r="S518" s="380"/>
      <c r="T518" s="473" t="s">
        <v>1349</v>
      </c>
      <c r="U518" s="473" t="s">
        <v>1789</v>
      </c>
      <c r="AA518" s="27"/>
      <c r="AB518" s="27"/>
      <c r="AC518" s="809"/>
      <c r="AD518" s="481"/>
    </row>
    <row r="519" spans="3:30" ht="10.5" customHeight="1">
      <c r="C519" s="1526" t="s">
        <v>4477</v>
      </c>
      <c r="D519" s="1523">
        <v>0</v>
      </c>
      <c r="E519" s="1523">
        <v>0</v>
      </c>
      <c r="F519" s="1524">
        <v>0</v>
      </c>
      <c r="G519" s="1537" t="s">
        <v>4477</v>
      </c>
      <c r="H519" s="1521">
        <v>1</v>
      </c>
      <c r="I519" s="1521">
        <v>0</v>
      </c>
      <c r="J519" s="1538">
        <v>1</v>
      </c>
      <c r="K519" s="1525"/>
      <c r="L519" s="1519">
        <v>13045910600</v>
      </c>
      <c r="M519" s="1520">
        <v>1</v>
      </c>
      <c r="N519" s="1520">
        <v>0</v>
      </c>
      <c r="O519" s="1520">
        <v>1</v>
      </c>
      <c r="P519" s="504" t="s">
        <v>1049</v>
      </c>
      <c r="Q519" s="287"/>
      <c r="R519" s="168"/>
      <c r="S519" s="380"/>
      <c r="T519" s="473" t="s">
        <v>1351</v>
      </c>
      <c r="U519" s="473" t="s">
        <v>154</v>
      </c>
      <c r="AA519" s="27"/>
      <c r="AB519" s="27"/>
      <c r="AC519" s="809"/>
      <c r="AD519" s="481"/>
    </row>
    <row r="520" spans="3:30" ht="10.5" customHeight="1">
      <c r="C520" s="1526" t="s">
        <v>4478</v>
      </c>
      <c r="D520" s="1523">
        <v>0</v>
      </c>
      <c r="E520" s="1523">
        <v>1</v>
      </c>
      <c r="F520" s="1524">
        <v>1</v>
      </c>
      <c r="G520" s="1537" t="s">
        <v>4478</v>
      </c>
      <c r="H520" s="1521">
        <v>0</v>
      </c>
      <c r="I520" s="1521">
        <v>0</v>
      </c>
      <c r="J520" s="1538">
        <v>0</v>
      </c>
      <c r="K520" s="1525"/>
      <c r="L520" s="1519">
        <v>13045910701</v>
      </c>
      <c r="M520" s="1520">
        <v>0</v>
      </c>
      <c r="N520" s="1520">
        <v>1</v>
      </c>
      <c r="O520" s="1520">
        <v>1</v>
      </c>
      <c r="P520" s="504" t="s">
        <v>246</v>
      </c>
      <c r="Q520" s="287"/>
      <c r="R520" s="168"/>
      <c r="S520" s="380"/>
      <c r="T520" s="473" t="s">
        <v>2378</v>
      </c>
      <c r="U520" s="473" t="s">
        <v>1819</v>
      </c>
      <c r="AA520" s="27"/>
      <c r="AB520" s="27"/>
      <c r="AC520" s="809"/>
      <c r="AD520" s="481"/>
    </row>
    <row r="521" spans="3:30" ht="10.5" customHeight="1">
      <c r="C521" s="1526" t="s">
        <v>4479</v>
      </c>
      <c r="D521" s="1523">
        <v>1</v>
      </c>
      <c r="E521" s="1523">
        <v>1</v>
      </c>
      <c r="F521" s="1524">
        <v>2</v>
      </c>
      <c r="G521" s="1537" t="s">
        <v>4479</v>
      </c>
      <c r="H521" s="1521">
        <v>0</v>
      </c>
      <c r="I521" s="1521">
        <v>1</v>
      </c>
      <c r="J521" s="1538">
        <v>1</v>
      </c>
      <c r="K521" s="1525"/>
      <c r="L521" s="1519">
        <v>13045910702</v>
      </c>
      <c r="M521" s="1520">
        <v>1</v>
      </c>
      <c r="N521" s="1520">
        <v>1</v>
      </c>
      <c r="O521" s="1520">
        <v>2</v>
      </c>
      <c r="P521" s="504" t="s">
        <v>248</v>
      </c>
      <c r="Q521" s="287"/>
      <c r="R521" s="168"/>
      <c r="S521" s="380"/>
      <c r="T521" s="473" t="s">
        <v>1017</v>
      </c>
      <c r="U521" s="473" t="s">
        <v>2373</v>
      </c>
      <c r="AA521" s="27"/>
      <c r="AB521" s="27"/>
      <c r="AC521" s="809"/>
      <c r="AD521" s="481"/>
    </row>
    <row r="522" spans="3:30" ht="10.5" customHeight="1">
      <c r="C522" s="1526" t="s">
        <v>4480</v>
      </c>
      <c r="D522" s="1523">
        <v>0</v>
      </c>
      <c r="E522" s="1523">
        <v>1</v>
      </c>
      <c r="F522" s="1524">
        <v>1</v>
      </c>
      <c r="G522" s="1537" t="s">
        <v>4480</v>
      </c>
      <c r="H522" s="1521">
        <v>0</v>
      </c>
      <c r="I522" s="1521">
        <v>0</v>
      </c>
      <c r="J522" s="1538">
        <v>0</v>
      </c>
      <c r="K522" s="1525"/>
      <c r="L522" s="1519">
        <v>13045910703</v>
      </c>
      <c r="M522" s="1520">
        <v>0</v>
      </c>
      <c r="N522" s="1520">
        <v>1</v>
      </c>
      <c r="O522" s="1520">
        <v>1</v>
      </c>
      <c r="P522" s="504" t="s">
        <v>1562</v>
      </c>
      <c r="Q522" s="287"/>
      <c r="R522" s="168"/>
      <c r="S522" s="380"/>
      <c r="T522" s="473" t="s">
        <v>1271</v>
      </c>
      <c r="U522" s="473" t="s">
        <v>1270</v>
      </c>
      <c r="AA522" s="27"/>
      <c r="AB522" s="27"/>
      <c r="AC522" s="809"/>
      <c r="AD522" s="481"/>
    </row>
    <row r="523" spans="3:30" ht="10.5" customHeight="1">
      <c r="C523" s="1526" t="s">
        <v>4481</v>
      </c>
      <c r="D523" s="1523">
        <v>0</v>
      </c>
      <c r="E523" s="1523">
        <v>1</v>
      </c>
      <c r="F523" s="1524">
        <v>1</v>
      </c>
      <c r="G523" s="1537" t="s">
        <v>4481</v>
      </c>
      <c r="H523" s="1521">
        <v>0</v>
      </c>
      <c r="I523" s="1521">
        <v>0</v>
      </c>
      <c r="J523" s="1538">
        <v>0</v>
      </c>
      <c r="K523" s="1525"/>
      <c r="L523" s="1519">
        <v>13045910800</v>
      </c>
      <c r="M523" s="1520">
        <v>0</v>
      </c>
      <c r="N523" s="1520">
        <v>1</v>
      </c>
      <c r="O523" s="1520">
        <v>1</v>
      </c>
      <c r="P523" s="504" t="s">
        <v>2219</v>
      </c>
      <c r="Q523" s="287"/>
      <c r="R523" s="168"/>
      <c r="S523" s="380"/>
      <c r="T523" s="473" t="s">
        <v>171</v>
      </c>
      <c r="U523" s="473" t="s">
        <v>2463</v>
      </c>
      <c r="AA523" s="27"/>
      <c r="AB523" s="27"/>
      <c r="AC523" s="809"/>
      <c r="AD523" s="481"/>
    </row>
    <row r="524" spans="3:30" ht="10.5" customHeight="1">
      <c r="C524" s="1526" t="s">
        <v>4482</v>
      </c>
      <c r="D524" s="1523">
        <v>0</v>
      </c>
      <c r="E524" s="1523">
        <v>1</v>
      </c>
      <c r="F524" s="1524">
        <v>1</v>
      </c>
      <c r="G524" s="1537" t="s">
        <v>4482</v>
      </c>
      <c r="H524" s="1521">
        <v>0</v>
      </c>
      <c r="I524" s="1521">
        <v>1</v>
      </c>
      <c r="J524" s="1538">
        <v>1</v>
      </c>
      <c r="K524" s="1525"/>
      <c r="L524" s="1519">
        <v>13045910900</v>
      </c>
      <c r="M524" s="1520">
        <v>0</v>
      </c>
      <c r="N524" s="1520">
        <v>1</v>
      </c>
      <c r="O524" s="1520">
        <v>1</v>
      </c>
      <c r="P524" s="504" t="s">
        <v>461</v>
      </c>
      <c r="Q524" s="287"/>
      <c r="R524" s="168"/>
      <c r="S524" s="380"/>
      <c r="T524" s="473" t="s">
        <v>1509</v>
      </c>
      <c r="U524" s="473" t="s">
        <v>2087</v>
      </c>
      <c r="AA524" s="27"/>
      <c r="AB524" s="27"/>
      <c r="AC524" s="809"/>
      <c r="AD524" s="481"/>
    </row>
    <row r="525" spans="3:30" ht="10.5" customHeight="1">
      <c r="C525" s="1526" t="s">
        <v>4483</v>
      </c>
      <c r="D525" s="1523">
        <v>1</v>
      </c>
      <c r="E525" s="1523">
        <v>1</v>
      </c>
      <c r="F525" s="1524">
        <v>2</v>
      </c>
      <c r="G525" s="1537" t="s">
        <v>4483</v>
      </c>
      <c r="H525" s="1521">
        <v>1</v>
      </c>
      <c r="I525" s="1521">
        <v>1</v>
      </c>
      <c r="J525" s="1538">
        <v>2</v>
      </c>
      <c r="K525" s="1525"/>
      <c r="L525" s="1519">
        <v>13045911000</v>
      </c>
      <c r="M525" s="1520">
        <v>1</v>
      </c>
      <c r="N525" s="1520">
        <v>1</v>
      </c>
      <c r="O525" s="1520">
        <v>2</v>
      </c>
      <c r="P525" s="504" t="s">
        <v>1253</v>
      </c>
      <c r="Q525" s="287"/>
      <c r="R525" s="168"/>
      <c r="S525" s="380"/>
      <c r="T525" s="473" t="s">
        <v>1511</v>
      </c>
      <c r="U525" s="473" t="s">
        <v>1789</v>
      </c>
      <c r="AA525" s="27"/>
      <c r="AB525" s="27"/>
      <c r="AC525" s="809"/>
      <c r="AD525" s="481"/>
    </row>
    <row r="526" spans="3:30" ht="10.5" customHeight="1">
      <c r="C526" s="1526" t="s">
        <v>4484</v>
      </c>
      <c r="D526" s="1523">
        <v>1</v>
      </c>
      <c r="E526" s="1523">
        <v>1</v>
      </c>
      <c r="F526" s="1524">
        <v>2</v>
      </c>
      <c r="G526" s="1537" t="s">
        <v>4484</v>
      </c>
      <c r="H526" s="1521">
        <v>0</v>
      </c>
      <c r="I526" s="1521">
        <v>1</v>
      </c>
      <c r="J526" s="1538">
        <v>1</v>
      </c>
      <c r="K526" s="1525"/>
      <c r="L526" s="1519">
        <v>13045911100</v>
      </c>
      <c r="M526" s="1520">
        <v>1</v>
      </c>
      <c r="N526" s="1520">
        <v>1</v>
      </c>
      <c r="O526" s="1520">
        <v>2</v>
      </c>
      <c r="P526" s="504" t="s">
        <v>617</v>
      </c>
      <c r="Q526" s="287"/>
      <c r="R526" s="168"/>
      <c r="S526" s="380"/>
      <c r="T526" s="473" t="s">
        <v>1514</v>
      </c>
      <c r="U526" s="473" t="s">
        <v>2468</v>
      </c>
      <c r="AA526" s="27"/>
      <c r="AB526" s="27"/>
      <c r="AC526" s="809"/>
      <c r="AD526" s="481"/>
    </row>
    <row r="527" spans="3:30" ht="10.5" customHeight="1">
      <c r="C527" s="1526" t="s">
        <v>4485</v>
      </c>
      <c r="D527" s="1523">
        <v>0</v>
      </c>
      <c r="E527" s="1523">
        <v>0</v>
      </c>
      <c r="F527" s="1524">
        <v>0</v>
      </c>
      <c r="G527" s="1537" t="s">
        <v>4485</v>
      </c>
      <c r="H527" s="1521">
        <v>0</v>
      </c>
      <c r="I527" s="1521">
        <v>0</v>
      </c>
      <c r="J527" s="1538">
        <v>0</v>
      </c>
      <c r="K527" s="1525"/>
      <c r="L527" s="1519">
        <v>13045911200</v>
      </c>
      <c r="M527" s="1520">
        <v>0</v>
      </c>
      <c r="N527" s="1520">
        <v>0</v>
      </c>
      <c r="O527" s="1520">
        <v>0</v>
      </c>
      <c r="P527" s="504" t="s">
        <v>657</v>
      </c>
      <c r="Q527" s="287"/>
      <c r="R527" s="168"/>
      <c r="S527" s="380"/>
      <c r="T527" s="473" t="s">
        <v>361</v>
      </c>
      <c r="U527" s="473" t="s">
        <v>2373</v>
      </c>
      <c r="AA527" s="27"/>
      <c r="AB527" s="27"/>
      <c r="AC527" s="809"/>
      <c r="AD527" s="481"/>
    </row>
    <row r="528" spans="3:30" ht="10.5" customHeight="1">
      <c r="C528" s="1526" t="s">
        <v>4486</v>
      </c>
      <c r="D528" s="1523">
        <v>0</v>
      </c>
      <c r="E528" s="1523">
        <v>0</v>
      </c>
      <c r="F528" s="1524">
        <v>0</v>
      </c>
      <c r="G528" s="1537" t="s">
        <v>4486</v>
      </c>
      <c r="H528" s="1521">
        <v>0</v>
      </c>
      <c r="I528" s="1521">
        <v>0</v>
      </c>
      <c r="J528" s="1538">
        <v>0</v>
      </c>
      <c r="K528" s="1525"/>
      <c r="L528" s="1519">
        <v>13047030100</v>
      </c>
      <c r="M528" s="1520">
        <v>0</v>
      </c>
      <c r="N528" s="1520">
        <v>0</v>
      </c>
      <c r="O528" s="1520">
        <v>0</v>
      </c>
      <c r="P528" s="504" t="s">
        <v>658</v>
      </c>
      <c r="Q528" s="287"/>
      <c r="R528" s="168"/>
      <c r="S528" s="380"/>
      <c r="T528" s="507" t="s">
        <v>363</v>
      </c>
      <c r="U528" s="473" t="s">
        <v>1271</v>
      </c>
      <c r="AA528" s="27"/>
      <c r="AB528" s="27"/>
      <c r="AC528" s="811"/>
      <c r="AD528" s="481"/>
    </row>
    <row r="529" spans="3:30" ht="10.5" customHeight="1">
      <c r="C529" s="1526" t="s">
        <v>4487</v>
      </c>
      <c r="D529" s="1523">
        <v>1</v>
      </c>
      <c r="E529" s="1523">
        <v>0</v>
      </c>
      <c r="F529" s="1524">
        <v>1</v>
      </c>
      <c r="G529" s="1537" t="s">
        <v>4487</v>
      </c>
      <c r="H529" s="1521">
        <v>0</v>
      </c>
      <c r="I529" s="1521">
        <v>0</v>
      </c>
      <c r="J529" s="1538">
        <v>0</v>
      </c>
      <c r="K529" s="1525"/>
      <c r="L529" s="1519">
        <v>13047030201</v>
      </c>
      <c r="M529" s="1520">
        <v>1</v>
      </c>
      <c r="N529" s="1520">
        <v>0</v>
      </c>
      <c r="O529" s="1520">
        <v>1</v>
      </c>
      <c r="P529" s="504" t="s">
        <v>497</v>
      </c>
      <c r="Q529" s="287"/>
      <c r="R529" s="168"/>
      <c r="S529" s="380"/>
      <c r="T529" s="507" t="s">
        <v>236</v>
      </c>
      <c r="U529" s="473" t="s">
        <v>2077</v>
      </c>
      <c r="AA529" s="27"/>
      <c r="AB529" s="27"/>
      <c r="AC529" s="811"/>
      <c r="AD529" s="481"/>
    </row>
    <row r="530" spans="3:30" ht="10.5" customHeight="1">
      <c r="C530" s="1526" t="s">
        <v>4488</v>
      </c>
      <c r="D530" s="1523">
        <v>1</v>
      </c>
      <c r="E530" s="1523">
        <v>1</v>
      </c>
      <c r="F530" s="1524">
        <v>2</v>
      </c>
      <c r="G530" s="1537" t="s">
        <v>4488</v>
      </c>
      <c r="H530" s="1521">
        <v>1</v>
      </c>
      <c r="I530" s="1521">
        <v>1</v>
      </c>
      <c r="J530" s="1538">
        <v>2</v>
      </c>
      <c r="K530" s="1525"/>
      <c r="L530" s="1519">
        <v>13047030202</v>
      </c>
      <c r="M530" s="1520">
        <v>1</v>
      </c>
      <c r="N530" s="1520">
        <v>1</v>
      </c>
      <c r="O530" s="1520">
        <v>2</v>
      </c>
      <c r="P530" s="504" t="s">
        <v>499</v>
      </c>
      <c r="Q530" s="287"/>
      <c r="R530" s="168"/>
      <c r="S530" s="380"/>
      <c r="T530" s="473" t="s">
        <v>1541</v>
      </c>
      <c r="U530" s="473" t="s">
        <v>2409</v>
      </c>
      <c r="AA530" s="27"/>
      <c r="AB530" s="27"/>
      <c r="AC530" s="809"/>
      <c r="AD530" s="481"/>
    </row>
    <row r="531" spans="3:30" ht="10.5" customHeight="1">
      <c r="C531" s="1526" t="s">
        <v>4489</v>
      </c>
      <c r="D531" s="1523">
        <v>1</v>
      </c>
      <c r="E531" s="1523">
        <v>1</v>
      </c>
      <c r="F531" s="1524">
        <v>2</v>
      </c>
      <c r="G531" s="1537" t="s">
        <v>4489</v>
      </c>
      <c r="H531" s="1521">
        <v>1</v>
      </c>
      <c r="I531" s="1521">
        <v>1</v>
      </c>
      <c r="J531" s="1538">
        <v>2</v>
      </c>
      <c r="K531" s="1525"/>
      <c r="L531" s="1519">
        <v>13047030301</v>
      </c>
      <c r="M531" s="1520">
        <v>1</v>
      </c>
      <c r="N531" s="1520">
        <v>1</v>
      </c>
      <c r="O531" s="1520">
        <v>2</v>
      </c>
      <c r="P531" s="504" t="s">
        <v>501</v>
      </c>
      <c r="Q531" s="287"/>
      <c r="R531" s="168"/>
      <c r="S531" s="380"/>
      <c r="T531" s="473" t="s">
        <v>2656</v>
      </c>
      <c r="U531" s="473" t="s">
        <v>317</v>
      </c>
      <c r="AA531" s="27"/>
      <c r="AB531" s="27"/>
      <c r="AC531" s="809"/>
      <c r="AD531" s="481"/>
    </row>
    <row r="532" spans="3:30" ht="10.5" customHeight="1">
      <c r="C532" s="1526" t="s">
        <v>4490</v>
      </c>
      <c r="D532" s="1523">
        <v>1</v>
      </c>
      <c r="E532" s="1523">
        <v>1</v>
      </c>
      <c r="F532" s="1524">
        <v>2</v>
      </c>
      <c r="G532" s="1537" t="s">
        <v>4490</v>
      </c>
      <c r="H532" s="1521">
        <v>1</v>
      </c>
      <c r="I532" s="1521">
        <v>0</v>
      </c>
      <c r="J532" s="1538">
        <v>1</v>
      </c>
      <c r="K532" s="1525"/>
      <c r="L532" s="1519">
        <v>13047030303</v>
      </c>
      <c r="M532" s="1520">
        <v>1</v>
      </c>
      <c r="N532" s="1520">
        <v>1</v>
      </c>
      <c r="O532" s="1520">
        <v>2</v>
      </c>
      <c r="P532" s="504" t="s">
        <v>503</v>
      </c>
      <c r="Q532" s="287"/>
      <c r="R532" s="168"/>
      <c r="S532" s="380"/>
      <c r="T532" s="473" t="s">
        <v>1046</v>
      </c>
      <c r="U532" s="473" t="s">
        <v>2470</v>
      </c>
      <c r="AA532" s="27"/>
      <c r="AB532" s="27"/>
      <c r="AC532" s="809"/>
      <c r="AD532" s="481"/>
    </row>
    <row r="533" spans="3:30" ht="10.5" customHeight="1">
      <c r="C533" s="1526" t="s">
        <v>4491</v>
      </c>
      <c r="D533" s="1523">
        <v>1</v>
      </c>
      <c r="E533" s="1523">
        <v>1</v>
      </c>
      <c r="F533" s="1524">
        <v>2</v>
      </c>
      <c r="G533" s="1537" t="s">
        <v>4491</v>
      </c>
      <c r="H533" s="1521">
        <v>1</v>
      </c>
      <c r="I533" s="1521">
        <v>1</v>
      </c>
      <c r="J533" s="1538">
        <v>2</v>
      </c>
      <c r="K533" s="1525"/>
      <c r="L533" s="1519">
        <v>13047030304</v>
      </c>
      <c r="M533" s="1520">
        <v>1</v>
      </c>
      <c r="N533" s="1520">
        <v>1</v>
      </c>
      <c r="O533" s="1520">
        <v>2</v>
      </c>
      <c r="P533" s="504" t="s">
        <v>515</v>
      </c>
      <c r="Q533" s="287"/>
      <c r="R533" s="168"/>
      <c r="S533" s="380"/>
      <c r="T533" s="473" t="s">
        <v>1048</v>
      </c>
      <c r="U533" s="473" t="s">
        <v>1261</v>
      </c>
      <c r="AA533" s="27"/>
      <c r="AB533" s="27"/>
      <c r="AC533" s="809"/>
      <c r="AD533" s="481"/>
    </row>
    <row r="534" spans="3:30" ht="10.5" customHeight="1">
      <c r="C534" s="1526" t="s">
        <v>4492</v>
      </c>
      <c r="D534" s="1523">
        <v>1</v>
      </c>
      <c r="E534" s="1523">
        <v>1</v>
      </c>
      <c r="F534" s="1524">
        <v>2</v>
      </c>
      <c r="G534" s="1537" t="s">
        <v>4492</v>
      </c>
      <c r="H534" s="1521">
        <v>1</v>
      </c>
      <c r="I534" s="1521">
        <v>1</v>
      </c>
      <c r="J534" s="1538">
        <v>2</v>
      </c>
      <c r="K534" s="1525"/>
      <c r="L534" s="1519">
        <v>13047030401</v>
      </c>
      <c r="M534" s="1520">
        <v>1</v>
      </c>
      <c r="N534" s="1520">
        <v>1</v>
      </c>
      <c r="O534" s="1520">
        <v>2</v>
      </c>
      <c r="P534" s="504" t="s">
        <v>517</v>
      </c>
      <c r="Q534" s="287"/>
      <c r="R534" s="168"/>
      <c r="S534" s="380"/>
      <c r="T534" s="505" t="s">
        <v>1050</v>
      </c>
      <c r="U534" s="505" t="s">
        <v>625</v>
      </c>
      <c r="AA534" s="27"/>
      <c r="AB534" s="27"/>
      <c r="AC534" s="810"/>
      <c r="AD534" s="481"/>
    </row>
    <row r="535" spans="3:30" ht="10.5" customHeight="1">
      <c r="C535" s="1526" t="s">
        <v>4493</v>
      </c>
      <c r="D535" s="1523">
        <v>0</v>
      </c>
      <c r="E535" s="1523">
        <v>0</v>
      </c>
      <c r="F535" s="1524">
        <v>0</v>
      </c>
      <c r="G535" s="1537" t="s">
        <v>4493</v>
      </c>
      <c r="H535" s="1521">
        <v>1</v>
      </c>
      <c r="I535" s="1521">
        <v>0</v>
      </c>
      <c r="J535" s="1538">
        <v>0</v>
      </c>
      <c r="K535" s="1525"/>
      <c r="L535" s="1519">
        <v>13047030402</v>
      </c>
      <c r="M535" s="1520">
        <v>1</v>
      </c>
      <c r="N535" s="1520">
        <v>0</v>
      </c>
      <c r="O535" s="1520">
        <v>0</v>
      </c>
      <c r="P535" s="504" t="s">
        <v>685</v>
      </c>
      <c r="Q535" s="287"/>
      <c r="R535" s="168"/>
      <c r="S535" s="380"/>
      <c r="T535" s="473" t="s">
        <v>247</v>
      </c>
      <c r="U535" s="473" t="s">
        <v>308</v>
      </c>
      <c r="AA535" s="27"/>
      <c r="AB535" s="27"/>
      <c r="AC535" s="809"/>
      <c r="AD535" s="481"/>
    </row>
    <row r="536" spans="3:30" ht="10.5" customHeight="1">
      <c r="C536" s="1526" t="s">
        <v>4494</v>
      </c>
      <c r="D536" s="1523">
        <v>1</v>
      </c>
      <c r="E536" s="1523">
        <v>0</v>
      </c>
      <c r="F536" s="1524">
        <v>1</v>
      </c>
      <c r="G536" s="1537" t="s">
        <v>4494</v>
      </c>
      <c r="H536" s="1521">
        <v>0</v>
      </c>
      <c r="I536" s="1521">
        <v>0</v>
      </c>
      <c r="J536" s="1538">
        <v>0</v>
      </c>
      <c r="K536" s="1525"/>
      <c r="L536" s="1519">
        <v>13047030500</v>
      </c>
      <c r="M536" s="1520">
        <v>1</v>
      </c>
      <c r="N536" s="1520">
        <v>0</v>
      </c>
      <c r="O536" s="1520">
        <v>1</v>
      </c>
      <c r="P536" s="504" t="s">
        <v>558</v>
      </c>
      <c r="Q536" s="287"/>
      <c r="R536" s="168"/>
      <c r="S536" s="380"/>
      <c r="T536" s="473" t="s">
        <v>249</v>
      </c>
      <c r="U536" s="473" t="s">
        <v>2288</v>
      </c>
      <c r="AA536" s="27"/>
      <c r="AB536" s="27"/>
      <c r="AC536" s="809"/>
      <c r="AD536" s="481"/>
    </row>
    <row r="537" spans="3:30" ht="10.5" customHeight="1">
      <c r="C537" s="1526" t="s">
        <v>4495</v>
      </c>
      <c r="D537" s="1523">
        <v>0</v>
      </c>
      <c r="E537" s="1523">
        <v>0</v>
      </c>
      <c r="F537" s="1524">
        <v>0</v>
      </c>
      <c r="G537" s="1537" t="s">
        <v>4495</v>
      </c>
      <c r="H537" s="1521">
        <v>1</v>
      </c>
      <c r="I537" s="1521">
        <v>0</v>
      </c>
      <c r="J537" s="1538">
        <v>1</v>
      </c>
      <c r="K537" s="1525"/>
      <c r="L537" s="1519">
        <v>13047030600</v>
      </c>
      <c r="M537" s="1520">
        <v>1</v>
      </c>
      <c r="N537" s="1520">
        <v>0</v>
      </c>
      <c r="O537" s="1520">
        <v>1</v>
      </c>
      <c r="P537" s="504" t="s">
        <v>559</v>
      </c>
      <c r="Q537" s="287"/>
      <c r="R537" s="168"/>
      <c r="S537" s="380"/>
      <c r="T537" s="505" t="s">
        <v>3491</v>
      </c>
      <c r="U537" s="505" t="s">
        <v>837</v>
      </c>
      <c r="AA537" s="27"/>
      <c r="AB537" s="27"/>
      <c r="AC537" s="810"/>
      <c r="AD537" s="481"/>
    </row>
    <row r="538" spans="3:30" ht="10.5" customHeight="1">
      <c r="C538" s="1526" t="s">
        <v>4496</v>
      </c>
      <c r="D538" s="1523">
        <v>0</v>
      </c>
      <c r="E538" s="1523">
        <v>0</v>
      </c>
      <c r="F538" s="1524">
        <v>0</v>
      </c>
      <c r="G538" s="1537" t="s">
        <v>4496</v>
      </c>
      <c r="H538" s="1521">
        <v>0</v>
      </c>
      <c r="I538" s="1521">
        <v>0</v>
      </c>
      <c r="J538" s="1538">
        <v>0</v>
      </c>
      <c r="K538" s="1525"/>
      <c r="L538" s="1519">
        <v>13047030700</v>
      </c>
      <c r="M538" s="1520">
        <v>0</v>
      </c>
      <c r="N538" s="1520">
        <v>0</v>
      </c>
      <c r="O538" s="1520">
        <v>0</v>
      </c>
      <c r="P538" s="504" t="s">
        <v>1984</v>
      </c>
      <c r="Q538" s="287"/>
      <c r="R538" s="168"/>
      <c r="S538" s="380"/>
      <c r="T538" s="473" t="s">
        <v>2220</v>
      </c>
      <c r="U538" s="473" t="s">
        <v>1056</v>
      </c>
      <c r="AA538" s="27"/>
      <c r="AB538" s="27"/>
      <c r="AC538" s="809"/>
      <c r="AD538" s="481"/>
    </row>
    <row r="539" spans="3:30" ht="10.5" customHeight="1">
      <c r="C539" s="1526" t="s">
        <v>4497</v>
      </c>
      <c r="D539" s="1523">
        <v>0</v>
      </c>
      <c r="E539" s="1523">
        <v>0</v>
      </c>
      <c r="F539" s="1524">
        <v>0</v>
      </c>
      <c r="G539" s="1537" t="s">
        <v>4497</v>
      </c>
      <c r="H539" s="1521">
        <v>0</v>
      </c>
      <c r="I539" s="1521">
        <v>0</v>
      </c>
      <c r="J539" s="1538">
        <v>0</v>
      </c>
      <c r="K539" s="1525"/>
      <c r="L539" s="1519">
        <v>13049010100</v>
      </c>
      <c r="M539" s="1520">
        <v>0</v>
      </c>
      <c r="N539" s="1520">
        <v>0</v>
      </c>
      <c r="O539" s="1520">
        <v>0</v>
      </c>
      <c r="P539" s="504" t="s">
        <v>444</v>
      </c>
      <c r="Q539" s="287"/>
      <c r="R539" s="168"/>
      <c r="S539" s="380"/>
      <c r="T539" s="473" t="s">
        <v>462</v>
      </c>
      <c r="U539" s="473" t="s">
        <v>1593</v>
      </c>
      <c r="AA539" s="27"/>
      <c r="AB539" s="27"/>
      <c r="AC539" s="809"/>
      <c r="AD539" s="481"/>
    </row>
    <row r="540" spans="3:30" ht="10.5" customHeight="1">
      <c r="C540" s="1526" t="s">
        <v>4498</v>
      </c>
      <c r="D540" s="1523">
        <v>0</v>
      </c>
      <c r="E540" s="1523">
        <v>0</v>
      </c>
      <c r="F540" s="1524">
        <v>0</v>
      </c>
      <c r="G540" s="1537" t="s">
        <v>4498</v>
      </c>
      <c r="H540" s="1521">
        <v>0</v>
      </c>
      <c r="I540" s="1521">
        <v>0</v>
      </c>
      <c r="J540" s="1538">
        <v>0</v>
      </c>
      <c r="K540" s="1525"/>
      <c r="L540" s="1519">
        <v>13049010200</v>
      </c>
      <c r="M540" s="1520">
        <v>0</v>
      </c>
      <c r="N540" s="1520">
        <v>0</v>
      </c>
      <c r="O540" s="1520">
        <v>0</v>
      </c>
      <c r="P540" s="504" t="s">
        <v>445</v>
      </c>
      <c r="Q540" s="287"/>
      <c r="R540" s="168"/>
      <c r="S540" s="380"/>
      <c r="T540" s="473" t="s">
        <v>2657</v>
      </c>
      <c r="U540" s="473" t="s">
        <v>2087</v>
      </c>
      <c r="AA540" s="27"/>
      <c r="AB540" s="27"/>
      <c r="AC540" s="809"/>
      <c r="AD540" s="481"/>
    </row>
    <row r="541" spans="3:30" ht="10.5" customHeight="1">
      <c r="C541" s="1526" t="s">
        <v>4499</v>
      </c>
      <c r="D541" s="1523">
        <v>0</v>
      </c>
      <c r="E541" s="1523">
        <v>0</v>
      </c>
      <c r="F541" s="1524">
        <v>0</v>
      </c>
      <c r="G541" s="1537" t="s">
        <v>4499</v>
      </c>
      <c r="H541" s="1521">
        <v>0</v>
      </c>
      <c r="I541" s="1521" t="s">
        <v>4096</v>
      </c>
      <c r="J541" s="1538">
        <v>0</v>
      </c>
      <c r="K541" s="1525"/>
      <c r="L541" s="1519">
        <v>13051000100</v>
      </c>
      <c r="M541" s="1520">
        <v>0</v>
      </c>
      <c r="N541" s="1520">
        <v>0</v>
      </c>
      <c r="O541" s="1520">
        <v>0</v>
      </c>
      <c r="P541" s="504" t="s">
        <v>1216</v>
      </c>
      <c r="Q541" s="287"/>
      <c r="R541" s="168"/>
      <c r="S541" s="380"/>
      <c r="T541" s="473" t="s">
        <v>656</v>
      </c>
      <c r="U541" s="473" t="s">
        <v>154</v>
      </c>
      <c r="AA541" s="27"/>
      <c r="AB541" s="27"/>
      <c r="AC541" s="809"/>
      <c r="AD541" s="481"/>
    </row>
    <row r="542" spans="3:30" ht="10.5" customHeight="1">
      <c r="C542" s="1526" t="s">
        <v>4500</v>
      </c>
      <c r="D542" s="1523">
        <v>1</v>
      </c>
      <c r="E542" s="1523">
        <v>1</v>
      </c>
      <c r="F542" s="1524">
        <v>2</v>
      </c>
      <c r="G542" s="1537" t="s">
        <v>4500</v>
      </c>
      <c r="H542" s="1521">
        <v>1</v>
      </c>
      <c r="I542" s="1521">
        <v>1</v>
      </c>
      <c r="J542" s="1538">
        <v>2</v>
      </c>
      <c r="K542" s="1525"/>
      <c r="L542" s="1519">
        <v>13051000300</v>
      </c>
      <c r="M542" s="1520">
        <v>1</v>
      </c>
      <c r="N542" s="1520">
        <v>1</v>
      </c>
      <c r="O542" s="1520">
        <v>2</v>
      </c>
      <c r="P542" s="504" t="s">
        <v>955</v>
      </c>
      <c r="Q542" s="287"/>
      <c r="R542" s="168"/>
      <c r="S542" s="380"/>
      <c r="T542" s="473" t="s">
        <v>496</v>
      </c>
      <c r="U542" s="473" t="s">
        <v>701</v>
      </c>
      <c r="AA542" s="27"/>
      <c r="AB542" s="27"/>
      <c r="AC542" s="809"/>
      <c r="AD542" s="481"/>
    </row>
    <row r="543" spans="3:30" ht="10.5" customHeight="1">
      <c r="C543" s="1526" t="s">
        <v>4501</v>
      </c>
      <c r="D543" s="1523">
        <v>0</v>
      </c>
      <c r="E543" s="1523">
        <v>0</v>
      </c>
      <c r="F543" s="1524">
        <v>0</v>
      </c>
      <c r="G543" s="1537" t="s">
        <v>4501</v>
      </c>
      <c r="H543" s="1521">
        <v>0</v>
      </c>
      <c r="I543" s="1521">
        <v>0</v>
      </c>
      <c r="J543" s="1538">
        <v>0</v>
      </c>
      <c r="K543" s="1525"/>
      <c r="L543" s="1519">
        <v>13051000601</v>
      </c>
      <c r="M543" s="1520">
        <v>0</v>
      </c>
      <c r="N543" s="1520">
        <v>0</v>
      </c>
      <c r="O543" s="1520">
        <v>0</v>
      </c>
      <c r="P543" s="504" t="s">
        <v>957</v>
      </c>
      <c r="Q543" s="287"/>
      <c r="R543" s="168"/>
      <c r="S543" s="380"/>
      <c r="T543" s="473" t="s">
        <v>498</v>
      </c>
      <c r="U543" s="473" t="s">
        <v>1280</v>
      </c>
      <c r="AA543" s="27"/>
      <c r="AB543" s="27"/>
      <c r="AC543" s="809"/>
      <c r="AD543" s="481"/>
    </row>
    <row r="544" spans="3:30" ht="10.5" customHeight="1">
      <c r="C544" s="1526" t="s">
        <v>4502</v>
      </c>
      <c r="D544" s="1523">
        <v>0</v>
      </c>
      <c r="E544" s="1523">
        <v>0</v>
      </c>
      <c r="F544" s="1524">
        <v>0</v>
      </c>
      <c r="G544" s="1537" t="s">
        <v>4502</v>
      </c>
      <c r="H544" s="1521">
        <v>0</v>
      </c>
      <c r="I544" s="1521">
        <v>1</v>
      </c>
      <c r="J544" s="1538">
        <v>1</v>
      </c>
      <c r="K544" s="1525"/>
      <c r="L544" s="1519">
        <v>13051000900</v>
      </c>
      <c r="M544" s="1520">
        <v>0</v>
      </c>
      <c r="N544" s="1520">
        <v>1</v>
      </c>
      <c r="O544" s="1520">
        <v>1</v>
      </c>
      <c r="P544" s="504" t="s">
        <v>958</v>
      </c>
      <c r="Q544" s="287"/>
      <c r="R544" s="168"/>
      <c r="S544" s="380"/>
      <c r="T544" s="473" t="s">
        <v>500</v>
      </c>
      <c r="U544" s="473" t="s">
        <v>1400</v>
      </c>
      <c r="AA544" s="27"/>
      <c r="AB544" s="27"/>
      <c r="AC544" s="809"/>
      <c r="AD544" s="481"/>
    </row>
    <row r="545" spans="3:30" ht="10.5" customHeight="1">
      <c r="C545" s="1526" t="s">
        <v>4503</v>
      </c>
      <c r="D545" s="1523">
        <v>0</v>
      </c>
      <c r="E545" s="1523">
        <v>0</v>
      </c>
      <c r="F545" s="1524">
        <v>0</v>
      </c>
      <c r="G545" s="1537" t="s">
        <v>4503</v>
      </c>
      <c r="H545" s="1521">
        <v>0</v>
      </c>
      <c r="I545" s="1521">
        <v>0</v>
      </c>
      <c r="J545" s="1538">
        <v>0</v>
      </c>
      <c r="K545" s="1525"/>
      <c r="L545" s="1519">
        <v>13051001100</v>
      </c>
      <c r="M545" s="1520">
        <v>0</v>
      </c>
      <c r="N545" s="1520">
        <v>0</v>
      </c>
      <c r="O545" s="1520">
        <v>0</v>
      </c>
      <c r="P545" s="504" t="s">
        <v>132</v>
      </c>
      <c r="Q545" s="287"/>
      <c r="R545" s="168"/>
      <c r="S545" s="380"/>
      <c r="T545" s="473" t="s">
        <v>502</v>
      </c>
      <c r="U545" s="473" t="s">
        <v>837</v>
      </c>
      <c r="AA545" s="27"/>
      <c r="AB545" s="27"/>
      <c r="AC545" s="809"/>
      <c r="AD545" s="481"/>
    </row>
    <row r="546" spans="3:30" ht="10.5" customHeight="1">
      <c r="C546" s="1526" t="s">
        <v>4504</v>
      </c>
      <c r="D546" s="1523">
        <v>0</v>
      </c>
      <c r="E546" s="1523">
        <v>0</v>
      </c>
      <c r="F546" s="1524">
        <v>0</v>
      </c>
      <c r="G546" s="1537" t="s">
        <v>4504</v>
      </c>
      <c r="H546" s="1521">
        <v>0</v>
      </c>
      <c r="I546" s="1521">
        <v>0</v>
      </c>
      <c r="J546" s="1538">
        <v>0</v>
      </c>
      <c r="K546" s="1525"/>
      <c r="L546" s="1519">
        <v>13051001200</v>
      </c>
      <c r="M546" s="1520">
        <v>0</v>
      </c>
      <c r="N546" s="1520">
        <v>0</v>
      </c>
      <c r="O546" s="1520">
        <v>0</v>
      </c>
      <c r="P546" s="504" t="s">
        <v>133</v>
      </c>
      <c r="Q546" s="287"/>
      <c r="R546" s="168"/>
      <c r="S546" s="380"/>
      <c r="T546" s="473" t="s">
        <v>504</v>
      </c>
      <c r="U546" s="473" t="s">
        <v>1703</v>
      </c>
      <c r="AA546" s="27"/>
      <c r="AB546" s="27"/>
      <c r="AC546" s="809"/>
      <c r="AD546" s="481"/>
    </row>
    <row r="547" spans="3:30" ht="10.5" customHeight="1">
      <c r="C547" s="1526" t="s">
        <v>4505</v>
      </c>
      <c r="D547" s="1523">
        <v>0</v>
      </c>
      <c r="E547" s="1523">
        <v>0</v>
      </c>
      <c r="F547" s="1524">
        <v>0</v>
      </c>
      <c r="G547" s="1537" t="s">
        <v>4505</v>
      </c>
      <c r="H547" s="1521">
        <v>0</v>
      </c>
      <c r="I547" s="1521" t="s">
        <v>4096</v>
      </c>
      <c r="J547" s="1538">
        <v>0</v>
      </c>
      <c r="K547" s="1525"/>
      <c r="L547" s="1519">
        <v>13051001500</v>
      </c>
      <c r="M547" s="1520">
        <v>0</v>
      </c>
      <c r="N547" s="1520">
        <v>0</v>
      </c>
      <c r="O547" s="1520">
        <v>0</v>
      </c>
      <c r="P547" s="504" t="s">
        <v>135</v>
      </c>
      <c r="Q547" s="287"/>
      <c r="R547" s="168"/>
      <c r="S547" s="380"/>
      <c r="T547" s="473" t="s">
        <v>516</v>
      </c>
      <c r="U547" s="473" t="s">
        <v>319</v>
      </c>
      <c r="AA547" s="27"/>
      <c r="AB547" s="27"/>
      <c r="AC547" s="809"/>
      <c r="AD547" s="481"/>
    </row>
    <row r="548" spans="3:30" ht="10.5" customHeight="1">
      <c r="C548" s="1526" t="s">
        <v>4506</v>
      </c>
      <c r="D548" s="1523">
        <v>0</v>
      </c>
      <c r="E548" s="1523">
        <v>0</v>
      </c>
      <c r="F548" s="1524">
        <v>0</v>
      </c>
      <c r="G548" s="1537" t="s">
        <v>4506</v>
      </c>
      <c r="H548" s="1521">
        <v>0</v>
      </c>
      <c r="I548" s="1521">
        <v>0</v>
      </c>
      <c r="J548" s="1538">
        <v>0</v>
      </c>
      <c r="K548" s="1525"/>
      <c r="L548" s="1519">
        <v>13051002000</v>
      </c>
      <c r="M548" s="1520">
        <v>0</v>
      </c>
      <c r="N548" s="1520">
        <v>0</v>
      </c>
      <c r="O548" s="1520">
        <v>0</v>
      </c>
      <c r="P548" s="504" t="s">
        <v>2473</v>
      </c>
      <c r="Q548" s="287"/>
      <c r="R548" s="168"/>
      <c r="S548" s="380"/>
      <c r="T548" s="473" t="s">
        <v>518</v>
      </c>
      <c r="U548" s="473" t="s">
        <v>410</v>
      </c>
      <c r="AA548" s="27"/>
      <c r="AB548" s="27"/>
      <c r="AC548" s="809"/>
      <c r="AD548" s="481"/>
    </row>
    <row r="549" spans="3:30" ht="10.5" customHeight="1">
      <c r="C549" s="1526" t="s">
        <v>4507</v>
      </c>
      <c r="D549" s="1523">
        <v>0</v>
      </c>
      <c r="E549" s="1523">
        <v>0</v>
      </c>
      <c r="F549" s="1524">
        <v>0</v>
      </c>
      <c r="G549" s="1537" t="s">
        <v>4507</v>
      </c>
      <c r="H549" s="1521">
        <v>0</v>
      </c>
      <c r="I549" s="1521">
        <v>0</v>
      </c>
      <c r="J549" s="1538">
        <v>0</v>
      </c>
      <c r="K549" s="1525"/>
      <c r="L549" s="1519">
        <v>13051002100</v>
      </c>
      <c r="M549" s="1520">
        <v>0</v>
      </c>
      <c r="N549" s="1520">
        <v>0</v>
      </c>
      <c r="O549" s="1520">
        <v>0</v>
      </c>
      <c r="P549" s="504" t="s">
        <v>2001</v>
      </c>
      <c r="Q549" s="287"/>
      <c r="R549" s="168"/>
      <c r="S549" s="380"/>
      <c r="T549" s="505" t="s">
        <v>662</v>
      </c>
      <c r="U549" s="505" t="s">
        <v>1160</v>
      </c>
      <c r="AA549" s="27"/>
      <c r="AB549" s="27"/>
      <c r="AC549" s="810"/>
      <c r="AD549" s="481"/>
    </row>
    <row r="550" spans="3:30" ht="10.5" customHeight="1">
      <c r="C550" s="1526" t="s">
        <v>4508</v>
      </c>
      <c r="D550" s="1523">
        <v>0</v>
      </c>
      <c r="E550" s="1523">
        <v>0</v>
      </c>
      <c r="F550" s="1524">
        <v>0</v>
      </c>
      <c r="G550" s="1537" t="s">
        <v>4508</v>
      </c>
      <c r="H550" s="1521">
        <v>0</v>
      </c>
      <c r="I550" s="1521">
        <v>0</v>
      </c>
      <c r="J550" s="1538">
        <v>0</v>
      </c>
      <c r="K550" s="1525"/>
      <c r="L550" s="1519">
        <v>13051002200</v>
      </c>
      <c r="M550" s="1520">
        <v>0</v>
      </c>
      <c r="N550" s="1520">
        <v>0</v>
      </c>
      <c r="O550" s="1520">
        <v>0</v>
      </c>
      <c r="P550" s="504" t="s">
        <v>2003</v>
      </c>
      <c r="Q550" s="287"/>
      <c r="R550" s="168"/>
      <c r="S550" s="380"/>
      <c r="T550" s="473" t="s">
        <v>796</v>
      </c>
      <c r="U550" s="473" t="s">
        <v>625</v>
      </c>
      <c r="AA550" s="27"/>
      <c r="AB550" s="27"/>
      <c r="AC550" s="809"/>
      <c r="AD550" s="481"/>
    </row>
    <row r="551" spans="3:30" ht="10.5" customHeight="1">
      <c r="C551" s="1526" t="s">
        <v>4509</v>
      </c>
      <c r="D551" s="1523">
        <v>0</v>
      </c>
      <c r="E551" s="1523">
        <v>0</v>
      </c>
      <c r="F551" s="1524">
        <v>0</v>
      </c>
      <c r="G551" s="1537" t="s">
        <v>4509</v>
      </c>
      <c r="H551" s="1521">
        <v>0</v>
      </c>
      <c r="I551" s="1521">
        <v>0</v>
      </c>
      <c r="J551" s="1538">
        <v>0</v>
      </c>
      <c r="K551" s="1525"/>
      <c r="L551" s="1519">
        <v>13051002300</v>
      </c>
      <c r="M551" s="1520">
        <v>0</v>
      </c>
      <c r="N551" s="1520">
        <v>0</v>
      </c>
      <c r="O551" s="1520">
        <v>0</v>
      </c>
      <c r="P551" s="504" t="s">
        <v>560</v>
      </c>
      <c r="Q551" s="287"/>
      <c r="R551" s="168"/>
      <c r="S551" s="380"/>
      <c r="T551" s="473" t="s">
        <v>1567</v>
      </c>
      <c r="U551" s="473" t="s">
        <v>634</v>
      </c>
      <c r="AA551" s="27"/>
      <c r="AB551" s="27"/>
      <c r="AC551" s="809"/>
      <c r="AD551" s="481"/>
    </row>
    <row r="552" spans="3:30" ht="10.5" customHeight="1">
      <c r="C552" s="1526" t="s">
        <v>4510</v>
      </c>
      <c r="D552" s="1523">
        <v>0</v>
      </c>
      <c r="E552" s="1523">
        <v>0</v>
      </c>
      <c r="F552" s="1524">
        <v>0</v>
      </c>
      <c r="G552" s="1537" t="s">
        <v>4510</v>
      </c>
      <c r="H552" s="1521">
        <v>0</v>
      </c>
      <c r="I552" s="1521" t="s">
        <v>4096</v>
      </c>
      <c r="J552" s="1538">
        <v>0</v>
      </c>
      <c r="K552" s="1525"/>
      <c r="L552" s="1519">
        <v>13051002600</v>
      </c>
      <c r="M552" s="1520">
        <v>0</v>
      </c>
      <c r="N552" s="1520">
        <v>0</v>
      </c>
      <c r="O552" s="1520">
        <v>0</v>
      </c>
      <c r="P552" s="504" t="s">
        <v>2237</v>
      </c>
      <c r="Q552" s="287"/>
      <c r="R552" s="168"/>
      <c r="S552" s="380"/>
      <c r="T552" s="473" t="s">
        <v>1985</v>
      </c>
      <c r="U552" s="473" t="s">
        <v>1056</v>
      </c>
      <c r="AA552" s="27"/>
      <c r="AB552" s="27"/>
      <c r="AC552" s="809"/>
      <c r="AD552" s="481"/>
    </row>
    <row r="553" spans="3:30" ht="10.5" customHeight="1">
      <c r="C553" s="1526" t="s">
        <v>4511</v>
      </c>
      <c r="D553" s="1523">
        <v>0</v>
      </c>
      <c r="E553" s="1523">
        <v>0</v>
      </c>
      <c r="F553" s="1524">
        <v>0</v>
      </c>
      <c r="G553" s="1537" t="s">
        <v>4511</v>
      </c>
      <c r="H553" s="1521">
        <v>0</v>
      </c>
      <c r="I553" s="1521">
        <v>0</v>
      </c>
      <c r="J553" s="1538">
        <v>0</v>
      </c>
      <c r="K553" s="1525"/>
      <c r="L553" s="1519">
        <v>13051002700</v>
      </c>
      <c r="M553" s="1520">
        <v>0</v>
      </c>
      <c r="N553" s="1520">
        <v>0</v>
      </c>
      <c r="O553" s="1520">
        <v>0</v>
      </c>
      <c r="P553" s="504" t="s">
        <v>673</v>
      </c>
      <c r="Q553" s="287"/>
      <c r="R553" s="168"/>
      <c r="S553" s="380"/>
      <c r="T553" s="473" t="s">
        <v>1569</v>
      </c>
      <c r="U553" s="473" t="s">
        <v>1917</v>
      </c>
      <c r="AA553" s="27"/>
      <c r="AB553" s="27"/>
      <c r="AC553" s="809"/>
      <c r="AD553" s="481"/>
    </row>
    <row r="554" spans="3:30" ht="10.5" customHeight="1">
      <c r="C554" s="1526" t="s">
        <v>4512</v>
      </c>
      <c r="D554" s="1523">
        <v>0</v>
      </c>
      <c r="E554" s="1523">
        <v>0</v>
      </c>
      <c r="F554" s="1524">
        <v>0</v>
      </c>
      <c r="G554" s="1537" t="s">
        <v>4512</v>
      </c>
      <c r="H554" s="1521">
        <v>0</v>
      </c>
      <c r="I554" s="1521">
        <v>0</v>
      </c>
      <c r="J554" s="1538">
        <v>0</v>
      </c>
      <c r="K554" s="1525"/>
      <c r="L554" s="1519">
        <v>13051002800</v>
      </c>
      <c r="M554" s="1520">
        <v>0</v>
      </c>
      <c r="N554" s="1520">
        <v>0</v>
      </c>
      <c r="O554" s="1520">
        <v>0</v>
      </c>
      <c r="P554" s="504" t="s">
        <v>675</v>
      </c>
      <c r="Q554" s="287"/>
      <c r="R554" s="168"/>
      <c r="S554" s="380"/>
      <c r="T554" s="473" t="s">
        <v>446</v>
      </c>
      <c r="U554" s="473" t="s">
        <v>1271</v>
      </c>
      <c r="AA554" s="27"/>
      <c r="AB554" s="27"/>
      <c r="AC554" s="809"/>
      <c r="AD554" s="481"/>
    </row>
    <row r="555" spans="3:30" ht="10.5" customHeight="1">
      <c r="C555" s="1526" t="s">
        <v>4513</v>
      </c>
      <c r="D555" s="1523">
        <v>1</v>
      </c>
      <c r="E555" s="1523">
        <v>1</v>
      </c>
      <c r="F555" s="1524">
        <v>2</v>
      </c>
      <c r="G555" s="1537" t="s">
        <v>4513</v>
      </c>
      <c r="H555" s="1521">
        <v>1</v>
      </c>
      <c r="I555" s="1521">
        <v>1</v>
      </c>
      <c r="J555" s="1538">
        <v>2</v>
      </c>
      <c r="K555" s="1525"/>
      <c r="L555" s="1519">
        <v>13051002900</v>
      </c>
      <c r="M555" s="1520">
        <v>1</v>
      </c>
      <c r="N555" s="1520">
        <v>1</v>
      </c>
      <c r="O555" s="1520">
        <v>2</v>
      </c>
      <c r="P555" s="504" t="s">
        <v>2180</v>
      </c>
      <c r="Q555" s="287"/>
      <c r="R555" s="168"/>
      <c r="S555" s="380"/>
      <c r="T555" s="473" t="s">
        <v>176</v>
      </c>
      <c r="U555" s="473" t="s">
        <v>151</v>
      </c>
      <c r="AA555" s="27"/>
      <c r="AB555" s="27"/>
      <c r="AC555" s="809"/>
      <c r="AD555" s="481"/>
    </row>
    <row r="556" spans="3:30" ht="10.5" customHeight="1">
      <c r="C556" s="1526" t="s">
        <v>4514</v>
      </c>
      <c r="D556" s="1523">
        <v>1</v>
      </c>
      <c r="E556" s="1523">
        <v>1</v>
      </c>
      <c r="F556" s="1524">
        <v>2</v>
      </c>
      <c r="G556" s="1537" t="s">
        <v>4514</v>
      </c>
      <c r="H556" s="1521">
        <v>1</v>
      </c>
      <c r="I556" s="1521">
        <v>0</v>
      </c>
      <c r="J556" s="1538">
        <v>1</v>
      </c>
      <c r="K556" s="1525"/>
      <c r="L556" s="1519">
        <v>13051003000</v>
      </c>
      <c r="M556" s="1520">
        <v>1</v>
      </c>
      <c r="N556" s="1520">
        <v>1</v>
      </c>
      <c r="O556" s="1520">
        <v>2</v>
      </c>
      <c r="P556" s="504" t="s">
        <v>37</v>
      </c>
      <c r="Q556" s="287"/>
      <c r="R556" s="168"/>
      <c r="S556" s="380"/>
      <c r="T556" s="473" t="s">
        <v>1217</v>
      </c>
      <c r="U556" s="473" t="s">
        <v>314</v>
      </c>
      <c r="AA556" s="27"/>
      <c r="AB556" s="27"/>
      <c r="AC556" s="809"/>
      <c r="AD556" s="481"/>
    </row>
    <row r="557" spans="3:30" ht="10.5" customHeight="1">
      <c r="C557" s="1526" t="s">
        <v>4515</v>
      </c>
      <c r="D557" s="1523">
        <v>0</v>
      </c>
      <c r="E557" s="1523">
        <v>0</v>
      </c>
      <c r="F557" s="1524">
        <v>0</v>
      </c>
      <c r="G557" s="1537" t="s">
        <v>4515</v>
      </c>
      <c r="H557" s="1521">
        <v>0</v>
      </c>
      <c r="I557" s="1521">
        <v>0</v>
      </c>
      <c r="J557" s="1538">
        <v>0</v>
      </c>
      <c r="K557" s="1525"/>
      <c r="L557" s="1519">
        <v>13051003301</v>
      </c>
      <c r="M557" s="1520">
        <v>0</v>
      </c>
      <c r="N557" s="1520">
        <v>0</v>
      </c>
      <c r="O557" s="1520">
        <v>0</v>
      </c>
      <c r="P557" s="504" t="s">
        <v>38</v>
      </c>
      <c r="Q557" s="287"/>
      <c r="R557" s="168"/>
      <c r="S557" s="380"/>
      <c r="T557" s="473" t="s">
        <v>956</v>
      </c>
      <c r="U557" s="473" t="s">
        <v>1397</v>
      </c>
      <c r="AA557" s="27"/>
      <c r="AB557" s="27"/>
      <c r="AC557" s="809"/>
      <c r="AD557" s="481"/>
    </row>
    <row r="558" spans="3:30" ht="10.5" customHeight="1">
      <c r="C558" s="1526" t="s">
        <v>4516</v>
      </c>
      <c r="D558" s="1523">
        <v>0</v>
      </c>
      <c r="E558" s="1523">
        <v>0</v>
      </c>
      <c r="F558" s="1524">
        <v>0</v>
      </c>
      <c r="G558" s="1537" t="s">
        <v>4516</v>
      </c>
      <c r="H558" s="1521">
        <v>0</v>
      </c>
      <c r="I558" s="1521">
        <v>0</v>
      </c>
      <c r="J558" s="1538">
        <v>0</v>
      </c>
      <c r="K558" s="1525"/>
      <c r="L558" s="1519">
        <v>13051003302</v>
      </c>
      <c r="M558" s="1520">
        <v>0</v>
      </c>
      <c r="N558" s="1520">
        <v>0</v>
      </c>
      <c r="O558" s="1520">
        <v>0</v>
      </c>
      <c r="P558" s="504" t="s">
        <v>2144</v>
      </c>
      <c r="Q558" s="287"/>
      <c r="R558" s="168"/>
      <c r="S558" s="380"/>
      <c r="T558" s="473" t="s">
        <v>1019</v>
      </c>
      <c r="U558" s="473" t="s">
        <v>167</v>
      </c>
      <c r="AA558" s="27"/>
      <c r="AB558" s="27"/>
      <c r="AC558" s="809"/>
      <c r="AD558" s="481"/>
    </row>
    <row r="559" spans="3:30" ht="10.5" customHeight="1">
      <c r="C559" s="1526" t="s">
        <v>4517</v>
      </c>
      <c r="D559" s="1523">
        <v>1</v>
      </c>
      <c r="E559" s="1523">
        <v>0</v>
      </c>
      <c r="F559" s="1524">
        <v>1</v>
      </c>
      <c r="G559" s="1537" t="s">
        <v>4517</v>
      </c>
      <c r="H559" s="1521">
        <v>0</v>
      </c>
      <c r="I559" s="1521">
        <v>0</v>
      </c>
      <c r="J559" s="1538">
        <v>0</v>
      </c>
      <c r="K559" s="1525"/>
      <c r="L559" s="1519">
        <v>13051003400</v>
      </c>
      <c r="M559" s="1520">
        <v>1</v>
      </c>
      <c r="N559" s="1520">
        <v>0</v>
      </c>
      <c r="O559" s="1520">
        <v>1</v>
      </c>
      <c r="P559" s="504" t="s">
        <v>2171</v>
      </c>
      <c r="Q559" s="287"/>
      <c r="R559" s="168"/>
      <c r="S559" s="380"/>
      <c r="T559" s="473" t="s">
        <v>131</v>
      </c>
      <c r="U559" s="473" t="s">
        <v>2412</v>
      </c>
      <c r="AA559" s="27"/>
      <c r="AB559" s="27"/>
      <c r="AC559" s="809"/>
      <c r="AD559" s="481"/>
    </row>
    <row r="560" spans="3:30" ht="10.5" customHeight="1">
      <c r="C560" s="1526" t="s">
        <v>4518</v>
      </c>
      <c r="D560" s="1523">
        <v>0</v>
      </c>
      <c r="E560" s="1523">
        <v>0</v>
      </c>
      <c r="F560" s="1524">
        <v>0</v>
      </c>
      <c r="G560" s="1537" t="s">
        <v>4518</v>
      </c>
      <c r="H560" s="1521">
        <v>0</v>
      </c>
      <c r="I560" s="1521">
        <v>0</v>
      </c>
      <c r="J560" s="1538">
        <v>0</v>
      </c>
      <c r="K560" s="1525"/>
      <c r="L560" s="1519">
        <v>13051003501</v>
      </c>
      <c r="M560" s="1520">
        <v>0</v>
      </c>
      <c r="N560" s="1520">
        <v>0</v>
      </c>
      <c r="O560" s="1520">
        <v>0</v>
      </c>
      <c r="P560" s="504" t="s">
        <v>375</v>
      </c>
      <c r="Q560" s="287"/>
      <c r="R560" s="168"/>
      <c r="S560" s="380"/>
      <c r="T560" s="473" t="s">
        <v>2463</v>
      </c>
      <c r="U560" s="473" t="s">
        <v>1283</v>
      </c>
      <c r="AA560" s="27"/>
      <c r="AB560" s="27"/>
      <c r="AC560" s="809"/>
      <c r="AD560" s="481"/>
    </row>
    <row r="561" spans="3:30" ht="10.5" customHeight="1">
      <c r="C561" s="1526" t="s">
        <v>4519</v>
      </c>
      <c r="D561" s="1523">
        <v>0</v>
      </c>
      <c r="E561" s="1523">
        <v>0</v>
      </c>
      <c r="F561" s="1524">
        <v>0</v>
      </c>
      <c r="G561" s="1537" t="s">
        <v>4519</v>
      </c>
      <c r="H561" s="1521">
        <v>0</v>
      </c>
      <c r="I561" s="1521">
        <v>0</v>
      </c>
      <c r="J561" s="1538">
        <v>0</v>
      </c>
      <c r="K561" s="1525"/>
      <c r="L561" s="1519">
        <v>13051003502</v>
      </c>
      <c r="M561" s="1520">
        <v>0</v>
      </c>
      <c r="N561" s="1520">
        <v>0</v>
      </c>
      <c r="O561" s="1520">
        <v>0</v>
      </c>
      <c r="P561" s="504" t="s">
        <v>377</v>
      </c>
      <c r="Q561" s="287"/>
      <c r="R561" s="168"/>
      <c r="S561" s="380"/>
      <c r="T561" s="473" t="s">
        <v>134</v>
      </c>
      <c r="U561" s="473" t="s">
        <v>625</v>
      </c>
      <c r="AA561" s="27"/>
      <c r="AB561" s="27"/>
      <c r="AC561" s="809"/>
      <c r="AD561" s="481"/>
    </row>
    <row r="562" spans="3:30" ht="10.5" customHeight="1">
      <c r="C562" s="1526" t="s">
        <v>4520</v>
      </c>
      <c r="D562" s="1523">
        <v>0</v>
      </c>
      <c r="E562" s="1523">
        <v>0</v>
      </c>
      <c r="F562" s="1524">
        <v>0</v>
      </c>
      <c r="G562" s="1537" t="s">
        <v>4520</v>
      </c>
      <c r="H562" s="1521">
        <v>0</v>
      </c>
      <c r="I562" s="1521" t="s">
        <v>4096</v>
      </c>
      <c r="J562" s="1538">
        <v>0</v>
      </c>
      <c r="K562" s="1525"/>
      <c r="L562" s="1519">
        <v>13051003601</v>
      </c>
      <c r="M562" s="1520">
        <v>0</v>
      </c>
      <c r="N562" s="1520">
        <v>0</v>
      </c>
      <c r="O562" s="1520">
        <v>0</v>
      </c>
      <c r="P562" s="504" t="s">
        <v>379</v>
      </c>
      <c r="Q562" s="287"/>
      <c r="R562" s="168"/>
      <c r="S562" s="380"/>
      <c r="T562" s="505" t="s">
        <v>136</v>
      </c>
      <c r="U562" s="505" t="s">
        <v>2370</v>
      </c>
      <c r="AA562" s="27"/>
      <c r="AB562" s="27"/>
      <c r="AC562" s="810"/>
      <c r="AD562" s="481"/>
    </row>
    <row r="563" spans="3:30" ht="10.5" customHeight="1">
      <c r="C563" s="1526" t="s">
        <v>4521</v>
      </c>
      <c r="D563" s="1523">
        <v>0</v>
      </c>
      <c r="E563" s="1523">
        <v>0</v>
      </c>
      <c r="F563" s="1524">
        <v>0</v>
      </c>
      <c r="G563" s="1537" t="s">
        <v>4521</v>
      </c>
      <c r="H563" s="1521">
        <v>0</v>
      </c>
      <c r="I563" s="1521">
        <v>0</v>
      </c>
      <c r="J563" s="1538">
        <v>0</v>
      </c>
      <c r="K563" s="1525"/>
      <c r="L563" s="1519">
        <v>13051003602</v>
      </c>
      <c r="M563" s="1520">
        <v>0</v>
      </c>
      <c r="N563" s="1520">
        <v>0</v>
      </c>
      <c r="O563" s="1520">
        <v>0</v>
      </c>
      <c r="P563" s="504" t="s">
        <v>381</v>
      </c>
      <c r="Q563" s="287"/>
      <c r="R563" s="168"/>
      <c r="S563" s="380"/>
      <c r="T563" s="505" t="s">
        <v>2474</v>
      </c>
      <c r="U563" s="505" t="s">
        <v>1275</v>
      </c>
      <c r="AA563" s="27"/>
      <c r="AB563" s="27"/>
      <c r="AC563" s="810"/>
      <c r="AD563" s="481"/>
    </row>
    <row r="564" spans="3:30" ht="10.5" customHeight="1">
      <c r="C564" s="1526" t="s">
        <v>4522</v>
      </c>
      <c r="D564" s="1523">
        <v>0</v>
      </c>
      <c r="E564" s="1523">
        <v>0</v>
      </c>
      <c r="F564" s="1524">
        <v>0</v>
      </c>
      <c r="G564" s="1537" t="s">
        <v>4522</v>
      </c>
      <c r="H564" s="1521">
        <v>0</v>
      </c>
      <c r="I564" s="1521">
        <v>0</v>
      </c>
      <c r="J564" s="1538">
        <v>0</v>
      </c>
      <c r="K564" s="1525"/>
      <c r="L564" s="1519">
        <v>13051003700</v>
      </c>
      <c r="M564" s="1520">
        <v>0</v>
      </c>
      <c r="N564" s="1520">
        <v>0</v>
      </c>
      <c r="O564" s="1520">
        <v>0</v>
      </c>
      <c r="P564" s="504" t="s">
        <v>1519</v>
      </c>
      <c r="Q564" s="287"/>
      <c r="R564" s="168"/>
      <c r="S564" s="380"/>
      <c r="T564" s="505" t="s">
        <v>2002</v>
      </c>
      <c r="U564" s="505" t="s">
        <v>2376</v>
      </c>
      <c r="AA564" s="27"/>
      <c r="AB564" s="27"/>
      <c r="AC564" s="810"/>
      <c r="AD564" s="481"/>
    </row>
    <row r="565" spans="3:30" ht="10.5" customHeight="1">
      <c r="C565" s="1526" t="s">
        <v>4523</v>
      </c>
      <c r="D565" s="1523">
        <v>0</v>
      </c>
      <c r="E565" s="1523">
        <v>0</v>
      </c>
      <c r="F565" s="1524">
        <v>0</v>
      </c>
      <c r="G565" s="1537" t="s">
        <v>4523</v>
      </c>
      <c r="H565" s="1521">
        <v>0</v>
      </c>
      <c r="I565" s="1521">
        <v>0</v>
      </c>
      <c r="J565" s="1538">
        <v>0</v>
      </c>
      <c r="K565" s="1525"/>
      <c r="L565" s="1519">
        <v>13051003800</v>
      </c>
      <c r="M565" s="1520">
        <v>0</v>
      </c>
      <c r="N565" s="1520">
        <v>0</v>
      </c>
      <c r="O565" s="1520">
        <v>0</v>
      </c>
      <c r="P565" s="504" t="s">
        <v>1521</v>
      </c>
      <c r="Q565" s="287"/>
      <c r="R565" s="168"/>
      <c r="S565" s="380"/>
      <c r="T565" s="473" t="s">
        <v>724</v>
      </c>
      <c r="U565" s="473" t="s">
        <v>115</v>
      </c>
      <c r="AA565" s="27"/>
      <c r="AB565" s="27"/>
      <c r="AC565" s="809"/>
      <c r="AD565" s="481"/>
    </row>
    <row r="566" spans="3:30" ht="10.5" customHeight="1">
      <c r="C566" s="1526" t="s">
        <v>4524</v>
      </c>
      <c r="D566" s="1523">
        <v>0</v>
      </c>
      <c r="E566" s="1523">
        <v>0</v>
      </c>
      <c r="F566" s="1524">
        <v>0</v>
      </c>
      <c r="G566" s="1537" t="s">
        <v>4524</v>
      </c>
      <c r="H566" s="1521">
        <v>0</v>
      </c>
      <c r="I566" s="1521" t="s">
        <v>4096</v>
      </c>
      <c r="J566" s="1538">
        <v>0</v>
      </c>
      <c r="K566" s="1525"/>
      <c r="L566" s="1519">
        <v>13051003900</v>
      </c>
      <c r="M566" s="1520">
        <v>0</v>
      </c>
      <c r="N566" s="1520">
        <v>0</v>
      </c>
      <c r="O566" s="1520">
        <v>0</v>
      </c>
      <c r="P566" s="504" t="s">
        <v>1523</v>
      </c>
      <c r="Q566" s="287"/>
      <c r="R566" s="168"/>
      <c r="S566" s="380"/>
      <c r="T566" s="473" t="s">
        <v>725</v>
      </c>
      <c r="U566" s="473" t="s">
        <v>176</v>
      </c>
      <c r="AA566" s="27"/>
      <c r="AB566" s="27"/>
      <c r="AC566" s="809"/>
      <c r="AD566" s="481"/>
    </row>
    <row r="567" spans="3:30" ht="10.5" customHeight="1">
      <c r="C567" s="1526" t="s">
        <v>4525</v>
      </c>
      <c r="D567" s="1523">
        <v>0</v>
      </c>
      <c r="E567" s="1523">
        <v>0</v>
      </c>
      <c r="F567" s="1524">
        <v>0</v>
      </c>
      <c r="G567" s="1537" t="s">
        <v>4525</v>
      </c>
      <c r="H567" s="1521">
        <v>1</v>
      </c>
      <c r="I567" s="1521">
        <v>1</v>
      </c>
      <c r="J567" s="1538">
        <v>2</v>
      </c>
      <c r="K567" s="1525"/>
      <c r="L567" s="1519">
        <v>13051004001</v>
      </c>
      <c r="M567" s="1520">
        <v>1</v>
      </c>
      <c r="N567" s="1520">
        <v>1</v>
      </c>
      <c r="O567" s="1520">
        <v>2</v>
      </c>
      <c r="P567" s="504" t="s">
        <v>2472</v>
      </c>
      <c r="Q567" s="287"/>
      <c r="R567" s="168"/>
      <c r="S567" s="380"/>
      <c r="T567" s="473" t="s">
        <v>674</v>
      </c>
      <c r="U567" s="473" t="s">
        <v>703</v>
      </c>
      <c r="AA567" s="27"/>
      <c r="AB567" s="27"/>
      <c r="AC567" s="809"/>
      <c r="AD567" s="481"/>
    </row>
    <row r="568" spans="3:30" ht="10.5" customHeight="1">
      <c r="C568" s="1526" t="s">
        <v>4526</v>
      </c>
      <c r="D568" s="1523">
        <v>0</v>
      </c>
      <c r="E568" s="1523">
        <v>0</v>
      </c>
      <c r="F568" s="1524">
        <v>0</v>
      </c>
      <c r="G568" s="1537" t="s">
        <v>4526</v>
      </c>
      <c r="H568" s="1521">
        <v>0</v>
      </c>
      <c r="I568" s="1521">
        <v>0</v>
      </c>
      <c r="J568" s="1538">
        <v>0</v>
      </c>
      <c r="K568" s="1525"/>
      <c r="L568" s="1519">
        <v>13051004002</v>
      </c>
      <c r="M568" s="1520">
        <v>0</v>
      </c>
      <c r="N568" s="1520">
        <v>0</v>
      </c>
      <c r="O568" s="1520">
        <v>0</v>
      </c>
      <c r="P568" s="504" t="s">
        <v>2342</v>
      </c>
      <c r="Q568" s="287"/>
      <c r="R568" s="168"/>
      <c r="S568" s="380"/>
      <c r="T568" s="473" t="s">
        <v>676</v>
      </c>
      <c r="U568" s="473" t="s">
        <v>1065</v>
      </c>
      <c r="AA568" s="27"/>
      <c r="AB568" s="27"/>
      <c r="AC568" s="809"/>
      <c r="AD568" s="481"/>
    </row>
    <row r="569" spans="3:30" ht="10.5" customHeight="1">
      <c r="C569" s="1526" t="s">
        <v>4527</v>
      </c>
      <c r="D569" s="1523">
        <v>1</v>
      </c>
      <c r="E569" s="1523">
        <v>0</v>
      </c>
      <c r="F569" s="1524">
        <v>1</v>
      </c>
      <c r="G569" s="1537" t="s">
        <v>4527</v>
      </c>
      <c r="H569" s="1521">
        <v>1</v>
      </c>
      <c r="I569" s="1521">
        <v>0</v>
      </c>
      <c r="J569" s="1538">
        <v>1</v>
      </c>
      <c r="K569" s="1525"/>
      <c r="L569" s="1519">
        <v>13051004100</v>
      </c>
      <c r="M569" s="1520">
        <v>1</v>
      </c>
      <c r="N569" s="1520">
        <v>0</v>
      </c>
      <c r="O569" s="1520">
        <v>1</v>
      </c>
      <c r="P569" s="504" t="s">
        <v>1742</v>
      </c>
      <c r="Q569" s="287"/>
      <c r="R569" s="168"/>
      <c r="S569" s="380"/>
      <c r="T569" s="473" t="s">
        <v>2181</v>
      </c>
      <c r="U569" s="473" t="s">
        <v>1160</v>
      </c>
      <c r="AA569" s="27"/>
      <c r="AB569" s="27"/>
      <c r="AC569" s="809"/>
      <c r="AD569" s="481"/>
    </row>
    <row r="570" spans="3:30" ht="10.5" customHeight="1">
      <c r="C570" s="1526" t="s">
        <v>4528</v>
      </c>
      <c r="D570" s="1523">
        <v>0</v>
      </c>
      <c r="E570" s="1523">
        <v>0</v>
      </c>
      <c r="F570" s="1524">
        <v>0</v>
      </c>
      <c r="G570" s="1537" t="s">
        <v>4528</v>
      </c>
      <c r="H570" s="1521">
        <v>0</v>
      </c>
      <c r="I570" s="1521">
        <v>0</v>
      </c>
      <c r="J570" s="1538">
        <v>0</v>
      </c>
      <c r="K570" s="1525"/>
      <c r="L570" s="1519">
        <v>13051004207</v>
      </c>
      <c r="M570" s="1520">
        <v>0</v>
      </c>
      <c r="N570" s="1520">
        <v>0</v>
      </c>
      <c r="O570" s="1520">
        <v>0</v>
      </c>
      <c r="P570" s="504" t="s">
        <v>1744</v>
      </c>
      <c r="Q570" s="287"/>
      <c r="R570" s="168"/>
      <c r="S570" s="380"/>
      <c r="T570" s="473" t="s">
        <v>39</v>
      </c>
      <c r="U570" s="473" t="s">
        <v>1274</v>
      </c>
      <c r="AA570" s="27"/>
      <c r="AB570" s="27"/>
      <c r="AC570" s="809"/>
      <c r="AD570" s="481"/>
    </row>
    <row r="571" spans="3:30" ht="10.5" customHeight="1">
      <c r="C571" s="1526" t="s">
        <v>4529</v>
      </c>
      <c r="D571" s="1523">
        <v>0</v>
      </c>
      <c r="E571" s="1523">
        <v>0</v>
      </c>
      <c r="F571" s="1524">
        <v>0</v>
      </c>
      <c r="G571" s="1537" t="s">
        <v>4529</v>
      </c>
      <c r="H571" s="1521">
        <v>0</v>
      </c>
      <c r="I571" s="1521">
        <v>0</v>
      </c>
      <c r="J571" s="1538">
        <v>0</v>
      </c>
      <c r="K571" s="1525"/>
      <c r="L571" s="1519">
        <v>13051004208</v>
      </c>
      <c r="M571" s="1520">
        <v>0</v>
      </c>
      <c r="N571" s="1520">
        <v>0</v>
      </c>
      <c r="O571" s="1520">
        <v>0</v>
      </c>
      <c r="P571" s="504" t="s">
        <v>1746</v>
      </c>
      <c r="Q571" s="287"/>
      <c r="R571" s="168"/>
      <c r="S571" s="380"/>
      <c r="T571" s="473" t="s">
        <v>2145</v>
      </c>
      <c r="U571" s="473" t="s">
        <v>1268</v>
      </c>
      <c r="AA571" s="27"/>
      <c r="AB571" s="27"/>
      <c r="AC571" s="809"/>
      <c r="AD571" s="481"/>
    </row>
    <row r="572" spans="3:30" ht="10.5" customHeight="1">
      <c r="C572" s="1526" t="s">
        <v>4530</v>
      </c>
      <c r="D572" s="1523">
        <v>0</v>
      </c>
      <c r="E572" s="1523">
        <v>0</v>
      </c>
      <c r="F572" s="1524">
        <v>0</v>
      </c>
      <c r="G572" s="1537" t="s">
        <v>4530</v>
      </c>
      <c r="H572" s="1521">
        <v>0</v>
      </c>
      <c r="I572" s="1521">
        <v>0</v>
      </c>
      <c r="J572" s="1538">
        <v>0</v>
      </c>
      <c r="K572" s="1525"/>
      <c r="L572" s="1519">
        <v>13051004209</v>
      </c>
      <c r="M572" s="1520">
        <v>0</v>
      </c>
      <c r="N572" s="1520">
        <v>0</v>
      </c>
      <c r="O572" s="1520">
        <v>0</v>
      </c>
      <c r="P572" s="504" t="s">
        <v>1747</v>
      </c>
      <c r="Q572" s="287"/>
      <c r="R572" s="168"/>
      <c r="S572" s="380"/>
      <c r="T572" s="473" t="s">
        <v>797</v>
      </c>
      <c r="U572" s="473" t="s">
        <v>167</v>
      </c>
      <c r="AA572" s="27"/>
      <c r="AB572" s="27"/>
      <c r="AC572" s="809"/>
      <c r="AD572" s="481"/>
    </row>
    <row r="573" spans="3:30" ht="10.5" customHeight="1">
      <c r="C573" s="1526" t="s">
        <v>4531</v>
      </c>
      <c r="D573" s="1523">
        <v>0</v>
      </c>
      <c r="E573" s="1523">
        <v>0</v>
      </c>
      <c r="F573" s="1524">
        <v>0</v>
      </c>
      <c r="G573" s="1537" t="s">
        <v>4531</v>
      </c>
      <c r="H573" s="1521">
        <v>0</v>
      </c>
      <c r="I573" s="1521">
        <v>0</v>
      </c>
      <c r="J573" s="1538">
        <v>0</v>
      </c>
      <c r="K573" s="1525"/>
      <c r="L573" s="1519">
        <v>13051004210</v>
      </c>
      <c r="M573" s="1520">
        <v>0</v>
      </c>
      <c r="N573" s="1520">
        <v>0</v>
      </c>
      <c r="O573" s="1520">
        <v>0</v>
      </c>
      <c r="P573" s="504" t="s">
        <v>1749</v>
      </c>
      <c r="Q573" s="287"/>
      <c r="R573" s="168"/>
      <c r="S573" s="380"/>
      <c r="T573" s="473" t="s">
        <v>991</v>
      </c>
      <c r="U573" s="473" t="s">
        <v>1053</v>
      </c>
      <c r="AA573" s="27"/>
      <c r="AB573" s="27"/>
      <c r="AC573" s="809"/>
      <c r="AD573" s="481"/>
    </row>
    <row r="574" spans="3:30" ht="10.5" customHeight="1">
      <c r="C574" s="1526" t="s">
        <v>4532</v>
      </c>
      <c r="D574" s="1523">
        <v>0</v>
      </c>
      <c r="E574" s="1523">
        <v>0</v>
      </c>
      <c r="F574" s="1524">
        <v>0</v>
      </c>
      <c r="G574" s="1537" t="s">
        <v>4532</v>
      </c>
      <c r="H574" s="1521">
        <v>0</v>
      </c>
      <c r="I574" s="1521">
        <v>0</v>
      </c>
      <c r="J574" s="1538">
        <v>0</v>
      </c>
      <c r="K574" s="1525"/>
      <c r="L574" s="1519">
        <v>13051004211</v>
      </c>
      <c r="M574" s="1520">
        <v>0</v>
      </c>
      <c r="N574" s="1520">
        <v>0</v>
      </c>
      <c r="O574" s="1520">
        <v>0</v>
      </c>
      <c r="P574" s="504" t="s">
        <v>1751</v>
      </c>
      <c r="Q574" s="287"/>
      <c r="R574" s="168"/>
      <c r="S574" s="380"/>
      <c r="T574" s="473" t="s">
        <v>376</v>
      </c>
      <c r="U574" s="473" t="s">
        <v>2468</v>
      </c>
      <c r="AA574" s="27"/>
      <c r="AB574" s="27"/>
      <c r="AC574" s="809"/>
      <c r="AD574" s="481"/>
    </row>
    <row r="575" spans="3:30" ht="10.5" customHeight="1">
      <c r="C575" s="1526" t="s">
        <v>4533</v>
      </c>
      <c r="D575" s="1523">
        <v>0</v>
      </c>
      <c r="E575" s="1523">
        <v>1</v>
      </c>
      <c r="F575" s="1524">
        <v>1</v>
      </c>
      <c r="G575" s="1537" t="s">
        <v>4533</v>
      </c>
      <c r="H575" s="1521">
        <v>0</v>
      </c>
      <c r="I575" s="1521">
        <v>1</v>
      </c>
      <c r="J575" s="1538">
        <v>1</v>
      </c>
      <c r="K575" s="1525"/>
      <c r="L575" s="1519">
        <v>13051004212</v>
      </c>
      <c r="M575" s="1520">
        <v>0</v>
      </c>
      <c r="N575" s="1520">
        <v>1</v>
      </c>
      <c r="O575" s="1520">
        <v>1</v>
      </c>
      <c r="P575" s="504" t="s">
        <v>1753</v>
      </c>
      <c r="Q575" s="287"/>
      <c r="R575" s="168"/>
      <c r="S575" s="380"/>
      <c r="T575" s="473" t="s">
        <v>378</v>
      </c>
      <c r="U575" s="473" t="s">
        <v>2072</v>
      </c>
      <c r="AA575" s="27"/>
      <c r="AB575" s="27"/>
      <c r="AC575" s="809"/>
      <c r="AD575" s="481"/>
    </row>
    <row r="576" spans="3:30" ht="10.5" customHeight="1">
      <c r="C576" s="1526" t="s">
        <v>4534</v>
      </c>
      <c r="D576" s="1523">
        <v>0</v>
      </c>
      <c r="E576" s="1523">
        <v>1</v>
      </c>
      <c r="F576" s="1524">
        <v>1</v>
      </c>
      <c r="G576" s="1537" t="s">
        <v>4534</v>
      </c>
      <c r="H576" s="1521">
        <v>0</v>
      </c>
      <c r="I576" s="1521" t="s">
        <v>4096</v>
      </c>
      <c r="J576" s="1538">
        <v>0</v>
      </c>
      <c r="K576" s="1525"/>
      <c r="L576" s="1519">
        <v>13051004300</v>
      </c>
      <c r="M576" s="1520">
        <v>0</v>
      </c>
      <c r="N576" s="1520">
        <v>1</v>
      </c>
      <c r="O576" s="1520">
        <v>1</v>
      </c>
      <c r="P576" s="504" t="s">
        <v>1755</v>
      </c>
      <c r="Q576" s="287"/>
      <c r="R576" s="168"/>
      <c r="S576" s="380"/>
      <c r="T576" s="473" t="s">
        <v>380</v>
      </c>
      <c r="U576" s="473" t="s">
        <v>2412</v>
      </c>
      <c r="AA576" s="27"/>
      <c r="AB576" s="27"/>
      <c r="AC576" s="809"/>
      <c r="AD576" s="481"/>
    </row>
    <row r="577" spans="3:30" ht="10.5" customHeight="1">
      <c r="C577" s="1526" t="s">
        <v>4535</v>
      </c>
      <c r="D577" s="1523">
        <v>0</v>
      </c>
      <c r="E577" s="1523">
        <v>0</v>
      </c>
      <c r="F577" s="1524">
        <v>0</v>
      </c>
      <c r="G577" s="1537" t="s">
        <v>4535</v>
      </c>
      <c r="H577" s="1521">
        <v>0</v>
      </c>
      <c r="I577" s="1521">
        <v>0</v>
      </c>
      <c r="J577" s="1538">
        <v>0</v>
      </c>
      <c r="K577" s="1525"/>
      <c r="L577" s="1519">
        <v>13051004400</v>
      </c>
      <c r="M577" s="1520">
        <v>0</v>
      </c>
      <c r="N577" s="1520">
        <v>0</v>
      </c>
      <c r="O577" s="1520">
        <v>0</v>
      </c>
      <c r="P577" s="504" t="s">
        <v>1756</v>
      </c>
      <c r="Q577" s="287"/>
      <c r="R577" s="168"/>
      <c r="S577" s="380"/>
      <c r="T577" s="473" t="s">
        <v>2468</v>
      </c>
      <c r="U577" s="473" t="s">
        <v>1701</v>
      </c>
      <c r="AA577" s="27"/>
      <c r="AB577" s="27"/>
      <c r="AC577" s="809"/>
      <c r="AD577" s="481"/>
    </row>
    <row r="578" spans="3:30" ht="10.5" customHeight="1">
      <c r="C578" s="1526" t="s">
        <v>4536</v>
      </c>
      <c r="D578" s="1523">
        <v>0</v>
      </c>
      <c r="E578" s="1523">
        <v>0</v>
      </c>
      <c r="F578" s="1524">
        <v>0</v>
      </c>
      <c r="G578" s="1537" t="s">
        <v>4536</v>
      </c>
      <c r="H578" s="1521">
        <v>0</v>
      </c>
      <c r="I578" s="1521">
        <v>0</v>
      </c>
      <c r="J578" s="1538">
        <v>0</v>
      </c>
      <c r="K578" s="1525"/>
      <c r="L578" s="1519">
        <v>13051004500</v>
      </c>
      <c r="M578" s="1520">
        <v>0</v>
      </c>
      <c r="N578" s="1520">
        <v>0</v>
      </c>
      <c r="O578" s="1520">
        <v>0</v>
      </c>
      <c r="P578" s="504" t="s">
        <v>1725</v>
      </c>
      <c r="Q578" s="287"/>
      <c r="R578" s="168"/>
      <c r="S578" s="380"/>
      <c r="T578" s="473" t="s">
        <v>1520</v>
      </c>
      <c r="U578" s="473" t="s">
        <v>2374</v>
      </c>
      <c r="AA578" s="27"/>
      <c r="AB578" s="27"/>
      <c r="AC578" s="809"/>
      <c r="AD578" s="481"/>
    </row>
    <row r="579" spans="3:30" ht="10.5" customHeight="1">
      <c r="C579" s="1526" t="s">
        <v>4537</v>
      </c>
      <c r="D579" s="1523">
        <v>0</v>
      </c>
      <c r="E579" s="1523">
        <v>0</v>
      </c>
      <c r="F579" s="1524">
        <v>0</v>
      </c>
      <c r="G579" s="1537" t="s">
        <v>4537</v>
      </c>
      <c r="H579" s="1521" t="s">
        <v>4096</v>
      </c>
      <c r="I579" s="1521">
        <v>0</v>
      </c>
      <c r="J579" s="1538">
        <v>0</v>
      </c>
      <c r="K579" s="1525"/>
      <c r="L579" s="1519">
        <v>13051010101</v>
      </c>
      <c r="M579" s="1520">
        <v>0</v>
      </c>
      <c r="N579" s="1520">
        <v>0</v>
      </c>
      <c r="O579" s="1520">
        <v>0</v>
      </c>
      <c r="P579" s="504" t="s">
        <v>1570</v>
      </c>
      <c r="Q579" s="287"/>
      <c r="R579" s="168"/>
      <c r="S579" s="380"/>
      <c r="T579" s="473" t="s">
        <v>1522</v>
      </c>
      <c r="U579" s="473" t="s">
        <v>312</v>
      </c>
      <c r="AA579" s="27"/>
      <c r="AB579" s="27"/>
      <c r="AC579" s="809"/>
      <c r="AD579" s="481"/>
    </row>
    <row r="580" spans="3:30" ht="10.5" customHeight="1">
      <c r="C580" s="1526" t="s">
        <v>4538</v>
      </c>
      <c r="D580" s="1523">
        <v>0</v>
      </c>
      <c r="E580" s="1523">
        <v>0</v>
      </c>
      <c r="F580" s="1524">
        <v>0</v>
      </c>
      <c r="G580" s="1537" t="s">
        <v>4538</v>
      </c>
      <c r="H580" s="1521">
        <v>0</v>
      </c>
      <c r="I580" s="1521">
        <v>0</v>
      </c>
      <c r="J580" s="1538">
        <v>0</v>
      </c>
      <c r="K580" s="1525"/>
      <c r="L580" s="1519">
        <v>13051010102</v>
      </c>
      <c r="M580" s="1520">
        <v>0</v>
      </c>
      <c r="N580" s="1520">
        <v>0</v>
      </c>
      <c r="O580" s="1520">
        <v>0</v>
      </c>
      <c r="P580" s="504" t="s">
        <v>1571</v>
      </c>
      <c r="Q580" s="287"/>
      <c r="R580" s="168"/>
      <c r="S580" s="380"/>
      <c r="T580" s="473" t="s">
        <v>1383</v>
      </c>
      <c r="U580" s="473" t="s">
        <v>114</v>
      </c>
      <c r="AA580" s="27"/>
      <c r="AB580" s="27"/>
      <c r="AC580" s="809"/>
      <c r="AD580" s="481"/>
    </row>
    <row r="581" spans="3:30" ht="10.5" customHeight="1">
      <c r="C581" s="1526" t="s">
        <v>4539</v>
      </c>
      <c r="D581" s="1523">
        <v>0</v>
      </c>
      <c r="E581" s="1523">
        <v>0</v>
      </c>
      <c r="F581" s="1524">
        <v>0</v>
      </c>
      <c r="G581" s="1537" t="s">
        <v>4539</v>
      </c>
      <c r="H581" s="1521">
        <v>1</v>
      </c>
      <c r="I581" s="1521">
        <v>0</v>
      </c>
      <c r="J581" s="1538">
        <v>1</v>
      </c>
      <c r="K581" s="1525"/>
      <c r="L581" s="1519">
        <v>13051010200</v>
      </c>
      <c r="M581" s="1520">
        <v>1</v>
      </c>
      <c r="N581" s="1520">
        <v>0</v>
      </c>
      <c r="O581" s="1520">
        <v>1</v>
      </c>
      <c r="P581" s="504" t="s">
        <v>1573</v>
      </c>
      <c r="Q581" s="287"/>
      <c r="R581" s="168"/>
      <c r="S581" s="380"/>
      <c r="T581" s="473" t="s">
        <v>2341</v>
      </c>
      <c r="U581" s="473" t="s">
        <v>2376</v>
      </c>
      <c r="AA581" s="27"/>
      <c r="AB581" s="27"/>
      <c r="AC581" s="809"/>
      <c r="AD581" s="481"/>
    </row>
    <row r="582" spans="3:30" ht="10.5" customHeight="1">
      <c r="C582" s="1526" t="s">
        <v>4540</v>
      </c>
      <c r="D582" s="1523">
        <v>0</v>
      </c>
      <c r="E582" s="1523">
        <v>0</v>
      </c>
      <c r="F582" s="1524">
        <v>0</v>
      </c>
      <c r="G582" s="1537" t="s">
        <v>4540</v>
      </c>
      <c r="H582" s="1521">
        <v>0</v>
      </c>
      <c r="I582" s="1521" t="s">
        <v>4096</v>
      </c>
      <c r="J582" s="1538">
        <v>0</v>
      </c>
      <c r="K582" s="1525"/>
      <c r="L582" s="1519">
        <v>13051010501</v>
      </c>
      <c r="M582" s="1520">
        <v>0</v>
      </c>
      <c r="N582" s="1520">
        <v>0</v>
      </c>
      <c r="O582" s="1520">
        <v>0</v>
      </c>
      <c r="P582" s="504" t="s">
        <v>2169</v>
      </c>
      <c r="Q582" s="287"/>
      <c r="R582" s="168"/>
      <c r="S582" s="380"/>
      <c r="T582" s="505" t="s">
        <v>1735</v>
      </c>
      <c r="U582" s="505" t="s">
        <v>2469</v>
      </c>
      <c r="AA582" s="27"/>
      <c r="AB582" s="27"/>
      <c r="AC582" s="810"/>
      <c r="AD582" s="481"/>
    </row>
    <row r="583" spans="3:30" ht="10.5" customHeight="1">
      <c r="C583" s="1526" t="s">
        <v>4541</v>
      </c>
      <c r="D583" s="1523">
        <v>0</v>
      </c>
      <c r="E583" s="1523">
        <v>0</v>
      </c>
      <c r="F583" s="1524">
        <v>0</v>
      </c>
      <c r="G583" s="1537" t="s">
        <v>4541</v>
      </c>
      <c r="H583" s="1521">
        <v>0</v>
      </c>
      <c r="I583" s="1521">
        <v>0</v>
      </c>
      <c r="J583" s="1538">
        <v>0</v>
      </c>
      <c r="K583" s="1525"/>
      <c r="L583" s="1519">
        <v>13051010502</v>
      </c>
      <c r="M583" s="1520">
        <v>0</v>
      </c>
      <c r="N583" s="1520">
        <v>0</v>
      </c>
      <c r="O583" s="1520">
        <v>0</v>
      </c>
      <c r="P583" s="504" t="s">
        <v>531</v>
      </c>
      <c r="Q583" s="287"/>
      <c r="R583" s="168"/>
      <c r="S583" s="380"/>
      <c r="T583" s="473" t="s">
        <v>1743</v>
      </c>
      <c r="U583" s="473" t="s">
        <v>97</v>
      </c>
      <c r="AA583" s="27"/>
      <c r="AB583" s="27"/>
      <c r="AC583" s="809"/>
      <c r="AD583" s="481"/>
    </row>
    <row r="584" spans="3:30" ht="10.5" customHeight="1">
      <c r="C584" s="1526" t="s">
        <v>4542</v>
      </c>
      <c r="D584" s="1523">
        <v>0</v>
      </c>
      <c r="E584" s="1523">
        <v>0</v>
      </c>
      <c r="F584" s="1524">
        <v>0</v>
      </c>
      <c r="G584" s="1537" t="s">
        <v>4542</v>
      </c>
      <c r="H584" s="1521">
        <v>0</v>
      </c>
      <c r="I584" s="1521">
        <v>0</v>
      </c>
      <c r="J584" s="1538">
        <v>0</v>
      </c>
      <c r="K584" s="1525"/>
      <c r="L584" s="1519">
        <v>13051010601</v>
      </c>
      <c r="M584" s="1520">
        <v>0</v>
      </c>
      <c r="N584" s="1520">
        <v>0</v>
      </c>
      <c r="O584" s="1520">
        <v>0</v>
      </c>
      <c r="P584" s="504" t="s">
        <v>533</v>
      </c>
      <c r="Q584" s="287"/>
      <c r="R584" s="168"/>
      <c r="S584" s="380"/>
      <c r="T584" s="473" t="s">
        <v>1745</v>
      </c>
      <c r="U584" s="473" t="s">
        <v>2139</v>
      </c>
      <c r="AA584" s="27"/>
      <c r="AB584" s="27"/>
      <c r="AC584" s="809"/>
      <c r="AD584" s="481"/>
    </row>
    <row r="585" spans="3:30" ht="10.5" customHeight="1">
      <c r="C585" s="1526" t="s">
        <v>4543</v>
      </c>
      <c r="D585" s="1523">
        <v>1</v>
      </c>
      <c r="E585" s="1523">
        <v>0</v>
      </c>
      <c r="F585" s="1524">
        <v>1</v>
      </c>
      <c r="G585" s="1537" t="s">
        <v>4543</v>
      </c>
      <c r="H585" s="1521">
        <v>1</v>
      </c>
      <c r="I585" s="1521">
        <v>0</v>
      </c>
      <c r="J585" s="1538">
        <v>1</v>
      </c>
      <c r="K585" s="1525"/>
      <c r="L585" s="1519">
        <v>13051010603</v>
      </c>
      <c r="M585" s="1520">
        <v>1</v>
      </c>
      <c r="N585" s="1520">
        <v>0</v>
      </c>
      <c r="O585" s="1520">
        <v>1</v>
      </c>
      <c r="P585" s="504" t="s">
        <v>535</v>
      </c>
      <c r="Q585" s="287"/>
      <c r="R585" s="168"/>
      <c r="S585" s="380"/>
      <c r="T585" s="473" t="s">
        <v>1748</v>
      </c>
      <c r="U585" s="473" t="s">
        <v>2139</v>
      </c>
      <c r="AA585" s="27"/>
      <c r="AB585" s="27"/>
      <c r="AC585" s="809"/>
      <c r="AD585" s="481"/>
    </row>
    <row r="586" spans="3:30" ht="10.5" customHeight="1">
      <c r="C586" s="1526" t="s">
        <v>4544</v>
      </c>
      <c r="D586" s="1523" t="s">
        <v>4096</v>
      </c>
      <c r="E586" s="1523" t="s">
        <v>4096</v>
      </c>
      <c r="F586" s="1524">
        <v>0</v>
      </c>
      <c r="G586" s="1537" t="s">
        <v>4544</v>
      </c>
      <c r="H586" s="1521" t="s">
        <v>4096</v>
      </c>
      <c r="I586" s="1521" t="s">
        <v>4096</v>
      </c>
      <c r="J586" s="1538">
        <v>0</v>
      </c>
      <c r="K586" s="1525"/>
      <c r="L586" s="1519">
        <v>13051010605</v>
      </c>
      <c r="M586" s="1520">
        <v>0</v>
      </c>
      <c r="N586" s="1520">
        <v>0</v>
      </c>
      <c r="O586" s="1520">
        <v>0</v>
      </c>
      <c r="P586" s="504" t="s">
        <v>1960</v>
      </c>
      <c r="Q586" s="287"/>
      <c r="R586" s="168"/>
      <c r="S586" s="380"/>
      <c r="T586" s="473" t="s">
        <v>1750</v>
      </c>
      <c r="U586" s="473" t="s">
        <v>300</v>
      </c>
      <c r="AA586" s="27"/>
      <c r="AB586" s="27"/>
      <c r="AC586" s="809"/>
      <c r="AD586" s="481"/>
    </row>
    <row r="587" spans="3:30" ht="10.5" customHeight="1">
      <c r="C587" s="1526" t="s">
        <v>4545</v>
      </c>
      <c r="D587" s="1523">
        <v>1</v>
      </c>
      <c r="E587" s="1523">
        <v>1</v>
      </c>
      <c r="F587" s="1524">
        <v>2</v>
      </c>
      <c r="G587" s="1537" t="s">
        <v>4545</v>
      </c>
      <c r="H587" s="1521">
        <v>1</v>
      </c>
      <c r="I587" s="1521">
        <v>1</v>
      </c>
      <c r="J587" s="1538">
        <v>2</v>
      </c>
      <c r="K587" s="1525"/>
      <c r="L587" s="1519">
        <v>13051010700</v>
      </c>
      <c r="M587" s="1520">
        <v>1</v>
      </c>
      <c r="N587" s="1520">
        <v>1</v>
      </c>
      <c r="O587" s="1520">
        <v>2</v>
      </c>
      <c r="P587" s="504" t="s">
        <v>1391</v>
      </c>
      <c r="Q587" s="287"/>
      <c r="R587" s="168"/>
      <c r="S587" s="380"/>
      <c r="T587" s="473" t="s">
        <v>1752</v>
      </c>
      <c r="U587" s="473" t="s">
        <v>1593</v>
      </c>
      <c r="AA587" s="27"/>
      <c r="AB587" s="27"/>
      <c r="AC587" s="809"/>
      <c r="AD587" s="481"/>
    </row>
    <row r="588" spans="3:30" ht="10.5" customHeight="1">
      <c r="C588" s="1526" t="s">
        <v>4546</v>
      </c>
      <c r="D588" s="1523">
        <v>1</v>
      </c>
      <c r="E588" s="1523">
        <v>0</v>
      </c>
      <c r="F588" s="1524">
        <v>1</v>
      </c>
      <c r="G588" s="1537" t="s">
        <v>4546</v>
      </c>
      <c r="H588" s="1521">
        <v>1</v>
      </c>
      <c r="I588" s="1521">
        <v>0</v>
      </c>
      <c r="J588" s="1538">
        <v>1</v>
      </c>
      <c r="K588" s="1525"/>
      <c r="L588" s="1519">
        <v>13051010801</v>
      </c>
      <c r="M588" s="1520">
        <v>1</v>
      </c>
      <c r="N588" s="1520">
        <v>0</v>
      </c>
      <c r="O588" s="1520">
        <v>1</v>
      </c>
      <c r="P588" s="504" t="s">
        <v>1393</v>
      </c>
      <c r="Q588" s="287"/>
      <c r="R588" s="168"/>
      <c r="S588" s="380"/>
      <c r="T588" s="473" t="s">
        <v>1754</v>
      </c>
      <c r="U588" s="473" t="s">
        <v>310</v>
      </c>
      <c r="AA588" s="27"/>
      <c r="AB588" s="27"/>
      <c r="AC588" s="809"/>
      <c r="AD588" s="481"/>
    </row>
    <row r="589" spans="3:30" ht="10.5" customHeight="1">
      <c r="C589" s="1526" t="s">
        <v>4547</v>
      </c>
      <c r="D589" s="1523">
        <v>1</v>
      </c>
      <c r="E589" s="1523">
        <v>1</v>
      </c>
      <c r="F589" s="1524">
        <v>2</v>
      </c>
      <c r="G589" s="1537" t="s">
        <v>4547</v>
      </c>
      <c r="H589" s="1521">
        <v>1</v>
      </c>
      <c r="I589" s="1521">
        <v>1</v>
      </c>
      <c r="J589" s="1538">
        <v>2</v>
      </c>
      <c r="K589" s="1525"/>
      <c r="L589" s="1519">
        <v>13051010802</v>
      </c>
      <c r="M589" s="1520">
        <v>1</v>
      </c>
      <c r="N589" s="1520">
        <v>1</v>
      </c>
      <c r="O589" s="1520">
        <v>2</v>
      </c>
      <c r="P589" s="504" t="s">
        <v>1394</v>
      </c>
      <c r="Q589" s="287"/>
      <c r="R589" s="168"/>
      <c r="S589" s="380"/>
      <c r="T589" s="473" t="s">
        <v>2469</v>
      </c>
      <c r="U589" s="473" t="s">
        <v>99</v>
      </c>
      <c r="AA589" s="27"/>
      <c r="AB589" s="27"/>
      <c r="AC589" s="809"/>
      <c r="AD589" s="481"/>
    </row>
    <row r="590" spans="3:30" ht="10.5" customHeight="1">
      <c r="C590" s="1526" t="s">
        <v>4548</v>
      </c>
      <c r="D590" s="1523">
        <v>1</v>
      </c>
      <c r="E590" s="1523">
        <v>1</v>
      </c>
      <c r="F590" s="1524">
        <v>2</v>
      </c>
      <c r="G590" s="1537" t="s">
        <v>4548</v>
      </c>
      <c r="H590" s="1521">
        <v>0</v>
      </c>
      <c r="I590" s="1521">
        <v>1</v>
      </c>
      <c r="J590" s="1538">
        <v>1</v>
      </c>
      <c r="K590" s="1525"/>
      <c r="L590" s="1519">
        <v>13051010803</v>
      </c>
      <c r="M590" s="1520">
        <v>1</v>
      </c>
      <c r="N590" s="1520">
        <v>1</v>
      </c>
      <c r="O590" s="1520">
        <v>2</v>
      </c>
      <c r="P590" s="504" t="s">
        <v>1517</v>
      </c>
      <c r="Q590" s="287"/>
      <c r="R590" s="168"/>
      <c r="S590" s="380"/>
      <c r="T590" s="473" t="s">
        <v>1856</v>
      </c>
      <c r="U590" s="473" t="s">
        <v>101</v>
      </c>
      <c r="AA590" s="27"/>
      <c r="AB590" s="27"/>
      <c r="AC590" s="809"/>
      <c r="AD590" s="481"/>
    </row>
    <row r="591" spans="3:30" ht="10.5" customHeight="1">
      <c r="C591" s="1526" t="s">
        <v>4549</v>
      </c>
      <c r="D591" s="1523">
        <v>1</v>
      </c>
      <c r="E591" s="1523">
        <v>1</v>
      </c>
      <c r="F591" s="1524">
        <v>2</v>
      </c>
      <c r="G591" s="1537" t="s">
        <v>4549</v>
      </c>
      <c r="H591" s="1521">
        <v>0</v>
      </c>
      <c r="I591" s="1521" t="s">
        <v>4096</v>
      </c>
      <c r="J591" s="1538">
        <v>0</v>
      </c>
      <c r="K591" s="1525"/>
      <c r="L591" s="1519">
        <v>13051010806</v>
      </c>
      <c r="M591" s="1520">
        <v>1</v>
      </c>
      <c r="N591" s="1520">
        <v>1</v>
      </c>
      <c r="O591" s="1520">
        <v>2</v>
      </c>
      <c r="P591" s="504" t="s">
        <v>2024</v>
      </c>
      <c r="Q591" s="287"/>
      <c r="R591" s="168"/>
      <c r="S591" s="380"/>
      <c r="T591" s="473" t="s">
        <v>1726</v>
      </c>
      <c r="U591" s="473" t="s">
        <v>1054</v>
      </c>
      <c r="AA591" s="27"/>
      <c r="AB591" s="27"/>
      <c r="AC591" s="809"/>
      <c r="AD591" s="481"/>
    </row>
    <row r="592" spans="3:30" ht="10.5" customHeight="1">
      <c r="C592" s="1526" t="s">
        <v>4550</v>
      </c>
      <c r="D592" s="1523">
        <v>1</v>
      </c>
      <c r="E592" s="1523">
        <v>1</v>
      </c>
      <c r="F592" s="1524">
        <v>2</v>
      </c>
      <c r="G592" s="1537" t="s">
        <v>4550</v>
      </c>
      <c r="H592" s="1521">
        <v>1</v>
      </c>
      <c r="I592" s="1521">
        <v>1</v>
      </c>
      <c r="J592" s="1538">
        <v>2</v>
      </c>
      <c r="K592" s="1525"/>
      <c r="L592" s="1519">
        <v>13051010807</v>
      </c>
      <c r="M592" s="1520">
        <v>1</v>
      </c>
      <c r="N592" s="1520">
        <v>1</v>
      </c>
      <c r="O592" s="1520">
        <v>2</v>
      </c>
      <c r="P592" s="504" t="s">
        <v>2026</v>
      </c>
      <c r="Q592" s="287"/>
      <c r="R592" s="168"/>
      <c r="S592" s="380"/>
      <c r="T592" s="473" t="s">
        <v>2470</v>
      </c>
      <c r="U592" s="473" t="s">
        <v>1271</v>
      </c>
      <c r="AA592" s="27"/>
      <c r="AB592" s="27"/>
      <c r="AC592" s="809"/>
      <c r="AD592" s="481"/>
    </row>
    <row r="593" spans="3:30" ht="10.5" customHeight="1">
      <c r="C593" s="1526" t="s">
        <v>4551</v>
      </c>
      <c r="D593" s="1523">
        <v>1</v>
      </c>
      <c r="E593" s="1523">
        <v>0</v>
      </c>
      <c r="F593" s="1524">
        <v>1</v>
      </c>
      <c r="G593" s="1537" t="s">
        <v>4551</v>
      </c>
      <c r="H593" s="1521">
        <v>1</v>
      </c>
      <c r="I593" s="1521">
        <v>0</v>
      </c>
      <c r="J593" s="1538">
        <v>1</v>
      </c>
      <c r="K593" s="1525"/>
      <c r="L593" s="1519">
        <v>13051010808</v>
      </c>
      <c r="M593" s="1520">
        <v>1</v>
      </c>
      <c r="N593" s="1520">
        <v>0</v>
      </c>
      <c r="O593" s="1520">
        <v>1</v>
      </c>
      <c r="P593" s="504" t="s">
        <v>2028</v>
      </c>
      <c r="Q593" s="287"/>
      <c r="R593" s="168"/>
      <c r="S593" s="380"/>
      <c r="T593" s="505" t="s">
        <v>1572</v>
      </c>
      <c r="U593" s="505" t="s">
        <v>2072</v>
      </c>
      <c r="AA593" s="27"/>
      <c r="AB593" s="27"/>
      <c r="AC593" s="810"/>
      <c r="AD593" s="481"/>
    </row>
    <row r="594" spans="3:30" ht="10.5" customHeight="1">
      <c r="C594" s="1526" t="s">
        <v>4552</v>
      </c>
      <c r="D594" s="1523">
        <v>1</v>
      </c>
      <c r="E594" s="1523">
        <v>1</v>
      </c>
      <c r="F594" s="1524">
        <v>2</v>
      </c>
      <c r="G594" s="1537" t="s">
        <v>4552</v>
      </c>
      <c r="H594" s="1521">
        <v>1</v>
      </c>
      <c r="I594" s="1521">
        <v>1</v>
      </c>
      <c r="J594" s="1538">
        <v>2</v>
      </c>
      <c r="K594" s="1525"/>
      <c r="L594" s="1519">
        <v>13051010809</v>
      </c>
      <c r="M594" s="1520">
        <v>1</v>
      </c>
      <c r="N594" s="1520">
        <v>1</v>
      </c>
      <c r="O594" s="1520">
        <v>2</v>
      </c>
      <c r="P594" s="504" t="s">
        <v>1385</v>
      </c>
      <c r="Q594" s="287"/>
      <c r="R594" s="168"/>
      <c r="S594" s="380"/>
      <c r="T594" s="473" t="s">
        <v>798</v>
      </c>
      <c r="U594" s="473" t="s">
        <v>2079</v>
      </c>
      <c r="AA594" s="27"/>
      <c r="AB594" s="27"/>
      <c r="AC594" s="809"/>
      <c r="AD594" s="481"/>
    </row>
    <row r="595" spans="3:30" ht="10.5" customHeight="1">
      <c r="C595" s="1526" t="s">
        <v>4553</v>
      </c>
      <c r="D595" s="1523">
        <v>0</v>
      </c>
      <c r="E595" s="1523">
        <v>0</v>
      </c>
      <c r="F595" s="1524">
        <v>0</v>
      </c>
      <c r="G595" s="1537" t="s">
        <v>4553</v>
      </c>
      <c r="H595" s="1521">
        <v>0</v>
      </c>
      <c r="I595" s="1521">
        <v>0</v>
      </c>
      <c r="J595" s="1538">
        <v>0</v>
      </c>
      <c r="K595" s="1525"/>
      <c r="L595" s="1519">
        <v>13051010901</v>
      </c>
      <c r="M595" s="1520">
        <v>0</v>
      </c>
      <c r="N595" s="1520">
        <v>0</v>
      </c>
      <c r="O595" s="1520">
        <v>0</v>
      </c>
      <c r="P595" s="504" t="s">
        <v>1387</v>
      </c>
      <c r="Q595" s="287"/>
      <c r="R595" s="168"/>
      <c r="S595" s="380"/>
      <c r="T595" s="473" t="s">
        <v>2168</v>
      </c>
      <c r="U595" s="473" t="s">
        <v>1595</v>
      </c>
      <c r="AA595" s="27"/>
      <c r="AB595" s="27"/>
      <c r="AC595" s="809"/>
      <c r="AD595" s="481"/>
    </row>
    <row r="596" spans="3:30" ht="10.5" customHeight="1">
      <c r="C596" s="1526" t="s">
        <v>4554</v>
      </c>
      <c r="D596" s="1523">
        <v>1</v>
      </c>
      <c r="E596" s="1523">
        <v>1</v>
      </c>
      <c r="F596" s="1524">
        <v>2</v>
      </c>
      <c r="G596" s="1537" t="s">
        <v>4554</v>
      </c>
      <c r="H596" s="1521">
        <v>1</v>
      </c>
      <c r="I596" s="1521">
        <v>0</v>
      </c>
      <c r="J596" s="1538">
        <v>1</v>
      </c>
      <c r="K596" s="1525"/>
      <c r="L596" s="1519">
        <v>13051011003</v>
      </c>
      <c r="M596" s="1520">
        <v>1</v>
      </c>
      <c r="N596" s="1520">
        <v>1</v>
      </c>
      <c r="O596" s="1520">
        <v>2</v>
      </c>
      <c r="P596" s="504" t="s">
        <v>1491</v>
      </c>
      <c r="Q596" s="287"/>
      <c r="R596" s="168"/>
      <c r="S596" s="380"/>
      <c r="T596" s="473" t="s">
        <v>2170</v>
      </c>
      <c r="U596" s="473" t="s">
        <v>2076</v>
      </c>
      <c r="AA596" s="27"/>
      <c r="AB596" s="27"/>
      <c r="AC596" s="809"/>
      <c r="AD596" s="481"/>
    </row>
    <row r="597" spans="3:30" ht="10.5" customHeight="1">
      <c r="C597" s="1526" t="s">
        <v>4555</v>
      </c>
      <c r="D597" s="1523">
        <v>1</v>
      </c>
      <c r="E597" s="1523">
        <v>1</v>
      </c>
      <c r="F597" s="1524">
        <v>2</v>
      </c>
      <c r="G597" s="1537" t="s">
        <v>4555</v>
      </c>
      <c r="H597" s="1521">
        <v>1</v>
      </c>
      <c r="I597" s="1521">
        <v>1</v>
      </c>
      <c r="J597" s="1538">
        <v>2</v>
      </c>
      <c r="K597" s="1525"/>
      <c r="L597" s="1519">
        <v>13051011004</v>
      </c>
      <c r="M597" s="1520">
        <v>1</v>
      </c>
      <c r="N597" s="1520">
        <v>1</v>
      </c>
      <c r="O597" s="1520">
        <v>2</v>
      </c>
      <c r="P597" s="504" t="s">
        <v>1493</v>
      </c>
      <c r="Q597" s="287"/>
      <c r="R597" s="168"/>
      <c r="S597" s="380"/>
      <c r="T597" s="473" t="s">
        <v>532</v>
      </c>
      <c r="U597" s="473" t="s">
        <v>2468</v>
      </c>
      <c r="AA597" s="27"/>
      <c r="AB597" s="27"/>
      <c r="AC597" s="809"/>
      <c r="AD597" s="481"/>
    </row>
    <row r="598" spans="3:30" ht="10.5" customHeight="1">
      <c r="C598" s="1526" t="s">
        <v>4556</v>
      </c>
      <c r="D598" s="1523">
        <v>1</v>
      </c>
      <c r="E598" s="1523">
        <v>1</v>
      </c>
      <c r="F598" s="1524">
        <v>2</v>
      </c>
      <c r="G598" s="1537" t="s">
        <v>4556</v>
      </c>
      <c r="H598" s="1521">
        <v>0</v>
      </c>
      <c r="I598" s="1521">
        <v>1</v>
      </c>
      <c r="J598" s="1538">
        <v>1</v>
      </c>
      <c r="K598" s="1525"/>
      <c r="L598" s="1519">
        <v>13051011005</v>
      </c>
      <c r="M598" s="1520">
        <v>1</v>
      </c>
      <c r="N598" s="1520">
        <v>1</v>
      </c>
      <c r="O598" s="1520">
        <v>2</v>
      </c>
      <c r="P598" s="504" t="s">
        <v>1958</v>
      </c>
      <c r="Q598" s="287"/>
      <c r="R598" s="168"/>
      <c r="S598" s="380"/>
      <c r="T598" s="473" t="s">
        <v>534</v>
      </c>
      <c r="U598" s="473" t="s">
        <v>1160</v>
      </c>
      <c r="AA598" s="27"/>
      <c r="AB598" s="27"/>
      <c r="AC598" s="809"/>
      <c r="AD598" s="481"/>
    </row>
    <row r="599" spans="3:30" ht="10.5" customHeight="1">
      <c r="C599" s="1526" t="s">
        <v>4557</v>
      </c>
      <c r="D599" s="1523">
        <v>1</v>
      </c>
      <c r="E599" s="1523">
        <v>1</v>
      </c>
      <c r="F599" s="1524">
        <v>2</v>
      </c>
      <c r="G599" s="1537" t="s">
        <v>4557</v>
      </c>
      <c r="H599" s="1521">
        <v>1</v>
      </c>
      <c r="I599" s="1521">
        <v>1</v>
      </c>
      <c r="J599" s="1538">
        <v>2</v>
      </c>
      <c r="K599" s="1525"/>
      <c r="L599" s="1519">
        <v>13051011006</v>
      </c>
      <c r="M599" s="1520">
        <v>1</v>
      </c>
      <c r="N599" s="1520">
        <v>1</v>
      </c>
      <c r="O599" s="1520">
        <v>2</v>
      </c>
      <c r="P599" s="504" t="s">
        <v>1784</v>
      </c>
      <c r="Q599" s="287"/>
      <c r="R599" s="168"/>
      <c r="S599" s="380"/>
      <c r="T599" s="473" t="s">
        <v>1023</v>
      </c>
      <c r="U599" s="473" t="s">
        <v>598</v>
      </c>
      <c r="AA599" s="27"/>
      <c r="AB599" s="27"/>
      <c r="AC599" s="809"/>
      <c r="AD599" s="481"/>
    </row>
    <row r="600" spans="3:30" ht="10.5" customHeight="1">
      <c r="C600" s="1526" t="s">
        <v>4558</v>
      </c>
      <c r="D600" s="1523">
        <v>1</v>
      </c>
      <c r="E600" s="1523">
        <v>1</v>
      </c>
      <c r="F600" s="1524">
        <v>2</v>
      </c>
      <c r="G600" s="1537" t="s">
        <v>4558</v>
      </c>
      <c r="H600" s="1521">
        <v>1</v>
      </c>
      <c r="I600" s="1521">
        <v>0</v>
      </c>
      <c r="J600" s="1538">
        <v>1</v>
      </c>
      <c r="K600" s="1525"/>
      <c r="L600" s="1519">
        <v>13051011103</v>
      </c>
      <c r="M600" s="1520">
        <v>1</v>
      </c>
      <c r="N600" s="1520">
        <v>1</v>
      </c>
      <c r="O600" s="1520">
        <v>2</v>
      </c>
      <c r="P600" s="504" t="s">
        <v>266</v>
      </c>
      <c r="Q600" s="287"/>
      <c r="R600" s="168"/>
      <c r="S600" s="380"/>
      <c r="T600" s="473" t="s">
        <v>536</v>
      </c>
      <c r="U600" s="473" t="s">
        <v>1592</v>
      </c>
      <c r="AA600" s="27"/>
      <c r="AB600" s="27"/>
      <c r="AC600" s="809"/>
      <c r="AD600" s="481"/>
    </row>
    <row r="601" spans="3:30" ht="10.5" customHeight="1">
      <c r="C601" s="1526" t="s">
        <v>4559</v>
      </c>
      <c r="D601" s="1523">
        <v>1</v>
      </c>
      <c r="E601" s="1523">
        <v>1</v>
      </c>
      <c r="F601" s="1524">
        <v>2</v>
      </c>
      <c r="G601" s="1537" t="s">
        <v>4559</v>
      </c>
      <c r="H601" s="1521">
        <v>1</v>
      </c>
      <c r="I601" s="1521">
        <v>1</v>
      </c>
      <c r="J601" s="1538">
        <v>2</v>
      </c>
      <c r="K601" s="1525"/>
      <c r="L601" s="1519">
        <v>13051011104</v>
      </c>
      <c r="M601" s="1520">
        <v>1</v>
      </c>
      <c r="N601" s="1520">
        <v>1</v>
      </c>
      <c r="O601" s="1520">
        <v>2</v>
      </c>
      <c r="P601" s="504" t="s">
        <v>1608</v>
      </c>
      <c r="Q601" s="287"/>
      <c r="R601" s="168"/>
      <c r="S601" s="380"/>
      <c r="T601" s="473" t="s">
        <v>1136</v>
      </c>
      <c r="U601" s="473" t="s">
        <v>1054</v>
      </c>
      <c r="AA601" s="27"/>
      <c r="AB601" s="27"/>
      <c r="AC601" s="809"/>
      <c r="AD601" s="481"/>
    </row>
    <row r="602" spans="3:30" ht="10.5" customHeight="1">
      <c r="C602" s="1526" t="s">
        <v>4560</v>
      </c>
      <c r="D602" s="1523">
        <v>1</v>
      </c>
      <c r="E602" s="1523">
        <v>1</v>
      </c>
      <c r="F602" s="1524">
        <v>2</v>
      </c>
      <c r="G602" s="1537" t="s">
        <v>4560</v>
      </c>
      <c r="H602" s="1521">
        <v>1</v>
      </c>
      <c r="I602" s="1521">
        <v>1</v>
      </c>
      <c r="J602" s="1538">
        <v>2</v>
      </c>
      <c r="K602" s="1525"/>
      <c r="L602" s="1519">
        <v>13051011106</v>
      </c>
      <c r="M602" s="1520">
        <v>1</v>
      </c>
      <c r="N602" s="1520">
        <v>1</v>
      </c>
      <c r="O602" s="1520">
        <v>2</v>
      </c>
      <c r="P602" s="504" t="s">
        <v>250</v>
      </c>
      <c r="Q602" s="287"/>
      <c r="R602" s="168"/>
      <c r="S602" s="380"/>
      <c r="T602" s="473" t="s">
        <v>1392</v>
      </c>
      <c r="U602" s="473" t="s">
        <v>1593</v>
      </c>
      <c r="AA602" s="27"/>
      <c r="AB602" s="27"/>
      <c r="AC602" s="809"/>
      <c r="AD602" s="481"/>
    </row>
    <row r="603" spans="3:30" ht="10.5" customHeight="1">
      <c r="C603" s="1526" t="s">
        <v>4561</v>
      </c>
      <c r="D603" s="1523">
        <v>1</v>
      </c>
      <c r="E603" s="1523">
        <v>1</v>
      </c>
      <c r="F603" s="1524">
        <v>2</v>
      </c>
      <c r="G603" s="1537" t="s">
        <v>4561</v>
      </c>
      <c r="H603" s="1521">
        <v>1</v>
      </c>
      <c r="I603" s="1521">
        <v>0</v>
      </c>
      <c r="J603" s="1538">
        <v>1</v>
      </c>
      <c r="K603" s="1525"/>
      <c r="L603" s="1519">
        <v>13051011107</v>
      </c>
      <c r="M603" s="1520">
        <v>1</v>
      </c>
      <c r="N603" s="1520">
        <v>1</v>
      </c>
      <c r="O603" s="1520">
        <v>2</v>
      </c>
      <c r="P603" s="504" t="s">
        <v>264</v>
      </c>
      <c r="Q603" s="287"/>
      <c r="R603" s="168"/>
      <c r="S603" s="380"/>
      <c r="T603" s="473" t="s">
        <v>2658</v>
      </c>
      <c r="U603" s="473" t="s">
        <v>1270</v>
      </c>
      <c r="AA603" s="27"/>
      <c r="AB603" s="27"/>
      <c r="AC603" s="809"/>
      <c r="AD603" s="481"/>
    </row>
    <row r="604" spans="3:30" ht="10.5" customHeight="1">
      <c r="C604" s="1526" t="s">
        <v>4562</v>
      </c>
      <c r="D604" s="1523">
        <v>1</v>
      </c>
      <c r="E604" s="1523">
        <v>1</v>
      </c>
      <c r="F604" s="1524">
        <v>2</v>
      </c>
      <c r="G604" s="1537" t="s">
        <v>4562</v>
      </c>
      <c r="H604" s="1521">
        <v>1</v>
      </c>
      <c r="I604" s="1521">
        <v>1</v>
      </c>
      <c r="J604" s="1538">
        <v>2</v>
      </c>
      <c r="K604" s="1525"/>
      <c r="L604" s="1519">
        <v>13051011108</v>
      </c>
      <c r="M604" s="1520">
        <v>1</v>
      </c>
      <c r="N604" s="1520">
        <v>1</v>
      </c>
      <c r="O604" s="1520">
        <v>2</v>
      </c>
      <c r="P604" s="504" t="s">
        <v>1140</v>
      </c>
      <c r="Q604" s="287"/>
      <c r="R604" s="168"/>
      <c r="S604" s="380"/>
      <c r="T604" s="473" t="s">
        <v>1395</v>
      </c>
      <c r="U604" s="473" t="s">
        <v>627</v>
      </c>
      <c r="AA604" s="27"/>
      <c r="AB604" s="27"/>
      <c r="AC604" s="809"/>
      <c r="AD604" s="481"/>
    </row>
    <row r="605" spans="3:30" ht="10.5" customHeight="1">
      <c r="C605" s="1526" t="s">
        <v>4563</v>
      </c>
      <c r="D605" s="1523">
        <v>1</v>
      </c>
      <c r="E605" s="1523">
        <v>1</v>
      </c>
      <c r="F605" s="1524">
        <v>2</v>
      </c>
      <c r="G605" s="1537" t="s">
        <v>4563</v>
      </c>
      <c r="H605" s="1521">
        <v>1</v>
      </c>
      <c r="I605" s="1521">
        <v>1</v>
      </c>
      <c r="J605" s="1538">
        <v>2</v>
      </c>
      <c r="K605" s="1525"/>
      <c r="L605" s="1519">
        <v>13051011109</v>
      </c>
      <c r="M605" s="1520">
        <v>1</v>
      </c>
      <c r="N605" s="1520">
        <v>1</v>
      </c>
      <c r="O605" s="1520">
        <v>2</v>
      </c>
      <c r="P605" s="504" t="s">
        <v>713</v>
      </c>
      <c r="Q605" s="287"/>
      <c r="R605" s="168"/>
      <c r="S605" s="380"/>
      <c r="T605" s="473" t="s">
        <v>2659</v>
      </c>
      <c r="U605" s="473" t="s">
        <v>114</v>
      </c>
      <c r="AA605" s="27"/>
      <c r="AB605" s="27"/>
      <c r="AC605" s="809"/>
      <c r="AD605" s="481"/>
    </row>
    <row r="606" spans="3:30" ht="10.5" customHeight="1">
      <c r="C606" s="1526" t="s">
        <v>4564</v>
      </c>
      <c r="D606" s="1523">
        <v>0</v>
      </c>
      <c r="E606" s="1523">
        <v>1</v>
      </c>
      <c r="F606" s="1524">
        <v>1</v>
      </c>
      <c r="G606" s="1537" t="s">
        <v>4564</v>
      </c>
      <c r="H606" s="1521">
        <v>0</v>
      </c>
      <c r="I606" s="1521">
        <v>1</v>
      </c>
      <c r="J606" s="1538">
        <v>1</v>
      </c>
      <c r="K606" s="1525"/>
      <c r="L606" s="1519">
        <v>13051011200</v>
      </c>
      <c r="M606" s="1520">
        <v>0</v>
      </c>
      <c r="N606" s="1520">
        <v>1</v>
      </c>
      <c r="O606" s="1520">
        <v>1</v>
      </c>
      <c r="P606" s="504" t="s">
        <v>715</v>
      </c>
      <c r="Q606" s="287"/>
      <c r="R606" s="168"/>
      <c r="S606" s="380"/>
      <c r="T606" s="473" t="s">
        <v>1518</v>
      </c>
      <c r="U606" s="473" t="s">
        <v>1697</v>
      </c>
      <c r="AA606" s="27"/>
      <c r="AB606" s="27"/>
      <c r="AC606" s="809"/>
      <c r="AD606" s="481"/>
    </row>
    <row r="607" spans="3:30" ht="10.5" customHeight="1">
      <c r="C607" s="1526" t="s">
        <v>4565</v>
      </c>
      <c r="D607" s="1523">
        <v>0</v>
      </c>
      <c r="E607" s="1523">
        <v>0</v>
      </c>
      <c r="F607" s="1524">
        <v>0</v>
      </c>
      <c r="G607" s="1537" t="s">
        <v>4565</v>
      </c>
      <c r="H607" s="1521">
        <v>0</v>
      </c>
      <c r="I607" s="1521">
        <v>0</v>
      </c>
      <c r="J607" s="1538">
        <v>0</v>
      </c>
      <c r="K607" s="1525"/>
      <c r="L607" s="1519">
        <v>13051011300</v>
      </c>
      <c r="M607" s="1520">
        <v>0</v>
      </c>
      <c r="N607" s="1520">
        <v>0</v>
      </c>
      <c r="O607" s="1520">
        <v>0</v>
      </c>
      <c r="P607" s="504" t="s">
        <v>988</v>
      </c>
      <c r="Q607" s="287"/>
      <c r="R607" s="168"/>
      <c r="S607" s="380"/>
      <c r="T607" s="473" t="s">
        <v>2025</v>
      </c>
      <c r="U607" s="473" t="s">
        <v>1567</v>
      </c>
      <c r="AA607" s="27"/>
      <c r="AB607" s="27"/>
      <c r="AC607" s="809"/>
      <c r="AD607" s="481"/>
    </row>
    <row r="608" spans="3:30" ht="10.5" customHeight="1">
      <c r="C608" s="1526" t="s">
        <v>4566</v>
      </c>
      <c r="D608" s="1523">
        <v>0</v>
      </c>
      <c r="E608" s="1523">
        <v>0</v>
      </c>
      <c r="F608" s="1524">
        <v>0</v>
      </c>
      <c r="G608" s="1537" t="s">
        <v>4566</v>
      </c>
      <c r="H608" s="1521">
        <v>0</v>
      </c>
      <c r="I608" s="1521" t="s">
        <v>4096</v>
      </c>
      <c r="J608" s="1538">
        <v>0</v>
      </c>
      <c r="K608" s="1525"/>
      <c r="L608" s="1519">
        <v>13051011400</v>
      </c>
      <c r="M608" s="1520">
        <v>0</v>
      </c>
      <c r="N608" s="1520">
        <v>0</v>
      </c>
      <c r="O608" s="1520">
        <v>0</v>
      </c>
      <c r="P608" s="504" t="s">
        <v>990</v>
      </c>
      <c r="Q608" s="287"/>
      <c r="R608" s="168"/>
      <c r="S608" s="380"/>
      <c r="T608" s="473" t="s">
        <v>2027</v>
      </c>
      <c r="U608" s="473" t="s">
        <v>1276</v>
      </c>
      <c r="AA608" s="27"/>
      <c r="AB608" s="27"/>
      <c r="AC608" s="809"/>
      <c r="AD608" s="481"/>
    </row>
    <row r="609" spans="3:30" ht="10.5" customHeight="1">
      <c r="C609" s="1526" t="s">
        <v>4567</v>
      </c>
      <c r="D609" s="1523">
        <v>1</v>
      </c>
      <c r="E609" s="1523">
        <v>1</v>
      </c>
      <c r="F609" s="1524">
        <v>2</v>
      </c>
      <c r="G609" s="1537" t="s">
        <v>4567</v>
      </c>
      <c r="H609" s="1521">
        <v>1</v>
      </c>
      <c r="I609" s="1521">
        <v>1</v>
      </c>
      <c r="J609" s="1538">
        <v>1</v>
      </c>
      <c r="K609" s="1525"/>
      <c r="L609" s="1519">
        <v>13051011500</v>
      </c>
      <c r="M609" s="1520">
        <v>1</v>
      </c>
      <c r="N609" s="1520">
        <v>1</v>
      </c>
      <c r="O609" s="1520">
        <v>2</v>
      </c>
      <c r="P609" s="504" t="s">
        <v>1730</v>
      </c>
      <c r="Q609" s="287"/>
      <c r="R609" s="168"/>
      <c r="S609" s="380"/>
      <c r="T609" s="505" t="s">
        <v>1384</v>
      </c>
      <c r="U609" s="505" t="s">
        <v>312</v>
      </c>
      <c r="AA609" s="27"/>
      <c r="AB609" s="27"/>
      <c r="AC609" s="810"/>
      <c r="AD609" s="481"/>
    </row>
    <row r="610" spans="3:30" ht="10.5" customHeight="1">
      <c r="C610" s="1526" t="s">
        <v>4568</v>
      </c>
      <c r="D610" s="1523">
        <v>0</v>
      </c>
      <c r="E610" s="1523">
        <v>0</v>
      </c>
      <c r="F610" s="1524">
        <v>0</v>
      </c>
      <c r="G610" s="1537" t="s">
        <v>4568</v>
      </c>
      <c r="H610" s="1521">
        <v>0</v>
      </c>
      <c r="I610" s="1521">
        <v>0</v>
      </c>
      <c r="J610" s="1538">
        <v>0</v>
      </c>
      <c r="K610" s="1525"/>
      <c r="L610" s="1519">
        <v>13051011600</v>
      </c>
      <c r="M610" s="1520">
        <v>0</v>
      </c>
      <c r="N610" s="1520">
        <v>0</v>
      </c>
      <c r="O610" s="1520">
        <v>0</v>
      </c>
      <c r="P610" s="504" t="s">
        <v>1732</v>
      </c>
      <c r="Q610" s="287"/>
      <c r="R610" s="168"/>
      <c r="S610" s="380"/>
      <c r="T610" s="473" t="s">
        <v>2660</v>
      </c>
      <c r="U610" s="473" t="s">
        <v>319</v>
      </c>
      <c r="AA610" s="27"/>
      <c r="AB610" s="27"/>
      <c r="AC610" s="809"/>
      <c r="AD610" s="481"/>
    </row>
    <row r="611" spans="3:30" ht="10.5" customHeight="1">
      <c r="C611" s="1526" t="s">
        <v>4569</v>
      </c>
      <c r="D611" s="1523" t="s">
        <v>4096</v>
      </c>
      <c r="E611" s="1523" t="s">
        <v>4096</v>
      </c>
      <c r="F611" s="1524">
        <v>0</v>
      </c>
      <c r="G611" s="1537" t="s">
        <v>4569</v>
      </c>
      <c r="H611" s="1521" t="s">
        <v>4096</v>
      </c>
      <c r="I611" s="1521" t="s">
        <v>4096</v>
      </c>
      <c r="J611" s="1538">
        <v>0</v>
      </c>
      <c r="K611" s="1525"/>
      <c r="L611" s="1519">
        <v>13051980000</v>
      </c>
      <c r="M611" s="1520">
        <v>0</v>
      </c>
      <c r="N611" s="1520">
        <v>0</v>
      </c>
      <c r="O611" s="1520">
        <v>0</v>
      </c>
      <c r="P611" s="504" t="s">
        <v>1733</v>
      </c>
      <c r="Q611" s="287"/>
      <c r="R611" s="168"/>
      <c r="S611" s="380"/>
      <c r="T611" s="473" t="s">
        <v>1386</v>
      </c>
      <c r="U611" s="473" t="s">
        <v>309</v>
      </c>
      <c r="AA611" s="27"/>
      <c r="AB611" s="27"/>
      <c r="AC611" s="809"/>
      <c r="AD611" s="481"/>
    </row>
    <row r="612" spans="3:30" ht="10.5" customHeight="1">
      <c r="C612" s="1526" t="s">
        <v>4570</v>
      </c>
      <c r="D612" s="1523" t="s">
        <v>4096</v>
      </c>
      <c r="E612" s="1523" t="s">
        <v>4096</v>
      </c>
      <c r="F612" s="1524">
        <v>0</v>
      </c>
      <c r="G612" s="1537" t="s">
        <v>4570</v>
      </c>
      <c r="H612" s="1521" t="s">
        <v>4096</v>
      </c>
      <c r="I612" s="1521" t="s">
        <v>4096</v>
      </c>
      <c r="J612" s="1538">
        <v>0</v>
      </c>
      <c r="K612" s="1525"/>
      <c r="L612" s="1519">
        <v>13051990000</v>
      </c>
      <c r="M612" s="1520">
        <v>0</v>
      </c>
      <c r="N612" s="1520">
        <v>0</v>
      </c>
      <c r="O612" s="1520">
        <v>0</v>
      </c>
      <c r="P612" s="504" t="s">
        <v>1094</v>
      </c>
      <c r="Q612" s="287"/>
      <c r="R612" s="168"/>
      <c r="S612" s="380"/>
      <c r="T612" s="505" t="s">
        <v>1024</v>
      </c>
      <c r="U612" s="505" t="s">
        <v>1595</v>
      </c>
      <c r="AA612" s="27"/>
      <c r="AB612" s="27"/>
      <c r="AC612" s="810"/>
      <c r="AD612" s="481"/>
    </row>
    <row r="613" spans="3:30" ht="10.5" customHeight="1">
      <c r="C613" s="1526" t="s">
        <v>4571</v>
      </c>
      <c r="D613" s="1523">
        <v>0</v>
      </c>
      <c r="E613" s="1523">
        <v>0</v>
      </c>
      <c r="F613" s="1524">
        <v>0</v>
      </c>
      <c r="G613" s="1537" t="s">
        <v>4571</v>
      </c>
      <c r="H613" s="1521">
        <v>0</v>
      </c>
      <c r="I613" s="1521">
        <v>0</v>
      </c>
      <c r="J613" s="1538">
        <v>0</v>
      </c>
      <c r="K613" s="1525"/>
      <c r="L613" s="1519">
        <v>13053020100</v>
      </c>
      <c r="M613" s="1520">
        <v>0</v>
      </c>
      <c r="N613" s="1520">
        <v>0</v>
      </c>
      <c r="O613" s="1520">
        <v>0</v>
      </c>
      <c r="P613" s="504" t="s">
        <v>382</v>
      </c>
      <c r="Q613" s="287"/>
      <c r="R613" s="168"/>
      <c r="S613" s="380"/>
      <c r="T613" s="473" t="s">
        <v>1388</v>
      </c>
      <c r="U613" s="473" t="s">
        <v>598</v>
      </c>
      <c r="AA613" s="27"/>
      <c r="AB613" s="27"/>
      <c r="AC613" s="809"/>
      <c r="AD613" s="481"/>
    </row>
    <row r="614" spans="3:30" ht="10.5" customHeight="1">
      <c r="C614" s="1526" t="s">
        <v>4572</v>
      </c>
      <c r="D614" s="1523">
        <v>0</v>
      </c>
      <c r="E614" s="1523">
        <v>1</v>
      </c>
      <c r="F614" s="1524">
        <v>1</v>
      </c>
      <c r="G614" s="1537" t="s">
        <v>4572</v>
      </c>
      <c r="H614" s="1521">
        <v>0</v>
      </c>
      <c r="I614" s="1521" t="s">
        <v>4096</v>
      </c>
      <c r="J614" s="1538">
        <v>0</v>
      </c>
      <c r="K614" s="1525"/>
      <c r="L614" s="1519">
        <v>13053020201</v>
      </c>
      <c r="M614" s="1520">
        <v>0</v>
      </c>
      <c r="N614" s="1520">
        <v>1</v>
      </c>
      <c r="O614" s="1520">
        <v>1</v>
      </c>
      <c r="P614" s="504" t="s">
        <v>0</v>
      </c>
      <c r="Q614" s="287"/>
      <c r="R614" s="168"/>
      <c r="S614" s="380"/>
      <c r="T614" s="473" t="s">
        <v>1492</v>
      </c>
      <c r="U614" s="473" t="s">
        <v>304</v>
      </c>
      <c r="AA614" s="27"/>
      <c r="AB614" s="27"/>
      <c r="AC614" s="809"/>
      <c r="AD614" s="481"/>
    </row>
    <row r="615" spans="3:30" ht="10.5" customHeight="1">
      <c r="C615" s="1526" t="s">
        <v>4573</v>
      </c>
      <c r="D615" s="1523">
        <v>0</v>
      </c>
      <c r="E615" s="1523">
        <v>1</v>
      </c>
      <c r="F615" s="1524">
        <v>1</v>
      </c>
      <c r="G615" s="1537" t="s">
        <v>4573</v>
      </c>
      <c r="H615" s="1521">
        <v>0</v>
      </c>
      <c r="I615" s="1521" t="s">
        <v>4096</v>
      </c>
      <c r="J615" s="1538">
        <v>0</v>
      </c>
      <c r="K615" s="1525"/>
      <c r="L615" s="1519">
        <v>13053020203</v>
      </c>
      <c r="M615" s="1520">
        <v>0</v>
      </c>
      <c r="N615" s="1520">
        <v>1</v>
      </c>
      <c r="O615" s="1520">
        <v>1</v>
      </c>
      <c r="P615" s="504" t="s">
        <v>2</v>
      </c>
      <c r="Q615" s="287"/>
      <c r="R615" s="168"/>
      <c r="S615" s="380"/>
      <c r="T615" s="473" t="s">
        <v>1959</v>
      </c>
      <c r="U615" s="473" t="s">
        <v>917</v>
      </c>
      <c r="AA615" s="27"/>
      <c r="AB615" s="27"/>
      <c r="AC615" s="809"/>
      <c r="AD615" s="481"/>
    </row>
    <row r="616" spans="3:30" ht="10.5" customHeight="1">
      <c r="C616" s="1526" t="s">
        <v>4574</v>
      </c>
      <c r="D616" s="1523">
        <v>0</v>
      </c>
      <c r="E616" s="1523">
        <v>1</v>
      </c>
      <c r="F616" s="1524">
        <v>1</v>
      </c>
      <c r="G616" s="1537" t="s">
        <v>4574</v>
      </c>
      <c r="H616" s="1521">
        <v>0</v>
      </c>
      <c r="I616" s="1521" t="s">
        <v>4096</v>
      </c>
      <c r="J616" s="1538">
        <v>0</v>
      </c>
      <c r="K616" s="1525"/>
      <c r="L616" s="1519">
        <v>13053020205</v>
      </c>
      <c r="M616" s="1520">
        <v>0</v>
      </c>
      <c r="N616" s="1520">
        <v>1</v>
      </c>
      <c r="O616" s="1520">
        <v>1</v>
      </c>
      <c r="P616" s="504" t="s">
        <v>4</v>
      </c>
      <c r="Q616" s="287"/>
      <c r="R616" s="168"/>
      <c r="S616" s="380"/>
      <c r="T616" s="505" t="s">
        <v>1785</v>
      </c>
      <c r="U616" s="505" t="s">
        <v>1861</v>
      </c>
      <c r="AA616" s="27"/>
      <c r="AB616" s="27"/>
      <c r="AC616" s="810"/>
      <c r="AD616" s="481"/>
    </row>
    <row r="617" spans="3:30" ht="10.5" customHeight="1">
      <c r="C617" s="1526" t="s">
        <v>4575</v>
      </c>
      <c r="D617" s="1523" t="s">
        <v>4096</v>
      </c>
      <c r="E617" s="1523" t="s">
        <v>4096</v>
      </c>
      <c r="F617" s="1524">
        <v>0</v>
      </c>
      <c r="G617" s="1537" t="s">
        <v>4575</v>
      </c>
      <c r="H617" s="1521" t="s">
        <v>4096</v>
      </c>
      <c r="I617" s="1521" t="s">
        <v>4096</v>
      </c>
      <c r="J617" s="1538">
        <v>0</v>
      </c>
      <c r="K617" s="1525"/>
      <c r="L617" s="1519">
        <v>13053020206</v>
      </c>
      <c r="M617" s="1520">
        <v>0</v>
      </c>
      <c r="N617" s="1520">
        <v>0</v>
      </c>
      <c r="O617" s="1520">
        <v>0</v>
      </c>
      <c r="P617" s="504" t="s">
        <v>6</v>
      </c>
      <c r="Q617" s="287"/>
      <c r="R617" s="168"/>
      <c r="S617" s="380"/>
      <c r="T617" s="505" t="s">
        <v>267</v>
      </c>
      <c r="U617" s="505" t="s">
        <v>1861</v>
      </c>
      <c r="AA617" s="27"/>
      <c r="AB617" s="27"/>
      <c r="AC617" s="810"/>
      <c r="AD617" s="481"/>
    </row>
    <row r="618" spans="3:30" ht="10.5" customHeight="1">
      <c r="C618" s="1526" t="s">
        <v>4576</v>
      </c>
      <c r="D618" s="1523">
        <v>0</v>
      </c>
      <c r="E618" s="1523">
        <v>0</v>
      </c>
      <c r="F618" s="1524">
        <v>0</v>
      </c>
      <c r="G618" s="1537" t="s">
        <v>4576</v>
      </c>
      <c r="H618" s="1521">
        <v>0</v>
      </c>
      <c r="I618" s="1521">
        <v>0</v>
      </c>
      <c r="J618" s="1538">
        <v>0</v>
      </c>
      <c r="K618" s="1525"/>
      <c r="L618" s="1519">
        <v>13055010100</v>
      </c>
      <c r="M618" s="1520">
        <v>0</v>
      </c>
      <c r="N618" s="1520">
        <v>0</v>
      </c>
      <c r="O618" s="1520">
        <v>0</v>
      </c>
      <c r="P618" s="504" t="s">
        <v>2048</v>
      </c>
      <c r="Q618" s="287"/>
      <c r="R618" s="168"/>
      <c r="S618" s="380"/>
      <c r="T618" s="473" t="s">
        <v>1609</v>
      </c>
      <c r="U618" s="473" t="s">
        <v>2081</v>
      </c>
      <c r="AA618" s="27"/>
      <c r="AB618" s="27"/>
      <c r="AC618" s="809"/>
      <c r="AD618" s="481"/>
    </row>
    <row r="619" spans="3:30" ht="10.5" customHeight="1">
      <c r="C619" s="1526" t="s">
        <v>4577</v>
      </c>
      <c r="D619" s="1523">
        <v>0</v>
      </c>
      <c r="E619" s="1523">
        <v>0</v>
      </c>
      <c r="F619" s="1524">
        <v>0</v>
      </c>
      <c r="G619" s="1537" t="s">
        <v>4577</v>
      </c>
      <c r="H619" s="1521">
        <v>0</v>
      </c>
      <c r="I619" s="1521">
        <v>0</v>
      </c>
      <c r="J619" s="1538">
        <v>0</v>
      </c>
      <c r="K619" s="1525"/>
      <c r="L619" s="1519">
        <v>13055010200</v>
      </c>
      <c r="M619" s="1520">
        <v>0</v>
      </c>
      <c r="N619" s="1520">
        <v>0</v>
      </c>
      <c r="O619" s="1520">
        <v>0</v>
      </c>
      <c r="P619" s="504" t="s">
        <v>2050</v>
      </c>
      <c r="Q619" s="287"/>
      <c r="R619" s="168"/>
      <c r="S619" s="380"/>
      <c r="T619" s="473" t="s">
        <v>251</v>
      </c>
      <c r="U619" s="473" t="s">
        <v>637</v>
      </c>
      <c r="AA619" s="27"/>
      <c r="AB619" s="27"/>
      <c r="AC619" s="809"/>
      <c r="AD619" s="481"/>
    </row>
    <row r="620" spans="3:30" ht="10.5" customHeight="1">
      <c r="C620" s="1526" t="s">
        <v>4578</v>
      </c>
      <c r="D620" s="1523">
        <v>0</v>
      </c>
      <c r="E620" s="1523">
        <v>0</v>
      </c>
      <c r="F620" s="1524">
        <v>0</v>
      </c>
      <c r="G620" s="1537" t="s">
        <v>4578</v>
      </c>
      <c r="H620" s="1521">
        <v>0</v>
      </c>
      <c r="I620" s="1521" t="s">
        <v>4096</v>
      </c>
      <c r="J620" s="1538">
        <v>0</v>
      </c>
      <c r="K620" s="1525"/>
      <c r="L620" s="1519">
        <v>13055010300</v>
      </c>
      <c r="M620" s="1520">
        <v>0</v>
      </c>
      <c r="N620" s="1520">
        <v>0</v>
      </c>
      <c r="O620" s="1520">
        <v>0</v>
      </c>
      <c r="P620" s="504" t="s">
        <v>2052</v>
      </c>
      <c r="Q620" s="287"/>
      <c r="R620" s="168"/>
      <c r="S620" s="380"/>
      <c r="T620" s="473" t="s">
        <v>1139</v>
      </c>
      <c r="U620" s="473" t="s">
        <v>151</v>
      </c>
      <c r="AA620" s="27"/>
      <c r="AB620" s="27"/>
      <c r="AC620" s="809"/>
      <c r="AD620" s="481"/>
    </row>
    <row r="621" spans="3:30" ht="10.5" customHeight="1">
      <c r="C621" s="1526" t="s">
        <v>4579</v>
      </c>
      <c r="D621" s="1523">
        <v>0</v>
      </c>
      <c r="E621" s="1523">
        <v>0</v>
      </c>
      <c r="F621" s="1524">
        <v>0</v>
      </c>
      <c r="G621" s="1537" t="s">
        <v>4579</v>
      </c>
      <c r="H621" s="1521">
        <v>0</v>
      </c>
      <c r="I621" s="1521">
        <v>0</v>
      </c>
      <c r="J621" s="1538">
        <v>0</v>
      </c>
      <c r="K621" s="1525"/>
      <c r="L621" s="1519">
        <v>13055010400</v>
      </c>
      <c r="M621" s="1520">
        <v>0</v>
      </c>
      <c r="N621" s="1520">
        <v>0</v>
      </c>
      <c r="O621" s="1520">
        <v>0</v>
      </c>
      <c r="P621" s="504" t="s">
        <v>2054</v>
      </c>
      <c r="Q621" s="287"/>
      <c r="R621" s="168"/>
      <c r="S621" s="380"/>
      <c r="T621" s="473" t="s">
        <v>1141</v>
      </c>
      <c r="U621" s="473" t="s">
        <v>151</v>
      </c>
      <c r="AA621" s="27"/>
      <c r="AB621" s="27"/>
      <c r="AC621" s="809"/>
      <c r="AD621" s="481"/>
    </row>
    <row r="622" spans="3:30" ht="10.5" customHeight="1">
      <c r="C622" s="1526" t="s">
        <v>4580</v>
      </c>
      <c r="D622" s="1523">
        <v>0</v>
      </c>
      <c r="E622" s="1523">
        <v>0</v>
      </c>
      <c r="F622" s="1524">
        <v>0</v>
      </c>
      <c r="G622" s="1537" t="s">
        <v>4580</v>
      </c>
      <c r="H622" s="1521">
        <v>0</v>
      </c>
      <c r="I622" s="1521">
        <v>0</v>
      </c>
      <c r="J622" s="1538">
        <v>0</v>
      </c>
      <c r="K622" s="1525"/>
      <c r="L622" s="1519">
        <v>13055010500</v>
      </c>
      <c r="M622" s="1520">
        <v>0</v>
      </c>
      <c r="N622" s="1520">
        <v>0</v>
      </c>
      <c r="O622" s="1520">
        <v>0</v>
      </c>
      <c r="P622" s="504" t="s">
        <v>2056</v>
      </c>
      <c r="Q622" s="287"/>
      <c r="R622" s="168"/>
      <c r="S622" s="380"/>
      <c r="T622" s="473" t="s">
        <v>714</v>
      </c>
      <c r="U622" s="473" t="s">
        <v>1278</v>
      </c>
      <c r="AA622" s="27"/>
      <c r="AB622" s="27"/>
      <c r="AC622" s="809"/>
      <c r="AD622" s="481"/>
    </row>
    <row r="623" spans="3:30" ht="10.5" customHeight="1">
      <c r="C623" s="1526" t="s">
        <v>4581</v>
      </c>
      <c r="D623" s="1523">
        <v>0</v>
      </c>
      <c r="E623" s="1523">
        <v>0</v>
      </c>
      <c r="F623" s="1524">
        <v>0</v>
      </c>
      <c r="G623" s="1537" t="s">
        <v>4581</v>
      </c>
      <c r="H623" s="1521">
        <v>0</v>
      </c>
      <c r="I623" s="1521">
        <v>0</v>
      </c>
      <c r="J623" s="1538">
        <v>0</v>
      </c>
      <c r="K623" s="1525"/>
      <c r="L623" s="1519">
        <v>13055010600</v>
      </c>
      <c r="M623" s="1520">
        <v>0</v>
      </c>
      <c r="N623" s="1520">
        <v>0</v>
      </c>
      <c r="O623" s="1520">
        <v>0</v>
      </c>
      <c r="P623" s="504" t="s">
        <v>83</v>
      </c>
      <c r="Q623" s="287"/>
      <c r="R623" s="168"/>
      <c r="S623" s="380"/>
      <c r="T623" s="473" t="s">
        <v>234</v>
      </c>
      <c r="U623" s="473" t="s">
        <v>2468</v>
      </c>
      <c r="AA623" s="27"/>
      <c r="AB623" s="27"/>
      <c r="AC623" s="809"/>
      <c r="AD623" s="481"/>
    </row>
    <row r="624" spans="3:30" ht="10.5" customHeight="1">
      <c r="C624" s="1526" t="s">
        <v>4582</v>
      </c>
      <c r="D624" s="1523">
        <v>1</v>
      </c>
      <c r="E624" s="1523">
        <v>1</v>
      </c>
      <c r="F624" s="1524">
        <v>2</v>
      </c>
      <c r="G624" s="1537" t="s">
        <v>4582</v>
      </c>
      <c r="H624" s="1521">
        <v>1</v>
      </c>
      <c r="I624" s="1521">
        <v>1</v>
      </c>
      <c r="J624" s="1538">
        <v>2</v>
      </c>
      <c r="K624" s="1525"/>
      <c r="L624" s="1519">
        <v>13057090100</v>
      </c>
      <c r="M624" s="1520">
        <v>1</v>
      </c>
      <c r="N624" s="1520">
        <v>1</v>
      </c>
      <c r="O624" s="1520">
        <v>2</v>
      </c>
      <c r="P624" s="504" t="s">
        <v>1925</v>
      </c>
      <c r="Q624" s="287"/>
      <c r="R624" s="168"/>
      <c r="S624" s="380"/>
      <c r="T624" s="473" t="s">
        <v>989</v>
      </c>
      <c r="U624" s="473" t="s">
        <v>2290</v>
      </c>
      <c r="AA624" s="27"/>
      <c r="AB624" s="27"/>
      <c r="AC624" s="809"/>
      <c r="AD624" s="481"/>
    </row>
    <row r="625" spans="3:30" ht="10.5" customHeight="1">
      <c r="C625" s="1526" t="s">
        <v>4583</v>
      </c>
      <c r="D625" s="1523">
        <v>1</v>
      </c>
      <c r="E625" s="1523">
        <v>1</v>
      </c>
      <c r="F625" s="1524">
        <v>2</v>
      </c>
      <c r="G625" s="1537" t="s">
        <v>4583</v>
      </c>
      <c r="H625" s="1521">
        <v>1</v>
      </c>
      <c r="I625" s="1521">
        <v>1</v>
      </c>
      <c r="J625" s="1538">
        <v>2</v>
      </c>
      <c r="K625" s="1525"/>
      <c r="L625" s="1519">
        <v>13057090200</v>
      </c>
      <c r="M625" s="1520">
        <v>1</v>
      </c>
      <c r="N625" s="1520">
        <v>1</v>
      </c>
      <c r="O625" s="1520">
        <v>2</v>
      </c>
      <c r="P625" s="504" t="s">
        <v>1453</v>
      </c>
      <c r="Q625" s="287"/>
      <c r="R625" s="168"/>
      <c r="S625" s="380"/>
      <c r="T625" s="473" t="s">
        <v>1671</v>
      </c>
      <c r="U625" s="473" t="s">
        <v>2373</v>
      </c>
      <c r="AA625" s="27"/>
      <c r="AB625" s="27"/>
      <c r="AC625" s="809"/>
      <c r="AD625" s="481"/>
    </row>
    <row r="626" spans="3:30" ht="10.5" customHeight="1">
      <c r="C626" s="1526" t="s">
        <v>4584</v>
      </c>
      <c r="D626" s="1523">
        <v>1</v>
      </c>
      <c r="E626" s="1523">
        <v>1</v>
      </c>
      <c r="F626" s="1524">
        <v>2</v>
      </c>
      <c r="G626" s="1537" t="s">
        <v>4584</v>
      </c>
      <c r="H626" s="1521">
        <v>1</v>
      </c>
      <c r="I626" s="1521">
        <v>1</v>
      </c>
      <c r="J626" s="1538">
        <v>2</v>
      </c>
      <c r="K626" s="1525"/>
      <c r="L626" s="1519">
        <v>13057090300</v>
      </c>
      <c r="M626" s="1520">
        <v>1</v>
      </c>
      <c r="N626" s="1520">
        <v>1</v>
      </c>
      <c r="O626" s="1520">
        <v>2</v>
      </c>
      <c r="P626" s="504" t="s">
        <v>1455</v>
      </c>
      <c r="Q626" s="287"/>
      <c r="R626" s="168"/>
      <c r="S626" s="380"/>
      <c r="T626" s="473" t="s">
        <v>1731</v>
      </c>
      <c r="U626" s="473" t="s">
        <v>103</v>
      </c>
      <c r="AA626" s="27"/>
      <c r="AB626" s="27"/>
      <c r="AC626" s="809"/>
      <c r="AD626" s="481"/>
    </row>
    <row r="627" spans="3:30" ht="10.5" customHeight="1">
      <c r="C627" s="1526" t="s">
        <v>4585</v>
      </c>
      <c r="D627" s="1523">
        <v>0</v>
      </c>
      <c r="E627" s="1523">
        <v>0</v>
      </c>
      <c r="F627" s="1524">
        <v>0</v>
      </c>
      <c r="G627" s="1537" t="s">
        <v>4585</v>
      </c>
      <c r="H627" s="1521">
        <v>0</v>
      </c>
      <c r="I627" s="1521">
        <v>0</v>
      </c>
      <c r="J627" s="1538">
        <v>0</v>
      </c>
      <c r="K627" s="1525"/>
      <c r="L627" s="1519">
        <v>13057090400</v>
      </c>
      <c r="M627" s="1520">
        <v>0</v>
      </c>
      <c r="N627" s="1520">
        <v>0</v>
      </c>
      <c r="O627" s="1520">
        <v>0</v>
      </c>
      <c r="P627" s="504" t="s">
        <v>1457</v>
      </c>
      <c r="Q627" s="287"/>
      <c r="R627" s="168"/>
      <c r="S627" s="380"/>
      <c r="T627" s="473" t="s">
        <v>1059</v>
      </c>
      <c r="U627" s="473" t="s">
        <v>701</v>
      </c>
      <c r="AA627" s="27"/>
      <c r="AB627" s="27"/>
      <c r="AC627" s="809"/>
      <c r="AD627" s="481"/>
    </row>
    <row r="628" spans="3:30" ht="10.5" customHeight="1">
      <c r="C628" s="1526" t="s">
        <v>4586</v>
      </c>
      <c r="D628" s="1523">
        <v>1</v>
      </c>
      <c r="E628" s="1523">
        <v>1</v>
      </c>
      <c r="F628" s="1524">
        <v>2</v>
      </c>
      <c r="G628" s="1537" t="s">
        <v>4586</v>
      </c>
      <c r="H628" s="1521">
        <v>1</v>
      </c>
      <c r="I628" s="1521">
        <v>1</v>
      </c>
      <c r="J628" s="1538">
        <v>2</v>
      </c>
      <c r="K628" s="1525"/>
      <c r="L628" s="1519">
        <v>13057090501</v>
      </c>
      <c r="M628" s="1520">
        <v>1</v>
      </c>
      <c r="N628" s="1520">
        <v>1</v>
      </c>
      <c r="O628" s="1520">
        <v>2</v>
      </c>
      <c r="P628" s="504" t="s">
        <v>57</v>
      </c>
      <c r="Q628" s="287"/>
      <c r="R628" s="168"/>
      <c r="S628" s="380"/>
      <c r="T628" s="473" t="s">
        <v>1025</v>
      </c>
      <c r="U628" s="473" t="s">
        <v>919</v>
      </c>
      <c r="AA628" s="27"/>
      <c r="AB628" s="27"/>
      <c r="AC628" s="809"/>
      <c r="AD628" s="481"/>
    </row>
    <row r="629" spans="3:30" ht="10.5" customHeight="1">
      <c r="C629" s="1526" t="s">
        <v>4587</v>
      </c>
      <c r="D629" s="1523">
        <v>1</v>
      </c>
      <c r="E629" s="1523">
        <v>1</v>
      </c>
      <c r="F629" s="1524">
        <v>2</v>
      </c>
      <c r="G629" s="1537" t="s">
        <v>4587</v>
      </c>
      <c r="H629" s="1521">
        <v>1</v>
      </c>
      <c r="I629" s="1521">
        <v>1</v>
      </c>
      <c r="J629" s="1538">
        <v>2</v>
      </c>
      <c r="K629" s="1525"/>
      <c r="L629" s="1519">
        <v>13057090502</v>
      </c>
      <c r="M629" s="1520">
        <v>1</v>
      </c>
      <c r="N629" s="1520">
        <v>1</v>
      </c>
      <c r="O629" s="1520">
        <v>2</v>
      </c>
      <c r="P629" s="504" t="s">
        <v>59</v>
      </c>
      <c r="Q629" s="287"/>
      <c r="R629" s="168"/>
      <c r="S629" s="380"/>
      <c r="T629" s="473" t="s">
        <v>1063</v>
      </c>
      <c r="U629" s="473" t="s">
        <v>1275</v>
      </c>
      <c r="AA629" s="27"/>
      <c r="AB629" s="27"/>
      <c r="AC629" s="809"/>
      <c r="AD629" s="481"/>
    </row>
    <row r="630" spans="3:30" ht="10.5" customHeight="1">
      <c r="C630" s="1526" t="s">
        <v>4588</v>
      </c>
      <c r="D630" s="1523">
        <v>0</v>
      </c>
      <c r="E630" s="1523">
        <v>0</v>
      </c>
      <c r="F630" s="1524">
        <v>0</v>
      </c>
      <c r="G630" s="1537" t="s">
        <v>4588</v>
      </c>
      <c r="H630" s="1521">
        <v>0</v>
      </c>
      <c r="I630" s="1521">
        <v>0</v>
      </c>
      <c r="J630" s="1538">
        <v>0</v>
      </c>
      <c r="K630" s="1525"/>
      <c r="L630" s="1519">
        <v>13057090601</v>
      </c>
      <c r="M630" s="1520">
        <v>0</v>
      </c>
      <c r="N630" s="1520">
        <v>0</v>
      </c>
      <c r="O630" s="1520">
        <v>0</v>
      </c>
      <c r="P630" s="504" t="s">
        <v>61</v>
      </c>
      <c r="Q630" s="287"/>
      <c r="R630" s="168"/>
      <c r="S630" s="380"/>
      <c r="T630" s="473" t="s">
        <v>383</v>
      </c>
      <c r="U630" s="473" t="s">
        <v>637</v>
      </c>
      <c r="AA630" s="27"/>
      <c r="AB630" s="27"/>
      <c r="AC630" s="809"/>
      <c r="AD630" s="481"/>
    </row>
    <row r="631" spans="3:30" ht="10.5" customHeight="1">
      <c r="C631" s="1526" t="s">
        <v>4589</v>
      </c>
      <c r="D631" s="1523">
        <v>1</v>
      </c>
      <c r="E631" s="1523">
        <v>1</v>
      </c>
      <c r="F631" s="1524">
        <v>2</v>
      </c>
      <c r="G631" s="1537" t="s">
        <v>4589</v>
      </c>
      <c r="H631" s="1521">
        <v>1</v>
      </c>
      <c r="I631" s="1521">
        <v>0</v>
      </c>
      <c r="J631" s="1538">
        <v>1</v>
      </c>
      <c r="K631" s="1525"/>
      <c r="L631" s="1519">
        <v>13057090602</v>
      </c>
      <c r="M631" s="1520">
        <v>1</v>
      </c>
      <c r="N631" s="1520">
        <v>1</v>
      </c>
      <c r="O631" s="1520">
        <v>2</v>
      </c>
      <c r="P631" s="504" t="s">
        <v>63</v>
      </c>
      <c r="Q631" s="287"/>
      <c r="R631" s="168"/>
      <c r="S631" s="380"/>
      <c r="T631" s="473" t="s">
        <v>1026</v>
      </c>
      <c r="U631" s="473" t="s">
        <v>115</v>
      </c>
      <c r="AA631" s="27"/>
      <c r="AB631" s="27"/>
      <c r="AC631" s="809"/>
      <c r="AD631" s="481"/>
    </row>
    <row r="632" spans="3:30" ht="10.5" customHeight="1">
      <c r="C632" s="1526" t="s">
        <v>4590</v>
      </c>
      <c r="D632" s="1523">
        <v>1</v>
      </c>
      <c r="E632" s="1523">
        <v>1</v>
      </c>
      <c r="F632" s="1524">
        <v>2</v>
      </c>
      <c r="G632" s="1537" t="s">
        <v>4590</v>
      </c>
      <c r="H632" s="1521">
        <v>1</v>
      </c>
      <c r="I632" s="1521">
        <v>1</v>
      </c>
      <c r="J632" s="1538">
        <v>2</v>
      </c>
      <c r="K632" s="1525"/>
      <c r="L632" s="1519">
        <v>13057090701</v>
      </c>
      <c r="M632" s="1520">
        <v>1</v>
      </c>
      <c r="N632" s="1520">
        <v>1</v>
      </c>
      <c r="O632" s="1520">
        <v>2</v>
      </c>
      <c r="P632" s="504" t="s">
        <v>65</v>
      </c>
      <c r="Q632" s="287"/>
      <c r="R632" s="168"/>
      <c r="S632" s="380"/>
      <c r="T632" s="473" t="s">
        <v>1</v>
      </c>
      <c r="U632" s="473" t="s">
        <v>1268</v>
      </c>
      <c r="AA632" s="27"/>
      <c r="AB632" s="27"/>
      <c r="AC632" s="809"/>
      <c r="AD632" s="481"/>
    </row>
    <row r="633" spans="3:30" ht="10.5" customHeight="1">
      <c r="C633" s="1526" t="s">
        <v>4591</v>
      </c>
      <c r="D633" s="1523">
        <v>1</v>
      </c>
      <c r="E633" s="1523">
        <v>1</v>
      </c>
      <c r="F633" s="1524">
        <v>2</v>
      </c>
      <c r="G633" s="1537" t="s">
        <v>4591</v>
      </c>
      <c r="H633" s="1521">
        <v>1</v>
      </c>
      <c r="I633" s="1521">
        <v>0</v>
      </c>
      <c r="J633" s="1538">
        <v>1</v>
      </c>
      <c r="K633" s="1525"/>
      <c r="L633" s="1519">
        <v>13057090702</v>
      </c>
      <c r="M633" s="1520">
        <v>1</v>
      </c>
      <c r="N633" s="1520">
        <v>1</v>
      </c>
      <c r="O633" s="1520">
        <v>2</v>
      </c>
      <c r="P633" s="504" t="s">
        <v>744</v>
      </c>
      <c r="Q633" s="287"/>
      <c r="R633" s="168"/>
      <c r="S633" s="380"/>
      <c r="T633" s="473" t="s">
        <v>3</v>
      </c>
      <c r="U633" s="473" t="s">
        <v>2286</v>
      </c>
      <c r="AA633" s="27"/>
      <c r="AB633" s="27"/>
      <c r="AC633" s="809"/>
      <c r="AD633" s="481"/>
    </row>
    <row r="634" spans="3:30" ht="10.5" customHeight="1">
      <c r="C634" s="1526" t="s">
        <v>4592</v>
      </c>
      <c r="D634" s="1523">
        <v>1</v>
      </c>
      <c r="E634" s="1523">
        <v>1</v>
      </c>
      <c r="F634" s="1524">
        <v>2</v>
      </c>
      <c r="G634" s="1537" t="s">
        <v>4592</v>
      </c>
      <c r="H634" s="1521">
        <v>1</v>
      </c>
      <c r="I634" s="1521">
        <v>1</v>
      </c>
      <c r="J634" s="1538">
        <v>2</v>
      </c>
      <c r="K634" s="1525"/>
      <c r="L634" s="1519">
        <v>13057090802</v>
      </c>
      <c r="M634" s="1520">
        <v>1</v>
      </c>
      <c r="N634" s="1520">
        <v>1</v>
      </c>
      <c r="O634" s="1520">
        <v>2</v>
      </c>
      <c r="P634" s="504" t="s">
        <v>697</v>
      </c>
      <c r="Q634" s="287"/>
      <c r="R634" s="168"/>
      <c r="S634" s="380"/>
      <c r="T634" s="473" t="s">
        <v>5</v>
      </c>
      <c r="U634" s="473" t="s">
        <v>1827</v>
      </c>
      <c r="AA634" s="27"/>
      <c r="AB634" s="27"/>
      <c r="AC634" s="809"/>
      <c r="AD634" s="481"/>
    </row>
    <row r="635" spans="3:30" ht="10.5" customHeight="1">
      <c r="C635" s="1526" t="s">
        <v>4593</v>
      </c>
      <c r="D635" s="1523">
        <v>1</v>
      </c>
      <c r="E635" s="1523">
        <v>1</v>
      </c>
      <c r="F635" s="1524">
        <v>2</v>
      </c>
      <c r="G635" s="1537" t="s">
        <v>4593</v>
      </c>
      <c r="H635" s="1521">
        <v>1</v>
      </c>
      <c r="I635" s="1521">
        <v>1</v>
      </c>
      <c r="J635" s="1538">
        <v>2</v>
      </c>
      <c r="K635" s="1525"/>
      <c r="L635" s="1519">
        <v>13057090803</v>
      </c>
      <c r="M635" s="1520">
        <v>1</v>
      </c>
      <c r="N635" s="1520">
        <v>1</v>
      </c>
      <c r="O635" s="1520">
        <v>2</v>
      </c>
      <c r="P635" s="504" t="s">
        <v>699</v>
      </c>
      <c r="Q635" s="287"/>
      <c r="R635" s="168"/>
      <c r="S635" s="380"/>
      <c r="T635" s="505" t="s">
        <v>1027</v>
      </c>
      <c r="U635" s="505" t="s">
        <v>598</v>
      </c>
      <c r="AA635" s="27"/>
      <c r="AB635" s="27"/>
      <c r="AC635" s="810"/>
      <c r="AD635" s="481"/>
    </row>
    <row r="636" spans="3:30" ht="10.5" customHeight="1">
      <c r="C636" s="1526" t="s">
        <v>4594</v>
      </c>
      <c r="D636" s="1523">
        <v>1</v>
      </c>
      <c r="E636" s="1523">
        <v>1</v>
      </c>
      <c r="F636" s="1524">
        <v>2</v>
      </c>
      <c r="G636" s="1537" t="s">
        <v>4594</v>
      </c>
      <c r="H636" s="1521">
        <v>1</v>
      </c>
      <c r="I636" s="1521">
        <v>1</v>
      </c>
      <c r="J636" s="1538">
        <v>2</v>
      </c>
      <c r="K636" s="1525"/>
      <c r="L636" s="1519">
        <v>13057090804</v>
      </c>
      <c r="M636" s="1520">
        <v>1</v>
      </c>
      <c r="N636" s="1520">
        <v>1</v>
      </c>
      <c r="O636" s="1520">
        <v>2</v>
      </c>
      <c r="P636" s="504" t="s">
        <v>1137</v>
      </c>
      <c r="Q636" s="287"/>
      <c r="R636" s="168"/>
      <c r="S636" s="380"/>
      <c r="T636" s="473" t="s">
        <v>1028</v>
      </c>
      <c r="U636" s="473" t="s">
        <v>305</v>
      </c>
      <c r="AA636" s="27"/>
      <c r="AB636" s="27"/>
      <c r="AC636" s="809"/>
      <c r="AD636" s="481"/>
    </row>
    <row r="637" spans="3:30" ht="10.5" customHeight="1">
      <c r="C637" s="1526" t="s">
        <v>4595</v>
      </c>
      <c r="D637" s="1523">
        <v>1</v>
      </c>
      <c r="E637" s="1523">
        <v>1</v>
      </c>
      <c r="F637" s="1524">
        <v>2</v>
      </c>
      <c r="G637" s="1537" t="s">
        <v>4595</v>
      </c>
      <c r="H637" s="1521">
        <v>1</v>
      </c>
      <c r="I637" s="1521">
        <v>1</v>
      </c>
      <c r="J637" s="1538">
        <v>2</v>
      </c>
      <c r="K637" s="1525"/>
      <c r="L637" s="1519">
        <v>13057090901</v>
      </c>
      <c r="M637" s="1520">
        <v>1</v>
      </c>
      <c r="N637" s="1520">
        <v>1</v>
      </c>
      <c r="O637" s="1520">
        <v>2</v>
      </c>
      <c r="P637" s="504" t="s">
        <v>1001</v>
      </c>
      <c r="Q637" s="287"/>
      <c r="R637" s="168"/>
      <c r="S637" s="380"/>
      <c r="T637" s="473" t="s">
        <v>2047</v>
      </c>
      <c r="U637" s="473" t="s">
        <v>1278</v>
      </c>
      <c r="AA637" s="27"/>
      <c r="AB637" s="27"/>
      <c r="AC637" s="809"/>
      <c r="AD637" s="481"/>
    </row>
    <row r="638" spans="3:30" ht="10.5" customHeight="1">
      <c r="C638" s="1526" t="s">
        <v>4596</v>
      </c>
      <c r="D638" s="1523">
        <v>1</v>
      </c>
      <c r="E638" s="1523">
        <v>1</v>
      </c>
      <c r="F638" s="1524">
        <v>2</v>
      </c>
      <c r="G638" s="1537" t="s">
        <v>4596</v>
      </c>
      <c r="H638" s="1521">
        <v>1</v>
      </c>
      <c r="I638" s="1521">
        <v>1</v>
      </c>
      <c r="J638" s="1538">
        <v>2</v>
      </c>
      <c r="K638" s="1525"/>
      <c r="L638" s="1519">
        <v>13057090902</v>
      </c>
      <c r="M638" s="1520">
        <v>1</v>
      </c>
      <c r="N638" s="1520">
        <v>1</v>
      </c>
      <c r="O638" s="1520">
        <v>2</v>
      </c>
      <c r="P638" s="504" t="s">
        <v>1002</v>
      </c>
      <c r="Q638" s="287"/>
      <c r="R638" s="168"/>
      <c r="S638" s="380"/>
      <c r="T638" s="473" t="s">
        <v>2049</v>
      </c>
      <c r="U638" s="473" t="s">
        <v>2087</v>
      </c>
      <c r="AA638" s="27"/>
      <c r="AB638" s="27"/>
      <c r="AC638" s="809"/>
      <c r="AD638" s="481"/>
    </row>
    <row r="639" spans="3:30" ht="10.5" customHeight="1">
      <c r="C639" s="1526" t="s">
        <v>4597</v>
      </c>
      <c r="D639" s="1523">
        <v>1</v>
      </c>
      <c r="E639" s="1523">
        <v>1</v>
      </c>
      <c r="F639" s="1524">
        <v>2</v>
      </c>
      <c r="G639" s="1537" t="s">
        <v>4597</v>
      </c>
      <c r="H639" s="1521">
        <v>1</v>
      </c>
      <c r="I639" s="1521">
        <v>0</v>
      </c>
      <c r="J639" s="1538">
        <v>1</v>
      </c>
      <c r="K639" s="1525"/>
      <c r="L639" s="1519">
        <v>13057090904</v>
      </c>
      <c r="M639" s="1520">
        <v>1</v>
      </c>
      <c r="N639" s="1520">
        <v>1</v>
      </c>
      <c r="O639" s="1520">
        <v>2</v>
      </c>
      <c r="P639" s="504" t="s">
        <v>1004</v>
      </c>
      <c r="Q639" s="287"/>
      <c r="R639" s="168"/>
      <c r="S639" s="380"/>
      <c r="T639" s="473" t="s">
        <v>2051</v>
      </c>
      <c r="U639" s="473" t="s">
        <v>167</v>
      </c>
      <c r="AA639" s="27"/>
      <c r="AB639" s="27"/>
      <c r="AC639" s="809"/>
      <c r="AD639" s="481"/>
    </row>
    <row r="640" spans="3:30" ht="10.5" customHeight="1">
      <c r="C640" s="1526" t="s">
        <v>4598</v>
      </c>
      <c r="D640" s="1523">
        <v>1</v>
      </c>
      <c r="E640" s="1523">
        <v>1</v>
      </c>
      <c r="F640" s="1524">
        <v>2</v>
      </c>
      <c r="G640" s="1537" t="s">
        <v>4598</v>
      </c>
      <c r="H640" s="1521">
        <v>1</v>
      </c>
      <c r="I640" s="1521">
        <v>1</v>
      </c>
      <c r="J640" s="1538">
        <v>2</v>
      </c>
      <c r="K640" s="1525"/>
      <c r="L640" s="1519">
        <v>13057090905</v>
      </c>
      <c r="M640" s="1520">
        <v>1</v>
      </c>
      <c r="N640" s="1520">
        <v>1</v>
      </c>
      <c r="O640" s="1520">
        <v>2</v>
      </c>
      <c r="P640" s="504" t="s">
        <v>2161</v>
      </c>
      <c r="Q640" s="287"/>
      <c r="R640" s="168"/>
      <c r="S640" s="380"/>
      <c r="T640" s="473" t="s">
        <v>2053</v>
      </c>
      <c r="U640" s="473" t="s">
        <v>1397</v>
      </c>
      <c r="AA640" s="27"/>
      <c r="AB640" s="27"/>
      <c r="AC640" s="809"/>
      <c r="AD640" s="481"/>
    </row>
    <row r="641" spans="3:30" ht="10.5" customHeight="1">
      <c r="C641" s="1526" t="s">
        <v>4599</v>
      </c>
      <c r="D641" s="1523">
        <v>0</v>
      </c>
      <c r="E641" s="1523">
        <v>1</v>
      </c>
      <c r="F641" s="1524">
        <v>1</v>
      </c>
      <c r="G641" s="1537" t="s">
        <v>4599</v>
      </c>
      <c r="H641" s="1521">
        <v>1</v>
      </c>
      <c r="I641" s="1521">
        <v>1</v>
      </c>
      <c r="J641" s="1538">
        <v>2</v>
      </c>
      <c r="K641" s="1525"/>
      <c r="L641" s="1519">
        <v>13057091001</v>
      </c>
      <c r="M641" s="1520">
        <v>1</v>
      </c>
      <c r="N641" s="1520">
        <v>1</v>
      </c>
      <c r="O641" s="1520">
        <v>2</v>
      </c>
      <c r="P641" s="504" t="s">
        <v>2163</v>
      </c>
      <c r="Q641" s="287"/>
      <c r="R641" s="168"/>
      <c r="S641" s="380"/>
      <c r="T641" s="473" t="s">
        <v>2055</v>
      </c>
      <c r="U641" s="473" t="s">
        <v>637</v>
      </c>
      <c r="AA641" s="27"/>
      <c r="AB641" s="27"/>
      <c r="AC641" s="809"/>
      <c r="AD641" s="481"/>
    </row>
    <row r="642" spans="3:30" ht="10.5" customHeight="1">
      <c r="C642" s="1526" t="s">
        <v>4600</v>
      </c>
      <c r="D642" s="1523">
        <v>0</v>
      </c>
      <c r="E642" s="1523">
        <v>0</v>
      </c>
      <c r="F642" s="1524">
        <v>0</v>
      </c>
      <c r="G642" s="1537" t="s">
        <v>4600</v>
      </c>
      <c r="H642" s="1521">
        <v>1</v>
      </c>
      <c r="I642" s="1521">
        <v>0</v>
      </c>
      <c r="J642" s="1538">
        <v>1</v>
      </c>
      <c r="K642" s="1525"/>
      <c r="L642" s="1519">
        <v>13057091003</v>
      </c>
      <c r="M642" s="1520">
        <v>1</v>
      </c>
      <c r="N642" s="1520">
        <v>0</v>
      </c>
      <c r="O642" s="1520">
        <v>1</v>
      </c>
      <c r="P642" s="504" t="s">
        <v>1689</v>
      </c>
      <c r="Q642" s="287"/>
      <c r="R642" s="168"/>
      <c r="S642" s="380"/>
      <c r="T642" s="473" t="s">
        <v>84</v>
      </c>
      <c r="U642" s="473" t="s">
        <v>114</v>
      </c>
      <c r="AA642" s="27"/>
      <c r="AB642" s="27"/>
      <c r="AC642" s="809"/>
      <c r="AD642" s="481"/>
    </row>
    <row r="643" spans="3:30" ht="10.5" customHeight="1">
      <c r="C643" s="1526" t="s">
        <v>4601</v>
      </c>
      <c r="D643" s="1523">
        <v>1</v>
      </c>
      <c r="E643" s="1523">
        <v>1</v>
      </c>
      <c r="F643" s="1524">
        <v>2</v>
      </c>
      <c r="G643" s="1537" t="s">
        <v>4601</v>
      </c>
      <c r="H643" s="1521">
        <v>1</v>
      </c>
      <c r="I643" s="1521">
        <v>1</v>
      </c>
      <c r="J643" s="1538">
        <v>2</v>
      </c>
      <c r="K643" s="1525"/>
      <c r="L643" s="1519">
        <v>13057091005</v>
      </c>
      <c r="M643" s="1520">
        <v>1</v>
      </c>
      <c r="N643" s="1520">
        <v>1</v>
      </c>
      <c r="O643" s="1520">
        <v>2</v>
      </c>
      <c r="P643" s="504" t="s">
        <v>2401</v>
      </c>
      <c r="Q643" s="287"/>
      <c r="R643" s="168"/>
      <c r="S643" s="380"/>
      <c r="T643" s="473" t="s">
        <v>1452</v>
      </c>
      <c r="U643" s="473" t="s">
        <v>2089</v>
      </c>
      <c r="AA643" s="27"/>
      <c r="AB643" s="27"/>
      <c r="AC643" s="809"/>
      <c r="AD643" s="481"/>
    </row>
    <row r="644" spans="3:30" ht="10.5" customHeight="1">
      <c r="C644" s="1526" t="s">
        <v>4602</v>
      </c>
      <c r="D644" s="1523">
        <v>1</v>
      </c>
      <c r="E644" s="1523">
        <v>1</v>
      </c>
      <c r="F644" s="1524">
        <v>2</v>
      </c>
      <c r="G644" s="1537" t="s">
        <v>4602</v>
      </c>
      <c r="H644" s="1521">
        <v>1</v>
      </c>
      <c r="I644" s="1521">
        <v>1</v>
      </c>
      <c r="J644" s="1538">
        <v>2</v>
      </c>
      <c r="K644" s="1525"/>
      <c r="L644" s="1519">
        <v>13057091006</v>
      </c>
      <c r="M644" s="1520">
        <v>1</v>
      </c>
      <c r="N644" s="1520">
        <v>1</v>
      </c>
      <c r="O644" s="1520">
        <v>2</v>
      </c>
      <c r="P644" s="504" t="s">
        <v>2068</v>
      </c>
      <c r="Q644" s="287"/>
      <c r="R644" s="168"/>
      <c r="S644" s="380"/>
      <c r="T644" s="473" t="s">
        <v>1454</v>
      </c>
      <c r="U644" s="473" t="s">
        <v>191</v>
      </c>
      <c r="AA644" s="27"/>
      <c r="AB644" s="27"/>
      <c r="AC644" s="809"/>
      <c r="AD644" s="481"/>
    </row>
    <row r="645" spans="3:30" ht="10.5" customHeight="1">
      <c r="C645" s="1526" t="s">
        <v>4603</v>
      </c>
      <c r="D645" s="1523">
        <v>1</v>
      </c>
      <c r="E645" s="1523">
        <v>1</v>
      </c>
      <c r="F645" s="1524">
        <v>2</v>
      </c>
      <c r="G645" s="1537" t="s">
        <v>4603</v>
      </c>
      <c r="H645" s="1521">
        <v>1</v>
      </c>
      <c r="I645" s="1521">
        <v>1</v>
      </c>
      <c r="J645" s="1538">
        <v>2</v>
      </c>
      <c r="K645" s="1525"/>
      <c r="L645" s="1519">
        <v>13057091007</v>
      </c>
      <c r="M645" s="1520">
        <v>1</v>
      </c>
      <c r="N645" s="1520">
        <v>1</v>
      </c>
      <c r="O645" s="1520">
        <v>2</v>
      </c>
      <c r="P645" s="504" t="s">
        <v>1546</v>
      </c>
      <c r="Q645" s="287"/>
      <c r="R645" s="168"/>
      <c r="S645" s="380"/>
      <c r="T645" s="505" t="s">
        <v>1456</v>
      </c>
      <c r="U645" s="505" t="s">
        <v>1400</v>
      </c>
      <c r="AA645" s="27"/>
      <c r="AB645" s="27"/>
      <c r="AC645" s="810"/>
      <c r="AD645" s="481"/>
    </row>
    <row r="646" spans="3:30" ht="10.5" customHeight="1">
      <c r="C646" s="1526" t="s">
        <v>4604</v>
      </c>
      <c r="D646" s="1523">
        <v>1</v>
      </c>
      <c r="E646" s="1523">
        <v>1</v>
      </c>
      <c r="F646" s="1524">
        <v>2</v>
      </c>
      <c r="G646" s="1537" t="s">
        <v>4604</v>
      </c>
      <c r="H646" s="1521">
        <v>1</v>
      </c>
      <c r="I646" s="1521" t="s">
        <v>4096</v>
      </c>
      <c r="J646" s="1538">
        <v>1</v>
      </c>
      <c r="K646" s="1525"/>
      <c r="L646" s="1519">
        <v>13057091008</v>
      </c>
      <c r="M646" s="1520">
        <v>1</v>
      </c>
      <c r="N646" s="1520">
        <v>1</v>
      </c>
      <c r="O646" s="1520">
        <v>2</v>
      </c>
      <c r="P646" s="504" t="s">
        <v>1547</v>
      </c>
      <c r="Q646" s="287"/>
      <c r="R646" s="168"/>
      <c r="S646" s="380"/>
      <c r="T646" s="473" t="s">
        <v>1458</v>
      </c>
      <c r="U646" s="473" t="s">
        <v>2079</v>
      </c>
      <c r="AA646" s="27"/>
      <c r="AB646" s="27"/>
      <c r="AC646" s="809"/>
      <c r="AD646" s="481"/>
    </row>
    <row r="647" spans="3:30" ht="10.5" customHeight="1">
      <c r="C647" s="1526" t="s">
        <v>4605</v>
      </c>
      <c r="D647" s="1523">
        <v>1</v>
      </c>
      <c r="E647" s="1523">
        <v>1</v>
      </c>
      <c r="F647" s="1524">
        <v>2</v>
      </c>
      <c r="G647" s="1537" t="s">
        <v>4605</v>
      </c>
      <c r="H647" s="1521">
        <v>1</v>
      </c>
      <c r="I647" s="1521" t="s">
        <v>4096</v>
      </c>
      <c r="J647" s="1538">
        <v>1</v>
      </c>
      <c r="K647" s="1525"/>
      <c r="L647" s="1519">
        <v>13057091101</v>
      </c>
      <c r="M647" s="1520">
        <v>1</v>
      </c>
      <c r="N647" s="1520">
        <v>1</v>
      </c>
      <c r="O647" s="1520">
        <v>2</v>
      </c>
      <c r="P647" s="504" t="s">
        <v>1549</v>
      </c>
      <c r="Q647" s="287"/>
      <c r="R647" s="168"/>
      <c r="S647" s="380"/>
      <c r="T647" s="473" t="s">
        <v>58</v>
      </c>
      <c r="U647" s="473" t="s">
        <v>1276</v>
      </c>
      <c r="AA647" s="27"/>
      <c r="AB647" s="27"/>
      <c r="AC647" s="809"/>
      <c r="AD647" s="481"/>
    </row>
    <row r="648" spans="3:30" ht="10.5" customHeight="1">
      <c r="C648" s="1526" t="s">
        <v>4606</v>
      </c>
      <c r="D648" s="1523">
        <v>1</v>
      </c>
      <c r="E648" s="1523">
        <v>0</v>
      </c>
      <c r="F648" s="1524">
        <v>1</v>
      </c>
      <c r="G648" s="1537" t="s">
        <v>4606</v>
      </c>
      <c r="H648" s="1521">
        <v>1</v>
      </c>
      <c r="I648" s="1521">
        <v>0</v>
      </c>
      <c r="J648" s="1538">
        <v>1</v>
      </c>
      <c r="K648" s="1525"/>
      <c r="L648" s="1519">
        <v>13057091102</v>
      </c>
      <c r="M648" s="1520">
        <v>1</v>
      </c>
      <c r="N648" s="1520">
        <v>0</v>
      </c>
      <c r="O648" s="1520">
        <v>1</v>
      </c>
      <c r="P648" s="504" t="s">
        <v>1550</v>
      </c>
      <c r="Q648" s="287"/>
      <c r="R648" s="168"/>
      <c r="S648" s="380"/>
      <c r="T648" s="505" t="s">
        <v>60</v>
      </c>
      <c r="U648" s="505" t="s">
        <v>99</v>
      </c>
      <c r="AA648" s="27"/>
      <c r="AB648" s="27"/>
      <c r="AC648" s="810"/>
      <c r="AD648" s="481"/>
    </row>
    <row r="649" spans="3:30" ht="10.5" customHeight="1">
      <c r="C649" s="1526" t="s">
        <v>4607</v>
      </c>
      <c r="D649" s="1523">
        <v>1</v>
      </c>
      <c r="E649" s="1523">
        <v>1</v>
      </c>
      <c r="F649" s="1524">
        <v>2</v>
      </c>
      <c r="G649" s="1537" t="s">
        <v>4607</v>
      </c>
      <c r="H649" s="1521">
        <v>1</v>
      </c>
      <c r="I649" s="1521">
        <v>1</v>
      </c>
      <c r="J649" s="1538">
        <v>2</v>
      </c>
      <c r="K649" s="1525"/>
      <c r="L649" s="1519">
        <v>13057091103</v>
      </c>
      <c r="M649" s="1520">
        <v>1</v>
      </c>
      <c r="N649" s="1520">
        <v>1</v>
      </c>
      <c r="O649" s="1520">
        <v>2</v>
      </c>
      <c r="P649" s="504" t="s">
        <v>1552</v>
      </c>
      <c r="Q649" s="287"/>
      <c r="R649" s="168"/>
      <c r="S649" s="380"/>
      <c r="T649" s="473" t="s">
        <v>62</v>
      </c>
      <c r="U649" s="473" t="s">
        <v>843</v>
      </c>
      <c r="AA649" s="27"/>
      <c r="AB649" s="27"/>
      <c r="AC649" s="809"/>
      <c r="AD649" s="481"/>
    </row>
    <row r="650" spans="3:30" ht="10.5" customHeight="1">
      <c r="C650" s="1526" t="s">
        <v>4608</v>
      </c>
      <c r="D650" s="1523">
        <v>0</v>
      </c>
      <c r="E650" s="1523">
        <v>1</v>
      </c>
      <c r="F650" s="1524">
        <v>1</v>
      </c>
      <c r="G650" s="1537" t="s">
        <v>4608</v>
      </c>
      <c r="H650" s="1521">
        <v>0</v>
      </c>
      <c r="I650" s="1521" t="s">
        <v>4096</v>
      </c>
      <c r="J650" s="1538">
        <v>0</v>
      </c>
      <c r="K650" s="1525"/>
      <c r="L650" s="1519">
        <v>13059000100</v>
      </c>
      <c r="M650" s="1520">
        <v>0</v>
      </c>
      <c r="N650" s="1520">
        <v>1</v>
      </c>
      <c r="O650" s="1520">
        <v>1</v>
      </c>
      <c r="P650" s="504" t="s">
        <v>1553</v>
      </c>
      <c r="Q650" s="287"/>
      <c r="R650" s="168"/>
      <c r="S650" s="380"/>
      <c r="T650" s="473" t="s">
        <v>64</v>
      </c>
      <c r="U650" s="473" t="s">
        <v>1459</v>
      </c>
      <c r="AA650" s="27"/>
      <c r="AB650" s="27"/>
      <c r="AC650" s="809"/>
      <c r="AD650" s="481"/>
    </row>
    <row r="651" spans="3:30" ht="10.5" customHeight="1">
      <c r="C651" s="1526" t="s">
        <v>4609</v>
      </c>
      <c r="D651" s="1523">
        <v>0</v>
      </c>
      <c r="E651" s="1523">
        <v>0</v>
      </c>
      <c r="F651" s="1524">
        <v>0</v>
      </c>
      <c r="G651" s="1537" t="s">
        <v>4609</v>
      </c>
      <c r="H651" s="1521">
        <v>0</v>
      </c>
      <c r="I651" s="1521" t="s">
        <v>4096</v>
      </c>
      <c r="J651" s="1538">
        <v>0</v>
      </c>
      <c r="K651" s="1525"/>
      <c r="L651" s="1519">
        <v>13059000401</v>
      </c>
      <c r="M651" s="1520">
        <v>0</v>
      </c>
      <c r="N651" s="1520">
        <v>0</v>
      </c>
      <c r="O651" s="1520">
        <v>0</v>
      </c>
      <c r="P651" s="504" t="s">
        <v>1555</v>
      </c>
      <c r="Q651" s="287"/>
      <c r="R651" s="168"/>
      <c r="S651" s="380"/>
      <c r="T651" s="473" t="s">
        <v>745</v>
      </c>
      <c r="U651" s="473" t="s">
        <v>2370</v>
      </c>
      <c r="AA651" s="27"/>
      <c r="AB651" s="27"/>
      <c r="AC651" s="809"/>
      <c r="AD651" s="481"/>
    </row>
    <row r="652" spans="3:30" ht="10.5" customHeight="1">
      <c r="C652" s="1526" t="s">
        <v>4610</v>
      </c>
      <c r="D652" s="1523">
        <v>0</v>
      </c>
      <c r="E652" s="1523">
        <v>1</v>
      </c>
      <c r="F652" s="1524">
        <v>1</v>
      </c>
      <c r="G652" s="1537" t="s">
        <v>4610</v>
      </c>
      <c r="H652" s="1521">
        <v>0</v>
      </c>
      <c r="I652" s="1521" t="s">
        <v>4096</v>
      </c>
      <c r="J652" s="1538">
        <v>0</v>
      </c>
      <c r="K652" s="1525"/>
      <c r="L652" s="1519">
        <v>13059000402</v>
      </c>
      <c r="M652" s="1520">
        <v>0</v>
      </c>
      <c r="N652" s="1520">
        <v>1</v>
      </c>
      <c r="O652" s="1520">
        <v>1</v>
      </c>
      <c r="P652" s="504" t="s">
        <v>2306</v>
      </c>
      <c r="Q652" s="287"/>
      <c r="R652" s="168"/>
      <c r="S652" s="380"/>
      <c r="T652" s="473" t="s">
        <v>698</v>
      </c>
      <c r="U652" s="473" t="s">
        <v>2376</v>
      </c>
      <c r="AA652" s="27"/>
      <c r="AB652" s="27"/>
      <c r="AC652" s="809"/>
      <c r="AD652" s="481"/>
    </row>
    <row r="653" spans="3:30" ht="10.5" customHeight="1">
      <c r="C653" s="1526" t="s">
        <v>4611</v>
      </c>
      <c r="D653" s="1523">
        <v>0</v>
      </c>
      <c r="E653" s="1523">
        <v>0</v>
      </c>
      <c r="F653" s="1524">
        <v>0</v>
      </c>
      <c r="G653" s="1537" t="s">
        <v>4611</v>
      </c>
      <c r="H653" s="1521">
        <v>0</v>
      </c>
      <c r="I653" s="1521">
        <v>1</v>
      </c>
      <c r="J653" s="1538">
        <v>1</v>
      </c>
      <c r="K653" s="1525"/>
      <c r="L653" s="1519">
        <v>13059000600</v>
      </c>
      <c r="M653" s="1520">
        <v>0</v>
      </c>
      <c r="N653" s="1520">
        <v>1</v>
      </c>
      <c r="O653" s="1520">
        <v>1</v>
      </c>
      <c r="P653" s="504" t="s">
        <v>159</v>
      </c>
      <c r="Q653" s="287"/>
      <c r="R653" s="168"/>
      <c r="S653" s="380"/>
      <c r="T653" s="473" t="s">
        <v>906</v>
      </c>
      <c r="U653" s="473" t="s">
        <v>2413</v>
      </c>
      <c r="AA653" s="27"/>
      <c r="AB653" s="27"/>
      <c r="AC653" s="809"/>
      <c r="AD653" s="481"/>
    </row>
    <row r="654" spans="3:30" ht="10.5" customHeight="1">
      <c r="C654" s="1526" t="s">
        <v>4612</v>
      </c>
      <c r="D654" s="1523">
        <v>0</v>
      </c>
      <c r="E654" s="1523">
        <v>0</v>
      </c>
      <c r="F654" s="1524">
        <v>0</v>
      </c>
      <c r="G654" s="1537" t="s">
        <v>4612</v>
      </c>
      <c r="H654" s="1521">
        <v>0</v>
      </c>
      <c r="I654" s="1521">
        <v>0</v>
      </c>
      <c r="J654" s="1538">
        <v>0</v>
      </c>
      <c r="K654" s="1525"/>
      <c r="L654" s="1519">
        <v>13059000900</v>
      </c>
      <c r="M654" s="1520">
        <v>0</v>
      </c>
      <c r="N654" s="1520">
        <v>0</v>
      </c>
      <c r="O654" s="1520">
        <v>0</v>
      </c>
      <c r="P654" s="504" t="s">
        <v>949</v>
      </c>
      <c r="Q654" s="287"/>
      <c r="R654" s="168"/>
      <c r="S654" s="380"/>
      <c r="T654" s="473" t="s">
        <v>1029</v>
      </c>
      <c r="U654" s="473" t="s">
        <v>309</v>
      </c>
      <c r="AA654" s="27"/>
      <c r="AB654" s="27"/>
      <c r="AC654" s="809"/>
      <c r="AD654" s="481"/>
    </row>
    <row r="655" spans="3:30" ht="10.5" customHeight="1">
      <c r="C655" s="1526" t="s">
        <v>4613</v>
      </c>
      <c r="D655" s="1523">
        <v>1</v>
      </c>
      <c r="E655" s="1523">
        <v>0</v>
      </c>
      <c r="F655" s="1524">
        <v>1</v>
      </c>
      <c r="G655" s="1537" t="s">
        <v>4613</v>
      </c>
      <c r="H655" s="1521">
        <v>1</v>
      </c>
      <c r="I655" s="1521">
        <v>1</v>
      </c>
      <c r="J655" s="1538">
        <v>2</v>
      </c>
      <c r="K655" s="1525"/>
      <c r="L655" s="1519">
        <v>13059001200</v>
      </c>
      <c r="M655" s="1520">
        <v>1</v>
      </c>
      <c r="N655" s="1520">
        <v>1</v>
      </c>
      <c r="O655" s="1520">
        <v>2</v>
      </c>
      <c r="P655" s="504" t="s">
        <v>950</v>
      </c>
      <c r="Q655" s="287"/>
      <c r="R655" s="168"/>
      <c r="S655" s="380"/>
      <c r="T655" s="473" t="s">
        <v>1138</v>
      </c>
      <c r="U655" s="473" t="s">
        <v>1861</v>
      </c>
      <c r="AA655" s="27"/>
      <c r="AB655" s="27"/>
      <c r="AC655" s="809"/>
      <c r="AD655" s="481"/>
    </row>
    <row r="656" spans="3:30" ht="10.5" customHeight="1">
      <c r="C656" s="1526" t="s">
        <v>4614</v>
      </c>
      <c r="D656" s="1523">
        <v>1</v>
      </c>
      <c r="E656" s="1523">
        <v>1</v>
      </c>
      <c r="F656" s="1524">
        <v>2</v>
      </c>
      <c r="G656" s="1537" t="s">
        <v>4614</v>
      </c>
      <c r="H656" s="1521">
        <v>1</v>
      </c>
      <c r="I656" s="1521">
        <v>1</v>
      </c>
      <c r="J656" s="1538">
        <v>2</v>
      </c>
      <c r="K656" s="1525"/>
      <c r="L656" s="1519">
        <v>13059001700</v>
      </c>
      <c r="M656" s="1520">
        <v>1</v>
      </c>
      <c r="N656" s="1520">
        <v>1</v>
      </c>
      <c r="O656" s="1520">
        <v>2</v>
      </c>
      <c r="P656" s="504" t="s">
        <v>952</v>
      </c>
      <c r="Q656" s="287"/>
      <c r="R656" s="168"/>
      <c r="S656" s="380"/>
      <c r="T656" s="505" t="s">
        <v>2661</v>
      </c>
      <c r="U656" s="505" t="s">
        <v>1699</v>
      </c>
      <c r="AA656" s="27"/>
      <c r="AB656" s="27"/>
      <c r="AC656" s="810"/>
      <c r="AD656" s="481"/>
    </row>
    <row r="657" spans="3:30" ht="10.5" customHeight="1">
      <c r="C657" s="1526" t="s">
        <v>4615</v>
      </c>
      <c r="D657" s="1523">
        <v>0</v>
      </c>
      <c r="E657" s="1523">
        <v>1</v>
      </c>
      <c r="F657" s="1524">
        <v>1</v>
      </c>
      <c r="G657" s="1537" t="s">
        <v>4615</v>
      </c>
      <c r="H657" s="1521">
        <v>0</v>
      </c>
      <c r="I657" s="1521">
        <v>0</v>
      </c>
      <c r="J657" s="1538">
        <v>0</v>
      </c>
      <c r="K657" s="1525"/>
      <c r="L657" s="1519">
        <v>13059001800</v>
      </c>
      <c r="M657" s="1520">
        <v>0</v>
      </c>
      <c r="N657" s="1520">
        <v>1</v>
      </c>
      <c r="O657" s="1520">
        <v>1</v>
      </c>
      <c r="P657" s="504" t="s">
        <v>2273</v>
      </c>
      <c r="Q657" s="287"/>
      <c r="R657" s="168"/>
      <c r="S657" s="380"/>
      <c r="T657" s="473" t="s">
        <v>1003</v>
      </c>
      <c r="U657" s="473" t="s">
        <v>1057</v>
      </c>
      <c r="AA657" s="27"/>
      <c r="AB657" s="27"/>
      <c r="AC657" s="809"/>
      <c r="AD657" s="481"/>
    </row>
    <row r="658" spans="3:30" ht="10.5" customHeight="1">
      <c r="C658" s="1526" t="s">
        <v>4616</v>
      </c>
      <c r="D658" s="1523">
        <v>0</v>
      </c>
      <c r="E658" s="1523">
        <v>0</v>
      </c>
      <c r="F658" s="1524">
        <v>0</v>
      </c>
      <c r="G658" s="1537" t="s">
        <v>4616</v>
      </c>
      <c r="H658" s="1521">
        <v>0</v>
      </c>
      <c r="I658" s="1521">
        <v>0</v>
      </c>
      <c r="J658" s="1538">
        <v>0</v>
      </c>
      <c r="K658" s="1525"/>
      <c r="L658" s="1519">
        <v>13059001900</v>
      </c>
      <c r="M658" s="1520">
        <v>0</v>
      </c>
      <c r="N658" s="1520">
        <v>0</v>
      </c>
      <c r="O658" s="1520">
        <v>0</v>
      </c>
      <c r="P658" s="504" t="s">
        <v>2406</v>
      </c>
      <c r="Q658" s="287"/>
      <c r="R658" s="168"/>
      <c r="S658" s="380"/>
      <c r="T658" s="473" t="s">
        <v>2162</v>
      </c>
      <c r="U658" s="473" t="s">
        <v>2072</v>
      </c>
      <c r="AA658" s="27"/>
      <c r="AB658" s="27"/>
      <c r="AC658" s="809"/>
      <c r="AD658" s="481"/>
    </row>
    <row r="659" spans="3:30" ht="10.5" customHeight="1">
      <c r="C659" s="1526" t="s">
        <v>4617</v>
      </c>
      <c r="D659" s="1523">
        <v>1</v>
      </c>
      <c r="E659" s="1523">
        <v>1</v>
      </c>
      <c r="F659" s="1524">
        <v>2</v>
      </c>
      <c r="G659" s="1537" t="s">
        <v>4617</v>
      </c>
      <c r="H659" s="1521">
        <v>1</v>
      </c>
      <c r="I659" s="1521">
        <v>1</v>
      </c>
      <c r="J659" s="1538">
        <v>2</v>
      </c>
      <c r="K659" s="1525"/>
      <c r="L659" s="1519">
        <v>13059002000</v>
      </c>
      <c r="M659" s="1520">
        <v>1</v>
      </c>
      <c r="N659" s="1520">
        <v>1</v>
      </c>
      <c r="O659" s="1520">
        <v>2</v>
      </c>
      <c r="P659" s="504" t="s">
        <v>1910</v>
      </c>
      <c r="Q659" s="287"/>
      <c r="R659" s="168"/>
      <c r="S659" s="380"/>
      <c r="T659" s="473" t="s">
        <v>2164</v>
      </c>
      <c r="U659" s="473" t="s">
        <v>628</v>
      </c>
      <c r="AA659" s="27"/>
      <c r="AB659" s="27"/>
      <c r="AC659" s="809"/>
      <c r="AD659" s="481"/>
    </row>
    <row r="660" spans="3:30" ht="10.5" customHeight="1">
      <c r="C660" s="1526" t="s">
        <v>4618</v>
      </c>
      <c r="D660" s="1523">
        <v>0</v>
      </c>
      <c r="E660" s="1523">
        <v>1</v>
      </c>
      <c r="F660" s="1524">
        <v>1</v>
      </c>
      <c r="G660" s="1537" t="s">
        <v>4618</v>
      </c>
      <c r="H660" s="1521">
        <v>0</v>
      </c>
      <c r="I660" s="1521" t="s">
        <v>4096</v>
      </c>
      <c r="J660" s="1538">
        <v>0</v>
      </c>
      <c r="K660" s="1525"/>
      <c r="L660" s="1519">
        <v>13059002100</v>
      </c>
      <c r="M660" s="1520">
        <v>0</v>
      </c>
      <c r="N660" s="1520">
        <v>1</v>
      </c>
      <c r="O660" s="1520">
        <v>1</v>
      </c>
      <c r="P660" s="504" t="s">
        <v>909</v>
      </c>
      <c r="Q660" s="287"/>
      <c r="R660" s="168"/>
      <c r="S660" s="380"/>
      <c r="T660" s="473" t="s">
        <v>1690</v>
      </c>
      <c r="U660" s="473" t="s">
        <v>703</v>
      </c>
      <c r="AA660" s="27"/>
      <c r="AB660" s="27"/>
      <c r="AC660" s="809"/>
      <c r="AD660" s="481"/>
    </row>
    <row r="661" spans="3:30" ht="10.5" customHeight="1">
      <c r="C661" s="1526" t="s">
        <v>4619</v>
      </c>
      <c r="D661" s="1523">
        <v>1</v>
      </c>
      <c r="E661" s="1523">
        <v>1</v>
      </c>
      <c r="F661" s="1524">
        <v>2</v>
      </c>
      <c r="G661" s="1537" t="s">
        <v>4619</v>
      </c>
      <c r="H661" s="1521">
        <v>1</v>
      </c>
      <c r="I661" s="1521" t="s">
        <v>4096</v>
      </c>
      <c r="J661" s="1538">
        <v>1</v>
      </c>
      <c r="K661" s="1525"/>
      <c r="L661" s="1519">
        <v>13059002200</v>
      </c>
      <c r="M661" s="1520">
        <v>1</v>
      </c>
      <c r="N661" s="1520">
        <v>1</v>
      </c>
      <c r="O661" s="1520">
        <v>2</v>
      </c>
      <c r="P661" s="504" t="s">
        <v>741</v>
      </c>
      <c r="Q661" s="287"/>
      <c r="R661" s="168"/>
      <c r="S661" s="380"/>
      <c r="T661" s="505" t="s">
        <v>2402</v>
      </c>
      <c r="U661" s="505" t="s">
        <v>1916</v>
      </c>
      <c r="AA661" s="27"/>
      <c r="AB661" s="27"/>
      <c r="AC661" s="810"/>
      <c r="AD661" s="481"/>
    </row>
    <row r="662" spans="3:30" ht="10.5" customHeight="1">
      <c r="C662" s="1526" t="s">
        <v>4620</v>
      </c>
      <c r="D662" s="1523">
        <v>0</v>
      </c>
      <c r="E662" s="1523">
        <v>0</v>
      </c>
      <c r="F662" s="1524">
        <v>0</v>
      </c>
      <c r="G662" s="1537" t="s">
        <v>4620</v>
      </c>
      <c r="H662" s="1521">
        <v>0</v>
      </c>
      <c r="I662" s="1521">
        <v>0</v>
      </c>
      <c r="J662" s="1538">
        <v>0</v>
      </c>
      <c r="K662" s="1525"/>
      <c r="L662" s="1519">
        <v>13059030100</v>
      </c>
      <c r="M662" s="1520">
        <v>0</v>
      </c>
      <c r="N662" s="1520">
        <v>0</v>
      </c>
      <c r="O662" s="1520">
        <v>0</v>
      </c>
      <c r="P662" s="504" t="s">
        <v>1410</v>
      </c>
      <c r="Q662" s="287"/>
      <c r="R662" s="168"/>
      <c r="S662" s="380"/>
      <c r="T662" s="473" t="s">
        <v>2069</v>
      </c>
      <c r="U662" s="473" t="s">
        <v>1160</v>
      </c>
      <c r="AA662" s="27"/>
      <c r="AB662" s="27"/>
      <c r="AC662" s="809"/>
      <c r="AD662" s="481"/>
    </row>
    <row r="663" spans="3:30" ht="10.5" customHeight="1">
      <c r="C663" s="1526" t="s">
        <v>4621</v>
      </c>
      <c r="D663" s="1523">
        <v>0</v>
      </c>
      <c r="E663" s="1523">
        <v>0</v>
      </c>
      <c r="F663" s="1524">
        <v>0</v>
      </c>
      <c r="G663" s="1537" t="s">
        <v>4621</v>
      </c>
      <c r="H663" s="1521">
        <v>0</v>
      </c>
      <c r="I663" s="1521">
        <v>0</v>
      </c>
      <c r="J663" s="1538">
        <v>0</v>
      </c>
      <c r="K663" s="1525"/>
      <c r="L663" s="1519">
        <v>13059030200</v>
      </c>
      <c r="M663" s="1520">
        <v>0</v>
      </c>
      <c r="N663" s="1520">
        <v>0</v>
      </c>
      <c r="O663" s="1520">
        <v>0</v>
      </c>
      <c r="P663" s="504" t="s">
        <v>1412</v>
      </c>
      <c r="Q663" s="287"/>
      <c r="R663" s="168"/>
      <c r="S663" s="380"/>
      <c r="T663" s="473" t="s">
        <v>1548</v>
      </c>
      <c r="U663" s="473" t="s">
        <v>630</v>
      </c>
      <c r="AA663" s="27"/>
      <c r="AB663" s="27"/>
      <c r="AC663" s="809"/>
      <c r="AD663" s="481"/>
    </row>
    <row r="664" spans="3:30" ht="10.5" customHeight="1">
      <c r="C664" s="1526" t="s">
        <v>4622</v>
      </c>
      <c r="D664" s="1523">
        <v>0</v>
      </c>
      <c r="E664" s="1523">
        <v>0</v>
      </c>
      <c r="F664" s="1524">
        <v>0</v>
      </c>
      <c r="G664" s="1537" t="s">
        <v>4622</v>
      </c>
      <c r="H664" s="1521">
        <v>0</v>
      </c>
      <c r="I664" s="1521">
        <v>0</v>
      </c>
      <c r="J664" s="1538">
        <v>0</v>
      </c>
      <c r="K664" s="1525"/>
      <c r="L664" s="1519">
        <v>13059130300</v>
      </c>
      <c r="M664" s="1520">
        <v>0</v>
      </c>
      <c r="N664" s="1520">
        <v>0</v>
      </c>
      <c r="O664" s="1520">
        <v>0</v>
      </c>
      <c r="P664" s="504" t="s">
        <v>1414</v>
      </c>
      <c r="Q664" s="287"/>
      <c r="R664" s="168"/>
      <c r="S664" s="380"/>
      <c r="T664" s="473" t="s">
        <v>799</v>
      </c>
      <c r="U664" s="473" t="s">
        <v>1264</v>
      </c>
      <c r="AA664" s="27"/>
      <c r="AB664" s="27"/>
      <c r="AC664" s="809"/>
      <c r="AD664" s="481"/>
    </row>
    <row r="665" spans="3:30" ht="10.5" customHeight="1">
      <c r="C665" s="1526" t="s">
        <v>4623</v>
      </c>
      <c r="D665" s="1523">
        <v>1</v>
      </c>
      <c r="E665" s="1523">
        <v>0</v>
      </c>
      <c r="F665" s="1524">
        <v>1</v>
      </c>
      <c r="G665" s="1537" t="s">
        <v>4623</v>
      </c>
      <c r="H665" s="1521">
        <v>1</v>
      </c>
      <c r="I665" s="1521">
        <v>1</v>
      </c>
      <c r="J665" s="1538">
        <v>2</v>
      </c>
      <c r="K665" s="1525"/>
      <c r="L665" s="1519">
        <v>13059130400</v>
      </c>
      <c r="M665" s="1520">
        <v>1</v>
      </c>
      <c r="N665" s="1520">
        <v>1</v>
      </c>
      <c r="O665" s="1520">
        <v>2</v>
      </c>
      <c r="P665" s="504" t="s">
        <v>1256</v>
      </c>
      <c r="Q665" s="287"/>
      <c r="R665" s="168"/>
      <c r="S665" s="380"/>
      <c r="T665" s="473" t="s">
        <v>1551</v>
      </c>
      <c r="U665" s="473" t="s">
        <v>2463</v>
      </c>
      <c r="AA665" s="27"/>
      <c r="AB665" s="27"/>
      <c r="AC665" s="809"/>
      <c r="AD665" s="481"/>
    </row>
    <row r="666" spans="3:30" ht="10.5" customHeight="1">
      <c r="C666" s="1526" t="s">
        <v>4624</v>
      </c>
      <c r="D666" s="1523">
        <v>0</v>
      </c>
      <c r="E666" s="1523">
        <v>0</v>
      </c>
      <c r="F666" s="1524">
        <v>0</v>
      </c>
      <c r="G666" s="1537" t="s">
        <v>4624</v>
      </c>
      <c r="H666" s="1521">
        <v>1</v>
      </c>
      <c r="I666" s="1521">
        <v>0</v>
      </c>
      <c r="J666" s="1538">
        <v>1</v>
      </c>
      <c r="K666" s="1525"/>
      <c r="L666" s="1519">
        <v>13059130500</v>
      </c>
      <c r="M666" s="1520">
        <v>1</v>
      </c>
      <c r="N666" s="1520">
        <v>0</v>
      </c>
      <c r="O666" s="1520">
        <v>1</v>
      </c>
      <c r="P666" s="504" t="s">
        <v>1258</v>
      </c>
      <c r="Q666" s="287"/>
      <c r="R666" s="168"/>
      <c r="S666" s="380"/>
      <c r="T666" s="473" t="s">
        <v>1554</v>
      </c>
      <c r="U666" s="473" t="s">
        <v>1567</v>
      </c>
      <c r="AA666" s="27"/>
      <c r="AB666" s="27"/>
      <c r="AC666" s="809"/>
      <c r="AD666" s="481"/>
    </row>
    <row r="667" spans="3:30" ht="10.5" customHeight="1">
      <c r="C667" s="1526" t="s">
        <v>4625</v>
      </c>
      <c r="D667" s="1523">
        <v>0</v>
      </c>
      <c r="E667" s="1523">
        <v>0</v>
      </c>
      <c r="F667" s="1524">
        <v>0</v>
      </c>
      <c r="G667" s="1537" t="s">
        <v>4625</v>
      </c>
      <c r="H667" s="1521">
        <v>0</v>
      </c>
      <c r="I667" s="1521">
        <v>0</v>
      </c>
      <c r="J667" s="1538">
        <v>0</v>
      </c>
      <c r="K667" s="1525"/>
      <c r="L667" s="1519">
        <v>13059130600</v>
      </c>
      <c r="M667" s="1520">
        <v>0</v>
      </c>
      <c r="N667" s="1520">
        <v>0</v>
      </c>
      <c r="O667" s="1520">
        <v>0</v>
      </c>
      <c r="P667" s="504" t="s">
        <v>1900</v>
      </c>
      <c r="Q667" s="287"/>
      <c r="R667" s="168"/>
      <c r="S667" s="380"/>
      <c r="T667" s="505" t="s">
        <v>1031</v>
      </c>
      <c r="U667" s="505" t="s">
        <v>1459</v>
      </c>
      <c r="AA667" s="27"/>
      <c r="AB667" s="27"/>
      <c r="AC667" s="810"/>
      <c r="AD667" s="481"/>
    </row>
    <row r="668" spans="3:30" ht="10.5" customHeight="1">
      <c r="C668" s="1526" t="s">
        <v>4626</v>
      </c>
      <c r="D668" s="1523">
        <v>1</v>
      </c>
      <c r="E668" s="1523">
        <v>1</v>
      </c>
      <c r="F668" s="1524">
        <v>2</v>
      </c>
      <c r="G668" s="1537" t="s">
        <v>4626</v>
      </c>
      <c r="H668" s="1521">
        <v>1</v>
      </c>
      <c r="I668" s="1521">
        <v>1</v>
      </c>
      <c r="J668" s="1538">
        <v>2</v>
      </c>
      <c r="K668" s="1525"/>
      <c r="L668" s="1519">
        <v>13059130700</v>
      </c>
      <c r="M668" s="1520">
        <v>1</v>
      </c>
      <c r="N668" s="1520">
        <v>1</v>
      </c>
      <c r="O668" s="1520">
        <v>2</v>
      </c>
      <c r="P668" s="504" t="s">
        <v>704</v>
      </c>
      <c r="Q668" s="287"/>
      <c r="R668" s="168"/>
      <c r="S668" s="380"/>
      <c r="T668" s="473" t="s">
        <v>2305</v>
      </c>
      <c r="U668" s="473" t="s">
        <v>99</v>
      </c>
      <c r="AA668" s="27"/>
      <c r="AB668" s="27"/>
      <c r="AC668" s="809"/>
      <c r="AD668" s="481"/>
    </row>
    <row r="669" spans="3:30" ht="10.5" customHeight="1">
      <c r="C669" s="1526" t="s">
        <v>4627</v>
      </c>
      <c r="D669" s="1523">
        <v>0</v>
      </c>
      <c r="E669" s="1523">
        <v>0</v>
      </c>
      <c r="F669" s="1524">
        <v>0</v>
      </c>
      <c r="G669" s="1537" t="s">
        <v>4627</v>
      </c>
      <c r="H669" s="1521">
        <v>0</v>
      </c>
      <c r="I669" s="1521">
        <v>0</v>
      </c>
      <c r="J669" s="1538">
        <v>0</v>
      </c>
      <c r="K669" s="1525"/>
      <c r="L669" s="1519">
        <v>13059140300</v>
      </c>
      <c r="M669" s="1520">
        <v>0</v>
      </c>
      <c r="N669" s="1520">
        <v>0</v>
      </c>
      <c r="O669" s="1520">
        <v>0</v>
      </c>
      <c r="P669" s="504" t="s">
        <v>1218</v>
      </c>
      <c r="Q669" s="287"/>
      <c r="R669" s="168"/>
      <c r="S669" s="380"/>
      <c r="T669" s="473" t="s">
        <v>782</v>
      </c>
      <c r="U669" s="473" t="s">
        <v>1160</v>
      </c>
      <c r="AA669" s="27"/>
      <c r="AB669" s="27"/>
      <c r="AC669" s="809"/>
      <c r="AD669" s="481"/>
    </row>
    <row r="670" spans="3:30" ht="10.5" customHeight="1">
      <c r="C670" s="1526" t="s">
        <v>4628</v>
      </c>
      <c r="D670" s="1523">
        <v>0</v>
      </c>
      <c r="E670" s="1523">
        <v>0</v>
      </c>
      <c r="F670" s="1524">
        <v>0</v>
      </c>
      <c r="G670" s="1537" t="s">
        <v>4628</v>
      </c>
      <c r="H670" s="1521">
        <v>0</v>
      </c>
      <c r="I670" s="1521">
        <v>0</v>
      </c>
      <c r="J670" s="1538">
        <v>0</v>
      </c>
      <c r="K670" s="1525"/>
      <c r="L670" s="1519">
        <v>13059140400</v>
      </c>
      <c r="M670" s="1520">
        <v>0</v>
      </c>
      <c r="N670" s="1520">
        <v>0</v>
      </c>
      <c r="O670" s="1520">
        <v>0</v>
      </c>
      <c r="P670" s="504" t="s">
        <v>1792</v>
      </c>
      <c r="Q670" s="287"/>
      <c r="R670" s="168"/>
      <c r="S670" s="380"/>
      <c r="T670" s="473" t="s">
        <v>1255</v>
      </c>
      <c r="U670" s="473" t="s">
        <v>1819</v>
      </c>
      <c r="AA670" s="27"/>
      <c r="AB670" s="27"/>
      <c r="AC670" s="809"/>
      <c r="AD670" s="481"/>
    </row>
    <row r="671" spans="3:30" ht="10.5" customHeight="1">
      <c r="C671" s="1526" t="s">
        <v>4629</v>
      </c>
      <c r="D671" s="1523">
        <v>0</v>
      </c>
      <c r="E671" s="1523">
        <v>0</v>
      </c>
      <c r="F671" s="1524">
        <v>0</v>
      </c>
      <c r="G671" s="1537" t="s">
        <v>4629</v>
      </c>
      <c r="H671" s="1521">
        <v>0</v>
      </c>
      <c r="I671" s="1521">
        <v>0</v>
      </c>
      <c r="J671" s="1538">
        <v>0</v>
      </c>
      <c r="K671" s="1525"/>
      <c r="L671" s="1519">
        <v>13059140500</v>
      </c>
      <c r="M671" s="1520">
        <v>0</v>
      </c>
      <c r="N671" s="1520">
        <v>0</v>
      </c>
      <c r="O671" s="1520">
        <v>0</v>
      </c>
      <c r="P671" s="504" t="s">
        <v>1793</v>
      </c>
      <c r="Q671" s="287"/>
      <c r="R671" s="168"/>
      <c r="S671" s="380"/>
      <c r="T671" s="473" t="s">
        <v>160</v>
      </c>
      <c r="U671" s="473" t="s">
        <v>1280</v>
      </c>
      <c r="AA671" s="27"/>
      <c r="AB671" s="27"/>
      <c r="AC671" s="809"/>
      <c r="AD671" s="481"/>
    </row>
    <row r="672" spans="3:30" ht="10.5" customHeight="1">
      <c r="C672" s="1526" t="s">
        <v>4630</v>
      </c>
      <c r="D672" s="1523">
        <v>0</v>
      </c>
      <c r="E672" s="1523">
        <v>0</v>
      </c>
      <c r="F672" s="1524">
        <v>0</v>
      </c>
      <c r="G672" s="1537" t="s">
        <v>4630</v>
      </c>
      <c r="H672" s="1521">
        <v>0</v>
      </c>
      <c r="I672" s="1521">
        <v>0</v>
      </c>
      <c r="J672" s="1538">
        <v>0</v>
      </c>
      <c r="K672" s="1525"/>
      <c r="L672" s="1519">
        <v>13059140600</v>
      </c>
      <c r="M672" s="1520">
        <v>0</v>
      </c>
      <c r="N672" s="1520">
        <v>0</v>
      </c>
      <c r="O672" s="1520">
        <v>0</v>
      </c>
      <c r="P672" s="504" t="s">
        <v>1795</v>
      </c>
      <c r="Q672" s="287"/>
      <c r="R672" s="168"/>
      <c r="S672" s="380"/>
      <c r="T672" s="473" t="s">
        <v>951</v>
      </c>
      <c r="U672" s="473" t="s">
        <v>1592</v>
      </c>
      <c r="AA672" s="27"/>
      <c r="AB672" s="27"/>
      <c r="AC672" s="809"/>
      <c r="AD672" s="481"/>
    </row>
    <row r="673" spans="3:30" ht="10.5" customHeight="1">
      <c r="C673" s="1526" t="s">
        <v>4631</v>
      </c>
      <c r="D673" s="1523">
        <v>1</v>
      </c>
      <c r="E673" s="1523">
        <v>0</v>
      </c>
      <c r="F673" s="1524">
        <v>1</v>
      </c>
      <c r="G673" s="1537" t="s">
        <v>4631</v>
      </c>
      <c r="H673" s="1521">
        <v>1</v>
      </c>
      <c r="I673" s="1521">
        <v>1</v>
      </c>
      <c r="J673" s="1538">
        <v>2</v>
      </c>
      <c r="K673" s="1525"/>
      <c r="L673" s="1519">
        <v>13059150300</v>
      </c>
      <c r="M673" s="1520">
        <v>1</v>
      </c>
      <c r="N673" s="1520">
        <v>1</v>
      </c>
      <c r="O673" s="1520">
        <v>2</v>
      </c>
      <c r="P673" s="504" t="s">
        <v>1797</v>
      </c>
      <c r="Q673" s="287"/>
      <c r="R673" s="168"/>
      <c r="S673" s="380"/>
      <c r="T673" s="473" t="s">
        <v>2662</v>
      </c>
      <c r="U673" s="473" t="s">
        <v>315</v>
      </c>
      <c r="AA673" s="27"/>
      <c r="AB673" s="27"/>
      <c r="AC673" s="809"/>
      <c r="AD673" s="481"/>
    </row>
    <row r="674" spans="3:30" ht="10.5" customHeight="1">
      <c r="C674" s="1526" t="s">
        <v>4632</v>
      </c>
      <c r="D674" s="1523">
        <v>0</v>
      </c>
      <c r="E674" s="1523">
        <v>1</v>
      </c>
      <c r="F674" s="1524">
        <v>1</v>
      </c>
      <c r="G674" s="1537" t="s">
        <v>4632</v>
      </c>
      <c r="H674" s="1521">
        <v>0</v>
      </c>
      <c r="I674" s="1521" t="s">
        <v>4096</v>
      </c>
      <c r="J674" s="1538">
        <v>0</v>
      </c>
      <c r="K674" s="1525"/>
      <c r="L674" s="1519">
        <v>13059150400</v>
      </c>
      <c r="M674" s="1520">
        <v>0</v>
      </c>
      <c r="N674" s="1520">
        <v>1</v>
      </c>
      <c r="O674" s="1520">
        <v>1</v>
      </c>
      <c r="P674" s="504" t="s">
        <v>1799</v>
      </c>
      <c r="Q674" s="287"/>
      <c r="R674" s="168"/>
      <c r="S674" s="380"/>
      <c r="T674" s="473" t="s">
        <v>2663</v>
      </c>
      <c r="U674" s="473" t="s">
        <v>107</v>
      </c>
      <c r="AA674" s="27"/>
      <c r="AB674" s="27"/>
      <c r="AC674" s="809"/>
      <c r="AD674" s="481"/>
    </row>
    <row r="675" spans="3:30" ht="10.5" customHeight="1">
      <c r="C675" s="1526" t="s">
        <v>4633</v>
      </c>
      <c r="D675" s="1523">
        <v>0</v>
      </c>
      <c r="E675" s="1523">
        <v>1</v>
      </c>
      <c r="F675" s="1524">
        <v>1</v>
      </c>
      <c r="G675" s="1537" t="s">
        <v>4633</v>
      </c>
      <c r="H675" s="1521">
        <v>0</v>
      </c>
      <c r="I675" s="1521">
        <v>1</v>
      </c>
      <c r="J675" s="1538">
        <v>1</v>
      </c>
      <c r="K675" s="1525"/>
      <c r="L675" s="1519">
        <v>13059150500</v>
      </c>
      <c r="M675" s="1520">
        <v>0</v>
      </c>
      <c r="N675" s="1520">
        <v>1</v>
      </c>
      <c r="O675" s="1520">
        <v>1</v>
      </c>
      <c r="P675" s="504" t="s">
        <v>479</v>
      </c>
      <c r="Q675" s="287"/>
      <c r="R675" s="168"/>
      <c r="S675" s="380"/>
      <c r="T675" s="473" t="s">
        <v>1277</v>
      </c>
      <c r="U675" s="473" t="s">
        <v>151</v>
      </c>
      <c r="AA675" s="27"/>
      <c r="AB675" s="27"/>
      <c r="AC675" s="809"/>
      <c r="AD675" s="481"/>
    </row>
    <row r="676" spans="3:30" ht="10.5" customHeight="1">
      <c r="C676" s="1526" t="s">
        <v>4634</v>
      </c>
      <c r="D676" s="1523">
        <v>0</v>
      </c>
      <c r="E676" s="1523">
        <v>0</v>
      </c>
      <c r="F676" s="1524">
        <v>0</v>
      </c>
      <c r="G676" s="1537" t="s">
        <v>4634</v>
      </c>
      <c r="H676" s="1521">
        <v>0</v>
      </c>
      <c r="I676" s="1521">
        <v>1</v>
      </c>
      <c r="J676" s="1538">
        <v>1</v>
      </c>
      <c r="K676" s="1525"/>
      <c r="L676" s="1519">
        <v>13059150600</v>
      </c>
      <c r="M676" s="1520">
        <v>0</v>
      </c>
      <c r="N676" s="1520">
        <v>1</v>
      </c>
      <c r="O676" s="1520">
        <v>1</v>
      </c>
      <c r="P676" s="504" t="s">
        <v>2416</v>
      </c>
      <c r="Q676" s="287"/>
      <c r="R676" s="168"/>
      <c r="S676" s="380"/>
      <c r="T676" s="473" t="s">
        <v>2407</v>
      </c>
      <c r="U676" s="473" t="s">
        <v>837</v>
      </c>
      <c r="AA676" s="27"/>
      <c r="AB676" s="27"/>
      <c r="AC676" s="809"/>
      <c r="AD676" s="481"/>
    </row>
    <row r="677" spans="3:30" ht="10.5" customHeight="1">
      <c r="C677" s="1526" t="s">
        <v>4635</v>
      </c>
      <c r="D677" s="1523">
        <v>1</v>
      </c>
      <c r="E677" s="1523">
        <v>0</v>
      </c>
      <c r="F677" s="1524">
        <v>1</v>
      </c>
      <c r="G677" s="1537" t="s">
        <v>4635</v>
      </c>
      <c r="H677" s="1521">
        <v>0</v>
      </c>
      <c r="I677" s="1521">
        <v>1</v>
      </c>
      <c r="J677" s="1538">
        <v>1</v>
      </c>
      <c r="K677" s="1525"/>
      <c r="L677" s="1519">
        <v>13059150700</v>
      </c>
      <c r="M677" s="1520">
        <v>1</v>
      </c>
      <c r="N677" s="1520">
        <v>1</v>
      </c>
      <c r="O677" s="1520">
        <v>1</v>
      </c>
      <c r="P677" s="504" t="s">
        <v>2418</v>
      </c>
      <c r="Q677" s="287"/>
      <c r="R677" s="168"/>
      <c r="S677" s="380"/>
      <c r="T677" s="473" t="s">
        <v>1032</v>
      </c>
      <c r="U677" s="473" t="s">
        <v>598</v>
      </c>
      <c r="AA677" s="27"/>
      <c r="AB677" s="27"/>
      <c r="AC677" s="809"/>
      <c r="AD677" s="481"/>
    </row>
    <row r="678" spans="3:30" ht="10.5" customHeight="1">
      <c r="C678" s="1526" t="s">
        <v>4636</v>
      </c>
      <c r="D678" s="1523">
        <v>1</v>
      </c>
      <c r="E678" s="1523">
        <v>1</v>
      </c>
      <c r="F678" s="1524">
        <v>2</v>
      </c>
      <c r="G678" s="1537" t="s">
        <v>4636</v>
      </c>
      <c r="H678" s="1521">
        <v>1</v>
      </c>
      <c r="I678" s="1521">
        <v>1</v>
      </c>
      <c r="J678" s="1538">
        <v>2</v>
      </c>
      <c r="K678" s="1525"/>
      <c r="L678" s="1519">
        <v>13059150800</v>
      </c>
      <c r="M678" s="1520">
        <v>1</v>
      </c>
      <c r="N678" s="1520">
        <v>1</v>
      </c>
      <c r="O678" s="1520">
        <v>2</v>
      </c>
      <c r="P678" s="504" t="s">
        <v>1112</v>
      </c>
      <c r="Q678" s="287"/>
      <c r="R678" s="168"/>
      <c r="S678" s="380"/>
      <c r="T678" s="505" t="s">
        <v>2072</v>
      </c>
      <c r="U678" s="505" t="s">
        <v>101</v>
      </c>
      <c r="AA678" s="27"/>
      <c r="AB678" s="27"/>
      <c r="AC678" s="810"/>
      <c r="AD678" s="481"/>
    </row>
    <row r="679" spans="3:30" ht="10.5" customHeight="1">
      <c r="C679" s="1526" t="s">
        <v>4637</v>
      </c>
      <c r="D679" s="1523">
        <v>1</v>
      </c>
      <c r="E679" s="1523">
        <v>1</v>
      </c>
      <c r="F679" s="1524">
        <v>2</v>
      </c>
      <c r="G679" s="1537" t="s">
        <v>4637</v>
      </c>
      <c r="H679" s="1521">
        <v>1</v>
      </c>
      <c r="I679" s="1521">
        <v>1</v>
      </c>
      <c r="J679" s="1538">
        <v>2</v>
      </c>
      <c r="K679" s="1525"/>
      <c r="L679" s="1519">
        <v>13059150900</v>
      </c>
      <c r="M679" s="1520">
        <v>1</v>
      </c>
      <c r="N679" s="1520">
        <v>1</v>
      </c>
      <c r="O679" s="1520">
        <v>2</v>
      </c>
      <c r="P679" s="504" t="s">
        <v>2397</v>
      </c>
      <c r="Q679" s="287"/>
      <c r="R679" s="168"/>
      <c r="S679" s="380"/>
      <c r="T679" s="473" t="s">
        <v>1411</v>
      </c>
      <c r="U679" s="473" t="s">
        <v>2412</v>
      </c>
      <c r="AA679" s="27"/>
      <c r="AB679" s="27"/>
      <c r="AC679" s="809"/>
      <c r="AD679" s="481"/>
    </row>
    <row r="680" spans="3:30" ht="10.5" customHeight="1">
      <c r="C680" s="1526" t="s">
        <v>4638</v>
      </c>
      <c r="D680" s="1523">
        <v>0</v>
      </c>
      <c r="E680" s="1523">
        <v>0</v>
      </c>
      <c r="F680" s="1524">
        <v>0</v>
      </c>
      <c r="G680" s="1537" t="s">
        <v>4638</v>
      </c>
      <c r="H680" s="1521">
        <v>0</v>
      </c>
      <c r="I680" s="1521">
        <v>0</v>
      </c>
      <c r="J680" s="1538">
        <v>0</v>
      </c>
      <c r="K680" s="1525"/>
      <c r="L680" s="1519">
        <v>13061960300</v>
      </c>
      <c r="M680" s="1520">
        <v>0</v>
      </c>
      <c r="N680" s="1520">
        <v>0</v>
      </c>
      <c r="O680" s="1520">
        <v>0</v>
      </c>
      <c r="P680" s="504" t="s">
        <v>2399</v>
      </c>
      <c r="Q680" s="287"/>
      <c r="R680" s="168"/>
      <c r="S680" s="380"/>
      <c r="T680" s="473" t="s">
        <v>2664</v>
      </c>
      <c r="U680" s="473" t="s">
        <v>1861</v>
      </c>
      <c r="AA680" s="27"/>
      <c r="AB680" s="27"/>
      <c r="AC680" s="809"/>
      <c r="AD680" s="481"/>
    </row>
    <row r="681" spans="3:30" ht="10.5" customHeight="1">
      <c r="C681" s="1526" t="s">
        <v>4639</v>
      </c>
      <c r="D681" s="1523">
        <v>0</v>
      </c>
      <c r="E681" s="1523">
        <v>0</v>
      </c>
      <c r="F681" s="1524">
        <v>0</v>
      </c>
      <c r="G681" s="1537" t="s">
        <v>4639</v>
      </c>
      <c r="H681" s="1521">
        <v>0</v>
      </c>
      <c r="I681" s="1521" t="s">
        <v>4096</v>
      </c>
      <c r="J681" s="1538">
        <v>0</v>
      </c>
      <c r="K681" s="1525"/>
      <c r="L681" s="1519">
        <v>13063040202</v>
      </c>
      <c r="M681" s="1520">
        <v>0</v>
      </c>
      <c r="N681" s="1520">
        <v>0</v>
      </c>
      <c r="O681" s="1520">
        <v>0</v>
      </c>
      <c r="P681" s="504" t="s">
        <v>1470</v>
      </c>
      <c r="Q681" s="287"/>
      <c r="R681" s="168"/>
      <c r="S681" s="380"/>
      <c r="T681" s="473" t="s">
        <v>1413</v>
      </c>
      <c r="U681" s="473" t="s">
        <v>314</v>
      </c>
      <c r="AA681" s="27"/>
      <c r="AB681" s="27"/>
      <c r="AC681" s="809"/>
      <c r="AD681" s="481"/>
    </row>
    <row r="682" spans="3:30" ht="10.5" customHeight="1">
      <c r="C682" s="1526" t="s">
        <v>4640</v>
      </c>
      <c r="D682" s="1523">
        <v>0</v>
      </c>
      <c r="E682" s="1523">
        <v>0</v>
      </c>
      <c r="F682" s="1524">
        <v>0</v>
      </c>
      <c r="G682" s="1537" t="s">
        <v>4640</v>
      </c>
      <c r="H682" s="1521">
        <v>0</v>
      </c>
      <c r="I682" s="1521">
        <v>0</v>
      </c>
      <c r="J682" s="1538">
        <v>0</v>
      </c>
      <c r="K682" s="1525"/>
      <c r="L682" s="1519">
        <v>13063040203</v>
      </c>
      <c r="M682" s="1520">
        <v>0</v>
      </c>
      <c r="N682" s="1520">
        <v>0</v>
      </c>
      <c r="O682" s="1520">
        <v>0</v>
      </c>
      <c r="P682" s="504" t="s">
        <v>1471</v>
      </c>
      <c r="Q682" s="287"/>
      <c r="R682" s="168"/>
      <c r="S682" s="380"/>
      <c r="T682" s="473" t="s">
        <v>1033</v>
      </c>
      <c r="U682" s="473" t="s">
        <v>628</v>
      </c>
      <c r="AA682" s="27"/>
      <c r="AB682" s="27"/>
      <c r="AC682" s="809"/>
      <c r="AD682" s="481"/>
    </row>
    <row r="683" spans="3:30" ht="10.5" customHeight="1">
      <c r="C683" s="1526" t="s">
        <v>4641</v>
      </c>
      <c r="D683" s="1523">
        <v>0</v>
      </c>
      <c r="E683" s="1523">
        <v>0</v>
      </c>
      <c r="F683" s="1524">
        <v>0</v>
      </c>
      <c r="G683" s="1537" t="s">
        <v>4641</v>
      </c>
      <c r="H683" s="1521">
        <v>0</v>
      </c>
      <c r="I683" s="1521">
        <v>0</v>
      </c>
      <c r="J683" s="1538">
        <v>0</v>
      </c>
      <c r="K683" s="1525"/>
      <c r="L683" s="1519">
        <v>13063040204</v>
      </c>
      <c r="M683" s="1520">
        <v>0</v>
      </c>
      <c r="N683" s="1520">
        <v>0</v>
      </c>
      <c r="O683" s="1520">
        <v>0</v>
      </c>
      <c r="P683" s="504" t="s">
        <v>2007</v>
      </c>
      <c r="Q683" s="287"/>
      <c r="R683" s="168"/>
      <c r="S683" s="380"/>
      <c r="T683" s="473" t="s">
        <v>1257</v>
      </c>
      <c r="U683" s="473" t="s">
        <v>2085</v>
      </c>
      <c r="AA683" s="27"/>
      <c r="AB683" s="27"/>
      <c r="AC683" s="809"/>
      <c r="AD683" s="481"/>
    </row>
    <row r="684" spans="3:30" ht="10.5" customHeight="1">
      <c r="C684" s="1526" t="s">
        <v>4642</v>
      </c>
      <c r="D684" s="1523">
        <v>0</v>
      </c>
      <c r="E684" s="1523">
        <v>0</v>
      </c>
      <c r="F684" s="1524">
        <v>0</v>
      </c>
      <c r="G684" s="1537" t="s">
        <v>4642</v>
      </c>
      <c r="H684" s="1521">
        <v>0</v>
      </c>
      <c r="I684" s="1521">
        <v>0</v>
      </c>
      <c r="J684" s="1538">
        <v>0</v>
      </c>
      <c r="K684" s="1525"/>
      <c r="L684" s="1519">
        <v>13063040302</v>
      </c>
      <c r="M684" s="1520">
        <v>0</v>
      </c>
      <c r="N684" s="1520">
        <v>0</v>
      </c>
      <c r="O684" s="1520">
        <v>0</v>
      </c>
      <c r="P684" s="504" t="s">
        <v>2008</v>
      </c>
      <c r="Q684" s="287"/>
      <c r="R684" s="168"/>
      <c r="S684" s="380"/>
      <c r="T684" s="473" t="s">
        <v>1259</v>
      </c>
      <c r="U684" s="473" t="s">
        <v>2412</v>
      </c>
      <c r="AA684" s="27"/>
      <c r="AB684" s="27"/>
      <c r="AC684" s="809"/>
      <c r="AD684" s="481"/>
    </row>
    <row r="685" spans="3:30" ht="10.5" customHeight="1">
      <c r="C685" s="1526" t="s">
        <v>4643</v>
      </c>
      <c r="D685" s="1523">
        <v>0</v>
      </c>
      <c r="E685" s="1523">
        <v>0</v>
      </c>
      <c r="F685" s="1524">
        <v>0</v>
      </c>
      <c r="G685" s="1537" t="s">
        <v>4643</v>
      </c>
      <c r="H685" s="1521">
        <v>0</v>
      </c>
      <c r="I685" s="1521">
        <v>0</v>
      </c>
      <c r="J685" s="1538">
        <v>0</v>
      </c>
      <c r="K685" s="1525"/>
      <c r="L685" s="1519">
        <v>13063040303</v>
      </c>
      <c r="M685" s="1520">
        <v>0</v>
      </c>
      <c r="N685" s="1520">
        <v>0</v>
      </c>
      <c r="O685" s="1520">
        <v>0</v>
      </c>
      <c r="P685" s="504" t="s">
        <v>1556</v>
      </c>
      <c r="Q685" s="287"/>
      <c r="R685" s="168"/>
      <c r="S685" s="380"/>
      <c r="T685" s="473" t="s">
        <v>1901</v>
      </c>
      <c r="U685" s="473" t="s">
        <v>1067</v>
      </c>
      <c r="AA685" s="27"/>
      <c r="AB685" s="27"/>
      <c r="AC685" s="809"/>
      <c r="AD685" s="481"/>
    </row>
    <row r="686" spans="3:30" ht="10.5" customHeight="1">
      <c r="C686" s="1526" t="s">
        <v>4644</v>
      </c>
      <c r="D686" s="1523">
        <v>0</v>
      </c>
      <c r="E686" s="1523">
        <v>0</v>
      </c>
      <c r="F686" s="1524">
        <v>0</v>
      </c>
      <c r="G686" s="1537" t="s">
        <v>4644</v>
      </c>
      <c r="H686" s="1521">
        <v>0</v>
      </c>
      <c r="I686" s="1521" t="s">
        <v>4096</v>
      </c>
      <c r="J686" s="1538">
        <v>0</v>
      </c>
      <c r="K686" s="1525"/>
      <c r="L686" s="1519">
        <v>13063040306</v>
      </c>
      <c r="M686" s="1520">
        <v>0</v>
      </c>
      <c r="N686" s="1520">
        <v>0</v>
      </c>
      <c r="O686" s="1520">
        <v>0</v>
      </c>
      <c r="P686" s="504" t="s">
        <v>1558</v>
      </c>
      <c r="Q686" s="287"/>
      <c r="R686" s="168"/>
      <c r="S686" s="380"/>
      <c r="T686" s="473" t="s">
        <v>705</v>
      </c>
      <c r="U686" s="473" t="s">
        <v>304</v>
      </c>
      <c r="AA686" s="27"/>
      <c r="AB686" s="27"/>
      <c r="AC686" s="809"/>
      <c r="AD686" s="481"/>
    </row>
    <row r="687" spans="3:30" ht="10.5" customHeight="1">
      <c r="C687" s="1526" t="s">
        <v>4645</v>
      </c>
      <c r="D687" s="1523">
        <v>0</v>
      </c>
      <c r="E687" s="1523">
        <v>0</v>
      </c>
      <c r="F687" s="1524">
        <v>0</v>
      </c>
      <c r="G687" s="1537" t="s">
        <v>4645</v>
      </c>
      <c r="H687" s="1521">
        <v>0</v>
      </c>
      <c r="I687" s="1521">
        <v>0</v>
      </c>
      <c r="J687" s="1538">
        <v>0</v>
      </c>
      <c r="K687" s="1525"/>
      <c r="L687" s="1519">
        <v>13063040307</v>
      </c>
      <c r="M687" s="1520">
        <v>0</v>
      </c>
      <c r="N687" s="1520">
        <v>0</v>
      </c>
      <c r="O687" s="1520">
        <v>0</v>
      </c>
      <c r="P687" s="504" t="s">
        <v>901</v>
      </c>
      <c r="Q687" s="287"/>
      <c r="R687" s="168"/>
      <c r="S687" s="380"/>
      <c r="T687" s="473" t="s">
        <v>1219</v>
      </c>
      <c r="U687" s="473" t="s">
        <v>641</v>
      </c>
      <c r="AA687" s="27"/>
      <c r="AB687" s="27"/>
      <c r="AC687" s="809"/>
      <c r="AD687" s="481"/>
    </row>
    <row r="688" spans="3:30" ht="10.5" customHeight="1">
      <c r="C688" s="1526" t="s">
        <v>4646</v>
      </c>
      <c r="D688" s="1523">
        <v>0</v>
      </c>
      <c r="E688" s="1523">
        <v>0</v>
      </c>
      <c r="F688" s="1524">
        <v>0</v>
      </c>
      <c r="G688" s="1537" t="s">
        <v>4646</v>
      </c>
      <c r="H688" s="1521">
        <v>0</v>
      </c>
      <c r="I688" s="1521">
        <v>0</v>
      </c>
      <c r="J688" s="1538">
        <v>0</v>
      </c>
      <c r="K688" s="1525"/>
      <c r="L688" s="1519">
        <v>13063040308</v>
      </c>
      <c r="M688" s="1520">
        <v>0</v>
      </c>
      <c r="N688" s="1520">
        <v>0</v>
      </c>
      <c r="O688" s="1520">
        <v>0</v>
      </c>
      <c r="P688" s="504" t="s">
        <v>903</v>
      </c>
      <c r="Q688" s="287"/>
      <c r="R688" s="168"/>
      <c r="S688" s="380"/>
      <c r="T688" s="473" t="s">
        <v>1034</v>
      </c>
      <c r="U688" s="473" t="s">
        <v>151</v>
      </c>
      <c r="AA688" s="27"/>
      <c r="AB688" s="27"/>
      <c r="AC688" s="809"/>
      <c r="AD688" s="481"/>
    </row>
    <row r="689" spans="3:30" ht="10.5" customHeight="1">
      <c r="C689" s="1526" t="s">
        <v>4647</v>
      </c>
      <c r="D689" s="1523">
        <v>0</v>
      </c>
      <c r="E689" s="1523">
        <v>0</v>
      </c>
      <c r="F689" s="1524">
        <v>0</v>
      </c>
      <c r="G689" s="1537" t="s">
        <v>4647</v>
      </c>
      <c r="H689" s="1521">
        <v>0</v>
      </c>
      <c r="I689" s="1521">
        <v>0</v>
      </c>
      <c r="J689" s="1538">
        <v>0</v>
      </c>
      <c r="K689" s="1525"/>
      <c r="L689" s="1519">
        <v>13063040407</v>
      </c>
      <c r="M689" s="1520">
        <v>0</v>
      </c>
      <c r="N689" s="1520">
        <v>0</v>
      </c>
      <c r="O689" s="1520">
        <v>0</v>
      </c>
      <c r="P689" s="504" t="s">
        <v>905</v>
      </c>
      <c r="Q689" s="287"/>
      <c r="R689" s="168"/>
      <c r="S689" s="380"/>
      <c r="T689" s="473" t="s">
        <v>1794</v>
      </c>
      <c r="U689" s="473" t="s">
        <v>1065</v>
      </c>
      <c r="AA689" s="27"/>
      <c r="AB689" s="27"/>
      <c r="AC689" s="809"/>
      <c r="AD689" s="481"/>
    </row>
    <row r="690" spans="3:30" ht="10.5" customHeight="1">
      <c r="C690" s="1526" t="s">
        <v>4648</v>
      </c>
      <c r="D690" s="1523">
        <v>0</v>
      </c>
      <c r="E690" s="1523">
        <v>0</v>
      </c>
      <c r="F690" s="1524">
        <v>0</v>
      </c>
      <c r="G690" s="1537" t="s">
        <v>4648</v>
      </c>
      <c r="H690" s="1521">
        <v>0</v>
      </c>
      <c r="I690" s="1521">
        <v>0</v>
      </c>
      <c r="J690" s="1538">
        <v>0</v>
      </c>
      <c r="K690" s="1525"/>
      <c r="L690" s="1519">
        <v>13063040408</v>
      </c>
      <c r="M690" s="1520">
        <v>0</v>
      </c>
      <c r="N690" s="1520">
        <v>0</v>
      </c>
      <c r="O690" s="1520">
        <v>0</v>
      </c>
      <c r="P690" s="504" t="s">
        <v>2385</v>
      </c>
      <c r="Q690" s="287"/>
      <c r="R690" s="168"/>
      <c r="S690" s="380"/>
      <c r="T690" s="505" t="s">
        <v>1796</v>
      </c>
      <c r="U690" s="505" t="s">
        <v>1399</v>
      </c>
      <c r="AA690" s="27"/>
      <c r="AB690" s="27"/>
      <c r="AC690" s="810"/>
      <c r="AD690" s="481"/>
    </row>
    <row r="691" spans="3:30" ht="10.5" customHeight="1">
      <c r="C691" s="1526" t="s">
        <v>4649</v>
      </c>
      <c r="D691" s="1523">
        <v>0</v>
      </c>
      <c r="E691" s="1523">
        <v>0</v>
      </c>
      <c r="F691" s="1524">
        <v>0</v>
      </c>
      <c r="G691" s="1537" t="s">
        <v>4649</v>
      </c>
      <c r="H691" s="1521">
        <v>1</v>
      </c>
      <c r="I691" s="1521" t="s">
        <v>4096</v>
      </c>
      <c r="J691" s="1538">
        <v>1</v>
      </c>
      <c r="K691" s="1525"/>
      <c r="L691" s="1519">
        <v>13063040409</v>
      </c>
      <c r="M691" s="1520">
        <v>1</v>
      </c>
      <c r="N691" s="1520">
        <v>0</v>
      </c>
      <c r="O691" s="1520">
        <v>1</v>
      </c>
      <c r="P691" s="504" t="s">
        <v>2387</v>
      </c>
      <c r="Q691" s="287"/>
      <c r="R691" s="168"/>
      <c r="S691" s="380"/>
      <c r="T691" s="505" t="s">
        <v>1798</v>
      </c>
      <c r="U691" s="505" t="s">
        <v>2373</v>
      </c>
      <c r="AA691" s="27"/>
      <c r="AB691" s="27"/>
      <c r="AC691" s="810"/>
      <c r="AD691" s="481"/>
    </row>
    <row r="692" spans="3:30" ht="10.5" customHeight="1">
      <c r="C692" s="1526" t="s">
        <v>4650</v>
      </c>
      <c r="D692" s="1523">
        <v>0</v>
      </c>
      <c r="E692" s="1523">
        <v>0</v>
      </c>
      <c r="F692" s="1524">
        <v>0</v>
      </c>
      <c r="G692" s="1537" t="s">
        <v>4650</v>
      </c>
      <c r="H692" s="1521">
        <v>0</v>
      </c>
      <c r="I692" s="1521">
        <v>0</v>
      </c>
      <c r="J692" s="1538">
        <v>0</v>
      </c>
      <c r="K692" s="1525"/>
      <c r="L692" s="1519">
        <v>13063040410</v>
      </c>
      <c r="M692" s="1520">
        <v>0</v>
      </c>
      <c r="N692" s="1520">
        <v>0</v>
      </c>
      <c r="O692" s="1520">
        <v>0</v>
      </c>
      <c r="P692" s="504" t="s">
        <v>2388</v>
      </c>
      <c r="Q692" s="287"/>
      <c r="R692" s="168"/>
      <c r="S692" s="380"/>
      <c r="T692" s="473" t="s">
        <v>1800</v>
      </c>
      <c r="U692" s="473" t="s">
        <v>114</v>
      </c>
      <c r="AA692" s="27"/>
      <c r="AB692" s="27"/>
      <c r="AC692" s="809"/>
      <c r="AD692" s="481"/>
    </row>
    <row r="693" spans="3:30" ht="10.5" customHeight="1">
      <c r="C693" s="1526" t="s">
        <v>4651</v>
      </c>
      <c r="D693" s="1523">
        <v>1</v>
      </c>
      <c r="E693" s="1523">
        <v>0</v>
      </c>
      <c r="F693" s="1524">
        <v>1</v>
      </c>
      <c r="G693" s="1537" t="s">
        <v>4651</v>
      </c>
      <c r="H693" s="1521">
        <v>1</v>
      </c>
      <c r="I693" s="1521">
        <v>1</v>
      </c>
      <c r="J693" s="1538">
        <v>2</v>
      </c>
      <c r="K693" s="1525"/>
      <c r="L693" s="1519">
        <v>13063040411</v>
      </c>
      <c r="M693" s="1520">
        <v>1</v>
      </c>
      <c r="N693" s="1520">
        <v>1</v>
      </c>
      <c r="O693" s="1520">
        <v>2</v>
      </c>
      <c r="P693" s="504" t="s">
        <v>1811</v>
      </c>
      <c r="Q693" s="287"/>
      <c r="R693" s="168"/>
      <c r="S693" s="380"/>
      <c r="T693" s="473" t="s">
        <v>480</v>
      </c>
      <c r="U693" s="473" t="s">
        <v>1917</v>
      </c>
      <c r="AA693" s="27"/>
      <c r="AB693" s="27"/>
      <c r="AC693" s="809"/>
      <c r="AD693" s="481"/>
    </row>
    <row r="694" spans="3:30" ht="10.5" customHeight="1">
      <c r="C694" s="1526" t="s">
        <v>4652</v>
      </c>
      <c r="D694" s="1523">
        <v>0</v>
      </c>
      <c r="E694" s="1523">
        <v>0</v>
      </c>
      <c r="F694" s="1524">
        <v>0</v>
      </c>
      <c r="G694" s="1537" t="s">
        <v>4652</v>
      </c>
      <c r="H694" s="1521">
        <v>0</v>
      </c>
      <c r="I694" s="1521">
        <v>0</v>
      </c>
      <c r="J694" s="1538">
        <v>0</v>
      </c>
      <c r="K694" s="1525"/>
      <c r="L694" s="1519">
        <v>13063040412</v>
      </c>
      <c r="M694" s="1520">
        <v>0</v>
      </c>
      <c r="N694" s="1520">
        <v>0</v>
      </c>
      <c r="O694" s="1520">
        <v>0</v>
      </c>
      <c r="P694" s="504" t="s">
        <v>1812</v>
      </c>
      <c r="Q694" s="287"/>
      <c r="R694" s="168"/>
      <c r="S694" s="380"/>
      <c r="T694" s="473" t="s">
        <v>2417</v>
      </c>
      <c r="U694" s="473" t="s">
        <v>1823</v>
      </c>
      <c r="AA694" s="27"/>
      <c r="AB694" s="27"/>
      <c r="AC694" s="809"/>
      <c r="AD694" s="481"/>
    </row>
    <row r="695" spans="3:30" ht="10.5" customHeight="1">
      <c r="C695" s="1526" t="s">
        <v>4653</v>
      </c>
      <c r="D695" s="1523">
        <v>0</v>
      </c>
      <c r="E695" s="1523">
        <v>0</v>
      </c>
      <c r="F695" s="1524">
        <v>0</v>
      </c>
      <c r="G695" s="1537" t="s">
        <v>4653</v>
      </c>
      <c r="H695" s="1521">
        <v>0</v>
      </c>
      <c r="I695" s="1521">
        <v>0</v>
      </c>
      <c r="J695" s="1538">
        <v>0</v>
      </c>
      <c r="K695" s="1525"/>
      <c r="L695" s="1519">
        <v>13063040413</v>
      </c>
      <c r="M695" s="1520">
        <v>0</v>
      </c>
      <c r="N695" s="1520">
        <v>0</v>
      </c>
      <c r="O695" s="1520">
        <v>0</v>
      </c>
      <c r="P695" s="504" t="s">
        <v>1814</v>
      </c>
      <c r="Q695" s="287"/>
      <c r="R695" s="168"/>
      <c r="S695" s="380"/>
      <c r="T695" s="473" t="s">
        <v>3940</v>
      </c>
      <c r="U695" s="473" t="s">
        <v>1160</v>
      </c>
      <c r="AA695" s="27"/>
      <c r="AB695" s="27"/>
      <c r="AC695" s="809"/>
      <c r="AD695" s="481"/>
    </row>
    <row r="696" spans="3:30" ht="10.5" customHeight="1">
      <c r="C696" s="1526" t="s">
        <v>4654</v>
      </c>
      <c r="D696" s="1523">
        <v>0</v>
      </c>
      <c r="E696" s="1523">
        <v>0</v>
      </c>
      <c r="F696" s="1524">
        <v>0</v>
      </c>
      <c r="G696" s="1537" t="s">
        <v>4654</v>
      </c>
      <c r="H696" s="1521">
        <v>0</v>
      </c>
      <c r="I696" s="1521">
        <v>0</v>
      </c>
      <c r="J696" s="1538">
        <v>0</v>
      </c>
      <c r="K696" s="1525"/>
      <c r="L696" s="1519">
        <v>13063040414</v>
      </c>
      <c r="M696" s="1520">
        <v>0</v>
      </c>
      <c r="N696" s="1520">
        <v>0</v>
      </c>
      <c r="O696" s="1520">
        <v>0</v>
      </c>
      <c r="P696" s="504" t="s">
        <v>613</v>
      </c>
      <c r="Q696" s="287"/>
      <c r="R696" s="168"/>
      <c r="S696" s="380"/>
      <c r="T696" s="473" t="s">
        <v>2419</v>
      </c>
      <c r="U696" s="473" t="s">
        <v>2410</v>
      </c>
      <c r="AA696" s="27"/>
      <c r="AB696" s="27"/>
      <c r="AC696" s="809"/>
      <c r="AD696" s="481"/>
    </row>
    <row r="697" spans="3:30" ht="10.5" customHeight="1">
      <c r="C697" s="1526" t="s">
        <v>4655</v>
      </c>
      <c r="D697" s="1523">
        <v>0</v>
      </c>
      <c r="E697" s="1523">
        <v>0</v>
      </c>
      <c r="F697" s="1524">
        <v>0</v>
      </c>
      <c r="G697" s="1537" t="s">
        <v>4655</v>
      </c>
      <c r="H697" s="1521">
        <v>0</v>
      </c>
      <c r="I697" s="1521">
        <v>0</v>
      </c>
      <c r="J697" s="1538">
        <v>0</v>
      </c>
      <c r="K697" s="1525"/>
      <c r="L697" s="1519">
        <v>13063040415</v>
      </c>
      <c r="M697" s="1520">
        <v>0</v>
      </c>
      <c r="N697" s="1520">
        <v>0</v>
      </c>
      <c r="O697" s="1520">
        <v>0</v>
      </c>
      <c r="P697" s="504" t="s">
        <v>615</v>
      </c>
      <c r="Q697" s="287"/>
      <c r="R697" s="168"/>
      <c r="S697" s="380"/>
      <c r="T697" s="473" t="s">
        <v>1113</v>
      </c>
      <c r="U697" s="473" t="s">
        <v>301</v>
      </c>
      <c r="AA697" s="27"/>
      <c r="AB697" s="27"/>
      <c r="AC697" s="809"/>
      <c r="AD697" s="481"/>
    </row>
    <row r="698" spans="3:30" ht="10.5" customHeight="1">
      <c r="C698" s="1526" t="s">
        <v>4656</v>
      </c>
      <c r="D698" s="1523">
        <v>0</v>
      </c>
      <c r="E698" s="1523">
        <v>0</v>
      </c>
      <c r="F698" s="1524">
        <v>0</v>
      </c>
      <c r="G698" s="1537" t="s">
        <v>4656</v>
      </c>
      <c r="H698" s="1521">
        <v>0</v>
      </c>
      <c r="I698" s="1521">
        <v>0</v>
      </c>
      <c r="J698" s="1538">
        <v>0</v>
      </c>
      <c r="K698" s="1525"/>
      <c r="L698" s="1519">
        <v>13063040416</v>
      </c>
      <c r="M698" s="1520">
        <v>0</v>
      </c>
      <c r="N698" s="1520">
        <v>0</v>
      </c>
      <c r="O698" s="1520">
        <v>0</v>
      </c>
      <c r="P698" s="504" t="s">
        <v>616</v>
      </c>
      <c r="Q698" s="287"/>
      <c r="R698" s="168"/>
      <c r="S698" s="380"/>
      <c r="T698" s="473" t="s">
        <v>2398</v>
      </c>
      <c r="U698" s="473" t="s">
        <v>843</v>
      </c>
      <c r="AA698" s="27"/>
      <c r="AB698" s="27"/>
      <c r="AC698" s="809"/>
      <c r="AD698" s="481"/>
    </row>
    <row r="699" spans="3:30" ht="10.5" customHeight="1">
      <c r="C699" s="1526" t="s">
        <v>4657</v>
      </c>
      <c r="D699" s="1523">
        <v>0</v>
      </c>
      <c r="E699" s="1523">
        <v>0</v>
      </c>
      <c r="F699" s="1524">
        <v>0</v>
      </c>
      <c r="G699" s="1537" t="s">
        <v>4657</v>
      </c>
      <c r="H699" s="1521">
        <v>0</v>
      </c>
      <c r="I699" s="1521">
        <v>0</v>
      </c>
      <c r="J699" s="1538">
        <v>0</v>
      </c>
      <c r="K699" s="1525"/>
      <c r="L699" s="1519">
        <v>13063040417</v>
      </c>
      <c r="M699" s="1520">
        <v>0</v>
      </c>
      <c r="N699" s="1520">
        <v>0</v>
      </c>
      <c r="O699" s="1520">
        <v>0</v>
      </c>
      <c r="P699" s="504" t="s">
        <v>2203</v>
      </c>
      <c r="Q699" s="287"/>
      <c r="R699" s="168"/>
      <c r="S699" s="380"/>
      <c r="T699" s="473" t="s">
        <v>783</v>
      </c>
      <c r="U699" s="473" t="s">
        <v>1285</v>
      </c>
      <c r="AA699" s="27"/>
      <c r="AB699" s="27"/>
      <c r="AC699" s="809"/>
      <c r="AD699" s="481"/>
    </row>
    <row r="700" spans="3:30" ht="10.5" customHeight="1">
      <c r="C700" s="1526" t="s">
        <v>4658</v>
      </c>
      <c r="D700" s="1523">
        <v>0</v>
      </c>
      <c r="E700" s="1523">
        <v>0</v>
      </c>
      <c r="F700" s="1524">
        <v>0</v>
      </c>
      <c r="G700" s="1537" t="s">
        <v>4658</v>
      </c>
      <c r="H700" s="1521">
        <v>1</v>
      </c>
      <c r="I700" s="1521">
        <v>0</v>
      </c>
      <c r="J700" s="1538">
        <v>1</v>
      </c>
      <c r="K700" s="1525"/>
      <c r="L700" s="1519">
        <v>13063040509</v>
      </c>
      <c r="M700" s="1520">
        <v>1</v>
      </c>
      <c r="N700" s="1520">
        <v>0</v>
      </c>
      <c r="O700" s="1520">
        <v>1</v>
      </c>
      <c r="P700" s="504" t="s">
        <v>66</v>
      </c>
      <c r="Q700" s="287"/>
      <c r="R700" s="168"/>
      <c r="S700" s="380"/>
      <c r="T700" s="473" t="s">
        <v>1030</v>
      </c>
      <c r="U700" s="473" t="s">
        <v>636</v>
      </c>
      <c r="AA700" s="27"/>
      <c r="AB700" s="27"/>
      <c r="AC700" s="809"/>
      <c r="AD700" s="481"/>
    </row>
    <row r="701" spans="3:30" ht="10.5" customHeight="1">
      <c r="C701" s="1526" t="s">
        <v>4659</v>
      </c>
      <c r="D701" s="1523">
        <v>0</v>
      </c>
      <c r="E701" s="1523">
        <v>0</v>
      </c>
      <c r="F701" s="1524">
        <v>0</v>
      </c>
      <c r="G701" s="1537" t="s">
        <v>4659</v>
      </c>
      <c r="H701" s="1521">
        <v>0</v>
      </c>
      <c r="I701" s="1521">
        <v>0</v>
      </c>
      <c r="J701" s="1538">
        <v>0</v>
      </c>
      <c r="K701" s="1525"/>
      <c r="L701" s="1519">
        <v>13063040510</v>
      </c>
      <c r="M701" s="1520">
        <v>0</v>
      </c>
      <c r="N701" s="1520">
        <v>0</v>
      </c>
      <c r="O701" s="1520">
        <v>0</v>
      </c>
      <c r="P701" s="504" t="s">
        <v>1364</v>
      </c>
      <c r="Q701" s="287"/>
      <c r="R701" s="168"/>
      <c r="S701" s="380"/>
      <c r="T701" s="473" t="s">
        <v>1472</v>
      </c>
      <c r="U701" s="473" t="s">
        <v>317</v>
      </c>
      <c r="AA701" s="27"/>
      <c r="AB701" s="27"/>
      <c r="AC701" s="809"/>
      <c r="AD701" s="481"/>
    </row>
    <row r="702" spans="3:30" ht="10.5" customHeight="1">
      <c r="C702" s="1526" t="s">
        <v>4660</v>
      </c>
      <c r="D702" s="1523">
        <v>0</v>
      </c>
      <c r="E702" s="1523">
        <v>0</v>
      </c>
      <c r="F702" s="1524">
        <v>0</v>
      </c>
      <c r="G702" s="1537" t="s">
        <v>4660</v>
      </c>
      <c r="H702" s="1521">
        <v>0</v>
      </c>
      <c r="I702" s="1521">
        <v>0</v>
      </c>
      <c r="J702" s="1538">
        <v>0</v>
      </c>
      <c r="K702" s="1525"/>
      <c r="L702" s="1519">
        <v>13063040512</v>
      </c>
      <c r="M702" s="1520">
        <v>0</v>
      </c>
      <c r="N702" s="1520">
        <v>0</v>
      </c>
      <c r="O702" s="1520">
        <v>0</v>
      </c>
      <c r="P702" s="504" t="s">
        <v>2153</v>
      </c>
      <c r="Q702" s="287"/>
      <c r="R702" s="168"/>
      <c r="S702" s="380"/>
      <c r="T702" s="473" t="s">
        <v>2665</v>
      </c>
      <c r="U702" s="473" t="s">
        <v>842</v>
      </c>
      <c r="AA702" s="27"/>
      <c r="AB702" s="27"/>
      <c r="AC702" s="809"/>
      <c r="AD702" s="481"/>
    </row>
    <row r="703" spans="3:30" ht="10.5" customHeight="1">
      <c r="C703" s="1526" t="s">
        <v>4661</v>
      </c>
      <c r="D703" s="1523">
        <v>0</v>
      </c>
      <c r="E703" s="1523">
        <v>1</v>
      </c>
      <c r="F703" s="1524">
        <v>1</v>
      </c>
      <c r="G703" s="1537" t="s">
        <v>4661</v>
      </c>
      <c r="H703" s="1521">
        <v>0</v>
      </c>
      <c r="I703" s="1521">
        <v>1</v>
      </c>
      <c r="J703" s="1538">
        <v>0</v>
      </c>
      <c r="K703" s="1525"/>
      <c r="L703" s="1519">
        <v>13063040513</v>
      </c>
      <c r="M703" s="1520">
        <v>0</v>
      </c>
      <c r="N703" s="1520">
        <v>1</v>
      </c>
      <c r="O703" s="1520">
        <v>1</v>
      </c>
      <c r="P703" s="504" t="s">
        <v>2155</v>
      </c>
      <c r="Q703" s="287"/>
      <c r="R703" s="168"/>
      <c r="S703" s="380"/>
      <c r="T703" s="473" t="s">
        <v>2009</v>
      </c>
      <c r="U703" s="473" t="s">
        <v>1278</v>
      </c>
      <c r="AA703" s="27"/>
      <c r="AB703" s="27"/>
      <c r="AC703" s="809"/>
      <c r="AD703" s="481"/>
    </row>
    <row r="704" spans="3:30" ht="10.5" customHeight="1">
      <c r="C704" s="1526" t="s">
        <v>4662</v>
      </c>
      <c r="D704" s="1523">
        <v>0</v>
      </c>
      <c r="E704" s="1523">
        <v>0</v>
      </c>
      <c r="F704" s="1524">
        <v>0</v>
      </c>
      <c r="G704" s="1537" t="s">
        <v>4662</v>
      </c>
      <c r="H704" s="1521">
        <v>0</v>
      </c>
      <c r="I704" s="1521">
        <v>0</v>
      </c>
      <c r="J704" s="1538">
        <v>0</v>
      </c>
      <c r="K704" s="1525"/>
      <c r="L704" s="1519">
        <v>13063040514</v>
      </c>
      <c r="M704" s="1520">
        <v>0</v>
      </c>
      <c r="N704" s="1520">
        <v>0</v>
      </c>
      <c r="O704" s="1520">
        <v>0</v>
      </c>
      <c r="P704" s="504" t="s">
        <v>1721</v>
      </c>
      <c r="Q704" s="287"/>
      <c r="R704" s="168"/>
      <c r="S704" s="380"/>
      <c r="T704" s="473" t="s">
        <v>1557</v>
      </c>
      <c r="U704" s="473" t="s">
        <v>1264</v>
      </c>
      <c r="AA704" s="27"/>
      <c r="AB704" s="27"/>
      <c r="AC704" s="809"/>
      <c r="AD704" s="481"/>
    </row>
    <row r="705" spans="3:30" ht="10.5" customHeight="1">
      <c r="C705" s="1526" t="s">
        <v>4663</v>
      </c>
      <c r="D705" s="1523">
        <v>0</v>
      </c>
      <c r="E705" s="1523">
        <v>0</v>
      </c>
      <c r="F705" s="1524">
        <v>0</v>
      </c>
      <c r="G705" s="1537" t="s">
        <v>4663</v>
      </c>
      <c r="H705" s="1521">
        <v>0</v>
      </c>
      <c r="I705" s="1521">
        <v>0</v>
      </c>
      <c r="J705" s="1538">
        <v>0</v>
      </c>
      <c r="K705" s="1525"/>
      <c r="L705" s="1519">
        <v>13063040515</v>
      </c>
      <c r="M705" s="1520">
        <v>0</v>
      </c>
      <c r="N705" s="1520">
        <v>0</v>
      </c>
      <c r="O705" s="1520">
        <v>0</v>
      </c>
      <c r="P705" s="504" t="s">
        <v>1077</v>
      </c>
      <c r="Q705" s="287"/>
      <c r="R705" s="168"/>
      <c r="S705" s="380"/>
      <c r="T705" s="473" t="s">
        <v>902</v>
      </c>
      <c r="U705" s="473" t="s">
        <v>2139</v>
      </c>
      <c r="AA705" s="27"/>
      <c r="AB705" s="27"/>
      <c r="AC705" s="809"/>
      <c r="AD705" s="481"/>
    </row>
    <row r="706" spans="3:30" ht="10.5" customHeight="1">
      <c r="C706" s="1526" t="s">
        <v>4664</v>
      </c>
      <c r="D706" s="1523">
        <v>0</v>
      </c>
      <c r="E706" s="1523">
        <v>0</v>
      </c>
      <c r="F706" s="1524">
        <v>0</v>
      </c>
      <c r="G706" s="1537" t="s">
        <v>4664</v>
      </c>
      <c r="H706" s="1521">
        <v>0</v>
      </c>
      <c r="I706" s="1521">
        <v>0</v>
      </c>
      <c r="J706" s="1538">
        <v>0</v>
      </c>
      <c r="K706" s="1525"/>
      <c r="L706" s="1519">
        <v>13063040516</v>
      </c>
      <c r="M706" s="1520">
        <v>0</v>
      </c>
      <c r="N706" s="1520">
        <v>0</v>
      </c>
      <c r="O706" s="1520">
        <v>0</v>
      </c>
      <c r="P706" s="504" t="s">
        <v>1954</v>
      </c>
      <c r="Q706" s="287"/>
      <c r="R706" s="168"/>
      <c r="S706" s="380"/>
      <c r="T706" s="473" t="s">
        <v>904</v>
      </c>
      <c r="U706" s="473" t="s">
        <v>308</v>
      </c>
      <c r="AA706" s="27"/>
      <c r="AB706" s="27"/>
      <c r="AC706" s="809"/>
      <c r="AD706" s="481"/>
    </row>
    <row r="707" spans="3:30" ht="10.5" customHeight="1">
      <c r="C707" s="1526" t="s">
        <v>4665</v>
      </c>
      <c r="D707" s="1523">
        <v>0</v>
      </c>
      <c r="E707" s="1523">
        <v>0</v>
      </c>
      <c r="F707" s="1524">
        <v>0</v>
      </c>
      <c r="G707" s="1537" t="s">
        <v>4665</v>
      </c>
      <c r="H707" s="1521">
        <v>0</v>
      </c>
      <c r="I707" s="1521">
        <v>0</v>
      </c>
      <c r="J707" s="1538">
        <v>0</v>
      </c>
      <c r="K707" s="1525"/>
      <c r="L707" s="1519">
        <v>13063040518</v>
      </c>
      <c r="M707" s="1520">
        <v>0</v>
      </c>
      <c r="N707" s="1520">
        <v>0</v>
      </c>
      <c r="O707" s="1520">
        <v>0</v>
      </c>
      <c r="P707" s="504" t="s">
        <v>1878</v>
      </c>
      <c r="Q707" s="287"/>
      <c r="R707" s="168"/>
      <c r="S707" s="380"/>
      <c r="T707" s="473" t="s">
        <v>2386</v>
      </c>
      <c r="U707" s="473" t="s">
        <v>598</v>
      </c>
      <c r="AA707" s="27"/>
      <c r="AB707" s="27"/>
      <c r="AC707" s="809"/>
      <c r="AD707" s="481"/>
    </row>
    <row r="708" spans="3:30" ht="10.5" customHeight="1">
      <c r="C708" s="1526" t="s">
        <v>4666</v>
      </c>
      <c r="D708" s="1523">
        <v>0</v>
      </c>
      <c r="E708" s="1523">
        <v>0</v>
      </c>
      <c r="F708" s="1524">
        <v>0</v>
      </c>
      <c r="G708" s="1537" t="s">
        <v>4666</v>
      </c>
      <c r="H708" s="1521">
        <v>0</v>
      </c>
      <c r="I708" s="1521" t="s">
        <v>4096</v>
      </c>
      <c r="J708" s="1538">
        <v>0</v>
      </c>
      <c r="K708" s="1525"/>
      <c r="L708" s="1519">
        <v>13063040519</v>
      </c>
      <c r="M708" s="1520">
        <v>0</v>
      </c>
      <c r="N708" s="1520">
        <v>0</v>
      </c>
      <c r="O708" s="1520">
        <v>0</v>
      </c>
      <c r="P708" s="504" t="s">
        <v>1880</v>
      </c>
      <c r="Q708" s="287"/>
      <c r="R708" s="168"/>
      <c r="S708" s="380"/>
      <c r="T708" s="473" t="s">
        <v>3941</v>
      </c>
      <c r="U708" s="473" t="s">
        <v>598</v>
      </c>
      <c r="AA708" s="27"/>
      <c r="AB708" s="27"/>
      <c r="AC708" s="809"/>
      <c r="AD708" s="481"/>
    </row>
    <row r="709" spans="3:30" ht="10.5" customHeight="1">
      <c r="C709" s="1526" t="s">
        <v>4667</v>
      </c>
      <c r="D709" s="1523">
        <v>0</v>
      </c>
      <c r="E709" s="1523">
        <v>0</v>
      </c>
      <c r="F709" s="1524">
        <v>0</v>
      </c>
      <c r="G709" s="1537" t="s">
        <v>4667</v>
      </c>
      <c r="H709" s="1521">
        <v>0</v>
      </c>
      <c r="I709" s="1521">
        <v>0</v>
      </c>
      <c r="J709" s="1538">
        <v>0</v>
      </c>
      <c r="K709" s="1525"/>
      <c r="L709" s="1519">
        <v>13063040520</v>
      </c>
      <c r="M709" s="1520">
        <v>0</v>
      </c>
      <c r="N709" s="1520">
        <v>0</v>
      </c>
      <c r="O709" s="1520">
        <v>0</v>
      </c>
      <c r="P709" s="504" t="s">
        <v>1882</v>
      </c>
      <c r="Q709" s="287"/>
      <c r="R709" s="168"/>
      <c r="S709" s="380"/>
      <c r="T709" s="473" t="s">
        <v>1810</v>
      </c>
      <c r="U709" s="473" t="s">
        <v>114</v>
      </c>
      <c r="AA709" s="27"/>
      <c r="AB709" s="27"/>
      <c r="AC709" s="809"/>
      <c r="AD709" s="481"/>
    </row>
    <row r="710" spans="3:30" ht="10.5" customHeight="1">
      <c r="C710" s="1526" t="s">
        <v>4668</v>
      </c>
      <c r="D710" s="1523">
        <v>0</v>
      </c>
      <c r="E710" s="1523">
        <v>0</v>
      </c>
      <c r="F710" s="1524">
        <v>0</v>
      </c>
      <c r="G710" s="1537" t="s">
        <v>4668</v>
      </c>
      <c r="H710" s="1521">
        <v>0</v>
      </c>
      <c r="I710" s="1521">
        <v>0</v>
      </c>
      <c r="J710" s="1538">
        <v>0</v>
      </c>
      <c r="K710" s="1525"/>
      <c r="L710" s="1519">
        <v>13063040521</v>
      </c>
      <c r="M710" s="1520">
        <v>0</v>
      </c>
      <c r="N710" s="1520">
        <v>0</v>
      </c>
      <c r="O710" s="1520">
        <v>0</v>
      </c>
      <c r="P710" s="504" t="s">
        <v>472</v>
      </c>
      <c r="Q710" s="287"/>
      <c r="R710" s="168"/>
      <c r="S710" s="380"/>
      <c r="T710" s="473" t="s">
        <v>1813</v>
      </c>
      <c r="U710" s="473" t="s">
        <v>2139</v>
      </c>
      <c r="AA710" s="27"/>
      <c r="AB710" s="27"/>
      <c r="AC710" s="809"/>
      <c r="AD710" s="481"/>
    </row>
    <row r="711" spans="3:30" ht="10.5" customHeight="1">
      <c r="C711" s="1526" t="s">
        <v>4669</v>
      </c>
      <c r="D711" s="1523">
        <v>0</v>
      </c>
      <c r="E711" s="1523">
        <v>0</v>
      </c>
      <c r="F711" s="1524">
        <v>0</v>
      </c>
      <c r="G711" s="1537" t="s">
        <v>4669</v>
      </c>
      <c r="H711" s="1521">
        <v>0</v>
      </c>
      <c r="I711" s="1521">
        <v>0</v>
      </c>
      <c r="J711" s="1538">
        <v>0</v>
      </c>
      <c r="K711" s="1525"/>
      <c r="L711" s="1519">
        <v>13063040522</v>
      </c>
      <c r="M711" s="1520">
        <v>0</v>
      </c>
      <c r="N711" s="1520">
        <v>0</v>
      </c>
      <c r="O711" s="1520">
        <v>0</v>
      </c>
      <c r="P711" s="504" t="s">
        <v>433</v>
      </c>
      <c r="Q711" s="287"/>
      <c r="R711" s="168"/>
      <c r="S711" s="380"/>
      <c r="T711" s="473" t="s">
        <v>1815</v>
      </c>
      <c r="U711" s="473" t="s">
        <v>154</v>
      </c>
      <c r="AA711" s="27"/>
      <c r="AB711" s="27"/>
      <c r="AC711" s="809"/>
      <c r="AD711" s="481"/>
    </row>
    <row r="712" spans="3:30" ht="10.5" customHeight="1">
      <c r="C712" s="1526" t="s">
        <v>4670</v>
      </c>
      <c r="D712" s="1523">
        <v>0</v>
      </c>
      <c r="E712" s="1523">
        <v>0</v>
      </c>
      <c r="F712" s="1524">
        <v>0</v>
      </c>
      <c r="G712" s="1537" t="s">
        <v>4670</v>
      </c>
      <c r="H712" s="1521">
        <v>1</v>
      </c>
      <c r="I712" s="1521">
        <v>0</v>
      </c>
      <c r="J712" s="1538">
        <v>1</v>
      </c>
      <c r="K712" s="1525"/>
      <c r="L712" s="1519">
        <v>13063040523</v>
      </c>
      <c r="M712" s="1520">
        <v>1</v>
      </c>
      <c r="N712" s="1520">
        <v>0</v>
      </c>
      <c r="O712" s="1520">
        <v>1</v>
      </c>
      <c r="P712" s="504" t="s">
        <v>2004</v>
      </c>
      <c r="Q712" s="287"/>
      <c r="R712" s="168"/>
      <c r="S712" s="380"/>
      <c r="T712" s="473" t="s">
        <v>614</v>
      </c>
      <c r="U712" s="473" t="s">
        <v>2290</v>
      </c>
      <c r="AA712" s="27"/>
      <c r="AB712" s="27"/>
      <c r="AC712" s="809"/>
      <c r="AD712" s="481"/>
    </row>
    <row r="713" spans="3:30" ht="10.5" customHeight="1">
      <c r="C713" s="1526" t="s">
        <v>4671</v>
      </c>
      <c r="D713" s="1523">
        <v>0</v>
      </c>
      <c r="E713" s="1523">
        <v>0</v>
      </c>
      <c r="F713" s="1524">
        <v>0</v>
      </c>
      <c r="G713" s="1537" t="s">
        <v>4671</v>
      </c>
      <c r="H713" s="1521">
        <v>0</v>
      </c>
      <c r="I713" s="1521">
        <v>0</v>
      </c>
      <c r="J713" s="1538">
        <v>0</v>
      </c>
      <c r="K713" s="1525"/>
      <c r="L713" s="1519">
        <v>13063040524</v>
      </c>
      <c r="M713" s="1520">
        <v>0</v>
      </c>
      <c r="N713" s="1520">
        <v>0</v>
      </c>
      <c r="O713" s="1520">
        <v>0</v>
      </c>
      <c r="P713" s="504" t="s">
        <v>2029</v>
      </c>
      <c r="Q713" s="844"/>
      <c r="R713" s="844"/>
      <c r="S713" s="845"/>
      <c r="T713" s="473" t="s">
        <v>784</v>
      </c>
      <c r="U713" s="473" t="s">
        <v>2076</v>
      </c>
      <c r="AA713" s="27"/>
      <c r="AB713" s="27"/>
      <c r="AC713" s="809"/>
      <c r="AD713" s="481"/>
    </row>
    <row r="714" spans="3:30" ht="10.5" customHeight="1">
      <c r="C714" s="1526" t="s">
        <v>4672</v>
      </c>
      <c r="D714" s="1523">
        <v>0</v>
      </c>
      <c r="E714" s="1523">
        <v>0</v>
      </c>
      <c r="F714" s="1524">
        <v>0</v>
      </c>
      <c r="G714" s="1537" t="s">
        <v>4672</v>
      </c>
      <c r="H714" s="1521">
        <v>0</v>
      </c>
      <c r="I714" s="1521" t="s">
        <v>4096</v>
      </c>
      <c r="J714" s="1538">
        <v>0</v>
      </c>
      <c r="K714" s="1525"/>
      <c r="L714" s="1519">
        <v>13063040525</v>
      </c>
      <c r="M714" s="1520">
        <v>0</v>
      </c>
      <c r="N714" s="1520">
        <v>0</v>
      </c>
      <c r="O714" s="1520">
        <v>0</v>
      </c>
      <c r="P714" s="843"/>
      <c r="Q714" s="509"/>
      <c r="R714" s="166"/>
      <c r="S714" s="307"/>
      <c r="T714" s="473" t="s">
        <v>1035</v>
      </c>
      <c r="U714" s="473" t="s">
        <v>1821</v>
      </c>
      <c r="AA714" s="27"/>
      <c r="AB714" s="27"/>
      <c r="AC714" s="809"/>
      <c r="AD714" s="481"/>
    </row>
    <row r="715" spans="3:30" ht="10.5" customHeight="1">
      <c r="C715" s="1526" t="s">
        <v>4673</v>
      </c>
      <c r="D715" s="1523">
        <v>0</v>
      </c>
      <c r="E715" s="1523">
        <v>0</v>
      </c>
      <c r="F715" s="1524">
        <v>0</v>
      </c>
      <c r="G715" s="1537" t="s">
        <v>4673</v>
      </c>
      <c r="H715" s="1521">
        <v>0</v>
      </c>
      <c r="I715" s="1521">
        <v>0</v>
      </c>
      <c r="J715" s="1538">
        <v>0</v>
      </c>
      <c r="K715" s="1525"/>
      <c r="L715" s="1519">
        <v>13063040526</v>
      </c>
      <c r="M715" s="1520">
        <v>0</v>
      </c>
      <c r="N715" s="1520">
        <v>0</v>
      </c>
      <c r="O715" s="1520">
        <v>0</v>
      </c>
      <c r="P715" s="508"/>
      <c r="Q715" s="307"/>
      <c r="R715" s="307"/>
      <c r="S715" s="307"/>
      <c r="T715" s="473" t="s">
        <v>1036</v>
      </c>
      <c r="U715" s="473" t="s">
        <v>1914</v>
      </c>
      <c r="AA715" s="27"/>
      <c r="AB715" s="27"/>
      <c r="AC715" s="809"/>
      <c r="AD715" s="481"/>
    </row>
    <row r="716" spans="3:30" ht="10.5" customHeight="1">
      <c r="C716" s="1526" t="s">
        <v>4674</v>
      </c>
      <c r="D716" s="1523">
        <v>0</v>
      </c>
      <c r="E716" s="1523">
        <v>0</v>
      </c>
      <c r="F716" s="1524">
        <v>0</v>
      </c>
      <c r="G716" s="1537" t="s">
        <v>4674</v>
      </c>
      <c r="H716" s="1521">
        <v>0</v>
      </c>
      <c r="I716" s="1521">
        <v>1</v>
      </c>
      <c r="J716" s="1538">
        <v>1</v>
      </c>
      <c r="K716" s="1525"/>
      <c r="L716" s="1519">
        <v>13063040606</v>
      </c>
      <c r="M716" s="1520">
        <v>0</v>
      </c>
      <c r="N716" s="1520">
        <v>1</v>
      </c>
      <c r="O716" s="1520">
        <v>1</v>
      </c>
      <c r="P716" s="307"/>
      <c r="Q716" s="307"/>
      <c r="R716" s="307"/>
      <c r="S716" s="307"/>
      <c r="T716" s="473" t="s">
        <v>1407</v>
      </c>
      <c r="U716" s="473" t="s">
        <v>1164</v>
      </c>
      <c r="AA716" s="27"/>
      <c r="AB716" s="27"/>
      <c r="AC716" s="809"/>
      <c r="AD716" s="481"/>
    </row>
    <row r="717" spans="3:30" ht="10.5" customHeight="1">
      <c r="C717" s="1526" t="s">
        <v>4675</v>
      </c>
      <c r="D717" s="1523">
        <v>1</v>
      </c>
      <c r="E717" s="1523">
        <v>1</v>
      </c>
      <c r="F717" s="1524">
        <v>2</v>
      </c>
      <c r="G717" s="1537" t="s">
        <v>4675</v>
      </c>
      <c r="H717" s="1521">
        <v>1</v>
      </c>
      <c r="I717" s="1521">
        <v>0</v>
      </c>
      <c r="J717" s="1538">
        <v>1</v>
      </c>
      <c r="K717" s="1525"/>
      <c r="L717" s="1519">
        <v>13063040608</v>
      </c>
      <c r="M717" s="1520">
        <v>1</v>
      </c>
      <c r="N717" s="1520">
        <v>1</v>
      </c>
      <c r="O717" s="1520">
        <v>2</v>
      </c>
      <c r="P717" s="307"/>
      <c r="Q717" s="307"/>
      <c r="R717" s="307"/>
      <c r="S717" s="307"/>
      <c r="T717" s="473" t="s">
        <v>2204</v>
      </c>
      <c r="U717" s="473" t="s">
        <v>114</v>
      </c>
      <c r="AA717" s="27"/>
      <c r="AB717" s="27"/>
      <c r="AC717" s="809"/>
      <c r="AD717" s="481"/>
    </row>
    <row r="718" spans="3:30" ht="10.5" customHeight="1">
      <c r="C718" s="1526" t="s">
        <v>4676</v>
      </c>
      <c r="D718" s="1523">
        <v>1</v>
      </c>
      <c r="E718" s="1523">
        <v>1</v>
      </c>
      <c r="F718" s="1524">
        <v>2</v>
      </c>
      <c r="G718" s="1537" t="s">
        <v>4676</v>
      </c>
      <c r="H718" s="1521">
        <v>0</v>
      </c>
      <c r="I718" s="1521">
        <v>0</v>
      </c>
      <c r="J718" s="1538">
        <v>0</v>
      </c>
      <c r="K718" s="1525"/>
      <c r="L718" s="1519">
        <v>13063040609</v>
      </c>
      <c r="M718" s="1520">
        <v>1</v>
      </c>
      <c r="N718" s="1520">
        <v>1</v>
      </c>
      <c r="O718" s="1520">
        <v>2</v>
      </c>
      <c r="P718" s="307"/>
      <c r="Q718" s="307"/>
      <c r="R718" s="307"/>
      <c r="S718" s="307"/>
      <c r="T718" s="473" t="s">
        <v>1363</v>
      </c>
      <c r="U718" s="473" t="s">
        <v>2139</v>
      </c>
      <c r="AA718" s="27"/>
      <c r="AB718" s="27"/>
      <c r="AC718" s="809"/>
      <c r="AD718" s="481"/>
    </row>
    <row r="719" spans="3:30" ht="10.5" customHeight="1">
      <c r="C719" s="1526" t="s">
        <v>4677</v>
      </c>
      <c r="D719" s="1523">
        <v>0</v>
      </c>
      <c r="E719" s="1523">
        <v>0</v>
      </c>
      <c r="F719" s="1524">
        <v>0</v>
      </c>
      <c r="G719" s="1537" t="s">
        <v>4677</v>
      </c>
      <c r="H719" s="1521">
        <v>0</v>
      </c>
      <c r="I719" s="1521">
        <v>0</v>
      </c>
      <c r="J719" s="1538">
        <v>0</v>
      </c>
      <c r="K719" s="1525"/>
      <c r="L719" s="1519">
        <v>13063040611</v>
      </c>
      <c r="M719" s="1520">
        <v>0</v>
      </c>
      <c r="N719" s="1520">
        <v>0</v>
      </c>
      <c r="O719" s="1520">
        <v>0</v>
      </c>
      <c r="P719" s="307"/>
      <c r="Q719" s="307"/>
      <c r="R719" s="307"/>
      <c r="S719" s="307"/>
      <c r="T719" s="505" t="s">
        <v>2152</v>
      </c>
      <c r="U719" s="505" t="s">
        <v>1827</v>
      </c>
      <c r="AA719" s="27"/>
      <c r="AB719" s="27"/>
      <c r="AC719" s="810"/>
      <c r="AD719" s="481"/>
    </row>
    <row r="720" spans="3:30" ht="10.5" customHeight="1">
      <c r="C720" s="1526" t="s">
        <v>4678</v>
      </c>
      <c r="D720" s="1523">
        <v>0</v>
      </c>
      <c r="E720" s="1523">
        <v>0</v>
      </c>
      <c r="F720" s="1524">
        <v>0</v>
      </c>
      <c r="G720" s="1537" t="s">
        <v>4678</v>
      </c>
      <c r="H720" s="1521">
        <v>0</v>
      </c>
      <c r="I720" s="1521">
        <v>0</v>
      </c>
      <c r="J720" s="1538">
        <v>0</v>
      </c>
      <c r="K720" s="1525"/>
      <c r="L720" s="1519">
        <v>13063040612</v>
      </c>
      <c r="M720" s="1520">
        <v>0</v>
      </c>
      <c r="N720" s="1520">
        <v>0</v>
      </c>
      <c r="O720" s="1520">
        <v>0</v>
      </c>
      <c r="P720" s="307"/>
      <c r="Q720" s="307"/>
      <c r="R720" s="307"/>
      <c r="S720" s="307"/>
      <c r="T720" s="473" t="s">
        <v>2154</v>
      </c>
      <c r="U720" s="473" t="s">
        <v>2072</v>
      </c>
      <c r="AA720" s="27"/>
      <c r="AB720" s="27"/>
      <c r="AC720" s="809"/>
      <c r="AD720" s="481"/>
    </row>
    <row r="721" spans="3:30" ht="10.5" customHeight="1">
      <c r="C721" s="1526" t="s">
        <v>4679</v>
      </c>
      <c r="D721" s="1523">
        <v>0</v>
      </c>
      <c r="E721" s="1523">
        <v>0</v>
      </c>
      <c r="F721" s="1524">
        <v>0</v>
      </c>
      <c r="G721" s="1537" t="s">
        <v>4679</v>
      </c>
      <c r="H721" s="1521">
        <v>0</v>
      </c>
      <c r="I721" s="1521">
        <v>1</v>
      </c>
      <c r="J721" s="1538">
        <v>0</v>
      </c>
      <c r="K721" s="1525"/>
      <c r="L721" s="1519">
        <v>13063040613</v>
      </c>
      <c r="M721" s="1520">
        <v>0</v>
      </c>
      <c r="N721" s="1520">
        <v>1</v>
      </c>
      <c r="O721" s="1520">
        <v>0</v>
      </c>
      <c r="P721" s="307"/>
      <c r="Q721" s="307"/>
      <c r="R721" s="307"/>
      <c r="S721" s="307"/>
      <c r="T721" s="473" t="s">
        <v>2156</v>
      </c>
      <c r="U721" s="473" t="s">
        <v>2290</v>
      </c>
      <c r="AA721" s="27"/>
      <c r="AB721" s="27"/>
      <c r="AC721" s="809"/>
      <c r="AD721" s="481"/>
    </row>
    <row r="722" spans="3:30" ht="10.5" customHeight="1">
      <c r="C722" s="1526" t="s">
        <v>4680</v>
      </c>
      <c r="D722" s="1523">
        <v>1</v>
      </c>
      <c r="E722" s="1523">
        <v>0</v>
      </c>
      <c r="F722" s="1524">
        <v>1</v>
      </c>
      <c r="G722" s="1537" t="s">
        <v>4680</v>
      </c>
      <c r="H722" s="1521">
        <v>1</v>
      </c>
      <c r="I722" s="1521">
        <v>0</v>
      </c>
      <c r="J722" s="1538">
        <v>1</v>
      </c>
      <c r="K722" s="1525"/>
      <c r="L722" s="1519">
        <v>13063040614</v>
      </c>
      <c r="M722" s="1520">
        <v>1</v>
      </c>
      <c r="N722" s="1520">
        <v>0</v>
      </c>
      <c r="O722" s="1520">
        <v>1</v>
      </c>
      <c r="P722" s="307"/>
      <c r="Q722" s="307"/>
      <c r="R722" s="307"/>
      <c r="S722" s="307"/>
      <c r="T722" s="473" t="s">
        <v>2666</v>
      </c>
      <c r="U722" s="473" t="s">
        <v>151</v>
      </c>
      <c r="AA722" s="27"/>
      <c r="AB722" s="27"/>
      <c r="AC722" s="809"/>
      <c r="AD722" s="481"/>
    </row>
    <row r="723" spans="3:30" ht="10.5" customHeight="1">
      <c r="C723" s="1526" t="s">
        <v>4681</v>
      </c>
      <c r="D723" s="1523">
        <v>1</v>
      </c>
      <c r="E723" s="1523">
        <v>0</v>
      </c>
      <c r="F723" s="1524">
        <v>1</v>
      </c>
      <c r="G723" s="1537" t="s">
        <v>4681</v>
      </c>
      <c r="H723" s="1521">
        <v>1</v>
      </c>
      <c r="I723" s="1521" t="s">
        <v>4096</v>
      </c>
      <c r="J723" s="1538">
        <v>1</v>
      </c>
      <c r="K723" s="1525"/>
      <c r="L723" s="1519">
        <v>13063040615</v>
      </c>
      <c r="M723" s="1520">
        <v>1</v>
      </c>
      <c r="N723" s="1520">
        <v>0</v>
      </c>
      <c r="O723" s="1520">
        <v>1</v>
      </c>
      <c r="P723" s="307"/>
      <c r="Q723" s="307"/>
      <c r="R723" s="307"/>
      <c r="S723" s="307"/>
      <c r="T723" s="473" t="s">
        <v>1076</v>
      </c>
      <c r="U723" s="473" t="s">
        <v>2083</v>
      </c>
      <c r="AA723" s="27"/>
      <c r="AB723" s="27"/>
      <c r="AC723" s="809"/>
      <c r="AD723" s="481"/>
    </row>
    <row r="724" spans="3:30" ht="10.5" customHeight="1">
      <c r="C724" s="1526" t="s">
        <v>4682</v>
      </c>
      <c r="D724" s="1523">
        <v>0</v>
      </c>
      <c r="E724" s="1523">
        <v>0</v>
      </c>
      <c r="F724" s="1524">
        <v>0</v>
      </c>
      <c r="G724" s="1537" t="s">
        <v>4682</v>
      </c>
      <c r="H724" s="1521">
        <v>1</v>
      </c>
      <c r="I724" s="1521">
        <v>0</v>
      </c>
      <c r="J724" s="1538">
        <v>1</v>
      </c>
      <c r="K724" s="1525"/>
      <c r="L724" s="1519">
        <v>13063040616</v>
      </c>
      <c r="M724" s="1520">
        <v>1</v>
      </c>
      <c r="N724" s="1520">
        <v>0</v>
      </c>
      <c r="O724" s="1520">
        <v>1</v>
      </c>
      <c r="P724" s="307"/>
      <c r="Q724" s="307"/>
      <c r="R724" s="307"/>
      <c r="S724" s="307"/>
      <c r="T724" s="473" t="s">
        <v>1078</v>
      </c>
      <c r="U724" s="473" t="s">
        <v>1053</v>
      </c>
      <c r="AA724" s="27"/>
      <c r="AB724" s="27"/>
      <c r="AC724" s="809"/>
      <c r="AD724" s="481"/>
    </row>
    <row r="725" spans="3:30" ht="10.5" customHeight="1">
      <c r="C725" s="1526" t="s">
        <v>4683</v>
      </c>
      <c r="D725" s="1523">
        <v>0</v>
      </c>
      <c r="E725" s="1523">
        <v>0</v>
      </c>
      <c r="F725" s="1524">
        <v>0</v>
      </c>
      <c r="G725" s="1537" t="s">
        <v>4683</v>
      </c>
      <c r="H725" s="1521">
        <v>0</v>
      </c>
      <c r="I725" s="1521">
        <v>0</v>
      </c>
      <c r="J725" s="1538">
        <v>0</v>
      </c>
      <c r="K725" s="1525"/>
      <c r="L725" s="1519">
        <v>13063040617</v>
      </c>
      <c r="M725" s="1520">
        <v>0</v>
      </c>
      <c r="N725" s="1520">
        <v>0</v>
      </c>
      <c r="O725" s="1520">
        <v>0</v>
      </c>
      <c r="P725" s="307"/>
      <c r="Q725" s="307"/>
      <c r="R725" s="307"/>
      <c r="S725" s="307"/>
      <c r="T725" s="473" t="s">
        <v>1955</v>
      </c>
      <c r="U725" s="473" t="s">
        <v>303</v>
      </c>
      <c r="AA725" s="27"/>
      <c r="AB725" s="27"/>
      <c r="AC725" s="809"/>
      <c r="AD725" s="481"/>
    </row>
    <row r="726" spans="3:30" ht="10.5" customHeight="1">
      <c r="C726" s="1526" t="s">
        <v>4684</v>
      </c>
      <c r="D726" s="1523">
        <v>0</v>
      </c>
      <c r="E726" s="1523">
        <v>0</v>
      </c>
      <c r="F726" s="1524">
        <v>0</v>
      </c>
      <c r="G726" s="1537" t="s">
        <v>4684</v>
      </c>
      <c r="H726" s="1521">
        <v>1</v>
      </c>
      <c r="I726" s="1521">
        <v>0</v>
      </c>
      <c r="J726" s="1538">
        <v>1</v>
      </c>
      <c r="K726" s="1525"/>
      <c r="L726" s="1519">
        <v>13063040619</v>
      </c>
      <c r="M726" s="1520">
        <v>1</v>
      </c>
      <c r="N726" s="1520">
        <v>0</v>
      </c>
      <c r="O726" s="1520">
        <v>1</v>
      </c>
      <c r="P726" s="307"/>
      <c r="Q726" s="307"/>
      <c r="R726" s="307"/>
      <c r="S726" s="307"/>
      <c r="T726" s="473" t="s">
        <v>1879</v>
      </c>
      <c r="U726" s="473" t="s">
        <v>115</v>
      </c>
      <c r="AA726" s="27"/>
      <c r="AB726" s="27"/>
      <c r="AC726" s="809"/>
      <c r="AD726" s="481"/>
    </row>
    <row r="727" spans="3:30" ht="10.5" customHeight="1">
      <c r="C727" s="1526" t="s">
        <v>4685</v>
      </c>
      <c r="D727" s="1523">
        <v>0</v>
      </c>
      <c r="E727" s="1523">
        <v>1</v>
      </c>
      <c r="F727" s="1524">
        <v>1</v>
      </c>
      <c r="G727" s="1537" t="s">
        <v>4685</v>
      </c>
      <c r="H727" s="1521">
        <v>1</v>
      </c>
      <c r="I727" s="1521">
        <v>1</v>
      </c>
      <c r="J727" s="1538">
        <v>2</v>
      </c>
      <c r="K727" s="1525"/>
      <c r="L727" s="1519">
        <v>13063040620</v>
      </c>
      <c r="M727" s="1520">
        <v>1</v>
      </c>
      <c r="N727" s="1520">
        <v>1</v>
      </c>
      <c r="O727" s="1520">
        <v>2</v>
      </c>
      <c r="P727" s="307"/>
      <c r="Q727" s="307"/>
      <c r="R727" s="307"/>
      <c r="S727" s="307"/>
      <c r="T727" s="473" t="s">
        <v>1881</v>
      </c>
      <c r="U727" s="473" t="s">
        <v>312</v>
      </c>
      <c r="AA727" s="27"/>
      <c r="AB727" s="27"/>
      <c r="AC727" s="809"/>
      <c r="AD727" s="481"/>
    </row>
    <row r="728" spans="3:30" ht="10.5" customHeight="1">
      <c r="C728" s="1526" t="s">
        <v>4686</v>
      </c>
      <c r="D728" s="1523">
        <v>0</v>
      </c>
      <c r="E728" s="1523">
        <v>0</v>
      </c>
      <c r="F728" s="1524">
        <v>0</v>
      </c>
      <c r="G728" s="1537" t="s">
        <v>4686</v>
      </c>
      <c r="H728" s="1521">
        <v>0</v>
      </c>
      <c r="I728" s="1521">
        <v>0</v>
      </c>
      <c r="J728" s="1538">
        <v>0</v>
      </c>
      <c r="K728" s="1525"/>
      <c r="L728" s="1519">
        <v>13063040621</v>
      </c>
      <c r="M728" s="1520">
        <v>0</v>
      </c>
      <c r="N728" s="1520">
        <v>0</v>
      </c>
      <c r="O728" s="1520">
        <v>0</v>
      </c>
      <c r="P728" s="307"/>
      <c r="Q728" s="307"/>
      <c r="R728" s="307"/>
      <c r="S728" s="307"/>
      <c r="T728" s="473" t="s">
        <v>1883</v>
      </c>
      <c r="U728" s="473" t="s">
        <v>176</v>
      </c>
      <c r="AA728" s="27"/>
      <c r="AB728" s="27"/>
      <c r="AC728" s="809"/>
      <c r="AD728" s="481"/>
    </row>
    <row r="729" spans="3:30" ht="10.5" customHeight="1">
      <c r="C729" s="1526" t="s">
        <v>4687</v>
      </c>
      <c r="D729" s="1523">
        <v>0</v>
      </c>
      <c r="E729" s="1523">
        <v>0</v>
      </c>
      <c r="F729" s="1524">
        <v>0</v>
      </c>
      <c r="G729" s="1537" t="s">
        <v>4687</v>
      </c>
      <c r="H729" s="1521">
        <v>0</v>
      </c>
      <c r="I729" s="1521" t="s">
        <v>4096</v>
      </c>
      <c r="J729" s="1538">
        <v>0</v>
      </c>
      <c r="K729" s="1525"/>
      <c r="L729" s="1519">
        <v>13063040622</v>
      </c>
      <c r="M729" s="1520">
        <v>0</v>
      </c>
      <c r="N729" s="1520">
        <v>0</v>
      </c>
      <c r="O729" s="1520">
        <v>0</v>
      </c>
      <c r="P729" s="307"/>
      <c r="Q729" s="307"/>
      <c r="R729" s="307"/>
      <c r="S729" s="307"/>
      <c r="T729" s="505" t="s">
        <v>2667</v>
      </c>
      <c r="U729" s="505" t="s">
        <v>1821</v>
      </c>
      <c r="AA729" s="27"/>
      <c r="AB729" s="27"/>
      <c r="AC729" s="810"/>
      <c r="AD729" s="481"/>
    </row>
    <row r="730" spans="3:30" ht="10.5" customHeight="1">
      <c r="C730" s="1526" t="s">
        <v>4688</v>
      </c>
      <c r="D730" s="1523" t="s">
        <v>4096</v>
      </c>
      <c r="E730" s="1523" t="s">
        <v>4096</v>
      </c>
      <c r="F730" s="1524">
        <v>0</v>
      </c>
      <c r="G730" s="1537" t="s">
        <v>4688</v>
      </c>
      <c r="H730" s="1521" t="s">
        <v>4096</v>
      </c>
      <c r="I730" s="1521" t="s">
        <v>4096</v>
      </c>
      <c r="J730" s="1538">
        <v>0</v>
      </c>
      <c r="K730" s="1525"/>
      <c r="L730" s="1519">
        <v>13063980000</v>
      </c>
      <c r="M730" s="1520">
        <v>0</v>
      </c>
      <c r="N730" s="1520">
        <v>0</v>
      </c>
      <c r="O730" s="1520">
        <v>0</v>
      </c>
      <c r="P730" s="307"/>
      <c r="Q730" s="307"/>
      <c r="R730" s="307"/>
      <c r="S730" s="307"/>
      <c r="T730" s="473" t="s">
        <v>434</v>
      </c>
      <c r="U730" s="473" t="s">
        <v>1265</v>
      </c>
      <c r="AA730" s="27"/>
      <c r="AB730" s="27"/>
      <c r="AC730" s="809"/>
      <c r="AD730" s="481"/>
    </row>
    <row r="731" spans="3:30" ht="10.5" customHeight="1">
      <c r="C731" s="1526" t="s">
        <v>4689</v>
      </c>
      <c r="D731" s="1523">
        <v>0</v>
      </c>
      <c r="E731" s="1523">
        <v>0</v>
      </c>
      <c r="F731" s="1524">
        <v>0</v>
      </c>
      <c r="G731" s="1537" t="s">
        <v>4689</v>
      </c>
      <c r="H731" s="1521">
        <v>0</v>
      </c>
      <c r="I731" s="1521">
        <v>0</v>
      </c>
      <c r="J731" s="1538">
        <v>0</v>
      </c>
      <c r="K731" s="1525"/>
      <c r="L731" s="1519">
        <v>13065970100</v>
      </c>
      <c r="M731" s="1520">
        <v>0</v>
      </c>
      <c r="N731" s="1520">
        <v>0</v>
      </c>
      <c r="O731" s="1520">
        <v>0</v>
      </c>
      <c r="P731" s="307"/>
      <c r="Q731" s="307"/>
      <c r="R731" s="307"/>
      <c r="S731" s="307"/>
      <c r="T731" s="473" t="s">
        <v>2005</v>
      </c>
      <c r="U731" s="473" t="s">
        <v>703</v>
      </c>
      <c r="AA731" s="27"/>
      <c r="AB731" s="27"/>
      <c r="AC731" s="809"/>
      <c r="AD731" s="481"/>
    </row>
    <row r="732" spans="3:30" ht="10.5" customHeight="1">
      <c r="C732" s="1526" t="s">
        <v>4690</v>
      </c>
      <c r="D732" s="1523">
        <v>0</v>
      </c>
      <c r="E732" s="1523">
        <v>0</v>
      </c>
      <c r="F732" s="1524">
        <v>0</v>
      </c>
      <c r="G732" s="1537" t="s">
        <v>4690</v>
      </c>
      <c r="H732" s="1521">
        <v>0</v>
      </c>
      <c r="I732" s="1521">
        <v>0</v>
      </c>
      <c r="J732" s="1538">
        <v>0</v>
      </c>
      <c r="K732" s="1525"/>
      <c r="L732" s="1519">
        <v>13065970200</v>
      </c>
      <c r="M732" s="1520">
        <v>0</v>
      </c>
      <c r="N732" s="1520">
        <v>0</v>
      </c>
      <c r="O732" s="1520">
        <v>0</v>
      </c>
      <c r="P732" s="307"/>
      <c r="Q732" s="307"/>
      <c r="R732" s="307"/>
      <c r="S732" s="307"/>
      <c r="T732" s="473" t="s">
        <v>2030</v>
      </c>
      <c r="U732" s="473" t="s">
        <v>99</v>
      </c>
      <c r="AA732" s="27"/>
      <c r="AB732" s="27"/>
      <c r="AC732" s="809"/>
      <c r="AD732" s="481"/>
    </row>
    <row r="733" spans="3:30" ht="10.5" customHeight="1">
      <c r="C733" s="1526" t="s">
        <v>4691</v>
      </c>
      <c r="D733" s="1523">
        <v>1</v>
      </c>
      <c r="E733" s="1523">
        <v>1</v>
      </c>
      <c r="F733" s="1524">
        <v>2</v>
      </c>
      <c r="G733" s="1537" t="s">
        <v>4691</v>
      </c>
      <c r="H733" s="1521">
        <v>1</v>
      </c>
      <c r="I733" s="1521">
        <v>1</v>
      </c>
      <c r="J733" s="1538">
        <v>2</v>
      </c>
      <c r="K733" s="1525"/>
      <c r="L733" s="1519">
        <v>13067030101</v>
      </c>
      <c r="M733" s="1520">
        <v>1</v>
      </c>
      <c r="N733" s="1520">
        <v>1</v>
      </c>
      <c r="O733" s="1520">
        <v>2</v>
      </c>
      <c r="P733" s="307"/>
      <c r="Q733" s="307"/>
      <c r="R733" s="307"/>
      <c r="S733" s="307"/>
      <c r="T733" s="473" t="s">
        <v>800</v>
      </c>
      <c r="U733" s="473" t="s">
        <v>1914</v>
      </c>
      <c r="AA733" s="27"/>
      <c r="AB733" s="27"/>
      <c r="AC733" s="809"/>
      <c r="AD733" s="481"/>
    </row>
    <row r="734" spans="3:30" ht="10.5" customHeight="1">
      <c r="C734" s="1526" t="s">
        <v>4692</v>
      </c>
      <c r="D734" s="1523">
        <v>1</v>
      </c>
      <c r="E734" s="1523">
        <v>1</v>
      </c>
      <c r="F734" s="1524">
        <v>2</v>
      </c>
      <c r="G734" s="1537" t="s">
        <v>4692</v>
      </c>
      <c r="H734" s="1521">
        <v>1</v>
      </c>
      <c r="I734" s="1521">
        <v>1</v>
      </c>
      <c r="J734" s="1538">
        <v>2</v>
      </c>
      <c r="K734" s="1525"/>
      <c r="L734" s="1519">
        <v>13067030103</v>
      </c>
      <c r="M734" s="1520">
        <v>1</v>
      </c>
      <c r="N734" s="1520">
        <v>1</v>
      </c>
      <c r="O734" s="1520">
        <v>2</v>
      </c>
      <c r="P734" s="307"/>
      <c r="Q734" s="307"/>
      <c r="R734" s="307"/>
      <c r="S734" s="307"/>
      <c r="T734" s="473" t="s">
        <v>2031</v>
      </c>
      <c r="U734" s="473" t="s">
        <v>1914</v>
      </c>
      <c r="AA734" s="27"/>
      <c r="AB734" s="27"/>
      <c r="AC734" s="809"/>
      <c r="AD734" s="481"/>
    </row>
    <row r="735" spans="3:30" ht="10.5" customHeight="1">
      <c r="C735" s="1526" t="s">
        <v>4693</v>
      </c>
      <c r="D735" s="1523">
        <v>0</v>
      </c>
      <c r="E735" s="1523">
        <v>0</v>
      </c>
      <c r="F735" s="1524">
        <v>0</v>
      </c>
      <c r="G735" s="1537" t="s">
        <v>4693</v>
      </c>
      <c r="H735" s="1521">
        <v>0</v>
      </c>
      <c r="I735" s="1521">
        <v>0</v>
      </c>
      <c r="J735" s="1538">
        <v>0</v>
      </c>
      <c r="K735" s="1525"/>
      <c r="L735" s="1519">
        <v>13067030104</v>
      </c>
      <c r="M735" s="1520">
        <v>0</v>
      </c>
      <c r="N735" s="1520">
        <v>0</v>
      </c>
      <c r="O735" s="1520">
        <v>0</v>
      </c>
      <c r="P735" s="307"/>
      <c r="Q735" s="307"/>
      <c r="R735" s="307"/>
      <c r="S735" s="307"/>
      <c r="T735" s="473" t="s">
        <v>2032</v>
      </c>
      <c r="U735" s="473" t="s">
        <v>1593</v>
      </c>
      <c r="AA735" s="27"/>
      <c r="AB735" s="27"/>
      <c r="AC735" s="809"/>
      <c r="AD735" s="481"/>
    </row>
    <row r="736" spans="3:30" ht="10.5" customHeight="1">
      <c r="C736" s="1526" t="s">
        <v>4694</v>
      </c>
      <c r="D736" s="1523">
        <v>0</v>
      </c>
      <c r="E736" s="1523">
        <v>0</v>
      </c>
      <c r="F736" s="1524">
        <v>0</v>
      </c>
      <c r="G736" s="1537" t="s">
        <v>4694</v>
      </c>
      <c r="H736" s="1521">
        <v>1</v>
      </c>
      <c r="I736" s="1521">
        <v>0</v>
      </c>
      <c r="J736" s="1538">
        <v>1</v>
      </c>
      <c r="K736" s="1525"/>
      <c r="L736" s="1519">
        <v>13067030106</v>
      </c>
      <c r="M736" s="1520">
        <v>1</v>
      </c>
      <c r="N736" s="1520">
        <v>0</v>
      </c>
      <c r="O736" s="1520">
        <v>1</v>
      </c>
      <c r="P736" s="307"/>
      <c r="Q736" s="307"/>
      <c r="R736" s="307"/>
      <c r="S736" s="307"/>
      <c r="T736" s="473" t="s">
        <v>2227</v>
      </c>
      <c r="U736" s="473" t="s">
        <v>1787</v>
      </c>
      <c r="AA736" s="27"/>
      <c r="AB736" s="27"/>
      <c r="AC736" s="809"/>
      <c r="AD736" s="481"/>
    </row>
    <row r="737" spans="3:30" ht="10.5" customHeight="1">
      <c r="C737" s="1526" t="s">
        <v>4695</v>
      </c>
      <c r="D737" s="1523">
        <v>1</v>
      </c>
      <c r="E737" s="1523">
        <v>1</v>
      </c>
      <c r="F737" s="1524">
        <v>2</v>
      </c>
      <c r="G737" s="1537" t="s">
        <v>4695</v>
      </c>
      <c r="H737" s="1521">
        <v>1</v>
      </c>
      <c r="I737" s="1521">
        <v>1</v>
      </c>
      <c r="J737" s="1538">
        <v>2</v>
      </c>
      <c r="K737" s="1525"/>
      <c r="L737" s="1519">
        <v>13067030107</v>
      </c>
      <c r="M737" s="1520">
        <v>1</v>
      </c>
      <c r="N737" s="1520">
        <v>1</v>
      </c>
      <c r="O737" s="1520">
        <v>2</v>
      </c>
      <c r="P737" s="307"/>
      <c r="Q737" s="307"/>
      <c r="R737" s="307"/>
      <c r="S737" s="307"/>
      <c r="T737" s="473" t="s">
        <v>2228</v>
      </c>
      <c r="U737" s="473" t="s">
        <v>151</v>
      </c>
      <c r="AA737" s="27"/>
      <c r="AB737" s="27"/>
      <c r="AC737" s="809"/>
      <c r="AD737" s="481"/>
    </row>
    <row r="738" spans="3:30" ht="10.5" customHeight="1">
      <c r="C738" s="1526" t="s">
        <v>4696</v>
      </c>
      <c r="D738" s="1523">
        <v>1</v>
      </c>
      <c r="E738" s="1523">
        <v>1</v>
      </c>
      <c r="F738" s="1524">
        <v>2</v>
      </c>
      <c r="G738" s="1537" t="s">
        <v>4696</v>
      </c>
      <c r="H738" s="1521">
        <v>1</v>
      </c>
      <c r="I738" s="1521">
        <v>1</v>
      </c>
      <c r="J738" s="1538">
        <v>2</v>
      </c>
      <c r="K738" s="1525"/>
      <c r="L738" s="1519">
        <v>13067030209</v>
      </c>
      <c r="M738" s="1520">
        <v>1</v>
      </c>
      <c r="N738" s="1520">
        <v>1</v>
      </c>
      <c r="O738" s="1520">
        <v>2</v>
      </c>
      <c r="P738" s="307"/>
      <c r="Q738" s="307"/>
      <c r="R738" s="307"/>
      <c r="S738" s="307"/>
      <c r="T738" s="505" t="s">
        <v>2229</v>
      </c>
      <c r="U738" s="505" t="s">
        <v>1595</v>
      </c>
      <c r="AA738" s="27"/>
      <c r="AB738" s="27"/>
      <c r="AC738" s="810"/>
      <c r="AD738" s="481"/>
    </row>
    <row r="739" spans="3:30" ht="10.5" customHeight="1">
      <c r="C739" s="1526" t="s">
        <v>4697</v>
      </c>
      <c r="D739" s="1523">
        <v>1</v>
      </c>
      <c r="E739" s="1523">
        <v>1</v>
      </c>
      <c r="F739" s="1524">
        <v>2</v>
      </c>
      <c r="G739" s="1537" t="s">
        <v>4697</v>
      </c>
      <c r="H739" s="1521">
        <v>1</v>
      </c>
      <c r="I739" s="1521">
        <v>1</v>
      </c>
      <c r="J739" s="1538">
        <v>2</v>
      </c>
      <c r="K739" s="1525"/>
      <c r="L739" s="1519">
        <v>13067030214</v>
      </c>
      <c r="M739" s="1520">
        <v>1</v>
      </c>
      <c r="N739" s="1520">
        <v>1</v>
      </c>
      <c r="O739" s="1520">
        <v>2</v>
      </c>
      <c r="P739" s="307"/>
      <c r="Q739" s="307"/>
      <c r="R739" s="307"/>
      <c r="S739" s="307"/>
      <c r="T739" s="473" t="s">
        <v>2230</v>
      </c>
      <c r="U739" s="473" t="s">
        <v>1065</v>
      </c>
      <c r="AA739" s="27"/>
      <c r="AB739" s="27"/>
      <c r="AC739" s="809"/>
      <c r="AD739" s="481"/>
    </row>
    <row r="740" spans="3:30" ht="10.5" customHeight="1">
      <c r="C740" s="1526" t="s">
        <v>4698</v>
      </c>
      <c r="D740" s="1523">
        <v>1</v>
      </c>
      <c r="E740" s="1523">
        <v>1</v>
      </c>
      <c r="F740" s="1524">
        <v>2</v>
      </c>
      <c r="G740" s="1537" t="s">
        <v>4698</v>
      </c>
      <c r="H740" s="1521">
        <v>1</v>
      </c>
      <c r="I740" s="1521">
        <v>1</v>
      </c>
      <c r="J740" s="1538">
        <v>2</v>
      </c>
      <c r="K740" s="1525"/>
      <c r="L740" s="1519">
        <v>13067030215</v>
      </c>
      <c r="M740" s="1520">
        <v>1</v>
      </c>
      <c r="N740" s="1520">
        <v>1</v>
      </c>
      <c r="O740" s="1520">
        <v>2</v>
      </c>
      <c r="P740" s="307"/>
      <c r="Q740" s="307"/>
      <c r="R740" s="307"/>
      <c r="S740" s="307"/>
      <c r="T740" s="473" t="s">
        <v>2231</v>
      </c>
      <c r="U740" s="473" t="s">
        <v>2286</v>
      </c>
      <c r="AA740" s="27"/>
      <c r="AB740" s="27"/>
      <c r="AC740" s="809"/>
      <c r="AD740" s="481"/>
    </row>
    <row r="741" spans="3:30" ht="10.5" customHeight="1">
      <c r="C741" s="1526" t="s">
        <v>4699</v>
      </c>
      <c r="D741" s="1523">
        <v>1</v>
      </c>
      <c r="E741" s="1523">
        <v>1</v>
      </c>
      <c r="F741" s="1524">
        <v>2</v>
      </c>
      <c r="G741" s="1537" t="s">
        <v>4699</v>
      </c>
      <c r="H741" s="1521">
        <v>1</v>
      </c>
      <c r="I741" s="1521">
        <v>1</v>
      </c>
      <c r="J741" s="1538">
        <v>2</v>
      </c>
      <c r="K741" s="1525"/>
      <c r="L741" s="1519">
        <v>13067030218</v>
      </c>
      <c r="M741" s="1520">
        <v>1</v>
      </c>
      <c r="N741" s="1520">
        <v>1</v>
      </c>
      <c r="O741" s="1520">
        <v>2</v>
      </c>
      <c r="P741" s="307"/>
      <c r="Q741" s="307"/>
      <c r="R741" s="307"/>
      <c r="S741" s="307"/>
      <c r="T741" s="473" t="s">
        <v>2157</v>
      </c>
      <c r="U741" s="473" t="s">
        <v>2077</v>
      </c>
      <c r="AA741" s="27"/>
      <c r="AB741" s="27"/>
      <c r="AC741" s="809"/>
      <c r="AD741" s="481"/>
    </row>
    <row r="742" spans="3:30" ht="10.5" customHeight="1">
      <c r="C742" s="1526" t="s">
        <v>4700</v>
      </c>
      <c r="D742" s="1523">
        <v>1</v>
      </c>
      <c r="E742" s="1523">
        <v>1</v>
      </c>
      <c r="F742" s="1524">
        <v>2</v>
      </c>
      <c r="G742" s="1537" t="s">
        <v>4700</v>
      </c>
      <c r="H742" s="1521">
        <v>1</v>
      </c>
      <c r="I742" s="1521">
        <v>1</v>
      </c>
      <c r="J742" s="1538">
        <v>2</v>
      </c>
      <c r="K742" s="1525"/>
      <c r="L742" s="1519">
        <v>13067030219</v>
      </c>
      <c r="M742" s="1520">
        <v>1</v>
      </c>
      <c r="N742" s="1520">
        <v>1</v>
      </c>
      <c r="O742" s="1520">
        <v>2</v>
      </c>
      <c r="P742" s="307"/>
      <c r="Q742" s="307"/>
      <c r="R742" s="307"/>
      <c r="S742" s="307"/>
      <c r="T742" s="473" t="s">
        <v>1560</v>
      </c>
      <c r="U742" s="473" t="s">
        <v>2288</v>
      </c>
      <c r="AA742" s="27"/>
      <c r="AB742" s="27"/>
      <c r="AC742" s="809"/>
      <c r="AD742" s="481"/>
    </row>
    <row r="743" spans="3:30" ht="10.5" customHeight="1">
      <c r="C743" s="1526" t="s">
        <v>4701</v>
      </c>
      <c r="D743" s="1523">
        <v>1</v>
      </c>
      <c r="E743" s="1523">
        <v>1</v>
      </c>
      <c r="F743" s="1524">
        <v>2</v>
      </c>
      <c r="G743" s="1537" t="s">
        <v>4701</v>
      </c>
      <c r="H743" s="1521">
        <v>1</v>
      </c>
      <c r="I743" s="1521">
        <v>1</v>
      </c>
      <c r="J743" s="1538">
        <v>2</v>
      </c>
      <c r="K743" s="1525"/>
      <c r="L743" s="1519">
        <v>13067030220</v>
      </c>
      <c r="M743" s="1520">
        <v>1</v>
      </c>
      <c r="N743" s="1520">
        <v>1</v>
      </c>
      <c r="O743" s="1520">
        <v>2</v>
      </c>
      <c r="P743" s="307"/>
      <c r="Q743" s="307"/>
      <c r="R743" s="307"/>
      <c r="S743" s="307"/>
      <c r="T743" s="473" t="s">
        <v>1561</v>
      </c>
      <c r="U743" s="473" t="s">
        <v>186</v>
      </c>
      <c r="AA743" s="27"/>
      <c r="AB743" s="27"/>
      <c r="AC743" s="809"/>
      <c r="AD743" s="481"/>
    </row>
    <row r="744" spans="3:30" ht="10.5" customHeight="1">
      <c r="C744" s="1526" t="s">
        <v>4702</v>
      </c>
      <c r="D744" s="1523">
        <v>1</v>
      </c>
      <c r="E744" s="1523">
        <v>1</v>
      </c>
      <c r="F744" s="1524">
        <v>2</v>
      </c>
      <c r="G744" s="1537" t="s">
        <v>4702</v>
      </c>
      <c r="H744" s="1521">
        <v>1</v>
      </c>
      <c r="I744" s="1521">
        <v>1</v>
      </c>
      <c r="J744" s="1538">
        <v>2</v>
      </c>
      <c r="K744" s="1525"/>
      <c r="L744" s="1519">
        <v>13067030222</v>
      </c>
      <c r="M744" s="1520">
        <v>1</v>
      </c>
      <c r="N744" s="1520">
        <v>1</v>
      </c>
      <c r="O744" s="1520">
        <v>2</v>
      </c>
      <c r="P744" s="307"/>
      <c r="Q744" s="307"/>
      <c r="R744" s="307"/>
      <c r="S744" s="307"/>
      <c r="T744" s="473" t="s">
        <v>1610</v>
      </c>
      <c r="U744" s="473" t="s">
        <v>154</v>
      </c>
      <c r="AA744" s="27"/>
      <c r="AB744" s="27"/>
      <c r="AC744" s="809"/>
      <c r="AD744" s="481"/>
    </row>
    <row r="745" spans="3:30" ht="10.5" customHeight="1">
      <c r="C745" s="1526" t="s">
        <v>4703</v>
      </c>
      <c r="D745" s="1523">
        <v>1</v>
      </c>
      <c r="E745" s="1523">
        <v>1</v>
      </c>
      <c r="F745" s="1524">
        <v>2</v>
      </c>
      <c r="G745" s="1537" t="s">
        <v>4703</v>
      </c>
      <c r="H745" s="1521">
        <v>1</v>
      </c>
      <c r="I745" s="1521">
        <v>1</v>
      </c>
      <c r="J745" s="1538">
        <v>2</v>
      </c>
      <c r="K745" s="1525"/>
      <c r="L745" s="1519">
        <v>13067030223</v>
      </c>
      <c r="M745" s="1520">
        <v>1</v>
      </c>
      <c r="N745" s="1520">
        <v>1</v>
      </c>
      <c r="O745" s="1520">
        <v>2</v>
      </c>
      <c r="P745" s="307"/>
      <c r="Q745" s="307"/>
      <c r="R745" s="307"/>
      <c r="S745" s="307"/>
      <c r="T745" s="473" t="s">
        <v>1037</v>
      </c>
      <c r="U745" s="473" t="s">
        <v>598</v>
      </c>
      <c r="AA745" s="27"/>
      <c r="AB745" s="27"/>
      <c r="AC745" s="809"/>
      <c r="AD745" s="481"/>
    </row>
    <row r="746" spans="3:30" ht="10.5" customHeight="1">
      <c r="C746" s="1526" t="s">
        <v>4704</v>
      </c>
      <c r="D746" s="1523">
        <v>1</v>
      </c>
      <c r="E746" s="1523">
        <v>1</v>
      </c>
      <c r="F746" s="1524">
        <v>2</v>
      </c>
      <c r="G746" s="1537" t="s">
        <v>4704</v>
      </c>
      <c r="H746" s="1521">
        <v>1</v>
      </c>
      <c r="I746" s="1521">
        <v>1</v>
      </c>
      <c r="J746" s="1538">
        <v>2</v>
      </c>
      <c r="K746" s="1525"/>
      <c r="L746" s="1519">
        <v>13067030224</v>
      </c>
      <c r="M746" s="1520">
        <v>1</v>
      </c>
      <c r="N746" s="1520">
        <v>1</v>
      </c>
      <c r="O746" s="1520">
        <v>2</v>
      </c>
      <c r="P746" s="307"/>
      <c r="Q746" s="307"/>
      <c r="R746" s="307"/>
      <c r="S746" s="307"/>
      <c r="T746" s="473" t="s">
        <v>785</v>
      </c>
      <c r="U746" s="473" t="s">
        <v>1860</v>
      </c>
      <c r="AA746" s="27"/>
      <c r="AB746" s="27"/>
      <c r="AC746" s="809"/>
      <c r="AD746" s="481"/>
    </row>
    <row r="747" spans="3:30" ht="10.5" customHeight="1">
      <c r="C747" s="1526" t="s">
        <v>4705</v>
      </c>
      <c r="D747" s="1523">
        <v>1</v>
      </c>
      <c r="E747" s="1523">
        <v>1</v>
      </c>
      <c r="F747" s="1524">
        <v>2</v>
      </c>
      <c r="G747" s="1537" t="s">
        <v>4705</v>
      </c>
      <c r="H747" s="1521">
        <v>1</v>
      </c>
      <c r="I747" s="1521">
        <v>1</v>
      </c>
      <c r="J747" s="1538">
        <v>2</v>
      </c>
      <c r="K747" s="1525"/>
      <c r="L747" s="1519">
        <v>13067030226</v>
      </c>
      <c r="M747" s="1520">
        <v>1</v>
      </c>
      <c r="N747" s="1520">
        <v>1</v>
      </c>
      <c r="O747" s="1520">
        <v>2</v>
      </c>
      <c r="P747" s="307"/>
      <c r="Q747" s="307"/>
      <c r="R747" s="307"/>
      <c r="S747" s="307"/>
      <c r="T747" s="473" t="s">
        <v>1611</v>
      </c>
      <c r="U747" s="473" t="s">
        <v>2412</v>
      </c>
      <c r="AA747" s="27"/>
      <c r="AB747" s="27"/>
      <c r="AC747" s="809"/>
      <c r="AD747" s="481"/>
    </row>
    <row r="748" spans="3:30" ht="10.5" customHeight="1">
      <c r="C748" s="1526" t="s">
        <v>4706</v>
      </c>
      <c r="D748" s="1523">
        <v>1</v>
      </c>
      <c r="E748" s="1523">
        <v>1</v>
      </c>
      <c r="F748" s="1524">
        <v>2</v>
      </c>
      <c r="G748" s="1537" t="s">
        <v>4706</v>
      </c>
      <c r="H748" s="1521">
        <v>1</v>
      </c>
      <c r="I748" s="1521">
        <v>0</v>
      </c>
      <c r="J748" s="1538">
        <v>1</v>
      </c>
      <c r="K748" s="1525"/>
      <c r="L748" s="1519">
        <v>13067030227</v>
      </c>
      <c r="M748" s="1520">
        <v>1</v>
      </c>
      <c r="N748" s="1520">
        <v>1</v>
      </c>
      <c r="O748" s="1520">
        <v>2</v>
      </c>
      <c r="P748" s="307"/>
      <c r="Q748" s="307"/>
      <c r="R748" s="307"/>
      <c r="S748" s="307"/>
      <c r="T748" s="473" t="s">
        <v>1612</v>
      </c>
      <c r="U748" s="473" t="s">
        <v>2139</v>
      </c>
      <c r="AA748" s="27"/>
      <c r="AB748" s="27"/>
      <c r="AC748" s="809"/>
      <c r="AD748" s="481"/>
    </row>
    <row r="749" spans="3:30" ht="10.5" customHeight="1">
      <c r="C749" s="1526" t="s">
        <v>4707</v>
      </c>
      <c r="D749" s="1523">
        <v>1</v>
      </c>
      <c r="E749" s="1523">
        <v>1</v>
      </c>
      <c r="F749" s="1524">
        <v>2</v>
      </c>
      <c r="G749" s="1537" t="s">
        <v>4707</v>
      </c>
      <c r="H749" s="1521">
        <v>1</v>
      </c>
      <c r="I749" s="1521">
        <v>1</v>
      </c>
      <c r="J749" s="1538">
        <v>2</v>
      </c>
      <c r="K749" s="1525"/>
      <c r="L749" s="1519">
        <v>13067030228</v>
      </c>
      <c r="M749" s="1520">
        <v>1</v>
      </c>
      <c r="N749" s="1520">
        <v>1</v>
      </c>
      <c r="O749" s="1520">
        <v>2</v>
      </c>
      <c r="P749" s="307"/>
      <c r="Q749" s="307"/>
      <c r="R749" s="307"/>
      <c r="S749" s="307"/>
      <c r="T749" s="473" t="s">
        <v>1613</v>
      </c>
      <c r="U749" s="473" t="s">
        <v>1595</v>
      </c>
      <c r="AA749" s="27"/>
      <c r="AB749" s="27"/>
      <c r="AC749" s="809"/>
      <c r="AD749" s="481"/>
    </row>
    <row r="750" spans="3:30" ht="10.5" customHeight="1">
      <c r="C750" s="1526" t="s">
        <v>4708</v>
      </c>
      <c r="D750" s="1523">
        <v>0</v>
      </c>
      <c r="E750" s="1523">
        <v>1</v>
      </c>
      <c r="F750" s="1524">
        <v>1</v>
      </c>
      <c r="G750" s="1537" t="s">
        <v>4708</v>
      </c>
      <c r="H750" s="1521">
        <v>0</v>
      </c>
      <c r="I750" s="1521" t="s">
        <v>4096</v>
      </c>
      <c r="J750" s="1538">
        <v>0</v>
      </c>
      <c r="K750" s="1525"/>
      <c r="L750" s="1519">
        <v>13067030229</v>
      </c>
      <c r="M750" s="1520">
        <v>0</v>
      </c>
      <c r="N750" s="1520">
        <v>1</v>
      </c>
      <c r="O750" s="1520">
        <v>1</v>
      </c>
      <c r="P750" s="307"/>
      <c r="Q750" s="307"/>
      <c r="R750" s="307"/>
      <c r="S750" s="307"/>
      <c r="T750" s="473" t="s">
        <v>1614</v>
      </c>
      <c r="U750" s="473" t="s">
        <v>151</v>
      </c>
      <c r="AA750" s="27"/>
      <c r="AB750" s="27"/>
      <c r="AC750" s="809"/>
      <c r="AD750" s="481"/>
    </row>
    <row r="751" spans="3:30" ht="10.5" customHeight="1">
      <c r="C751" s="1526" t="s">
        <v>4709</v>
      </c>
      <c r="D751" s="1523">
        <v>1</v>
      </c>
      <c r="E751" s="1523">
        <v>1</v>
      </c>
      <c r="F751" s="1524">
        <v>2</v>
      </c>
      <c r="G751" s="1537" t="s">
        <v>4709</v>
      </c>
      <c r="H751" s="1521">
        <v>1</v>
      </c>
      <c r="I751" s="1521">
        <v>1</v>
      </c>
      <c r="J751" s="1538">
        <v>2</v>
      </c>
      <c r="K751" s="1525"/>
      <c r="L751" s="1519">
        <v>13067030230</v>
      </c>
      <c r="M751" s="1520">
        <v>1</v>
      </c>
      <c r="N751" s="1520">
        <v>1</v>
      </c>
      <c r="O751" s="1520">
        <v>2</v>
      </c>
      <c r="P751" s="307"/>
      <c r="Q751" s="307"/>
      <c r="R751" s="307"/>
      <c r="S751" s="307"/>
      <c r="T751" s="473" t="s">
        <v>1615</v>
      </c>
      <c r="U751" s="473" t="s">
        <v>627</v>
      </c>
      <c r="AA751" s="27"/>
      <c r="AB751" s="27"/>
      <c r="AC751" s="809"/>
      <c r="AD751" s="481"/>
    </row>
    <row r="752" spans="3:30" ht="10.5" customHeight="1">
      <c r="C752" s="1526" t="s">
        <v>4710</v>
      </c>
      <c r="D752" s="1523">
        <v>1</v>
      </c>
      <c r="E752" s="1523">
        <v>1</v>
      </c>
      <c r="F752" s="1524">
        <v>2</v>
      </c>
      <c r="G752" s="1537" t="s">
        <v>4710</v>
      </c>
      <c r="H752" s="1521">
        <v>1</v>
      </c>
      <c r="I752" s="1521">
        <v>1</v>
      </c>
      <c r="J752" s="1538">
        <v>2</v>
      </c>
      <c r="K752" s="1525"/>
      <c r="L752" s="1519">
        <v>13067030231</v>
      </c>
      <c r="M752" s="1520">
        <v>1</v>
      </c>
      <c r="N752" s="1520">
        <v>1</v>
      </c>
      <c r="O752" s="1520">
        <v>2</v>
      </c>
      <c r="P752" s="307"/>
      <c r="Q752" s="307"/>
      <c r="R752" s="307"/>
      <c r="S752" s="307"/>
      <c r="T752" s="473" t="s">
        <v>1616</v>
      </c>
      <c r="U752" s="473" t="s">
        <v>917</v>
      </c>
      <c r="AA752" s="27"/>
      <c r="AB752" s="27"/>
      <c r="AC752" s="809"/>
      <c r="AD752" s="481"/>
    </row>
    <row r="753" spans="3:30" ht="10.5" customHeight="1">
      <c r="C753" s="1526" t="s">
        <v>4711</v>
      </c>
      <c r="D753" s="1523">
        <v>1</v>
      </c>
      <c r="E753" s="1523">
        <v>1</v>
      </c>
      <c r="F753" s="1524">
        <v>2</v>
      </c>
      <c r="G753" s="1537" t="s">
        <v>4711</v>
      </c>
      <c r="H753" s="1521">
        <v>1</v>
      </c>
      <c r="I753" s="1521">
        <v>1</v>
      </c>
      <c r="J753" s="1538">
        <v>2</v>
      </c>
      <c r="K753" s="1525"/>
      <c r="L753" s="1519">
        <v>13067030232</v>
      </c>
      <c r="M753" s="1520">
        <v>1</v>
      </c>
      <c r="N753" s="1520">
        <v>1</v>
      </c>
      <c r="O753" s="1520">
        <v>2</v>
      </c>
      <c r="P753" s="307"/>
      <c r="Q753" s="307"/>
      <c r="R753" s="307"/>
      <c r="S753" s="307"/>
      <c r="T753" s="473" t="s">
        <v>1617</v>
      </c>
      <c r="U753" s="473" t="s">
        <v>1160</v>
      </c>
      <c r="AA753" s="27"/>
      <c r="AB753" s="27"/>
      <c r="AC753" s="809"/>
      <c r="AD753" s="481"/>
    </row>
    <row r="754" spans="3:30" ht="10.5" customHeight="1">
      <c r="C754" s="1526" t="s">
        <v>4712</v>
      </c>
      <c r="D754" s="1523">
        <v>1</v>
      </c>
      <c r="E754" s="1523">
        <v>1</v>
      </c>
      <c r="F754" s="1524">
        <v>2</v>
      </c>
      <c r="G754" s="1537" t="s">
        <v>4712</v>
      </c>
      <c r="H754" s="1521">
        <v>1</v>
      </c>
      <c r="I754" s="1521">
        <v>1</v>
      </c>
      <c r="J754" s="1538">
        <v>2</v>
      </c>
      <c r="K754" s="1525"/>
      <c r="L754" s="1519">
        <v>13067030233</v>
      </c>
      <c r="M754" s="1520">
        <v>1</v>
      </c>
      <c r="N754" s="1520">
        <v>1</v>
      </c>
      <c r="O754" s="1520">
        <v>2</v>
      </c>
      <c r="P754" s="307"/>
      <c r="Q754" s="307"/>
      <c r="R754" s="307"/>
      <c r="S754" s="307"/>
      <c r="T754" s="473" t="s">
        <v>1618</v>
      </c>
      <c r="U754" s="473" t="s">
        <v>641</v>
      </c>
      <c r="AA754" s="27"/>
      <c r="AB754" s="27"/>
      <c r="AC754" s="809"/>
      <c r="AD754" s="481"/>
    </row>
    <row r="755" spans="3:30" ht="10.5" customHeight="1">
      <c r="C755" s="1526" t="s">
        <v>4713</v>
      </c>
      <c r="D755" s="1523">
        <v>1</v>
      </c>
      <c r="E755" s="1523">
        <v>1</v>
      </c>
      <c r="F755" s="1524">
        <v>2</v>
      </c>
      <c r="G755" s="1537" t="s">
        <v>4713</v>
      </c>
      <c r="H755" s="1521">
        <v>1</v>
      </c>
      <c r="I755" s="1521" t="s">
        <v>4096</v>
      </c>
      <c r="J755" s="1538">
        <v>1</v>
      </c>
      <c r="K755" s="1525"/>
      <c r="L755" s="1519">
        <v>13067030234</v>
      </c>
      <c r="M755" s="1520">
        <v>1</v>
      </c>
      <c r="N755" s="1520">
        <v>1</v>
      </c>
      <c r="O755" s="1520">
        <v>2</v>
      </c>
      <c r="P755" s="307"/>
      <c r="Q755" s="307"/>
      <c r="R755" s="307"/>
      <c r="S755" s="307"/>
      <c r="T755" s="473" t="s">
        <v>1038</v>
      </c>
      <c r="U755" s="473" t="s">
        <v>1595</v>
      </c>
      <c r="AA755" s="27"/>
      <c r="AB755" s="27"/>
      <c r="AC755" s="809"/>
      <c r="AD755" s="481"/>
    </row>
    <row r="756" spans="3:30" ht="10.5" customHeight="1">
      <c r="C756" s="1526" t="s">
        <v>4714</v>
      </c>
      <c r="D756" s="1523">
        <v>1</v>
      </c>
      <c r="E756" s="1523">
        <v>1</v>
      </c>
      <c r="F756" s="1524">
        <v>2</v>
      </c>
      <c r="G756" s="1537" t="s">
        <v>4714</v>
      </c>
      <c r="H756" s="1521">
        <v>1</v>
      </c>
      <c r="I756" s="1521">
        <v>1</v>
      </c>
      <c r="J756" s="1538">
        <v>2</v>
      </c>
      <c r="K756" s="1525"/>
      <c r="L756" s="1519">
        <v>13067030235</v>
      </c>
      <c r="M756" s="1520">
        <v>1</v>
      </c>
      <c r="N756" s="1520">
        <v>1</v>
      </c>
      <c r="O756" s="1520">
        <v>2</v>
      </c>
      <c r="P756" s="307"/>
      <c r="Q756" s="307"/>
      <c r="R756" s="307"/>
      <c r="S756" s="307"/>
      <c r="T756" s="473" t="s">
        <v>1619</v>
      </c>
      <c r="U756" s="473" t="s">
        <v>176</v>
      </c>
      <c r="AA756" s="27"/>
      <c r="AB756" s="27"/>
      <c r="AC756" s="809"/>
      <c r="AD756" s="481"/>
    </row>
    <row r="757" spans="3:30" ht="10.5" customHeight="1">
      <c r="C757" s="1526" t="s">
        <v>4715</v>
      </c>
      <c r="D757" s="1523">
        <v>1</v>
      </c>
      <c r="E757" s="1523">
        <v>1</v>
      </c>
      <c r="F757" s="1524">
        <v>2</v>
      </c>
      <c r="G757" s="1537" t="s">
        <v>4715</v>
      </c>
      <c r="H757" s="1521">
        <v>1</v>
      </c>
      <c r="I757" s="1521" t="s">
        <v>4096</v>
      </c>
      <c r="J757" s="1538">
        <v>1</v>
      </c>
      <c r="K757" s="1525"/>
      <c r="L757" s="1519">
        <v>13067030236</v>
      </c>
      <c r="M757" s="1520">
        <v>1</v>
      </c>
      <c r="N757" s="1520">
        <v>1</v>
      </c>
      <c r="O757" s="1520">
        <v>2</v>
      </c>
      <c r="P757" s="307"/>
      <c r="Q757" s="307"/>
      <c r="R757" s="307"/>
      <c r="S757" s="307"/>
      <c r="T757" s="473" t="s">
        <v>1620</v>
      </c>
      <c r="U757" s="473" t="s">
        <v>167</v>
      </c>
      <c r="AA757" s="27"/>
      <c r="AB757" s="27"/>
      <c r="AC757" s="809"/>
      <c r="AD757" s="481"/>
    </row>
    <row r="758" spans="3:30" ht="10.5" customHeight="1">
      <c r="C758" s="1526" t="s">
        <v>4716</v>
      </c>
      <c r="D758" s="1523">
        <v>1</v>
      </c>
      <c r="E758" s="1523">
        <v>1</v>
      </c>
      <c r="F758" s="1524">
        <v>2</v>
      </c>
      <c r="G758" s="1537" t="s">
        <v>4716</v>
      </c>
      <c r="H758" s="1521">
        <v>1</v>
      </c>
      <c r="I758" s="1521">
        <v>1</v>
      </c>
      <c r="J758" s="1538">
        <v>2</v>
      </c>
      <c r="K758" s="1525"/>
      <c r="L758" s="1519">
        <v>13067030238</v>
      </c>
      <c r="M758" s="1520">
        <v>1</v>
      </c>
      <c r="N758" s="1520">
        <v>1</v>
      </c>
      <c r="O758" s="1520">
        <v>2</v>
      </c>
      <c r="P758" s="307"/>
      <c r="Q758" s="307"/>
      <c r="R758" s="307"/>
      <c r="S758" s="307"/>
      <c r="T758" s="505" t="s">
        <v>1621</v>
      </c>
      <c r="U758" s="505" t="s">
        <v>1860</v>
      </c>
      <c r="AA758" s="27"/>
      <c r="AB758" s="27"/>
      <c r="AC758" s="810"/>
      <c r="AD758" s="481"/>
    </row>
    <row r="759" spans="3:30" ht="10.5" customHeight="1">
      <c r="C759" s="1526" t="s">
        <v>4717</v>
      </c>
      <c r="D759" s="1523">
        <v>1</v>
      </c>
      <c r="E759" s="1523">
        <v>1</v>
      </c>
      <c r="F759" s="1524">
        <v>2</v>
      </c>
      <c r="G759" s="1537" t="s">
        <v>4717</v>
      </c>
      <c r="H759" s="1521">
        <v>1</v>
      </c>
      <c r="I759" s="1521">
        <v>1</v>
      </c>
      <c r="J759" s="1538">
        <v>2</v>
      </c>
      <c r="K759" s="1525"/>
      <c r="L759" s="1519">
        <v>13067030239</v>
      </c>
      <c r="M759" s="1520">
        <v>1</v>
      </c>
      <c r="N759" s="1520">
        <v>1</v>
      </c>
      <c r="O759" s="1520">
        <v>2</v>
      </c>
      <c r="P759" s="307"/>
      <c r="Q759" s="307"/>
      <c r="R759" s="307"/>
      <c r="S759" s="307"/>
      <c r="T759" s="473" t="s">
        <v>1622</v>
      </c>
      <c r="U759" s="473" t="s">
        <v>151</v>
      </c>
      <c r="AA759" s="27"/>
      <c r="AB759" s="27"/>
      <c r="AC759" s="809"/>
      <c r="AD759" s="481"/>
    </row>
    <row r="760" spans="3:30" ht="10.5" customHeight="1">
      <c r="C760" s="1526" t="s">
        <v>4718</v>
      </c>
      <c r="D760" s="1523">
        <v>1</v>
      </c>
      <c r="E760" s="1523">
        <v>1</v>
      </c>
      <c r="F760" s="1524">
        <v>2</v>
      </c>
      <c r="G760" s="1537" t="s">
        <v>4718</v>
      </c>
      <c r="H760" s="1521">
        <v>1</v>
      </c>
      <c r="I760" s="1521">
        <v>0</v>
      </c>
      <c r="J760" s="1538">
        <v>1</v>
      </c>
      <c r="K760" s="1525"/>
      <c r="L760" s="1519">
        <v>13067030310</v>
      </c>
      <c r="M760" s="1520">
        <v>1</v>
      </c>
      <c r="N760" s="1520">
        <v>1</v>
      </c>
      <c r="O760" s="1520">
        <v>2</v>
      </c>
      <c r="P760" s="307"/>
      <c r="Q760" s="307"/>
      <c r="R760" s="307"/>
      <c r="S760" s="307"/>
      <c r="T760" s="473" t="s">
        <v>1623</v>
      </c>
      <c r="U760" s="473" t="s">
        <v>1819</v>
      </c>
      <c r="AA760" s="27"/>
      <c r="AB760" s="27"/>
      <c r="AC760" s="809"/>
      <c r="AD760" s="481"/>
    </row>
    <row r="761" spans="3:30" ht="10.5" customHeight="1">
      <c r="C761" s="1526" t="s">
        <v>4719</v>
      </c>
      <c r="D761" s="1523">
        <v>1</v>
      </c>
      <c r="E761" s="1523">
        <v>1</v>
      </c>
      <c r="F761" s="1524">
        <v>2</v>
      </c>
      <c r="G761" s="1537" t="s">
        <v>4719</v>
      </c>
      <c r="H761" s="1521">
        <v>1</v>
      </c>
      <c r="I761" s="1521">
        <v>1</v>
      </c>
      <c r="J761" s="1538">
        <v>2</v>
      </c>
      <c r="K761" s="1525"/>
      <c r="L761" s="1519">
        <v>13067030311</v>
      </c>
      <c r="M761" s="1520">
        <v>1</v>
      </c>
      <c r="N761" s="1520">
        <v>1</v>
      </c>
      <c r="O761" s="1520">
        <v>2</v>
      </c>
      <c r="P761" s="307"/>
      <c r="Q761" s="307"/>
      <c r="R761" s="307"/>
      <c r="S761" s="307"/>
      <c r="T761" s="473" t="s">
        <v>1624</v>
      </c>
      <c r="U761" s="473" t="s">
        <v>1280</v>
      </c>
      <c r="AA761" s="27"/>
      <c r="AB761" s="27"/>
      <c r="AC761" s="809"/>
      <c r="AD761" s="481"/>
    </row>
    <row r="762" spans="3:30" ht="10.5" customHeight="1">
      <c r="C762" s="1526" t="s">
        <v>4720</v>
      </c>
      <c r="D762" s="1523">
        <v>1</v>
      </c>
      <c r="E762" s="1523">
        <v>1</v>
      </c>
      <c r="F762" s="1524">
        <v>2</v>
      </c>
      <c r="G762" s="1537" t="s">
        <v>4720</v>
      </c>
      <c r="H762" s="1521">
        <v>1</v>
      </c>
      <c r="I762" s="1521">
        <v>1</v>
      </c>
      <c r="J762" s="1538">
        <v>2</v>
      </c>
      <c r="K762" s="1525"/>
      <c r="L762" s="1519">
        <v>13067030312</v>
      </c>
      <c r="M762" s="1520">
        <v>1</v>
      </c>
      <c r="N762" s="1520">
        <v>1</v>
      </c>
      <c r="O762" s="1520">
        <v>2</v>
      </c>
      <c r="P762" s="307"/>
      <c r="Q762" s="307"/>
      <c r="R762" s="307"/>
      <c r="S762" s="307"/>
      <c r="T762" s="505" t="s">
        <v>1625</v>
      </c>
      <c r="U762" s="505" t="s">
        <v>917</v>
      </c>
      <c r="AA762" s="27"/>
      <c r="AB762" s="27"/>
      <c r="AC762" s="810"/>
      <c r="AD762" s="481"/>
    </row>
    <row r="763" spans="3:30" ht="10.5" customHeight="1">
      <c r="C763" s="1526" t="s">
        <v>4721</v>
      </c>
      <c r="D763" s="1523">
        <v>1</v>
      </c>
      <c r="E763" s="1523">
        <v>1</v>
      </c>
      <c r="F763" s="1524">
        <v>2</v>
      </c>
      <c r="G763" s="1537" t="s">
        <v>4721</v>
      </c>
      <c r="H763" s="1521">
        <v>1</v>
      </c>
      <c r="I763" s="1521">
        <v>1</v>
      </c>
      <c r="J763" s="1538">
        <v>2</v>
      </c>
      <c r="K763" s="1525"/>
      <c r="L763" s="1519">
        <v>13067030313</v>
      </c>
      <c r="M763" s="1520">
        <v>1</v>
      </c>
      <c r="N763" s="1520">
        <v>1</v>
      </c>
      <c r="O763" s="1520">
        <v>2</v>
      </c>
      <c r="P763" s="307"/>
      <c r="Q763" s="307"/>
      <c r="R763" s="307"/>
      <c r="S763" s="307"/>
      <c r="T763" s="473" t="s">
        <v>1626</v>
      </c>
      <c r="U763" s="473" t="s">
        <v>703</v>
      </c>
      <c r="AA763" s="27"/>
      <c r="AB763" s="27"/>
      <c r="AC763" s="809"/>
      <c r="AD763" s="481"/>
    </row>
    <row r="764" spans="3:30" ht="10.5" customHeight="1">
      <c r="C764" s="1526" t="s">
        <v>4722</v>
      </c>
      <c r="D764" s="1523">
        <v>1</v>
      </c>
      <c r="E764" s="1523">
        <v>1</v>
      </c>
      <c r="F764" s="1524">
        <v>2</v>
      </c>
      <c r="G764" s="1537" t="s">
        <v>4722</v>
      </c>
      <c r="H764" s="1521">
        <v>1</v>
      </c>
      <c r="I764" s="1521">
        <v>1</v>
      </c>
      <c r="J764" s="1538">
        <v>2</v>
      </c>
      <c r="K764" s="1525"/>
      <c r="L764" s="1519">
        <v>13067030314</v>
      </c>
      <c r="M764" s="1520">
        <v>1</v>
      </c>
      <c r="N764" s="1520">
        <v>1</v>
      </c>
      <c r="O764" s="1520">
        <v>2</v>
      </c>
      <c r="P764" s="307"/>
      <c r="Q764" s="307"/>
      <c r="R764" s="307"/>
      <c r="S764" s="307"/>
      <c r="T764" s="473" t="s">
        <v>1039</v>
      </c>
      <c r="U764" s="473" t="s">
        <v>2373</v>
      </c>
      <c r="AA764" s="27"/>
      <c r="AB764" s="27"/>
      <c r="AC764" s="809"/>
      <c r="AD764" s="481"/>
    </row>
    <row r="765" spans="3:30" ht="10.5" customHeight="1">
      <c r="C765" s="1526" t="s">
        <v>4723</v>
      </c>
      <c r="D765" s="1523">
        <v>1</v>
      </c>
      <c r="E765" s="1523">
        <v>1</v>
      </c>
      <c r="F765" s="1524">
        <v>2</v>
      </c>
      <c r="G765" s="1537" t="s">
        <v>4723</v>
      </c>
      <c r="H765" s="1521">
        <v>1</v>
      </c>
      <c r="I765" s="1521">
        <v>1</v>
      </c>
      <c r="J765" s="1538">
        <v>2</v>
      </c>
      <c r="K765" s="1525"/>
      <c r="L765" s="1519">
        <v>13067030318</v>
      </c>
      <c r="M765" s="1520">
        <v>1</v>
      </c>
      <c r="N765" s="1520">
        <v>1</v>
      </c>
      <c r="O765" s="1520">
        <v>2</v>
      </c>
      <c r="P765" s="307"/>
      <c r="Q765" s="307"/>
      <c r="R765" s="307"/>
      <c r="S765" s="307"/>
      <c r="T765" s="473" t="s">
        <v>1627</v>
      </c>
      <c r="U765" s="473" t="s">
        <v>303</v>
      </c>
      <c r="AA765" s="27"/>
      <c r="AB765" s="27"/>
      <c r="AC765" s="809"/>
      <c r="AD765" s="481"/>
    </row>
    <row r="766" spans="3:30" ht="10.5" customHeight="1">
      <c r="C766" s="1526" t="s">
        <v>4724</v>
      </c>
      <c r="D766" s="1523">
        <v>1</v>
      </c>
      <c r="E766" s="1523">
        <v>1</v>
      </c>
      <c r="F766" s="1524">
        <v>2</v>
      </c>
      <c r="G766" s="1537" t="s">
        <v>4724</v>
      </c>
      <c r="H766" s="1521">
        <v>1</v>
      </c>
      <c r="I766" s="1521">
        <v>1</v>
      </c>
      <c r="J766" s="1538">
        <v>2</v>
      </c>
      <c r="K766" s="1525"/>
      <c r="L766" s="1519">
        <v>13067030319</v>
      </c>
      <c r="M766" s="1520">
        <v>1</v>
      </c>
      <c r="N766" s="1520">
        <v>1</v>
      </c>
      <c r="O766" s="1520">
        <v>2</v>
      </c>
      <c r="P766" s="307"/>
      <c r="Q766" s="307"/>
      <c r="R766" s="307"/>
      <c r="S766" s="307"/>
      <c r="T766" s="473" t="s">
        <v>1628</v>
      </c>
      <c r="U766" s="473" t="s">
        <v>317</v>
      </c>
      <c r="AA766" s="27"/>
      <c r="AB766" s="27"/>
      <c r="AC766" s="809"/>
      <c r="AD766" s="481"/>
    </row>
    <row r="767" spans="3:30" ht="10.5" customHeight="1">
      <c r="C767" s="1526" t="s">
        <v>4725</v>
      </c>
      <c r="D767" s="1523">
        <v>1</v>
      </c>
      <c r="E767" s="1523">
        <v>1</v>
      </c>
      <c r="F767" s="1524">
        <v>2</v>
      </c>
      <c r="G767" s="1537" t="s">
        <v>4725</v>
      </c>
      <c r="H767" s="1521">
        <v>1</v>
      </c>
      <c r="I767" s="1521">
        <v>1</v>
      </c>
      <c r="J767" s="1538">
        <v>2</v>
      </c>
      <c r="K767" s="1525"/>
      <c r="L767" s="1519">
        <v>13067030320</v>
      </c>
      <c r="M767" s="1520">
        <v>1</v>
      </c>
      <c r="N767" s="1520">
        <v>1</v>
      </c>
      <c r="O767" s="1520">
        <v>2</v>
      </c>
      <c r="P767" s="307"/>
      <c r="Q767" s="307"/>
      <c r="R767" s="307"/>
      <c r="S767" s="307"/>
      <c r="T767" s="473" t="s">
        <v>1629</v>
      </c>
      <c r="U767" s="473" t="s">
        <v>156</v>
      </c>
      <c r="AA767" s="27"/>
      <c r="AB767" s="27"/>
      <c r="AC767" s="809"/>
      <c r="AD767" s="481"/>
    </row>
    <row r="768" spans="3:30" ht="10.5" customHeight="1">
      <c r="C768" s="1526" t="s">
        <v>4726</v>
      </c>
      <c r="D768" s="1523">
        <v>1</v>
      </c>
      <c r="E768" s="1523">
        <v>1</v>
      </c>
      <c r="F768" s="1524">
        <v>2</v>
      </c>
      <c r="G768" s="1537" t="s">
        <v>4726</v>
      </c>
      <c r="H768" s="1521">
        <v>1</v>
      </c>
      <c r="I768" s="1521">
        <v>1</v>
      </c>
      <c r="J768" s="1538">
        <v>2</v>
      </c>
      <c r="K768" s="1525"/>
      <c r="L768" s="1519">
        <v>13067030322</v>
      </c>
      <c r="M768" s="1520">
        <v>1</v>
      </c>
      <c r="N768" s="1520">
        <v>1</v>
      </c>
      <c r="O768" s="1520">
        <v>2</v>
      </c>
      <c r="P768" s="307"/>
      <c r="Q768" s="307"/>
      <c r="R768" s="307"/>
      <c r="S768" s="307"/>
      <c r="T768" s="473" t="s">
        <v>1630</v>
      </c>
      <c r="U768" s="473" t="s">
        <v>1917</v>
      </c>
      <c r="AA768" s="27"/>
      <c r="AB768" s="27"/>
      <c r="AC768" s="809"/>
      <c r="AD768" s="481"/>
    </row>
    <row r="769" spans="3:30" ht="10.5" customHeight="1">
      <c r="C769" s="1526" t="s">
        <v>4727</v>
      </c>
      <c r="D769" s="1523">
        <v>1</v>
      </c>
      <c r="E769" s="1523">
        <v>1</v>
      </c>
      <c r="F769" s="1524">
        <v>2</v>
      </c>
      <c r="G769" s="1537" t="s">
        <v>4727</v>
      </c>
      <c r="H769" s="1521">
        <v>1</v>
      </c>
      <c r="I769" s="1521">
        <v>1</v>
      </c>
      <c r="J769" s="1538">
        <v>2</v>
      </c>
      <c r="K769" s="1525"/>
      <c r="L769" s="1519">
        <v>13067030324</v>
      </c>
      <c r="M769" s="1520">
        <v>1</v>
      </c>
      <c r="N769" s="1520">
        <v>1</v>
      </c>
      <c r="O769" s="1520">
        <v>2</v>
      </c>
      <c r="P769" s="307"/>
      <c r="Q769" s="307"/>
      <c r="R769" s="307"/>
      <c r="S769" s="307"/>
      <c r="T769" s="473" t="s">
        <v>1631</v>
      </c>
      <c r="U769" s="473" t="s">
        <v>1400</v>
      </c>
      <c r="AA769" s="27"/>
      <c r="AB769" s="27"/>
      <c r="AC769" s="809"/>
      <c r="AD769" s="481"/>
    </row>
    <row r="770" spans="3:30" ht="10.5" customHeight="1">
      <c r="C770" s="1526" t="s">
        <v>4728</v>
      </c>
      <c r="D770" s="1523">
        <v>1</v>
      </c>
      <c r="E770" s="1523">
        <v>1</v>
      </c>
      <c r="F770" s="1524">
        <v>2</v>
      </c>
      <c r="G770" s="1537" t="s">
        <v>4728</v>
      </c>
      <c r="H770" s="1521">
        <v>1</v>
      </c>
      <c r="I770" s="1521">
        <v>1</v>
      </c>
      <c r="J770" s="1538">
        <v>2</v>
      </c>
      <c r="K770" s="1525"/>
      <c r="L770" s="1519">
        <v>13067030326</v>
      </c>
      <c r="M770" s="1520">
        <v>1</v>
      </c>
      <c r="N770" s="1520">
        <v>1</v>
      </c>
      <c r="O770" s="1520">
        <v>2</v>
      </c>
      <c r="P770" s="307"/>
      <c r="Q770" s="307"/>
      <c r="R770" s="307"/>
      <c r="S770" s="307"/>
      <c r="T770" s="473" t="s">
        <v>1632</v>
      </c>
      <c r="U770" s="473" t="s">
        <v>1789</v>
      </c>
      <c r="AA770" s="27"/>
      <c r="AB770" s="27"/>
      <c r="AC770" s="809"/>
      <c r="AD770" s="481"/>
    </row>
    <row r="771" spans="3:30" ht="10.5" customHeight="1">
      <c r="C771" s="1526" t="s">
        <v>4729</v>
      </c>
      <c r="D771" s="1523">
        <v>1</v>
      </c>
      <c r="E771" s="1523">
        <v>1</v>
      </c>
      <c r="F771" s="1524">
        <v>2</v>
      </c>
      <c r="G771" s="1537" t="s">
        <v>4729</v>
      </c>
      <c r="H771" s="1521">
        <v>1</v>
      </c>
      <c r="I771" s="1521">
        <v>1</v>
      </c>
      <c r="J771" s="1538">
        <v>2</v>
      </c>
      <c r="K771" s="1525"/>
      <c r="L771" s="1519">
        <v>13067030327</v>
      </c>
      <c r="M771" s="1520">
        <v>1</v>
      </c>
      <c r="N771" s="1520">
        <v>1</v>
      </c>
      <c r="O771" s="1520">
        <v>2</v>
      </c>
      <c r="P771" s="307"/>
      <c r="Q771" s="307"/>
      <c r="R771" s="307"/>
      <c r="S771" s="307"/>
      <c r="T771" s="473" t="s">
        <v>1633</v>
      </c>
      <c r="U771" s="473" t="s">
        <v>309</v>
      </c>
      <c r="AA771" s="27"/>
      <c r="AB771" s="27"/>
      <c r="AC771" s="809"/>
      <c r="AD771" s="481"/>
    </row>
    <row r="772" spans="3:30" ht="10.5" customHeight="1">
      <c r="C772" s="1526" t="s">
        <v>4730</v>
      </c>
      <c r="D772" s="1523">
        <v>1</v>
      </c>
      <c r="E772" s="1523">
        <v>1</v>
      </c>
      <c r="F772" s="1524">
        <v>2</v>
      </c>
      <c r="G772" s="1537" t="s">
        <v>4730</v>
      </c>
      <c r="H772" s="1521">
        <v>1</v>
      </c>
      <c r="I772" s="1521">
        <v>1</v>
      </c>
      <c r="J772" s="1538">
        <v>2</v>
      </c>
      <c r="K772" s="1525"/>
      <c r="L772" s="1519">
        <v>13067030328</v>
      </c>
      <c r="M772" s="1520">
        <v>1</v>
      </c>
      <c r="N772" s="1520">
        <v>1</v>
      </c>
      <c r="O772" s="1520">
        <v>2</v>
      </c>
      <c r="P772" s="307"/>
      <c r="Q772" s="307"/>
      <c r="R772" s="307"/>
      <c r="S772" s="307"/>
      <c r="T772" s="473" t="s">
        <v>1634</v>
      </c>
      <c r="U772" s="473" t="s">
        <v>97</v>
      </c>
      <c r="AA772" s="27"/>
      <c r="AB772" s="27"/>
      <c r="AC772" s="809"/>
      <c r="AD772" s="481"/>
    </row>
    <row r="773" spans="3:30" ht="10.5" customHeight="1">
      <c r="C773" s="1526" t="s">
        <v>4731</v>
      </c>
      <c r="D773" s="1523">
        <v>1</v>
      </c>
      <c r="E773" s="1523">
        <v>1</v>
      </c>
      <c r="F773" s="1524">
        <v>2</v>
      </c>
      <c r="G773" s="1537" t="s">
        <v>4731</v>
      </c>
      <c r="H773" s="1521">
        <v>1</v>
      </c>
      <c r="I773" s="1521">
        <v>1</v>
      </c>
      <c r="J773" s="1538">
        <v>2</v>
      </c>
      <c r="K773" s="1525"/>
      <c r="L773" s="1519">
        <v>13067030329</v>
      </c>
      <c r="M773" s="1520">
        <v>1</v>
      </c>
      <c r="N773" s="1520">
        <v>1</v>
      </c>
      <c r="O773" s="1520">
        <v>2</v>
      </c>
      <c r="P773" s="307"/>
      <c r="Q773" s="307"/>
      <c r="R773" s="307"/>
      <c r="S773" s="307"/>
      <c r="T773" s="473" t="s">
        <v>282</v>
      </c>
      <c r="U773" s="473" t="s">
        <v>2290</v>
      </c>
      <c r="AA773" s="27"/>
      <c r="AB773" s="27"/>
      <c r="AC773" s="809"/>
      <c r="AD773" s="481"/>
    </row>
    <row r="774" spans="3:30" ht="10.5" customHeight="1">
      <c r="C774" s="1526" t="s">
        <v>4732</v>
      </c>
      <c r="D774" s="1523">
        <v>1</v>
      </c>
      <c r="E774" s="1523">
        <v>1</v>
      </c>
      <c r="F774" s="1524">
        <v>2</v>
      </c>
      <c r="G774" s="1537" t="s">
        <v>4732</v>
      </c>
      <c r="H774" s="1521">
        <v>1</v>
      </c>
      <c r="I774" s="1521">
        <v>1</v>
      </c>
      <c r="J774" s="1538">
        <v>2</v>
      </c>
      <c r="K774" s="1525"/>
      <c r="L774" s="1519">
        <v>13067030330</v>
      </c>
      <c r="M774" s="1520">
        <v>1</v>
      </c>
      <c r="N774" s="1520">
        <v>1</v>
      </c>
      <c r="O774" s="1520">
        <v>2</v>
      </c>
      <c r="P774" s="307"/>
      <c r="Q774" s="307"/>
      <c r="R774" s="307"/>
      <c r="S774" s="307"/>
      <c r="T774" s="473" t="s">
        <v>99</v>
      </c>
      <c r="U774" s="473" t="s">
        <v>2286</v>
      </c>
      <c r="AA774" s="27"/>
      <c r="AB774" s="27"/>
      <c r="AC774" s="809"/>
      <c r="AD774" s="481"/>
    </row>
    <row r="775" spans="3:30" ht="10.5" customHeight="1">
      <c r="C775" s="1526" t="s">
        <v>4733</v>
      </c>
      <c r="D775" s="1523">
        <v>1</v>
      </c>
      <c r="E775" s="1523">
        <v>1</v>
      </c>
      <c r="F775" s="1524">
        <v>2</v>
      </c>
      <c r="G775" s="1537" t="s">
        <v>4733</v>
      </c>
      <c r="H775" s="1521">
        <v>1</v>
      </c>
      <c r="I775" s="1521">
        <v>1</v>
      </c>
      <c r="J775" s="1538">
        <v>2</v>
      </c>
      <c r="K775" s="1525"/>
      <c r="L775" s="1519">
        <v>13067030331</v>
      </c>
      <c r="M775" s="1520">
        <v>1</v>
      </c>
      <c r="N775" s="1520">
        <v>1</v>
      </c>
      <c r="O775" s="1520">
        <v>2</v>
      </c>
      <c r="P775" s="307"/>
      <c r="Q775" s="307"/>
      <c r="R775" s="307"/>
      <c r="S775" s="307"/>
      <c r="T775" s="473" t="s">
        <v>283</v>
      </c>
      <c r="U775" s="473" t="s">
        <v>2469</v>
      </c>
      <c r="AA775" s="27"/>
      <c r="AB775" s="27"/>
      <c r="AC775" s="809"/>
      <c r="AD775" s="481"/>
    </row>
    <row r="776" spans="3:30" ht="10.5" customHeight="1">
      <c r="C776" s="1526" t="s">
        <v>4734</v>
      </c>
      <c r="D776" s="1523">
        <v>1</v>
      </c>
      <c r="E776" s="1523">
        <v>1</v>
      </c>
      <c r="F776" s="1524">
        <v>2</v>
      </c>
      <c r="G776" s="1537" t="s">
        <v>4734</v>
      </c>
      <c r="H776" s="1521">
        <v>1</v>
      </c>
      <c r="I776" s="1521">
        <v>1</v>
      </c>
      <c r="J776" s="1538">
        <v>2</v>
      </c>
      <c r="K776" s="1525"/>
      <c r="L776" s="1519">
        <v>13067030332</v>
      </c>
      <c r="M776" s="1520">
        <v>1</v>
      </c>
      <c r="N776" s="1520">
        <v>1</v>
      </c>
      <c r="O776" s="1520">
        <v>2</v>
      </c>
      <c r="P776" s="307"/>
      <c r="Q776" s="307"/>
      <c r="R776" s="307"/>
      <c r="S776" s="307"/>
      <c r="T776" s="380" t="s">
        <v>284</v>
      </c>
      <c r="U776" s="380" t="s">
        <v>304</v>
      </c>
      <c r="AA776" s="27"/>
      <c r="AB776" s="27"/>
      <c r="AC776" s="89"/>
      <c r="AD776" s="481"/>
    </row>
    <row r="777" spans="3:30" ht="10.5" customHeight="1">
      <c r="C777" s="1526" t="s">
        <v>4735</v>
      </c>
      <c r="D777" s="1523">
        <v>1</v>
      </c>
      <c r="E777" s="1523">
        <v>1</v>
      </c>
      <c r="F777" s="1524">
        <v>2</v>
      </c>
      <c r="G777" s="1537" t="s">
        <v>4735</v>
      </c>
      <c r="H777" s="1521">
        <v>1</v>
      </c>
      <c r="I777" s="1521">
        <v>1</v>
      </c>
      <c r="J777" s="1538">
        <v>2</v>
      </c>
      <c r="K777" s="1525"/>
      <c r="L777" s="1519">
        <v>13067030333</v>
      </c>
      <c r="M777" s="1520">
        <v>1</v>
      </c>
      <c r="N777" s="1520">
        <v>1</v>
      </c>
      <c r="O777" s="1520">
        <v>2</v>
      </c>
      <c r="P777" s="307"/>
      <c r="Q777" s="307"/>
      <c r="R777" s="307"/>
      <c r="S777" s="307"/>
      <c r="T777" s="473" t="s">
        <v>285</v>
      </c>
      <c r="U777" s="473" t="s">
        <v>1918</v>
      </c>
      <c r="AA777" s="27"/>
      <c r="AB777" s="27"/>
      <c r="AC777" s="809"/>
      <c r="AD777" s="481"/>
    </row>
    <row r="778" spans="3:30" ht="13.5">
      <c r="C778" s="1526" t="s">
        <v>4736</v>
      </c>
      <c r="D778" s="1523">
        <v>1</v>
      </c>
      <c r="E778" s="1523">
        <v>1</v>
      </c>
      <c r="F778" s="1524">
        <v>2</v>
      </c>
      <c r="G778" s="1537" t="s">
        <v>4736</v>
      </c>
      <c r="H778" s="1521">
        <v>1</v>
      </c>
      <c r="I778" s="1521">
        <v>1</v>
      </c>
      <c r="J778" s="1538">
        <v>2</v>
      </c>
      <c r="K778" s="1525"/>
      <c r="L778" s="1519">
        <v>13067030334</v>
      </c>
      <c r="M778" s="1520">
        <v>1</v>
      </c>
      <c r="N778" s="1520">
        <v>1</v>
      </c>
      <c r="O778" s="1520">
        <v>2</v>
      </c>
      <c r="P778" s="307"/>
      <c r="Q778" s="307"/>
      <c r="R778" s="307"/>
      <c r="S778" s="307"/>
      <c r="T778" s="473" t="s">
        <v>286</v>
      </c>
      <c r="U778" s="380" t="s">
        <v>1280</v>
      </c>
      <c r="AA778" s="27"/>
      <c r="AB778" s="27"/>
      <c r="AC778" s="809"/>
      <c r="AD778" s="481"/>
    </row>
    <row r="779" spans="3:30" ht="13.5">
      <c r="C779" s="1526" t="s">
        <v>4737</v>
      </c>
      <c r="D779" s="1523">
        <v>1</v>
      </c>
      <c r="E779" s="1523">
        <v>1</v>
      </c>
      <c r="F779" s="1524">
        <v>2</v>
      </c>
      <c r="G779" s="1537" t="s">
        <v>4737</v>
      </c>
      <c r="H779" s="1521">
        <v>1</v>
      </c>
      <c r="I779" s="1521">
        <v>1</v>
      </c>
      <c r="J779" s="1538">
        <v>2</v>
      </c>
      <c r="K779" s="1525"/>
      <c r="L779" s="1519">
        <v>13067030335</v>
      </c>
      <c r="M779" s="1520">
        <v>1</v>
      </c>
      <c r="N779" s="1520">
        <v>1</v>
      </c>
      <c r="O779" s="1520">
        <v>2</v>
      </c>
      <c r="P779" s="307"/>
      <c r="Q779" s="307"/>
      <c r="R779" s="307"/>
      <c r="S779" s="307"/>
      <c r="T779" s="380" t="s">
        <v>287</v>
      </c>
      <c r="U779" s="380" t="s">
        <v>1825</v>
      </c>
      <c r="AA779" s="27"/>
      <c r="AB779" s="27"/>
      <c r="AC779" s="89"/>
      <c r="AD779" s="481"/>
    </row>
    <row r="780" spans="3:30" ht="13.5">
      <c r="C780" s="1526" t="s">
        <v>4738</v>
      </c>
      <c r="D780" s="1523">
        <v>1</v>
      </c>
      <c r="E780" s="1523">
        <v>1</v>
      </c>
      <c r="F780" s="1524">
        <v>2</v>
      </c>
      <c r="G780" s="1537" t="s">
        <v>4738</v>
      </c>
      <c r="H780" s="1521">
        <v>1</v>
      </c>
      <c r="I780" s="1521" t="s">
        <v>4096</v>
      </c>
      <c r="J780" s="1538">
        <v>1</v>
      </c>
      <c r="K780" s="1525"/>
      <c r="L780" s="1519">
        <v>13067030336</v>
      </c>
      <c r="M780" s="1520">
        <v>1</v>
      </c>
      <c r="N780" s="1520">
        <v>1</v>
      </c>
      <c r="O780" s="1520">
        <v>2</v>
      </c>
      <c r="P780" s="307"/>
      <c r="Q780" s="307"/>
      <c r="R780" s="307"/>
      <c r="S780" s="307"/>
      <c r="T780" s="380" t="s">
        <v>288</v>
      </c>
      <c r="U780" s="380" t="s">
        <v>103</v>
      </c>
      <c r="AA780" s="27"/>
      <c r="AB780" s="27"/>
      <c r="AC780" s="89"/>
      <c r="AD780" s="481"/>
    </row>
    <row r="781" spans="3:30" ht="13.5">
      <c r="C781" s="1526" t="s">
        <v>4739</v>
      </c>
      <c r="D781" s="1523">
        <v>1</v>
      </c>
      <c r="E781" s="1523">
        <v>1</v>
      </c>
      <c r="F781" s="1524">
        <v>2</v>
      </c>
      <c r="G781" s="1537" t="s">
        <v>4739</v>
      </c>
      <c r="H781" s="1521">
        <v>1</v>
      </c>
      <c r="I781" s="1521">
        <v>1</v>
      </c>
      <c r="J781" s="1538">
        <v>2</v>
      </c>
      <c r="K781" s="1525"/>
      <c r="L781" s="1519">
        <v>13067030337</v>
      </c>
      <c r="M781" s="1520">
        <v>1</v>
      </c>
      <c r="N781" s="1520">
        <v>1</v>
      </c>
      <c r="O781" s="1520">
        <v>2</v>
      </c>
      <c r="P781" s="307"/>
      <c r="Q781" s="307"/>
      <c r="R781" s="307"/>
      <c r="S781" s="307"/>
      <c r="T781" s="380" t="s">
        <v>289</v>
      </c>
      <c r="U781" s="380" t="s">
        <v>639</v>
      </c>
      <c r="AA781" s="27"/>
      <c r="AB781" s="27"/>
      <c r="AC781" s="89"/>
      <c r="AD781" s="481"/>
    </row>
    <row r="782" spans="3:30" ht="13.5">
      <c r="C782" s="1526" t="s">
        <v>4740</v>
      </c>
      <c r="D782" s="1523">
        <v>1</v>
      </c>
      <c r="E782" s="1523">
        <v>1</v>
      </c>
      <c r="F782" s="1524">
        <v>2</v>
      </c>
      <c r="G782" s="1537" t="s">
        <v>4740</v>
      </c>
      <c r="H782" s="1521">
        <v>1</v>
      </c>
      <c r="I782" s="1521" t="s">
        <v>4096</v>
      </c>
      <c r="J782" s="1538">
        <v>1</v>
      </c>
      <c r="K782" s="1525"/>
      <c r="L782" s="1519">
        <v>13067030339</v>
      </c>
      <c r="M782" s="1520">
        <v>1</v>
      </c>
      <c r="N782" s="1520">
        <v>1</v>
      </c>
      <c r="O782" s="1520">
        <v>2</v>
      </c>
      <c r="P782" s="307"/>
      <c r="Q782" s="307"/>
      <c r="R782" s="307"/>
      <c r="S782" s="307"/>
      <c r="T782" s="380" t="s">
        <v>107</v>
      </c>
      <c r="U782" s="380" t="s">
        <v>1265</v>
      </c>
      <c r="AA782" s="27"/>
      <c r="AB782" s="27"/>
      <c r="AC782" s="89"/>
      <c r="AD782" s="481"/>
    </row>
    <row r="783" spans="3:30" ht="13.5">
      <c r="C783" s="1526" t="s">
        <v>4741</v>
      </c>
      <c r="D783" s="1523">
        <v>1</v>
      </c>
      <c r="E783" s="1523">
        <v>1</v>
      </c>
      <c r="F783" s="1524">
        <v>2</v>
      </c>
      <c r="G783" s="1537" t="s">
        <v>4741</v>
      </c>
      <c r="H783" s="1521">
        <v>1</v>
      </c>
      <c r="I783" s="1521">
        <v>1</v>
      </c>
      <c r="J783" s="1538">
        <v>2</v>
      </c>
      <c r="K783" s="1525"/>
      <c r="L783" s="1519">
        <v>13067030340</v>
      </c>
      <c r="M783" s="1520">
        <v>1</v>
      </c>
      <c r="N783" s="1520">
        <v>1</v>
      </c>
      <c r="O783" s="1520">
        <v>2</v>
      </c>
      <c r="P783" s="307"/>
      <c r="Q783" s="307"/>
      <c r="R783" s="307"/>
      <c r="S783" s="307"/>
      <c r="T783" s="380" t="s">
        <v>1477</v>
      </c>
      <c r="U783" s="380" t="s">
        <v>641</v>
      </c>
      <c r="AA783" s="27"/>
      <c r="AB783" s="27"/>
      <c r="AC783" s="89"/>
      <c r="AD783" s="481"/>
    </row>
    <row r="784" spans="3:30" ht="13.5">
      <c r="C784" s="1526" t="s">
        <v>4742</v>
      </c>
      <c r="D784" s="1523">
        <v>1</v>
      </c>
      <c r="E784" s="1523">
        <v>1</v>
      </c>
      <c r="F784" s="1524">
        <v>2</v>
      </c>
      <c r="G784" s="1537" t="s">
        <v>4742</v>
      </c>
      <c r="H784" s="1521">
        <v>1</v>
      </c>
      <c r="I784" s="1521">
        <v>1</v>
      </c>
      <c r="J784" s="1538">
        <v>2</v>
      </c>
      <c r="K784" s="1525"/>
      <c r="L784" s="1519">
        <v>13067030341</v>
      </c>
      <c r="M784" s="1520">
        <v>1</v>
      </c>
      <c r="N784" s="1520">
        <v>1</v>
      </c>
      <c r="O784" s="1520">
        <v>2</v>
      </c>
      <c r="P784" s="307"/>
      <c r="Q784" s="307"/>
      <c r="R784" s="307"/>
      <c r="S784" s="307"/>
      <c r="T784" s="380" t="s">
        <v>1040</v>
      </c>
      <c r="U784" s="380" t="s">
        <v>151</v>
      </c>
      <c r="AA784" s="27"/>
      <c r="AB784" s="27"/>
      <c r="AC784" s="89"/>
      <c r="AD784" s="481"/>
    </row>
    <row r="785" spans="3:30" ht="13.5">
      <c r="C785" s="1526" t="s">
        <v>4743</v>
      </c>
      <c r="D785" s="1523">
        <v>1</v>
      </c>
      <c r="E785" s="1523">
        <v>1</v>
      </c>
      <c r="F785" s="1524">
        <v>2</v>
      </c>
      <c r="G785" s="1537" t="s">
        <v>4743</v>
      </c>
      <c r="H785" s="1521">
        <v>1</v>
      </c>
      <c r="I785" s="1521">
        <v>1</v>
      </c>
      <c r="J785" s="1538">
        <v>2</v>
      </c>
      <c r="K785" s="1525"/>
      <c r="L785" s="1519">
        <v>13067030342</v>
      </c>
      <c r="M785" s="1520">
        <v>1</v>
      </c>
      <c r="N785" s="1520">
        <v>1</v>
      </c>
      <c r="O785" s="1520">
        <v>2</v>
      </c>
      <c r="P785" s="307"/>
      <c r="Q785" s="307"/>
      <c r="R785" s="307"/>
      <c r="S785" s="307"/>
      <c r="T785" s="380" t="s">
        <v>1478</v>
      </c>
      <c r="U785" s="380" t="s">
        <v>703</v>
      </c>
      <c r="AA785" s="27"/>
      <c r="AB785" s="27"/>
      <c r="AC785" s="89"/>
      <c r="AD785" s="481"/>
    </row>
    <row r="786" spans="3:30" ht="13.5">
      <c r="C786" s="1526" t="s">
        <v>4744</v>
      </c>
      <c r="D786" s="1523">
        <v>1</v>
      </c>
      <c r="E786" s="1523">
        <v>1</v>
      </c>
      <c r="F786" s="1524">
        <v>2</v>
      </c>
      <c r="G786" s="1537" t="s">
        <v>4744</v>
      </c>
      <c r="H786" s="1521">
        <v>1</v>
      </c>
      <c r="I786" s="1521">
        <v>1</v>
      </c>
      <c r="J786" s="1538">
        <v>2</v>
      </c>
      <c r="K786" s="1525"/>
      <c r="L786" s="1519">
        <v>13067030343</v>
      </c>
      <c r="M786" s="1520">
        <v>1</v>
      </c>
      <c r="N786" s="1520">
        <v>1</v>
      </c>
      <c r="O786" s="1520">
        <v>2</v>
      </c>
      <c r="P786" s="307"/>
      <c r="Q786" s="307"/>
      <c r="R786" s="307"/>
      <c r="S786" s="307"/>
      <c r="T786" s="380" t="s">
        <v>1479</v>
      </c>
      <c r="U786" s="380" t="s">
        <v>1697</v>
      </c>
      <c r="AA786" s="27"/>
      <c r="AB786" s="27"/>
      <c r="AC786" s="89"/>
      <c r="AD786" s="481"/>
    </row>
    <row r="787" spans="3:30" ht="13.5">
      <c r="C787" s="1526" t="s">
        <v>4745</v>
      </c>
      <c r="D787" s="1523">
        <v>1</v>
      </c>
      <c r="E787" s="1523">
        <v>1</v>
      </c>
      <c r="F787" s="1524">
        <v>2</v>
      </c>
      <c r="G787" s="1537" t="s">
        <v>4745</v>
      </c>
      <c r="H787" s="1521">
        <v>1</v>
      </c>
      <c r="I787" s="1521">
        <v>0</v>
      </c>
      <c r="J787" s="1538">
        <v>1</v>
      </c>
      <c r="K787" s="1525"/>
      <c r="L787" s="1519">
        <v>13067030344</v>
      </c>
      <c r="M787" s="1520">
        <v>1</v>
      </c>
      <c r="N787" s="1520">
        <v>1</v>
      </c>
      <c r="O787" s="1520">
        <v>2</v>
      </c>
      <c r="P787" s="307"/>
      <c r="Q787" s="307"/>
      <c r="R787" s="307"/>
      <c r="S787" s="307"/>
      <c r="T787" s="380" t="s">
        <v>1480</v>
      </c>
      <c r="U787" s="380" t="s">
        <v>1056</v>
      </c>
      <c r="AA787" s="27"/>
      <c r="AB787" s="27"/>
      <c r="AC787" s="89"/>
      <c r="AD787" s="481"/>
    </row>
    <row r="788" spans="3:30" ht="13.5">
      <c r="C788" s="1526" t="s">
        <v>4746</v>
      </c>
      <c r="D788" s="1523">
        <v>1</v>
      </c>
      <c r="E788" s="1523">
        <v>1</v>
      </c>
      <c r="F788" s="1524">
        <v>2</v>
      </c>
      <c r="G788" s="1537" t="s">
        <v>4746</v>
      </c>
      <c r="H788" s="1521">
        <v>1</v>
      </c>
      <c r="I788" s="1521">
        <v>0</v>
      </c>
      <c r="J788" s="1538">
        <v>1</v>
      </c>
      <c r="K788" s="1525"/>
      <c r="L788" s="1519">
        <v>13067030345</v>
      </c>
      <c r="M788" s="1520">
        <v>1</v>
      </c>
      <c r="N788" s="1520">
        <v>1</v>
      </c>
      <c r="O788" s="1520">
        <v>2</v>
      </c>
      <c r="P788" s="307"/>
      <c r="Q788" s="307"/>
      <c r="R788" s="307"/>
      <c r="S788" s="307"/>
      <c r="T788" s="380" t="s">
        <v>1041</v>
      </c>
      <c r="U788" s="380" t="s">
        <v>151</v>
      </c>
      <c r="AA788" s="27"/>
      <c r="AB788" s="27"/>
      <c r="AC788" s="89"/>
      <c r="AD788" s="481"/>
    </row>
    <row r="789" spans="3:30" ht="13.5">
      <c r="C789" s="1526" t="s">
        <v>4747</v>
      </c>
      <c r="D789" s="1523">
        <v>1</v>
      </c>
      <c r="E789" s="1523">
        <v>0</v>
      </c>
      <c r="F789" s="1524">
        <v>1</v>
      </c>
      <c r="G789" s="1537" t="s">
        <v>4747</v>
      </c>
      <c r="H789" s="1521">
        <v>1</v>
      </c>
      <c r="I789" s="1521">
        <v>0</v>
      </c>
      <c r="J789" s="1538">
        <v>1</v>
      </c>
      <c r="K789" s="1525"/>
      <c r="L789" s="1519">
        <v>13067030405</v>
      </c>
      <c r="M789" s="1520">
        <v>1</v>
      </c>
      <c r="N789" s="1520">
        <v>0</v>
      </c>
      <c r="O789" s="1520">
        <v>1</v>
      </c>
      <c r="P789" s="307"/>
      <c r="Q789" s="307"/>
      <c r="R789" s="307"/>
      <c r="S789" s="307"/>
      <c r="T789" s="380" t="s">
        <v>1481</v>
      </c>
      <c r="U789" s="380" t="s">
        <v>1264</v>
      </c>
      <c r="AA789" s="27"/>
      <c r="AB789" s="27"/>
      <c r="AC789" s="89"/>
      <c r="AD789" s="481"/>
    </row>
    <row r="790" spans="3:30" ht="13.5">
      <c r="C790" s="1526" t="s">
        <v>4748</v>
      </c>
      <c r="D790" s="1523">
        <v>1</v>
      </c>
      <c r="E790" s="1523">
        <v>1</v>
      </c>
      <c r="F790" s="1524">
        <v>2</v>
      </c>
      <c r="G790" s="1537" t="s">
        <v>4748</v>
      </c>
      <c r="H790" s="1521">
        <v>1</v>
      </c>
      <c r="I790" s="1521">
        <v>1</v>
      </c>
      <c r="J790" s="1538">
        <v>2</v>
      </c>
      <c r="K790" s="1525"/>
      <c r="L790" s="1519">
        <v>13067030407</v>
      </c>
      <c r="M790" s="1520">
        <v>1</v>
      </c>
      <c r="N790" s="1520">
        <v>1</v>
      </c>
      <c r="O790" s="1520">
        <v>2</v>
      </c>
      <c r="P790" s="307"/>
      <c r="Q790" s="307"/>
      <c r="R790" s="307"/>
      <c r="S790" s="307"/>
      <c r="T790" s="380" t="s">
        <v>1482</v>
      </c>
      <c r="U790" s="380" t="s">
        <v>157</v>
      </c>
      <c r="AA790" s="27"/>
      <c r="AB790" s="27"/>
      <c r="AC790" s="89"/>
      <c r="AD790" s="481"/>
    </row>
    <row r="791" spans="3:30" ht="13.5">
      <c r="C791" s="1526" t="s">
        <v>4749</v>
      </c>
      <c r="D791" s="1523">
        <v>1</v>
      </c>
      <c r="E791" s="1523">
        <v>1</v>
      </c>
      <c r="F791" s="1524">
        <v>2</v>
      </c>
      <c r="G791" s="1537" t="s">
        <v>4749</v>
      </c>
      <c r="H791" s="1521">
        <v>1</v>
      </c>
      <c r="I791" s="1521">
        <v>1</v>
      </c>
      <c r="J791" s="1538">
        <v>2</v>
      </c>
      <c r="K791" s="1525"/>
      <c r="L791" s="1519">
        <v>13067030408</v>
      </c>
      <c r="M791" s="1520">
        <v>1</v>
      </c>
      <c r="N791" s="1520">
        <v>1</v>
      </c>
      <c r="O791" s="1520">
        <v>2</v>
      </c>
      <c r="P791" s="307"/>
      <c r="Q791" s="307"/>
      <c r="R791" s="307"/>
      <c r="S791" s="307"/>
      <c r="T791" s="380" t="s">
        <v>1483</v>
      </c>
      <c r="U791" s="380" t="s">
        <v>1285</v>
      </c>
      <c r="AA791" s="27"/>
      <c r="AB791" s="27"/>
      <c r="AC791" s="89"/>
      <c r="AD791" s="481"/>
    </row>
    <row r="792" spans="3:30" ht="13.5">
      <c r="C792" s="1526" t="s">
        <v>4750</v>
      </c>
      <c r="D792" s="1523">
        <v>1</v>
      </c>
      <c r="E792" s="1523">
        <v>1</v>
      </c>
      <c r="F792" s="1524">
        <v>2</v>
      </c>
      <c r="G792" s="1537" t="s">
        <v>4750</v>
      </c>
      <c r="H792" s="1521">
        <v>1</v>
      </c>
      <c r="I792" s="1521">
        <v>1</v>
      </c>
      <c r="J792" s="1538">
        <v>2</v>
      </c>
      <c r="K792" s="1525"/>
      <c r="L792" s="1519">
        <v>13067030409</v>
      </c>
      <c r="M792" s="1520">
        <v>1</v>
      </c>
      <c r="N792" s="1520">
        <v>1</v>
      </c>
      <c r="O792" s="1520">
        <v>2</v>
      </c>
      <c r="P792" s="307"/>
      <c r="Q792" s="307"/>
      <c r="R792" s="307"/>
      <c r="S792" s="307"/>
      <c r="T792" s="380" t="s">
        <v>1484</v>
      </c>
      <c r="U792" s="380" t="s">
        <v>1789</v>
      </c>
      <c r="AA792" s="27"/>
      <c r="AB792" s="27"/>
      <c r="AC792" s="89"/>
      <c r="AD792" s="481"/>
    </row>
    <row r="793" spans="3:30" ht="13.5">
      <c r="C793" s="1526" t="s">
        <v>4751</v>
      </c>
      <c r="D793" s="1523">
        <v>1</v>
      </c>
      <c r="E793" s="1523">
        <v>1</v>
      </c>
      <c r="F793" s="1524">
        <v>2</v>
      </c>
      <c r="G793" s="1537" t="s">
        <v>4751</v>
      </c>
      <c r="H793" s="1521">
        <v>1</v>
      </c>
      <c r="I793" s="1521">
        <v>1</v>
      </c>
      <c r="J793" s="1538">
        <v>2</v>
      </c>
      <c r="K793" s="1525"/>
      <c r="L793" s="1519">
        <v>13067030410</v>
      </c>
      <c r="M793" s="1520">
        <v>1</v>
      </c>
      <c r="N793" s="1520">
        <v>1</v>
      </c>
      <c r="O793" s="1520">
        <v>2</v>
      </c>
      <c r="P793" s="307"/>
      <c r="Q793" s="307"/>
      <c r="R793" s="307"/>
      <c r="S793" s="307"/>
      <c r="T793" s="380" t="s">
        <v>1485</v>
      </c>
      <c r="U793" s="380" t="s">
        <v>2083</v>
      </c>
      <c r="AA793" s="27"/>
      <c r="AB793" s="27"/>
      <c r="AC793" s="89"/>
      <c r="AD793" s="481"/>
    </row>
    <row r="794" spans="3:30" ht="13.5">
      <c r="C794" s="1526" t="s">
        <v>4752</v>
      </c>
      <c r="D794" s="1523">
        <v>0</v>
      </c>
      <c r="E794" s="1523">
        <v>0</v>
      </c>
      <c r="F794" s="1524">
        <v>0</v>
      </c>
      <c r="G794" s="1537" t="s">
        <v>4752</v>
      </c>
      <c r="H794" s="1521">
        <v>0</v>
      </c>
      <c r="I794" s="1521" t="s">
        <v>4096</v>
      </c>
      <c r="J794" s="1538">
        <v>0</v>
      </c>
      <c r="K794" s="1525"/>
      <c r="L794" s="1519">
        <v>13067030411</v>
      </c>
      <c r="M794" s="1520">
        <v>0</v>
      </c>
      <c r="N794" s="1520">
        <v>0</v>
      </c>
      <c r="O794" s="1520">
        <v>0</v>
      </c>
      <c r="P794" s="307"/>
      <c r="Q794" s="307"/>
      <c r="R794" s="307"/>
      <c r="S794" s="307"/>
      <c r="T794" s="380" t="s">
        <v>1486</v>
      </c>
      <c r="U794" s="380" t="s">
        <v>156</v>
      </c>
      <c r="AA794" s="27"/>
      <c r="AB794" s="27"/>
      <c r="AC794" s="89"/>
      <c r="AD794" s="481"/>
    </row>
    <row r="795" spans="3:30" ht="13.5">
      <c r="C795" s="1526" t="s">
        <v>4753</v>
      </c>
      <c r="D795" s="1523">
        <v>0</v>
      </c>
      <c r="E795" s="1523">
        <v>0</v>
      </c>
      <c r="F795" s="1524">
        <v>0</v>
      </c>
      <c r="G795" s="1537" t="s">
        <v>4753</v>
      </c>
      <c r="H795" s="1521">
        <v>0</v>
      </c>
      <c r="I795" s="1521">
        <v>0</v>
      </c>
      <c r="J795" s="1538">
        <v>0</v>
      </c>
      <c r="K795" s="1525"/>
      <c r="L795" s="1519">
        <v>13067030412</v>
      </c>
      <c r="M795" s="1520">
        <v>0</v>
      </c>
      <c r="N795" s="1520">
        <v>0</v>
      </c>
      <c r="O795" s="1520">
        <v>0</v>
      </c>
      <c r="P795" s="307"/>
      <c r="Q795" s="307"/>
      <c r="R795" s="307"/>
      <c r="S795" s="307"/>
      <c r="T795" s="380" t="s">
        <v>2274</v>
      </c>
      <c r="U795" s="380" t="s">
        <v>641</v>
      </c>
      <c r="AA795" s="27"/>
      <c r="AB795" s="27"/>
      <c r="AC795" s="89"/>
      <c r="AD795" s="481"/>
    </row>
    <row r="796" spans="3:30" ht="13.5">
      <c r="C796" s="1526" t="s">
        <v>4754</v>
      </c>
      <c r="D796" s="1523">
        <v>0</v>
      </c>
      <c r="E796" s="1523">
        <v>0</v>
      </c>
      <c r="F796" s="1524">
        <v>0</v>
      </c>
      <c r="G796" s="1537" t="s">
        <v>4754</v>
      </c>
      <c r="H796" s="1521">
        <v>1</v>
      </c>
      <c r="I796" s="1521" t="s">
        <v>4096</v>
      </c>
      <c r="J796" s="1538">
        <v>1</v>
      </c>
      <c r="K796" s="1525"/>
      <c r="L796" s="1519">
        <v>13067030413</v>
      </c>
      <c r="M796" s="1520">
        <v>1</v>
      </c>
      <c r="N796" s="1520">
        <v>0</v>
      </c>
      <c r="O796" s="1520">
        <v>1</v>
      </c>
      <c r="P796" s="307"/>
      <c r="Q796" s="307"/>
      <c r="R796" s="307"/>
      <c r="S796" s="307"/>
      <c r="T796" s="380" t="s">
        <v>2275</v>
      </c>
      <c r="U796" s="380" t="s">
        <v>627</v>
      </c>
      <c r="AA796" s="27"/>
      <c r="AB796" s="27"/>
      <c r="AC796" s="89"/>
      <c r="AD796" s="481"/>
    </row>
    <row r="797" spans="3:30" ht="13.5">
      <c r="C797" s="1526" t="s">
        <v>4755</v>
      </c>
      <c r="D797" s="1523">
        <v>0</v>
      </c>
      <c r="E797" s="1523">
        <v>0</v>
      </c>
      <c r="F797" s="1524">
        <v>0</v>
      </c>
      <c r="G797" s="1537" t="s">
        <v>4755</v>
      </c>
      <c r="H797" s="1521">
        <v>0</v>
      </c>
      <c r="I797" s="1521" t="s">
        <v>4096</v>
      </c>
      <c r="J797" s="1538">
        <v>0</v>
      </c>
      <c r="K797" s="1525"/>
      <c r="L797" s="1519">
        <v>13067030414</v>
      </c>
      <c r="M797" s="1520">
        <v>0</v>
      </c>
      <c r="N797" s="1520">
        <v>0</v>
      </c>
      <c r="O797" s="1520">
        <v>0</v>
      </c>
      <c r="P797" s="307"/>
      <c r="Q797" s="307"/>
      <c r="R797" s="307"/>
      <c r="S797" s="307"/>
      <c r="T797" s="380" t="s">
        <v>2276</v>
      </c>
      <c r="U797" s="380" t="s">
        <v>317</v>
      </c>
      <c r="AA797" s="27"/>
      <c r="AB797" s="27"/>
      <c r="AC797" s="89"/>
      <c r="AD797" s="481"/>
    </row>
    <row r="798" spans="3:30" ht="13.5">
      <c r="C798" s="1526" t="s">
        <v>4756</v>
      </c>
      <c r="D798" s="1523">
        <v>1</v>
      </c>
      <c r="E798" s="1523">
        <v>1</v>
      </c>
      <c r="F798" s="1524">
        <v>2</v>
      </c>
      <c r="G798" s="1537" t="s">
        <v>4756</v>
      </c>
      <c r="H798" s="1521">
        <v>1</v>
      </c>
      <c r="I798" s="1521">
        <v>1</v>
      </c>
      <c r="J798" s="1538">
        <v>2</v>
      </c>
      <c r="K798" s="1525"/>
      <c r="L798" s="1519">
        <v>13067030502</v>
      </c>
      <c r="M798" s="1520">
        <v>1</v>
      </c>
      <c r="N798" s="1520">
        <v>1</v>
      </c>
      <c r="O798" s="1520">
        <v>2</v>
      </c>
      <c r="P798" s="307"/>
      <c r="Q798" s="307"/>
      <c r="R798" s="307"/>
      <c r="S798" s="307"/>
      <c r="T798" s="380" t="s">
        <v>801</v>
      </c>
      <c r="U798" s="380" t="s">
        <v>321</v>
      </c>
      <c r="AA798" s="27"/>
      <c r="AB798" s="27"/>
      <c r="AC798" s="89"/>
      <c r="AD798" s="481"/>
    </row>
    <row r="799" spans="3:30" ht="13.5">
      <c r="C799" s="1526" t="s">
        <v>4757</v>
      </c>
      <c r="D799" s="1523">
        <v>1</v>
      </c>
      <c r="E799" s="1523">
        <v>0</v>
      </c>
      <c r="F799" s="1524">
        <v>1</v>
      </c>
      <c r="G799" s="1537" t="s">
        <v>4757</v>
      </c>
      <c r="H799" s="1521">
        <v>1</v>
      </c>
      <c r="I799" s="1521">
        <v>0</v>
      </c>
      <c r="J799" s="1538">
        <v>1</v>
      </c>
      <c r="K799" s="1525"/>
      <c r="L799" s="1519">
        <v>13067030504</v>
      </c>
      <c r="M799" s="1520">
        <v>1</v>
      </c>
      <c r="N799" s="1520">
        <v>0</v>
      </c>
      <c r="O799" s="1520">
        <v>1</v>
      </c>
      <c r="P799" s="307"/>
      <c r="Q799" s="307"/>
      <c r="R799" s="307"/>
      <c r="S799" s="307"/>
      <c r="T799" s="380" t="s">
        <v>802</v>
      </c>
      <c r="U799" s="380" t="s">
        <v>1914</v>
      </c>
      <c r="AA799" s="27"/>
      <c r="AB799" s="27"/>
      <c r="AC799" s="89"/>
      <c r="AD799" s="481"/>
    </row>
    <row r="800" spans="3:30" ht="13.5">
      <c r="C800" s="1526" t="s">
        <v>4758</v>
      </c>
      <c r="D800" s="1523">
        <v>1</v>
      </c>
      <c r="E800" s="1523">
        <v>0</v>
      </c>
      <c r="F800" s="1524">
        <v>1</v>
      </c>
      <c r="G800" s="1537" t="s">
        <v>4758</v>
      </c>
      <c r="H800" s="1521">
        <v>1</v>
      </c>
      <c r="I800" s="1521">
        <v>0</v>
      </c>
      <c r="J800" s="1538">
        <v>1</v>
      </c>
      <c r="K800" s="1525"/>
      <c r="L800" s="1519">
        <v>13067030505</v>
      </c>
      <c r="M800" s="1520">
        <v>1</v>
      </c>
      <c r="N800" s="1520">
        <v>0</v>
      </c>
      <c r="O800" s="1520">
        <v>1</v>
      </c>
      <c r="P800" s="307"/>
      <c r="Q800" s="307"/>
      <c r="R800" s="307"/>
      <c r="S800" s="307"/>
      <c r="T800" s="380" t="s">
        <v>2668</v>
      </c>
      <c r="U800" s="380" t="s">
        <v>107</v>
      </c>
      <c r="AA800" s="27"/>
      <c r="AB800" s="27"/>
      <c r="AC800" s="89"/>
      <c r="AD800" s="481"/>
    </row>
    <row r="801" spans="3:30" ht="13.5">
      <c r="C801" s="1526" t="s">
        <v>4759</v>
      </c>
      <c r="D801" s="1523">
        <v>1</v>
      </c>
      <c r="E801" s="1523">
        <v>1</v>
      </c>
      <c r="F801" s="1524">
        <v>2</v>
      </c>
      <c r="G801" s="1537" t="s">
        <v>4759</v>
      </c>
      <c r="H801" s="1521">
        <v>1</v>
      </c>
      <c r="I801" s="1521">
        <v>0</v>
      </c>
      <c r="J801" s="1538">
        <v>1</v>
      </c>
      <c r="K801" s="1525"/>
      <c r="L801" s="1519">
        <v>13067030506</v>
      </c>
      <c r="M801" s="1520">
        <v>1</v>
      </c>
      <c r="N801" s="1520">
        <v>1</v>
      </c>
      <c r="O801" s="1520">
        <v>2</v>
      </c>
      <c r="P801" s="307"/>
      <c r="Q801" s="307"/>
      <c r="R801" s="307"/>
      <c r="S801" s="307"/>
      <c r="T801" s="380" t="s">
        <v>803</v>
      </c>
      <c r="U801" s="380" t="s">
        <v>1821</v>
      </c>
      <c r="AA801" s="27"/>
      <c r="AB801" s="27"/>
      <c r="AC801" s="89"/>
      <c r="AD801" s="481"/>
    </row>
    <row r="802" spans="3:30" ht="13.5">
      <c r="C802" s="1526" t="s">
        <v>4760</v>
      </c>
      <c r="D802" s="1523">
        <v>1</v>
      </c>
      <c r="E802" s="1523">
        <v>1</v>
      </c>
      <c r="F802" s="1524">
        <v>2</v>
      </c>
      <c r="G802" s="1537" t="s">
        <v>4760</v>
      </c>
      <c r="H802" s="1521">
        <v>1</v>
      </c>
      <c r="I802" s="1521">
        <v>1</v>
      </c>
      <c r="J802" s="1538">
        <v>2</v>
      </c>
      <c r="K802" s="1525"/>
      <c r="L802" s="1519">
        <v>13067030507</v>
      </c>
      <c r="M802" s="1520">
        <v>1</v>
      </c>
      <c r="N802" s="1520">
        <v>1</v>
      </c>
      <c r="O802" s="1520">
        <v>2</v>
      </c>
      <c r="P802" s="307"/>
      <c r="Q802" s="307"/>
      <c r="R802" s="307"/>
      <c r="S802" s="307"/>
      <c r="T802" s="380" t="s">
        <v>804</v>
      </c>
      <c r="U802" s="380" t="s">
        <v>1056</v>
      </c>
      <c r="AA802" s="27"/>
      <c r="AB802" s="27"/>
      <c r="AC802" s="89"/>
      <c r="AD802" s="481"/>
    </row>
    <row r="803" spans="3:30" ht="13.5">
      <c r="C803" s="1526" t="s">
        <v>4761</v>
      </c>
      <c r="D803" s="1523">
        <v>1</v>
      </c>
      <c r="E803" s="1523">
        <v>1</v>
      </c>
      <c r="F803" s="1524">
        <v>2</v>
      </c>
      <c r="G803" s="1537" t="s">
        <v>4761</v>
      </c>
      <c r="H803" s="1521">
        <v>1</v>
      </c>
      <c r="I803" s="1521" t="s">
        <v>4096</v>
      </c>
      <c r="J803" s="1538">
        <v>1</v>
      </c>
      <c r="K803" s="1525"/>
      <c r="L803" s="1519">
        <v>13067030601</v>
      </c>
      <c r="M803" s="1520">
        <v>1</v>
      </c>
      <c r="N803" s="1520">
        <v>1</v>
      </c>
      <c r="O803" s="1520">
        <v>2</v>
      </c>
      <c r="P803" s="307"/>
      <c r="Q803" s="307"/>
      <c r="R803" s="307"/>
      <c r="S803" s="307"/>
      <c r="T803" s="380"/>
      <c r="U803" s="380"/>
      <c r="AA803" s="27"/>
      <c r="AB803" s="27"/>
      <c r="AC803" s="89"/>
      <c r="AD803" s="481"/>
    </row>
    <row r="804" spans="3:30" ht="13.5">
      <c r="C804" s="1526" t="s">
        <v>4762</v>
      </c>
      <c r="D804" s="1523">
        <v>1</v>
      </c>
      <c r="E804" s="1523">
        <v>1</v>
      </c>
      <c r="F804" s="1524">
        <v>2</v>
      </c>
      <c r="G804" s="1537" t="s">
        <v>4762</v>
      </c>
      <c r="H804" s="1521">
        <v>1</v>
      </c>
      <c r="I804" s="1521">
        <v>1</v>
      </c>
      <c r="J804" s="1538">
        <v>2</v>
      </c>
      <c r="K804" s="1525"/>
      <c r="L804" s="1519">
        <v>13067030602</v>
      </c>
      <c r="M804" s="1520">
        <v>1</v>
      </c>
      <c r="N804" s="1520">
        <v>1</v>
      </c>
      <c r="O804" s="1520">
        <v>2</v>
      </c>
      <c r="P804" s="307"/>
      <c r="Q804" s="307"/>
      <c r="R804" s="307"/>
      <c r="S804" s="307"/>
      <c r="T804" s="380"/>
      <c r="U804" s="380"/>
      <c r="AA804" s="27"/>
      <c r="AB804" s="27"/>
      <c r="AC804" s="89"/>
      <c r="AD804" s="481"/>
    </row>
    <row r="805" spans="3:30" ht="13.5">
      <c r="C805" s="1526" t="s">
        <v>4763</v>
      </c>
      <c r="D805" s="1523">
        <v>1</v>
      </c>
      <c r="E805" s="1523">
        <v>0</v>
      </c>
      <c r="F805" s="1524">
        <v>1</v>
      </c>
      <c r="G805" s="1537" t="s">
        <v>4763</v>
      </c>
      <c r="H805" s="1521">
        <v>1</v>
      </c>
      <c r="I805" s="1521">
        <v>0</v>
      </c>
      <c r="J805" s="1538">
        <v>0</v>
      </c>
      <c r="K805" s="1525"/>
      <c r="L805" s="1519">
        <v>13067030700</v>
      </c>
      <c r="M805" s="1520">
        <v>1</v>
      </c>
      <c r="N805" s="1520">
        <v>0</v>
      </c>
      <c r="O805" s="1520">
        <v>1</v>
      </c>
      <c r="P805" s="307"/>
      <c r="T805" s="380"/>
      <c r="U805" s="380"/>
      <c r="AA805" s="27"/>
      <c r="AB805" s="27"/>
      <c r="AC805" s="89"/>
      <c r="AD805" s="481"/>
    </row>
    <row r="806" spans="3:30" ht="13.5">
      <c r="C806" s="1526" t="s">
        <v>4764</v>
      </c>
      <c r="D806" s="1523">
        <v>0</v>
      </c>
      <c r="E806" s="1523">
        <v>0</v>
      </c>
      <c r="F806" s="1524">
        <v>0</v>
      </c>
      <c r="G806" s="1537" t="s">
        <v>4764</v>
      </c>
      <c r="H806" s="1521">
        <v>0</v>
      </c>
      <c r="I806" s="1521" t="s">
        <v>4096</v>
      </c>
      <c r="J806" s="1538">
        <v>0</v>
      </c>
      <c r="K806" s="1525"/>
      <c r="L806" s="1519">
        <v>13067030800</v>
      </c>
      <c r="M806" s="1520">
        <v>0</v>
      </c>
      <c r="N806" s="1520">
        <v>0</v>
      </c>
      <c r="O806" s="1520">
        <v>0</v>
      </c>
      <c r="T806" s="418"/>
      <c r="U806" s="418"/>
      <c r="AA806" s="27"/>
      <c r="AB806" s="27"/>
      <c r="AC806" s="481"/>
      <c r="AD806" s="481"/>
    </row>
    <row r="807" spans="3:30" ht="13.5">
      <c r="C807" s="1526" t="s">
        <v>4765</v>
      </c>
      <c r="D807" s="1523">
        <v>1</v>
      </c>
      <c r="E807" s="1523">
        <v>1</v>
      </c>
      <c r="F807" s="1524">
        <v>2</v>
      </c>
      <c r="G807" s="1537" t="s">
        <v>4765</v>
      </c>
      <c r="H807" s="1521">
        <v>1</v>
      </c>
      <c r="I807" s="1521">
        <v>1</v>
      </c>
      <c r="J807" s="1538">
        <v>2</v>
      </c>
      <c r="K807" s="1525"/>
      <c r="L807" s="1519">
        <v>13067030901</v>
      </c>
      <c r="M807" s="1520">
        <v>1</v>
      </c>
      <c r="N807" s="1520">
        <v>1</v>
      </c>
      <c r="O807" s="1520">
        <v>2</v>
      </c>
      <c r="T807" s="418"/>
      <c r="U807" s="418"/>
      <c r="AA807" s="27"/>
      <c r="AB807" s="27"/>
      <c r="AC807" s="481"/>
      <c r="AD807" s="481"/>
    </row>
    <row r="808" spans="3:30" ht="13.5">
      <c r="C808" s="1526" t="s">
        <v>4766</v>
      </c>
      <c r="D808" s="1523">
        <v>1</v>
      </c>
      <c r="E808" s="1523">
        <v>0</v>
      </c>
      <c r="F808" s="1524">
        <v>1</v>
      </c>
      <c r="G808" s="1537" t="s">
        <v>4766</v>
      </c>
      <c r="H808" s="1521">
        <v>1</v>
      </c>
      <c r="I808" s="1521">
        <v>0</v>
      </c>
      <c r="J808" s="1538">
        <v>1</v>
      </c>
      <c r="K808" s="1525"/>
      <c r="L808" s="1519">
        <v>13067030902</v>
      </c>
      <c r="M808" s="1520">
        <v>1</v>
      </c>
      <c r="N808" s="1520">
        <v>0</v>
      </c>
      <c r="O808" s="1520">
        <v>1</v>
      </c>
      <c r="T808" s="418"/>
      <c r="U808" s="418"/>
      <c r="AA808" s="27"/>
      <c r="AB808" s="27"/>
      <c r="AC808" s="481"/>
      <c r="AD808" s="481"/>
    </row>
    <row r="809" spans="3:30" ht="13.5">
      <c r="C809" s="1526" t="s">
        <v>4767</v>
      </c>
      <c r="D809" s="1523">
        <v>0</v>
      </c>
      <c r="E809" s="1523">
        <v>0</v>
      </c>
      <c r="F809" s="1524">
        <v>0</v>
      </c>
      <c r="G809" s="1537" t="s">
        <v>4767</v>
      </c>
      <c r="H809" s="1521">
        <v>0</v>
      </c>
      <c r="I809" s="1521">
        <v>0</v>
      </c>
      <c r="J809" s="1538">
        <v>0</v>
      </c>
      <c r="K809" s="1525"/>
      <c r="L809" s="1519">
        <v>13067030904</v>
      </c>
      <c r="M809" s="1520">
        <v>0</v>
      </c>
      <c r="N809" s="1520">
        <v>0</v>
      </c>
      <c r="O809" s="1520">
        <v>0</v>
      </c>
      <c r="T809" s="418"/>
      <c r="U809" s="418"/>
      <c r="AA809" s="27"/>
      <c r="AB809" s="27"/>
      <c r="AC809" s="481"/>
      <c r="AD809" s="481"/>
    </row>
    <row r="810" spans="3:30" ht="13.5">
      <c r="C810" s="1526" t="s">
        <v>4768</v>
      </c>
      <c r="D810" s="1523">
        <v>0</v>
      </c>
      <c r="E810" s="1523">
        <v>0</v>
      </c>
      <c r="F810" s="1524">
        <v>0</v>
      </c>
      <c r="G810" s="1537" t="s">
        <v>4768</v>
      </c>
      <c r="H810" s="1521">
        <v>0</v>
      </c>
      <c r="I810" s="1521">
        <v>0</v>
      </c>
      <c r="J810" s="1538">
        <v>0</v>
      </c>
      <c r="K810" s="1525"/>
      <c r="L810" s="1519">
        <v>13067030905</v>
      </c>
      <c r="M810" s="1520">
        <v>0</v>
      </c>
      <c r="N810" s="1520">
        <v>0</v>
      </c>
      <c r="O810" s="1520">
        <v>0</v>
      </c>
      <c r="AA810" s="27"/>
      <c r="AB810" s="27"/>
      <c r="AC810" s="481"/>
      <c r="AD810" s="481"/>
    </row>
    <row r="811" spans="3:30" ht="13.5">
      <c r="C811" s="1526" t="s">
        <v>4769</v>
      </c>
      <c r="D811" s="1523">
        <v>0</v>
      </c>
      <c r="E811" s="1523">
        <v>0</v>
      </c>
      <c r="F811" s="1524">
        <v>0</v>
      </c>
      <c r="G811" s="1537" t="s">
        <v>4769</v>
      </c>
      <c r="H811" s="1521">
        <v>0</v>
      </c>
      <c r="I811" s="1521">
        <v>0</v>
      </c>
      <c r="J811" s="1538">
        <v>0</v>
      </c>
      <c r="K811" s="1525"/>
      <c r="L811" s="1519">
        <v>13067031001</v>
      </c>
      <c r="M811" s="1520">
        <v>0</v>
      </c>
      <c r="N811" s="1520">
        <v>0</v>
      </c>
      <c r="O811" s="1520">
        <v>0</v>
      </c>
      <c r="AA811" s="27"/>
      <c r="AB811" s="27"/>
      <c r="AC811" s="481"/>
      <c r="AD811" s="481"/>
    </row>
    <row r="812" spans="3:30" ht="13.5">
      <c r="C812" s="1526" t="s">
        <v>4770</v>
      </c>
      <c r="D812" s="1523">
        <v>0</v>
      </c>
      <c r="E812" s="1523">
        <v>0</v>
      </c>
      <c r="F812" s="1524">
        <v>0</v>
      </c>
      <c r="G812" s="1537" t="s">
        <v>4770</v>
      </c>
      <c r="H812" s="1521">
        <v>0</v>
      </c>
      <c r="I812" s="1521">
        <v>0</v>
      </c>
      <c r="J812" s="1538">
        <v>0</v>
      </c>
      <c r="K812" s="1525"/>
      <c r="L812" s="1519">
        <v>13067031002</v>
      </c>
      <c r="M812" s="1520">
        <v>0</v>
      </c>
      <c r="N812" s="1520">
        <v>0</v>
      </c>
      <c r="O812" s="1520">
        <v>0</v>
      </c>
      <c r="AA812" s="27"/>
      <c r="AB812" s="27"/>
      <c r="AC812" s="481"/>
      <c r="AD812" s="481"/>
    </row>
    <row r="813" spans="3:30" ht="13.5">
      <c r="C813" s="1526" t="s">
        <v>4771</v>
      </c>
      <c r="D813" s="1523">
        <v>0</v>
      </c>
      <c r="E813" s="1523">
        <v>0</v>
      </c>
      <c r="F813" s="1524">
        <v>0</v>
      </c>
      <c r="G813" s="1537" t="s">
        <v>4771</v>
      </c>
      <c r="H813" s="1521">
        <v>0</v>
      </c>
      <c r="I813" s="1521">
        <v>0</v>
      </c>
      <c r="J813" s="1538">
        <v>0</v>
      </c>
      <c r="K813" s="1525"/>
      <c r="L813" s="1519">
        <v>13067031004</v>
      </c>
      <c r="M813" s="1520">
        <v>0</v>
      </c>
      <c r="N813" s="1520">
        <v>0</v>
      </c>
      <c r="O813" s="1520">
        <v>0</v>
      </c>
      <c r="AA813" s="27"/>
      <c r="AB813" s="27"/>
      <c r="AC813" s="481"/>
      <c r="AD813" s="481"/>
    </row>
    <row r="814" spans="3:30" ht="13.5">
      <c r="C814" s="1526" t="s">
        <v>4772</v>
      </c>
      <c r="D814" s="1523">
        <v>0</v>
      </c>
      <c r="E814" s="1523">
        <v>0</v>
      </c>
      <c r="F814" s="1524">
        <v>0</v>
      </c>
      <c r="G814" s="1537" t="s">
        <v>4772</v>
      </c>
      <c r="H814" s="1521">
        <v>0</v>
      </c>
      <c r="I814" s="1521">
        <v>0</v>
      </c>
      <c r="J814" s="1538">
        <v>0</v>
      </c>
      <c r="K814" s="1525"/>
      <c r="L814" s="1519">
        <v>13067031005</v>
      </c>
      <c r="M814" s="1520">
        <v>0</v>
      </c>
      <c r="N814" s="1520">
        <v>0</v>
      </c>
      <c r="O814" s="1520">
        <v>0</v>
      </c>
      <c r="AA814" s="27"/>
      <c r="AB814" s="27"/>
      <c r="AC814" s="481"/>
      <c r="AD814" s="481"/>
    </row>
    <row r="815" spans="3:30" ht="13.5">
      <c r="C815" s="1526" t="s">
        <v>4773</v>
      </c>
      <c r="D815" s="1523">
        <v>0</v>
      </c>
      <c r="E815" s="1523">
        <v>0</v>
      </c>
      <c r="F815" s="1524">
        <v>0</v>
      </c>
      <c r="G815" s="1537" t="s">
        <v>4773</v>
      </c>
      <c r="H815" s="1521">
        <v>0</v>
      </c>
      <c r="I815" s="1521">
        <v>0</v>
      </c>
      <c r="J815" s="1538">
        <v>0</v>
      </c>
      <c r="K815" s="1525"/>
      <c r="L815" s="1519">
        <v>13067031101</v>
      </c>
      <c r="M815" s="1520">
        <v>0</v>
      </c>
      <c r="N815" s="1520">
        <v>0</v>
      </c>
      <c r="O815" s="1520">
        <v>0</v>
      </c>
      <c r="AA815" s="27"/>
      <c r="AB815" s="27"/>
      <c r="AC815" s="481"/>
      <c r="AD815" s="481"/>
    </row>
    <row r="816" spans="3:30" ht="13.5">
      <c r="C816" s="1526" t="s">
        <v>4774</v>
      </c>
      <c r="D816" s="1523">
        <v>1</v>
      </c>
      <c r="E816" s="1523">
        <v>0</v>
      </c>
      <c r="F816" s="1524">
        <v>1</v>
      </c>
      <c r="G816" s="1537" t="s">
        <v>4774</v>
      </c>
      <c r="H816" s="1521">
        <v>1</v>
      </c>
      <c r="I816" s="1521">
        <v>1</v>
      </c>
      <c r="J816" s="1538">
        <v>2</v>
      </c>
      <c r="K816" s="1525"/>
      <c r="L816" s="1519">
        <v>13067031106</v>
      </c>
      <c r="M816" s="1520">
        <v>1</v>
      </c>
      <c r="N816" s="1520">
        <v>1</v>
      </c>
      <c r="O816" s="1520">
        <v>2</v>
      </c>
      <c r="AA816" s="27"/>
      <c r="AB816" s="27"/>
      <c r="AC816" s="481"/>
      <c r="AD816" s="481"/>
    </row>
    <row r="817" spans="3:30" ht="13.5">
      <c r="C817" s="1526" t="s">
        <v>4775</v>
      </c>
      <c r="D817" s="1523">
        <v>1</v>
      </c>
      <c r="E817" s="1523">
        <v>0</v>
      </c>
      <c r="F817" s="1524">
        <v>1</v>
      </c>
      <c r="G817" s="1537" t="s">
        <v>4775</v>
      </c>
      <c r="H817" s="1521">
        <v>1</v>
      </c>
      <c r="I817" s="1521">
        <v>1</v>
      </c>
      <c r="J817" s="1538">
        <v>2</v>
      </c>
      <c r="K817" s="1525"/>
      <c r="L817" s="1519">
        <v>13067031108</v>
      </c>
      <c r="M817" s="1520">
        <v>1</v>
      </c>
      <c r="N817" s="1520">
        <v>1</v>
      </c>
      <c r="O817" s="1520">
        <v>2</v>
      </c>
      <c r="AA817" s="27"/>
      <c r="AB817" s="27"/>
      <c r="AC817" s="481"/>
      <c r="AD817" s="481"/>
    </row>
    <row r="818" spans="3:30" ht="13.5">
      <c r="C818" s="1526" t="s">
        <v>4776</v>
      </c>
      <c r="D818" s="1523">
        <v>1</v>
      </c>
      <c r="E818" s="1523">
        <v>0</v>
      </c>
      <c r="F818" s="1524">
        <v>1</v>
      </c>
      <c r="G818" s="1537" t="s">
        <v>4776</v>
      </c>
      <c r="H818" s="1521">
        <v>1</v>
      </c>
      <c r="I818" s="1521">
        <v>0</v>
      </c>
      <c r="J818" s="1538">
        <v>1</v>
      </c>
      <c r="K818" s="1525"/>
      <c r="L818" s="1519">
        <v>13067031110</v>
      </c>
      <c r="M818" s="1520">
        <v>1</v>
      </c>
      <c r="N818" s="1520">
        <v>0</v>
      </c>
      <c r="O818" s="1520">
        <v>1</v>
      </c>
      <c r="AA818" s="27"/>
      <c r="AB818" s="27"/>
      <c r="AC818" s="481"/>
      <c r="AD818" s="481"/>
    </row>
    <row r="819" spans="3:30" ht="13.5">
      <c r="C819" s="1526" t="s">
        <v>4777</v>
      </c>
      <c r="D819" s="1523">
        <v>1</v>
      </c>
      <c r="E819" s="1523">
        <v>1</v>
      </c>
      <c r="F819" s="1524">
        <v>2</v>
      </c>
      <c r="G819" s="1537" t="s">
        <v>4777</v>
      </c>
      <c r="H819" s="1521">
        <v>1</v>
      </c>
      <c r="I819" s="1521">
        <v>1</v>
      </c>
      <c r="J819" s="1538">
        <v>2</v>
      </c>
      <c r="K819" s="1525"/>
      <c r="L819" s="1519">
        <v>13067031111</v>
      </c>
      <c r="M819" s="1520">
        <v>1</v>
      </c>
      <c r="N819" s="1520">
        <v>1</v>
      </c>
      <c r="O819" s="1520">
        <v>2</v>
      </c>
      <c r="AA819" s="27"/>
      <c r="AB819" s="27"/>
      <c r="AC819" s="481"/>
      <c r="AD819" s="481"/>
    </row>
    <row r="820" spans="3:30" ht="13.5">
      <c r="C820" s="1526" t="s">
        <v>4778</v>
      </c>
      <c r="D820" s="1523">
        <v>1</v>
      </c>
      <c r="E820" s="1523">
        <v>1</v>
      </c>
      <c r="F820" s="1524">
        <v>2</v>
      </c>
      <c r="G820" s="1537" t="s">
        <v>4778</v>
      </c>
      <c r="H820" s="1521">
        <v>1</v>
      </c>
      <c r="I820" s="1521">
        <v>1</v>
      </c>
      <c r="J820" s="1538">
        <v>2</v>
      </c>
      <c r="K820" s="1525"/>
      <c r="L820" s="1519">
        <v>13067031112</v>
      </c>
      <c r="M820" s="1520">
        <v>1</v>
      </c>
      <c r="N820" s="1520">
        <v>1</v>
      </c>
      <c r="O820" s="1520">
        <v>2</v>
      </c>
      <c r="AA820" s="27"/>
      <c r="AB820" s="27"/>
      <c r="AC820" s="481"/>
      <c r="AD820" s="481"/>
    </row>
    <row r="821" spans="3:30" ht="13.5">
      <c r="C821" s="1526" t="s">
        <v>4779</v>
      </c>
      <c r="D821" s="1523">
        <v>0</v>
      </c>
      <c r="E821" s="1523">
        <v>0</v>
      </c>
      <c r="F821" s="1524">
        <v>0</v>
      </c>
      <c r="G821" s="1537" t="s">
        <v>4779</v>
      </c>
      <c r="H821" s="1521">
        <v>1</v>
      </c>
      <c r="I821" s="1521" t="s">
        <v>4096</v>
      </c>
      <c r="J821" s="1538">
        <v>1</v>
      </c>
      <c r="K821" s="1525"/>
      <c r="L821" s="1519">
        <v>13067031113</v>
      </c>
      <c r="M821" s="1520">
        <v>1</v>
      </c>
      <c r="N821" s="1520">
        <v>0</v>
      </c>
      <c r="O821" s="1520">
        <v>1</v>
      </c>
      <c r="AA821" s="27"/>
      <c r="AB821" s="27"/>
      <c r="AC821" s="481"/>
      <c r="AD821" s="481"/>
    </row>
    <row r="822" spans="3:30" ht="13.5">
      <c r="C822" s="1526" t="s">
        <v>4780</v>
      </c>
      <c r="D822" s="1523">
        <v>0</v>
      </c>
      <c r="E822" s="1523">
        <v>0</v>
      </c>
      <c r="F822" s="1524">
        <v>0</v>
      </c>
      <c r="G822" s="1537" t="s">
        <v>4780</v>
      </c>
      <c r="H822" s="1521">
        <v>1</v>
      </c>
      <c r="I822" s="1521">
        <v>0</v>
      </c>
      <c r="J822" s="1538">
        <v>1</v>
      </c>
      <c r="K822" s="1525"/>
      <c r="L822" s="1519">
        <v>13067031114</v>
      </c>
      <c r="M822" s="1520">
        <v>1</v>
      </c>
      <c r="N822" s="1520">
        <v>0</v>
      </c>
      <c r="O822" s="1520">
        <v>1</v>
      </c>
      <c r="AA822" s="27"/>
      <c r="AB822" s="27"/>
      <c r="AC822" s="481"/>
      <c r="AD822" s="481"/>
    </row>
    <row r="823" spans="3:30" ht="13.5">
      <c r="C823" s="1526" t="s">
        <v>4781</v>
      </c>
      <c r="D823" s="1523">
        <v>1</v>
      </c>
      <c r="E823" s="1523">
        <v>0</v>
      </c>
      <c r="F823" s="1524">
        <v>1</v>
      </c>
      <c r="G823" s="1537" t="s">
        <v>4781</v>
      </c>
      <c r="H823" s="1521">
        <v>1</v>
      </c>
      <c r="I823" s="1521">
        <v>0</v>
      </c>
      <c r="J823" s="1538">
        <v>1</v>
      </c>
      <c r="K823" s="1525"/>
      <c r="L823" s="1519">
        <v>13067031115</v>
      </c>
      <c r="M823" s="1520">
        <v>1</v>
      </c>
      <c r="N823" s="1520">
        <v>0</v>
      </c>
      <c r="O823" s="1520">
        <v>1</v>
      </c>
      <c r="AA823" s="27"/>
      <c r="AB823" s="27"/>
      <c r="AC823" s="481"/>
      <c r="AD823" s="481"/>
    </row>
    <row r="824" spans="3:30" ht="13.5">
      <c r="C824" s="1526" t="s">
        <v>4782</v>
      </c>
      <c r="D824" s="1523">
        <v>0</v>
      </c>
      <c r="E824" s="1523">
        <v>0</v>
      </c>
      <c r="F824" s="1524">
        <v>0</v>
      </c>
      <c r="G824" s="1537" t="s">
        <v>4782</v>
      </c>
      <c r="H824" s="1521">
        <v>0</v>
      </c>
      <c r="I824" s="1521" t="s">
        <v>4096</v>
      </c>
      <c r="J824" s="1538">
        <v>0</v>
      </c>
      <c r="K824" s="1525"/>
      <c r="L824" s="1519">
        <v>13067031116</v>
      </c>
      <c r="M824" s="1520">
        <v>0</v>
      </c>
      <c r="N824" s="1520">
        <v>0</v>
      </c>
      <c r="O824" s="1520">
        <v>0</v>
      </c>
      <c r="AA824" s="27"/>
      <c r="AB824" s="27"/>
      <c r="AC824" s="481"/>
      <c r="AD824" s="481"/>
    </row>
    <row r="825" spans="3:30" ht="13.5">
      <c r="C825" s="1526" t="s">
        <v>4783</v>
      </c>
      <c r="D825" s="1523">
        <v>1</v>
      </c>
      <c r="E825" s="1523">
        <v>1</v>
      </c>
      <c r="F825" s="1524">
        <v>2</v>
      </c>
      <c r="G825" s="1537" t="s">
        <v>4783</v>
      </c>
      <c r="H825" s="1521">
        <v>1</v>
      </c>
      <c r="I825" s="1521">
        <v>1</v>
      </c>
      <c r="J825" s="1538">
        <v>2</v>
      </c>
      <c r="K825" s="1525"/>
      <c r="L825" s="1519">
        <v>13067031117</v>
      </c>
      <c r="M825" s="1520">
        <v>1</v>
      </c>
      <c r="N825" s="1520">
        <v>1</v>
      </c>
      <c r="O825" s="1520">
        <v>2</v>
      </c>
      <c r="AA825" s="27"/>
      <c r="AB825" s="27"/>
      <c r="AC825" s="481"/>
      <c r="AD825" s="481"/>
    </row>
    <row r="826" spans="3:30" ht="13.5">
      <c r="C826" s="1526" t="s">
        <v>4784</v>
      </c>
      <c r="D826" s="1523">
        <v>1</v>
      </c>
      <c r="E826" s="1523">
        <v>1</v>
      </c>
      <c r="F826" s="1524">
        <v>2</v>
      </c>
      <c r="G826" s="1537" t="s">
        <v>4784</v>
      </c>
      <c r="H826" s="1521">
        <v>1</v>
      </c>
      <c r="I826" s="1521">
        <v>1</v>
      </c>
      <c r="J826" s="1538">
        <v>2</v>
      </c>
      <c r="K826" s="1525"/>
      <c r="L826" s="1519">
        <v>13067031118</v>
      </c>
      <c r="M826" s="1520">
        <v>1</v>
      </c>
      <c r="N826" s="1520">
        <v>1</v>
      </c>
      <c r="O826" s="1520">
        <v>2</v>
      </c>
      <c r="AA826" s="27"/>
      <c r="AB826" s="27"/>
      <c r="AC826" s="481"/>
      <c r="AD826" s="481"/>
    </row>
    <row r="827" spans="3:30" ht="13.5">
      <c r="C827" s="1526" t="s">
        <v>4785</v>
      </c>
      <c r="D827" s="1523">
        <v>1</v>
      </c>
      <c r="E827" s="1523">
        <v>1</v>
      </c>
      <c r="F827" s="1524">
        <v>2</v>
      </c>
      <c r="G827" s="1537" t="s">
        <v>4785</v>
      </c>
      <c r="H827" s="1521">
        <v>1</v>
      </c>
      <c r="I827" s="1521">
        <v>1</v>
      </c>
      <c r="J827" s="1538">
        <v>2</v>
      </c>
      <c r="K827" s="1525"/>
      <c r="L827" s="1519">
        <v>13067031205</v>
      </c>
      <c r="M827" s="1520">
        <v>1</v>
      </c>
      <c r="N827" s="1520">
        <v>1</v>
      </c>
      <c r="O827" s="1520">
        <v>2</v>
      </c>
      <c r="AA827" s="27"/>
      <c r="AB827" s="27"/>
      <c r="AC827" s="481"/>
      <c r="AD827" s="481"/>
    </row>
    <row r="828" spans="3:30" ht="13.5">
      <c r="C828" s="1526" t="s">
        <v>4786</v>
      </c>
      <c r="D828" s="1523">
        <v>1</v>
      </c>
      <c r="E828" s="1523">
        <v>1</v>
      </c>
      <c r="F828" s="1524">
        <v>2</v>
      </c>
      <c r="G828" s="1537" t="s">
        <v>4786</v>
      </c>
      <c r="H828" s="1521">
        <v>1</v>
      </c>
      <c r="I828" s="1521">
        <v>1</v>
      </c>
      <c r="J828" s="1538">
        <v>2</v>
      </c>
      <c r="K828" s="1525"/>
      <c r="L828" s="1519">
        <v>13067031206</v>
      </c>
      <c r="M828" s="1520">
        <v>1</v>
      </c>
      <c r="N828" s="1520">
        <v>1</v>
      </c>
      <c r="O828" s="1520">
        <v>2</v>
      </c>
      <c r="AA828" s="27"/>
      <c r="AB828" s="27"/>
      <c r="AC828" s="481"/>
      <c r="AD828" s="481"/>
    </row>
    <row r="829" spans="3:30" ht="13.5">
      <c r="C829" s="1526" t="s">
        <v>4787</v>
      </c>
      <c r="D829" s="1523">
        <v>1</v>
      </c>
      <c r="E829" s="1523">
        <v>1</v>
      </c>
      <c r="F829" s="1524">
        <v>2</v>
      </c>
      <c r="G829" s="1537" t="s">
        <v>4787</v>
      </c>
      <c r="H829" s="1521">
        <v>1</v>
      </c>
      <c r="I829" s="1521" t="s">
        <v>4096</v>
      </c>
      <c r="J829" s="1538">
        <v>1</v>
      </c>
      <c r="K829" s="1525"/>
      <c r="L829" s="1519">
        <v>13067031207</v>
      </c>
      <c r="M829" s="1520">
        <v>1</v>
      </c>
      <c r="N829" s="1520">
        <v>1</v>
      </c>
      <c r="O829" s="1520">
        <v>2</v>
      </c>
      <c r="AA829" s="27"/>
      <c r="AB829" s="27"/>
      <c r="AC829" s="481"/>
      <c r="AD829" s="481"/>
    </row>
    <row r="830" spans="3:30" ht="13.5">
      <c r="C830" s="1526" t="s">
        <v>4788</v>
      </c>
      <c r="D830" s="1523">
        <v>1</v>
      </c>
      <c r="E830" s="1523">
        <v>1</v>
      </c>
      <c r="F830" s="1524">
        <v>2</v>
      </c>
      <c r="G830" s="1537" t="s">
        <v>4788</v>
      </c>
      <c r="H830" s="1521">
        <v>1</v>
      </c>
      <c r="I830" s="1521">
        <v>1</v>
      </c>
      <c r="J830" s="1538">
        <v>2</v>
      </c>
      <c r="K830" s="1525"/>
      <c r="L830" s="1519">
        <v>13067031208</v>
      </c>
      <c r="M830" s="1520">
        <v>1</v>
      </c>
      <c r="N830" s="1520">
        <v>1</v>
      </c>
      <c r="O830" s="1520">
        <v>2</v>
      </c>
      <c r="AA830" s="27"/>
      <c r="AB830" s="27"/>
      <c r="AC830" s="481"/>
      <c r="AD830" s="481"/>
    </row>
    <row r="831" spans="3:30" ht="13.5">
      <c r="C831" s="1526" t="s">
        <v>4789</v>
      </c>
      <c r="D831" s="1523">
        <v>1</v>
      </c>
      <c r="E831" s="1523">
        <v>1</v>
      </c>
      <c r="F831" s="1524">
        <v>2</v>
      </c>
      <c r="G831" s="1537" t="s">
        <v>4789</v>
      </c>
      <c r="H831" s="1521">
        <v>1</v>
      </c>
      <c r="I831" s="1521">
        <v>1</v>
      </c>
      <c r="J831" s="1538">
        <v>2</v>
      </c>
      <c r="K831" s="1525"/>
      <c r="L831" s="1519">
        <v>13067031209</v>
      </c>
      <c r="M831" s="1520">
        <v>1</v>
      </c>
      <c r="N831" s="1520">
        <v>1</v>
      </c>
      <c r="O831" s="1520">
        <v>2</v>
      </c>
      <c r="AA831" s="27"/>
      <c r="AB831" s="27"/>
      <c r="AC831" s="481"/>
      <c r="AD831" s="481"/>
    </row>
    <row r="832" spans="3:30" ht="13.5">
      <c r="C832" s="1526" t="s">
        <v>4790</v>
      </c>
      <c r="D832" s="1523">
        <v>1</v>
      </c>
      <c r="E832" s="1523">
        <v>1</v>
      </c>
      <c r="F832" s="1524">
        <v>2</v>
      </c>
      <c r="G832" s="1537" t="s">
        <v>4790</v>
      </c>
      <c r="H832" s="1521">
        <v>1</v>
      </c>
      <c r="I832" s="1521">
        <v>1</v>
      </c>
      <c r="J832" s="1538">
        <v>2</v>
      </c>
      <c r="K832" s="1525"/>
      <c r="L832" s="1519">
        <v>13067031211</v>
      </c>
      <c r="M832" s="1520">
        <v>1</v>
      </c>
      <c r="N832" s="1520">
        <v>1</v>
      </c>
      <c r="O832" s="1520">
        <v>2</v>
      </c>
      <c r="AA832" s="27"/>
      <c r="AB832" s="27"/>
      <c r="AC832" s="481"/>
      <c r="AD832" s="481"/>
    </row>
    <row r="833" spans="3:30" ht="13.5">
      <c r="C833" s="1526" t="s">
        <v>4791</v>
      </c>
      <c r="D833" s="1523">
        <v>1</v>
      </c>
      <c r="E833" s="1523">
        <v>1</v>
      </c>
      <c r="F833" s="1524">
        <v>2</v>
      </c>
      <c r="G833" s="1537" t="s">
        <v>4791</v>
      </c>
      <c r="H833" s="1521">
        <v>1</v>
      </c>
      <c r="I833" s="1521">
        <v>1</v>
      </c>
      <c r="J833" s="1538">
        <v>2</v>
      </c>
      <c r="K833" s="1525"/>
      <c r="L833" s="1519">
        <v>13067031212</v>
      </c>
      <c r="M833" s="1520">
        <v>1</v>
      </c>
      <c r="N833" s="1520">
        <v>1</v>
      </c>
      <c r="O833" s="1520">
        <v>2</v>
      </c>
      <c r="AA833" s="27"/>
      <c r="AB833" s="27"/>
      <c r="AC833" s="481"/>
      <c r="AD833" s="481"/>
    </row>
    <row r="834" spans="3:30" ht="13.5">
      <c r="C834" s="1526" t="s">
        <v>4792</v>
      </c>
      <c r="D834" s="1523">
        <v>1</v>
      </c>
      <c r="E834" s="1523">
        <v>0</v>
      </c>
      <c r="F834" s="1524">
        <v>1</v>
      </c>
      <c r="G834" s="1537" t="s">
        <v>4792</v>
      </c>
      <c r="H834" s="1521">
        <v>1</v>
      </c>
      <c r="I834" s="1521">
        <v>0</v>
      </c>
      <c r="J834" s="1538">
        <v>1</v>
      </c>
      <c r="K834" s="1525"/>
      <c r="L834" s="1519">
        <v>13067031306</v>
      </c>
      <c r="M834" s="1520">
        <v>1</v>
      </c>
      <c r="N834" s="1520">
        <v>0</v>
      </c>
      <c r="O834" s="1520">
        <v>1</v>
      </c>
      <c r="AA834" s="27"/>
      <c r="AB834" s="27"/>
      <c r="AC834" s="481"/>
      <c r="AD834" s="481"/>
    </row>
    <row r="835" spans="3:30" ht="13.5">
      <c r="C835" s="1526" t="s">
        <v>4793</v>
      </c>
      <c r="D835" s="1523">
        <v>1</v>
      </c>
      <c r="E835" s="1523">
        <v>1</v>
      </c>
      <c r="F835" s="1524">
        <v>2</v>
      </c>
      <c r="G835" s="1537" t="s">
        <v>4793</v>
      </c>
      <c r="H835" s="1521">
        <v>1</v>
      </c>
      <c r="I835" s="1521">
        <v>1</v>
      </c>
      <c r="J835" s="1538">
        <v>2</v>
      </c>
      <c r="K835" s="1525"/>
      <c r="L835" s="1519">
        <v>13067031307</v>
      </c>
      <c r="M835" s="1520">
        <v>1</v>
      </c>
      <c r="N835" s="1520">
        <v>1</v>
      </c>
      <c r="O835" s="1520">
        <v>2</v>
      </c>
      <c r="AA835" s="27"/>
      <c r="AB835" s="27"/>
      <c r="AC835" s="481"/>
      <c r="AD835" s="481"/>
    </row>
    <row r="836" spans="3:30" ht="13.5">
      <c r="C836" s="1526" t="s">
        <v>4794</v>
      </c>
      <c r="D836" s="1523">
        <v>0</v>
      </c>
      <c r="E836" s="1523">
        <v>0</v>
      </c>
      <c r="F836" s="1524">
        <v>0</v>
      </c>
      <c r="G836" s="1537" t="s">
        <v>4794</v>
      </c>
      <c r="H836" s="1521">
        <v>0</v>
      </c>
      <c r="I836" s="1521">
        <v>0</v>
      </c>
      <c r="J836" s="1538">
        <v>0</v>
      </c>
      <c r="K836" s="1525"/>
      <c r="L836" s="1519">
        <v>13067031308</v>
      </c>
      <c r="M836" s="1520">
        <v>0</v>
      </c>
      <c r="N836" s="1520">
        <v>0</v>
      </c>
      <c r="O836" s="1520">
        <v>0</v>
      </c>
      <c r="AA836" s="27"/>
      <c r="AB836" s="27"/>
      <c r="AC836" s="481"/>
      <c r="AD836" s="481"/>
    </row>
    <row r="837" spans="3:30" ht="13.5">
      <c r="C837" s="1526" t="s">
        <v>4795</v>
      </c>
      <c r="D837" s="1523">
        <v>0</v>
      </c>
      <c r="E837" s="1523">
        <v>0</v>
      </c>
      <c r="F837" s="1524">
        <v>0</v>
      </c>
      <c r="G837" s="1537" t="s">
        <v>4795</v>
      </c>
      <c r="H837" s="1521">
        <v>1</v>
      </c>
      <c r="I837" s="1521">
        <v>0</v>
      </c>
      <c r="J837" s="1538">
        <v>1</v>
      </c>
      <c r="K837" s="1525"/>
      <c r="L837" s="1519">
        <v>13067031309</v>
      </c>
      <c r="M837" s="1520">
        <v>1</v>
      </c>
      <c r="N837" s="1520">
        <v>0</v>
      </c>
      <c r="O837" s="1520">
        <v>1</v>
      </c>
      <c r="AA837" s="27"/>
      <c r="AB837" s="27"/>
      <c r="AC837" s="481"/>
      <c r="AD837" s="481"/>
    </row>
    <row r="838" spans="3:30" ht="13.5">
      <c r="C838" s="1526" t="s">
        <v>4796</v>
      </c>
      <c r="D838" s="1523">
        <v>0</v>
      </c>
      <c r="E838" s="1523">
        <v>0</v>
      </c>
      <c r="F838" s="1524">
        <v>0</v>
      </c>
      <c r="G838" s="1537" t="s">
        <v>4796</v>
      </c>
      <c r="H838" s="1521">
        <v>0</v>
      </c>
      <c r="I838" s="1521">
        <v>0</v>
      </c>
      <c r="J838" s="1538">
        <v>0</v>
      </c>
      <c r="K838" s="1525"/>
      <c r="L838" s="1519">
        <v>13067031310</v>
      </c>
      <c r="M838" s="1520">
        <v>0</v>
      </c>
      <c r="N838" s="1520">
        <v>0</v>
      </c>
      <c r="O838" s="1520">
        <v>0</v>
      </c>
      <c r="AA838" s="27"/>
      <c r="AC838" s="481"/>
    </row>
    <row r="839" spans="3:30" ht="13.5">
      <c r="C839" s="1526" t="s">
        <v>4797</v>
      </c>
      <c r="D839" s="1523">
        <v>0</v>
      </c>
      <c r="E839" s="1523">
        <v>0</v>
      </c>
      <c r="F839" s="1524">
        <v>0</v>
      </c>
      <c r="G839" s="1537" t="s">
        <v>4797</v>
      </c>
      <c r="H839" s="1521">
        <v>0</v>
      </c>
      <c r="I839" s="1521">
        <v>0</v>
      </c>
      <c r="J839" s="1538">
        <v>0</v>
      </c>
      <c r="K839" s="1525"/>
      <c r="L839" s="1519">
        <v>13067031311</v>
      </c>
      <c r="M839" s="1520">
        <v>0</v>
      </c>
      <c r="N839" s="1520">
        <v>0</v>
      </c>
      <c r="O839" s="1520">
        <v>0</v>
      </c>
      <c r="AA839" s="27"/>
      <c r="AC839" s="481"/>
    </row>
    <row r="840" spans="3:30" ht="13.5">
      <c r="C840" s="1526" t="s">
        <v>4798</v>
      </c>
      <c r="D840" s="1523">
        <v>1</v>
      </c>
      <c r="E840" s="1523">
        <v>1</v>
      </c>
      <c r="F840" s="1524">
        <v>2</v>
      </c>
      <c r="G840" s="1537" t="s">
        <v>4798</v>
      </c>
      <c r="H840" s="1521">
        <v>1</v>
      </c>
      <c r="I840" s="1521">
        <v>1</v>
      </c>
      <c r="J840" s="1538">
        <v>2</v>
      </c>
      <c r="K840" s="1525"/>
      <c r="L840" s="1519">
        <v>13067031312</v>
      </c>
      <c r="M840" s="1520">
        <v>1</v>
      </c>
      <c r="N840" s="1520">
        <v>1</v>
      </c>
      <c r="O840" s="1520">
        <v>2</v>
      </c>
      <c r="AA840" s="27"/>
      <c r="AC840" s="481"/>
    </row>
    <row r="841" spans="3:30" ht="13.5">
      <c r="C841" s="1526" t="s">
        <v>4799</v>
      </c>
      <c r="D841" s="1523">
        <v>1</v>
      </c>
      <c r="E841" s="1523">
        <v>1</v>
      </c>
      <c r="F841" s="1524">
        <v>2</v>
      </c>
      <c r="G841" s="1537" t="s">
        <v>4799</v>
      </c>
      <c r="H841" s="1521">
        <v>1</v>
      </c>
      <c r="I841" s="1521">
        <v>1</v>
      </c>
      <c r="J841" s="1538">
        <v>2</v>
      </c>
      <c r="K841" s="1525"/>
      <c r="L841" s="1519">
        <v>13067031313</v>
      </c>
      <c r="M841" s="1520">
        <v>1</v>
      </c>
      <c r="N841" s="1520">
        <v>1</v>
      </c>
      <c r="O841" s="1520">
        <v>2</v>
      </c>
      <c r="AA841" s="27"/>
      <c r="AC841" s="481"/>
    </row>
    <row r="842" spans="3:30" ht="13.5">
      <c r="C842" s="1526" t="s">
        <v>4800</v>
      </c>
      <c r="D842" s="1523">
        <v>1</v>
      </c>
      <c r="E842" s="1523">
        <v>1</v>
      </c>
      <c r="F842" s="1524">
        <v>2</v>
      </c>
      <c r="G842" s="1537" t="s">
        <v>4800</v>
      </c>
      <c r="H842" s="1521">
        <v>1</v>
      </c>
      <c r="I842" s="1521">
        <v>1</v>
      </c>
      <c r="J842" s="1538">
        <v>2</v>
      </c>
      <c r="K842" s="1525"/>
      <c r="L842" s="1519">
        <v>13067031404</v>
      </c>
      <c r="M842" s="1520">
        <v>1</v>
      </c>
      <c r="N842" s="1520">
        <v>1</v>
      </c>
      <c r="O842" s="1520">
        <v>2</v>
      </c>
      <c r="AA842" s="27"/>
      <c r="AC842" s="481"/>
    </row>
    <row r="843" spans="3:30" ht="13.5">
      <c r="C843" s="1526" t="s">
        <v>4801</v>
      </c>
      <c r="D843" s="1523">
        <v>0</v>
      </c>
      <c r="E843" s="1523">
        <v>1</v>
      </c>
      <c r="F843" s="1524">
        <v>1</v>
      </c>
      <c r="G843" s="1537" t="s">
        <v>4801</v>
      </c>
      <c r="H843" s="1521">
        <v>1</v>
      </c>
      <c r="I843" s="1521">
        <v>0</v>
      </c>
      <c r="J843" s="1538">
        <v>1</v>
      </c>
      <c r="K843" s="1525"/>
      <c r="L843" s="1519">
        <v>13067031405</v>
      </c>
      <c r="M843" s="1520">
        <v>1</v>
      </c>
      <c r="N843" s="1520">
        <v>1</v>
      </c>
      <c r="O843" s="1520">
        <v>1</v>
      </c>
      <c r="AA843" s="27"/>
      <c r="AC843" s="481"/>
    </row>
    <row r="844" spans="3:30" ht="13.5">
      <c r="C844" s="1526" t="s">
        <v>4802</v>
      </c>
      <c r="D844" s="1523">
        <v>0</v>
      </c>
      <c r="E844" s="1523">
        <v>0</v>
      </c>
      <c r="F844" s="1524">
        <v>0</v>
      </c>
      <c r="G844" s="1537" t="s">
        <v>4802</v>
      </c>
      <c r="H844" s="1521">
        <v>0</v>
      </c>
      <c r="I844" s="1521">
        <v>0</v>
      </c>
      <c r="J844" s="1538">
        <v>0</v>
      </c>
      <c r="K844" s="1525"/>
      <c r="L844" s="1519">
        <v>13067031406</v>
      </c>
      <c r="M844" s="1520">
        <v>0</v>
      </c>
      <c r="N844" s="1520">
        <v>0</v>
      </c>
      <c r="O844" s="1520">
        <v>0</v>
      </c>
      <c r="AA844" s="27"/>
      <c r="AC844" s="481"/>
    </row>
    <row r="845" spans="3:30" ht="13.5">
      <c r="C845" s="1526" t="s">
        <v>4803</v>
      </c>
      <c r="D845" s="1523">
        <v>0</v>
      </c>
      <c r="E845" s="1523">
        <v>0</v>
      </c>
      <c r="F845" s="1524">
        <v>0</v>
      </c>
      <c r="G845" s="1537" t="s">
        <v>4803</v>
      </c>
      <c r="H845" s="1521">
        <v>1</v>
      </c>
      <c r="I845" s="1521">
        <v>0</v>
      </c>
      <c r="J845" s="1538">
        <v>0</v>
      </c>
      <c r="K845" s="1525"/>
      <c r="L845" s="1519">
        <v>13067031408</v>
      </c>
      <c r="M845" s="1520">
        <v>1</v>
      </c>
      <c r="N845" s="1520">
        <v>0</v>
      </c>
      <c r="O845" s="1520">
        <v>0</v>
      </c>
      <c r="AA845" s="27"/>
      <c r="AC845" s="481"/>
    </row>
    <row r="846" spans="3:30" ht="13.5">
      <c r="C846" s="1526" t="s">
        <v>4804</v>
      </c>
      <c r="D846" s="1523">
        <v>0</v>
      </c>
      <c r="E846" s="1523">
        <v>0</v>
      </c>
      <c r="F846" s="1524">
        <v>0</v>
      </c>
      <c r="G846" s="1537" t="s">
        <v>4804</v>
      </c>
      <c r="H846" s="1521">
        <v>0</v>
      </c>
      <c r="I846" s="1521">
        <v>0</v>
      </c>
      <c r="J846" s="1538">
        <v>0</v>
      </c>
      <c r="K846" s="1525"/>
      <c r="L846" s="1519">
        <v>13067031409</v>
      </c>
      <c r="M846" s="1520">
        <v>0</v>
      </c>
      <c r="N846" s="1520">
        <v>0</v>
      </c>
      <c r="O846" s="1520">
        <v>0</v>
      </c>
      <c r="AA846" s="27"/>
      <c r="AC846" s="481"/>
    </row>
    <row r="847" spans="3:30" ht="13.5">
      <c r="C847" s="1526" t="s">
        <v>4805</v>
      </c>
      <c r="D847" s="1523">
        <v>1</v>
      </c>
      <c r="E847" s="1523">
        <v>0</v>
      </c>
      <c r="F847" s="1524">
        <v>1</v>
      </c>
      <c r="G847" s="1537" t="s">
        <v>4805</v>
      </c>
      <c r="H847" s="1521">
        <v>1</v>
      </c>
      <c r="I847" s="1521">
        <v>1</v>
      </c>
      <c r="J847" s="1538">
        <v>2</v>
      </c>
      <c r="K847" s="1525"/>
      <c r="L847" s="1519">
        <v>13067031503</v>
      </c>
      <c r="M847" s="1520">
        <v>1</v>
      </c>
      <c r="N847" s="1520">
        <v>1</v>
      </c>
      <c r="O847" s="1520">
        <v>2</v>
      </c>
      <c r="AA847" s="27"/>
      <c r="AC847" s="481"/>
    </row>
    <row r="848" spans="3:30" ht="13.5">
      <c r="C848" s="1526" t="s">
        <v>4806</v>
      </c>
      <c r="D848" s="1523">
        <v>1</v>
      </c>
      <c r="E848" s="1523">
        <v>1</v>
      </c>
      <c r="F848" s="1524">
        <v>2</v>
      </c>
      <c r="G848" s="1537" t="s">
        <v>4806</v>
      </c>
      <c r="H848" s="1521">
        <v>1</v>
      </c>
      <c r="I848" s="1521">
        <v>1</v>
      </c>
      <c r="J848" s="1538">
        <v>2</v>
      </c>
      <c r="K848" s="1525"/>
      <c r="L848" s="1519">
        <v>13067031505</v>
      </c>
      <c r="M848" s="1520">
        <v>1</v>
      </c>
      <c r="N848" s="1520">
        <v>1</v>
      </c>
      <c r="O848" s="1520">
        <v>2</v>
      </c>
      <c r="AA848" s="27"/>
      <c r="AC848" s="481"/>
    </row>
    <row r="849" spans="3:29" ht="13.5">
      <c r="C849" s="1526" t="s">
        <v>4807</v>
      </c>
      <c r="D849" s="1523">
        <v>0</v>
      </c>
      <c r="E849" s="1523">
        <v>1</v>
      </c>
      <c r="F849" s="1524">
        <v>1</v>
      </c>
      <c r="G849" s="1537" t="s">
        <v>4807</v>
      </c>
      <c r="H849" s="1521">
        <v>0</v>
      </c>
      <c r="I849" s="1521">
        <v>0</v>
      </c>
      <c r="J849" s="1538">
        <v>0</v>
      </c>
      <c r="K849" s="1525"/>
      <c r="L849" s="1519">
        <v>13067031506</v>
      </c>
      <c r="M849" s="1520">
        <v>0</v>
      </c>
      <c r="N849" s="1520">
        <v>1</v>
      </c>
      <c r="O849" s="1520">
        <v>1</v>
      </c>
      <c r="AA849" s="27"/>
      <c r="AC849" s="481"/>
    </row>
    <row r="850" spans="3:29" ht="13.5">
      <c r="C850" s="1526" t="s">
        <v>4808</v>
      </c>
      <c r="D850" s="1523">
        <v>0</v>
      </c>
      <c r="E850" s="1523">
        <v>0</v>
      </c>
      <c r="F850" s="1524">
        <v>0</v>
      </c>
      <c r="G850" s="1537" t="s">
        <v>4808</v>
      </c>
      <c r="H850" s="1521">
        <v>0</v>
      </c>
      <c r="I850" s="1521">
        <v>1</v>
      </c>
      <c r="J850" s="1538">
        <v>1</v>
      </c>
      <c r="K850" s="1525"/>
      <c r="L850" s="1519">
        <v>13067031507</v>
      </c>
      <c r="M850" s="1520">
        <v>0</v>
      </c>
      <c r="N850" s="1520">
        <v>1</v>
      </c>
      <c r="O850" s="1520">
        <v>1</v>
      </c>
      <c r="AA850" s="27"/>
      <c r="AC850" s="481"/>
    </row>
    <row r="851" spans="3:29" ht="13.5">
      <c r="C851" s="1526" t="s">
        <v>4809</v>
      </c>
      <c r="D851" s="1523">
        <v>1</v>
      </c>
      <c r="E851" s="1523">
        <v>1</v>
      </c>
      <c r="F851" s="1524">
        <v>2</v>
      </c>
      <c r="G851" s="1537" t="s">
        <v>4809</v>
      </c>
      <c r="H851" s="1521">
        <v>1</v>
      </c>
      <c r="I851" s="1521">
        <v>1</v>
      </c>
      <c r="J851" s="1538">
        <v>2</v>
      </c>
      <c r="K851" s="1525"/>
      <c r="L851" s="1519">
        <v>13067031508</v>
      </c>
      <c r="M851" s="1520">
        <v>1</v>
      </c>
      <c r="N851" s="1520">
        <v>1</v>
      </c>
      <c r="O851" s="1520">
        <v>2</v>
      </c>
      <c r="AA851" s="27"/>
      <c r="AC851" s="481"/>
    </row>
    <row r="852" spans="3:29" ht="13.5">
      <c r="C852" s="1526" t="s">
        <v>4810</v>
      </c>
      <c r="D852" s="1523">
        <v>1</v>
      </c>
      <c r="E852" s="1523">
        <v>1</v>
      </c>
      <c r="F852" s="1524">
        <v>2</v>
      </c>
      <c r="G852" s="1537" t="s">
        <v>4810</v>
      </c>
      <c r="H852" s="1521">
        <v>1</v>
      </c>
      <c r="I852" s="1521">
        <v>1</v>
      </c>
      <c r="J852" s="1538">
        <v>2</v>
      </c>
      <c r="K852" s="1525"/>
      <c r="L852" s="1519">
        <v>13067031509</v>
      </c>
      <c r="M852" s="1520">
        <v>1</v>
      </c>
      <c r="N852" s="1520">
        <v>1</v>
      </c>
      <c r="O852" s="1520">
        <v>2</v>
      </c>
      <c r="AA852" s="27"/>
      <c r="AC852" s="481"/>
    </row>
    <row r="853" spans="3:29" ht="13.5">
      <c r="C853" s="1526" t="s">
        <v>4811</v>
      </c>
      <c r="D853" s="1523">
        <v>0</v>
      </c>
      <c r="E853" s="1523">
        <v>0</v>
      </c>
      <c r="F853" s="1524">
        <v>0</v>
      </c>
      <c r="G853" s="1537" t="s">
        <v>4811</v>
      </c>
      <c r="H853" s="1521">
        <v>0</v>
      </c>
      <c r="I853" s="1521">
        <v>0</v>
      </c>
      <c r="J853" s="1538">
        <v>0</v>
      </c>
      <c r="K853" s="1525"/>
      <c r="L853" s="1519">
        <v>13069010100</v>
      </c>
      <c r="M853" s="1520">
        <v>0</v>
      </c>
      <c r="N853" s="1520">
        <v>0</v>
      </c>
      <c r="O853" s="1520">
        <v>0</v>
      </c>
      <c r="AA853" s="27"/>
      <c r="AC853" s="481"/>
    </row>
    <row r="854" spans="3:29" ht="13.5">
      <c r="C854" s="1526" t="s">
        <v>4812</v>
      </c>
      <c r="D854" s="1523">
        <v>0</v>
      </c>
      <c r="E854" s="1523">
        <v>0</v>
      </c>
      <c r="F854" s="1524">
        <v>0</v>
      </c>
      <c r="G854" s="1537" t="s">
        <v>4812</v>
      </c>
      <c r="H854" s="1521">
        <v>0</v>
      </c>
      <c r="I854" s="1521" t="s">
        <v>4096</v>
      </c>
      <c r="J854" s="1538">
        <v>0</v>
      </c>
      <c r="K854" s="1525"/>
      <c r="L854" s="1519">
        <v>13069010200</v>
      </c>
      <c r="M854" s="1520">
        <v>0</v>
      </c>
      <c r="N854" s="1520">
        <v>0</v>
      </c>
      <c r="O854" s="1520">
        <v>0</v>
      </c>
      <c r="AA854" s="27"/>
      <c r="AC854" s="481"/>
    </row>
    <row r="855" spans="3:29" ht="13.5">
      <c r="C855" s="1526" t="s">
        <v>4813</v>
      </c>
      <c r="D855" s="1523">
        <v>0</v>
      </c>
      <c r="E855" s="1523">
        <v>0</v>
      </c>
      <c r="F855" s="1524">
        <v>0</v>
      </c>
      <c r="G855" s="1537" t="s">
        <v>4813</v>
      </c>
      <c r="H855" s="1521">
        <v>0</v>
      </c>
      <c r="I855" s="1521">
        <v>0</v>
      </c>
      <c r="J855" s="1538">
        <v>0</v>
      </c>
      <c r="K855" s="1525"/>
      <c r="L855" s="1519">
        <v>13069010300</v>
      </c>
      <c r="M855" s="1520">
        <v>0</v>
      </c>
      <c r="N855" s="1520">
        <v>0</v>
      </c>
      <c r="O855" s="1520">
        <v>0</v>
      </c>
      <c r="AA855" s="27"/>
      <c r="AC855" s="481"/>
    </row>
    <row r="856" spans="3:29" ht="13.5">
      <c r="C856" s="1526" t="s">
        <v>4814</v>
      </c>
      <c r="D856" s="1523">
        <v>0</v>
      </c>
      <c r="E856" s="1523">
        <v>0</v>
      </c>
      <c r="F856" s="1524">
        <v>0</v>
      </c>
      <c r="G856" s="1537" t="s">
        <v>4814</v>
      </c>
      <c r="H856" s="1521">
        <v>0</v>
      </c>
      <c r="I856" s="1521">
        <v>0</v>
      </c>
      <c r="J856" s="1538">
        <v>0</v>
      </c>
      <c r="K856" s="1525"/>
      <c r="L856" s="1519">
        <v>13069010400</v>
      </c>
      <c r="M856" s="1520">
        <v>0</v>
      </c>
      <c r="N856" s="1520">
        <v>0</v>
      </c>
      <c r="O856" s="1520">
        <v>0</v>
      </c>
      <c r="AA856" s="27"/>
      <c r="AC856" s="481"/>
    </row>
    <row r="857" spans="3:29" ht="13.5">
      <c r="C857" s="1526" t="s">
        <v>4815</v>
      </c>
      <c r="D857" s="1523">
        <v>0</v>
      </c>
      <c r="E857" s="1523">
        <v>0</v>
      </c>
      <c r="F857" s="1524">
        <v>0</v>
      </c>
      <c r="G857" s="1537" t="s">
        <v>4815</v>
      </c>
      <c r="H857" s="1521">
        <v>0</v>
      </c>
      <c r="I857" s="1521">
        <v>0</v>
      </c>
      <c r="J857" s="1538">
        <v>0</v>
      </c>
      <c r="K857" s="1525"/>
      <c r="L857" s="1519">
        <v>13069010500</v>
      </c>
      <c r="M857" s="1520">
        <v>0</v>
      </c>
      <c r="N857" s="1520">
        <v>0</v>
      </c>
      <c r="O857" s="1520">
        <v>0</v>
      </c>
      <c r="AA857" s="27"/>
      <c r="AC857" s="481"/>
    </row>
    <row r="858" spans="3:29" ht="13.5">
      <c r="C858" s="1526" t="s">
        <v>4816</v>
      </c>
      <c r="D858" s="1523">
        <v>1</v>
      </c>
      <c r="E858" s="1523">
        <v>1</v>
      </c>
      <c r="F858" s="1524">
        <v>2</v>
      </c>
      <c r="G858" s="1537" t="s">
        <v>4816</v>
      </c>
      <c r="H858" s="1521">
        <v>0</v>
      </c>
      <c r="I858" s="1521">
        <v>0</v>
      </c>
      <c r="J858" s="1538">
        <v>0</v>
      </c>
      <c r="K858" s="1525"/>
      <c r="L858" s="1519">
        <v>13069010600</v>
      </c>
      <c r="M858" s="1520">
        <v>1</v>
      </c>
      <c r="N858" s="1520">
        <v>1</v>
      </c>
      <c r="O858" s="1520">
        <v>2</v>
      </c>
      <c r="AA858" s="27"/>
      <c r="AC858" s="481"/>
    </row>
    <row r="859" spans="3:29" ht="13.5">
      <c r="C859" s="1526" t="s">
        <v>4817</v>
      </c>
      <c r="D859" s="1523">
        <v>0</v>
      </c>
      <c r="E859" s="1523">
        <v>0</v>
      </c>
      <c r="F859" s="1524">
        <v>0</v>
      </c>
      <c r="G859" s="1537" t="s">
        <v>4817</v>
      </c>
      <c r="H859" s="1521">
        <v>0</v>
      </c>
      <c r="I859" s="1521">
        <v>0</v>
      </c>
      <c r="J859" s="1538">
        <v>0</v>
      </c>
      <c r="K859" s="1525"/>
      <c r="L859" s="1519">
        <v>13069010700</v>
      </c>
      <c r="M859" s="1520">
        <v>0</v>
      </c>
      <c r="N859" s="1520">
        <v>0</v>
      </c>
      <c r="O859" s="1520">
        <v>0</v>
      </c>
      <c r="AA859" s="27"/>
      <c r="AC859" s="481"/>
    </row>
    <row r="860" spans="3:29" ht="13.5">
      <c r="C860" s="1526" t="s">
        <v>4818</v>
      </c>
      <c r="D860" s="1523">
        <v>0</v>
      </c>
      <c r="E860" s="1523">
        <v>0</v>
      </c>
      <c r="F860" s="1524">
        <v>0</v>
      </c>
      <c r="G860" s="1537" t="s">
        <v>4818</v>
      </c>
      <c r="H860" s="1521">
        <v>0</v>
      </c>
      <c r="I860" s="1521">
        <v>0</v>
      </c>
      <c r="J860" s="1538">
        <v>0</v>
      </c>
      <c r="K860" s="1525"/>
      <c r="L860" s="1519">
        <v>13069010801</v>
      </c>
      <c r="M860" s="1520">
        <v>0</v>
      </c>
      <c r="N860" s="1520">
        <v>0</v>
      </c>
      <c r="O860" s="1520">
        <v>0</v>
      </c>
      <c r="AA860" s="27"/>
      <c r="AC860" s="481"/>
    </row>
    <row r="861" spans="3:29" ht="13.5">
      <c r="C861" s="1526" t="s">
        <v>4819</v>
      </c>
      <c r="D861" s="1523">
        <v>0</v>
      </c>
      <c r="E861" s="1523">
        <v>0</v>
      </c>
      <c r="F861" s="1524">
        <v>0</v>
      </c>
      <c r="G861" s="1537" t="s">
        <v>4819</v>
      </c>
      <c r="H861" s="1521">
        <v>0</v>
      </c>
      <c r="I861" s="1521">
        <v>0</v>
      </c>
      <c r="J861" s="1538">
        <v>0</v>
      </c>
      <c r="K861" s="1525"/>
      <c r="L861" s="1519">
        <v>13069010802</v>
      </c>
      <c r="M861" s="1520">
        <v>0</v>
      </c>
      <c r="N861" s="1520">
        <v>0</v>
      </c>
      <c r="O861" s="1520">
        <v>0</v>
      </c>
      <c r="AA861" s="27"/>
      <c r="AC861" s="481"/>
    </row>
    <row r="862" spans="3:29" ht="13.5">
      <c r="C862" s="1526" t="s">
        <v>4820</v>
      </c>
      <c r="D862" s="1523">
        <v>0</v>
      </c>
      <c r="E862" s="1523">
        <v>0</v>
      </c>
      <c r="F862" s="1524">
        <v>0</v>
      </c>
      <c r="G862" s="1537" t="s">
        <v>4820</v>
      </c>
      <c r="H862" s="1521">
        <v>0</v>
      </c>
      <c r="I862" s="1521">
        <v>0</v>
      </c>
      <c r="J862" s="1538">
        <v>0</v>
      </c>
      <c r="K862" s="1525"/>
      <c r="L862" s="1519">
        <v>13071970100</v>
      </c>
      <c r="M862" s="1520">
        <v>0</v>
      </c>
      <c r="N862" s="1520">
        <v>0</v>
      </c>
      <c r="O862" s="1520">
        <v>0</v>
      </c>
      <c r="AA862" s="27"/>
      <c r="AC862" s="481"/>
    </row>
    <row r="863" spans="3:29" ht="13.5">
      <c r="C863" s="1526" t="s">
        <v>4821</v>
      </c>
      <c r="D863" s="1523">
        <v>0</v>
      </c>
      <c r="E863" s="1523">
        <v>0</v>
      </c>
      <c r="F863" s="1524">
        <v>0</v>
      </c>
      <c r="G863" s="1537" t="s">
        <v>4821</v>
      </c>
      <c r="H863" s="1521">
        <v>0</v>
      </c>
      <c r="I863" s="1521">
        <v>0</v>
      </c>
      <c r="J863" s="1538">
        <v>0</v>
      </c>
      <c r="K863" s="1525"/>
      <c r="L863" s="1519">
        <v>13071970200</v>
      </c>
      <c r="M863" s="1520">
        <v>0</v>
      </c>
      <c r="N863" s="1520">
        <v>0</v>
      </c>
      <c r="O863" s="1520">
        <v>0</v>
      </c>
      <c r="AA863" s="27"/>
      <c r="AC863" s="481"/>
    </row>
    <row r="864" spans="3:29" ht="13.5">
      <c r="C864" s="1526" t="s">
        <v>4822</v>
      </c>
      <c r="D864" s="1523">
        <v>0</v>
      </c>
      <c r="E864" s="1523">
        <v>0</v>
      </c>
      <c r="F864" s="1524">
        <v>0</v>
      </c>
      <c r="G864" s="1537" t="s">
        <v>4822</v>
      </c>
      <c r="H864" s="1521">
        <v>0</v>
      </c>
      <c r="I864" s="1521">
        <v>0</v>
      </c>
      <c r="J864" s="1538">
        <v>0</v>
      </c>
      <c r="K864" s="1525"/>
      <c r="L864" s="1519">
        <v>13071970300</v>
      </c>
      <c r="M864" s="1520">
        <v>0</v>
      </c>
      <c r="N864" s="1520">
        <v>0</v>
      </c>
      <c r="O864" s="1520">
        <v>0</v>
      </c>
      <c r="AA864" s="27"/>
      <c r="AC864" s="481"/>
    </row>
    <row r="865" spans="3:29" ht="13.5">
      <c r="C865" s="1526" t="s">
        <v>4823</v>
      </c>
      <c r="D865" s="1523">
        <v>0</v>
      </c>
      <c r="E865" s="1523">
        <v>0</v>
      </c>
      <c r="F865" s="1524">
        <v>0</v>
      </c>
      <c r="G865" s="1537" t="s">
        <v>4823</v>
      </c>
      <c r="H865" s="1521">
        <v>0</v>
      </c>
      <c r="I865" s="1521">
        <v>0</v>
      </c>
      <c r="J865" s="1538">
        <v>0</v>
      </c>
      <c r="K865" s="1525"/>
      <c r="L865" s="1519">
        <v>13071970400</v>
      </c>
      <c r="M865" s="1520">
        <v>0</v>
      </c>
      <c r="N865" s="1520">
        <v>0</v>
      </c>
      <c r="O865" s="1520">
        <v>0</v>
      </c>
      <c r="AA865" s="27"/>
      <c r="AC865" s="481"/>
    </row>
    <row r="866" spans="3:29" ht="13.5">
      <c r="C866" s="1526" t="s">
        <v>4824</v>
      </c>
      <c r="D866" s="1523">
        <v>0</v>
      </c>
      <c r="E866" s="1523">
        <v>0</v>
      </c>
      <c r="F866" s="1524">
        <v>0</v>
      </c>
      <c r="G866" s="1537" t="s">
        <v>4824</v>
      </c>
      <c r="H866" s="1521">
        <v>0</v>
      </c>
      <c r="I866" s="1521">
        <v>0</v>
      </c>
      <c r="J866" s="1538">
        <v>0</v>
      </c>
      <c r="K866" s="1525"/>
      <c r="L866" s="1519">
        <v>13071970500</v>
      </c>
      <c r="M866" s="1520">
        <v>0</v>
      </c>
      <c r="N866" s="1520">
        <v>0</v>
      </c>
      <c r="O866" s="1520">
        <v>0</v>
      </c>
      <c r="AA866" s="27"/>
      <c r="AC866" s="481"/>
    </row>
    <row r="867" spans="3:29" ht="13.5">
      <c r="C867" s="1526" t="s">
        <v>4825</v>
      </c>
      <c r="D867" s="1523">
        <v>0</v>
      </c>
      <c r="E867" s="1523">
        <v>0</v>
      </c>
      <c r="F867" s="1524">
        <v>0</v>
      </c>
      <c r="G867" s="1537" t="s">
        <v>4825</v>
      </c>
      <c r="H867" s="1521">
        <v>0</v>
      </c>
      <c r="I867" s="1521">
        <v>0</v>
      </c>
      <c r="J867" s="1538">
        <v>0</v>
      </c>
      <c r="K867" s="1525"/>
      <c r="L867" s="1519">
        <v>13071970600</v>
      </c>
      <c r="M867" s="1520">
        <v>0</v>
      </c>
      <c r="N867" s="1520">
        <v>0</v>
      </c>
      <c r="O867" s="1520">
        <v>0</v>
      </c>
      <c r="AA867" s="27"/>
      <c r="AC867" s="481"/>
    </row>
    <row r="868" spans="3:29" ht="13.5">
      <c r="C868" s="1526" t="s">
        <v>4826</v>
      </c>
      <c r="D868" s="1523">
        <v>0</v>
      </c>
      <c r="E868" s="1523">
        <v>0</v>
      </c>
      <c r="F868" s="1524">
        <v>0</v>
      </c>
      <c r="G868" s="1537" t="s">
        <v>4826</v>
      </c>
      <c r="H868" s="1521">
        <v>0</v>
      </c>
      <c r="I868" s="1521">
        <v>0</v>
      </c>
      <c r="J868" s="1538">
        <v>0</v>
      </c>
      <c r="K868" s="1525"/>
      <c r="L868" s="1519">
        <v>13071970701</v>
      </c>
      <c r="M868" s="1520">
        <v>0</v>
      </c>
      <c r="N868" s="1520">
        <v>0</v>
      </c>
      <c r="O868" s="1520">
        <v>0</v>
      </c>
      <c r="AA868" s="27"/>
      <c r="AC868" s="481"/>
    </row>
    <row r="869" spans="3:29" ht="13.5">
      <c r="C869" s="1526" t="s">
        <v>4827</v>
      </c>
      <c r="D869" s="1523">
        <v>0</v>
      </c>
      <c r="E869" s="1523">
        <v>0</v>
      </c>
      <c r="F869" s="1524">
        <v>0</v>
      </c>
      <c r="G869" s="1537" t="s">
        <v>4827</v>
      </c>
      <c r="H869" s="1521">
        <v>0</v>
      </c>
      <c r="I869" s="1521">
        <v>0</v>
      </c>
      <c r="J869" s="1538">
        <v>0</v>
      </c>
      <c r="K869" s="1525"/>
      <c r="L869" s="1519">
        <v>13071970702</v>
      </c>
      <c r="M869" s="1520">
        <v>0</v>
      </c>
      <c r="N869" s="1520">
        <v>0</v>
      </c>
      <c r="O869" s="1520">
        <v>0</v>
      </c>
      <c r="AA869" s="27"/>
      <c r="AC869" s="481"/>
    </row>
    <row r="870" spans="3:29" ht="13.5">
      <c r="C870" s="1526" t="s">
        <v>4828</v>
      </c>
      <c r="D870" s="1523">
        <v>0</v>
      </c>
      <c r="E870" s="1523">
        <v>0</v>
      </c>
      <c r="F870" s="1524">
        <v>0</v>
      </c>
      <c r="G870" s="1537" t="s">
        <v>4828</v>
      </c>
      <c r="H870" s="1521">
        <v>0</v>
      </c>
      <c r="I870" s="1521">
        <v>0</v>
      </c>
      <c r="J870" s="1538">
        <v>0</v>
      </c>
      <c r="K870" s="1525"/>
      <c r="L870" s="1519">
        <v>13071970800</v>
      </c>
      <c r="M870" s="1520">
        <v>0</v>
      </c>
      <c r="N870" s="1520">
        <v>0</v>
      </c>
      <c r="O870" s="1520">
        <v>0</v>
      </c>
      <c r="AA870" s="27"/>
      <c r="AC870" s="481"/>
    </row>
    <row r="871" spans="3:29" ht="13.5">
      <c r="C871" s="1526" t="s">
        <v>4829</v>
      </c>
      <c r="D871" s="1523">
        <v>0</v>
      </c>
      <c r="E871" s="1523">
        <v>0</v>
      </c>
      <c r="F871" s="1524">
        <v>0</v>
      </c>
      <c r="G871" s="1537" t="s">
        <v>4829</v>
      </c>
      <c r="H871" s="1521">
        <v>0</v>
      </c>
      <c r="I871" s="1521">
        <v>0</v>
      </c>
      <c r="J871" s="1538">
        <v>0</v>
      </c>
      <c r="K871" s="1525"/>
      <c r="L871" s="1519">
        <v>13071970900</v>
      </c>
      <c r="M871" s="1520">
        <v>0</v>
      </c>
      <c r="N871" s="1520">
        <v>0</v>
      </c>
      <c r="O871" s="1520">
        <v>0</v>
      </c>
      <c r="AA871" s="27"/>
      <c r="AC871" s="481"/>
    </row>
    <row r="872" spans="3:29" ht="13.5">
      <c r="C872" s="1526" t="s">
        <v>4830</v>
      </c>
      <c r="D872" s="1523">
        <v>1</v>
      </c>
      <c r="E872" s="1523">
        <v>1</v>
      </c>
      <c r="F872" s="1524">
        <v>2</v>
      </c>
      <c r="G872" s="1537" t="s">
        <v>4830</v>
      </c>
      <c r="H872" s="1521">
        <v>1</v>
      </c>
      <c r="I872" s="1521" t="s">
        <v>4096</v>
      </c>
      <c r="J872" s="1538">
        <v>1</v>
      </c>
      <c r="K872" s="1525"/>
      <c r="L872" s="1519">
        <v>13073030102</v>
      </c>
      <c r="M872" s="1520">
        <v>1</v>
      </c>
      <c r="N872" s="1520">
        <v>1</v>
      </c>
      <c r="O872" s="1520">
        <v>2</v>
      </c>
      <c r="AA872" s="27"/>
      <c r="AC872" s="481"/>
    </row>
    <row r="873" spans="3:29" ht="13.5">
      <c r="C873" s="1526" t="s">
        <v>4831</v>
      </c>
      <c r="D873" s="1523">
        <v>1</v>
      </c>
      <c r="E873" s="1523">
        <v>1</v>
      </c>
      <c r="F873" s="1524">
        <v>2</v>
      </c>
      <c r="G873" s="1537" t="s">
        <v>4831</v>
      </c>
      <c r="H873" s="1521">
        <v>1</v>
      </c>
      <c r="I873" s="1521">
        <v>1</v>
      </c>
      <c r="J873" s="1538">
        <v>2</v>
      </c>
      <c r="K873" s="1525"/>
      <c r="L873" s="1519">
        <v>13073030103</v>
      </c>
      <c r="M873" s="1520">
        <v>1</v>
      </c>
      <c r="N873" s="1520">
        <v>1</v>
      </c>
      <c r="O873" s="1520">
        <v>2</v>
      </c>
      <c r="AA873" s="27"/>
      <c r="AC873" s="481"/>
    </row>
    <row r="874" spans="3:29" ht="13.5">
      <c r="C874" s="1526" t="s">
        <v>4832</v>
      </c>
      <c r="D874" s="1523">
        <v>1</v>
      </c>
      <c r="E874" s="1523">
        <v>1</v>
      </c>
      <c r="F874" s="1524">
        <v>2</v>
      </c>
      <c r="G874" s="1537" t="s">
        <v>4832</v>
      </c>
      <c r="H874" s="1521">
        <v>1</v>
      </c>
      <c r="I874" s="1521">
        <v>1</v>
      </c>
      <c r="J874" s="1538">
        <v>2</v>
      </c>
      <c r="K874" s="1525"/>
      <c r="L874" s="1519">
        <v>13073030105</v>
      </c>
      <c r="M874" s="1520">
        <v>1</v>
      </c>
      <c r="N874" s="1520">
        <v>1</v>
      </c>
      <c r="O874" s="1520">
        <v>2</v>
      </c>
      <c r="AA874" s="27"/>
      <c r="AC874" s="481"/>
    </row>
    <row r="875" spans="3:29" ht="13.5">
      <c r="C875" s="1526" t="s">
        <v>4833</v>
      </c>
      <c r="D875" s="1523">
        <v>1</v>
      </c>
      <c r="E875" s="1523">
        <v>1</v>
      </c>
      <c r="F875" s="1524">
        <v>2</v>
      </c>
      <c r="G875" s="1537" t="s">
        <v>4833</v>
      </c>
      <c r="H875" s="1521">
        <v>1</v>
      </c>
      <c r="I875" s="1521">
        <v>1</v>
      </c>
      <c r="J875" s="1538">
        <v>2</v>
      </c>
      <c r="K875" s="1525"/>
      <c r="L875" s="1519">
        <v>13073030106</v>
      </c>
      <c r="M875" s="1520">
        <v>1</v>
      </c>
      <c r="N875" s="1520">
        <v>1</v>
      </c>
      <c r="O875" s="1520">
        <v>2</v>
      </c>
      <c r="AA875" s="27"/>
      <c r="AC875" s="481"/>
    </row>
    <row r="876" spans="3:29" ht="13.5">
      <c r="C876" s="1526" t="s">
        <v>4834</v>
      </c>
      <c r="D876" s="1523">
        <v>1</v>
      </c>
      <c r="E876" s="1523">
        <v>1</v>
      </c>
      <c r="F876" s="1524">
        <v>2</v>
      </c>
      <c r="G876" s="1537" t="s">
        <v>4834</v>
      </c>
      <c r="H876" s="1521">
        <v>0</v>
      </c>
      <c r="I876" s="1521">
        <v>1</v>
      </c>
      <c r="J876" s="1538">
        <v>1</v>
      </c>
      <c r="K876" s="1525"/>
      <c r="L876" s="1519">
        <v>13073030201</v>
      </c>
      <c r="M876" s="1520">
        <v>1</v>
      </c>
      <c r="N876" s="1520">
        <v>1</v>
      </c>
      <c r="O876" s="1520">
        <v>2</v>
      </c>
      <c r="AA876" s="27"/>
      <c r="AC876" s="481"/>
    </row>
    <row r="877" spans="3:29" ht="13.5">
      <c r="C877" s="1526" t="s">
        <v>4835</v>
      </c>
      <c r="D877" s="1523">
        <v>0</v>
      </c>
      <c r="E877" s="1523">
        <v>1</v>
      </c>
      <c r="F877" s="1524">
        <v>1</v>
      </c>
      <c r="G877" s="1537" t="s">
        <v>4835</v>
      </c>
      <c r="H877" s="1521">
        <v>0</v>
      </c>
      <c r="I877" s="1521">
        <v>1</v>
      </c>
      <c r="J877" s="1538">
        <v>1</v>
      </c>
      <c r="K877" s="1525"/>
      <c r="L877" s="1519">
        <v>13073030202</v>
      </c>
      <c r="M877" s="1520">
        <v>0</v>
      </c>
      <c r="N877" s="1520">
        <v>1</v>
      </c>
      <c r="O877" s="1520">
        <v>1</v>
      </c>
      <c r="AA877" s="27"/>
      <c r="AC877" s="481"/>
    </row>
    <row r="878" spans="3:29" ht="13.5">
      <c r="C878" s="1526" t="s">
        <v>4836</v>
      </c>
      <c r="D878" s="1523">
        <v>1</v>
      </c>
      <c r="E878" s="1523">
        <v>1</v>
      </c>
      <c r="F878" s="1524">
        <v>2</v>
      </c>
      <c r="G878" s="1537" t="s">
        <v>4836</v>
      </c>
      <c r="H878" s="1521">
        <v>1</v>
      </c>
      <c r="I878" s="1521">
        <v>1</v>
      </c>
      <c r="J878" s="1538">
        <v>2</v>
      </c>
      <c r="K878" s="1525"/>
      <c r="L878" s="1519">
        <v>13073030203</v>
      </c>
      <c r="M878" s="1520">
        <v>1</v>
      </c>
      <c r="N878" s="1520">
        <v>1</v>
      </c>
      <c r="O878" s="1520">
        <v>2</v>
      </c>
      <c r="AA878" s="27"/>
      <c r="AC878" s="481"/>
    </row>
    <row r="879" spans="3:29" ht="13.5">
      <c r="C879" s="1526" t="s">
        <v>4837</v>
      </c>
      <c r="D879" s="1523">
        <v>1</v>
      </c>
      <c r="E879" s="1523">
        <v>1</v>
      </c>
      <c r="F879" s="1524">
        <v>2</v>
      </c>
      <c r="G879" s="1537" t="s">
        <v>4837</v>
      </c>
      <c r="H879" s="1521">
        <v>1</v>
      </c>
      <c r="I879" s="1521">
        <v>1</v>
      </c>
      <c r="J879" s="1538">
        <v>2</v>
      </c>
      <c r="K879" s="1525"/>
      <c r="L879" s="1519">
        <v>13073030302</v>
      </c>
      <c r="M879" s="1520">
        <v>1</v>
      </c>
      <c r="N879" s="1520">
        <v>1</v>
      </c>
      <c r="O879" s="1520">
        <v>2</v>
      </c>
      <c r="AA879" s="27"/>
      <c r="AC879" s="481"/>
    </row>
    <row r="880" spans="3:29" ht="13.5">
      <c r="C880" s="1526" t="s">
        <v>4838</v>
      </c>
      <c r="D880" s="1523">
        <v>1</v>
      </c>
      <c r="E880" s="1523">
        <v>1</v>
      </c>
      <c r="F880" s="1524">
        <v>2</v>
      </c>
      <c r="G880" s="1537" t="s">
        <v>4838</v>
      </c>
      <c r="H880" s="1521">
        <v>1</v>
      </c>
      <c r="I880" s="1521">
        <v>1</v>
      </c>
      <c r="J880" s="1538">
        <v>2</v>
      </c>
      <c r="K880" s="1525"/>
      <c r="L880" s="1519">
        <v>13073030304</v>
      </c>
      <c r="M880" s="1520">
        <v>1</v>
      </c>
      <c r="N880" s="1520">
        <v>1</v>
      </c>
      <c r="O880" s="1520">
        <v>2</v>
      </c>
    </row>
    <row r="881" spans="3:15" ht="13.5">
      <c r="C881" s="1526" t="s">
        <v>4839</v>
      </c>
      <c r="D881" s="1523">
        <v>1</v>
      </c>
      <c r="E881" s="1523">
        <v>1</v>
      </c>
      <c r="F881" s="1524">
        <v>2</v>
      </c>
      <c r="G881" s="1537" t="s">
        <v>4839</v>
      </c>
      <c r="H881" s="1521">
        <v>1</v>
      </c>
      <c r="I881" s="1521">
        <v>1</v>
      </c>
      <c r="J881" s="1538">
        <v>2</v>
      </c>
      <c r="K881" s="1525"/>
      <c r="L881" s="1519">
        <v>13073030306</v>
      </c>
      <c r="M881" s="1520">
        <v>1</v>
      </c>
      <c r="N881" s="1520">
        <v>1</v>
      </c>
      <c r="O881" s="1520">
        <v>2</v>
      </c>
    </row>
    <row r="882" spans="3:15" ht="13.5">
      <c r="C882" s="1526" t="s">
        <v>4840</v>
      </c>
      <c r="D882" s="1523">
        <v>1</v>
      </c>
      <c r="E882" s="1523">
        <v>1</v>
      </c>
      <c r="F882" s="1524">
        <v>2</v>
      </c>
      <c r="G882" s="1537" t="s">
        <v>4840</v>
      </c>
      <c r="H882" s="1521">
        <v>1</v>
      </c>
      <c r="I882" s="1521">
        <v>1</v>
      </c>
      <c r="J882" s="1538">
        <v>2</v>
      </c>
      <c r="K882" s="1525"/>
      <c r="L882" s="1519">
        <v>13073030307</v>
      </c>
      <c r="M882" s="1520">
        <v>1</v>
      </c>
      <c r="N882" s="1520">
        <v>1</v>
      </c>
      <c r="O882" s="1520">
        <v>2</v>
      </c>
    </row>
    <row r="883" spans="3:15" ht="13.5">
      <c r="C883" s="1526" t="s">
        <v>4841</v>
      </c>
      <c r="D883" s="1523">
        <v>1</v>
      </c>
      <c r="E883" s="1523">
        <v>1</v>
      </c>
      <c r="F883" s="1524">
        <v>2</v>
      </c>
      <c r="G883" s="1537" t="s">
        <v>4841</v>
      </c>
      <c r="H883" s="1521">
        <v>1</v>
      </c>
      <c r="I883" s="1521">
        <v>1</v>
      </c>
      <c r="J883" s="1538">
        <v>2</v>
      </c>
      <c r="K883" s="1525"/>
      <c r="L883" s="1519">
        <v>13073030308</v>
      </c>
      <c r="M883" s="1520">
        <v>1</v>
      </c>
      <c r="N883" s="1520">
        <v>1</v>
      </c>
      <c r="O883" s="1520">
        <v>2</v>
      </c>
    </row>
    <row r="884" spans="3:15" ht="13.5">
      <c r="C884" s="1526" t="s">
        <v>4842</v>
      </c>
      <c r="D884" s="1523">
        <v>1</v>
      </c>
      <c r="E884" s="1523">
        <v>1</v>
      </c>
      <c r="F884" s="1524">
        <v>2</v>
      </c>
      <c r="G884" s="1537" t="s">
        <v>4842</v>
      </c>
      <c r="H884" s="1521">
        <v>1</v>
      </c>
      <c r="I884" s="1521">
        <v>1</v>
      </c>
      <c r="J884" s="1538">
        <v>2</v>
      </c>
      <c r="K884" s="1525"/>
      <c r="L884" s="1519">
        <v>13073030309</v>
      </c>
      <c r="M884" s="1520">
        <v>1</v>
      </c>
      <c r="N884" s="1520">
        <v>1</v>
      </c>
      <c r="O884" s="1520">
        <v>2</v>
      </c>
    </row>
    <row r="885" spans="3:15" ht="13.5">
      <c r="C885" s="1526" t="s">
        <v>4843</v>
      </c>
      <c r="D885" s="1523">
        <v>0</v>
      </c>
      <c r="E885" s="1523">
        <v>0</v>
      </c>
      <c r="F885" s="1524">
        <v>0</v>
      </c>
      <c r="G885" s="1537" t="s">
        <v>4843</v>
      </c>
      <c r="H885" s="1521">
        <v>0</v>
      </c>
      <c r="I885" s="1521">
        <v>0</v>
      </c>
      <c r="J885" s="1538">
        <v>0</v>
      </c>
      <c r="K885" s="1525"/>
      <c r="L885" s="1519">
        <v>13073030401</v>
      </c>
      <c r="M885" s="1520">
        <v>0</v>
      </c>
      <c r="N885" s="1520">
        <v>0</v>
      </c>
      <c r="O885" s="1520">
        <v>0</v>
      </c>
    </row>
    <row r="886" spans="3:15" ht="13.5">
      <c r="C886" s="1526" t="s">
        <v>4844</v>
      </c>
      <c r="D886" s="1523">
        <v>1</v>
      </c>
      <c r="E886" s="1523">
        <v>1</v>
      </c>
      <c r="F886" s="1524">
        <v>2</v>
      </c>
      <c r="G886" s="1537" t="s">
        <v>4844</v>
      </c>
      <c r="H886" s="1521">
        <v>1</v>
      </c>
      <c r="I886" s="1521">
        <v>1</v>
      </c>
      <c r="J886" s="1538">
        <v>2</v>
      </c>
      <c r="K886" s="1525"/>
      <c r="L886" s="1519">
        <v>13073030402</v>
      </c>
      <c r="M886" s="1520">
        <v>1</v>
      </c>
      <c r="N886" s="1520">
        <v>1</v>
      </c>
      <c r="O886" s="1520">
        <v>2</v>
      </c>
    </row>
    <row r="887" spans="3:15" ht="13.5">
      <c r="C887" s="1526" t="s">
        <v>4845</v>
      </c>
      <c r="D887" s="1523">
        <v>1</v>
      </c>
      <c r="E887" s="1523">
        <v>1</v>
      </c>
      <c r="F887" s="1524">
        <v>2</v>
      </c>
      <c r="G887" s="1537" t="s">
        <v>4845</v>
      </c>
      <c r="H887" s="1521">
        <v>1</v>
      </c>
      <c r="I887" s="1521">
        <v>0</v>
      </c>
      <c r="J887" s="1538">
        <v>1</v>
      </c>
      <c r="K887" s="1525"/>
      <c r="L887" s="1519">
        <v>13073030503</v>
      </c>
      <c r="M887" s="1520">
        <v>1</v>
      </c>
      <c r="N887" s="1520">
        <v>1</v>
      </c>
      <c r="O887" s="1520">
        <v>2</v>
      </c>
    </row>
    <row r="888" spans="3:15" ht="13.5">
      <c r="C888" s="1526" t="s">
        <v>4846</v>
      </c>
      <c r="D888" s="1523">
        <v>1</v>
      </c>
      <c r="E888" s="1523">
        <v>1</v>
      </c>
      <c r="F888" s="1524">
        <v>2</v>
      </c>
      <c r="G888" s="1537" t="s">
        <v>4846</v>
      </c>
      <c r="H888" s="1521">
        <v>0</v>
      </c>
      <c r="I888" s="1521">
        <v>1</v>
      </c>
      <c r="J888" s="1538">
        <v>1</v>
      </c>
      <c r="K888" s="1525"/>
      <c r="L888" s="1519">
        <v>13073030504</v>
      </c>
      <c r="M888" s="1520">
        <v>1</v>
      </c>
      <c r="N888" s="1520">
        <v>1</v>
      </c>
      <c r="O888" s="1520">
        <v>2</v>
      </c>
    </row>
    <row r="889" spans="3:15" ht="13.5">
      <c r="C889" s="1526" t="s">
        <v>4847</v>
      </c>
      <c r="D889" s="1523">
        <v>1</v>
      </c>
      <c r="E889" s="1523">
        <v>1</v>
      </c>
      <c r="F889" s="1524">
        <v>2</v>
      </c>
      <c r="G889" s="1537" t="s">
        <v>4847</v>
      </c>
      <c r="H889" s="1521">
        <v>0</v>
      </c>
      <c r="I889" s="1521" t="s">
        <v>4096</v>
      </c>
      <c r="J889" s="1538">
        <v>0</v>
      </c>
      <c r="K889" s="1525"/>
      <c r="L889" s="1519">
        <v>13073030505</v>
      </c>
      <c r="M889" s="1520">
        <v>1</v>
      </c>
      <c r="N889" s="1520">
        <v>1</v>
      </c>
      <c r="O889" s="1520">
        <v>2</v>
      </c>
    </row>
    <row r="890" spans="3:15" ht="13.5">
      <c r="C890" s="1526" t="s">
        <v>4848</v>
      </c>
      <c r="D890" s="1523">
        <v>0</v>
      </c>
      <c r="E890" s="1523">
        <v>1</v>
      </c>
      <c r="F890" s="1524">
        <v>1</v>
      </c>
      <c r="G890" s="1537" t="s">
        <v>4848</v>
      </c>
      <c r="H890" s="1521">
        <v>0</v>
      </c>
      <c r="I890" s="1521">
        <v>0</v>
      </c>
      <c r="J890" s="1538">
        <v>0</v>
      </c>
      <c r="K890" s="1525"/>
      <c r="L890" s="1519">
        <v>13073030506</v>
      </c>
      <c r="M890" s="1520">
        <v>0</v>
      </c>
      <c r="N890" s="1520">
        <v>1</v>
      </c>
      <c r="O890" s="1520">
        <v>1</v>
      </c>
    </row>
    <row r="891" spans="3:15" ht="13.5">
      <c r="C891" s="1526" t="s">
        <v>4849</v>
      </c>
      <c r="D891" s="1523">
        <v>0</v>
      </c>
      <c r="E891" s="1523">
        <v>0</v>
      </c>
      <c r="F891" s="1524">
        <v>0</v>
      </c>
      <c r="G891" s="1537" t="s">
        <v>4849</v>
      </c>
      <c r="H891" s="1521">
        <v>0</v>
      </c>
      <c r="I891" s="1521">
        <v>0</v>
      </c>
      <c r="J891" s="1538">
        <v>0</v>
      </c>
      <c r="K891" s="1525"/>
      <c r="L891" s="1519">
        <v>13073030603</v>
      </c>
      <c r="M891" s="1520">
        <v>0</v>
      </c>
      <c r="N891" s="1520">
        <v>0</v>
      </c>
      <c r="O891" s="1520">
        <v>0</v>
      </c>
    </row>
    <row r="892" spans="3:15" ht="13.5">
      <c r="C892" s="1526" t="s">
        <v>4850</v>
      </c>
      <c r="D892" s="1523">
        <v>0</v>
      </c>
      <c r="E892" s="1523">
        <v>0</v>
      </c>
      <c r="F892" s="1524">
        <v>0</v>
      </c>
      <c r="G892" s="1537" t="s">
        <v>4850</v>
      </c>
      <c r="H892" s="1521">
        <v>0</v>
      </c>
      <c r="I892" s="1521">
        <v>0</v>
      </c>
      <c r="J892" s="1538">
        <v>0</v>
      </c>
      <c r="K892" s="1525"/>
      <c r="L892" s="1519">
        <v>13075960100</v>
      </c>
      <c r="M892" s="1520">
        <v>0</v>
      </c>
      <c r="N892" s="1520">
        <v>0</v>
      </c>
      <c r="O892" s="1520">
        <v>0</v>
      </c>
    </row>
    <row r="893" spans="3:15" ht="13.5">
      <c r="C893" s="1526" t="s">
        <v>4851</v>
      </c>
      <c r="D893" s="1523">
        <v>0</v>
      </c>
      <c r="E893" s="1523">
        <v>0</v>
      </c>
      <c r="F893" s="1524">
        <v>0</v>
      </c>
      <c r="G893" s="1537" t="s">
        <v>4851</v>
      </c>
      <c r="H893" s="1521">
        <v>0</v>
      </c>
      <c r="I893" s="1521">
        <v>0</v>
      </c>
      <c r="J893" s="1538">
        <v>0</v>
      </c>
      <c r="K893" s="1525"/>
      <c r="L893" s="1519">
        <v>13075960200</v>
      </c>
      <c r="M893" s="1520">
        <v>0</v>
      </c>
      <c r="N893" s="1520">
        <v>0</v>
      </c>
      <c r="O893" s="1520">
        <v>0</v>
      </c>
    </row>
    <row r="894" spans="3:15" ht="13.5">
      <c r="C894" s="1526" t="s">
        <v>4852</v>
      </c>
      <c r="D894" s="1523">
        <v>0</v>
      </c>
      <c r="E894" s="1523">
        <v>0</v>
      </c>
      <c r="F894" s="1524">
        <v>0</v>
      </c>
      <c r="G894" s="1537" t="s">
        <v>4852</v>
      </c>
      <c r="H894" s="1521">
        <v>0</v>
      </c>
      <c r="I894" s="1521">
        <v>0</v>
      </c>
      <c r="J894" s="1538">
        <v>0</v>
      </c>
      <c r="K894" s="1525"/>
      <c r="L894" s="1519">
        <v>13075960300</v>
      </c>
      <c r="M894" s="1520">
        <v>0</v>
      </c>
      <c r="N894" s="1520">
        <v>0</v>
      </c>
      <c r="O894" s="1520">
        <v>0</v>
      </c>
    </row>
    <row r="895" spans="3:15" ht="13.5">
      <c r="C895" s="1526" t="s">
        <v>4853</v>
      </c>
      <c r="D895" s="1523">
        <v>0</v>
      </c>
      <c r="E895" s="1523">
        <v>0</v>
      </c>
      <c r="F895" s="1524">
        <v>0</v>
      </c>
      <c r="G895" s="1537" t="s">
        <v>4853</v>
      </c>
      <c r="H895" s="1521">
        <v>0</v>
      </c>
      <c r="I895" s="1521">
        <v>0</v>
      </c>
      <c r="J895" s="1538">
        <v>0</v>
      </c>
      <c r="K895" s="1525"/>
      <c r="L895" s="1519">
        <v>13075960400</v>
      </c>
      <c r="M895" s="1520">
        <v>0</v>
      </c>
      <c r="N895" s="1520">
        <v>0</v>
      </c>
      <c r="O895" s="1520">
        <v>0</v>
      </c>
    </row>
    <row r="896" spans="3:15" ht="13.5">
      <c r="C896" s="1526" t="s">
        <v>4854</v>
      </c>
      <c r="D896" s="1523">
        <v>1</v>
      </c>
      <c r="E896" s="1523">
        <v>1</v>
      </c>
      <c r="F896" s="1524">
        <v>2</v>
      </c>
      <c r="G896" s="1537" t="s">
        <v>4854</v>
      </c>
      <c r="H896" s="1521">
        <v>1</v>
      </c>
      <c r="I896" s="1521">
        <v>0</v>
      </c>
      <c r="J896" s="1538">
        <v>1</v>
      </c>
      <c r="K896" s="1525"/>
      <c r="L896" s="1519">
        <v>13077170100</v>
      </c>
      <c r="M896" s="1520">
        <v>1</v>
      </c>
      <c r="N896" s="1520">
        <v>1</v>
      </c>
      <c r="O896" s="1520">
        <v>2</v>
      </c>
    </row>
    <row r="897" spans="3:15" ht="13.5">
      <c r="C897" s="1526" t="s">
        <v>4855</v>
      </c>
      <c r="D897" s="1523">
        <v>1</v>
      </c>
      <c r="E897" s="1523">
        <v>0</v>
      </c>
      <c r="F897" s="1524">
        <v>1</v>
      </c>
      <c r="G897" s="1537" t="s">
        <v>4855</v>
      </c>
      <c r="H897" s="1521">
        <v>1</v>
      </c>
      <c r="I897" s="1521">
        <v>0</v>
      </c>
      <c r="J897" s="1538">
        <v>1</v>
      </c>
      <c r="K897" s="1525"/>
      <c r="L897" s="1519">
        <v>13077170200</v>
      </c>
      <c r="M897" s="1520">
        <v>1</v>
      </c>
      <c r="N897" s="1520">
        <v>0</v>
      </c>
      <c r="O897" s="1520">
        <v>1</v>
      </c>
    </row>
    <row r="898" spans="3:15" ht="13.5">
      <c r="C898" s="1526" t="s">
        <v>4856</v>
      </c>
      <c r="D898" s="1523">
        <v>1</v>
      </c>
      <c r="E898" s="1523">
        <v>1</v>
      </c>
      <c r="F898" s="1524">
        <v>2</v>
      </c>
      <c r="G898" s="1537" t="s">
        <v>4856</v>
      </c>
      <c r="H898" s="1521">
        <v>1</v>
      </c>
      <c r="I898" s="1521">
        <v>1</v>
      </c>
      <c r="J898" s="1538">
        <v>2</v>
      </c>
      <c r="K898" s="1525"/>
      <c r="L898" s="1519">
        <v>13077170303</v>
      </c>
      <c r="M898" s="1520">
        <v>1</v>
      </c>
      <c r="N898" s="1520">
        <v>1</v>
      </c>
      <c r="O898" s="1520">
        <v>2</v>
      </c>
    </row>
    <row r="899" spans="3:15" ht="13.5">
      <c r="C899" s="1526" t="s">
        <v>4857</v>
      </c>
      <c r="D899" s="1523">
        <v>1</v>
      </c>
      <c r="E899" s="1523">
        <v>1</v>
      </c>
      <c r="F899" s="1524">
        <v>2</v>
      </c>
      <c r="G899" s="1537" t="s">
        <v>4857</v>
      </c>
      <c r="H899" s="1521">
        <v>1</v>
      </c>
      <c r="I899" s="1521">
        <v>1</v>
      </c>
      <c r="J899" s="1538">
        <v>2</v>
      </c>
      <c r="K899" s="1525"/>
      <c r="L899" s="1519">
        <v>13077170304</v>
      </c>
      <c r="M899" s="1520">
        <v>1</v>
      </c>
      <c r="N899" s="1520">
        <v>1</v>
      </c>
      <c r="O899" s="1520">
        <v>2</v>
      </c>
    </row>
    <row r="900" spans="3:15" ht="13.5">
      <c r="C900" s="1526" t="s">
        <v>4858</v>
      </c>
      <c r="D900" s="1523">
        <v>0</v>
      </c>
      <c r="E900" s="1523">
        <v>0</v>
      </c>
      <c r="F900" s="1524">
        <v>0</v>
      </c>
      <c r="G900" s="1537" t="s">
        <v>4858</v>
      </c>
      <c r="H900" s="1521">
        <v>0</v>
      </c>
      <c r="I900" s="1521">
        <v>0</v>
      </c>
      <c r="J900" s="1538">
        <v>0</v>
      </c>
      <c r="K900" s="1525"/>
      <c r="L900" s="1519">
        <v>13077170305</v>
      </c>
      <c r="M900" s="1520">
        <v>0</v>
      </c>
      <c r="N900" s="1520">
        <v>0</v>
      </c>
      <c r="O900" s="1520">
        <v>0</v>
      </c>
    </row>
    <row r="901" spans="3:15" ht="13.5">
      <c r="C901" s="1526" t="s">
        <v>4859</v>
      </c>
      <c r="D901" s="1523">
        <v>1</v>
      </c>
      <c r="E901" s="1523">
        <v>1</v>
      </c>
      <c r="F901" s="1524">
        <v>2</v>
      </c>
      <c r="G901" s="1537" t="s">
        <v>4859</v>
      </c>
      <c r="H901" s="1521">
        <v>1</v>
      </c>
      <c r="I901" s="1521">
        <v>1</v>
      </c>
      <c r="J901" s="1538">
        <v>2</v>
      </c>
      <c r="K901" s="1525"/>
      <c r="L901" s="1519">
        <v>13077170306</v>
      </c>
      <c r="M901" s="1520">
        <v>1</v>
      </c>
      <c r="N901" s="1520">
        <v>1</v>
      </c>
      <c r="O901" s="1520">
        <v>2</v>
      </c>
    </row>
    <row r="902" spans="3:15" ht="13.5">
      <c r="C902" s="1526" t="s">
        <v>4860</v>
      </c>
      <c r="D902" s="1523">
        <v>1</v>
      </c>
      <c r="E902" s="1523">
        <v>1</v>
      </c>
      <c r="F902" s="1524">
        <v>2</v>
      </c>
      <c r="G902" s="1537" t="s">
        <v>4860</v>
      </c>
      <c r="H902" s="1521">
        <v>1</v>
      </c>
      <c r="I902" s="1521">
        <v>1</v>
      </c>
      <c r="J902" s="1538">
        <v>2</v>
      </c>
      <c r="K902" s="1525"/>
      <c r="L902" s="1519">
        <v>13077170402</v>
      </c>
      <c r="M902" s="1520">
        <v>1</v>
      </c>
      <c r="N902" s="1520">
        <v>1</v>
      </c>
      <c r="O902" s="1520">
        <v>2</v>
      </c>
    </row>
    <row r="903" spans="3:15" ht="13.5">
      <c r="C903" s="1526" t="s">
        <v>4861</v>
      </c>
      <c r="D903" s="1523">
        <v>1</v>
      </c>
      <c r="E903" s="1523">
        <v>1</v>
      </c>
      <c r="F903" s="1524">
        <v>2</v>
      </c>
      <c r="G903" s="1537" t="s">
        <v>4861</v>
      </c>
      <c r="H903" s="1521">
        <v>1</v>
      </c>
      <c r="I903" s="1521">
        <v>1</v>
      </c>
      <c r="J903" s="1538">
        <v>2</v>
      </c>
      <c r="K903" s="1525"/>
      <c r="L903" s="1519">
        <v>13077170403</v>
      </c>
      <c r="M903" s="1520">
        <v>1</v>
      </c>
      <c r="N903" s="1520">
        <v>1</v>
      </c>
      <c r="O903" s="1520">
        <v>2</v>
      </c>
    </row>
    <row r="904" spans="3:15" ht="13.5">
      <c r="C904" s="1526" t="s">
        <v>4862</v>
      </c>
      <c r="D904" s="1523">
        <v>1</v>
      </c>
      <c r="E904" s="1523">
        <v>1</v>
      </c>
      <c r="F904" s="1524">
        <v>2</v>
      </c>
      <c r="G904" s="1537" t="s">
        <v>4862</v>
      </c>
      <c r="H904" s="1521">
        <v>1</v>
      </c>
      <c r="I904" s="1521">
        <v>1</v>
      </c>
      <c r="J904" s="1538">
        <v>2</v>
      </c>
      <c r="K904" s="1525"/>
      <c r="L904" s="1519">
        <v>13077170404</v>
      </c>
      <c r="M904" s="1520">
        <v>1</v>
      </c>
      <c r="N904" s="1520">
        <v>1</v>
      </c>
      <c r="O904" s="1520">
        <v>2</v>
      </c>
    </row>
    <row r="905" spans="3:15" ht="13.5">
      <c r="C905" s="1526" t="s">
        <v>4863</v>
      </c>
      <c r="D905" s="1523">
        <v>1</v>
      </c>
      <c r="E905" s="1523">
        <v>1</v>
      </c>
      <c r="F905" s="1524">
        <v>2</v>
      </c>
      <c r="G905" s="1537" t="s">
        <v>4863</v>
      </c>
      <c r="H905" s="1521">
        <v>1</v>
      </c>
      <c r="I905" s="1521">
        <v>1</v>
      </c>
      <c r="J905" s="1538">
        <v>2</v>
      </c>
      <c r="K905" s="1525"/>
      <c r="L905" s="1519">
        <v>13077170405</v>
      </c>
      <c r="M905" s="1520">
        <v>1</v>
      </c>
      <c r="N905" s="1520">
        <v>1</v>
      </c>
      <c r="O905" s="1520">
        <v>2</v>
      </c>
    </row>
    <row r="906" spans="3:15" ht="13.5">
      <c r="C906" s="1526" t="s">
        <v>4864</v>
      </c>
      <c r="D906" s="1523">
        <v>1</v>
      </c>
      <c r="E906" s="1523">
        <v>1</v>
      </c>
      <c r="F906" s="1524">
        <v>2</v>
      </c>
      <c r="G906" s="1537" t="s">
        <v>4864</v>
      </c>
      <c r="H906" s="1521">
        <v>1</v>
      </c>
      <c r="I906" s="1521">
        <v>1</v>
      </c>
      <c r="J906" s="1538">
        <v>2</v>
      </c>
      <c r="K906" s="1525"/>
      <c r="L906" s="1519">
        <v>13077170406</v>
      </c>
      <c r="M906" s="1520">
        <v>1</v>
      </c>
      <c r="N906" s="1520">
        <v>1</v>
      </c>
      <c r="O906" s="1520">
        <v>2</v>
      </c>
    </row>
    <row r="907" spans="3:15" ht="13.5">
      <c r="C907" s="1526" t="s">
        <v>4865</v>
      </c>
      <c r="D907" s="1523">
        <v>1</v>
      </c>
      <c r="E907" s="1523">
        <v>1</v>
      </c>
      <c r="F907" s="1524">
        <v>2</v>
      </c>
      <c r="G907" s="1537" t="s">
        <v>4865</v>
      </c>
      <c r="H907" s="1521">
        <v>1</v>
      </c>
      <c r="I907" s="1521">
        <v>1</v>
      </c>
      <c r="J907" s="1538">
        <v>2</v>
      </c>
      <c r="K907" s="1525"/>
      <c r="L907" s="1519">
        <v>13077170501</v>
      </c>
      <c r="M907" s="1520">
        <v>1</v>
      </c>
      <c r="N907" s="1520">
        <v>1</v>
      </c>
      <c r="O907" s="1520">
        <v>2</v>
      </c>
    </row>
    <row r="908" spans="3:15" ht="13.5">
      <c r="C908" s="1526" t="s">
        <v>4866</v>
      </c>
      <c r="D908" s="1523">
        <v>1</v>
      </c>
      <c r="E908" s="1523">
        <v>1</v>
      </c>
      <c r="F908" s="1524">
        <v>2</v>
      </c>
      <c r="G908" s="1537" t="s">
        <v>4866</v>
      </c>
      <c r="H908" s="1521">
        <v>1</v>
      </c>
      <c r="I908" s="1521">
        <v>1</v>
      </c>
      <c r="J908" s="1538">
        <v>2</v>
      </c>
      <c r="K908" s="1525"/>
      <c r="L908" s="1519">
        <v>13077170502</v>
      </c>
      <c r="M908" s="1520">
        <v>1</v>
      </c>
      <c r="N908" s="1520">
        <v>1</v>
      </c>
      <c r="O908" s="1520">
        <v>2</v>
      </c>
    </row>
    <row r="909" spans="3:15" ht="13.5">
      <c r="C909" s="1526" t="s">
        <v>4867</v>
      </c>
      <c r="D909" s="1523">
        <v>1</v>
      </c>
      <c r="E909" s="1523">
        <v>1</v>
      </c>
      <c r="F909" s="1524">
        <v>2</v>
      </c>
      <c r="G909" s="1537" t="s">
        <v>4867</v>
      </c>
      <c r="H909" s="1521">
        <v>1</v>
      </c>
      <c r="I909" s="1521">
        <v>1</v>
      </c>
      <c r="J909" s="1538">
        <v>2</v>
      </c>
      <c r="K909" s="1525"/>
      <c r="L909" s="1519">
        <v>13077170503</v>
      </c>
      <c r="M909" s="1520">
        <v>1</v>
      </c>
      <c r="N909" s="1520">
        <v>1</v>
      </c>
      <c r="O909" s="1520">
        <v>2</v>
      </c>
    </row>
    <row r="910" spans="3:15" ht="13.5">
      <c r="C910" s="1526" t="s">
        <v>4868</v>
      </c>
      <c r="D910" s="1523">
        <v>0</v>
      </c>
      <c r="E910" s="1523">
        <v>0</v>
      </c>
      <c r="F910" s="1524">
        <v>0</v>
      </c>
      <c r="G910" s="1537" t="s">
        <v>4868</v>
      </c>
      <c r="H910" s="1521">
        <v>0</v>
      </c>
      <c r="I910" s="1521">
        <v>0</v>
      </c>
      <c r="J910" s="1538">
        <v>0</v>
      </c>
      <c r="K910" s="1525"/>
      <c r="L910" s="1519">
        <v>13077170601</v>
      </c>
      <c r="M910" s="1520">
        <v>0</v>
      </c>
      <c r="N910" s="1520">
        <v>0</v>
      </c>
      <c r="O910" s="1520">
        <v>0</v>
      </c>
    </row>
    <row r="911" spans="3:15" ht="13.5">
      <c r="C911" s="1526" t="s">
        <v>4869</v>
      </c>
      <c r="D911" s="1523">
        <v>1</v>
      </c>
      <c r="E911" s="1523">
        <v>1</v>
      </c>
      <c r="F911" s="1524">
        <v>2</v>
      </c>
      <c r="G911" s="1537" t="s">
        <v>4869</v>
      </c>
      <c r="H911" s="1521">
        <v>1</v>
      </c>
      <c r="I911" s="1521" t="s">
        <v>4096</v>
      </c>
      <c r="J911" s="1538">
        <v>1</v>
      </c>
      <c r="K911" s="1525"/>
      <c r="L911" s="1519">
        <v>13077170602</v>
      </c>
      <c r="M911" s="1520">
        <v>1</v>
      </c>
      <c r="N911" s="1520">
        <v>1</v>
      </c>
      <c r="O911" s="1520">
        <v>2</v>
      </c>
    </row>
    <row r="912" spans="3:15" ht="13.5">
      <c r="C912" s="1526" t="s">
        <v>4870</v>
      </c>
      <c r="D912" s="1523">
        <v>1</v>
      </c>
      <c r="E912" s="1523">
        <v>1</v>
      </c>
      <c r="F912" s="1524">
        <v>2</v>
      </c>
      <c r="G912" s="1537" t="s">
        <v>4870</v>
      </c>
      <c r="H912" s="1521">
        <v>1</v>
      </c>
      <c r="I912" s="1521">
        <v>1</v>
      </c>
      <c r="J912" s="1538">
        <v>2</v>
      </c>
      <c r="K912" s="1525"/>
      <c r="L912" s="1519">
        <v>13077170603</v>
      </c>
      <c r="M912" s="1520">
        <v>1</v>
      </c>
      <c r="N912" s="1520">
        <v>1</v>
      </c>
      <c r="O912" s="1520">
        <v>2</v>
      </c>
    </row>
    <row r="913" spans="3:15" ht="13.5">
      <c r="C913" s="1526" t="s">
        <v>4871</v>
      </c>
      <c r="D913" s="1523">
        <v>0</v>
      </c>
      <c r="E913" s="1523">
        <v>0</v>
      </c>
      <c r="F913" s="1524">
        <v>0</v>
      </c>
      <c r="G913" s="1537" t="s">
        <v>4871</v>
      </c>
      <c r="H913" s="1521">
        <v>0</v>
      </c>
      <c r="I913" s="1521">
        <v>0</v>
      </c>
      <c r="J913" s="1538">
        <v>0</v>
      </c>
      <c r="K913" s="1525"/>
      <c r="L913" s="1519">
        <v>13077170700</v>
      </c>
      <c r="M913" s="1520">
        <v>0</v>
      </c>
      <c r="N913" s="1520">
        <v>0</v>
      </c>
      <c r="O913" s="1520">
        <v>0</v>
      </c>
    </row>
    <row r="914" spans="3:15" ht="13.5">
      <c r="C914" s="1526" t="s">
        <v>4872</v>
      </c>
      <c r="D914" s="1523">
        <v>0</v>
      </c>
      <c r="E914" s="1523">
        <v>1</v>
      </c>
      <c r="F914" s="1524">
        <v>1</v>
      </c>
      <c r="G914" s="1537" t="s">
        <v>4872</v>
      </c>
      <c r="H914" s="1521">
        <v>0</v>
      </c>
      <c r="I914" s="1521">
        <v>0</v>
      </c>
      <c r="J914" s="1538">
        <v>0</v>
      </c>
      <c r="K914" s="1525"/>
      <c r="L914" s="1519">
        <v>13077170801</v>
      </c>
      <c r="M914" s="1520">
        <v>0</v>
      </c>
      <c r="N914" s="1520">
        <v>1</v>
      </c>
      <c r="O914" s="1520">
        <v>1</v>
      </c>
    </row>
    <row r="915" spans="3:15" ht="13.5">
      <c r="C915" s="1526" t="s">
        <v>4873</v>
      </c>
      <c r="D915" s="1523">
        <v>1</v>
      </c>
      <c r="E915" s="1523">
        <v>1</v>
      </c>
      <c r="F915" s="1524">
        <v>2</v>
      </c>
      <c r="G915" s="1537" t="s">
        <v>4873</v>
      </c>
      <c r="H915" s="1521">
        <v>1</v>
      </c>
      <c r="I915" s="1521">
        <v>1</v>
      </c>
      <c r="J915" s="1538">
        <v>2</v>
      </c>
      <c r="K915" s="1525"/>
      <c r="L915" s="1519">
        <v>13077170802</v>
      </c>
      <c r="M915" s="1520">
        <v>1</v>
      </c>
      <c r="N915" s="1520">
        <v>1</v>
      </c>
      <c r="O915" s="1520">
        <v>2</v>
      </c>
    </row>
    <row r="916" spans="3:15" ht="13.5">
      <c r="C916" s="1526" t="s">
        <v>4874</v>
      </c>
      <c r="D916" s="1523">
        <v>0</v>
      </c>
      <c r="E916" s="1523">
        <v>0</v>
      </c>
      <c r="F916" s="1524">
        <v>0</v>
      </c>
      <c r="G916" s="1537" t="s">
        <v>4874</v>
      </c>
      <c r="H916" s="1521">
        <v>0</v>
      </c>
      <c r="I916" s="1521">
        <v>0</v>
      </c>
      <c r="J916" s="1538">
        <v>0</v>
      </c>
      <c r="K916" s="1525"/>
      <c r="L916" s="1519">
        <v>13079070100</v>
      </c>
      <c r="M916" s="1520">
        <v>0</v>
      </c>
      <c r="N916" s="1520">
        <v>0</v>
      </c>
      <c r="O916" s="1520">
        <v>0</v>
      </c>
    </row>
    <row r="917" spans="3:15" ht="13.5">
      <c r="C917" s="1526" t="s">
        <v>4875</v>
      </c>
      <c r="D917" s="1523">
        <v>0</v>
      </c>
      <c r="E917" s="1523">
        <v>1</v>
      </c>
      <c r="F917" s="1524">
        <v>1</v>
      </c>
      <c r="G917" s="1537" t="s">
        <v>4875</v>
      </c>
      <c r="H917" s="1521">
        <v>0</v>
      </c>
      <c r="I917" s="1521">
        <v>1</v>
      </c>
      <c r="J917" s="1538">
        <v>1</v>
      </c>
      <c r="K917" s="1525"/>
      <c r="L917" s="1519">
        <v>13079070201</v>
      </c>
      <c r="M917" s="1520">
        <v>0</v>
      </c>
      <c r="N917" s="1520">
        <v>1</v>
      </c>
      <c r="O917" s="1520">
        <v>1</v>
      </c>
    </row>
    <row r="918" spans="3:15" ht="13.5">
      <c r="C918" s="1526" t="s">
        <v>4876</v>
      </c>
      <c r="D918" s="1523">
        <v>0</v>
      </c>
      <c r="E918" s="1523">
        <v>1</v>
      </c>
      <c r="F918" s="1524">
        <v>1</v>
      </c>
      <c r="G918" s="1537" t="s">
        <v>4876</v>
      </c>
      <c r="H918" s="1521">
        <v>0</v>
      </c>
      <c r="I918" s="1521">
        <v>0</v>
      </c>
      <c r="J918" s="1538">
        <v>0</v>
      </c>
      <c r="K918" s="1525"/>
      <c r="L918" s="1519">
        <v>13079070202</v>
      </c>
      <c r="M918" s="1520">
        <v>0</v>
      </c>
      <c r="N918" s="1520">
        <v>1</v>
      </c>
      <c r="O918" s="1520">
        <v>1</v>
      </c>
    </row>
    <row r="919" spans="3:15" ht="13.5">
      <c r="C919" s="1526" t="s">
        <v>4877</v>
      </c>
      <c r="D919" s="1523">
        <v>0</v>
      </c>
      <c r="E919" s="1523">
        <v>0</v>
      </c>
      <c r="F919" s="1524">
        <v>0</v>
      </c>
      <c r="G919" s="1537" t="s">
        <v>4877</v>
      </c>
      <c r="H919" s="1521">
        <v>0</v>
      </c>
      <c r="I919" s="1521">
        <v>0</v>
      </c>
      <c r="J919" s="1538">
        <v>0</v>
      </c>
      <c r="K919" s="1525"/>
      <c r="L919" s="1519">
        <v>13081010100</v>
      </c>
      <c r="M919" s="1520">
        <v>0</v>
      </c>
      <c r="N919" s="1520">
        <v>0</v>
      </c>
      <c r="O919" s="1520">
        <v>0</v>
      </c>
    </row>
    <row r="920" spans="3:15" ht="13.5">
      <c r="C920" s="1526" t="s">
        <v>4878</v>
      </c>
      <c r="D920" s="1523">
        <v>0</v>
      </c>
      <c r="E920" s="1523">
        <v>0</v>
      </c>
      <c r="F920" s="1524">
        <v>0</v>
      </c>
      <c r="G920" s="1537" t="s">
        <v>4878</v>
      </c>
      <c r="H920" s="1521">
        <v>0</v>
      </c>
      <c r="I920" s="1521">
        <v>0</v>
      </c>
      <c r="J920" s="1538">
        <v>0</v>
      </c>
      <c r="K920" s="1525"/>
      <c r="L920" s="1519">
        <v>13081010201</v>
      </c>
      <c r="M920" s="1520">
        <v>0</v>
      </c>
      <c r="N920" s="1520">
        <v>0</v>
      </c>
      <c r="O920" s="1520">
        <v>0</v>
      </c>
    </row>
    <row r="921" spans="3:15" ht="13.5">
      <c r="C921" s="1526" t="s">
        <v>4879</v>
      </c>
      <c r="D921" s="1523">
        <v>0</v>
      </c>
      <c r="E921" s="1523">
        <v>0</v>
      </c>
      <c r="F921" s="1524">
        <v>0</v>
      </c>
      <c r="G921" s="1537" t="s">
        <v>4879</v>
      </c>
      <c r="H921" s="1521">
        <v>0</v>
      </c>
      <c r="I921" s="1521">
        <v>0</v>
      </c>
      <c r="J921" s="1538">
        <v>0</v>
      </c>
      <c r="K921" s="1525"/>
      <c r="L921" s="1519">
        <v>13081010202</v>
      </c>
      <c r="M921" s="1520">
        <v>0</v>
      </c>
      <c r="N921" s="1520">
        <v>0</v>
      </c>
      <c r="O921" s="1520">
        <v>0</v>
      </c>
    </row>
    <row r="922" spans="3:15" ht="13.5">
      <c r="C922" s="1526" t="s">
        <v>4880</v>
      </c>
      <c r="D922" s="1523">
        <v>0</v>
      </c>
      <c r="E922" s="1523">
        <v>0</v>
      </c>
      <c r="F922" s="1524">
        <v>0</v>
      </c>
      <c r="G922" s="1537" t="s">
        <v>4880</v>
      </c>
      <c r="H922" s="1521">
        <v>0</v>
      </c>
      <c r="I922" s="1521">
        <v>0</v>
      </c>
      <c r="J922" s="1538">
        <v>0</v>
      </c>
      <c r="K922" s="1525"/>
      <c r="L922" s="1519">
        <v>13081010300</v>
      </c>
      <c r="M922" s="1520">
        <v>0</v>
      </c>
      <c r="N922" s="1520">
        <v>0</v>
      </c>
      <c r="O922" s="1520">
        <v>0</v>
      </c>
    </row>
    <row r="923" spans="3:15" ht="13.5">
      <c r="C923" s="1526" t="s">
        <v>4881</v>
      </c>
      <c r="D923" s="1523">
        <v>0</v>
      </c>
      <c r="E923" s="1523">
        <v>0</v>
      </c>
      <c r="F923" s="1524">
        <v>0</v>
      </c>
      <c r="G923" s="1537" t="s">
        <v>4881</v>
      </c>
      <c r="H923" s="1521">
        <v>0</v>
      </c>
      <c r="I923" s="1521">
        <v>0</v>
      </c>
      <c r="J923" s="1538">
        <v>0</v>
      </c>
      <c r="K923" s="1525"/>
      <c r="L923" s="1519">
        <v>13081010400</v>
      </c>
      <c r="M923" s="1520">
        <v>0</v>
      </c>
      <c r="N923" s="1520">
        <v>0</v>
      </c>
      <c r="O923" s="1520">
        <v>0</v>
      </c>
    </row>
    <row r="924" spans="3:15" ht="13.5">
      <c r="C924" s="1526" t="s">
        <v>4882</v>
      </c>
      <c r="D924" s="1523">
        <v>0</v>
      </c>
      <c r="E924" s="1523">
        <v>0</v>
      </c>
      <c r="F924" s="1524">
        <v>0</v>
      </c>
      <c r="G924" s="1537" t="s">
        <v>4882</v>
      </c>
      <c r="H924" s="1521">
        <v>0</v>
      </c>
      <c r="I924" s="1521">
        <v>0</v>
      </c>
      <c r="J924" s="1538">
        <v>0</v>
      </c>
      <c r="K924" s="1525"/>
      <c r="L924" s="1519">
        <v>13081010500</v>
      </c>
      <c r="M924" s="1520">
        <v>0</v>
      </c>
      <c r="N924" s="1520">
        <v>0</v>
      </c>
      <c r="O924" s="1520">
        <v>0</v>
      </c>
    </row>
    <row r="925" spans="3:15" ht="13.5">
      <c r="C925" s="1526" t="s">
        <v>4883</v>
      </c>
      <c r="D925" s="1523">
        <v>0</v>
      </c>
      <c r="E925" s="1523">
        <v>0</v>
      </c>
      <c r="F925" s="1524">
        <v>0</v>
      </c>
      <c r="G925" s="1537" t="s">
        <v>4883</v>
      </c>
      <c r="H925" s="1521">
        <v>0</v>
      </c>
      <c r="I925" s="1521">
        <v>0</v>
      </c>
      <c r="J925" s="1538">
        <v>0</v>
      </c>
      <c r="K925" s="1525"/>
      <c r="L925" s="1519">
        <v>13083040101</v>
      </c>
      <c r="M925" s="1520">
        <v>0</v>
      </c>
      <c r="N925" s="1520">
        <v>0</v>
      </c>
      <c r="O925" s="1520">
        <v>0</v>
      </c>
    </row>
    <row r="926" spans="3:15" ht="13.5">
      <c r="C926" s="1526" t="s">
        <v>4884</v>
      </c>
      <c r="D926" s="1523">
        <v>1</v>
      </c>
      <c r="E926" s="1523">
        <v>1</v>
      </c>
      <c r="F926" s="1524">
        <v>2</v>
      </c>
      <c r="G926" s="1537" t="s">
        <v>4884</v>
      </c>
      <c r="H926" s="1521">
        <v>0</v>
      </c>
      <c r="I926" s="1521">
        <v>1</v>
      </c>
      <c r="J926" s="1538">
        <v>1</v>
      </c>
      <c r="K926" s="1525"/>
      <c r="L926" s="1519">
        <v>13083040102</v>
      </c>
      <c r="M926" s="1520">
        <v>1</v>
      </c>
      <c r="N926" s="1520">
        <v>1</v>
      </c>
      <c r="O926" s="1520">
        <v>2</v>
      </c>
    </row>
    <row r="927" spans="3:15" ht="13.5">
      <c r="C927" s="1526" t="s">
        <v>4885</v>
      </c>
      <c r="D927" s="1523">
        <v>0</v>
      </c>
      <c r="E927" s="1523">
        <v>0</v>
      </c>
      <c r="F927" s="1524">
        <v>0</v>
      </c>
      <c r="G927" s="1537" t="s">
        <v>4885</v>
      </c>
      <c r="H927" s="1521">
        <v>0</v>
      </c>
      <c r="I927" s="1521">
        <v>0</v>
      </c>
      <c r="J927" s="1538">
        <v>0</v>
      </c>
      <c r="K927" s="1525"/>
      <c r="L927" s="1519">
        <v>13083040200</v>
      </c>
      <c r="M927" s="1520">
        <v>0</v>
      </c>
      <c r="N927" s="1520">
        <v>0</v>
      </c>
      <c r="O927" s="1520">
        <v>0</v>
      </c>
    </row>
    <row r="928" spans="3:15" ht="13.5">
      <c r="C928" s="1526" t="s">
        <v>4886</v>
      </c>
      <c r="D928" s="1523">
        <v>1</v>
      </c>
      <c r="E928" s="1523">
        <v>1</v>
      </c>
      <c r="F928" s="1524">
        <v>2</v>
      </c>
      <c r="G928" s="1537" t="s">
        <v>4886</v>
      </c>
      <c r="H928" s="1521">
        <v>0</v>
      </c>
      <c r="I928" s="1521">
        <v>1</v>
      </c>
      <c r="J928" s="1538">
        <v>1</v>
      </c>
      <c r="K928" s="1525"/>
      <c r="L928" s="1519">
        <v>13083040300</v>
      </c>
      <c r="M928" s="1520">
        <v>1</v>
      </c>
      <c r="N928" s="1520">
        <v>1</v>
      </c>
      <c r="O928" s="1520">
        <v>2</v>
      </c>
    </row>
    <row r="929" spans="3:15" ht="13.5">
      <c r="C929" s="1526" t="s">
        <v>4887</v>
      </c>
      <c r="D929" s="1523">
        <v>1</v>
      </c>
      <c r="E929" s="1523">
        <v>1</v>
      </c>
      <c r="F929" s="1524">
        <v>2</v>
      </c>
      <c r="G929" s="1537" t="s">
        <v>4887</v>
      </c>
      <c r="H929" s="1521">
        <v>1</v>
      </c>
      <c r="I929" s="1521">
        <v>1</v>
      </c>
      <c r="J929" s="1538">
        <v>2</v>
      </c>
      <c r="K929" s="1525"/>
      <c r="L929" s="1519">
        <v>13085970100</v>
      </c>
      <c r="M929" s="1520">
        <v>1</v>
      </c>
      <c r="N929" s="1520">
        <v>1</v>
      </c>
      <c r="O929" s="1520">
        <v>2</v>
      </c>
    </row>
    <row r="930" spans="3:15" ht="13.5">
      <c r="C930" s="1526" t="s">
        <v>4888</v>
      </c>
      <c r="D930" s="1523">
        <v>1</v>
      </c>
      <c r="E930" s="1523">
        <v>1</v>
      </c>
      <c r="F930" s="1524">
        <v>2</v>
      </c>
      <c r="G930" s="1537" t="s">
        <v>4888</v>
      </c>
      <c r="H930" s="1521">
        <v>1</v>
      </c>
      <c r="I930" s="1521">
        <v>1</v>
      </c>
      <c r="J930" s="1538">
        <v>2</v>
      </c>
      <c r="K930" s="1525"/>
      <c r="L930" s="1519">
        <v>13085970201</v>
      </c>
      <c r="M930" s="1520">
        <v>1</v>
      </c>
      <c r="N930" s="1520">
        <v>1</v>
      </c>
      <c r="O930" s="1520">
        <v>2</v>
      </c>
    </row>
    <row r="931" spans="3:15" ht="13.5">
      <c r="C931" s="1526" t="s">
        <v>4889</v>
      </c>
      <c r="D931" s="1523">
        <v>0</v>
      </c>
      <c r="E931" s="1523">
        <v>1</v>
      </c>
      <c r="F931" s="1524">
        <v>1</v>
      </c>
      <c r="G931" s="1537" t="s">
        <v>4889</v>
      </c>
      <c r="H931" s="1521">
        <v>1</v>
      </c>
      <c r="I931" s="1521">
        <v>0</v>
      </c>
      <c r="J931" s="1538">
        <v>1</v>
      </c>
      <c r="K931" s="1525"/>
      <c r="L931" s="1519">
        <v>13085970202</v>
      </c>
      <c r="M931" s="1520">
        <v>1</v>
      </c>
      <c r="N931" s="1520">
        <v>1</v>
      </c>
      <c r="O931" s="1520">
        <v>1</v>
      </c>
    </row>
    <row r="932" spans="3:15" ht="13.5">
      <c r="C932" s="1526" t="s">
        <v>4890</v>
      </c>
      <c r="D932" s="1523">
        <v>1</v>
      </c>
      <c r="E932" s="1523">
        <v>0</v>
      </c>
      <c r="F932" s="1524">
        <v>1</v>
      </c>
      <c r="G932" s="1537" t="s">
        <v>4890</v>
      </c>
      <c r="H932" s="1521">
        <v>0</v>
      </c>
      <c r="I932" s="1521">
        <v>0</v>
      </c>
      <c r="J932" s="1538">
        <v>0</v>
      </c>
      <c r="K932" s="1525"/>
      <c r="L932" s="1519">
        <v>13087970100</v>
      </c>
      <c r="M932" s="1520">
        <v>1</v>
      </c>
      <c r="N932" s="1520">
        <v>0</v>
      </c>
      <c r="O932" s="1520">
        <v>1</v>
      </c>
    </row>
    <row r="933" spans="3:15" ht="13.5">
      <c r="C933" s="1526" t="s">
        <v>4891</v>
      </c>
      <c r="D933" s="1523">
        <v>0</v>
      </c>
      <c r="E933" s="1523">
        <v>0</v>
      </c>
      <c r="F933" s="1524">
        <v>0</v>
      </c>
      <c r="G933" s="1537" t="s">
        <v>4891</v>
      </c>
      <c r="H933" s="1521">
        <v>0</v>
      </c>
      <c r="I933" s="1521">
        <v>0</v>
      </c>
      <c r="J933" s="1538">
        <v>0</v>
      </c>
      <c r="K933" s="1525"/>
      <c r="L933" s="1519">
        <v>13087970200</v>
      </c>
      <c r="M933" s="1520">
        <v>0</v>
      </c>
      <c r="N933" s="1520">
        <v>0</v>
      </c>
      <c r="O933" s="1520">
        <v>0</v>
      </c>
    </row>
    <row r="934" spans="3:15" ht="13.5">
      <c r="C934" s="1526" t="s">
        <v>4892</v>
      </c>
      <c r="D934" s="1523">
        <v>0</v>
      </c>
      <c r="E934" s="1523">
        <v>0</v>
      </c>
      <c r="F934" s="1524">
        <v>0</v>
      </c>
      <c r="G934" s="1537" t="s">
        <v>4892</v>
      </c>
      <c r="H934" s="1521">
        <v>0</v>
      </c>
      <c r="I934" s="1521">
        <v>0</v>
      </c>
      <c r="J934" s="1538">
        <v>0</v>
      </c>
      <c r="K934" s="1525"/>
      <c r="L934" s="1519">
        <v>13087970300</v>
      </c>
      <c r="M934" s="1520">
        <v>0</v>
      </c>
      <c r="N934" s="1520">
        <v>0</v>
      </c>
      <c r="O934" s="1520">
        <v>0</v>
      </c>
    </row>
    <row r="935" spans="3:15" ht="13.5">
      <c r="C935" s="1526" t="s">
        <v>4893</v>
      </c>
      <c r="D935" s="1523">
        <v>0</v>
      </c>
      <c r="E935" s="1523">
        <v>0</v>
      </c>
      <c r="F935" s="1524">
        <v>0</v>
      </c>
      <c r="G935" s="1537" t="s">
        <v>4893</v>
      </c>
      <c r="H935" s="1521">
        <v>0</v>
      </c>
      <c r="I935" s="1521">
        <v>0</v>
      </c>
      <c r="J935" s="1538">
        <v>0</v>
      </c>
      <c r="K935" s="1525"/>
      <c r="L935" s="1519">
        <v>13087970400</v>
      </c>
      <c r="M935" s="1520">
        <v>0</v>
      </c>
      <c r="N935" s="1520">
        <v>0</v>
      </c>
      <c r="O935" s="1520">
        <v>0</v>
      </c>
    </row>
    <row r="936" spans="3:15" ht="13.5">
      <c r="C936" s="1526" t="s">
        <v>4894</v>
      </c>
      <c r="D936" s="1523">
        <v>1</v>
      </c>
      <c r="E936" s="1523">
        <v>0</v>
      </c>
      <c r="F936" s="1524">
        <v>1</v>
      </c>
      <c r="G936" s="1537" t="s">
        <v>4894</v>
      </c>
      <c r="H936" s="1521">
        <v>0</v>
      </c>
      <c r="I936" s="1521">
        <v>1</v>
      </c>
      <c r="J936" s="1538">
        <v>1</v>
      </c>
      <c r="K936" s="1525"/>
      <c r="L936" s="1519">
        <v>13087970600</v>
      </c>
      <c r="M936" s="1520">
        <v>1</v>
      </c>
      <c r="N936" s="1520">
        <v>1</v>
      </c>
      <c r="O936" s="1520">
        <v>1</v>
      </c>
    </row>
    <row r="937" spans="3:15" ht="13.5">
      <c r="C937" s="1526" t="s">
        <v>4895</v>
      </c>
      <c r="D937" s="1523">
        <v>0</v>
      </c>
      <c r="E937" s="1523">
        <v>0</v>
      </c>
      <c r="F937" s="1524">
        <v>0</v>
      </c>
      <c r="G937" s="1537" t="s">
        <v>4895</v>
      </c>
      <c r="H937" s="1521">
        <v>0</v>
      </c>
      <c r="I937" s="1521">
        <v>0</v>
      </c>
      <c r="J937" s="1538">
        <v>0</v>
      </c>
      <c r="K937" s="1525"/>
      <c r="L937" s="1519">
        <v>13087970700</v>
      </c>
      <c r="M937" s="1520">
        <v>0</v>
      </c>
      <c r="N937" s="1520">
        <v>0</v>
      </c>
      <c r="O937" s="1520">
        <v>0</v>
      </c>
    </row>
    <row r="938" spans="3:15" ht="13.5">
      <c r="C938" s="1526" t="s">
        <v>4896</v>
      </c>
      <c r="D938" s="1523">
        <v>0</v>
      </c>
      <c r="E938" s="1523">
        <v>0</v>
      </c>
      <c r="F938" s="1524">
        <v>0</v>
      </c>
      <c r="G938" s="1537" t="s">
        <v>4896</v>
      </c>
      <c r="H938" s="1521">
        <v>0</v>
      </c>
      <c r="I938" s="1521">
        <v>0</v>
      </c>
      <c r="J938" s="1538">
        <v>0</v>
      </c>
      <c r="K938" s="1525"/>
      <c r="L938" s="1519">
        <v>13087970800</v>
      </c>
      <c r="M938" s="1520">
        <v>0</v>
      </c>
      <c r="N938" s="1520">
        <v>0</v>
      </c>
      <c r="O938" s="1520">
        <v>0</v>
      </c>
    </row>
    <row r="939" spans="3:15" ht="13.5">
      <c r="C939" s="1526" t="s">
        <v>4897</v>
      </c>
      <c r="D939" s="1523">
        <v>1</v>
      </c>
      <c r="E939" s="1523">
        <v>1</v>
      </c>
      <c r="F939" s="1524">
        <v>2</v>
      </c>
      <c r="G939" s="1537" t="s">
        <v>4897</v>
      </c>
      <c r="H939" s="1521">
        <v>1</v>
      </c>
      <c r="I939" s="1521">
        <v>1</v>
      </c>
      <c r="J939" s="1538">
        <v>2</v>
      </c>
      <c r="K939" s="1525"/>
      <c r="L939" s="1519">
        <v>13089020100</v>
      </c>
      <c r="M939" s="1520">
        <v>1</v>
      </c>
      <c r="N939" s="1520">
        <v>1</v>
      </c>
      <c r="O939" s="1520">
        <v>2</v>
      </c>
    </row>
    <row r="940" spans="3:15" ht="13.5">
      <c r="C940" s="1526" t="s">
        <v>4898</v>
      </c>
      <c r="D940" s="1523">
        <v>1</v>
      </c>
      <c r="E940" s="1523">
        <v>1</v>
      </c>
      <c r="F940" s="1524">
        <v>2</v>
      </c>
      <c r="G940" s="1537" t="s">
        <v>4898</v>
      </c>
      <c r="H940" s="1521">
        <v>1</v>
      </c>
      <c r="I940" s="1521">
        <v>1</v>
      </c>
      <c r="J940" s="1538">
        <v>2</v>
      </c>
      <c r="K940" s="1525"/>
      <c r="L940" s="1519">
        <v>13089020200</v>
      </c>
      <c r="M940" s="1520">
        <v>1</v>
      </c>
      <c r="N940" s="1520">
        <v>1</v>
      </c>
      <c r="O940" s="1520">
        <v>2</v>
      </c>
    </row>
    <row r="941" spans="3:15" ht="13.5">
      <c r="C941" s="1526" t="s">
        <v>4899</v>
      </c>
      <c r="D941" s="1523">
        <v>1</v>
      </c>
      <c r="E941" s="1523">
        <v>1</v>
      </c>
      <c r="F941" s="1524">
        <v>2</v>
      </c>
      <c r="G941" s="1537" t="s">
        <v>4899</v>
      </c>
      <c r="H941" s="1521">
        <v>1</v>
      </c>
      <c r="I941" s="1521" t="s">
        <v>4096</v>
      </c>
      <c r="J941" s="1538">
        <v>1</v>
      </c>
      <c r="K941" s="1525"/>
      <c r="L941" s="1519">
        <v>13089020300</v>
      </c>
      <c r="M941" s="1520">
        <v>1</v>
      </c>
      <c r="N941" s="1520">
        <v>1</v>
      </c>
      <c r="O941" s="1520">
        <v>2</v>
      </c>
    </row>
    <row r="942" spans="3:15" ht="13.5">
      <c r="C942" s="1526" t="s">
        <v>4900</v>
      </c>
      <c r="D942" s="1523">
        <v>1</v>
      </c>
      <c r="E942" s="1523">
        <v>1</v>
      </c>
      <c r="F942" s="1524">
        <v>2</v>
      </c>
      <c r="G942" s="1537" t="s">
        <v>4900</v>
      </c>
      <c r="H942" s="1521">
        <v>1</v>
      </c>
      <c r="I942" s="1521" t="s">
        <v>4096</v>
      </c>
      <c r="J942" s="1538">
        <v>1</v>
      </c>
      <c r="K942" s="1525"/>
      <c r="L942" s="1519">
        <v>13089020400</v>
      </c>
      <c r="M942" s="1520">
        <v>1</v>
      </c>
      <c r="N942" s="1520">
        <v>1</v>
      </c>
      <c r="O942" s="1520">
        <v>2</v>
      </c>
    </row>
    <row r="943" spans="3:15" ht="13.5">
      <c r="C943" s="1526" t="s">
        <v>4901</v>
      </c>
      <c r="D943" s="1523">
        <v>0</v>
      </c>
      <c r="E943" s="1523">
        <v>0</v>
      </c>
      <c r="F943" s="1524">
        <v>0</v>
      </c>
      <c r="G943" s="1537" t="s">
        <v>4901</v>
      </c>
      <c r="H943" s="1521">
        <v>0</v>
      </c>
      <c r="I943" s="1521">
        <v>0</v>
      </c>
      <c r="J943" s="1538">
        <v>0</v>
      </c>
      <c r="K943" s="1525"/>
      <c r="L943" s="1519">
        <v>13089020500</v>
      </c>
      <c r="M943" s="1520">
        <v>0</v>
      </c>
      <c r="N943" s="1520">
        <v>0</v>
      </c>
      <c r="O943" s="1520">
        <v>0</v>
      </c>
    </row>
    <row r="944" spans="3:15" ht="13.5">
      <c r="C944" s="1526" t="s">
        <v>4902</v>
      </c>
      <c r="D944" s="1523">
        <v>0</v>
      </c>
      <c r="E944" s="1523">
        <v>0</v>
      </c>
      <c r="F944" s="1524">
        <v>0</v>
      </c>
      <c r="G944" s="1537" t="s">
        <v>4902</v>
      </c>
      <c r="H944" s="1521">
        <v>0</v>
      </c>
      <c r="I944" s="1521">
        <v>0</v>
      </c>
      <c r="J944" s="1538">
        <v>0</v>
      </c>
      <c r="K944" s="1525"/>
      <c r="L944" s="1519">
        <v>13089020600</v>
      </c>
      <c r="M944" s="1520">
        <v>0</v>
      </c>
      <c r="N944" s="1520">
        <v>0</v>
      </c>
      <c r="O944" s="1520">
        <v>0</v>
      </c>
    </row>
    <row r="945" spans="3:15" ht="13.5">
      <c r="C945" s="1526" t="s">
        <v>4903</v>
      </c>
      <c r="D945" s="1523">
        <v>1</v>
      </c>
      <c r="E945" s="1523">
        <v>0</v>
      </c>
      <c r="F945" s="1524">
        <v>1</v>
      </c>
      <c r="G945" s="1537" t="s">
        <v>4903</v>
      </c>
      <c r="H945" s="1521">
        <v>1</v>
      </c>
      <c r="I945" s="1521">
        <v>1</v>
      </c>
      <c r="J945" s="1538">
        <v>2</v>
      </c>
      <c r="K945" s="1525"/>
      <c r="L945" s="1519">
        <v>13089020700</v>
      </c>
      <c r="M945" s="1520">
        <v>1</v>
      </c>
      <c r="N945" s="1520">
        <v>1</v>
      </c>
      <c r="O945" s="1520">
        <v>2</v>
      </c>
    </row>
    <row r="946" spans="3:15" ht="13.5">
      <c r="C946" s="1526" t="s">
        <v>4904</v>
      </c>
      <c r="D946" s="1523">
        <v>1</v>
      </c>
      <c r="E946" s="1523">
        <v>1</v>
      </c>
      <c r="F946" s="1524">
        <v>2</v>
      </c>
      <c r="G946" s="1537" t="s">
        <v>4904</v>
      </c>
      <c r="H946" s="1521">
        <v>1</v>
      </c>
      <c r="I946" s="1521">
        <v>1</v>
      </c>
      <c r="J946" s="1538">
        <v>2</v>
      </c>
      <c r="K946" s="1525"/>
      <c r="L946" s="1519">
        <v>13089020801</v>
      </c>
      <c r="M946" s="1520">
        <v>1</v>
      </c>
      <c r="N946" s="1520">
        <v>1</v>
      </c>
      <c r="O946" s="1520">
        <v>2</v>
      </c>
    </row>
    <row r="947" spans="3:15" ht="13.5">
      <c r="C947" s="1526" t="s">
        <v>4905</v>
      </c>
      <c r="D947" s="1523">
        <v>1</v>
      </c>
      <c r="E947" s="1523">
        <v>0</v>
      </c>
      <c r="F947" s="1524">
        <v>1</v>
      </c>
      <c r="G947" s="1537" t="s">
        <v>4905</v>
      </c>
      <c r="H947" s="1521">
        <v>1</v>
      </c>
      <c r="I947" s="1521">
        <v>0</v>
      </c>
      <c r="J947" s="1538">
        <v>1</v>
      </c>
      <c r="K947" s="1525"/>
      <c r="L947" s="1519">
        <v>13089020802</v>
      </c>
      <c r="M947" s="1520">
        <v>1</v>
      </c>
      <c r="N947" s="1520">
        <v>0</v>
      </c>
      <c r="O947" s="1520">
        <v>1</v>
      </c>
    </row>
    <row r="948" spans="3:15" ht="13.5">
      <c r="C948" s="1526" t="s">
        <v>4906</v>
      </c>
      <c r="D948" s="1523">
        <v>1</v>
      </c>
      <c r="E948" s="1523">
        <v>0</v>
      </c>
      <c r="F948" s="1524">
        <v>1</v>
      </c>
      <c r="G948" s="1537" t="s">
        <v>4906</v>
      </c>
      <c r="H948" s="1521">
        <v>1</v>
      </c>
      <c r="I948" s="1521">
        <v>0</v>
      </c>
      <c r="J948" s="1538">
        <v>1</v>
      </c>
      <c r="K948" s="1525"/>
      <c r="L948" s="1519">
        <v>13089020900</v>
      </c>
      <c r="M948" s="1520">
        <v>1</v>
      </c>
      <c r="N948" s="1520">
        <v>0</v>
      </c>
      <c r="O948" s="1520">
        <v>1</v>
      </c>
    </row>
    <row r="949" spans="3:15" ht="13.5">
      <c r="C949" s="1526" t="s">
        <v>4907</v>
      </c>
      <c r="D949" s="1523">
        <v>1</v>
      </c>
      <c r="E949" s="1523">
        <v>1</v>
      </c>
      <c r="F949" s="1524">
        <v>2</v>
      </c>
      <c r="G949" s="1537" t="s">
        <v>4907</v>
      </c>
      <c r="H949" s="1521">
        <v>1</v>
      </c>
      <c r="I949" s="1521">
        <v>1</v>
      </c>
      <c r="J949" s="1538">
        <v>2</v>
      </c>
      <c r="K949" s="1525"/>
      <c r="L949" s="1519">
        <v>13089021101</v>
      </c>
      <c r="M949" s="1520">
        <v>1</v>
      </c>
      <c r="N949" s="1520">
        <v>1</v>
      </c>
      <c r="O949" s="1520">
        <v>2</v>
      </c>
    </row>
    <row r="950" spans="3:15" ht="13.5">
      <c r="C950" s="1526" t="s">
        <v>4908</v>
      </c>
      <c r="D950" s="1523">
        <v>1</v>
      </c>
      <c r="E950" s="1523">
        <v>1</v>
      </c>
      <c r="F950" s="1524">
        <v>2</v>
      </c>
      <c r="G950" s="1537" t="s">
        <v>4908</v>
      </c>
      <c r="H950" s="1521">
        <v>1</v>
      </c>
      <c r="I950" s="1521">
        <v>1</v>
      </c>
      <c r="J950" s="1538">
        <v>2</v>
      </c>
      <c r="K950" s="1525"/>
      <c r="L950" s="1519">
        <v>13089021102</v>
      </c>
      <c r="M950" s="1520">
        <v>1</v>
      </c>
      <c r="N950" s="1520">
        <v>1</v>
      </c>
      <c r="O950" s="1520">
        <v>2</v>
      </c>
    </row>
    <row r="951" spans="3:15" ht="13.5">
      <c r="C951" s="1526" t="s">
        <v>4909</v>
      </c>
      <c r="D951" s="1523">
        <v>1</v>
      </c>
      <c r="E951" s="1523">
        <v>1</v>
      </c>
      <c r="F951" s="1524">
        <v>2</v>
      </c>
      <c r="G951" s="1537" t="s">
        <v>4909</v>
      </c>
      <c r="H951" s="1521">
        <v>1</v>
      </c>
      <c r="I951" s="1521">
        <v>1</v>
      </c>
      <c r="J951" s="1538">
        <v>2</v>
      </c>
      <c r="K951" s="1525"/>
      <c r="L951" s="1519">
        <v>13089021202</v>
      </c>
      <c r="M951" s="1520">
        <v>1</v>
      </c>
      <c r="N951" s="1520">
        <v>1</v>
      </c>
      <c r="O951" s="1520">
        <v>2</v>
      </c>
    </row>
    <row r="952" spans="3:15" ht="13.5">
      <c r="C952" s="1526" t="s">
        <v>4910</v>
      </c>
      <c r="D952" s="1523">
        <v>0</v>
      </c>
      <c r="E952" s="1523">
        <v>0</v>
      </c>
      <c r="F952" s="1524">
        <v>0</v>
      </c>
      <c r="G952" s="1537" t="s">
        <v>4910</v>
      </c>
      <c r="H952" s="1521">
        <v>0</v>
      </c>
      <c r="I952" s="1521" t="s">
        <v>4096</v>
      </c>
      <c r="J952" s="1538">
        <v>0</v>
      </c>
      <c r="K952" s="1525"/>
      <c r="L952" s="1519">
        <v>13089021204</v>
      </c>
      <c r="M952" s="1520">
        <v>0</v>
      </c>
      <c r="N952" s="1520">
        <v>0</v>
      </c>
      <c r="O952" s="1520">
        <v>0</v>
      </c>
    </row>
    <row r="953" spans="3:15" ht="13.5">
      <c r="C953" s="1526" t="s">
        <v>4911</v>
      </c>
      <c r="D953" s="1523">
        <v>1</v>
      </c>
      <c r="E953" s="1523">
        <v>1</v>
      </c>
      <c r="F953" s="1524">
        <v>2</v>
      </c>
      <c r="G953" s="1537" t="s">
        <v>4911</v>
      </c>
      <c r="H953" s="1521">
        <v>1</v>
      </c>
      <c r="I953" s="1521">
        <v>1</v>
      </c>
      <c r="J953" s="1538">
        <v>2</v>
      </c>
      <c r="K953" s="1525"/>
      <c r="L953" s="1519">
        <v>13089021208</v>
      </c>
      <c r="M953" s="1520">
        <v>1</v>
      </c>
      <c r="N953" s="1520">
        <v>1</v>
      </c>
      <c r="O953" s="1520">
        <v>2</v>
      </c>
    </row>
    <row r="954" spans="3:15" ht="13.5">
      <c r="C954" s="1526" t="s">
        <v>4912</v>
      </c>
      <c r="D954" s="1523">
        <v>1</v>
      </c>
      <c r="E954" s="1523">
        <v>1</v>
      </c>
      <c r="F954" s="1524">
        <v>2</v>
      </c>
      <c r="G954" s="1537" t="s">
        <v>4912</v>
      </c>
      <c r="H954" s="1521">
        <v>1</v>
      </c>
      <c r="I954" s="1521">
        <v>1</v>
      </c>
      <c r="J954" s="1538">
        <v>2</v>
      </c>
      <c r="K954" s="1525"/>
      <c r="L954" s="1519">
        <v>13089021209</v>
      </c>
      <c r="M954" s="1520">
        <v>1</v>
      </c>
      <c r="N954" s="1520">
        <v>1</v>
      </c>
      <c r="O954" s="1520">
        <v>2</v>
      </c>
    </row>
    <row r="955" spans="3:15" ht="13.5">
      <c r="C955" s="1526" t="s">
        <v>4913</v>
      </c>
      <c r="D955" s="1523">
        <v>1</v>
      </c>
      <c r="E955" s="1523">
        <v>1</v>
      </c>
      <c r="F955" s="1524">
        <v>2</v>
      </c>
      <c r="G955" s="1537" t="s">
        <v>4913</v>
      </c>
      <c r="H955" s="1521">
        <v>1</v>
      </c>
      <c r="I955" s="1521">
        <v>1</v>
      </c>
      <c r="J955" s="1538">
        <v>2</v>
      </c>
      <c r="K955" s="1525"/>
      <c r="L955" s="1519">
        <v>13089021210</v>
      </c>
      <c r="M955" s="1520">
        <v>1</v>
      </c>
      <c r="N955" s="1520">
        <v>1</v>
      </c>
      <c r="O955" s="1520">
        <v>2</v>
      </c>
    </row>
    <row r="956" spans="3:15" ht="13.5">
      <c r="C956" s="1526" t="s">
        <v>4914</v>
      </c>
      <c r="D956" s="1523">
        <v>1</v>
      </c>
      <c r="E956" s="1523">
        <v>1</v>
      </c>
      <c r="F956" s="1524">
        <v>2</v>
      </c>
      <c r="G956" s="1537" t="s">
        <v>4914</v>
      </c>
      <c r="H956" s="1521">
        <v>1</v>
      </c>
      <c r="I956" s="1521">
        <v>1</v>
      </c>
      <c r="J956" s="1538">
        <v>2</v>
      </c>
      <c r="K956" s="1525"/>
      <c r="L956" s="1519">
        <v>13089021211</v>
      </c>
      <c r="M956" s="1520">
        <v>1</v>
      </c>
      <c r="N956" s="1520">
        <v>1</v>
      </c>
      <c r="O956" s="1520">
        <v>2</v>
      </c>
    </row>
    <row r="957" spans="3:15" ht="13.5">
      <c r="C957" s="1526" t="s">
        <v>4915</v>
      </c>
      <c r="D957" s="1523">
        <v>1</v>
      </c>
      <c r="E957" s="1523">
        <v>1</v>
      </c>
      <c r="F957" s="1524">
        <v>2</v>
      </c>
      <c r="G957" s="1537" t="s">
        <v>4915</v>
      </c>
      <c r="H957" s="1521">
        <v>1</v>
      </c>
      <c r="I957" s="1521">
        <v>1</v>
      </c>
      <c r="J957" s="1538">
        <v>2</v>
      </c>
      <c r="K957" s="1525"/>
      <c r="L957" s="1519">
        <v>13089021213</v>
      </c>
      <c r="M957" s="1520">
        <v>1</v>
      </c>
      <c r="N957" s="1520">
        <v>1</v>
      </c>
      <c r="O957" s="1520">
        <v>2</v>
      </c>
    </row>
    <row r="958" spans="3:15" ht="13.5">
      <c r="C958" s="1526" t="s">
        <v>4916</v>
      </c>
      <c r="D958" s="1523">
        <v>1</v>
      </c>
      <c r="E958" s="1523">
        <v>1</v>
      </c>
      <c r="F958" s="1524">
        <v>2</v>
      </c>
      <c r="G958" s="1537" t="s">
        <v>4916</v>
      </c>
      <c r="H958" s="1521">
        <v>1</v>
      </c>
      <c r="I958" s="1521" t="s">
        <v>4096</v>
      </c>
      <c r="J958" s="1538">
        <v>1</v>
      </c>
      <c r="K958" s="1525"/>
      <c r="L958" s="1519">
        <v>13089021214</v>
      </c>
      <c r="M958" s="1520">
        <v>1</v>
      </c>
      <c r="N958" s="1520">
        <v>1</v>
      </c>
      <c r="O958" s="1520">
        <v>2</v>
      </c>
    </row>
    <row r="959" spans="3:15" ht="13.5">
      <c r="C959" s="1526" t="s">
        <v>4917</v>
      </c>
      <c r="D959" s="1523">
        <v>1</v>
      </c>
      <c r="E959" s="1523">
        <v>1</v>
      </c>
      <c r="F959" s="1524">
        <v>2</v>
      </c>
      <c r="G959" s="1537" t="s">
        <v>4917</v>
      </c>
      <c r="H959" s="1521">
        <v>1</v>
      </c>
      <c r="I959" s="1521">
        <v>1</v>
      </c>
      <c r="J959" s="1538">
        <v>2</v>
      </c>
      <c r="K959" s="1525"/>
      <c r="L959" s="1519">
        <v>13089021215</v>
      </c>
      <c r="M959" s="1520">
        <v>1</v>
      </c>
      <c r="N959" s="1520">
        <v>1</v>
      </c>
      <c r="O959" s="1520">
        <v>2</v>
      </c>
    </row>
    <row r="960" spans="3:15" ht="13.5">
      <c r="C960" s="1526" t="s">
        <v>4918</v>
      </c>
      <c r="D960" s="1523">
        <v>1</v>
      </c>
      <c r="E960" s="1523">
        <v>1</v>
      </c>
      <c r="F960" s="1524">
        <v>2</v>
      </c>
      <c r="G960" s="1537" t="s">
        <v>4918</v>
      </c>
      <c r="H960" s="1521">
        <v>1</v>
      </c>
      <c r="I960" s="1521">
        <v>1</v>
      </c>
      <c r="J960" s="1538">
        <v>2</v>
      </c>
      <c r="K960" s="1525"/>
      <c r="L960" s="1519">
        <v>13089021216</v>
      </c>
      <c r="M960" s="1520">
        <v>1</v>
      </c>
      <c r="N960" s="1520">
        <v>1</v>
      </c>
      <c r="O960" s="1520">
        <v>2</v>
      </c>
    </row>
    <row r="961" spans="3:15" ht="13.5">
      <c r="C961" s="1526" t="s">
        <v>4919</v>
      </c>
      <c r="D961" s="1523">
        <v>1</v>
      </c>
      <c r="E961" s="1523">
        <v>1</v>
      </c>
      <c r="F961" s="1524">
        <v>2</v>
      </c>
      <c r="G961" s="1537" t="s">
        <v>4919</v>
      </c>
      <c r="H961" s="1521">
        <v>1</v>
      </c>
      <c r="I961" s="1521">
        <v>1</v>
      </c>
      <c r="J961" s="1538">
        <v>2</v>
      </c>
      <c r="K961" s="1525"/>
      <c r="L961" s="1519">
        <v>13089021217</v>
      </c>
      <c r="M961" s="1520">
        <v>1</v>
      </c>
      <c r="N961" s="1520">
        <v>1</v>
      </c>
      <c r="O961" s="1520">
        <v>2</v>
      </c>
    </row>
    <row r="962" spans="3:15" ht="13.5">
      <c r="C962" s="1526" t="s">
        <v>4920</v>
      </c>
      <c r="D962" s="1523">
        <v>1</v>
      </c>
      <c r="E962" s="1523">
        <v>1</v>
      </c>
      <c r="F962" s="1524">
        <v>2</v>
      </c>
      <c r="G962" s="1537" t="s">
        <v>4920</v>
      </c>
      <c r="H962" s="1521">
        <v>1</v>
      </c>
      <c r="I962" s="1521">
        <v>1</v>
      </c>
      <c r="J962" s="1538">
        <v>2</v>
      </c>
      <c r="K962" s="1525"/>
      <c r="L962" s="1519">
        <v>13089021218</v>
      </c>
      <c r="M962" s="1520">
        <v>1</v>
      </c>
      <c r="N962" s="1520">
        <v>1</v>
      </c>
      <c r="O962" s="1520">
        <v>2</v>
      </c>
    </row>
    <row r="963" spans="3:15" ht="13.5">
      <c r="C963" s="1526" t="s">
        <v>4921</v>
      </c>
      <c r="D963" s="1523">
        <v>0</v>
      </c>
      <c r="E963" s="1523">
        <v>0</v>
      </c>
      <c r="F963" s="1524">
        <v>0</v>
      </c>
      <c r="G963" s="1537" t="s">
        <v>4921</v>
      </c>
      <c r="H963" s="1521">
        <v>1</v>
      </c>
      <c r="I963" s="1521">
        <v>0</v>
      </c>
      <c r="J963" s="1538">
        <v>1</v>
      </c>
      <c r="K963" s="1525"/>
      <c r="L963" s="1519">
        <v>13089021301</v>
      </c>
      <c r="M963" s="1520">
        <v>1</v>
      </c>
      <c r="N963" s="1520">
        <v>0</v>
      </c>
      <c r="O963" s="1520">
        <v>1</v>
      </c>
    </row>
    <row r="964" spans="3:15" ht="13.5">
      <c r="C964" s="1526" t="s">
        <v>4922</v>
      </c>
      <c r="D964" s="1523">
        <v>0</v>
      </c>
      <c r="E964" s="1523">
        <v>0</v>
      </c>
      <c r="F964" s="1524">
        <v>0</v>
      </c>
      <c r="G964" s="1537" t="s">
        <v>4922</v>
      </c>
      <c r="H964" s="1521">
        <v>0</v>
      </c>
      <c r="I964" s="1521">
        <v>0</v>
      </c>
      <c r="J964" s="1538">
        <v>0</v>
      </c>
      <c r="K964" s="1525"/>
      <c r="L964" s="1519">
        <v>13089021303</v>
      </c>
      <c r="M964" s="1520">
        <v>0</v>
      </c>
      <c r="N964" s="1520">
        <v>0</v>
      </c>
      <c r="O964" s="1520">
        <v>0</v>
      </c>
    </row>
    <row r="965" spans="3:15" ht="13.5">
      <c r="C965" s="1526" t="s">
        <v>4923</v>
      </c>
      <c r="D965" s="1523">
        <v>0</v>
      </c>
      <c r="E965" s="1523">
        <v>0</v>
      </c>
      <c r="F965" s="1524">
        <v>0</v>
      </c>
      <c r="G965" s="1537" t="s">
        <v>4923</v>
      </c>
      <c r="H965" s="1521">
        <v>1</v>
      </c>
      <c r="I965" s="1521">
        <v>0</v>
      </c>
      <c r="J965" s="1538">
        <v>1</v>
      </c>
      <c r="K965" s="1525"/>
      <c r="L965" s="1519">
        <v>13089021305</v>
      </c>
      <c r="M965" s="1520">
        <v>1</v>
      </c>
      <c r="N965" s="1520">
        <v>0</v>
      </c>
      <c r="O965" s="1520">
        <v>1</v>
      </c>
    </row>
    <row r="966" spans="3:15" ht="13.5">
      <c r="C966" s="1526" t="s">
        <v>4924</v>
      </c>
      <c r="D966" s="1523">
        <v>1</v>
      </c>
      <c r="E966" s="1523">
        <v>0</v>
      </c>
      <c r="F966" s="1524">
        <v>1</v>
      </c>
      <c r="G966" s="1537" t="s">
        <v>4924</v>
      </c>
      <c r="H966" s="1521">
        <v>1</v>
      </c>
      <c r="I966" s="1521">
        <v>0</v>
      </c>
      <c r="J966" s="1538">
        <v>1</v>
      </c>
      <c r="K966" s="1525"/>
      <c r="L966" s="1519">
        <v>13089021306</v>
      </c>
      <c r="M966" s="1520">
        <v>1</v>
      </c>
      <c r="N966" s="1520">
        <v>0</v>
      </c>
      <c r="O966" s="1520">
        <v>1</v>
      </c>
    </row>
    <row r="967" spans="3:15" ht="13.5">
      <c r="C967" s="1526" t="s">
        <v>4925</v>
      </c>
      <c r="D967" s="1523">
        <v>0</v>
      </c>
      <c r="E967" s="1523">
        <v>0</v>
      </c>
      <c r="F967" s="1524">
        <v>0</v>
      </c>
      <c r="G967" s="1537" t="s">
        <v>4925</v>
      </c>
      <c r="H967" s="1521">
        <v>1</v>
      </c>
      <c r="I967" s="1521">
        <v>0</v>
      </c>
      <c r="J967" s="1538">
        <v>1</v>
      </c>
      <c r="K967" s="1525"/>
      <c r="L967" s="1519">
        <v>13089021307</v>
      </c>
      <c r="M967" s="1520">
        <v>1</v>
      </c>
      <c r="N967" s="1520">
        <v>0</v>
      </c>
      <c r="O967" s="1520">
        <v>1</v>
      </c>
    </row>
    <row r="968" spans="3:15" ht="13.5">
      <c r="C968" s="1526" t="s">
        <v>4926</v>
      </c>
      <c r="D968" s="1523">
        <v>1</v>
      </c>
      <c r="E968" s="1523">
        <v>0</v>
      </c>
      <c r="F968" s="1524">
        <v>1</v>
      </c>
      <c r="G968" s="1537" t="s">
        <v>4926</v>
      </c>
      <c r="H968" s="1521">
        <v>1</v>
      </c>
      <c r="I968" s="1521">
        <v>0</v>
      </c>
      <c r="J968" s="1538">
        <v>1</v>
      </c>
      <c r="K968" s="1525"/>
      <c r="L968" s="1519">
        <v>13089021308</v>
      </c>
      <c r="M968" s="1520">
        <v>1</v>
      </c>
      <c r="N968" s="1520">
        <v>0</v>
      </c>
      <c r="O968" s="1520">
        <v>1</v>
      </c>
    </row>
    <row r="969" spans="3:15" ht="13.5">
      <c r="C969" s="1526" t="s">
        <v>4927</v>
      </c>
      <c r="D969" s="1523">
        <v>1</v>
      </c>
      <c r="E969" s="1523">
        <v>1</v>
      </c>
      <c r="F969" s="1524">
        <v>2</v>
      </c>
      <c r="G969" s="1537" t="s">
        <v>4927</v>
      </c>
      <c r="H969" s="1521">
        <v>1</v>
      </c>
      <c r="I969" s="1521">
        <v>1</v>
      </c>
      <c r="J969" s="1538">
        <v>2</v>
      </c>
      <c r="K969" s="1525"/>
      <c r="L969" s="1519">
        <v>13089021405</v>
      </c>
      <c r="M969" s="1520">
        <v>1</v>
      </c>
      <c r="N969" s="1520">
        <v>1</v>
      </c>
      <c r="O969" s="1520">
        <v>2</v>
      </c>
    </row>
    <row r="970" spans="3:15" ht="13.5">
      <c r="C970" s="1526" t="s">
        <v>4928</v>
      </c>
      <c r="D970" s="1523">
        <v>0</v>
      </c>
      <c r="E970" s="1523">
        <v>0</v>
      </c>
      <c r="F970" s="1524">
        <v>0</v>
      </c>
      <c r="G970" s="1537" t="s">
        <v>4928</v>
      </c>
      <c r="H970" s="1521">
        <v>1</v>
      </c>
      <c r="I970" s="1521" t="s">
        <v>4096</v>
      </c>
      <c r="J970" s="1538">
        <v>1</v>
      </c>
      <c r="K970" s="1525"/>
      <c r="L970" s="1519">
        <v>13089021409</v>
      </c>
      <c r="M970" s="1520">
        <v>1</v>
      </c>
      <c r="N970" s="1520">
        <v>0</v>
      </c>
      <c r="O970" s="1520">
        <v>1</v>
      </c>
    </row>
    <row r="971" spans="3:15" ht="13.5">
      <c r="C971" s="1526" t="s">
        <v>4929</v>
      </c>
      <c r="D971" s="1523">
        <v>1</v>
      </c>
      <c r="E971" s="1523">
        <v>0</v>
      </c>
      <c r="F971" s="1524">
        <v>1</v>
      </c>
      <c r="G971" s="1537" t="s">
        <v>4929</v>
      </c>
      <c r="H971" s="1521">
        <v>1</v>
      </c>
      <c r="I971" s="1521" t="s">
        <v>4096</v>
      </c>
      <c r="J971" s="1538">
        <v>1</v>
      </c>
      <c r="K971" s="1525"/>
      <c r="L971" s="1519">
        <v>13089021410</v>
      </c>
      <c r="M971" s="1520">
        <v>1</v>
      </c>
      <c r="N971" s="1520">
        <v>0</v>
      </c>
      <c r="O971" s="1520">
        <v>1</v>
      </c>
    </row>
    <row r="972" spans="3:15" ht="13.5">
      <c r="C972" s="1526" t="s">
        <v>4930</v>
      </c>
      <c r="D972" s="1523">
        <v>1</v>
      </c>
      <c r="E972" s="1523">
        <v>1</v>
      </c>
      <c r="F972" s="1524">
        <v>2</v>
      </c>
      <c r="G972" s="1537" t="s">
        <v>4930</v>
      </c>
      <c r="H972" s="1521">
        <v>1</v>
      </c>
      <c r="I972" s="1521">
        <v>1</v>
      </c>
      <c r="J972" s="1538">
        <v>2</v>
      </c>
      <c r="K972" s="1525"/>
      <c r="L972" s="1519">
        <v>13089021411</v>
      </c>
      <c r="M972" s="1520">
        <v>1</v>
      </c>
      <c r="N972" s="1520">
        <v>1</v>
      </c>
      <c r="O972" s="1520">
        <v>2</v>
      </c>
    </row>
    <row r="973" spans="3:15" ht="13.5">
      <c r="C973" s="1526" t="s">
        <v>4931</v>
      </c>
      <c r="D973" s="1523">
        <v>1</v>
      </c>
      <c r="E973" s="1523">
        <v>1</v>
      </c>
      <c r="F973" s="1524">
        <v>2</v>
      </c>
      <c r="G973" s="1537" t="s">
        <v>4931</v>
      </c>
      <c r="H973" s="1521">
        <v>1</v>
      </c>
      <c r="I973" s="1521">
        <v>1</v>
      </c>
      <c r="J973" s="1538">
        <v>2</v>
      </c>
      <c r="K973" s="1525"/>
      <c r="L973" s="1519">
        <v>13089021412</v>
      </c>
      <c r="M973" s="1520">
        <v>1</v>
      </c>
      <c r="N973" s="1520">
        <v>1</v>
      </c>
      <c r="O973" s="1520">
        <v>2</v>
      </c>
    </row>
    <row r="974" spans="3:15" ht="13.5">
      <c r="C974" s="1526" t="s">
        <v>4932</v>
      </c>
      <c r="D974" s="1523">
        <v>0</v>
      </c>
      <c r="E974" s="1523">
        <v>0</v>
      </c>
      <c r="F974" s="1524">
        <v>0</v>
      </c>
      <c r="G974" s="1537" t="s">
        <v>4932</v>
      </c>
      <c r="H974" s="1521">
        <v>1</v>
      </c>
      <c r="I974" s="1521">
        <v>0</v>
      </c>
      <c r="J974" s="1538">
        <v>1</v>
      </c>
      <c r="K974" s="1525"/>
      <c r="L974" s="1519">
        <v>13089021413</v>
      </c>
      <c r="M974" s="1520">
        <v>1</v>
      </c>
      <c r="N974" s="1520">
        <v>0</v>
      </c>
      <c r="O974" s="1520">
        <v>1</v>
      </c>
    </row>
    <row r="975" spans="3:15" ht="13.5">
      <c r="C975" s="1526" t="s">
        <v>4933</v>
      </c>
      <c r="D975" s="1523">
        <v>1</v>
      </c>
      <c r="E975" s="1523">
        <v>0</v>
      </c>
      <c r="F975" s="1524">
        <v>1</v>
      </c>
      <c r="G975" s="1537" t="s">
        <v>4933</v>
      </c>
      <c r="H975" s="1521">
        <v>0</v>
      </c>
      <c r="I975" s="1521">
        <v>0</v>
      </c>
      <c r="J975" s="1538">
        <v>0</v>
      </c>
      <c r="K975" s="1525"/>
      <c r="L975" s="1519">
        <v>13089021414</v>
      </c>
      <c r="M975" s="1520">
        <v>1</v>
      </c>
      <c r="N975" s="1520">
        <v>0</v>
      </c>
      <c r="O975" s="1520">
        <v>1</v>
      </c>
    </row>
    <row r="976" spans="3:15" ht="13.5">
      <c r="C976" s="1526" t="s">
        <v>4934</v>
      </c>
      <c r="D976" s="1523">
        <v>1</v>
      </c>
      <c r="E976" s="1523">
        <v>1</v>
      </c>
      <c r="F976" s="1524">
        <v>2</v>
      </c>
      <c r="G976" s="1537" t="s">
        <v>4934</v>
      </c>
      <c r="H976" s="1521">
        <v>1</v>
      </c>
      <c r="I976" s="1521" t="s">
        <v>4096</v>
      </c>
      <c r="J976" s="1538">
        <v>1</v>
      </c>
      <c r="K976" s="1525"/>
      <c r="L976" s="1519">
        <v>13089021415</v>
      </c>
      <c r="M976" s="1520">
        <v>1</v>
      </c>
      <c r="N976" s="1520">
        <v>1</v>
      </c>
      <c r="O976" s="1520">
        <v>2</v>
      </c>
    </row>
    <row r="977" spans="3:15" ht="13.5">
      <c r="C977" s="1526" t="s">
        <v>4935</v>
      </c>
      <c r="D977" s="1523">
        <v>1</v>
      </c>
      <c r="E977" s="1523">
        <v>0</v>
      </c>
      <c r="F977" s="1524">
        <v>1</v>
      </c>
      <c r="G977" s="1537" t="s">
        <v>4935</v>
      </c>
      <c r="H977" s="1521">
        <v>1</v>
      </c>
      <c r="I977" s="1521">
        <v>0</v>
      </c>
      <c r="J977" s="1538">
        <v>1</v>
      </c>
      <c r="K977" s="1525"/>
      <c r="L977" s="1519">
        <v>13089021416</v>
      </c>
      <c r="M977" s="1520">
        <v>1</v>
      </c>
      <c r="N977" s="1520">
        <v>0</v>
      </c>
      <c r="O977" s="1520">
        <v>1</v>
      </c>
    </row>
    <row r="978" spans="3:15" ht="13.5">
      <c r="C978" s="1526" t="s">
        <v>4936</v>
      </c>
      <c r="D978" s="1523">
        <v>0</v>
      </c>
      <c r="E978" s="1523">
        <v>0</v>
      </c>
      <c r="F978" s="1524">
        <v>0</v>
      </c>
      <c r="G978" s="1537" t="s">
        <v>4936</v>
      </c>
      <c r="H978" s="1521">
        <v>1</v>
      </c>
      <c r="I978" s="1521" t="s">
        <v>4096</v>
      </c>
      <c r="J978" s="1538">
        <v>1</v>
      </c>
      <c r="K978" s="1525"/>
      <c r="L978" s="1519">
        <v>13089021417</v>
      </c>
      <c r="M978" s="1520">
        <v>1</v>
      </c>
      <c r="N978" s="1520">
        <v>0</v>
      </c>
      <c r="O978" s="1520">
        <v>1</v>
      </c>
    </row>
    <row r="979" spans="3:15" ht="13.5">
      <c r="C979" s="1526" t="s">
        <v>4937</v>
      </c>
      <c r="D979" s="1523">
        <v>1</v>
      </c>
      <c r="E979" s="1523">
        <v>1</v>
      </c>
      <c r="F979" s="1524">
        <v>2</v>
      </c>
      <c r="G979" s="1537" t="s">
        <v>4937</v>
      </c>
      <c r="H979" s="1521">
        <v>1</v>
      </c>
      <c r="I979" s="1521">
        <v>1</v>
      </c>
      <c r="J979" s="1538">
        <v>2</v>
      </c>
      <c r="K979" s="1525"/>
      <c r="L979" s="1519">
        <v>13089021502</v>
      </c>
      <c r="M979" s="1520">
        <v>1</v>
      </c>
      <c r="N979" s="1520">
        <v>1</v>
      </c>
      <c r="O979" s="1520">
        <v>2</v>
      </c>
    </row>
    <row r="980" spans="3:15" ht="13.5">
      <c r="C980" s="1526" t="s">
        <v>4938</v>
      </c>
      <c r="D980" s="1523">
        <v>1</v>
      </c>
      <c r="E980" s="1523">
        <v>0</v>
      </c>
      <c r="F980" s="1524">
        <v>1</v>
      </c>
      <c r="G980" s="1537" t="s">
        <v>4938</v>
      </c>
      <c r="H980" s="1521">
        <v>1</v>
      </c>
      <c r="I980" s="1521">
        <v>1</v>
      </c>
      <c r="J980" s="1538">
        <v>2</v>
      </c>
      <c r="K980" s="1525"/>
      <c r="L980" s="1519">
        <v>13089021503</v>
      </c>
      <c r="M980" s="1520">
        <v>1</v>
      </c>
      <c r="N980" s="1520">
        <v>1</v>
      </c>
      <c r="O980" s="1520">
        <v>2</v>
      </c>
    </row>
    <row r="981" spans="3:15" ht="13.5">
      <c r="C981" s="1526" t="s">
        <v>4939</v>
      </c>
      <c r="D981" s="1523">
        <v>1</v>
      </c>
      <c r="E981" s="1523">
        <v>1</v>
      </c>
      <c r="F981" s="1524">
        <v>2</v>
      </c>
      <c r="G981" s="1537" t="s">
        <v>4939</v>
      </c>
      <c r="H981" s="1521">
        <v>1</v>
      </c>
      <c r="I981" s="1521" t="s">
        <v>4096</v>
      </c>
      <c r="J981" s="1538">
        <v>1</v>
      </c>
      <c r="K981" s="1525"/>
      <c r="L981" s="1519">
        <v>13089021504</v>
      </c>
      <c r="M981" s="1520">
        <v>1</v>
      </c>
      <c r="N981" s="1520">
        <v>1</v>
      </c>
      <c r="O981" s="1520">
        <v>2</v>
      </c>
    </row>
    <row r="982" spans="3:15" ht="13.5">
      <c r="C982" s="1526" t="s">
        <v>4940</v>
      </c>
      <c r="D982" s="1523">
        <v>1</v>
      </c>
      <c r="E982" s="1523">
        <v>1</v>
      </c>
      <c r="F982" s="1524">
        <v>2</v>
      </c>
      <c r="G982" s="1537" t="s">
        <v>4940</v>
      </c>
      <c r="H982" s="1521">
        <v>1</v>
      </c>
      <c r="I982" s="1521">
        <v>1</v>
      </c>
      <c r="J982" s="1538">
        <v>2</v>
      </c>
      <c r="K982" s="1525"/>
      <c r="L982" s="1519">
        <v>13089021602</v>
      </c>
      <c r="M982" s="1520">
        <v>1</v>
      </c>
      <c r="N982" s="1520">
        <v>1</v>
      </c>
      <c r="O982" s="1520">
        <v>2</v>
      </c>
    </row>
    <row r="983" spans="3:15" ht="13.5">
      <c r="C983" s="1526" t="s">
        <v>4941</v>
      </c>
      <c r="D983" s="1523">
        <v>1</v>
      </c>
      <c r="E983" s="1523">
        <v>1</v>
      </c>
      <c r="F983" s="1524">
        <v>2</v>
      </c>
      <c r="G983" s="1537" t="s">
        <v>4941</v>
      </c>
      <c r="H983" s="1521">
        <v>1</v>
      </c>
      <c r="I983" s="1521">
        <v>1</v>
      </c>
      <c r="J983" s="1538">
        <v>2</v>
      </c>
      <c r="K983" s="1525"/>
      <c r="L983" s="1519">
        <v>13089021603</v>
      </c>
      <c r="M983" s="1520">
        <v>1</v>
      </c>
      <c r="N983" s="1520">
        <v>1</v>
      </c>
      <c r="O983" s="1520">
        <v>2</v>
      </c>
    </row>
    <row r="984" spans="3:15" ht="13.5">
      <c r="C984" s="1526" t="s">
        <v>4942</v>
      </c>
      <c r="D984" s="1523">
        <v>1</v>
      </c>
      <c r="E984" s="1523">
        <v>1</v>
      </c>
      <c r="F984" s="1524">
        <v>2</v>
      </c>
      <c r="G984" s="1537" t="s">
        <v>4942</v>
      </c>
      <c r="H984" s="1521">
        <v>1</v>
      </c>
      <c r="I984" s="1521">
        <v>1</v>
      </c>
      <c r="J984" s="1538">
        <v>2</v>
      </c>
      <c r="K984" s="1525"/>
      <c r="L984" s="1519">
        <v>13089021604</v>
      </c>
      <c r="M984" s="1520">
        <v>1</v>
      </c>
      <c r="N984" s="1520">
        <v>1</v>
      </c>
      <c r="O984" s="1520">
        <v>2</v>
      </c>
    </row>
    <row r="985" spans="3:15" ht="13.5">
      <c r="C985" s="1526" t="s">
        <v>4943</v>
      </c>
      <c r="D985" s="1523">
        <v>1</v>
      </c>
      <c r="E985" s="1523">
        <v>1</v>
      </c>
      <c r="F985" s="1524">
        <v>2</v>
      </c>
      <c r="G985" s="1537" t="s">
        <v>4943</v>
      </c>
      <c r="H985" s="1521">
        <v>1</v>
      </c>
      <c r="I985" s="1521">
        <v>1</v>
      </c>
      <c r="J985" s="1538">
        <v>2</v>
      </c>
      <c r="K985" s="1525"/>
      <c r="L985" s="1519">
        <v>13089021605</v>
      </c>
      <c r="M985" s="1520">
        <v>1</v>
      </c>
      <c r="N985" s="1520">
        <v>1</v>
      </c>
      <c r="O985" s="1520">
        <v>2</v>
      </c>
    </row>
    <row r="986" spans="3:15" ht="13.5">
      <c r="C986" s="1526" t="s">
        <v>4944</v>
      </c>
      <c r="D986" s="1523">
        <v>1</v>
      </c>
      <c r="E986" s="1523">
        <v>1</v>
      </c>
      <c r="F986" s="1524">
        <v>2</v>
      </c>
      <c r="G986" s="1537" t="s">
        <v>4944</v>
      </c>
      <c r="H986" s="1521">
        <v>1</v>
      </c>
      <c r="I986" s="1521">
        <v>1</v>
      </c>
      <c r="J986" s="1538">
        <v>2</v>
      </c>
      <c r="K986" s="1525"/>
      <c r="L986" s="1519">
        <v>13089021703</v>
      </c>
      <c r="M986" s="1520">
        <v>1</v>
      </c>
      <c r="N986" s="1520">
        <v>1</v>
      </c>
      <c r="O986" s="1520">
        <v>2</v>
      </c>
    </row>
    <row r="987" spans="3:15" ht="13.5">
      <c r="C987" s="1526" t="s">
        <v>4945</v>
      </c>
      <c r="D987" s="1523">
        <v>1</v>
      </c>
      <c r="E987" s="1523">
        <v>1</v>
      </c>
      <c r="F987" s="1524">
        <v>2</v>
      </c>
      <c r="G987" s="1537" t="s">
        <v>4945</v>
      </c>
      <c r="H987" s="1521">
        <v>1</v>
      </c>
      <c r="I987" s="1521">
        <v>1</v>
      </c>
      <c r="J987" s="1538">
        <v>2</v>
      </c>
      <c r="K987" s="1525"/>
      <c r="L987" s="1519">
        <v>13089021704</v>
      </c>
      <c r="M987" s="1520">
        <v>1</v>
      </c>
      <c r="N987" s="1520">
        <v>1</v>
      </c>
      <c r="O987" s="1520">
        <v>2</v>
      </c>
    </row>
    <row r="988" spans="3:15" ht="13.5">
      <c r="C988" s="1526" t="s">
        <v>4946</v>
      </c>
      <c r="D988" s="1523">
        <v>1</v>
      </c>
      <c r="E988" s="1523">
        <v>0</v>
      </c>
      <c r="F988" s="1524">
        <v>1</v>
      </c>
      <c r="G988" s="1537" t="s">
        <v>4946</v>
      </c>
      <c r="H988" s="1521">
        <v>1</v>
      </c>
      <c r="I988" s="1521">
        <v>1</v>
      </c>
      <c r="J988" s="1538">
        <v>2</v>
      </c>
      <c r="K988" s="1525"/>
      <c r="L988" s="1519">
        <v>13089021705</v>
      </c>
      <c r="M988" s="1520">
        <v>1</v>
      </c>
      <c r="N988" s="1520">
        <v>1</v>
      </c>
      <c r="O988" s="1520">
        <v>2</v>
      </c>
    </row>
    <row r="989" spans="3:15" ht="13.5">
      <c r="C989" s="1526" t="s">
        <v>4947</v>
      </c>
      <c r="D989" s="1523">
        <v>1</v>
      </c>
      <c r="E989" s="1523">
        <v>1</v>
      </c>
      <c r="F989" s="1524">
        <v>2</v>
      </c>
      <c r="G989" s="1537" t="s">
        <v>4947</v>
      </c>
      <c r="H989" s="1521">
        <v>1</v>
      </c>
      <c r="I989" s="1521">
        <v>1</v>
      </c>
      <c r="J989" s="1538">
        <v>2</v>
      </c>
      <c r="K989" s="1525"/>
      <c r="L989" s="1519">
        <v>13089021706</v>
      </c>
      <c r="M989" s="1520">
        <v>1</v>
      </c>
      <c r="N989" s="1520">
        <v>1</v>
      </c>
      <c r="O989" s="1520">
        <v>2</v>
      </c>
    </row>
    <row r="990" spans="3:15" ht="13.5">
      <c r="C990" s="1526" t="s">
        <v>4948</v>
      </c>
      <c r="D990" s="1523">
        <v>1</v>
      </c>
      <c r="E990" s="1523">
        <v>0</v>
      </c>
      <c r="F990" s="1524">
        <v>1</v>
      </c>
      <c r="G990" s="1537" t="s">
        <v>4948</v>
      </c>
      <c r="H990" s="1521">
        <v>1</v>
      </c>
      <c r="I990" s="1521">
        <v>0</v>
      </c>
      <c r="J990" s="1538">
        <v>1</v>
      </c>
      <c r="K990" s="1525"/>
      <c r="L990" s="1519">
        <v>13089021805</v>
      </c>
      <c r="M990" s="1520">
        <v>1</v>
      </c>
      <c r="N990" s="1520">
        <v>0</v>
      </c>
      <c r="O990" s="1520">
        <v>1</v>
      </c>
    </row>
    <row r="991" spans="3:15" ht="13.5">
      <c r="C991" s="1526" t="s">
        <v>4949</v>
      </c>
      <c r="D991" s="1523">
        <v>1</v>
      </c>
      <c r="E991" s="1523">
        <v>0</v>
      </c>
      <c r="F991" s="1524">
        <v>1</v>
      </c>
      <c r="G991" s="1537" t="s">
        <v>4949</v>
      </c>
      <c r="H991" s="1521">
        <v>1</v>
      </c>
      <c r="I991" s="1521">
        <v>0</v>
      </c>
      <c r="J991" s="1538">
        <v>1</v>
      </c>
      <c r="K991" s="1525"/>
      <c r="L991" s="1519">
        <v>13089021806</v>
      </c>
      <c r="M991" s="1520">
        <v>1</v>
      </c>
      <c r="N991" s="1520">
        <v>0</v>
      </c>
      <c r="O991" s="1520">
        <v>1</v>
      </c>
    </row>
    <row r="992" spans="3:15" ht="13.5">
      <c r="C992" s="1526" t="s">
        <v>4950</v>
      </c>
      <c r="D992" s="1523">
        <v>1</v>
      </c>
      <c r="E992" s="1523">
        <v>1</v>
      </c>
      <c r="F992" s="1524">
        <v>2</v>
      </c>
      <c r="G992" s="1537" t="s">
        <v>4950</v>
      </c>
      <c r="H992" s="1521">
        <v>1</v>
      </c>
      <c r="I992" s="1521">
        <v>1</v>
      </c>
      <c r="J992" s="1538">
        <v>2</v>
      </c>
      <c r="K992" s="1525"/>
      <c r="L992" s="1519">
        <v>13089021808</v>
      </c>
      <c r="M992" s="1520">
        <v>1</v>
      </c>
      <c r="N992" s="1520">
        <v>1</v>
      </c>
      <c r="O992" s="1520">
        <v>2</v>
      </c>
    </row>
    <row r="993" spans="3:15" ht="13.5">
      <c r="C993" s="1526" t="s">
        <v>4951</v>
      </c>
      <c r="D993" s="1523">
        <v>1</v>
      </c>
      <c r="E993" s="1523">
        <v>1</v>
      </c>
      <c r="F993" s="1524">
        <v>2</v>
      </c>
      <c r="G993" s="1537" t="s">
        <v>4951</v>
      </c>
      <c r="H993" s="1521">
        <v>1</v>
      </c>
      <c r="I993" s="1521">
        <v>1</v>
      </c>
      <c r="J993" s="1538">
        <v>2</v>
      </c>
      <c r="K993" s="1525"/>
      <c r="L993" s="1519">
        <v>13089021809</v>
      </c>
      <c r="M993" s="1520">
        <v>1</v>
      </c>
      <c r="N993" s="1520">
        <v>1</v>
      </c>
      <c r="O993" s="1520">
        <v>2</v>
      </c>
    </row>
    <row r="994" spans="3:15" ht="13.5">
      <c r="C994" s="1526" t="s">
        <v>4952</v>
      </c>
      <c r="D994" s="1523">
        <v>1</v>
      </c>
      <c r="E994" s="1523">
        <v>1</v>
      </c>
      <c r="F994" s="1524">
        <v>2</v>
      </c>
      <c r="G994" s="1537" t="s">
        <v>4952</v>
      </c>
      <c r="H994" s="1521">
        <v>1</v>
      </c>
      <c r="I994" s="1521">
        <v>1</v>
      </c>
      <c r="J994" s="1538">
        <v>2</v>
      </c>
      <c r="K994" s="1525"/>
      <c r="L994" s="1519">
        <v>13089021810</v>
      </c>
      <c r="M994" s="1520">
        <v>1</v>
      </c>
      <c r="N994" s="1520">
        <v>1</v>
      </c>
      <c r="O994" s="1520">
        <v>2</v>
      </c>
    </row>
    <row r="995" spans="3:15" ht="13.5">
      <c r="C995" s="1526" t="s">
        <v>4953</v>
      </c>
      <c r="D995" s="1523">
        <v>1</v>
      </c>
      <c r="E995" s="1523">
        <v>0</v>
      </c>
      <c r="F995" s="1524">
        <v>1</v>
      </c>
      <c r="G995" s="1537" t="s">
        <v>4953</v>
      </c>
      <c r="H995" s="1521">
        <v>1</v>
      </c>
      <c r="I995" s="1521">
        <v>1</v>
      </c>
      <c r="J995" s="1538">
        <v>2</v>
      </c>
      <c r="K995" s="1525"/>
      <c r="L995" s="1519">
        <v>13089021812</v>
      </c>
      <c r="M995" s="1520">
        <v>1</v>
      </c>
      <c r="N995" s="1520">
        <v>1</v>
      </c>
      <c r="O995" s="1520">
        <v>2</v>
      </c>
    </row>
    <row r="996" spans="3:15" ht="13.5">
      <c r="C996" s="1526" t="s">
        <v>4954</v>
      </c>
      <c r="D996" s="1523">
        <v>0</v>
      </c>
      <c r="E996" s="1523">
        <v>0</v>
      </c>
      <c r="F996" s="1524">
        <v>0</v>
      </c>
      <c r="G996" s="1537" t="s">
        <v>4954</v>
      </c>
      <c r="H996" s="1521">
        <v>0</v>
      </c>
      <c r="I996" s="1521" t="s">
        <v>4096</v>
      </c>
      <c r="J996" s="1538">
        <v>0</v>
      </c>
      <c r="K996" s="1525"/>
      <c r="L996" s="1519">
        <v>13089021813</v>
      </c>
      <c r="M996" s="1520">
        <v>0</v>
      </c>
      <c r="N996" s="1520">
        <v>0</v>
      </c>
      <c r="O996" s="1520">
        <v>0</v>
      </c>
    </row>
    <row r="997" spans="3:15" ht="13.5">
      <c r="C997" s="1526" t="s">
        <v>4955</v>
      </c>
      <c r="D997" s="1523">
        <v>0</v>
      </c>
      <c r="E997" s="1523">
        <v>0</v>
      </c>
      <c r="F997" s="1524">
        <v>0</v>
      </c>
      <c r="G997" s="1537" t="s">
        <v>4955</v>
      </c>
      <c r="H997" s="1521">
        <v>0</v>
      </c>
      <c r="I997" s="1521">
        <v>0</v>
      </c>
      <c r="J997" s="1538">
        <v>0</v>
      </c>
      <c r="K997" s="1525"/>
      <c r="L997" s="1519">
        <v>13089021814</v>
      </c>
      <c r="M997" s="1520">
        <v>0</v>
      </c>
      <c r="N997" s="1520">
        <v>0</v>
      </c>
      <c r="O997" s="1520">
        <v>0</v>
      </c>
    </row>
    <row r="998" spans="3:15" ht="13.5">
      <c r="C998" s="1526" t="s">
        <v>4956</v>
      </c>
      <c r="D998" s="1523">
        <v>0</v>
      </c>
      <c r="E998" s="1523">
        <v>0</v>
      </c>
      <c r="F998" s="1524">
        <v>0</v>
      </c>
      <c r="G998" s="1537" t="s">
        <v>4956</v>
      </c>
      <c r="H998" s="1521">
        <v>0</v>
      </c>
      <c r="I998" s="1521">
        <v>0</v>
      </c>
      <c r="J998" s="1538">
        <v>0</v>
      </c>
      <c r="K998" s="1525"/>
      <c r="L998" s="1519">
        <v>13089021906</v>
      </c>
      <c r="M998" s="1520">
        <v>0</v>
      </c>
      <c r="N998" s="1520">
        <v>0</v>
      </c>
      <c r="O998" s="1520">
        <v>0</v>
      </c>
    </row>
    <row r="999" spans="3:15" ht="13.5">
      <c r="C999" s="1526" t="s">
        <v>4957</v>
      </c>
      <c r="D999" s="1523">
        <v>0</v>
      </c>
      <c r="E999" s="1523">
        <v>0</v>
      </c>
      <c r="F999" s="1524">
        <v>0</v>
      </c>
      <c r="G999" s="1537" t="s">
        <v>4957</v>
      </c>
      <c r="H999" s="1521">
        <v>0</v>
      </c>
      <c r="I999" s="1521">
        <v>1</v>
      </c>
      <c r="J999" s="1538">
        <v>1</v>
      </c>
      <c r="K999" s="1525"/>
      <c r="L999" s="1519">
        <v>13089021907</v>
      </c>
      <c r="M999" s="1520">
        <v>0</v>
      </c>
      <c r="N999" s="1520">
        <v>1</v>
      </c>
      <c r="O999" s="1520">
        <v>1</v>
      </c>
    </row>
    <row r="1000" spans="3:15" ht="13.5">
      <c r="C1000" s="1526" t="s">
        <v>4958</v>
      </c>
      <c r="D1000" s="1523">
        <v>0</v>
      </c>
      <c r="E1000" s="1523">
        <v>0</v>
      </c>
      <c r="F1000" s="1524">
        <v>0</v>
      </c>
      <c r="G1000" s="1537" t="s">
        <v>4958</v>
      </c>
      <c r="H1000" s="1521">
        <v>0</v>
      </c>
      <c r="I1000" s="1521">
        <v>0</v>
      </c>
      <c r="J1000" s="1538">
        <v>0</v>
      </c>
      <c r="K1000" s="1525"/>
      <c r="L1000" s="1519">
        <v>13089021908</v>
      </c>
      <c r="M1000" s="1520">
        <v>0</v>
      </c>
      <c r="N1000" s="1520">
        <v>0</v>
      </c>
      <c r="O1000" s="1520">
        <v>0</v>
      </c>
    </row>
    <row r="1001" spans="3:15" ht="13.5">
      <c r="C1001" s="1526" t="s">
        <v>4959</v>
      </c>
      <c r="D1001" s="1523">
        <v>0</v>
      </c>
      <c r="E1001" s="1523">
        <v>0</v>
      </c>
      <c r="F1001" s="1524">
        <v>0</v>
      </c>
      <c r="G1001" s="1537" t="s">
        <v>4959</v>
      </c>
      <c r="H1001" s="1521">
        <v>0</v>
      </c>
      <c r="I1001" s="1521">
        <v>0</v>
      </c>
      <c r="J1001" s="1538">
        <v>0</v>
      </c>
      <c r="K1001" s="1525"/>
      <c r="L1001" s="1519">
        <v>13089021909</v>
      </c>
      <c r="M1001" s="1520">
        <v>0</v>
      </c>
      <c r="N1001" s="1520">
        <v>0</v>
      </c>
      <c r="O1001" s="1520">
        <v>0</v>
      </c>
    </row>
    <row r="1002" spans="3:15" ht="13.5">
      <c r="C1002" s="1526" t="s">
        <v>4960</v>
      </c>
      <c r="D1002" s="1523">
        <v>0</v>
      </c>
      <c r="E1002" s="1523">
        <v>0</v>
      </c>
      <c r="F1002" s="1524">
        <v>0</v>
      </c>
      <c r="G1002" s="1537" t="s">
        <v>4960</v>
      </c>
      <c r="H1002" s="1521">
        <v>0</v>
      </c>
      <c r="I1002" s="1521">
        <v>0</v>
      </c>
      <c r="J1002" s="1538">
        <v>0</v>
      </c>
      <c r="K1002" s="1525"/>
      <c r="L1002" s="1519">
        <v>13089021910</v>
      </c>
      <c r="M1002" s="1520">
        <v>0</v>
      </c>
      <c r="N1002" s="1520">
        <v>0</v>
      </c>
      <c r="O1002" s="1520">
        <v>0</v>
      </c>
    </row>
    <row r="1003" spans="3:15" ht="13.5">
      <c r="C1003" s="1526" t="s">
        <v>4961</v>
      </c>
      <c r="D1003" s="1523">
        <v>0</v>
      </c>
      <c r="E1003" s="1523">
        <v>0</v>
      </c>
      <c r="F1003" s="1524">
        <v>0</v>
      </c>
      <c r="G1003" s="1537" t="s">
        <v>4961</v>
      </c>
      <c r="H1003" s="1521">
        <v>0</v>
      </c>
      <c r="I1003" s="1521" t="s">
        <v>4096</v>
      </c>
      <c r="J1003" s="1538">
        <v>0</v>
      </c>
      <c r="K1003" s="1525"/>
      <c r="L1003" s="1519">
        <v>13089021911</v>
      </c>
      <c r="M1003" s="1520">
        <v>0</v>
      </c>
      <c r="N1003" s="1520">
        <v>0</v>
      </c>
      <c r="O1003" s="1520">
        <v>0</v>
      </c>
    </row>
    <row r="1004" spans="3:15" ht="13.5">
      <c r="C1004" s="1526" t="s">
        <v>4962</v>
      </c>
      <c r="D1004" s="1523">
        <v>1</v>
      </c>
      <c r="E1004" s="1523">
        <v>1</v>
      </c>
      <c r="F1004" s="1524">
        <v>2</v>
      </c>
      <c r="G1004" s="1537" t="s">
        <v>4962</v>
      </c>
      <c r="H1004" s="1521">
        <v>1</v>
      </c>
      <c r="I1004" s="1521">
        <v>1</v>
      </c>
      <c r="J1004" s="1538">
        <v>2</v>
      </c>
      <c r="K1004" s="1525"/>
      <c r="L1004" s="1519">
        <v>13089021912</v>
      </c>
      <c r="M1004" s="1520">
        <v>1</v>
      </c>
      <c r="N1004" s="1520">
        <v>1</v>
      </c>
      <c r="O1004" s="1520">
        <v>2</v>
      </c>
    </row>
    <row r="1005" spans="3:15" ht="13.5">
      <c r="C1005" s="1526" t="s">
        <v>4963</v>
      </c>
      <c r="D1005" s="1523">
        <v>0</v>
      </c>
      <c r="E1005" s="1523">
        <v>0</v>
      </c>
      <c r="F1005" s="1524">
        <v>0</v>
      </c>
      <c r="G1005" s="1537" t="s">
        <v>4963</v>
      </c>
      <c r="H1005" s="1521">
        <v>0</v>
      </c>
      <c r="I1005" s="1521">
        <v>0</v>
      </c>
      <c r="J1005" s="1538">
        <v>0</v>
      </c>
      <c r="K1005" s="1525"/>
      <c r="L1005" s="1519">
        <v>13089021913</v>
      </c>
      <c r="M1005" s="1520">
        <v>0</v>
      </c>
      <c r="N1005" s="1520">
        <v>0</v>
      </c>
      <c r="O1005" s="1520">
        <v>0</v>
      </c>
    </row>
    <row r="1006" spans="3:15" ht="13.5">
      <c r="C1006" s="1526" t="s">
        <v>4964</v>
      </c>
      <c r="D1006" s="1523">
        <v>1</v>
      </c>
      <c r="E1006" s="1523">
        <v>1</v>
      </c>
      <c r="F1006" s="1524">
        <v>2</v>
      </c>
      <c r="G1006" s="1537" t="s">
        <v>4964</v>
      </c>
      <c r="H1006" s="1521">
        <v>1</v>
      </c>
      <c r="I1006" s="1521">
        <v>1</v>
      </c>
      <c r="J1006" s="1538">
        <v>2</v>
      </c>
      <c r="K1006" s="1525"/>
      <c r="L1006" s="1519">
        <v>13089022001</v>
      </c>
      <c r="M1006" s="1520">
        <v>1</v>
      </c>
      <c r="N1006" s="1520">
        <v>1</v>
      </c>
      <c r="O1006" s="1520">
        <v>2</v>
      </c>
    </row>
    <row r="1007" spans="3:15" ht="13.5">
      <c r="C1007" s="1526" t="s">
        <v>4965</v>
      </c>
      <c r="D1007" s="1523">
        <v>0</v>
      </c>
      <c r="E1007" s="1523">
        <v>0</v>
      </c>
      <c r="F1007" s="1524">
        <v>0</v>
      </c>
      <c r="G1007" s="1537" t="s">
        <v>4965</v>
      </c>
      <c r="H1007" s="1521">
        <v>0</v>
      </c>
      <c r="I1007" s="1521">
        <v>1</v>
      </c>
      <c r="J1007" s="1538">
        <v>1</v>
      </c>
      <c r="K1007" s="1525"/>
      <c r="L1007" s="1519">
        <v>13089022004</v>
      </c>
      <c r="M1007" s="1520">
        <v>0</v>
      </c>
      <c r="N1007" s="1520">
        <v>1</v>
      </c>
      <c r="O1007" s="1520">
        <v>1</v>
      </c>
    </row>
    <row r="1008" spans="3:15" ht="13.5">
      <c r="C1008" s="1526" t="s">
        <v>4966</v>
      </c>
      <c r="D1008" s="1523">
        <v>0</v>
      </c>
      <c r="E1008" s="1523">
        <v>0</v>
      </c>
      <c r="F1008" s="1524">
        <v>0</v>
      </c>
      <c r="G1008" s="1537" t="s">
        <v>4966</v>
      </c>
      <c r="H1008" s="1521">
        <v>0</v>
      </c>
      <c r="I1008" s="1521">
        <v>0</v>
      </c>
      <c r="J1008" s="1538">
        <v>0</v>
      </c>
      <c r="K1008" s="1525"/>
      <c r="L1008" s="1519">
        <v>13089022005</v>
      </c>
      <c r="M1008" s="1520">
        <v>0</v>
      </c>
      <c r="N1008" s="1520">
        <v>0</v>
      </c>
      <c r="O1008" s="1520">
        <v>0</v>
      </c>
    </row>
    <row r="1009" spans="3:15" ht="13.5">
      <c r="C1009" s="1526" t="s">
        <v>4967</v>
      </c>
      <c r="D1009" s="1523">
        <v>0</v>
      </c>
      <c r="E1009" s="1523">
        <v>0</v>
      </c>
      <c r="F1009" s="1524">
        <v>0</v>
      </c>
      <c r="G1009" s="1537" t="s">
        <v>4967</v>
      </c>
      <c r="H1009" s="1521">
        <v>0</v>
      </c>
      <c r="I1009" s="1521">
        <v>0</v>
      </c>
      <c r="J1009" s="1538">
        <v>0</v>
      </c>
      <c r="K1009" s="1525"/>
      <c r="L1009" s="1519">
        <v>13089022007</v>
      </c>
      <c r="M1009" s="1520">
        <v>0</v>
      </c>
      <c r="N1009" s="1520">
        <v>0</v>
      </c>
      <c r="O1009" s="1520">
        <v>0</v>
      </c>
    </row>
    <row r="1010" spans="3:15" ht="13.5">
      <c r="C1010" s="1526" t="s">
        <v>4968</v>
      </c>
      <c r="D1010" s="1523">
        <v>0</v>
      </c>
      <c r="E1010" s="1523">
        <v>0</v>
      </c>
      <c r="F1010" s="1524">
        <v>0</v>
      </c>
      <c r="G1010" s="1537" t="s">
        <v>4968</v>
      </c>
      <c r="H1010" s="1521">
        <v>0</v>
      </c>
      <c r="I1010" s="1521">
        <v>0</v>
      </c>
      <c r="J1010" s="1538">
        <v>0</v>
      </c>
      <c r="K1010" s="1525"/>
      <c r="L1010" s="1519">
        <v>13089022008</v>
      </c>
      <c r="M1010" s="1520">
        <v>0</v>
      </c>
      <c r="N1010" s="1520">
        <v>0</v>
      </c>
      <c r="O1010" s="1520">
        <v>0</v>
      </c>
    </row>
    <row r="1011" spans="3:15" ht="13.5">
      <c r="C1011" s="1526" t="s">
        <v>4969</v>
      </c>
      <c r="D1011" s="1523">
        <v>0</v>
      </c>
      <c r="E1011" s="1523">
        <v>0</v>
      </c>
      <c r="F1011" s="1524">
        <v>0</v>
      </c>
      <c r="G1011" s="1537" t="s">
        <v>4969</v>
      </c>
      <c r="H1011" s="1521">
        <v>0</v>
      </c>
      <c r="I1011" s="1521" t="s">
        <v>4096</v>
      </c>
      <c r="J1011" s="1538">
        <v>0</v>
      </c>
      <c r="K1011" s="1525"/>
      <c r="L1011" s="1519">
        <v>13089022009</v>
      </c>
      <c r="M1011" s="1520">
        <v>0</v>
      </c>
      <c r="N1011" s="1520">
        <v>0</v>
      </c>
      <c r="O1011" s="1520">
        <v>0</v>
      </c>
    </row>
    <row r="1012" spans="3:15" ht="13.5">
      <c r="C1012" s="1526" t="s">
        <v>4970</v>
      </c>
      <c r="D1012" s="1523">
        <v>0</v>
      </c>
      <c r="E1012" s="1523">
        <v>0</v>
      </c>
      <c r="F1012" s="1524">
        <v>0</v>
      </c>
      <c r="G1012" s="1537" t="s">
        <v>4970</v>
      </c>
      <c r="H1012" s="1521">
        <v>0</v>
      </c>
      <c r="I1012" s="1521">
        <v>0</v>
      </c>
      <c r="J1012" s="1538">
        <v>0</v>
      </c>
      <c r="K1012" s="1525"/>
      <c r="L1012" s="1519">
        <v>13089022010</v>
      </c>
      <c r="M1012" s="1520">
        <v>0</v>
      </c>
      <c r="N1012" s="1520">
        <v>0</v>
      </c>
      <c r="O1012" s="1520">
        <v>0</v>
      </c>
    </row>
    <row r="1013" spans="3:15" ht="13.5">
      <c r="C1013" s="1526" t="s">
        <v>4971</v>
      </c>
      <c r="D1013" s="1523">
        <v>0</v>
      </c>
      <c r="E1013" s="1523">
        <v>0</v>
      </c>
      <c r="F1013" s="1524">
        <v>0</v>
      </c>
      <c r="G1013" s="1537" t="s">
        <v>4971</v>
      </c>
      <c r="H1013" s="1521">
        <v>0</v>
      </c>
      <c r="I1013" s="1521">
        <v>0</v>
      </c>
      <c r="J1013" s="1538">
        <v>0</v>
      </c>
      <c r="K1013" s="1525"/>
      <c r="L1013" s="1519">
        <v>13089022100</v>
      </c>
      <c r="M1013" s="1520">
        <v>0</v>
      </c>
      <c r="N1013" s="1520">
        <v>0</v>
      </c>
      <c r="O1013" s="1520">
        <v>0</v>
      </c>
    </row>
    <row r="1014" spans="3:15" ht="13.5">
      <c r="C1014" s="1526" t="s">
        <v>4972</v>
      </c>
      <c r="D1014" s="1523">
        <v>0</v>
      </c>
      <c r="E1014" s="1523">
        <v>0</v>
      </c>
      <c r="F1014" s="1524">
        <v>0</v>
      </c>
      <c r="G1014" s="1537" t="s">
        <v>4972</v>
      </c>
      <c r="H1014" s="1521">
        <v>1</v>
      </c>
      <c r="I1014" s="1521">
        <v>0</v>
      </c>
      <c r="J1014" s="1538">
        <v>1</v>
      </c>
      <c r="K1014" s="1525"/>
      <c r="L1014" s="1519">
        <v>13089022203</v>
      </c>
      <c r="M1014" s="1520">
        <v>1</v>
      </c>
      <c r="N1014" s="1520">
        <v>0</v>
      </c>
      <c r="O1014" s="1520">
        <v>1</v>
      </c>
    </row>
    <row r="1015" spans="3:15" ht="13.5">
      <c r="C1015" s="1526" t="s">
        <v>4973</v>
      </c>
      <c r="D1015" s="1523">
        <v>0</v>
      </c>
      <c r="E1015" s="1523">
        <v>0</v>
      </c>
      <c r="F1015" s="1524">
        <v>0</v>
      </c>
      <c r="G1015" s="1537" t="s">
        <v>4973</v>
      </c>
      <c r="H1015" s="1521">
        <v>1</v>
      </c>
      <c r="I1015" s="1521">
        <v>0</v>
      </c>
      <c r="J1015" s="1538">
        <v>1</v>
      </c>
      <c r="K1015" s="1525"/>
      <c r="L1015" s="1519">
        <v>13089022204</v>
      </c>
      <c r="M1015" s="1520">
        <v>1</v>
      </c>
      <c r="N1015" s="1520">
        <v>0</v>
      </c>
      <c r="O1015" s="1520">
        <v>1</v>
      </c>
    </row>
    <row r="1016" spans="3:15" ht="13.5">
      <c r="C1016" s="1526" t="s">
        <v>4974</v>
      </c>
      <c r="D1016" s="1523">
        <v>1</v>
      </c>
      <c r="E1016" s="1523">
        <v>1</v>
      </c>
      <c r="F1016" s="1524">
        <v>2</v>
      </c>
      <c r="G1016" s="1537" t="s">
        <v>4974</v>
      </c>
      <c r="H1016" s="1521">
        <v>1</v>
      </c>
      <c r="I1016" s="1521">
        <v>1</v>
      </c>
      <c r="J1016" s="1538">
        <v>2</v>
      </c>
      <c r="K1016" s="1525"/>
      <c r="L1016" s="1519">
        <v>13089022301</v>
      </c>
      <c r="M1016" s="1520">
        <v>1</v>
      </c>
      <c r="N1016" s="1520">
        <v>1</v>
      </c>
      <c r="O1016" s="1520">
        <v>2</v>
      </c>
    </row>
    <row r="1017" spans="3:15" ht="13.5">
      <c r="C1017" s="1526" t="s">
        <v>4975</v>
      </c>
      <c r="D1017" s="1523">
        <v>1</v>
      </c>
      <c r="E1017" s="1523">
        <v>1</v>
      </c>
      <c r="F1017" s="1524">
        <v>2</v>
      </c>
      <c r="G1017" s="1537" t="s">
        <v>4975</v>
      </c>
      <c r="H1017" s="1521">
        <v>1</v>
      </c>
      <c r="I1017" s="1521">
        <v>1</v>
      </c>
      <c r="J1017" s="1538">
        <v>2</v>
      </c>
      <c r="K1017" s="1525"/>
      <c r="L1017" s="1519">
        <v>13089022302</v>
      </c>
      <c r="M1017" s="1520">
        <v>1</v>
      </c>
      <c r="N1017" s="1520">
        <v>1</v>
      </c>
      <c r="O1017" s="1520">
        <v>2</v>
      </c>
    </row>
    <row r="1018" spans="3:15" ht="13.5">
      <c r="C1018" s="1526" t="s">
        <v>4976</v>
      </c>
      <c r="D1018" s="1523">
        <v>1</v>
      </c>
      <c r="E1018" s="1523">
        <v>1</v>
      </c>
      <c r="F1018" s="1524">
        <v>2</v>
      </c>
      <c r="G1018" s="1537" t="s">
        <v>4976</v>
      </c>
      <c r="H1018" s="1521">
        <v>1</v>
      </c>
      <c r="I1018" s="1521">
        <v>1</v>
      </c>
      <c r="J1018" s="1538">
        <v>2</v>
      </c>
      <c r="K1018" s="1525"/>
      <c r="L1018" s="1519">
        <v>13089022401</v>
      </c>
      <c r="M1018" s="1520">
        <v>1</v>
      </c>
      <c r="N1018" s="1520">
        <v>1</v>
      </c>
      <c r="O1018" s="1520">
        <v>2</v>
      </c>
    </row>
    <row r="1019" spans="3:15" ht="13.5">
      <c r="C1019" s="1526" t="s">
        <v>4977</v>
      </c>
      <c r="D1019" s="1523">
        <v>0</v>
      </c>
      <c r="E1019" s="1523">
        <v>0</v>
      </c>
      <c r="F1019" s="1524">
        <v>0</v>
      </c>
      <c r="G1019" s="1537" t="s">
        <v>4977</v>
      </c>
      <c r="H1019" s="1521">
        <v>0</v>
      </c>
      <c r="I1019" s="1521" t="s">
        <v>4096</v>
      </c>
      <c r="J1019" s="1538">
        <v>0</v>
      </c>
      <c r="K1019" s="1525"/>
      <c r="L1019" s="1519">
        <v>13089022402</v>
      </c>
      <c r="M1019" s="1520">
        <v>0</v>
      </c>
      <c r="N1019" s="1520">
        <v>0</v>
      </c>
      <c r="O1019" s="1520">
        <v>0</v>
      </c>
    </row>
    <row r="1020" spans="3:15" ht="13.5">
      <c r="C1020" s="1526" t="s">
        <v>4978</v>
      </c>
      <c r="D1020" s="1523">
        <v>1</v>
      </c>
      <c r="E1020" s="1523">
        <v>1</v>
      </c>
      <c r="F1020" s="1524">
        <v>2</v>
      </c>
      <c r="G1020" s="1537" t="s">
        <v>4978</v>
      </c>
      <c r="H1020" s="1521">
        <v>1</v>
      </c>
      <c r="I1020" s="1521">
        <v>1</v>
      </c>
      <c r="J1020" s="1538">
        <v>2</v>
      </c>
      <c r="K1020" s="1525"/>
      <c r="L1020" s="1519">
        <v>13089022403</v>
      </c>
      <c r="M1020" s="1520">
        <v>1</v>
      </c>
      <c r="N1020" s="1520">
        <v>1</v>
      </c>
      <c r="O1020" s="1520">
        <v>2</v>
      </c>
    </row>
    <row r="1021" spans="3:15" ht="13.5">
      <c r="C1021" s="1526" t="s">
        <v>4979</v>
      </c>
      <c r="D1021" s="1523">
        <v>1</v>
      </c>
      <c r="E1021" s="1523">
        <v>1</v>
      </c>
      <c r="F1021" s="1524">
        <v>2</v>
      </c>
      <c r="G1021" s="1537" t="s">
        <v>4979</v>
      </c>
      <c r="H1021" s="1521">
        <v>1</v>
      </c>
      <c r="I1021" s="1521">
        <v>1</v>
      </c>
      <c r="J1021" s="1538">
        <v>2</v>
      </c>
      <c r="K1021" s="1525"/>
      <c r="L1021" s="1519">
        <v>13089022500</v>
      </c>
      <c r="M1021" s="1520">
        <v>1</v>
      </c>
      <c r="N1021" s="1520">
        <v>1</v>
      </c>
      <c r="O1021" s="1520">
        <v>2</v>
      </c>
    </row>
    <row r="1022" spans="3:15" ht="13.5">
      <c r="C1022" s="1526" t="s">
        <v>4980</v>
      </c>
      <c r="D1022" s="1523">
        <v>1</v>
      </c>
      <c r="E1022" s="1523">
        <v>1</v>
      </c>
      <c r="F1022" s="1524">
        <v>2</v>
      </c>
      <c r="G1022" s="1537" t="s">
        <v>4980</v>
      </c>
      <c r="H1022" s="1521">
        <v>1</v>
      </c>
      <c r="I1022" s="1521">
        <v>1</v>
      </c>
      <c r="J1022" s="1538">
        <v>2</v>
      </c>
      <c r="K1022" s="1525"/>
      <c r="L1022" s="1519">
        <v>13089022600</v>
      </c>
      <c r="M1022" s="1520">
        <v>1</v>
      </c>
      <c r="N1022" s="1520">
        <v>1</v>
      </c>
      <c r="O1022" s="1520">
        <v>2</v>
      </c>
    </row>
    <row r="1023" spans="3:15" ht="13.5">
      <c r="C1023" s="1526" t="s">
        <v>4981</v>
      </c>
      <c r="D1023" s="1523">
        <v>1</v>
      </c>
      <c r="E1023" s="1523">
        <v>1</v>
      </c>
      <c r="F1023" s="1524">
        <v>2</v>
      </c>
      <c r="G1023" s="1537" t="s">
        <v>4981</v>
      </c>
      <c r="H1023" s="1521">
        <v>1</v>
      </c>
      <c r="I1023" s="1521">
        <v>1</v>
      </c>
      <c r="J1023" s="1538">
        <v>2</v>
      </c>
      <c r="K1023" s="1525"/>
      <c r="L1023" s="1519">
        <v>13089022700</v>
      </c>
      <c r="M1023" s="1520">
        <v>1</v>
      </c>
      <c r="N1023" s="1520">
        <v>1</v>
      </c>
      <c r="O1023" s="1520">
        <v>2</v>
      </c>
    </row>
    <row r="1024" spans="3:15" ht="13.5">
      <c r="C1024" s="1526" t="s">
        <v>4982</v>
      </c>
      <c r="D1024" s="1523">
        <v>1</v>
      </c>
      <c r="E1024" s="1523">
        <v>1</v>
      </c>
      <c r="F1024" s="1524">
        <v>2</v>
      </c>
      <c r="G1024" s="1537" t="s">
        <v>4982</v>
      </c>
      <c r="H1024" s="1521">
        <v>1</v>
      </c>
      <c r="I1024" s="1521">
        <v>1</v>
      </c>
      <c r="J1024" s="1538">
        <v>2</v>
      </c>
      <c r="K1024" s="1525"/>
      <c r="L1024" s="1519">
        <v>13089022800</v>
      </c>
      <c r="M1024" s="1520">
        <v>1</v>
      </c>
      <c r="N1024" s="1520">
        <v>1</v>
      </c>
      <c r="O1024" s="1520">
        <v>2</v>
      </c>
    </row>
    <row r="1025" spans="3:15" ht="13.5">
      <c r="C1025" s="1526" t="s">
        <v>4983</v>
      </c>
      <c r="D1025" s="1523">
        <v>1</v>
      </c>
      <c r="E1025" s="1523">
        <v>1</v>
      </c>
      <c r="F1025" s="1524">
        <v>2</v>
      </c>
      <c r="G1025" s="1537" t="s">
        <v>4983</v>
      </c>
      <c r="H1025" s="1521">
        <v>1</v>
      </c>
      <c r="I1025" s="1521">
        <v>1</v>
      </c>
      <c r="J1025" s="1538">
        <v>2</v>
      </c>
      <c r="K1025" s="1525"/>
      <c r="L1025" s="1519">
        <v>13089022900</v>
      </c>
      <c r="M1025" s="1520">
        <v>1</v>
      </c>
      <c r="N1025" s="1520">
        <v>1</v>
      </c>
      <c r="O1025" s="1520">
        <v>2</v>
      </c>
    </row>
    <row r="1026" spans="3:15" ht="13.5">
      <c r="C1026" s="1526" t="s">
        <v>4984</v>
      </c>
      <c r="D1026" s="1523">
        <v>1</v>
      </c>
      <c r="E1026" s="1523">
        <v>1</v>
      </c>
      <c r="F1026" s="1524">
        <v>2</v>
      </c>
      <c r="G1026" s="1537" t="s">
        <v>4984</v>
      </c>
      <c r="H1026" s="1521">
        <v>1</v>
      </c>
      <c r="I1026" s="1521">
        <v>1</v>
      </c>
      <c r="J1026" s="1538">
        <v>2</v>
      </c>
      <c r="K1026" s="1525"/>
      <c r="L1026" s="1519">
        <v>13089023000</v>
      </c>
      <c r="M1026" s="1520">
        <v>1</v>
      </c>
      <c r="N1026" s="1520">
        <v>1</v>
      </c>
      <c r="O1026" s="1520">
        <v>2</v>
      </c>
    </row>
    <row r="1027" spans="3:15" ht="13.5">
      <c r="C1027" s="1526" t="s">
        <v>4985</v>
      </c>
      <c r="D1027" s="1523">
        <v>0</v>
      </c>
      <c r="E1027" s="1523">
        <v>0</v>
      </c>
      <c r="F1027" s="1524">
        <v>0</v>
      </c>
      <c r="G1027" s="1537" t="s">
        <v>4985</v>
      </c>
      <c r="H1027" s="1521">
        <v>0</v>
      </c>
      <c r="I1027" s="1521">
        <v>0</v>
      </c>
      <c r="J1027" s="1538">
        <v>0</v>
      </c>
      <c r="K1027" s="1525"/>
      <c r="L1027" s="1519">
        <v>13089023101</v>
      </c>
      <c r="M1027" s="1520">
        <v>0</v>
      </c>
      <c r="N1027" s="1520">
        <v>0</v>
      </c>
      <c r="O1027" s="1520">
        <v>0</v>
      </c>
    </row>
    <row r="1028" spans="3:15" ht="13.5">
      <c r="C1028" s="1526" t="s">
        <v>4986</v>
      </c>
      <c r="D1028" s="1523">
        <v>0</v>
      </c>
      <c r="E1028" s="1523">
        <v>0</v>
      </c>
      <c r="F1028" s="1524">
        <v>0</v>
      </c>
      <c r="G1028" s="1537" t="s">
        <v>4986</v>
      </c>
      <c r="H1028" s="1521">
        <v>1</v>
      </c>
      <c r="I1028" s="1521">
        <v>0</v>
      </c>
      <c r="J1028" s="1538">
        <v>1</v>
      </c>
      <c r="K1028" s="1525"/>
      <c r="L1028" s="1519">
        <v>13089023102</v>
      </c>
      <c r="M1028" s="1520">
        <v>1</v>
      </c>
      <c r="N1028" s="1520">
        <v>0</v>
      </c>
      <c r="O1028" s="1520">
        <v>1</v>
      </c>
    </row>
    <row r="1029" spans="3:15" ht="13.5">
      <c r="C1029" s="1526" t="s">
        <v>4987</v>
      </c>
      <c r="D1029" s="1523">
        <v>0</v>
      </c>
      <c r="E1029" s="1523">
        <v>0</v>
      </c>
      <c r="F1029" s="1524">
        <v>0</v>
      </c>
      <c r="G1029" s="1537" t="s">
        <v>4987</v>
      </c>
      <c r="H1029" s="1521">
        <v>0</v>
      </c>
      <c r="I1029" s="1521">
        <v>0</v>
      </c>
      <c r="J1029" s="1538">
        <v>0</v>
      </c>
      <c r="K1029" s="1525"/>
      <c r="L1029" s="1519">
        <v>13089023107</v>
      </c>
      <c r="M1029" s="1520">
        <v>0</v>
      </c>
      <c r="N1029" s="1520">
        <v>0</v>
      </c>
      <c r="O1029" s="1520">
        <v>0</v>
      </c>
    </row>
    <row r="1030" spans="3:15" ht="13.5">
      <c r="C1030" s="1526" t="s">
        <v>4988</v>
      </c>
      <c r="D1030" s="1523">
        <v>0</v>
      </c>
      <c r="E1030" s="1523">
        <v>0</v>
      </c>
      <c r="F1030" s="1524">
        <v>0</v>
      </c>
      <c r="G1030" s="1537" t="s">
        <v>4988</v>
      </c>
      <c r="H1030" s="1521">
        <v>0</v>
      </c>
      <c r="I1030" s="1521">
        <v>0</v>
      </c>
      <c r="J1030" s="1538">
        <v>0</v>
      </c>
      <c r="K1030" s="1525"/>
      <c r="L1030" s="1519">
        <v>13089023108</v>
      </c>
      <c r="M1030" s="1520">
        <v>0</v>
      </c>
      <c r="N1030" s="1520">
        <v>0</v>
      </c>
      <c r="O1030" s="1520">
        <v>0</v>
      </c>
    </row>
    <row r="1031" spans="3:15" ht="13.5">
      <c r="C1031" s="1526" t="s">
        <v>4989</v>
      </c>
      <c r="D1031" s="1523">
        <v>0</v>
      </c>
      <c r="E1031" s="1523">
        <v>0</v>
      </c>
      <c r="F1031" s="1524">
        <v>0</v>
      </c>
      <c r="G1031" s="1537" t="s">
        <v>4989</v>
      </c>
      <c r="H1031" s="1521">
        <v>0</v>
      </c>
      <c r="I1031" s="1521">
        <v>0</v>
      </c>
      <c r="J1031" s="1538">
        <v>0</v>
      </c>
      <c r="K1031" s="1525"/>
      <c r="L1031" s="1519">
        <v>13089023111</v>
      </c>
      <c r="M1031" s="1520">
        <v>0</v>
      </c>
      <c r="N1031" s="1520">
        <v>0</v>
      </c>
      <c r="O1031" s="1520">
        <v>0</v>
      </c>
    </row>
    <row r="1032" spans="3:15" ht="13.5">
      <c r="C1032" s="1526" t="s">
        <v>4990</v>
      </c>
      <c r="D1032" s="1523">
        <v>0</v>
      </c>
      <c r="E1032" s="1523">
        <v>0</v>
      </c>
      <c r="F1032" s="1524">
        <v>0</v>
      </c>
      <c r="G1032" s="1537" t="s">
        <v>4990</v>
      </c>
      <c r="H1032" s="1521">
        <v>0</v>
      </c>
      <c r="I1032" s="1521" t="s">
        <v>4096</v>
      </c>
      <c r="J1032" s="1538">
        <v>0</v>
      </c>
      <c r="K1032" s="1525"/>
      <c r="L1032" s="1519">
        <v>13089023112</v>
      </c>
      <c r="M1032" s="1520">
        <v>0</v>
      </c>
      <c r="N1032" s="1520">
        <v>0</v>
      </c>
      <c r="O1032" s="1520">
        <v>0</v>
      </c>
    </row>
    <row r="1033" spans="3:15" ht="13.5">
      <c r="C1033" s="1526" t="s">
        <v>4991</v>
      </c>
      <c r="D1033" s="1523">
        <v>0</v>
      </c>
      <c r="E1033" s="1523">
        <v>0</v>
      </c>
      <c r="F1033" s="1524">
        <v>0</v>
      </c>
      <c r="G1033" s="1537" t="s">
        <v>4991</v>
      </c>
      <c r="H1033" s="1521">
        <v>0</v>
      </c>
      <c r="I1033" s="1521">
        <v>0</v>
      </c>
      <c r="J1033" s="1538">
        <v>0</v>
      </c>
      <c r="K1033" s="1525"/>
      <c r="L1033" s="1519">
        <v>13089023113</v>
      </c>
      <c r="M1033" s="1520">
        <v>0</v>
      </c>
      <c r="N1033" s="1520">
        <v>0</v>
      </c>
      <c r="O1033" s="1520">
        <v>0</v>
      </c>
    </row>
    <row r="1034" spans="3:15" ht="13.5">
      <c r="C1034" s="1526" t="s">
        <v>4992</v>
      </c>
      <c r="D1034" s="1523">
        <v>0</v>
      </c>
      <c r="E1034" s="1523">
        <v>0</v>
      </c>
      <c r="F1034" s="1524">
        <v>0</v>
      </c>
      <c r="G1034" s="1537" t="s">
        <v>4992</v>
      </c>
      <c r="H1034" s="1521">
        <v>0</v>
      </c>
      <c r="I1034" s="1521">
        <v>0</v>
      </c>
      <c r="J1034" s="1538">
        <v>0</v>
      </c>
      <c r="K1034" s="1525"/>
      <c r="L1034" s="1519">
        <v>13089023114</v>
      </c>
      <c r="M1034" s="1520">
        <v>0</v>
      </c>
      <c r="N1034" s="1520">
        <v>0</v>
      </c>
      <c r="O1034" s="1520">
        <v>0</v>
      </c>
    </row>
    <row r="1035" spans="3:15" ht="13.5">
      <c r="C1035" s="1526" t="s">
        <v>4993</v>
      </c>
      <c r="D1035" s="1523" t="s">
        <v>4096</v>
      </c>
      <c r="E1035" s="1523" t="s">
        <v>4096</v>
      </c>
      <c r="F1035" s="1524">
        <v>0</v>
      </c>
      <c r="G1035" s="1537" t="s">
        <v>4993</v>
      </c>
      <c r="H1035" s="1521" t="s">
        <v>4096</v>
      </c>
      <c r="I1035" s="1521" t="s">
        <v>4096</v>
      </c>
      <c r="J1035" s="1538">
        <v>0</v>
      </c>
      <c r="K1035" s="1525"/>
      <c r="L1035" s="1519">
        <v>13089023115</v>
      </c>
      <c r="M1035" s="1520">
        <v>0</v>
      </c>
      <c r="N1035" s="1520">
        <v>0</v>
      </c>
      <c r="O1035" s="1520">
        <v>0</v>
      </c>
    </row>
    <row r="1036" spans="3:15" ht="13.5">
      <c r="C1036" s="1526" t="s">
        <v>4994</v>
      </c>
      <c r="D1036" s="1523">
        <v>0</v>
      </c>
      <c r="E1036" s="1523">
        <v>0</v>
      </c>
      <c r="F1036" s="1524">
        <v>0</v>
      </c>
      <c r="G1036" s="1537" t="s">
        <v>4994</v>
      </c>
      <c r="H1036" s="1521">
        <v>0</v>
      </c>
      <c r="I1036" s="1521">
        <v>0</v>
      </c>
      <c r="J1036" s="1538">
        <v>0</v>
      </c>
      <c r="K1036" s="1525"/>
      <c r="L1036" s="1519">
        <v>13089023204</v>
      </c>
      <c r="M1036" s="1520">
        <v>0</v>
      </c>
      <c r="N1036" s="1520">
        <v>0</v>
      </c>
      <c r="O1036" s="1520">
        <v>0</v>
      </c>
    </row>
    <row r="1037" spans="3:15" ht="13.5">
      <c r="C1037" s="1526" t="s">
        <v>4995</v>
      </c>
      <c r="D1037" s="1523">
        <v>0</v>
      </c>
      <c r="E1037" s="1523">
        <v>0</v>
      </c>
      <c r="F1037" s="1524">
        <v>0</v>
      </c>
      <c r="G1037" s="1537" t="s">
        <v>4995</v>
      </c>
      <c r="H1037" s="1521">
        <v>0</v>
      </c>
      <c r="I1037" s="1521">
        <v>1</v>
      </c>
      <c r="J1037" s="1538">
        <v>1</v>
      </c>
      <c r="K1037" s="1525"/>
      <c r="L1037" s="1519">
        <v>13089023206</v>
      </c>
      <c r="M1037" s="1520">
        <v>0</v>
      </c>
      <c r="N1037" s="1520">
        <v>1</v>
      </c>
      <c r="O1037" s="1520">
        <v>1</v>
      </c>
    </row>
    <row r="1038" spans="3:15" ht="13.5">
      <c r="C1038" s="1526" t="s">
        <v>4996</v>
      </c>
      <c r="D1038" s="1523">
        <v>0</v>
      </c>
      <c r="E1038" s="1523">
        <v>0</v>
      </c>
      <c r="F1038" s="1524">
        <v>0</v>
      </c>
      <c r="G1038" s="1537" t="s">
        <v>4996</v>
      </c>
      <c r="H1038" s="1521">
        <v>0</v>
      </c>
      <c r="I1038" s="1521">
        <v>0</v>
      </c>
      <c r="J1038" s="1538">
        <v>0</v>
      </c>
      <c r="K1038" s="1525"/>
      <c r="L1038" s="1519">
        <v>13089023208</v>
      </c>
      <c r="M1038" s="1520">
        <v>0</v>
      </c>
      <c r="N1038" s="1520">
        <v>0</v>
      </c>
      <c r="O1038" s="1520">
        <v>0</v>
      </c>
    </row>
    <row r="1039" spans="3:15" ht="13.5">
      <c r="C1039" s="1526" t="s">
        <v>4997</v>
      </c>
      <c r="D1039" s="1523">
        <v>0</v>
      </c>
      <c r="E1039" s="1523">
        <v>0</v>
      </c>
      <c r="F1039" s="1524">
        <v>0</v>
      </c>
      <c r="G1039" s="1537" t="s">
        <v>4997</v>
      </c>
      <c r="H1039" s="1521">
        <v>0</v>
      </c>
      <c r="I1039" s="1521">
        <v>0</v>
      </c>
      <c r="J1039" s="1538">
        <v>0</v>
      </c>
      <c r="K1039" s="1525"/>
      <c r="L1039" s="1519">
        <v>13089023209</v>
      </c>
      <c r="M1039" s="1520">
        <v>0</v>
      </c>
      <c r="N1039" s="1520">
        <v>0</v>
      </c>
      <c r="O1039" s="1520">
        <v>0</v>
      </c>
    </row>
    <row r="1040" spans="3:15" ht="13.5">
      <c r="C1040" s="1526" t="s">
        <v>4998</v>
      </c>
      <c r="D1040" s="1523">
        <v>0</v>
      </c>
      <c r="E1040" s="1523">
        <v>0</v>
      </c>
      <c r="F1040" s="1524">
        <v>0</v>
      </c>
      <c r="G1040" s="1537" t="s">
        <v>4998</v>
      </c>
      <c r="H1040" s="1521">
        <v>0</v>
      </c>
      <c r="I1040" s="1521">
        <v>0</v>
      </c>
      <c r="J1040" s="1538">
        <v>0</v>
      </c>
      <c r="K1040" s="1525"/>
      <c r="L1040" s="1519">
        <v>13089023210</v>
      </c>
      <c r="M1040" s="1520">
        <v>0</v>
      </c>
      <c r="N1040" s="1520">
        <v>0</v>
      </c>
      <c r="O1040" s="1520">
        <v>0</v>
      </c>
    </row>
    <row r="1041" spans="3:15" ht="13.5">
      <c r="C1041" s="1526" t="s">
        <v>4999</v>
      </c>
      <c r="D1041" s="1523">
        <v>0</v>
      </c>
      <c r="E1041" s="1523">
        <v>0</v>
      </c>
      <c r="F1041" s="1524">
        <v>0</v>
      </c>
      <c r="G1041" s="1537" t="s">
        <v>4999</v>
      </c>
      <c r="H1041" s="1521">
        <v>0</v>
      </c>
      <c r="I1041" s="1521">
        <v>0</v>
      </c>
      <c r="J1041" s="1538">
        <v>0</v>
      </c>
      <c r="K1041" s="1525"/>
      <c r="L1041" s="1519">
        <v>13089023211</v>
      </c>
      <c r="M1041" s="1520">
        <v>0</v>
      </c>
      <c r="N1041" s="1520">
        <v>0</v>
      </c>
      <c r="O1041" s="1520">
        <v>0</v>
      </c>
    </row>
    <row r="1042" spans="3:15" ht="13.5">
      <c r="C1042" s="1526" t="s">
        <v>5000</v>
      </c>
      <c r="D1042" s="1523">
        <v>0</v>
      </c>
      <c r="E1042" s="1523">
        <v>0</v>
      </c>
      <c r="F1042" s="1524">
        <v>0</v>
      </c>
      <c r="G1042" s="1537" t="s">
        <v>5000</v>
      </c>
      <c r="H1042" s="1521">
        <v>0</v>
      </c>
      <c r="I1042" s="1521">
        <v>0</v>
      </c>
      <c r="J1042" s="1538">
        <v>0</v>
      </c>
      <c r="K1042" s="1525"/>
      <c r="L1042" s="1519">
        <v>13089023212</v>
      </c>
      <c r="M1042" s="1520">
        <v>0</v>
      </c>
      <c r="N1042" s="1520">
        <v>0</v>
      </c>
      <c r="O1042" s="1520">
        <v>0</v>
      </c>
    </row>
    <row r="1043" spans="3:15" ht="13.5">
      <c r="C1043" s="1526" t="s">
        <v>5001</v>
      </c>
      <c r="D1043" s="1523">
        <v>0</v>
      </c>
      <c r="E1043" s="1523">
        <v>0</v>
      </c>
      <c r="F1043" s="1524">
        <v>0</v>
      </c>
      <c r="G1043" s="1537" t="s">
        <v>5001</v>
      </c>
      <c r="H1043" s="1521">
        <v>0</v>
      </c>
      <c r="I1043" s="1521">
        <v>0</v>
      </c>
      <c r="J1043" s="1538">
        <v>0</v>
      </c>
      <c r="K1043" s="1525"/>
      <c r="L1043" s="1519">
        <v>13089023213</v>
      </c>
      <c r="M1043" s="1520">
        <v>0</v>
      </c>
      <c r="N1043" s="1520">
        <v>0</v>
      </c>
      <c r="O1043" s="1520">
        <v>0</v>
      </c>
    </row>
    <row r="1044" spans="3:15" ht="13.5">
      <c r="C1044" s="1526" t="s">
        <v>5002</v>
      </c>
      <c r="D1044" s="1523">
        <v>0</v>
      </c>
      <c r="E1044" s="1523">
        <v>0</v>
      </c>
      <c r="F1044" s="1524">
        <v>0</v>
      </c>
      <c r="G1044" s="1537" t="s">
        <v>5002</v>
      </c>
      <c r="H1044" s="1521">
        <v>0</v>
      </c>
      <c r="I1044" s="1521" t="s">
        <v>4096</v>
      </c>
      <c r="J1044" s="1538">
        <v>0</v>
      </c>
      <c r="K1044" s="1525"/>
      <c r="L1044" s="1519">
        <v>13089023214</v>
      </c>
      <c r="M1044" s="1520">
        <v>0</v>
      </c>
      <c r="N1044" s="1520">
        <v>0</v>
      </c>
      <c r="O1044" s="1520">
        <v>0</v>
      </c>
    </row>
    <row r="1045" spans="3:15" ht="13.5">
      <c r="C1045" s="1526" t="s">
        <v>5003</v>
      </c>
      <c r="D1045" s="1523">
        <v>0</v>
      </c>
      <c r="E1045" s="1523">
        <v>0</v>
      </c>
      <c r="F1045" s="1524">
        <v>0</v>
      </c>
      <c r="G1045" s="1537" t="s">
        <v>5003</v>
      </c>
      <c r="H1045" s="1521">
        <v>0</v>
      </c>
      <c r="I1045" s="1521">
        <v>0</v>
      </c>
      <c r="J1045" s="1538">
        <v>0</v>
      </c>
      <c r="K1045" s="1525"/>
      <c r="L1045" s="1519">
        <v>13089023303</v>
      </c>
      <c r="M1045" s="1520">
        <v>0</v>
      </c>
      <c r="N1045" s="1520">
        <v>0</v>
      </c>
      <c r="O1045" s="1520">
        <v>0</v>
      </c>
    </row>
    <row r="1046" spans="3:15" ht="13.5">
      <c r="C1046" s="1526" t="s">
        <v>5004</v>
      </c>
      <c r="D1046" s="1523">
        <v>1</v>
      </c>
      <c r="E1046" s="1523">
        <v>1</v>
      </c>
      <c r="F1046" s="1524">
        <v>2</v>
      </c>
      <c r="G1046" s="1537" t="s">
        <v>5004</v>
      </c>
      <c r="H1046" s="1521">
        <v>0</v>
      </c>
      <c r="I1046" s="1521">
        <v>1</v>
      </c>
      <c r="J1046" s="1538">
        <v>1</v>
      </c>
      <c r="K1046" s="1525"/>
      <c r="L1046" s="1519">
        <v>13089023306</v>
      </c>
      <c r="M1046" s="1520">
        <v>1</v>
      </c>
      <c r="N1046" s="1520">
        <v>1</v>
      </c>
      <c r="O1046" s="1520">
        <v>2</v>
      </c>
    </row>
    <row r="1047" spans="3:15" ht="13.5">
      <c r="C1047" s="1526" t="s">
        <v>5005</v>
      </c>
      <c r="D1047" s="1523">
        <v>0</v>
      </c>
      <c r="E1047" s="1523">
        <v>0</v>
      </c>
      <c r="F1047" s="1524">
        <v>0</v>
      </c>
      <c r="G1047" s="1537" t="s">
        <v>5005</v>
      </c>
      <c r="H1047" s="1521">
        <v>0</v>
      </c>
      <c r="I1047" s="1521">
        <v>0</v>
      </c>
      <c r="J1047" s="1538">
        <v>0</v>
      </c>
      <c r="K1047" s="1525"/>
      <c r="L1047" s="1519">
        <v>13089023309</v>
      </c>
      <c r="M1047" s="1520">
        <v>0</v>
      </c>
      <c r="N1047" s="1520">
        <v>0</v>
      </c>
      <c r="O1047" s="1520">
        <v>0</v>
      </c>
    </row>
    <row r="1048" spans="3:15" ht="13.5">
      <c r="C1048" s="1526" t="s">
        <v>5006</v>
      </c>
      <c r="D1048" s="1523">
        <v>0</v>
      </c>
      <c r="E1048" s="1523">
        <v>0</v>
      </c>
      <c r="F1048" s="1524">
        <v>0</v>
      </c>
      <c r="G1048" s="1537" t="s">
        <v>5006</v>
      </c>
      <c r="H1048" s="1521">
        <v>0</v>
      </c>
      <c r="I1048" s="1521">
        <v>0</v>
      </c>
      <c r="J1048" s="1538">
        <v>0</v>
      </c>
      <c r="K1048" s="1525"/>
      <c r="L1048" s="1519">
        <v>13089023310</v>
      </c>
      <c r="M1048" s="1520">
        <v>0</v>
      </c>
      <c r="N1048" s="1520">
        <v>0</v>
      </c>
      <c r="O1048" s="1520">
        <v>0</v>
      </c>
    </row>
    <row r="1049" spans="3:15" ht="13.5">
      <c r="C1049" s="1526" t="s">
        <v>5007</v>
      </c>
      <c r="D1049" s="1523">
        <v>1</v>
      </c>
      <c r="E1049" s="1523">
        <v>0</v>
      </c>
      <c r="F1049" s="1524">
        <v>1</v>
      </c>
      <c r="G1049" s="1537" t="s">
        <v>5007</v>
      </c>
      <c r="H1049" s="1521">
        <v>1</v>
      </c>
      <c r="I1049" s="1521">
        <v>0</v>
      </c>
      <c r="J1049" s="1538">
        <v>1</v>
      </c>
      <c r="K1049" s="1525"/>
      <c r="L1049" s="1519">
        <v>13089023311</v>
      </c>
      <c r="M1049" s="1520">
        <v>1</v>
      </c>
      <c r="N1049" s="1520">
        <v>0</v>
      </c>
      <c r="O1049" s="1520">
        <v>1</v>
      </c>
    </row>
    <row r="1050" spans="3:15" ht="13.5">
      <c r="C1050" s="1526" t="s">
        <v>5008</v>
      </c>
      <c r="D1050" s="1523">
        <v>0</v>
      </c>
      <c r="E1050" s="1523">
        <v>0</v>
      </c>
      <c r="F1050" s="1524">
        <v>0</v>
      </c>
      <c r="G1050" s="1537" t="s">
        <v>5008</v>
      </c>
      <c r="H1050" s="1521">
        <v>0</v>
      </c>
      <c r="I1050" s="1521">
        <v>0</v>
      </c>
      <c r="J1050" s="1538">
        <v>0</v>
      </c>
      <c r="K1050" s="1525"/>
      <c r="L1050" s="1519">
        <v>13089023312</v>
      </c>
      <c r="M1050" s="1520">
        <v>0</v>
      </c>
      <c r="N1050" s="1520">
        <v>0</v>
      </c>
      <c r="O1050" s="1520">
        <v>0</v>
      </c>
    </row>
    <row r="1051" spans="3:15" ht="13.5">
      <c r="C1051" s="1526" t="s">
        <v>5009</v>
      </c>
      <c r="D1051" s="1523">
        <v>0</v>
      </c>
      <c r="E1051" s="1523">
        <v>0</v>
      </c>
      <c r="F1051" s="1524">
        <v>0</v>
      </c>
      <c r="G1051" s="1537" t="s">
        <v>5009</v>
      </c>
      <c r="H1051" s="1521">
        <v>0</v>
      </c>
      <c r="I1051" s="1521">
        <v>0</v>
      </c>
      <c r="J1051" s="1538">
        <v>0</v>
      </c>
      <c r="K1051" s="1525"/>
      <c r="L1051" s="1519">
        <v>13089023313</v>
      </c>
      <c r="M1051" s="1520">
        <v>0</v>
      </c>
      <c r="N1051" s="1520">
        <v>0</v>
      </c>
      <c r="O1051" s="1520">
        <v>0</v>
      </c>
    </row>
    <row r="1052" spans="3:15" ht="13.5">
      <c r="C1052" s="1526" t="s">
        <v>5010</v>
      </c>
      <c r="D1052" s="1523">
        <v>0</v>
      </c>
      <c r="E1052" s="1523">
        <v>0</v>
      </c>
      <c r="F1052" s="1524">
        <v>0</v>
      </c>
      <c r="G1052" s="1537" t="s">
        <v>5010</v>
      </c>
      <c r="H1052" s="1521">
        <v>0</v>
      </c>
      <c r="I1052" s="1521">
        <v>0</v>
      </c>
      <c r="J1052" s="1538">
        <v>0</v>
      </c>
      <c r="K1052" s="1525"/>
      <c r="L1052" s="1519">
        <v>13089023314</v>
      </c>
      <c r="M1052" s="1520">
        <v>0</v>
      </c>
      <c r="N1052" s="1520">
        <v>0</v>
      </c>
      <c r="O1052" s="1520">
        <v>0</v>
      </c>
    </row>
    <row r="1053" spans="3:15" ht="13.5">
      <c r="C1053" s="1526" t="s">
        <v>5011</v>
      </c>
      <c r="D1053" s="1523">
        <v>1</v>
      </c>
      <c r="E1053" s="1523">
        <v>1</v>
      </c>
      <c r="F1053" s="1524">
        <v>2</v>
      </c>
      <c r="G1053" s="1537" t="s">
        <v>5011</v>
      </c>
      <c r="H1053" s="1521">
        <v>1</v>
      </c>
      <c r="I1053" s="1521">
        <v>0</v>
      </c>
      <c r="J1053" s="1538">
        <v>1</v>
      </c>
      <c r="K1053" s="1525"/>
      <c r="L1053" s="1519">
        <v>13089023315</v>
      </c>
      <c r="M1053" s="1520">
        <v>1</v>
      </c>
      <c r="N1053" s="1520">
        <v>1</v>
      </c>
      <c r="O1053" s="1520">
        <v>2</v>
      </c>
    </row>
    <row r="1054" spans="3:15" ht="13.5">
      <c r="C1054" s="1526" t="s">
        <v>5012</v>
      </c>
      <c r="D1054" s="1523">
        <v>0</v>
      </c>
      <c r="E1054" s="1523">
        <v>0</v>
      </c>
      <c r="F1054" s="1524">
        <v>0</v>
      </c>
      <c r="G1054" s="1537" t="s">
        <v>5012</v>
      </c>
      <c r="H1054" s="1521">
        <v>1</v>
      </c>
      <c r="I1054" s="1521">
        <v>1</v>
      </c>
      <c r="J1054" s="1538">
        <v>1</v>
      </c>
      <c r="K1054" s="1525"/>
      <c r="L1054" s="1519">
        <v>13089023316</v>
      </c>
      <c r="M1054" s="1520">
        <v>1</v>
      </c>
      <c r="N1054" s="1520">
        <v>1</v>
      </c>
      <c r="O1054" s="1520">
        <v>1</v>
      </c>
    </row>
    <row r="1055" spans="3:15" ht="13.5">
      <c r="C1055" s="1526" t="s">
        <v>5013</v>
      </c>
      <c r="D1055" s="1523">
        <v>0</v>
      </c>
      <c r="E1055" s="1523">
        <v>0</v>
      </c>
      <c r="F1055" s="1524">
        <v>0</v>
      </c>
      <c r="G1055" s="1537" t="s">
        <v>5013</v>
      </c>
      <c r="H1055" s="1521">
        <v>0</v>
      </c>
      <c r="I1055" s="1521">
        <v>0</v>
      </c>
      <c r="J1055" s="1538">
        <v>0</v>
      </c>
      <c r="K1055" s="1525"/>
      <c r="L1055" s="1519">
        <v>13089023410</v>
      </c>
      <c r="M1055" s="1520">
        <v>0</v>
      </c>
      <c r="N1055" s="1520">
        <v>0</v>
      </c>
      <c r="O1055" s="1520">
        <v>0</v>
      </c>
    </row>
    <row r="1056" spans="3:15" ht="13.5">
      <c r="C1056" s="1526" t="s">
        <v>5014</v>
      </c>
      <c r="D1056" s="1523">
        <v>0</v>
      </c>
      <c r="E1056" s="1523">
        <v>0</v>
      </c>
      <c r="F1056" s="1524">
        <v>0</v>
      </c>
      <c r="G1056" s="1537" t="s">
        <v>5014</v>
      </c>
      <c r="H1056" s="1521">
        <v>0</v>
      </c>
      <c r="I1056" s="1521" t="s">
        <v>4096</v>
      </c>
      <c r="J1056" s="1538">
        <v>0</v>
      </c>
      <c r="K1056" s="1525"/>
      <c r="L1056" s="1519">
        <v>13089023411</v>
      </c>
      <c r="M1056" s="1520">
        <v>0</v>
      </c>
      <c r="N1056" s="1520">
        <v>0</v>
      </c>
      <c r="O1056" s="1520">
        <v>0</v>
      </c>
    </row>
    <row r="1057" spans="3:15" ht="13.5">
      <c r="C1057" s="1526" t="s">
        <v>5015</v>
      </c>
      <c r="D1057" s="1523">
        <v>0</v>
      </c>
      <c r="E1057" s="1523">
        <v>0</v>
      </c>
      <c r="F1057" s="1524">
        <v>0</v>
      </c>
      <c r="G1057" s="1537" t="s">
        <v>5015</v>
      </c>
      <c r="H1057" s="1521">
        <v>0</v>
      </c>
      <c r="I1057" s="1521">
        <v>0</v>
      </c>
      <c r="J1057" s="1538">
        <v>0</v>
      </c>
      <c r="K1057" s="1525"/>
      <c r="L1057" s="1519">
        <v>13089023412</v>
      </c>
      <c r="M1057" s="1520">
        <v>0</v>
      </c>
      <c r="N1057" s="1520">
        <v>0</v>
      </c>
      <c r="O1057" s="1520">
        <v>0</v>
      </c>
    </row>
    <row r="1058" spans="3:15" ht="13.5">
      <c r="C1058" s="1526" t="s">
        <v>5016</v>
      </c>
      <c r="D1058" s="1523">
        <v>0</v>
      </c>
      <c r="E1058" s="1523">
        <v>0</v>
      </c>
      <c r="F1058" s="1524">
        <v>0</v>
      </c>
      <c r="G1058" s="1537" t="s">
        <v>5016</v>
      </c>
      <c r="H1058" s="1521">
        <v>0</v>
      </c>
      <c r="I1058" s="1521">
        <v>1</v>
      </c>
      <c r="J1058" s="1538">
        <v>0</v>
      </c>
      <c r="K1058" s="1525"/>
      <c r="L1058" s="1519">
        <v>13089023413</v>
      </c>
      <c r="M1058" s="1520">
        <v>0</v>
      </c>
      <c r="N1058" s="1520">
        <v>1</v>
      </c>
      <c r="O1058" s="1520">
        <v>0</v>
      </c>
    </row>
    <row r="1059" spans="3:15" ht="13.5">
      <c r="C1059" s="1526" t="s">
        <v>5017</v>
      </c>
      <c r="D1059" s="1523">
        <v>0</v>
      </c>
      <c r="E1059" s="1523">
        <v>0</v>
      </c>
      <c r="F1059" s="1524">
        <v>0</v>
      </c>
      <c r="G1059" s="1537" t="s">
        <v>5017</v>
      </c>
      <c r="H1059" s="1521">
        <v>1</v>
      </c>
      <c r="I1059" s="1521">
        <v>1</v>
      </c>
      <c r="J1059" s="1538">
        <v>2</v>
      </c>
      <c r="K1059" s="1525"/>
      <c r="L1059" s="1519">
        <v>13089023414</v>
      </c>
      <c r="M1059" s="1520">
        <v>1</v>
      </c>
      <c r="N1059" s="1520">
        <v>1</v>
      </c>
      <c r="O1059" s="1520">
        <v>2</v>
      </c>
    </row>
    <row r="1060" spans="3:15" ht="13.5">
      <c r="C1060" s="1526" t="s">
        <v>5018</v>
      </c>
      <c r="D1060" s="1523">
        <v>0</v>
      </c>
      <c r="E1060" s="1523">
        <v>0</v>
      </c>
      <c r="F1060" s="1524">
        <v>0</v>
      </c>
      <c r="G1060" s="1537" t="s">
        <v>5018</v>
      </c>
      <c r="H1060" s="1521">
        <v>0</v>
      </c>
      <c r="I1060" s="1521">
        <v>1</v>
      </c>
      <c r="J1060" s="1538">
        <v>1</v>
      </c>
      <c r="K1060" s="1525"/>
      <c r="L1060" s="1519">
        <v>13089023416</v>
      </c>
      <c r="M1060" s="1520">
        <v>0</v>
      </c>
      <c r="N1060" s="1520">
        <v>1</v>
      </c>
      <c r="O1060" s="1520">
        <v>1</v>
      </c>
    </row>
    <row r="1061" spans="3:15" ht="13.5">
      <c r="C1061" s="1526" t="s">
        <v>5019</v>
      </c>
      <c r="D1061" s="1523">
        <v>0</v>
      </c>
      <c r="E1061" s="1523">
        <v>0</v>
      </c>
      <c r="F1061" s="1524">
        <v>0</v>
      </c>
      <c r="G1061" s="1537" t="s">
        <v>5019</v>
      </c>
      <c r="H1061" s="1521">
        <v>0</v>
      </c>
      <c r="I1061" s="1521">
        <v>0</v>
      </c>
      <c r="J1061" s="1538">
        <v>0</v>
      </c>
      <c r="K1061" s="1525"/>
      <c r="L1061" s="1519">
        <v>13089023418</v>
      </c>
      <c r="M1061" s="1520">
        <v>0</v>
      </c>
      <c r="N1061" s="1520">
        <v>0</v>
      </c>
      <c r="O1061" s="1520">
        <v>0</v>
      </c>
    </row>
    <row r="1062" spans="3:15" ht="13.5">
      <c r="C1062" s="1526" t="s">
        <v>5020</v>
      </c>
      <c r="D1062" s="1523">
        <v>0</v>
      </c>
      <c r="E1062" s="1523">
        <v>0</v>
      </c>
      <c r="F1062" s="1524">
        <v>0</v>
      </c>
      <c r="G1062" s="1537" t="s">
        <v>5020</v>
      </c>
      <c r="H1062" s="1521">
        <v>1</v>
      </c>
      <c r="I1062" s="1521">
        <v>1</v>
      </c>
      <c r="J1062" s="1538">
        <v>2</v>
      </c>
      <c r="K1062" s="1525"/>
      <c r="L1062" s="1519">
        <v>13089023419</v>
      </c>
      <c r="M1062" s="1520">
        <v>1</v>
      </c>
      <c r="N1062" s="1520">
        <v>1</v>
      </c>
      <c r="O1062" s="1520">
        <v>2</v>
      </c>
    </row>
    <row r="1063" spans="3:15" ht="13.5">
      <c r="C1063" s="1526" t="s">
        <v>5021</v>
      </c>
      <c r="D1063" s="1523">
        <v>0</v>
      </c>
      <c r="E1063" s="1523">
        <v>0</v>
      </c>
      <c r="F1063" s="1524">
        <v>0</v>
      </c>
      <c r="G1063" s="1537" t="s">
        <v>5021</v>
      </c>
      <c r="H1063" s="1521">
        <v>0</v>
      </c>
      <c r="I1063" s="1521">
        <v>0</v>
      </c>
      <c r="J1063" s="1538">
        <v>0</v>
      </c>
      <c r="K1063" s="1525"/>
      <c r="L1063" s="1519">
        <v>13089023421</v>
      </c>
      <c r="M1063" s="1520">
        <v>0</v>
      </c>
      <c r="N1063" s="1520">
        <v>0</v>
      </c>
      <c r="O1063" s="1520">
        <v>0</v>
      </c>
    </row>
    <row r="1064" spans="3:15" ht="13.5">
      <c r="C1064" s="1526" t="s">
        <v>5022</v>
      </c>
      <c r="D1064" s="1523">
        <v>0</v>
      </c>
      <c r="E1064" s="1523">
        <v>0</v>
      </c>
      <c r="F1064" s="1524">
        <v>0</v>
      </c>
      <c r="G1064" s="1537" t="s">
        <v>5022</v>
      </c>
      <c r="H1064" s="1521">
        <v>0</v>
      </c>
      <c r="I1064" s="1521">
        <v>0</v>
      </c>
      <c r="J1064" s="1538">
        <v>0</v>
      </c>
      <c r="K1064" s="1525"/>
      <c r="L1064" s="1519">
        <v>13089023422</v>
      </c>
      <c r="M1064" s="1520">
        <v>0</v>
      </c>
      <c r="N1064" s="1520">
        <v>0</v>
      </c>
      <c r="O1064" s="1520">
        <v>0</v>
      </c>
    </row>
    <row r="1065" spans="3:15" ht="13.5">
      <c r="C1065" s="1526" t="s">
        <v>5023</v>
      </c>
      <c r="D1065" s="1523">
        <v>0</v>
      </c>
      <c r="E1065" s="1523">
        <v>0</v>
      </c>
      <c r="F1065" s="1524">
        <v>0</v>
      </c>
      <c r="G1065" s="1537" t="s">
        <v>5023</v>
      </c>
      <c r="H1065" s="1521">
        <v>1</v>
      </c>
      <c r="I1065" s="1521">
        <v>0</v>
      </c>
      <c r="J1065" s="1538">
        <v>1</v>
      </c>
      <c r="K1065" s="1525"/>
      <c r="L1065" s="1519">
        <v>13089023423</v>
      </c>
      <c r="M1065" s="1520">
        <v>1</v>
      </c>
      <c r="N1065" s="1520">
        <v>0</v>
      </c>
      <c r="O1065" s="1520">
        <v>1</v>
      </c>
    </row>
    <row r="1066" spans="3:15" ht="13.5">
      <c r="C1066" s="1526" t="s">
        <v>5024</v>
      </c>
      <c r="D1066" s="1523">
        <v>0</v>
      </c>
      <c r="E1066" s="1523">
        <v>0</v>
      </c>
      <c r="F1066" s="1524">
        <v>0</v>
      </c>
      <c r="G1066" s="1537" t="s">
        <v>5024</v>
      </c>
      <c r="H1066" s="1521">
        <v>0</v>
      </c>
      <c r="I1066" s="1521">
        <v>1</v>
      </c>
      <c r="J1066" s="1538">
        <v>1</v>
      </c>
      <c r="K1066" s="1525"/>
      <c r="L1066" s="1519">
        <v>13089023424</v>
      </c>
      <c r="M1066" s="1520">
        <v>0</v>
      </c>
      <c r="N1066" s="1520">
        <v>1</v>
      </c>
      <c r="O1066" s="1520">
        <v>1</v>
      </c>
    </row>
    <row r="1067" spans="3:15" ht="13.5">
      <c r="C1067" s="1526" t="s">
        <v>5025</v>
      </c>
      <c r="D1067" s="1523">
        <v>0</v>
      </c>
      <c r="E1067" s="1523">
        <v>0</v>
      </c>
      <c r="F1067" s="1524">
        <v>0</v>
      </c>
      <c r="G1067" s="1537" t="s">
        <v>5025</v>
      </c>
      <c r="H1067" s="1521">
        <v>0</v>
      </c>
      <c r="I1067" s="1521">
        <v>1</v>
      </c>
      <c r="J1067" s="1538">
        <v>1</v>
      </c>
      <c r="K1067" s="1525"/>
      <c r="L1067" s="1519">
        <v>13089023425</v>
      </c>
      <c r="M1067" s="1520">
        <v>0</v>
      </c>
      <c r="N1067" s="1520">
        <v>1</v>
      </c>
      <c r="O1067" s="1520">
        <v>1</v>
      </c>
    </row>
    <row r="1068" spans="3:15" ht="13.5">
      <c r="C1068" s="1526" t="s">
        <v>5026</v>
      </c>
      <c r="D1068" s="1523">
        <v>1</v>
      </c>
      <c r="E1068" s="1523">
        <v>0</v>
      </c>
      <c r="F1068" s="1524">
        <v>1</v>
      </c>
      <c r="G1068" s="1537" t="s">
        <v>5026</v>
      </c>
      <c r="H1068" s="1521">
        <v>1</v>
      </c>
      <c r="I1068" s="1521">
        <v>1</v>
      </c>
      <c r="J1068" s="1538">
        <v>2</v>
      </c>
      <c r="K1068" s="1525"/>
      <c r="L1068" s="1519">
        <v>13089023426</v>
      </c>
      <c r="M1068" s="1520">
        <v>1</v>
      </c>
      <c r="N1068" s="1520">
        <v>1</v>
      </c>
      <c r="O1068" s="1520">
        <v>2</v>
      </c>
    </row>
    <row r="1069" spans="3:15" ht="13.5">
      <c r="C1069" s="1526" t="s">
        <v>5027</v>
      </c>
      <c r="D1069" s="1523">
        <v>1</v>
      </c>
      <c r="E1069" s="1523">
        <v>0</v>
      </c>
      <c r="F1069" s="1524">
        <v>1</v>
      </c>
      <c r="G1069" s="1537" t="s">
        <v>5027</v>
      </c>
      <c r="H1069" s="1521">
        <v>1</v>
      </c>
      <c r="I1069" s="1521">
        <v>0</v>
      </c>
      <c r="J1069" s="1538">
        <v>1</v>
      </c>
      <c r="K1069" s="1525"/>
      <c r="L1069" s="1519">
        <v>13089023427</v>
      </c>
      <c r="M1069" s="1520">
        <v>1</v>
      </c>
      <c r="N1069" s="1520">
        <v>0</v>
      </c>
      <c r="O1069" s="1520">
        <v>1</v>
      </c>
    </row>
    <row r="1070" spans="3:15" ht="13.5">
      <c r="C1070" s="1526" t="s">
        <v>5028</v>
      </c>
      <c r="D1070" s="1523">
        <v>0</v>
      </c>
      <c r="E1070" s="1523">
        <v>0</v>
      </c>
      <c r="F1070" s="1524">
        <v>0</v>
      </c>
      <c r="G1070" s="1537" t="s">
        <v>5028</v>
      </c>
      <c r="H1070" s="1521">
        <v>0</v>
      </c>
      <c r="I1070" s="1521">
        <v>0</v>
      </c>
      <c r="J1070" s="1538">
        <v>0</v>
      </c>
      <c r="K1070" s="1525"/>
      <c r="L1070" s="1519">
        <v>13089023428</v>
      </c>
      <c r="M1070" s="1520">
        <v>0</v>
      </c>
      <c r="N1070" s="1520">
        <v>0</v>
      </c>
      <c r="O1070" s="1520">
        <v>0</v>
      </c>
    </row>
    <row r="1071" spans="3:15" ht="13.5">
      <c r="C1071" s="1526" t="s">
        <v>5029</v>
      </c>
      <c r="D1071" s="1523">
        <v>0</v>
      </c>
      <c r="E1071" s="1523">
        <v>0</v>
      </c>
      <c r="F1071" s="1524">
        <v>0</v>
      </c>
      <c r="G1071" s="1537" t="s">
        <v>5029</v>
      </c>
      <c r="H1071" s="1521">
        <v>0</v>
      </c>
      <c r="I1071" s="1521">
        <v>0</v>
      </c>
      <c r="J1071" s="1538">
        <v>0</v>
      </c>
      <c r="K1071" s="1525"/>
      <c r="L1071" s="1519">
        <v>13089023501</v>
      </c>
      <c r="M1071" s="1520">
        <v>0</v>
      </c>
      <c r="N1071" s="1520">
        <v>0</v>
      </c>
      <c r="O1071" s="1520">
        <v>0</v>
      </c>
    </row>
    <row r="1072" spans="3:15" ht="13.5">
      <c r="C1072" s="1526" t="s">
        <v>5030</v>
      </c>
      <c r="D1072" s="1523">
        <v>0</v>
      </c>
      <c r="E1072" s="1523">
        <v>0</v>
      </c>
      <c r="F1072" s="1524">
        <v>0</v>
      </c>
      <c r="G1072" s="1537" t="s">
        <v>5030</v>
      </c>
      <c r="H1072" s="1521">
        <v>0</v>
      </c>
      <c r="I1072" s="1521">
        <v>0</v>
      </c>
      <c r="J1072" s="1538">
        <v>0</v>
      </c>
      <c r="K1072" s="1525"/>
      <c r="L1072" s="1519">
        <v>13089023504</v>
      </c>
      <c r="M1072" s="1520">
        <v>0</v>
      </c>
      <c r="N1072" s="1520">
        <v>0</v>
      </c>
      <c r="O1072" s="1520">
        <v>0</v>
      </c>
    </row>
    <row r="1073" spans="3:15" ht="13.5">
      <c r="C1073" s="1526" t="s">
        <v>5031</v>
      </c>
      <c r="D1073" s="1523">
        <v>0</v>
      </c>
      <c r="E1073" s="1523">
        <v>0</v>
      </c>
      <c r="F1073" s="1524">
        <v>0</v>
      </c>
      <c r="G1073" s="1537" t="s">
        <v>5031</v>
      </c>
      <c r="H1073" s="1521">
        <v>0</v>
      </c>
      <c r="I1073" s="1521">
        <v>0</v>
      </c>
      <c r="J1073" s="1538">
        <v>0</v>
      </c>
      <c r="K1073" s="1525"/>
      <c r="L1073" s="1519">
        <v>13089023505</v>
      </c>
      <c r="M1073" s="1520">
        <v>0</v>
      </c>
      <c r="N1073" s="1520">
        <v>0</v>
      </c>
      <c r="O1073" s="1520">
        <v>0</v>
      </c>
    </row>
    <row r="1074" spans="3:15" ht="13.5">
      <c r="C1074" s="1526" t="s">
        <v>5032</v>
      </c>
      <c r="D1074" s="1523">
        <v>0</v>
      </c>
      <c r="E1074" s="1523">
        <v>0</v>
      </c>
      <c r="F1074" s="1524">
        <v>0</v>
      </c>
      <c r="G1074" s="1537" t="s">
        <v>5032</v>
      </c>
      <c r="H1074" s="1521">
        <v>0</v>
      </c>
      <c r="I1074" s="1521">
        <v>0</v>
      </c>
      <c r="J1074" s="1538">
        <v>0</v>
      </c>
      <c r="K1074" s="1525"/>
      <c r="L1074" s="1519">
        <v>13089023506</v>
      </c>
      <c r="M1074" s="1520">
        <v>0</v>
      </c>
      <c r="N1074" s="1520">
        <v>0</v>
      </c>
      <c r="O1074" s="1520">
        <v>0</v>
      </c>
    </row>
    <row r="1075" spans="3:15" ht="13.5">
      <c r="C1075" s="1526" t="s">
        <v>5033</v>
      </c>
      <c r="D1075" s="1523">
        <v>0</v>
      </c>
      <c r="E1075" s="1523">
        <v>0</v>
      </c>
      <c r="F1075" s="1524">
        <v>0</v>
      </c>
      <c r="G1075" s="1537" t="s">
        <v>5033</v>
      </c>
      <c r="H1075" s="1521">
        <v>0</v>
      </c>
      <c r="I1075" s="1521">
        <v>1</v>
      </c>
      <c r="J1075" s="1538">
        <v>1</v>
      </c>
      <c r="K1075" s="1525"/>
      <c r="L1075" s="1519">
        <v>13089023507</v>
      </c>
      <c r="M1075" s="1520">
        <v>0</v>
      </c>
      <c r="N1075" s="1520">
        <v>1</v>
      </c>
      <c r="O1075" s="1520">
        <v>1</v>
      </c>
    </row>
    <row r="1076" spans="3:15" ht="13.5">
      <c r="C1076" s="1526" t="s">
        <v>5034</v>
      </c>
      <c r="D1076" s="1523">
        <v>0</v>
      </c>
      <c r="E1076" s="1523">
        <v>0</v>
      </c>
      <c r="F1076" s="1524">
        <v>0</v>
      </c>
      <c r="G1076" s="1537" t="s">
        <v>5034</v>
      </c>
      <c r="H1076" s="1521">
        <v>0</v>
      </c>
      <c r="I1076" s="1521">
        <v>0</v>
      </c>
      <c r="J1076" s="1538">
        <v>0</v>
      </c>
      <c r="K1076" s="1525"/>
      <c r="L1076" s="1519">
        <v>13089023601</v>
      </c>
      <c r="M1076" s="1520">
        <v>0</v>
      </c>
      <c r="N1076" s="1520">
        <v>0</v>
      </c>
      <c r="O1076" s="1520">
        <v>0</v>
      </c>
    </row>
    <row r="1077" spans="3:15" ht="13.5">
      <c r="C1077" s="1526" t="s">
        <v>5035</v>
      </c>
      <c r="D1077" s="1523">
        <v>0</v>
      </c>
      <c r="E1077" s="1523">
        <v>0</v>
      </c>
      <c r="F1077" s="1524">
        <v>0</v>
      </c>
      <c r="G1077" s="1537" t="s">
        <v>5035</v>
      </c>
      <c r="H1077" s="1521">
        <v>0</v>
      </c>
      <c r="I1077" s="1521">
        <v>0</v>
      </c>
      <c r="J1077" s="1538">
        <v>0</v>
      </c>
      <c r="K1077" s="1525"/>
      <c r="L1077" s="1519">
        <v>13089023602</v>
      </c>
      <c r="M1077" s="1520">
        <v>0</v>
      </c>
      <c r="N1077" s="1520">
        <v>0</v>
      </c>
      <c r="O1077" s="1520">
        <v>0</v>
      </c>
    </row>
    <row r="1078" spans="3:15" ht="13.5">
      <c r="C1078" s="1526" t="s">
        <v>5036</v>
      </c>
      <c r="D1078" s="1523">
        <v>0</v>
      </c>
      <c r="E1078" s="1523">
        <v>0</v>
      </c>
      <c r="F1078" s="1524">
        <v>0</v>
      </c>
      <c r="G1078" s="1537" t="s">
        <v>5036</v>
      </c>
      <c r="H1078" s="1521">
        <v>0</v>
      </c>
      <c r="I1078" s="1521">
        <v>0</v>
      </c>
      <c r="J1078" s="1538">
        <v>0</v>
      </c>
      <c r="K1078" s="1525"/>
      <c r="L1078" s="1519">
        <v>13089023603</v>
      </c>
      <c r="M1078" s="1520">
        <v>0</v>
      </c>
      <c r="N1078" s="1520">
        <v>0</v>
      </c>
      <c r="O1078" s="1520">
        <v>0</v>
      </c>
    </row>
    <row r="1079" spans="3:15" ht="13.5">
      <c r="C1079" s="1526" t="s">
        <v>5037</v>
      </c>
      <c r="D1079" s="1523">
        <v>0</v>
      </c>
      <c r="E1079" s="1523">
        <v>0</v>
      </c>
      <c r="F1079" s="1524">
        <v>0</v>
      </c>
      <c r="G1079" s="1537" t="s">
        <v>5037</v>
      </c>
      <c r="H1079" s="1521">
        <v>0</v>
      </c>
      <c r="I1079" s="1521" t="s">
        <v>4096</v>
      </c>
      <c r="J1079" s="1538">
        <v>0</v>
      </c>
      <c r="K1079" s="1525"/>
      <c r="L1079" s="1519">
        <v>13089023700</v>
      </c>
      <c r="M1079" s="1520">
        <v>0</v>
      </c>
      <c r="N1079" s="1520">
        <v>0</v>
      </c>
      <c r="O1079" s="1520">
        <v>0</v>
      </c>
    </row>
    <row r="1080" spans="3:15" ht="13.5">
      <c r="C1080" s="1526" t="s">
        <v>5038</v>
      </c>
      <c r="D1080" s="1523">
        <v>1</v>
      </c>
      <c r="E1080" s="1523">
        <v>0</v>
      </c>
      <c r="F1080" s="1524">
        <v>1</v>
      </c>
      <c r="G1080" s="1537" t="s">
        <v>5038</v>
      </c>
      <c r="H1080" s="1521">
        <v>1</v>
      </c>
      <c r="I1080" s="1521">
        <v>0</v>
      </c>
      <c r="J1080" s="1538">
        <v>1</v>
      </c>
      <c r="K1080" s="1525"/>
      <c r="L1080" s="1519">
        <v>13089023801</v>
      </c>
      <c r="M1080" s="1520">
        <v>1</v>
      </c>
      <c r="N1080" s="1520">
        <v>0</v>
      </c>
      <c r="O1080" s="1520">
        <v>1</v>
      </c>
    </row>
    <row r="1081" spans="3:15" ht="13.5">
      <c r="C1081" s="1526" t="s">
        <v>5039</v>
      </c>
      <c r="D1081" s="1523">
        <v>0</v>
      </c>
      <c r="E1081" s="1523">
        <v>0</v>
      </c>
      <c r="F1081" s="1524">
        <v>0</v>
      </c>
      <c r="G1081" s="1537" t="s">
        <v>5039</v>
      </c>
      <c r="H1081" s="1521">
        <v>0</v>
      </c>
      <c r="I1081" s="1521">
        <v>0</v>
      </c>
      <c r="J1081" s="1538">
        <v>0</v>
      </c>
      <c r="K1081" s="1525"/>
      <c r="L1081" s="1519">
        <v>13089023802</v>
      </c>
      <c r="M1081" s="1520">
        <v>0</v>
      </c>
      <c r="N1081" s="1520">
        <v>0</v>
      </c>
      <c r="O1081" s="1520">
        <v>0</v>
      </c>
    </row>
    <row r="1082" spans="3:15" ht="13.5">
      <c r="C1082" s="1526" t="s">
        <v>5040</v>
      </c>
      <c r="D1082" s="1523">
        <v>0</v>
      </c>
      <c r="E1082" s="1523">
        <v>0</v>
      </c>
      <c r="F1082" s="1524">
        <v>0</v>
      </c>
      <c r="G1082" s="1537" t="s">
        <v>5040</v>
      </c>
      <c r="H1082" s="1521">
        <v>0</v>
      </c>
      <c r="I1082" s="1521">
        <v>0</v>
      </c>
      <c r="J1082" s="1538">
        <v>0</v>
      </c>
      <c r="K1082" s="1525"/>
      <c r="L1082" s="1519">
        <v>13089023803</v>
      </c>
      <c r="M1082" s="1520">
        <v>0</v>
      </c>
      <c r="N1082" s="1520">
        <v>0</v>
      </c>
      <c r="O1082" s="1520">
        <v>0</v>
      </c>
    </row>
    <row r="1083" spans="3:15" ht="13.5">
      <c r="C1083" s="1526" t="s">
        <v>5041</v>
      </c>
      <c r="D1083" s="1523" t="s">
        <v>4096</v>
      </c>
      <c r="E1083" s="1523" t="s">
        <v>4096</v>
      </c>
      <c r="F1083" s="1524">
        <v>0</v>
      </c>
      <c r="G1083" s="1537" t="s">
        <v>5041</v>
      </c>
      <c r="H1083" s="1521" t="s">
        <v>4096</v>
      </c>
      <c r="I1083" s="1521" t="s">
        <v>4096</v>
      </c>
      <c r="J1083" s="1538">
        <v>0</v>
      </c>
      <c r="K1083" s="1525"/>
      <c r="L1083" s="1519">
        <v>13089980000</v>
      </c>
      <c r="M1083" s="1520">
        <v>0</v>
      </c>
      <c r="N1083" s="1520">
        <v>0</v>
      </c>
      <c r="O1083" s="1520">
        <v>0</v>
      </c>
    </row>
    <row r="1084" spans="3:15" ht="13.5">
      <c r="C1084" s="1526" t="s">
        <v>5042</v>
      </c>
      <c r="D1084" s="1523">
        <v>0</v>
      </c>
      <c r="E1084" s="1523">
        <v>0</v>
      </c>
      <c r="F1084" s="1524">
        <v>0</v>
      </c>
      <c r="G1084" s="1537" t="s">
        <v>5042</v>
      </c>
      <c r="H1084" s="1521">
        <v>0</v>
      </c>
      <c r="I1084" s="1521">
        <v>1</v>
      </c>
      <c r="J1084" s="1538">
        <v>1</v>
      </c>
      <c r="K1084" s="1525"/>
      <c r="L1084" s="1519">
        <v>13091960100</v>
      </c>
      <c r="M1084" s="1520">
        <v>0</v>
      </c>
      <c r="N1084" s="1520">
        <v>1</v>
      </c>
      <c r="O1084" s="1520">
        <v>1</v>
      </c>
    </row>
    <row r="1085" spans="3:15" ht="13.5">
      <c r="C1085" s="1526" t="s">
        <v>5043</v>
      </c>
      <c r="D1085" s="1523">
        <v>0</v>
      </c>
      <c r="E1085" s="1523">
        <v>0</v>
      </c>
      <c r="F1085" s="1524">
        <v>0</v>
      </c>
      <c r="G1085" s="1537" t="s">
        <v>5043</v>
      </c>
      <c r="H1085" s="1521">
        <v>0</v>
      </c>
      <c r="I1085" s="1521">
        <v>0</v>
      </c>
      <c r="J1085" s="1538">
        <v>0</v>
      </c>
      <c r="K1085" s="1525"/>
      <c r="L1085" s="1519">
        <v>13091960200</v>
      </c>
      <c r="M1085" s="1520">
        <v>0</v>
      </c>
      <c r="N1085" s="1520">
        <v>0</v>
      </c>
      <c r="O1085" s="1520">
        <v>0</v>
      </c>
    </row>
    <row r="1086" spans="3:15" ht="13.5">
      <c r="C1086" s="1526" t="s">
        <v>5044</v>
      </c>
      <c r="D1086" s="1523">
        <v>0</v>
      </c>
      <c r="E1086" s="1523">
        <v>1</v>
      </c>
      <c r="F1086" s="1524">
        <v>1</v>
      </c>
      <c r="G1086" s="1537" t="s">
        <v>5044</v>
      </c>
      <c r="H1086" s="1521">
        <v>0</v>
      </c>
      <c r="I1086" s="1521">
        <v>1</v>
      </c>
      <c r="J1086" s="1538">
        <v>1</v>
      </c>
      <c r="K1086" s="1525"/>
      <c r="L1086" s="1519">
        <v>13091960300</v>
      </c>
      <c r="M1086" s="1520">
        <v>0</v>
      </c>
      <c r="N1086" s="1520">
        <v>1</v>
      </c>
      <c r="O1086" s="1520">
        <v>1</v>
      </c>
    </row>
    <row r="1087" spans="3:15" ht="13.5">
      <c r="C1087" s="1526" t="s">
        <v>5045</v>
      </c>
      <c r="D1087" s="1523">
        <v>0</v>
      </c>
      <c r="E1087" s="1523">
        <v>0</v>
      </c>
      <c r="F1087" s="1524">
        <v>0</v>
      </c>
      <c r="G1087" s="1537" t="s">
        <v>5045</v>
      </c>
      <c r="H1087" s="1521">
        <v>0</v>
      </c>
      <c r="I1087" s="1521">
        <v>0</v>
      </c>
      <c r="J1087" s="1538">
        <v>0</v>
      </c>
      <c r="K1087" s="1525"/>
      <c r="L1087" s="1519">
        <v>13091960400</v>
      </c>
      <c r="M1087" s="1520">
        <v>0</v>
      </c>
      <c r="N1087" s="1520">
        <v>0</v>
      </c>
      <c r="O1087" s="1520">
        <v>0</v>
      </c>
    </row>
    <row r="1088" spans="3:15" ht="13.5">
      <c r="C1088" s="1526" t="s">
        <v>5046</v>
      </c>
      <c r="D1088" s="1523">
        <v>0</v>
      </c>
      <c r="E1088" s="1523">
        <v>0</v>
      </c>
      <c r="F1088" s="1524">
        <v>0</v>
      </c>
      <c r="G1088" s="1537" t="s">
        <v>5046</v>
      </c>
      <c r="H1088" s="1521">
        <v>0</v>
      </c>
      <c r="I1088" s="1521" t="s">
        <v>4096</v>
      </c>
      <c r="J1088" s="1538">
        <v>0</v>
      </c>
      <c r="K1088" s="1525"/>
      <c r="L1088" s="1519">
        <v>13091960500</v>
      </c>
      <c r="M1088" s="1520">
        <v>0</v>
      </c>
      <c r="N1088" s="1520">
        <v>0</v>
      </c>
      <c r="O1088" s="1520">
        <v>0</v>
      </c>
    </row>
    <row r="1089" spans="3:15" ht="13.5">
      <c r="C1089" s="1526" t="s">
        <v>5047</v>
      </c>
      <c r="D1089" s="1523">
        <v>0</v>
      </c>
      <c r="E1089" s="1523">
        <v>0</v>
      </c>
      <c r="F1089" s="1524">
        <v>0</v>
      </c>
      <c r="G1089" s="1537" t="s">
        <v>5047</v>
      </c>
      <c r="H1089" s="1521">
        <v>0</v>
      </c>
      <c r="I1089" s="1521">
        <v>0</v>
      </c>
      <c r="J1089" s="1538">
        <v>0</v>
      </c>
      <c r="K1089" s="1525"/>
      <c r="L1089" s="1519">
        <v>13091960600</v>
      </c>
      <c r="M1089" s="1520">
        <v>0</v>
      </c>
      <c r="N1089" s="1520">
        <v>0</v>
      </c>
      <c r="O1089" s="1520">
        <v>0</v>
      </c>
    </row>
    <row r="1090" spans="3:15" ht="13.5">
      <c r="C1090" s="1526" t="s">
        <v>5048</v>
      </c>
      <c r="D1090" s="1523">
        <v>0</v>
      </c>
      <c r="E1090" s="1523">
        <v>0</v>
      </c>
      <c r="F1090" s="1524">
        <v>0</v>
      </c>
      <c r="G1090" s="1537" t="s">
        <v>5048</v>
      </c>
      <c r="H1090" s="1521">
        <v>0</v>
      </c>
      <c r="I1090" s="1521">
        <v>1</v>
      </c>
      <c r="J1090" s="1538">
        <v>1</v>
      </c>
      <c r="K1090" s="1525"/>
      <c r="L1090" s="1519">
        <v>13093970100</v>
      </c>
      <c r="M1090" s="1520">
        <v>0</v>
      </c>
      <c r="N1090" s="1520">
        <v>1</v>
      </c>
      <c r="O1090" s="1520">
        <v>1</v>
      </c>
    </row>
    <row r="1091" spans="3:15" ht="13.5">
      <c r="C1091" s="1526" t="s">
        <v>5049</v>
      </c>
      <c r="D1091" s="1523">
        <v>0</v>
      </c>
      <c r="E1091" s="1523">
        <v>0</v>
      </c>
      <c r="F1091" s="1524">
        <v>0</v>
      </c>
      <c r="G1091" s="1537" t="s">
        <v>5049</v>
      </c>
      <c r="H1091" s="1521">
        <v>0</v>
      </c>
      <c r="I1091" s="1521">
        <v>0</v>
      </c>
      <c r="J1091" s="1538">
        <v>0</v>
      </c>
      <c r="K1091" s="1525"/>
      <c r="L1091" s="1519">
        <v>13093970200</v>
      </c>
      <c r="M1091" s="1520">
        <v>0</v>
      </c>
      <c r="N1091" s="1520">
        <v>0</v>
      </c>
      <c r="O1091" s="1520">
        <v>0</v>
      </c>
    </row>
    <row r="1092" spans="3:15" ht="13.5">
      <c r="C1092" s="1526" t="s">
        <v>5050</v>
      </c>
      <c r="D1092" s="1523">
        <v>0</v>
      </c>
      <c r="E1092" s="1523">
        <v>0</v>
      </c>
      <c r="F1092" s="1524">
        <v>0</v>
      </c>
      <c r="G1092" s="1537" t="s">
        <v>5050</v>
      </c>
      <c r="H1092" s="1521">
        <v>0</v>
      </c>
      <c r="I1092" s="1521">
        <v>1</v>
      </c>
      <c r="J1092" s="1538">
        <v>1</v>
      </c>
      <c r="K1092" s="1525"/>
      <c r="L1092" s="1519">
        <v>13093970300</v>
      </c>
      <c r="M1092" s="1520">
        <v>0</v>
      </c>
      <c r="N1092" s="1520">
        <v>1</v>
      </c>
      <c r="O1092" s="1520">
        <v>1</v>
      </c>
    </row>
    <row r="1093" spans="3:15" ht="13.5">
      <c r="C1093" s="1526" t="s">
        <v>5051</v>
      </c>
      <c r="D1093" s="1523">
        <v>0</v>
      </c>
      <c r="E1093" s="1523">
        <v>0</v>
      </c>
      <c r="F1093" s="1524">
        <v>0</v>
      </c>
      <c r="G1093" s="1537" t="s">
        <v>5051</v>
      </c>
      <c r="H1093" s="1521">
        <v>0</v>
      </c>
      <c r="I1093" s="1521">
        <v>0</v>
      </c>
      <c r="J1093" s="1538">
        <v>0</v>
      </c>
      <c r="K1093" s="1525"/>
      <c r="L1093" s="1519">
        <v>13095000100</v>
      </c>
      <c r="M1093" s="1520">
        <v>0</v>
      </c>
      <c r="N1093" s="1520">
        <v>0</v>
      </c>
      <c r="O1093" s="1520">
        <v>0</v>
      </c>
    </row>
    <row r="1094" spans="3:15" ht="13.5">
      <c r="C1094" s="1526" t="s">
        <v>5052</v>
      </c>
      <c r="D1094" s="1523">
        <v>0</v>
      </c>
      <c r="E1094" s="1523">
        <v>0</v>
      </c>
      <c r="F1094" s="1524">
        <v>0</v>
      </c>
      <c r="G1094" s="1537" t="s">
        <v>5052</v>
      </c>
      <c r="H1094" s="1521">
        <v>0</v>
      </c>
      <c r="I1094" s="1521">
        <v>0</v>
      </c>
      <c r="J1094" s="1538">
        <v>0</v>
      </c>
      <c r="K1094" s="1525"/>
      <c r="L1094" s="1519">
        <v>13095000200</v>
      </c>
      <c r="M1094" s="1520">
        <v>0</v>
      </c>
      <c r="N1094" s="1520">
        <v>0</v>
      </c>
      <c r="O1094" s="1520">
        <v>0</v>
      </c>
    </row>
    <row r="1095" spans="3:15" ht="13.5">
      <c r="C1095" s="1526" t="s">
        <v>5053</v>
      </c>
      <c r="D1095" s="1523">
        <v>0</v>
      </c>
      <c r="E1095" s="1523">
        <v>0</v>
      </c>
      <c r="F1095" s="1524">
        <v>0</v>
      </c>
      <c r="G1095" s="1537" t="s">
        <v>5053</v>
      </c>
      <c r="H1095" s="1521">
        <v>0</v>
      </c>
      <c r="I1095" s="1521">
        <v>1</v>
      </c>
      <c r="J1095" s="1538">
        <v>1</v>
      </c>
      <c r="K1095" s="1525"/>
      <c r="L1095" s="1519">
        <v>13095000400</v>
      </c>
      <c r="M1095" s="1520">
        <v>0</v>
      </c>
      <c r="N1095" s="1520">
        <v>1</v>
      </c>
      <c r="O1095" s="1520">
        <v>1</v>
      </c>
    </row>
    <row r="1096" spans="3:15" ht="13.5">
      <c r="C1096" s="1526" t="s">
        <v>5054</v>
      </c>
      <c r="D1096" s="1523">
        <v>1</v>
      </c>
      <c r="E1096" s="1523">
        <v>0</v>
      </c>
      <c r="F1096" s="1524">
        <v>1</v>
      </c>
      <c r="G1096" s="1537" t="s">
        <v>5054</v>
      </c>
      <c r="H1096" s="1521">
        <v>1</v>
      </c>
      <c r="I1096" s="1521">
        <v>1</v>
      </c>
      <c r="J1096" s="1538">
        <v>2</v>
      </c>
      <c r="K1096" s="1525"/>
      <c r="L1096" s="1519">
        <v>13095000501</v>
      </c>
      <c r="M1096" s="1520">
        <v>1</v>
      </c>
      <c r="N1096" s="1520">
        <v>1</v>
      </c>
      <c r="O1096" s="1520">
        <v>2</v>
      </c>
    </row>
    <row r="1097" spans="3:15" ht="13.5">
      <c r="C1097" s="1526" t="s">
        <v>5055</v>
      </c>
      <c r="D1097" s="1523">
        <v>1</v>
      </c>
      <c r="E1097" s="1523">
        <v>1</v>
      </c>
      <c r="F1097" s="1524">
        <v>2</v>
      </c>
      <c r="G1097" s="1537" t="s">
        <v>5055</v>
      </c>
      <c r="H1097" s="1521">
        <v>1</v>
      </c>
      <c r="I1097" s="1521">
        <v>1</v>
      </c>
      <c r="J1097" s="1538">
        <v>2</v>
      </c>
      <c r="K1097" s="1525"/>
      <c r="L1097" s="1519">
        <v>13095000502</v>
      </c>
      <c r="M1097" s="1520">
        <v>1</v>
      </c>
      <c r="N1097" s="1520">
        <v>1</v>
      </c>
      <c r="O1097" s="1520">
        <v>2</v>
      </c>
    </row>
    <row r="1098" spans="3:15" ht="13.5">
      <c r="C1098" s="1526" t="s">
        <v>5056</v>
      </c>
      <c r="D1098" s="1523">
        <v>0</v>
      </c>
      <c r="E1098" s="1523">
        <v>0</v>
      </c>
      <c r="F1098" s="1524">
        <v>0</v>
      </c>
      <c r="G1098" s="1537" t="s">
        <v>5056</v>
      </c>
      <c r="H1098" s="1521">
        <v>0</v>
      </c>
      <c r="I1098" s="1521">
        <v>0</v>
      </c>
      <c r="J1098" s="1538">
        <v>0</v>
      </c>
      <c r="K1098" s="1525"/>
      <c r="L1098" s="1519">
        <v>13095000600</v>
      </c>
      <c r="M1098" s="1520">
        <v>0</v>
      </c>
      <c r="N1098" s="1520">
        <v>0</v>
      </c>
      <c r="O1098" s="1520">
        <v>0</v>
      </c>
    </row>
    <row r="1099" spans="3:15" ht="13.5">
      <c r="C1099" s="1526" t="s">
        <v>5057</v>
      </c>
      <c r="D1099" s="1523">
        <v>0</v>
      </c>
      <c r="E1099" s="1523">
        <v>0</v>
      </c>
      <c r="F1099" s="1524">
        <v>0</v>
      </c>
      <c r="G1099" s="1537" t="s">
        <v>5057</v>
      </c>
      <c r="H1099" s="1521">
        <v>1</v>
      </c>
      <c r="I1099" s="1521">
        <v>0</v>
      </c>
      <c r="J1099" s="1538">
        <v>1</v>
      </c>
      <c r="K1099" s="1525"/>
      <c r="L1099" s="1519">
        <v>13095000700</v>
      </c>
      <c r="M1099" s="1520">
        <v>1</v>
      </c>
      <c r="N1099" s="1520">
        <v>0</v>
      </c>
      <c r="O1099" s="1520">
        <v>1</v>
      </c>
    </row>
    <row r="1100" spans="3:15" ht="13.5">
      <c r="C1100" s="1526" t="s">
        <v>5058</v>
      </c>
      <c r="D1100" s="1523">
        <v>0</v>
      </c>
      <c r="E1100" s="1523">
        <v>0</v>
      </c>
      <c r="F1100" s="1524">
        <v>0</v>
      </c>
      <c r="G1100" s="1537" t="s">
        <v>5058</v>
      </c>
      <c r="H1100" s="1521">
        <v>0</v>
      </c>
      <c r="I1100" s="1521">
        <v>0</v>
      </c>
      <c r="J1100" s="1538">
        <v>0</v>
      </c>
      <c r="K1100" s="1525"/>
      <c r="L1100" s="1519">
        <v>13095000800</v>
      </c>
      <c r="M1100" s="1520">
        <v>0</v>
      </c>
      <c r="N1100" s="1520">
        <v>0</v>
      </c>
      <c r="O1100" s="1520">
        <v>0</v>
      </c>
    </row>
    <row r="1101" spans="3:15" ht="13.5">
      <c r="C1101" s="1526" t="s">
        <v>5059</v>
      </c>
      <c r="D1101" s="1523">
        <v>0</v>
      </c>
      <c r="E1101" s="1523">
        <v>0</v>
      </c>
      <c r="F1101" s="1524">
        <v>0</v>
      </c>
      <c r="G1101" s="1537" t="s">
        <v>5059</v>
      </c>
      <c r="H1101" s="1521">
        <v>0</v>
      </c>
      <c r="I1101" s="1521">
        <v>0</v>
      </c>
      <c r="J1101" s="1538">
        <v>0</v>
      </c>
      <c r="K1101" s="1525"/>
      <c r="L1101" s="1519">
        <v>13095000900</v>
      </c>
      <c r="M1101" s="1520">
        <v>0</v>
      </c>
      <c r="N1101" s="1520">
        <v>0</v>
      </c>
      <c r="O1101" s="1520">
        <v>0</v>
      </c>
    </row>
    <row r="1102" spans="3:15" ht="13.5">
      <c r="C1102" s="1526" t="s">
        <v>5060</v>
      </c>
      <c r="D1102" s="1523">
        <v>0</v>
      </c>
      <c r="E1102" s="1523">
        <v>0</v>
      </c>
      <c r="F1102" s="1524">
        <v>0</v>
      </c>
      <c r="G1102" s="1537" t="s">
        <v>5060</v>
      </c>
      <c r="H1102" s="1521">
        <v>0</v>
      </c>
      <c r="I1102" s="1521">
        <v>0</v>
      </c>
      <c r="J1102" s="1538">
        <v>0</v>
      </c>
      <c r="K1102" s="1525"/>
      <c r="L1102" s="1519">
        <v>13095001000</v>
      </c>
      <c r="M1102" s="1520">
        <v>0</v>
      </c>
      <c r="N1102" s="1520">
        <v>0</v>
      </c>
      <c r="O1102" s="1520">
        <v>0</v>
      </c>
    </row>
    <row r="1103" spans="3:15" ht="13.5">
      <c r="C1103" s="1526" t="s">
        <v>5061</v>
      </c>
      <c r="D1103" s="1523">
        <v>0</v>
      </c>
      <c r="E1103" s="1523">
        <v>0</v>
      </c>
      <c r="F1103" s="1524">
        <v>0</v>
      </c>
      <c r="G1103" s="1537" t="s">
        <v>5061</v>
      </c>
      <c r="H1103" s="1521">
        <v>0</v>
      </c>
      <c r="I1103" s="1521">
        <v>0</v>
      </c>
      <c r="J1103" s="1538">
        <v>0</v>
      </c>
      <c r="K1103" s="1525"/>
      <c r="L1103" s="1519">
        <v>13095001100</v>
      </c>
      <c r="M1103" s="1520">
        <v>0</v>
      </c>
      <c r="N1103" s="1520">
        <v>0</v>
      </c>
      <c r="O1103" s="1520">
        <v>0</v>
      </c>
    </row>
    <row r="1104" spans="3:15" ht="13.5">
      <c r="C1104" s="1526" t="s">
        <v>5062</v>
      </c>
      <c r="D1104" s="1523">
        <v>0</v>
      </c>
      <c r="E1104" s="1523">
        <v>0</v>
      </c>
      <c r="F1104" s="1524">
        <v>0</v>
      </c>
      <c r="G1104" s="1537" t="s">
        <v>5062</v>
      </c>
      <c r="H1104" s="1521">
        <v>0</v>
      </c>
      <c r="I1104" s="1521" t="s">
        <v>4096</v>
      </c>
      <c r="J1104" s="1538">
        <v>0</v>
      </c>
      <c r="K1104" s="1525"/>
      <c r="L1104" s="1519">
        <v>13095001403</v>
      </c>
      <c r="M1104" s="1520">
        <v>0</v>
      </c>
      <c r="N1104" s="1520">
        <v>0</v>
      </c>
      <c r="O1104" s="1520">
        <v>0</v>
      </c>
    </row>
    <row r="1105" spans="3:15" ht="13.5">
      <c r="C1105" s="1526" t="s">
        <v>5063</v>
      </c>
      <c r="D1105" s="1523">
        <v>0</v>
      </c>
      <c r="E1105" s="1523">
        <v>0</v>
      </c>
      <c r="F1105" s="1524">
        <v>0</v>
      </c>
      <c r="G1105" s="1537" t="s">
        <v>5063</v>
      </c>
      <c r="H1105" s="1521">
        <v>0</v>
      </c>
      <c r="I1105" s="1521">
        <v>0</v>
      </c>
      <c r="J1105" s="1538">
        <v>0</v>
      </c>
      <c r="K1105" s="1525"/>
      <c r="L1105" s="1519">
        <v>13095001500</v>
      </c>
      <c r="M1105" s="1520">
        <v>0</v>
      </c>
      <c r="N1105" s="1520">
        <v>0</v>
      </c>
      <c r="O1105" s="1520">
        <v>0</v>
      </c>
    </row>
    <row r="1106" spans="3:15" ht="13.5">
      <c r="C1106" s="1526" t="s">
        <v>5064</v>
      </c>
      <c r="D1106" s="1523">
        <v>0</v>
      </c>
      <c r="E1106" s="1523">
        <v>0</v>
      </c>
      <c r="F1106" s="1524">
        <v>0</v>
      </c>
      <c r="G1106" s="1537" t="s">
        <v>5064</v>
      </c>
      <c r="H1106" s="1521">
        <v>0</v>
      </c>
      <c r="I1106" s="1521">
        <v>0</v>
      </c>
      <c r="J1106" s="1538">
        <v>0</v>
      </c>
      <c r="K1106" s="1525"/>
      <c r="L1106" s="1519">
        <v>13095010302</v>
      </c>
      <c r="M1106" s="1520">
        <v>0</v>
      </c>
      <c r="N1106" s="1520">
        <v>0</v>
      </c>
      <c r="O1106" s="1520">
        <v>0</v>
      </c>
    </row>
    <row r="1107" spans="3:15" ht="13.5">
      <c r="C1107" s="1526" t="s">
        <v>5065</v>
      </c>
      <c r="D1107" s="1523">
        <v>1</v>
      </c>
      <c r="E1107" s="1523">
        <v>1</v>
      </c>
      <c r="F1107" s="1524">
        <v>2</v>
      </c>
      <c r="G1107" s="1537" t="s">
        <v>5065</v>
      </c>
      <c r="H1107" s="1521">
        <v>1</v>
      </c>
      <c r="I1107" s="1521">
        <v>1</v>
      </c>
      <c r="J1107" s="1538">
        <v>2</v>
      </c>
      <c r="K1107" s="1525"/>
      <c r="L1107" s="1519">
        <v>13095010401</v>
      </c>
      <c r="M1107" s="1520">
        <v>1</v>
      </c>
      <c r="N1107" s="1520">
        <v>1</v>
      </c>
      <c r="O1107" s="1520">
        <v>2</v>
      </c>
    </row>
    <row r="1108" spans="3:15" ht="13.5">
      <c r="C1108" s="1526" t="s">
        <v>5066</v>
      </c>
      <c r="D1108" s="1523">
        <v>0</v>
      </c>
      <c r="E1108" s="1523">
        <v>0</v>
      </c>
      <c r="F1108" s="1524">
        <v>0</v>
      </c>
      <c r="G1108" s="1537" t="s">
        <v>5066</v>
      </c>
      <c r="H1108" s="1521">
        <v>0</v>
      </c>
      <c r="I1108" s="1521">
        <v>1</v>
      </c>
      <c r="J1108" s="1538">
        <v>1</v>
      </c>
      <c r="K1108" s="1525"/>
      <c r="L1108" s="1519">
        <v>13095010402</v>
      </c>
      <c r="M1108" s="1520">
        <v>0</v>
      </c>
      <c r="N1108" s="1520">
        <v>1</v>
      </c>
      <c r="O1108" s="1520">
        <v>1</v>
      </c>
    </row>
    <row r="1109" spans="3:15" ht="13.5">
      <c r="C1109" s="1526" t="s">
        <v>5067</v>
      </c>
      <c r="D1109" s="1523">
        <v>1</v>
      </c>
      <c r="E1109" s="1523">
        <v>1</v>
      </c>
      <c r="F1109" s="1524">
        <v>2</v>
      </c>
      <c r="G1109" s="1537" t="s">
        <v>5067</v>
      </c>
      <c r="H1109" s="1521">
        <v>1</v>
      </c>
      <c r="I1109" s="1521">
        <v>0</v>
      </c>
      <c r="J1109" s="1538">
        <v>1</v>
      </c>
      <c r="K1109" s="1525"/>
      <c r="L1109" s="1519">
        <v>13095010403</v>
      </c>
      <c r="M1109" s="1520">
        <v>1</v>
      </c>
      <c r="N1109" s="1520">
        <v>1</v>
      </c>
      <c r="O1109" s="1520">
        <v>2</v>
      </c>
    </row>
    <row r="1110" spans="3:15" ht="13.5">
      <c r="C1110" s="1526" t="s">
        <v>5068</v>
      </c>
      <c r="D1110" s="1523">
        <v>0</v>
      </c>
      <c r="E1110" s="1523">
        <v>0</v>
      </c>
      <c r="F1110" s="1524">
        <v>0</v>
      </c>
      <c r="G1110" s="1537" t="s">
        <v>5068</v>
      </c>
      <c r="H1110" s="1521">
        <v>0</v>
      </c>
      <c r="I1110" s="1521">
        <v>0</v>
      </c>
      <c r="J1110" s="1538">
        <v>0</v>
      </c>
      <c r="K1110" s="1525"/>
      <c r="L1110" s="1519">
        <v>13095010500</v>
      </c>
      <c r="M1110" s="1520">
        <v>0</v>
      </c>
      <c r="N1110" s="1520">
        <v>0</v>
      </c>
      <c r="O1110" s="1520">
        <v>0</v>
      </c>
    </row>
    <row r="1111" spans="3:15" ht="13.5">
      <c r="C1111" s="1526" t="s">
        <v>5069</v>
      </c>
      <c r="D1111" s="1523">
        <v>0</v>
      </c>
      <c r="E1111" s="1523">
        <v>0</v>
      </c>
      <c r="F1111" s="1524">
        <v>0</v>
      </c>
      <c r="G1111" s="1537" t="s">
        <v>5069</v>
      </c>
      <c r="H1111" s="1521">
        <v>0</v>
      </c>
      <c r="I1111" s="1521">
        <v>0</v>
      </c>
      <c r="J1111" s="1538">
        <v>0</v>
      </c>
      <c r="K1111" s="1525"/>
      <c r="L1111" s="1519">
        <v>13095010601</v>
      </c>
      <c r="M1111" s="1520">
        <v>0</v>
      </c>
      <c r="N1111" s="1520">
        <v>0</v>
      </c>
      <c r="O1111" s="1520">
        <v>0</v>
      </c>
    </row>
    <row r="1112" spans="3:15" ht="13.5">
      <c r="C1112" s="1526" t="s">
        <v>5070</v>
      </c>
      <c r="D1112" s="1523">
        <v>0</v>
      </c>
      <c r="E1112" s="1523">
        <v>0</v>
      </c>
      <c r="F1112" s="1524">
        <v>0</v>
      </c>
      <c r="G1112" s="1537" t="s">
        <v>5070</v>
      </c>
      <c r="H1112" s="1521">
        <v>0</v>
      </c>
      <c r="I1112" s="1521">
        <v>0</v>
      </c>
      <c r="J1112" s="1538">
        <v>0</v>
      </c>
      <c r="K1112" s="1525"/>
      <c r="L1112" s="1519">
        <v>13095010602</v>
      </c>
      <c r="M1112" s="1520">
        <v>0</v>
      </c>
      <c r="N1112" s="1520">
        <v>0</v>
      </c>
      <c r="O1112" s="1520">
        <v>0</v>
      </c>
    </row>
    <row r="1113" spans="3:15" ht="13.5">
      <c r="C1113" s="1526" t="s">
        <v>5071</v>
      </c>
      <c r="D1113" s="1523">
        <v>0</v>
      </c>
      <c r="E1113" s="1523">
        <v>0</v>
      </c>
      <c r="F1113" s="1524">
        <v>0</v>
      </c>
      <c r="G1113" s="1537" t="s">
        <v>5071</v>
      </c>
      <c r="H1113" s="1521">
        <v>0</v>
      </c>
      <c r="I1113" s="1521">
        <v>0</v>
      </c>
      <c r="J1113" s="1538">
        <v>0</v>
      </c>
      <c r="K1113" s="1525"/>
      <c r="L1113" s="1519">
        <v>13095010700</v>
      </c>
      <c r="M1113" s="1520">
        <v>0</v>
      </c>
      <c r="N1113" s="1520">
        <v>0</v>
      </c>
      <c r="O1113" s="1520">
        <v>0</v>
      </c>
    </row>
    <row r="1114" spans="3:15" ht="13.5">
      <c r="C1114" s="1526" t="s">
        <v>5072</v>
      </c>
      <c r="D1114" s="1523">
        <v>0</v>
      </c>
      <c r="E1114" s="1523">
        <v>0</v>
      </c>
      <c r="F1114" s="1524">
        <v>0</v>
      </c>
      <c r="G1114" s="1537" t="s">
        <v>5072</v>
      </c>
      <c r="H1114" s="1521">
        <v>0</v>
      </c>
      <c r="I1114" s="1521">
        <v>1</v>
      </c>
      <c r="J1114" s="1538">
        <v>1</v>
      </c>
      <c r="K1114" s="1525"/>
      <c r="L1114" s="1519">
        <v>13095010900</v>
      </c>
      <c r="M1114" s="1520">
        <v>0</v>
      </c>
      <c r="N1114" s="1520">
        <v>1</v>
      </c>
      <c r="O1114" s="1520">
        <v>1</v>
      </c>
    </row>
    <row r="1115" spans="3:15" ht="13.5">
      <c r="C1115" s="1526" t="s">
        <v>5073</v>
      </c>
      <c r="D1115" s="1523">
        <v>0</v>
      </c>
      <c r="E1115" s="1523">
        <v>0</v>
      </c>
      <c r="F1115" s="1524">
        <v>0</v>
      </c>
      <c r="G1115" s="1537" t="s">
        <v>5073</v>
      </c>
      <c r="H1115" s="1521">
        <v>0</v>
      </c>
      <c r="I1115" s="1521">
        <v>0</v>
      </c>
      <c r="J1115" s="1538">
        <v>0</v>
      </c>
      <c r="K1115" s="1525"/>
      <c r="L1115" s="1519">
        <v>13095011000</v>
      </c>
      <c r="M1115" s="1520">
        <v>0</v>
      </c>
      <c r="N1115" s="1520">
        <v>0</v>
      </c>
      <c r="O1115" s="1520">
        <v>0</v>
      </c>
    </row>
    <row r="1116" spans="3:15" ht="13.5">
      <c r="C1116" s="1526" t="s">
        <v>5074</v>
      </c>
      <c r="D1116" s="1523">
        <v>0</v>
      </c>
      <c r="E1116" s="1523">
        <v>0</v>
      </c>
      <c r="F1116" s="1524">
        <v>0</v>
      </c>
      <c r="G1116" s="1537" t="s">
        <v>5074</v>
      </c>
      <c r="H1116" s="1521">
        <v>0</v>
      </c>
      <c r="I1116" s="1521">
        <v>0</v>
      </c>
      <c r="J1116" s="1538">
        <v>0</v>
      </c>
      <c r="K1116" s="1525"/>
      <c r="L1116" s="1519">
        <v>13095011200</v>
      </c>
      <c r="M1116" s="1520">
        <v>0</v>
      </c>
      <c r="N1116" s="1520">
        <v>0</v>
      </c>
      <c r="O1116" s="1520">
        <v>0</v>
      </c>
    </row>
    <row r="1117" spans="3:15" ht="13.5">
      <c r="C1117" s="1526" t="s">
        <v>5075</v>
      </c>
      <c r="D1117" s="1523">
        <v>0</v>
      </c>
      <c r="E1117" s="1523">
        <v>0</v>
      </c>
      <c r="F1117" s="1524">
        <v>0</v>
      </c>
      <c r="G1117" s="1537" t="s">
        <v>5075</v>
      </c>
      <c r="H1117" s="1521">
        <v>0</v>
      </c>
      <c r="I1117" s="1521">
        <v>0</v>
      </c>
      <c r="J1117" s="1538">
        <v>0</v>
      </c>
      <c r="K1117" s="1525"/>
      <c r="L1117" s="1519">
        <v>13095011300</v>
      </c>
      <c r="M1117" s="1520">
        <v>0</v>
      </c>
      <c r="N1117" s="1520">
        <v>0</v>
      </c>
      <c r="O1117" s="1520">
        <v>0</v>
      </c>
    </row>
    <row r="1118" spans="3:15" ht="13.5">
      <c r="C1118" s="1526" t="s">
        <v>5076</v>
      </c>
      <c r="D1118" s="1523">
        <v>0</v>
      </c>
      <c r="E1118" s="1523">
        <v>0</v>
      </c>
      <c r="F1118" s="1524">
        <v>0</v>
      </c>
      <c r="G1118" s="1537" t="s">
        <v>5076</v>
      </c>
      <c r="H1118" s="1521">
        <v>0</v>
      </c>
      <c r="I1118" s="1521">
        <v>0</v>
      </c>
      <c r="J1118" s="1538">
        <v>0</v>
      </c>
      <c r="K1118" s="1525"/>
      <c r="L1118" s="1519">
        <v>13095011400</v>
      </c>
      <c r="M1118" s="1520">
        <v>0</v>
      </c>
      <c r="N1118" s="1520">
        <v>0</v>
      </c>
      <c r="O1118" s="1520">
        <v>0</v>
      </c>
    </row>
    <row r="1119" spans="3:15" ht="13.5">
      <c r="C1119" s="1526" t="s">
        <v>5077</v>
      </c>
      <c r="D1119" s="1523">
        <v>0</v>
      </c>
      <c r="E1119" s="1523">
        <v>1</v>
      </c>
      <c r="F1119" s="1524">
        <v>1</v>
      </c>
      <c r="G1119" s="1537" t="s">
        <v>5077</v>
      </c>
      <c r="H1119" s="1521">
        <v>0</v>
      </c>
      <c r="I1119" s="1521">
        <v>0</v>
      </c>
      <c r="J1119" s="1538">
        <v>0</v>
      </c>
      <c r="K1119" s="1525"/>
      <c r="L1119" s="1519">
        <v>13095011600</v>
      </c>
      <c r="M1119" s="1520">
        <v>0</v>
      </c>
      <c r="N1119" s="1520">
        <v>1</v>
      </c>
      <c r="O1119" s="1520">
        <v>1</v>
      </c>
    </row>
    <row r="1120" spans="3:15" ht="13.5">
      <c r="C1120" s="1526" t="s">
        <v>5078</v>
      </c>
      <c r="D1120" s="1523">
        <v>0</v>
      </c>
      <c r="E1120" s="1523">
        <v>1</v>
      </c>
      <c r="F1120" s="1524">
        <v>1</v>
      </c>
      <c r="G1120" s="1537" t="s">
        <v>5078</v>
      </c>
      <c r="H1120" s="1521">
        <v>1</v>
      </c>
      <c r="I1120" s="1521">
        <v>1</v>
      </c>
      <c r="J1120" s="1538">
        <v>2</v>
      </c>
      <c r="K1120" s="1525"/>
      <c r="L1120" s="1519">
        <v>13097080102</v>
      </c>
      <c r="M1120" s="1520">
        <v>1</v>
      </c>
      <c r="N1120" s="1520">
        <v>1</v>
      </c>
      <c r="O1120" s="1520">
        <v>2</v>
      </c>
    </row>
    <row r="1121" spans="3:15" ht="13.5">
      <c r="C1121" s="1526" t="s">
        <v>5079</v>
      </c>
      <c r="D1121" s="1523">
        <v>0</v>
      </c>
      <c r="E1121" s="1523">
        <v>0</v>
      </c>
      <c r="F1121" s="1524">
        <v>0</v>
      </c>
      <c r="G1121" s="1537" t="s">
        <v>5079</v>
      </c>
      <c r="H1121" s="1521">
        <v>1</v>
      </c>
      <c r="I1121" s="1521">
        <v>0</v>
      </c>
      <c r="J1121" s="1538">
        <v>1</v>
      </c>
      <c r="K1121" s="1525"/>
      <c r="L1121" s="1519">
        <v>13097080103</v>
      </c>
      <c r="M1121" s="1520">
        <v>1</v>
      </c>
      <c r="N1121" s="1520">
        <v>0</v>
      </c>
      <c r="O1121" s="1520">
        <v>1</v>
      </c>
    </row>
    <row r="1122" spans="3:15" ht="13.5">
      <c r="C1122" s="1526" t="s">
        <v>5080</v>
      </c>
      <c r="D1122" s="1523">
        <v>0</v>
      </c>
      <c r="E1122" s="1523">
        <v>1</v>
      </c>
      <c r="F1122" s="1524">
        <v>1</v>
      </c>
      <c r="G1122" s="1537" t="s">
        <v>5080</v>
      </c>
      <c r="H1122" s="1521">
        <v>0</v>
      </c>
      <c r="I1122" s="1521">
        <v>0</v>
      </c>
      <c r="J1122" s="1538">
        <v>0</v>
      </c>
      <c r="K1122" s="1525"/>
      <c r="L1122" s="1519">
        <v>13097080201</v>
      </c>
      <c r="M1122" s="1520">
        <v>0</v>
      </c>
      <c r="N1122" s="1520">
        <v>1</v>
      </c>
      <c r="O1122" s="1520">
        <v>1</v>
      </c>
    </row>
    <row r="1123" spans="3:15" ht="13.5">
      <c r="C1123" s="1526" t="s">
        <v>5081</v>
      </c>
      <c r="D1123" s="1523">
        <v>0</v>
      </c>
      <c r="E1123" s="1523">
        <v>0</v>
      </c>
      <c r="F1123" s="1524">
        <v>0</v>
      </c>
      <c r="G1123" s="1537" t="s">
        <v>5081</v>
      </c>
      <c r="H1123" s="1521">
        <v>0</v>
      </c>
      <c r="I1123" s="1521">
        <v>0</v>
      </c>
      <c r="J1123" s="1538">
        <v>0</v>
      </c>
      <c r="K1123" s="1525"/>
      <c r="L1123" s="1519">
        <v>13097080202</v>
      </c>
      <c r="M1123" s="1520">
        <v>0</v>
      </c>
      <c r="N1123" s="1520">
        <v>0</v>
      </c>
      <c r="O1123" s="1520">
        <v>0</v>
      </c>
    </row>
    <row r="1124" spans="3:15" ht="13.5">
      <c r="C1124" s="1526" t="s">
        <v>5082</v>
      </c>
      <c r="D1124" s="1523">
        <v>0</v>
      </c>
      <c r="E1124" s="1523">
        <v>0</v>
      </c>
      <c r="F1124" s="1524">
        <v>0</v>
      </c>
      <c r="G1124" s="1537" t="s">
        <v>5082</v>
      </c>
      <c r="H1124" s="1521">
        <v>0</v>
      </c>
      <c r="I1124" s="1521">
        <v>0</v>
      </c>
      <c r="J1124" s="1538">
        <v>0</v>
      </c>
      <c r="K1124" s="1525"/>
      <c r="L1124" s="1519">
        <v>13097080301</v>
      </c>
      <c r="M1124" s="1520">
        <v>0</v>
      </c>
      <c r="N1124" s="1520">
        <v>0</v>
      </c>
      <c r="O1124" s="1520">
        <v>0</v>
      </c>
    </row>
    <row r="1125" spans="3:15" ht="13.5">
      <c r="C1125" s="1526" t="s">
        <v>5083</v>
      </c>
      <c r="D1125" s="1523">
        <v>0</v>
      </c>
      <c r="E1125" s="1523">
        <v>0</v>
      </c>
      <c r="F1125" s="1524">
        <v>0</v>
      </c>
      <c r="G1125" s="1537" t="s">
        <v>5083</v>
      </c>
      <c r="H1125" s="1521">
        <v>1</v>
      </c>
      <c r="I1125" s="1521">
        <v>0</v>
      </c>
      <c r="J1125" s="1538">
        <v>1</v>
      </c>
      <c r="K1125" s="1525"/>
      <c r="L1125" s="1519">
        <v>13097080303</v>
      </c>
      <c r="M1125" s="1520">
        <v>1</v>
      </c>
      <c r="N1125" s="1520">
        <v>0</v>
      </c>
      <c r="O1125" s="1520">
        <v>1</v>
      </c>
    </row>
    <row r="1126" spans="3:15" ht="13.5">
      <c r="C1126" s="1526" t="s">
        <v>5084</v>
      </c>
      <c r="D1126" s="1523">
        <v>0</v>
      </c>
      <c r="E1126" s="1523">
        <v>0</v>
      </c>
      <c r="F1126" s="1524">
        <v>0</v>
      </c>
      <c r="G1126" s="1537" t="s">
        <v>5084</v>
      </c>
      <c r="H1126" s="1521">
        <v>0</v>
      </c>
      <c r="I1126" s="1521">
        <v>0</v>
      </c>
      <c r="J1126" s="1538">
        <v>0</v>
      </c>
      <c r="K1126" s="1525"/>
      <c r="L1126" s="1519">
        <v>13097080304</v>
      </c>
      <c r="M1126" s="1520">
        <v>0</v>
      </c>
      <c r="N1126" s="1520">
        <v>0</v>
      </c>
      <c r="O1126" s="1520">
        <v>0</v>
      </c>
    </row>
    <row r="1127" spans="3:15" ht="13.5">
      <c r="C1127" s="1526" t="s">
        <v>5085</v>
      </c>
      <c r="D1127" s="1523">
        <v>1</v>
      </c>
      <c r="E1127" s="1523">
        <v>1</v>
      </c>
      <c r="F1127" s="1524">
        <v>2</v>
      </c>
      <c r="G1127" s="1537" t="s">
        <v>5085</v>
      </c>
      <c r="H1127" s="1521">
        <v>1</v>
      </c>
      <c r="I1127" s="1521">
        <v>1</v>
      </c>
      <c r="J1127" s="1538">
        <v>2</v>
      </c>
      <c r="K1127" s="1525"/>
      <c r="L1127" s="1519">
        <v>13097080402</v>
      </c>
      <c r="M1127" s="1520">
        <v>1</v>
      </c>
      <c r="N1127" s="1520">
        <v>1</v>
      </c>
      <c r="O1127" s="1520">
        <v>2</v>
      </c>
    </row>
    <row r="1128" spans="3:15" ht="13.5">
      <c r="C1128" s="1526" t="s">
        <v>5086</v>
      </c>
      <c r="D1128" s="1523">
        <v>1</v>
      </c>
      <c r="E1128" s="1523">
        <v>1</v>
      </c>
      <c r="F1128" s="1524">
        <v>2</v>
      </c>
      <c r="G1128" s="1537" t="s">
        <v>5086</v>
      </c>
      <c r="H1128" s="1521">
        <v>1</v>
      </c>
      <c r="I1128" s="1521">
        <v>1</v>
      </c>
      <c r="J1128" s="1538">
        <v>2</v>
      </c>
      <c r="K1128" s="1525"/>
      <c r="L1128" s="1519">
        <v>13097080403</v>
      </c>
      <c r="M1128" s="1520">
        <v>1</v>
      </c>
      <c r="N1128" s="1520">
        <v>1</v>
      </c>
      <c r="O1128" s="1520">
        <v>2</v>
      </c>
    </row>
    <row r="1129" spans="3:15" ht="13.5">
      <c r="C1129" s="1526" t="s">
        <v>5087</v>
      </c>
      <c r="D1129" s="1523">
        <v>0</v>
      </c>
      <c r="E1129" s="1523">
        <v>0</v>
      </c>
      <c r="F1129" s="1524">
        <v>0</v>
      </c>
      <c r="G1129" s="1537" t="s">
        <v>5087</v>
      </c>
      <c r="H1129" s="1521">
        <v>0</v>
      </c>
      <c r="I1129" s="1521">
        <v>0</v>
      </c>
      <c r="J1129" s="1538">
        <v>0</v>
      </c>
      <c r="K1129" s="1525"/>
      <c r="L1129" s="1519">
        <v>13097080404</v>
      </c>
      <c r="M1129" s="1520">
        <v>0</v>
      </c>
      <c r="N1129" s="1520">
        <v>0</v>
      </c>
      <c r="O1129" s="1520">
        <v>0</v>
      </c>
    </row>
    <row r="1130" spans="3:15" ht="13.5">
      <c r="C1130" s="1526" t="s">
        <v>5088</v>
      </c>
      <c r="D1130" s="1523">
        <v>0</v>
      </c>
      <c r="E1130" s="1523">
        <v>1</v>
      </c>
      <c r="F1130" s="1524">
        <v>1</v>
      </c>
      <c r="G1130" s="1537" t="s">
        <v>5088</v>
      </c>
      <c r="H1130" s="1521">
        <v>0</v>
      </c>
      <c r="I1130" s="1521">
        <v>0</v>
      </c>
      <c r="J1130" s="1538">
        <v>0</v>
      </c>
      <c r="K1130" s="1525"/>
      <c r="L1130" s="1519">
        <v>13097080505</v>
      </c>
      <c r="M1130" s="1520">
        <v>0</v>
      </c>
      <c r="N1130" s="1520">
        <v>1</v>
      </c>
      <c r="O1130" s="1520">
        <v>1</v>
      </c>
    </row>
    <row r="1131" spans="3:15" ht="13.5">
      <c r="C1131" s="1526" t="s">
        <v>5089</v>
      </c>
      <c r="D1131" s="1523">
        <v>1</v>
      </c>
      <c r="E1131" s="1523">
        <v>1</v>
      </c>
      <c r="F1131" s="1524">
        <v>2</v>
      </c>
      <c r="G1131" s="1537" t="s">
        <v>5089</v>
      </c>
      <c r="H1131" s="1521">
        <v>0</v>
      </c>
      <c r="I1131" s="1521">
        <v>0</v>
      </c>
      <c r="J1131" s="1538">
        <v>0</v>
      </c>
      <c r="K1131" s="1525"/>
      <c r="L1131" s="1519">
        <v>13097080506</v>
      </c>
      <c r="M1131" s="1520">
        <v>1</v>
      </c>
      <c r="N1131" s="1520">
        <v>1</v>
      </c>
      <c r="O1131" s="1520">
        <v>2</v>
      </c>
    </row>
    <row r="1132" spans="3:15" ht="13.5">
      <c r="C1132" s="1526" t="s">
        <v>5090</v>
      </c>
      <c r="D1132" s="1523">
        <v>1</v>
      </c>
      <c r="E1132" s="1523">
        <v>1</v>
      </c>
      <c r="F1132" s="1524">
        <v>2</v>
      </c>
      <c r="G1132" s="1537" t="s">
        <v>5090</v>
      </c>
      <c r="H1132" s="1521">
        <v>1</v>
      </c>
      <c r="I1132" s="1521">
        <v>0</v>
      </c>
      <c r="J1132" s="1538">
        <v>1</v>
      </c>
      <c r="K1132" s="1525"/>
      <c r="L1132" s="1519">
        <v>13097080507</v>
      </c>
      <c r="M1132" s="1520">
        <v>1</v>
      </c>
      <c r="N1132" s="1520">
        <v>1</v>
      </c>
      <c r="O1132" s="1520">
        <v>2</v>
      </c>
    </row>
    <row r="1133" spans="3:15" ht="13.5">
      <c r="C1133" s="1526" t="s">
        <v>5091</v>
      </c>
      <c r="D1133" s="1523">
        <v>0</v>
      </c>
      <c r="E1133" s="1523">
        <v>1</v>
      </c>
      <c r="F1133" s="1524">
        <v>1</v>
      </c>
      <c r="G1133" s="1537" t="s">
        <v>5091</v>
      </c>
      <c r="H1133" s="1521">
        <v>0</v>
      </c>
      <c r="I1133" s="1521">
        <v>0</v>
      </c>
      <c r="J1133" s="1538">
        <v>0</v>
      </c>
      <c r="K1133" s="1525"/>
      <c r="L1133" s="1519">
        <v>13097080508</v>
      </c>
      <c r="M1133" s="1520">
        <v>0</v>
      </c>
      <c r="N1133" s="1520">
        <v>1</v>
      </c>
      <c r="O1133" s="1520">
        <v>1</v>
      </c>
    </row>
    <row r="1134" spans="3:15" ht="13.5">
      <c r="C1134" s="1526" t="s">
        <v>5092</v>
      </c>
      <c r="D1134" s="1523">
        <v>1</v>
      </c>
      <c r="E1134" s="1523">
        <v>1</v>
      </c>
      <c r="F1134" s="1524">
        <v>2</v>
      </c>
      <c r="G1134" s="1537" t="s">
        <v>5092</v>
      </c>
      <c r="H1134" s="1521">
        <v>1</v>
      </c>
      <c r="I1134" s="1521">
        <v>1</v>
      </c>
      <c r="J1134" s="1538">
        <v>2</v>
      </c>
      <c r="K1134" s="1525"/>
      <c r="L1134" s="1519">
        <v>13097080509</v>
      </c>
      <c r="M1134" s="1520">
        <v>1</v>
      </c>
      <c r="N1134" s="1520">
        <v>1</v>
      </c>
      <c r="O1134" s="1520">
        <v>2</v>
      </c>
    </row>
    <row r="1135" spans="3:15" ht="13.5">
      <c r="C1135" s="1526" t="s">
        <v>5093</v>
      </c>
      <c r="D1135" s="1523">
        <v>1</v>
      </c>
      <c r="E1135" s="1523">
        <v>1</v>
      </c>
      <c r="F1135" s="1524">
        <v>2</v>
      </c>
      <c r="G1135" s="1537" t="s">
        <v>5093</v>
      </c>
      <c r="H1135" s="1521">
        <v>0</v>
      </c>
      <c r="I1135" s="1521">
        <v>1</v>
      </c>
      <c r="J1135" s="1538">
        <v>1</v>
      </c>
      <c r="K1135" s="1525"/>
      <c r="L1135" s="1519">
        <v>13097080510</v>
      </c>
      <c r="M1135" s="1520">
        <v>1</v>
      </c>
      <c r="N1135" s="1520">
        <v>1</v>
      </c>
      <c r="O1135" s="1520">
        <v>2</v>
      </c>
    </row>
    <row r="1136" spans="3:15" ht="13.5">
      <c r="C1136" s="1526" t="s">
        <v>5094</v>
      </c>
      <c r="D1136" s="1523">
        <v>1</v>
      </c>
      <c r="E1136" s="1523">
        <v>1</v>
      </c>
      <c r="F1136" s="1524">
        <v>2</v>
      </c>
      <c r="G1136" s="1537" t="s">
        <v>5094</v>
      </c>
      <c r="H1136" s="1521">
        <v>1</v>
      </c>
      <c r="I1136" s="1521">
        <v>1</v>
      </c>
      <c r="J1136" s="1538">
        <v>2</v>
      </c>
      <c r="K1136" s="1525"/>
      <c r="L1136" s="1519">
        <v>13097080511</v>
      </c>
      <c r="M1136" s="1520">
        <v>1</v>
      </c>
      <c r="N1136" s="1520">
        <v>1</v>
      </c>
      <c r="O1136" s="1520">
        <v>2</v>
      </c>
    </row>
    <row r="1137" spans="3:15" ht="13.5">
      <c r="C1137" s="1526" t="s">
        <v>5095</v>
      </c>
      <c r="D1137" s="1523">
        <v>1</v>
      </c>
      <c r="E1137" s="1523">
        <v>1</v>
      </c>
      <c r="F1137" s="1524">
        <v>2</v>
      </c>
      <c r="G1137" s="1537" t="s">
        <v>5095</v>
      </c>
      <c r="H1137" s="1521">
        <v>1</v>
      </c>
      <c r="I1137" s="1521">
        <v>1</v>
      </c>
      <c r="J1137" s="1538">
        <v>1</v>
      </c>
      <c r="K1137" s="1525"/>
      <c r="L1137" s="1519">
        <v>13097080602</v>
      </c>
      <c r="M1137" s="1520">
        <v>1</v>
      </c>
      <c r="N1137" s="1520">
        <v>1</v>
      </c>
      <c r="O1137" s="1520">
        <v>2</v>
      </c>
    </row>
    <row r="1138" spans="3:15" ht="13.5">
      <c r="C1138" s="1526" t="s">
        <v>5096</v>
      </c>
      <c r="D1138" s="1523">
        <v>1</v>
      </c>
      <c r="E1138" s="1523">
        <v>1</v>
      </c>
      <c r="F1138" s="1524">
        <v>2</v>
      </c>
      <c r="G1138" s="1537" t="s">
        <v>5096</v>
      </c>
      <c r="H1138" s="1521">
        <v>1</v>
      </c>
      <c r="I1138" s="1521">
        <v>0</v>
      </c>
      <c r="J1138" s="1538">
        <v>1</v>
      </c>
      <c r="K1138" s="1525"/>
      <c r="L1138" s="1519">
        <v>13097080603</v>
      </c>
      <c r="M1138" s="1520">
        <v>1</v>
      </c>
      <c r="N1138" s="1520">
        <v>1</v>
      </c>
      <c r="O1138" s="1520">
        <v>2</v>
      </c>
    </row>
    <row r="1139" spans="3:15" ht="13.5">
      <c r="C1139" s="1526" t="s">
        <v>5097</v>
      </c>
      <c r="D1139" s="1523">
        <v>1</v>
      </c>
      <c r="E1139" s="1523">
        <v>1</v>
      </c>
      <c r="F1139" s="1524">
        <v>2</v>
      </c>
      <c r="G1139" s="1537" t="s">
        <v>5097</v>
      </c>
      <c r="H1139" s="1521">
        <v>1</v>
      </c>
      <c r="I1139" s="1521">
        <v>0</v>
      </c>
      <c r="J1139" s="1538">
        <v>1</v>
      </c>
      <c r="K1139" s="1525"/>
      <c r="L1139" s="1519">
        <v>13097080604</v>
      </c>
      <c r="M1139" s="1520">
        <v>1</v>
      </c>
      <c r="N1139" s="1520">
        <v>1</v>
      </c>
      <c r="O1139" s="1520">
        <v>2</v>
      </c>
    </row>
    <row r="1140" spans="3:15" ht="13.5">
      <c r="C1140" s="1526" t="s">
        <v>5098</v>
      </c>
      <c r="D1140" s="1523">
        <v>0</v>
      </c>
      <c r="E1140" s="1523">
        <v>0</v>
      </c>
      <c r="F1140" s="1524">
        <v>0</v>
      </c>
      <c r="G1140" s="1537" t="s">
        <v>5098</v>
      </c>
      <c r="H1140" s="1521">
        <v>0</v>
      </c>
      <c r="I1140" s="1521">
        <v>0</v>
      </c>
      <c r="J1140" s="1538">
        <v>0</v>
      </c>
      <c r="K1140" s="1525"/>
      <c r="L1140" s="1519">
        <v>13099090100</v>
      </c>
      <c r="M1140" s="1520">
        <v>0</v>
      </c>
      <c r="N1140" s="1520">
        <v>0</v>
      </c>
      <c r="O1140" s="1520">
        <v>0</v>
      </c>
    </row>
    <row r="1141" spans="3:15" ht="13.5">
      <c r="C1141" s="1526" t="s">
        <v>5099</v>
      </c>
      <c r="D1141" s="1523">
        <v>0</v>
      </c>
      <c r="E1141" s="1523">
        <v>0</v>
      </c>
      <c r="F1141" s="1524">
        <v>0</v>
      </c>
      <c r="G1141" s="1537" t="s">
        <v>5099</v>
      </c>
      <c r="H1141" s="1521">
        <v>0</v>
      </c>
      <c r="I1141" s="1521">
        <v>0</v>
      </c>
      <c r="J1141" s="1538">
        <v>0</v>
      </c>
      <c r="K1141" s="1525"/>
      <c r="L1141" s="1519">
        <v>13099090200</v>
      </c>
      <c r="M1141" s="1520">
        <v>0</v>
      </c>
      <c r="N1141" s="1520">
        <v>0</v>
      </c>
      <c r="O1141" s="1520">
        <v>0</v>
      </c>
    </row>
    <row r="1142" spans="3:15" ht="13.5">
      <c r="C1142" s="1526" t="s">
        <v>5100</v>
      </c>
      <c r="D1142" s="1523">
        <v>1</v>
      </c>
      <c r="E1142" s="1523">
        <v>0</v>
      </c>
      <c r="F1142" s="1524">
        <v>1</v>
      </c>
      <c r="G1142" s="1537" t="s">
        <v>5100</v>
      </c>
      <c r="H1142" s="1521">
        <v>0</v>
      </c>
      <c r="I1142" s="1521">
        <v>0</v>
      </c>
      <c r="J1142" s="1538">
        <v>0</v>
      </c>
      <c r="K1142" s="1525"/>
      <c r="L1142" s="1519">
        <v>13099090300</v>
      </c>
      <c r="M1142" s="1520">
        <v>1</v>
      </c>
      <c r="N1142" s="1520">
        <v>0</v>
      </c>
      <c r="O1142" s="1520">
        <v>1</v>
      </c>
    </row>
    <row r="1143" spans="3:15" ht="13.5">
      <c r="C1143" s="1526" t="s">
        <v>5101</v>
      </c>
      <c r="D1143" s="1523">
        <v>0</v>
      </c>
      <c r="E1143" s="1523">
        <v>0</v>
      </c>
      <c r="F1143" s="1524">
        <v>0</v>
      </c>
      <c r="G1143" s="1537" t="s">
        <v>5101</v>
      </c>
      <c r="H1143" s="1521">
        <v>0</v>
      </c>
      <c r="I1143" s="1521">
        <v>0</v>
      </c>
      <c r="J1143" s="1538">
        <v>0</v>
      </c>
      <c r="K1143" s="1525"/>
      <c r="L1143" s="1519">
        <v>13099090400</v>
      </c>
      <c r="M1143" s="1520">
        <v>0</v>
      </c>
      <c r="N1143" s="1520">
        <v>0</v>
      </c>
      <c r="O1143" s="1520">
        <v>0</v>
      </c>
    </row>
    <row r="1144" spans="3:15" ht="13.5">
      <c r="C1144" s="1526" t="s">
        <v>5102</v>
      </c>
      <c r="D1144" s="1523">
        <v>0</v>
      </c>
      <c r="E1144" s="1523">
        <v>0</v>
      </c>
      <c r="F1144" s="1524">
        <v>0</v>
      </c>
      <c r="G1144" s="1537" t="s">
        <v>5102</v>
      </c>
      <c r="H1144" s="1521">
        <v>0</v>
      </c>
      <c r="I1144" s="1521">
        <v>0</v>
      </c>
      <c r="J1144" s="1538">
        <v>0</v>
      </c>
      <c r="K1144" s="1525"/>
      <c r="L1144" s="1519">
        <v>13099090500</v>
      </c>
      <c r="M1144" s="1520">
        <v>0</v>
      </c>
      <c r="N1144" s="1520">
        <v>0</v>
      </c>
      <c r="O1144" s="1520">
        <v>0</v>
      </c>
    </row>
    <row r="1145" spans="3:15" ht="13.5">
      <c r="C1145" s="1526" t="s">
        <v>5103</v>
      </c>
      <c r="D1145" s="1523">
        <v>0</v>
      </c>
      <c r="E1145" s="1523">
        <v>0</v>
      </c>
      <c r="F1145" s="1524">
        <v>0</v>
      </c>
      <c r="G1145" s="1537" t="s">
        <v>5103</v>
      </c>
      <c r="H1145" s="1521">
        <v>0</v>
      </c>
      <c r="I1145" s="1521">
        <v>0</v>
      </c>
      <c r="J1145" s="1538">
        <v>0</v>
      </c>
      <c r="K1145" s="1525"/>
      <c r="L1145" s="1519">
        <v>13101880100</v>
      </c>
      <c r="M1145" s="1520">
        <v>0</v>
      </c>
      <c r="N1145" s="1520">
        <v>0</v>
      </c>
      <c r="O1145" s="1520">
        <v>0</v>
      </c>
    </row>
    <row r="1146" spans="3:15" ht="13.5">
      <c r="C1146" s="1526" t="s">
        <v>5104</v>
      </c>
      <c r="D1146" s="1523">
        <v>0</v>
      </c>
      <c r="E1146" s="1523">
        <v>0</v>
      </c>
      <c r="F1146" s="1524">
        <v>0</v>
      </c>
      <c r="G1146" s="1537" t="s">
        <v>5104</v>
      </c>
      <c r="H1146" s="1521">
        <v>0</v>
      </c>
      <c r="I1146" s="1521">
        <v>0</v>
      </c>
      <c r="J1146" s="1538">
        <v>0</v>
      </c>
      <c r="K1146" s="1525"/>
      <c r="L1146" s="1519">
        <v>13101880200</v>
      </c>
      <c r="M1146" s="1520">
        <v>0</v>
      </c>
      <c r="N1146" s="1520">
        <v>0</v>
      </c>
      <c r="O1146" s="1520">
        <v>0</v>
      </c>
    </row>
    <row r="1147" spans="3:15" ht="13.5">
      <c r="C1147" s="1526" t="s">
        <v>5105</v>
      </c>
      <c r="D1147" s="1523">
        <v>1</v>
      </c>
      <c r="E1147" s="1523">
        <v>1</v>
      </c>
      <c r="F1147" s="1524">
        <v>2</v>
      </c>
      <c r="G1147" s="1537" t="s">
        <v>5105</v>
      </c>
      <c r="H1147" s="1521">
        <v>0</v>
      </c>
      <c r="I1147" s="1521">
        <v>0</v>
      </c>
      <c r="J1147" s="1538">
        <v>0</v>
      </c>
      <c r="K1147" s="1525"/>
      <c r="L1147" s="1519">
        <v>13103030100</v>
      </c>
      <c r="M1147" s="1520">
        <v>1</v>
      </c>
      <c r="N1147" s="1520">
        <v>1</v>
      </c>
      <c r="O1147" s="1520">
        <v>2</v>
      </c>
    </row>
    <row r="1148" spans="3:15" ht="13.5">
      <c r="C1148" s="1526" t="s">
        <v>5106</v>
      </c>
      <c r="D1148" s="1523">
        <v>1</v>
      </c>
      <c r="E1148" s="1523">
        <v>1</v>
      </c>
      <c r="F1148" s="1524">
        <v>2</v>
      </c>
      <c r="G1148" s="1537" t="s">
        <v>5106</v>
      </c>
      <c r="H1148" s="1521">
        <v>1</v>
      </c>
      <c r="I1148" s="1521">
        <v>0</v>
      </c>
      <c r="J1148" s="1538">
        <v>1</v>
      </c>
      <c r="K1148" s="1525"/>
      <c r="L1148" s="1519">
        <v>13103030202</v>
      </c>
      <c r="M1148" s="1520">
        <v>1</v>
      </c>
      <c r="N1148" s="1520">
        <v>1</v>
      </c>
      <c r="O1148" s="1520">
        <v>2</v>
      </c>
    </row>
    <row r="1149" spans="3:15" ht="13.5">
      <c r="C1149" s="1526" t="s">
        <v>5107</v>
      </c>
      <c r="D1149" s="1523">
        <v>1</v>
      </c>
      <c r="E1149" s="1523">
        <v>1</v>
      </c>
      <c r="F1149" s="1524">
        <v>2</v>
      </c>
      <c r="G1149" s="1537" t="s">
        <v>5107</v>
      </c>
      <c r="H1149" s="1521">
        <v>1</v>
      </c>
      <c r="I1149" s="1521">
        <v>0</v>
      </c>
      <c r="J1149" s="1538">
        <v>1</v>
      </c>
      <c r="K1149" s="1525"/>
      <c r="L1149" s="1519">
        <v>13103030203</v>
      </c>
      <c r="M1149" s="1520">
        <v>1</v>
      </c>
      <c r="N1149" s="1520">
        <v>1</v>
      </c>
      <c r="O1149" s="1520">
        <v>2</v>
      </c>
    </row>
    <row r="1150" spans="3:15" ht="13.5">
      <c r="C1150" s="1526" t="s">
        <v>5108</v>
      </c>
      <c r="D1150" s="1523">
        <v>0</v>
      </c>
      <c r="E1150" s="1523">
        <v>0</v>
      </c>
      <c r="F1150" s="1524">
        <v>0</v>
      </c>
      <c r="G1150" s="1537" t="s">
        <v>5108</v>
      </c>
      <c r="H1150" s="1521">
        <v>0</v>
      </c>
      <c r="I1150" s="1521">
        <v>1</v>
      </c>
      <c r="J1150" s="1538">
        <v>1</v>
      </c>
      <c r="K1150" s="1525"/>
      <c r="L1150" s="1519">
        <v>13103030204</v>
      </c>
      <c r="M1150" s="1520">
        <v>0</v>
      </c>
      <c r="N1150" s="1520">
        <v>1</v>
      </c>
      <c r="O1150" s="1520">
        <v>1</v>
      </c>
    </row>
    <row r="1151" spans="3:15" ht="13.5">
      <c r="C1151" s="1526" t="s">
        <v>5109</v>
      </c>
      <c r="D1151" s="1523">
        <v>1</v>
      </c>
      <c r="E1151" s="1523">
        <v>1</v>
      </c>
      <c r="F1151" s="1524">
        <v>2</v>
      </c>
      <c r="G1151" s="1537" t="s">
        <v>5109</v>
      </c>
      <c r="H1151" s="1521">
        <v>1</v>
      </c>
      <c r="I1151" s="1521">
        <v>1</v>
      </c>
      <c r="J1151" s="1538">
        <v>2</v>
      </c>
      <c r="K1151" s="1525"/>
      <c r="L1151" s="1519">
        <v>13103030301</v>
      </c>
      <c r="M1151" s="1520">
        <v>1</v>
      </c>
      <c r="N1151" s="1520">
        <v>1</v>
      </c>
      <c r="O1151" s="1520">
        <v>2</v>
      </c>
    </row>
    <row r="1152" spans="3:15" ht="13.5">
      <c r="C1152" s="1526" t="s">
        <v>5110</v>
      </c>
      <c r="D1152" s="1523">
        <v>0</v>
      </c>
      <c r="E1152" s="1523">
        <v>1</v>
      </c>
      <c r="F1152" s="1524">
        <v>1</v>
      </c>
      <c r="G1152" s="1537" t="s">
        <v>5110</v>
      </c>
      <c r="H1152" s="1521">
        <v>1</v>
      </c>
      <c r="I1152" s="1521">
        <v>0</v>
      </c>
      <c r="J1152" s="1538">
        <v>1</v>
      </c>
      <c r="K1152" s="1525"/>
      <c r="L1152" s="1519">
        <v>13103030303</v>
      </c>
      <c r="M1152" s="1520">
        <v>1</v>
      </c>
      <c r="N1152" s="1520">
        <v>1</v>
      </c>
      <c r="O1152" s="1520">
        <v>1</v>
      </c>
    </row>
    <row r="1153" spans="3:15" ht="13.5">
      <c r="C1153" s="1526" t="s">
        <v>5111</v>
      </c>
      <c r="D1153" s="1523">
        <v>1</v>
      </c>
      <c r="E1153" s="1523">
        <v>1</v>
      </c>
      <c r="F1153" s="1524">
        <v>2</v>
      </c>
      <c r="G1153" s="1537" t="s">
        <v>5111</v>
      </c>
      <c r="H1153" s="1521">
        <v>1</v>
      </c>
      <c r="I1153" s="1521">
        <v>0</v>
      </c>
      <c r="J1153" s="1538">
        <v>1</v>
      </c>
      <c r="K1153" s="1525"/>
      <c r="L1153" s="1519">
        <v>13103030304</v>
      </c>
      <c r="M1153" s="1520">
        <v>1</v>
      </c>
      <c r="N1153" s="1520">
        <v>1</v>
      </c>
      <c r="O1153" s="1520">
        <v>2</v>
      </c>
    </row>
    <row r="1154" spans="3:15" ht="13.5">
      <c r="C1154" s="1526" t="s">
        <v>5112</v>
      </c>
      <c r="D1154" s="1523">
        <v>1</v>
      </c>
      <c r="E1154" s="1523">
        <v>1</v>
      </c>
      <c r="F1154" s="1524">
        <v>2</v>
      </c>
      <c r="G1154" s="1537" t="s">
        <v>5112</v>
      </c>
      <c r="H1154" s="1521">
        <v>1</v>
      </c>
      <c r="I1154" s="1521">
        <v>1</v>
      </c>
      <c r="J1154" s="1538">
        <v>2</v>
      </c>
      <c r="K1154" s="1525"/>
      <c r="L1154" s="1519">
        <v>13103030305</v>
      </c>
      <c r="M1154" s="1520">
        <v>1</v>
      </c>
      <c r="N1154" s="1520">
        <v>1</v>
      </c>
      <c r="O1154" s="1520">
        <v>2</v>
      </c>
    </row>
    <row r="1155" spans="3:15" ht="13.5">
      <c r="C1155" s="1526" t="s">
        <v>5113</v>
      </c>
      <c r="D1155" s="1523">
        <v>1</v>
      </c>
      <c r="E1155" s="1523">
        <v>1</v>
      </c>
      <c r="F1155" s="1524">
        <v>2</v>
      </c>
      <c r="G1155" s="1537" t="s">
        <v>5113</v>
      </c>
      <c r="H1155" s="1521">
        <v>1</v>
      </c>
      <c r="I1155" s="1521">
        <v>1</v>
      </c>
      <c r="J1155" s="1538">
        <v>2</v>
      </c>
      <c r="K1155" s="1525"/>
      <c r="L1155" s="1519">
        <v>13103030401</v>
      </c>
      <c r="M1155" s="1520">
        <v>1</v>
      </c>
      <c r="N1155" s="1520">
        <v>1</v>
      </c>
      <c r="O1155" s="1520">
        <v>2</v>
      </c>
    </row>
    <row r="1156" spans="3:15" ht="13.5">
      <c r="C1156" s="1526" t="s">
        <v>5114</v>
      </c>
      <c r="D1156" s="1523">
        <v>1</v>
      </c>
      <c r="E1156" s="1523">
        <v>1</v>
      </c>
      <c r="F1156" s="1524">
        <v>2</v>
      </c>
      <c r="G1156" s="1537" t="s">
        <v>5114</v>
      </c>
      <c r="H1156" s="1521">
        <v>1</v>
      </c>
      <c r="I1156" s="1521">
        <v>1</v>
      </c>
      <c r="J1156" s="1538">
        <v>2</v>
      </c>
      <c r="K1156" s="1525"/>
      <c r="L1156" s="1519">
        <v>13103030402</v>
      </c>
      <c r="M1156" s="1520">
        <v>1</v>
      </c>
      <c r="N1156" s="1520">
        <v>1</v>
      </c>
      <c r="O1156" s="1520">
        <v>2</v>
      </c>
    </row>
    <row r="1157" spans="3:15" ht="13.5">
      <c r="C1157" s="1526" t="s">
        <v>5115</v>
      </c>
      <c r="D1157" s="1523">
        <v>0</v>
      </c>
      <c r="E1157" s="1523">
        <v>0</v>
      </c>
      <c r="F1157" s="1524">
        <v>0</v>
      </c>
      <c r="G1157" s="1537" t="s">
        <v>5115</v>
      </c>
      <c r="H1157" s="1521">
        <v>0</v>
      </c>
      <c r="I1157" s="1521">
        <v>0</v>
      </c>
      <c r="J1157" s="1538">
        <v>0</v>
      </c>
      <c r="K1157" s="1525"/>
      <c r="L1157" s="1519">
        <v>13105000100</v>
      </c>
      <c r="M1157" s="1520">
        <v>0</v>
      </c>
      <c r="N1157" s="1520">
        <v>0</v>
      </c>
      <c r="O1157" s="1520">
        <v>0</v>
      </c>
    </row>
    <row r="1158" spans="3:15" ht="13.5">
      <c r="C1158" s="1526" t="s">
        <v>5116</v>
      </c>
      <c r="D1158" s="1523">
        <v>0</v>
      </c>
      <c r="E1158" s="1523">
        <v>0</v>
      </c>
      <c r="F1158" s="1524">
        <v>0</v>
      </c>
      <c r="G1158" s="1537" t="s">
        <v>5116</v>
      </c>
      <c r="H1158" s="1521">
        <v>0</v>
      </c>
      <c r="I1158" s="1521">
        <v>0</v>
      </c>
      <c r="J1158" s="1538">
        <v>0</v>
      </c>
      <c r="K1158" s="1525"/>
      <c r="L1158" s="1519">
        <v>13105000200</v>
      </c>
      <c r="M1158" s="1520">
        <v>0</v>
      </c>
      <c r="N1158" s="1520">
        <v>0</v>
      </c>
      <c r="O1158" s="1520">
        <v>0</v>
      </c>
    </row>
    <row r="1159" spans="3:15" ht="13.5">
      <c r="C1159" s="1526" t="s">
        <v>5117</v>
      </c>
      <c r="D1159" s="1523">
        <v>0</v>
      </c>
      <c r="E1159" s="1523">
        <v>0</v>
      </c>
      <c r="F1159" s="1524">
        <v>0</v>
      </c>
      <c r="G1159" s="1537" t="s">
        <v>5117</v>
      </c>
      <c r="H1159" s="1521">
        <v>0</v>
      </c>
      <c r="I1159" s="1521">
        <v>0</v>
      </c>
      <c r="J1159" s="1538">
        <v>0</v>
      </c>
      <c r="K1159" s="1525"/>
      <c r="L1159" s="1519">
        <v>13105000300</v>
      </c>
      <c r="M1159" s="1520">
        <v>0</v>
      </c>
      <c r="N1159" s="1520">
        <v>0</v>
      </c>
      <c r="O1159" s="1520">
        <v>0</v>
      </c>
    </row>
    <row r="1160" spans="3:15" ht="13.5">
      <c r="C1160" s="1526" t="s">
        <v>5118</v>
      </c>
      <c r="D1160" s="1523">
        <v>0</v>
      </c>
      <c r="E1160" s="1523">
        <v>0</v>
      </c>
      <c r="F1160" s="1524">
        <v>0</v>
      </c>
      <c r="G1160" s="1537" t="s">
        <v>5118</v>
      </c>
      <c r="H1160" s="1521">
        <v>0</v>
      </c>
      <c r="I1160" s="1521">
        <v>0</v>
      </c>
      <c r="J1160" s="1538">
        <v>0</v>
      </c>
      <c r="K1160" s="1525"/>
      <c r="L1160" s="1519">
        <v>13105000400</v>
      </c>
      <c r="M1160" s="1520">
        <v>0</v>
      </c>
      <c r="N1160" s="1520">
        <v>0</v>
      </c>
      <c r="O1160" s="1520">
        <v>0</v>
      </c>
    </row>
    <row r="1161" spans="3:15" ht="13.5">
      <c r="C1161" s="1526" t="s">
        <v>5119</v>
      </c>
      <c r="D1161" s="1523">
        <v>0</v>
      </c>
      <c r="E1161" s="1523">
        <v>0</v>
      </c>
      <c r="F1161" s="1524">
        <v>0</v>
      </c>
      <c r="G1161" s="1537" t="s">
        <v>5119</v>
      </c>
      <c r="H1161" s="1521">
        <v>0</v>
      </c>
      <c r="I1161" s="1521">
        <v>1</v>
      </c>
      <c r="J1161" s="1538">
        <v>1</v>
      </c>
      <c r="K1161" s="1525"/>
      <c r="L1161" s="1519">
        <v>13105000500</v>
      </c>
      <c r="M1161" s="1520">
        <v>0</v>
      </c>
      <c r="N1161" s="1520">
        <v>1</v>
      </c>
      <c r="O1161" s="1520">
        <v>1</v>
      </c>
    </row>
    <row r="1162" spans="3:15" ht="13.5">
      <c r="C1162" s="1526" t="s">
        <v>5120</v>
      </c>
      <c r="D1162" s="1523">
        <v>0</v>
      </c>
      <c r="E1162" s="1523">
        <v>0</v>
      </c>
      <c r="F1162" s="1524">
        <v>0</v>
      </c>
      <c r="G1162" s="1537" t="s">
        <v>5120</v>
      </c>
      <c r="H1162" s="1521">
        <v>0</v>
      </c>
      <c r="I1162" s="1521">
        <v>0</v>
      </c>
      <c r="J1162" s="1538">
        <v>0</v>
      </c>
      <c r="K1162" s="1525"/>
      <c r="L1162" s="1519">
        <v>13107970100</v>
      </c>
      <c r="M1162" s="1520">
        <v>0</v>
      </c>
      <c r="N1162" s="1520">
        <v>0</v>
      </c>
      <c r="O1162" s="1520">
        <v>0</v>
      </c>
    </row>
    <row r="1163" spans="3:15" ht="13.5">
      <c r="C1163" s="1526" t="s">
        <v>5121</v>
      </c>
      <c r="D1163" s="1523">
        <v>0</v>
      </c>
      <c r="E1163" s="1523">
        <v>0</v>
      </c>
      <c r="F1163" s="1524">
        <v>0</v>
      </c>
      <c r="G1163" s="1537" t="s">
        <v>5121</v>
      </c>
      <c r="H1163" s="1521">
        <v>0</v>
      </c>
      <c r="I1163" s="1521">
        <v>0</v>
      </c>
      <c r="J1163" s="1538">
        <v>0</v>
      </c>
      <c r="K1163" s="1525"/>
      <c r="L1163" s="1519">
        <v>13107970200</v>
      </c>
      <c r="M1163" s="1520">
        <v>0</v>
      </c>
      <c r="N1163" s="1520">
        <v>0</v>
      </c>
      <c r="O1163" s="1520">
        <v>0</v>
      </c>
    </row>
    <row r="1164" spans="3:15" ht="13.5">
      <c r="C1164" s="1526" t="s">
        <v>5122</v>
      </c>
      <c r="D1164" s="1523">
        <v>0</v>
      </c>
      <c r="E1164" s="1523">
        <v>0</v>
      </c>
      <c r="F1164" s="1524">
        <v>0</v>
      </c>
      <c r="G1164" s="1537" t="s">
        <v>5122</v>
      </c>
      <c r="H1164" s="1521">
        <v>0</v>
      </c>
      <c r="I1164" s="1521">
        <v>0</v>
      </c>
      <c r="J1164" s="1538">
        <v>0</v>
      </c>
      <c r="K1164" s="1525"/>
      <c r="L1164" s="1519">
        <v>13107970300</v>
      </c>
      <c r="M1164" s="1520">
        <v>0</v>
      </c>
      <c r="N1164" s="1520">
        <v>0</v>
      </c>
      <c r="O1164" s="1520">
        <v>0</v>
      </c>
    </row>
    <row r="1165" spans="3:15" ht="13.5">
      <c r="C1165" s="1526" t="s">
        <v>5123</v>
      </c>
      <c r="D1165" s="1523">
        <v>0</v>
      </c>
      <c r="E1165" s="1523">
        <v>0</v>
      </c>
      <c r="F1165" s="1524">
        <v>0</v>
      </c>
      <c r="G1165" s="1537" t="s">
        <v>5123</v>
      </c>
      <c r="H1165" s="1521">
        <v>0</v>
      </c>
      <c r="I1165" s="1521">
        <v>0</v>
      </c>
      <c r="J1165" s="1538">
        <v>0</v>
      </c>
      <c r="K1165" s="1525"/>
      <c r="L1165" s="1519">
        <v>13107970400</v>
      </c>
      <c r="M1165" s="1520">
        <v>0</v>
      </c>
      <c r="N1165" s="1520">
        <v>0</v>
      </c>
      <c r="O1165" s="1520">
        <v>0</v>
      </c>
    </row>
    <row r="1166" spans="3:15" ht="13.5">
      <c r="C1166" s="1526" t="s">
        <v>5124</v>
      </c>
      <c r="D1166" s="1523">
        <v>0</v>
      </c>
      <c r="E1166" s="1523">
        <v>0</v>
      </c>
      <c r="F1166" s="1524">
        <v>0</v>
      </c>
      <c r="G1166" s="1537" t="s">
        <v>5124</v>
      </c>
      <c r="H1166" s="1521">
        <v>0</v>
      </c>
      <c r="I1166" s="1521">
        <v>0</v>
      </c>
      <c r="J1166" s="1538">
        <v>0</v>
      </c>
      <c r="K1166" s="1525"/>
      <c r="L1166" s="1519">
        <v>13107970500</v>
      </c>
      <c r="M1166" s="1520">
        <v>0</v>
      </c>
      <c r="N1166" s="1520">
        <v>0</v>
      </c>
      <c r="O1166" s="1520">
        <v>0</v>
      </c>
    </row>
    <row r="1167" spans="3:15" ht="13.5">
      <c r="C1167" s="1526" t="s">
        <v>5125</v>
      </c>
      <c r="D1167" s="1523">
        <v>0</v>
      </c>
      <c r="E1167" s="1523">
        <v>0</v>
      </c>
      <c r="F1167" s="1524">
        <v>0</v>
      </c>
      <c r="G1167" s="1537" t="s">
        <v>5125</v>
      </c>
      <c r="H1167" s="1521">
        <v>0</v>
      </c>
      <c r="I1167" s="1521">
        <v>0</v>
      </c>
      <c r="J1167" s="1538">
        <v>0</v>
      </c>
      <c r="K1167" s="1525"/>
      <c r="L1167" s="1519">
        <v>13107970600</v>
      </c>
      <c r="M1167" s="1520">
        <v>0</v>
      </c>
      <c r="N1167" s="1520">
        <v>0</v>
      </c>
      <c r="O1167" s="1520">
        <v>0</v>
      </c>
    </row>
    <row r="1168" spans="3:15" ht="13.5">
      <c r="C1168" s="1526" t="s">
        <v>5126</v>
      </c>
      <c r="D1168" s="1523">
        <v>0</v>
      </c>
      <c r="E1168" s="1523">
        <v>0</v>
      </c>
      <c r="F1168" s="1524">
        <v>0</v>
      </c>
      <c r="G1168" s="1537" t="s">
        <v>5126</v>
      </c>
      <c r="H1168" s="1521">
        <v>0</v>
      </c>
      <c r="I1168" s="1521">
        <v>0</v>
      </c>
      <c r="J1168" s="1538">
        <v>0</v>
      </c>
      <c r="K1168" s="1525"/>
      <c r="L1168" s="1519">
        <v>13109970100</v>
      </c>
      <c r="M1168" s="1520">
        <v>0</v>
      </c>
      <c r="N1168" s="1520">
        <v>0</v>
      </c>
      <c r="O1168" s="1520">
        <v>0</v>
      </c>
    </row>
    <row r="1169" spans="3:15" ht="13.5">
      <c r="C1169" s="1526" t="s">
        <v>5127</v>
      </c>
      <c r="D1169" s="1523">
        <v>0</v>
      </c>
      <c r="E1169" s="1523">
        <v>0</v>
      </c>
      <c r="F1169" s="1524">
        <v>0</v>
      </c>
      <c r="G1169" s="1537" t="s">
        <v>5127</v>
      </c>
      <c r="H1169" s="1521">
        <v>0</v>
      </c>
      <c r="I1169" s="1521">
        <v>0</v>
      </c>
      <c r="J1169" s="1538">
        <v>0</v>
      </c>
      <c r="K1169" s="1525"/>
      <c r="L1169" s="1519">
        <v>13109970200</v>
      </c>
      <c r="M1169" s="1520">
        <v>0</v>
      </c>
      <c r="N1169" s="1520">
        <v>0</v>
      </c>
      <c r="O1169" s="1520">
        <v>0</v>
      </c>
    </row>
    <row r="1170" spans="3:15" ht="13.5">
      <c r="C1170" s="1526" t="s">
        <v>5128</v>
      </c>
      <c r="D1170" s="1523">
        <v>0</v>
      </c>
      <c r="E1170" s="1523">
        <v>0</v>
      </c>
      <c r="F1170" s="1524">
        <v>0</v>
      </c>
      <c r="G1170" s="1537" t="s">
        <v>5128</v>
      </c>
      <c r="H1170" s="1521">
        <v>0</v>
      </c>
      <c r="I1170" s="1521">
        <v>0</v>
      </c>
      <c r="J1170" s="1538">
        <v>0</v>
      </c>
      <c r="K1170" s="1525"/>
      <c r="L1170" s="1519">
        <v>13109970300</v>
      </c>
      <c r="M1170" s="1520">
        <v>0</v>
      </c>
      <c r="N1170" s="1520">
        <v>0</v>
      </c>
      <c r="O1170" s="1520">
        <v>0</v>
      </c>
    </row>
    <row r="1171" spans="3:15" ht="13.5">
      <c r="C1171" s="1526" t="s">
        <v>5129</v>
      </c>
      <c r="D1171" s="1523">
        <v>0</v>
      </c>
      <c r="E1171" s="1523">
        <v>0</v>
      </c>
      <c r="F1171" s="1524">
        <v>0</v>
      </c>
      <c r="G1171" s="1537" t="s">
        <v>5129</v>
      </c>
      <c r="H1171" s="1521">
        <v>0</v>
      </c>
      <c r="I1171" s="1521">
        <v>0</v>
      </c>
      <c r="J1171" s="1538">
        <v>0</v>
      </c>
      <c r="K1171" s="1525"/>
      <c r="L1171" s="1519">
        <v>13111050100</v>
      </c>
      <c r="M1171" s="1520">
        <v>0</v>
      </c>
      <c r="N1171" s="1520">
        <v>0</v>
      </c>
      <c r="O1171" s="1520">
        <v>0</v>
      </c>
    </row>
    <row r="1172" spans="3:15" ht="13.5">
      <c r="C1172" s="1526" t="s">
        <v>5130</v>
      </c>
      <c r="D1172" s="1523">
        <v>0</v>
      </c>
      <c r="E1172" s="1523">
        <v>0</v>
      </c>
      <c r="F1172" s="1524">
        <v>0</v>
      </c>
      <c r="G1172" s="1537" t="s">
        <v>5130</v>
      </c>
      <c r="H1172" s="1521">
        <v>0</v>
      </c>
      <c r="I1172" s="1521">
        <v>0</v>
      </c>
      <c r="J1172" s="1538">
        <v>0</v>
      </c>
      <c r="K1172" s="1525"/>
      <c r="L1172" s="1519">
        <v>13111050200</v>
      </c>
      <c r="M1172" s="1520">
        <v>0</v>
      </c>
      <c r="N1172" s="1520">
        <v>0</v>
      </c>
      <c r="O1172" s="1520">
        <v>0</v>
      </c>
    </row>
    <row r="1173" spans="3:15" ht="13.5">
      <c r="C1173" s="1526" t="s">
        <v>5131</v>
      </c>
      <c r="D1173" s="1523">
        <v>0</v>
      </c>
      <c r="E1173" s="1523">
        <v>0</v>
      </c>
      <c r="F1173" s="1524">
        <v>0</v>
      </c>
      <c r="G1173" s="1537" t="s">
        <v>5131</v>
      </c>
      <c r="H1173" s="1521">
        <v>0</v>
      </c>
      <c r="I1173" s="1521" t="s">
        <v>4096</v>
      </c>
      <c r="J1173" s="1538">
        <v>0</v>
      </c>
      <c r="K1173" s="1525"/>
      <c r="L1173" s="1519">
        <v>13111050300</v>
      </c>
      <c r="M1173" s="1520">
        <v>0</v>
      </c>
      <c r="N1173" s="1520">
        <v>0</v>
      </c>
      <c r="O1173" s="1520">
        <v>0</v>
      </c>
    </row>
    <row r="1174" spans="3:15" ht="13.5">
      <c r="C1174" s="1526" t="s">
        <v>5132</v>
      </c>
      <c r="D1174" s="1523">
        <v>0</v>
      </c>
      <c r="E1174" s="1523">
        <v>0</v>
      </c>
      <c r="F1174" s="1524">
        <v>0</v>
      </c>
      <c r="G1174" s="1537" t="s">
        <v>5132</v>
      </c>
      <c r="H1174" s="1521">
        <v>0</v>
      </c>
      <c r="I1174" s="1521">
        <v>1</v>
      </c>
      <c r="J1174" s="1538">
        <v>1</v>
      </c>
      <c r="K1174" s="1525"/>
      <c r="L1174" s="1519">
        <v>13111050400</v>
      </c>
      <c r="M1174" s="1520">
        <v>0</v>
      </c>
      <c r="N1174" s="1520">
        <v>1</v>
      </c>
      <c r="O1174" s="1520">
        <v>1</v>
      </c>
    </row>
    <row r="1175" spans="3:15" ht="13.5">
      <c r="C1175" s="1526" t="s">
        <v>5133</v>
      </c>
      <c r="D1175" s="1523">
        <v>0</v>
      </c>
      <c r="E1175" s="1523">
        <v>0</v>
      </c>
      <c r="F1175" s="1524">
        <v>0</v>
      </c>
      <c r="G1175" s="1537" t="s">
        <v>5133</v>
      </c>
      <c r="H1175" s="1521">
        <v>1</v>
      </c>
      <c r="I1175" s="1521">
        <v>0</v>
      </c>
      <c r="J1175" s="1538">
        <v>1</v>
      </c>
      <c r="K1175" s="1525"/>
      <c r="L1175" s="1519">
        <v>13111050500</v>
      </c>
      <c r="M1175" s="1520">
        <v>1</v>
      </c>
      <c r="N1175" s="1520">
        <v>0</v>
      </c>
      <c r="O1175" s="1520">
        <v>1</v>
      </c>
    </row>
    <row r="1176" spans="3:15" ht="13.5">
      <c r="C1176" s="1526" t="s">
        <v>5134</v>
      </c>
      <c r="D1176" s="1523">
        <v>1</v>
      </c>
      <c r="E1176" s="1523">
        <v>0</v>
      </c>
      <c r="F1176" s="1524">
        <v>1</v>
      </c>
      <c r="G1176" s="1537" t="s">
        <v>5134</v>
      </c>
      <c r="H1176" s="1521">
        <v>1</v>
      </c>
      <c r="I1176" s="1521">
        <v>1</v>
      </c>
      <c r="J1176" s="1538">
        <v>2</v>
      </c>
      <c r="K1176" s="1525"/>
      <c r="L1176" s="1519">
        <v>13113140101</v>
      </c>
      <c r="M1176" s="1520">
        <v>1</v>
      </c>
      <c r="N1176" s="1520">
        <v>1</v>
      </c>
      <c r="O1176" s="1520">
        <v>2</v>
      </c>
    </row>
    <row r="1177" spans="3:15" ht="13.5">
      <c r="C1177" s="1526" t="s">
        <v>5135</v>
      </c>
      <c r="D1177" s="1523">
        <v>1</v>
      </c>
      <c r="E1177" s="1523">
        <v>1</v>
      </c>
      <c r="F1177" s="1524">
        <v>2</v>
      </c>
      <c r="G1177" s="1537" t="s">
        <v>5135</v>
      </c>
      <c r="H1177" s="1521">
        <v>1</v>
      </c>
      <c r="I1177" s="1521">
        <v>1</v>
      </c>
      <c r="J1177" s="1538">
        <v>2</v>
      </c>
      <c r="K1177" s="1525"/>
      <c r="L1177" s="1519">
        <v>13113140102</v>
      </c>
      <c r="M1177" s="1520">
        <v>1</v>
      </c>
      <c r="N1177" s="1520">
        <v>1</v>
      </c>
      <c r="O1177" s="1520">
        <v>2</v>
      </c>
    </row>
    <row r="1178" spans="3:15" ht="13.5">
      <c r="C1178" s="1526" t="s">
        <v>5136</v>
      </c>
      <c r="D1178" s="1523">
        <v>1</v>
      </c>
      <c r="E1178" s="1523">
        <v>1</v>
      </c>
      <c r="F1178" s="1524">
        <v>2</v>
      </c>
      <c r="G1178" s="1537" t="s">
        <v>5136</v>
      </c>
      <c r="H1178" s="1521">
        <v>1</v>
      </c>
      <c r="I1178" s="1521">
        <v>1</v>
      </c>
      <c r="J1178" s="1538">
        <v>2</v>
      </c>
      <c r="K1178" s="1525"/>
      <c r="L1178" s="1519">
        <v>13113140203</v>
      </c>
      <c r="M1178" s="1520">
        <v>1</v>
      </c>
      <c r="N1178" s="1520">
        <v>1</v>
      </c>
      <c r="O1178" s="1520">
        <v>2</v>
      </c>
    </row>
    <row r="1179" spans="3:15" ht="13.5">
      <c r="C1179" s="1526" t="s">
        <v>5137</v>
      </c>
      <c r="D1179" s="1523">
        <v>1</v>
      </c>
      <c r="E1179" s="1523">
        <v>1</v>
      </c>
      <c r="F1179" s="1524">
        <v>2</v>
      </c>
      <c r="G1179" s="1537" t="s">
        <v>5137</v>
      </c>
      <c r="H1179" s="1521">
        <v>1</v>
      </c>
      <c r="I1179" s="1521">
        <v>1</v>
      </c>
      <c r="J1179" s="1538">
        <v>2</v>
      </c>
      <c r="K1179" s="1525"/>
      <c r="L1179" s="1519">
        <v>13113140204</v>
      </c>
      <c r="M1179" s="1520">
        <v>1</v>
      </c>
      <c r="N1179" s="1520">
        <v>1</v>
      </c>
      <c r="O1179" s="1520">
        <v>2</v>
      </c>
    </row>
    <row r="1180" spans="3:15" ht="13.5">
      <c r="C1180" s="1526" t="s">
        <v>5138</v>
      </c>
      <c r="D1180" s="1523">
        <v>1</v>
      </c>
      <c r="E1180" s="1523">
        <v>1</v>
      </c>
      <c r="F1180" s="1524">
        <v>2</v>
      </c>
      <c r="G1180" s="1537" t="s">
        <v>5138</v>
      </c>
      <c r="H1180" s="1521">
        <v>1</v>
      </c>
      <c r="I1180" s="1521">
        <v>1</v>
      </c>
      <c r="J1180" s="1538">
        <v>2</v>
      </c>
      <c r="K1180" s="1525"/>
      <c r="L1180" s="1519">
        <v>13113140206</v>
      </c>
      <c r="M1180" s="1520">
        <v>1</v>
      </c>
      <c r="N1180" s="1520">
        <v>1</v>
      </c>
      <c r="O1180" s="1520">
        <v>2</v>
      </c>
    </row>
    <row r="1181" spans="3:15" ht="13.5">
      <c r="C1181" s="1526" t="s">
        <v>5139</v>
      </c>
      <c r="D1181" s="1523">
        <v>1</v>
      </c>
      <c r="E1181" s="1523">
        <v>1</v>
      </c>
      <c r="F1181" s="1524">
        <v>2</v>
      </c>
      <c r="G1181" s="1537" t="s">
        <v>5139</v>
      </c>
      <c r="H1181" s="1521">
        <v>1</v>
      </c>
      <c r="I1181" s="1521">
        <v>1</v>
      </c>
      <c r="J1181" s="1538">
        <v>2</v>
      </c>
      <c r="K1181" s="1525"/>
      <c r="L1181" s="1519">
        <v>13113140207</v>
      </c>
      <c r="M1181" s="1520">
        <v>1</v>
      </c>
      <c r="N1181" s="1520">
        <v>1</v>
      </c>
      <c r="O1181" s="1520">
        <v>2</v>
      </c>
    </row>
    <row r="1182" spans="3:15" ht="13.5">
      <c r="C1182" s="1526" t="s">
        <v>5140</v>
      </c>
      <c r="D1182" s="1523">
        <v>1</v>
      </c>
      <c r="E1182" s="1523">
        <v>1</v>
      </c>
      <c r="F1182" s="1524">
        <v>2</v>
      </c>
      <c r="G1182" s="1537" t="s">
        <v>5140</v>
      </c>
      <c r="H1182" s="1521">
        <v>1</v>
      </c>
      <c r="I1182" s="1521">
        <v>1</v>
      </c>
      <c r="J1182" s="1538">
        <v>2</v>
      </c>
      <c r="K1182" s="1525"/>
      <c r="L1182" s="1519">
        <v>13113140208</v>
      </c>
      <c r="M1182" s="1520">
        <v>1</v>
      </c>
      <c r="N1182" s="1520">
        <v>1</v>
      </c>
      <c r="O1182" s="1520">
        <v>2</v>
      </c>
    </row>
    <row r="1183" spans="3:15" ht="13.5">
      <c r="C1183" s="1526" t="s">
        <v>5141</v>
      </c>
      <c r="D1183" s="1523">
        <v>1</v>
      </c>
      <c r="E1183" s="1523">
        <v>1</v>
      </c>
      <c r="F1183" s="1524">
        <v>2</v>
      </c>
      <c r="G1183" s="1537" t="s">
        <v>5141</v>
      </c>
      <c r="H1183" s="1521">
        <v>1</v>
      </c>
      <c r="I1183" s="1521">
        <v>1</v>
      </c>
      <c r="J1183" s="1538">
        <v>2</v>
      </c>
      <c r="K1183" s="1525"/>
      <c r="L1183" s="1519">
        <v>13113140303</v>
      </c>
      <c r="M1183" s="1520">
        <v>1</v>
      </c>
      <c r="N1183" s="1520">
        <v>1</v>
      </c>
      <c r="O1183" s="1520">
        <v>2</v>
      </c>
    </row>
    <row r="1184" spans="3:15" ht="13.5">
      <c r="C1184" s="1526" t="s">
        <v>5142</v>
      </c>
      <c r="D1184" s="1523">
        <v>1</v>
      </c>
      <c r="E1184" s="1523">
        <v>1</v>
      </c>
      <c r="F1184" s="1524">
        <v>2</v>
      </c>
      <c r="G1184" s="1537" t="s">
        <v>5142</v>
      </c>
      <c r="H1184" s="1521">
        <v>1</v>
      </c>
      <c r="I1184" s="1521">
        <v>1</v>
      </c>
      <c r="J1184" s="1538">
        <v>2</v>
      </c>
      <c r="K1184" s="1525"/>
      <c r="L1184" s="1519">
        <v>13113140304</v>
      </c>
      <c r="M1184" s="1520">
        <v>1</v>
      </c>
      <c r="N1184" s="1520">
        <v>1</v>
      </c>
      <c r="O1184" s="1520">
        <v>2</v>
      </c>
    </row>
    <row r="1185" spans="3:15" ht="13.5">
      <c r="C1185" s="1526" t="s">
        <v>5143</v>
      </c>
      <c r="D1185" s="1523">
        <v>1</v>
      </c>
      <c r="E1185" s="1523">
        <v>1</v>
      </c>
      <c r="F1185" s="1524">
        <v>2</v>
      </c>
      <c r="G1185" s="1537" t="s">
        <v>5143</v>
      </c>
      <c r="H1185" s="1521">
        <v>1</v>
      </c>
      <c r="I1185" s="1521">
        <v>1</v>
      </c>
      <c r="J1185" s="1538">
        <v>2</v>
      </c>
      <c r="K1185" s="1525"/>
      <c r="L1185" s="1519">
        <v>13113140305</v>
      </c>
      <c r="M1185" s="1520">
        <v>1</v>
      </c>
      <c r="N1185" s="1520">
        <v>1</v>
      </c>
      <c r="O1185" s="1520">
        <v>2</v>
      </c>
    </row>
    <row r="1186" spans="3:15" ht="13.5">
      <c r="C1186" s="1526" t="s">
        <v>5144</v>
      </c>
      <c r="D1186" s="1523">
        <v>1</v>
      </c>
      <c r="E1186" s="1523">
        <v>1</v>
      </c>
      <c r="F1186" s="1524">
        <v>2</v>
      </c>
      <c r="G1186" s="1537" t="s">
        <v>5144</v>
      </c>
      <c r="H1186" s="1521">
        <v>1</v>
      </c>
      <c r="I1186" s="1521">
        <v>1</v>
      </c>
      <c r="J1186" s="1538">
        <v>2</v>
      </c>
      <c r="K1186" s="1525"/>
      <c r="L1186" s="1519">
        <v>13113140306</v>
      </c>
      <c r="M1186" s="1520">
        <v>1</v>
      </c>
      <c r="N1186" s="1520">
        <v>1</v>
      </c>
      <c r="O1186" s="1520">
        <v>2</v>
      </c>
    </row>
    <row r="1187" spans="3:15" ht="13.5">
      <c r="C1187" s="1526" t="s">
        <v>5145</v>
      </c>
      <c r="D1187" s="1523">
        <v>1</v>
      </c>
      <c r="E1187" s="1523">
        <v>1</v>
      </c>
      <c r="F1187" s="1524">
        <v>2</v>
      </c>
      <c r="G1187" s="1537" t="s">
        <v>5145</v>
      </c>
      <c r="H1187" s="1521">
        <v>1</v>
      </c>
      <c r="I1187" s="1521">
        <v>1</v>
      </c>
      <c r="J1187" s="1538">
        <v>2</v>
      </c>
      <c r="K1187" s="1525"/>
      <c r="L1187" s="1519">
        <v>13113140307</v>
      </c>
      <c r="M1187" s="1520">
        <v>1</v>
      </c>
      <c r="N1187" s="1520">
        <v>1</v>
      </c>
      <c r="O1187" s="1520">
        <v>2</v>
      </c>
    </row>
    <row r="1188" spans="3:15" ht="13.5">
      <c r="C1188" s="1526" t="s">
        <v>5146</v>
      </c>
      <c r="D1188" s="1523">
        <v>1</v>
      </c>
      <c r="E1188" s="1523">
        <v>1</v>
      </c>
      <c r="F1188" s="1524">
        <v>2</v>
      </c>
      <c r="G1188" s="1537" t="s">
        <v>5146</v>
      </c>
      <c r="H1188" s="1521">
        <v>1</v>
      </c>
      <c r="I1188" s="1521">
        <v>1</v>
      </c>
      <c r="J1188" s="1538">
        <v>2</v>
      </c>
      <c r="K1188" s="1525"/>
      <c r="L1188" s="1519">
        <v>13113140403</v>
      </c>
      <c r="M1188" s="1520">
        <v>1</v>
      </c>
      <c r="N1188" s="1520">
        <v>1</v>
      </c>
      <c r="O1188" s="1520">
        <v>2</v>
      </c>
    </row>
    <row r="1189" spans="3:15" ht="13.5">
      <c r="C1189" s="1526" t="s">
        <v>5147</v>
      </c>
      <c r="D1189" s="1523">
        <v>1</v>
      </c>
      <c r="E1189" s="1523">
        <v>1</v>
      </c>
      <c r="F1189" s="1524">
        <v>2</v>
      </c>
      <c r="G1189" s="1537" t="s">
        <v>5147</v>
      </c>
      <c r="H1189" s="1521">
        <v>1</v>
      </c>
      <c r="I1189" s="1521">
        <v>1</v>
      </c>
      <c r="J1189" s="1538">
        <v>2</v>
      </c>
      <c r="K1189" s="1525"/>
      <c r="L1189" s="1519">
        <v>13113140404</v>
      </c>
      <c r="M1189" s="1520">
        <v>1</v>
      </c>
      <c r="N1189" s="1520">
        <v>1</v>
      </c>
      <c r="O1189" s="1520">
        <v>2</v>
      </c>
    </row>
    <row r="1190" spans="3:15" ht="13.5">
      <c r="C1190" s="1526" t="s">
        <v>5148</v>
      </c>
      <c r="D1190" s="1523">
        <v>1</v>
      </c>
      <c r="E1190" s="1523">
        <v>1</v>
      </c>
      <c r="F1190" s="1524">
        <v>2</v>
      </c>
      <c r="G1190" s="1537" t="s">
        <v>5148</v>
      </c>
      <c r="H1190" s="1521">
        <v>1</v>
      </c>
      <c r="I1190" s="1521">
        <v>1</v>
      </c>
      <c r="J1190" s="1538">
        <v>2</v>
      </c>
      <c r="K1190" s="1525"/>
      <c r="L1190" s="1519">
        <v>13113140405</v>
      </c>
      <c r="M1190" s="1520">
        <v>1</v>
      </c>
      <c r="N1190" s="1520">
        <v>1</v>
      </c>
      <c r="O1190" s="1520">
        <v>2</v>
      </c>
    </row>
    <row r="1191" spans="3:15" ht="13.5">
      <c r="C1191" s="1526" t="s">
        <v>5149</v>
      </c>
      <c r="D1191" s="1523">
        <v>0</v>
      </c>
      <c r="E1191" s="1523">
        <v>1</v>
      </c>
      <c r="F1191" s="1524">
        <v>1</v>
      </c>
      <c r="G1191" s="1537" t="s">
        <v>5149</v>
      </c>
      <c r="H1191" s="1521">
        <v>0</v>
      </c>
      <c r="I1191" s="1521">
        <v>1</v>
      </c>
      <c r="J1191" s="1538">
        <v>1</v>
      </c>
      <c r="K1191" s="1525"/>
      <c r="L1191" s="1519">
        <v>13113140406</v>
      </c>
      <c r="M1191" s="1520">
        <v>0</v>
      </c>
      <c r="N1191" s="1520">
        <v>1</v>
      </c>
      <c r="O1191" s="1520">
        <v>1</v>
      </c>
    </row>
    <row r="1192" spans="3:15" ht="13.5">
      <c r="C1192" s="1526" t="s">
        <v>5150</v>
      </c>
      <c r="D1192" s="1523">
        <v>1</v>
      </c>
      <c r="E1192" s="1523">
        <v>1</v>
      </c>
      <c r="F1192" s="1524">
        <v>2</v>
      </c>
      <c r="G1192" s="1537" t="s">
        <v>5150</v>
      </c>
      <c r="H1192" s="1521">
        <v>1</v>
      </c>
      <c r="I1192" s="1521">
        <v>1</v>
      </c>
      <c r="J1192" s="1538">
        <v>2</v>
      </c>
      <c r="K1192" s="1525"/>
      <c r="L1192" s="1519">
        <v>13113140407</v>
      </c>
      <c r="M1192" s="1520">
        <v>1</v>
      </c>
      <c r="N1192" s="1520">
        <v>1</v>
      </c>
      <c r="O1192" s="1520">
        <v>2</v>
      </c>
    </row>
    <row r="1193" spans="3:15" ht="13.5">
      <c r="C1193" s="1526" t="s">
        <v>5151</v>
      </c>
      <c r="D1193" s="1523">
        <v>1</v>
      </c>
      <c r="E1193" s="1523">
        <v>1</v>
      </c>
      <c r="F1193" s="1524">
        <v>2</v>
      </c>
      <c r="G1193" s="1537" t="s">
        <v>5151</v>
      </c>
      <c r="H1193" s="1521">
        <v>1</v>
      </c>
      <c r="I1193" s="1521">
        <v>1</v>
      </c>
      <c r="J1193" s="1538">
        <v>2</v>
      </c>
      <c r="K1193" s="1525"/>
      <c r="L1193" s="1519">
        <v>13113140408</v>
      </c>
      <c r="M1193" s="1520">
        <v>1</v>
      </c>
      <c r="N1193" s="1520">
        <v>1</v>
      </c>
      <c r="O1193" s="1520">
        <v>2</v>
      </c>
    </row>
    <row r="1194" spans="3:15" ht="13.5">
      <c r="C1194" s="1526" t="s">
        <v>5152</v>
      </c>
      <c r="D1194" s="1523">
        <v>1</v>
      </c>
      <c r="E1194" s="1523">
        <v>1</v>
      </c>
      <c r="F1194" s="1524">
        <v>2</v>
      </c>
      <c r="G1194" s="1537" t="s">
        <v>5152</v>
      </c>
      <c r="H1194" s="1521">
        <v>1</v>
      </c>
      <c r="I1194" s="1521">
        <v>1</v>
      </c>
      <c r="J1194" s="1538">
        <v>2</v>
      </c>
      <c r="K1194" s="1525"/>
      <c r="L1194" s="1519">
        <v>13113140501</v>
      </c>
      <c r="M1194" s="1520">
        <v>1</v>
      </c>
      <c r="N1194" s="1520">
        <v>1</v>
      </c>
      <c r="O1194" s="1520">
        <v>2</v>
      </c>
    </row>
    <row r="1195" spans="3:15" ht="13.5">
      <c r="C1195" s="1526" t="s">
        <v>5153</v>
      </c>
      <c r="D1195" s="1523">
        <v>1</v>
      </c>
      <c r="E1195" s="1523">
        <v>1</v>
      </c>
      <c r="F1195" s="1524">
        <v>2</v>
      </c>
      <c r="G1195" s="1537" t="s">
        <v>5153</v>
      </c>
      <c r="H1195" s="1521">
        <v>1</v>
      </c>
      <c r="I1195" s="1521">
        <v>1</v>
      </c>
      <c r="J1195" s="1538">
        <v>2</v>
      </c>
      <c r="K1195" s="1525"/>
      <c r="L1195" s="1519">
        <v>13113140502</v>
      </c>
      <c r="M1195" s="1520">
        <v>1</v>
      </c>
      <c r="N1195" s="1520">
        <v>1</v>
      </c>
      <c r="O1195" s="1520">
        <v>2</v>
      </c>
    </row>
    <row r="1196" spans="3:15" ht="13.5">
      <c r="C1196" s="1526" t="s">
        <v>5154</v>
      </c>
      <c r="D1196" s="1523">
        <v>0</v>
      </c>
      <c r="E1196" s="1523">
        <v>0</v>
      </c>
      <c r="F1196" s="1524">
        <v>0</v>
      </c>
      <c r="G1196" s="1537" t="s">
        <v>5154</v>
      </c>
      <c r="H1196" s="1521">
        <v>0</v>
      </c>
      <c r="I1196" s="1521">
        <v>1</v>
      </c>
      <c r="J1196" s="1538">
        <v>1</v>
      </c>
      <c r="K1196" s="1525"/>
      <c r="L1196" s="1519">
        <v>13115000100</v>
      </c>
      <c r="M1196" s="1520">
        <v>0</v>
      </c>
      <c r="N1196" s="1520">
        <v>1</v>
      </c>
      <c r="O1196" s="1520">
        <v>1</v>
      </c>
    </row>
    <row r="1197" spans="3:15" ht="13.5">
      <c r="C1197" s="1526" t="s">
        <v>5155</v>
      </c>
      <c r="D1197" s="1523">
        <v>1</v>
      </c>
      <c r="E1197" s="1523">
        <v>1</v>
      </c>
      <c r="F1197" s="1524">
        <v>2</v>
      </c>
      <c r="G1197" s="1537" t="s">
        <v>5155</v>
      </c>
      <c r="H1197" s="1521">
        <v>1</v>
      </c>
      <c r="I1197" s="1521">
        <v>0</v>
      </c>
      <c r="J1197" s="1538">
        <v>1</v>
      </c>
      <c r="K1197" s="1525"/>
      <c r="L1197" s="1519">
        <v>13115000201</v>
      </c>
      <c r="M1197" s="1520">
        <v>1</v>
      </c>
      <c r="N1197" s="1520">
        <v>1</v>
      </c>
      <c r="O1197" s="1520">
        <v>2</v>
      </c>
    </row>
    <row r="1198" spans="3:15" ht="13.5">
      <c r="C1198" s="1526" t="s">
        <v>5156</v>
      </c>
      <c r="D1198" s="1523">
        <v>1</v>
      </c>
      <c r="E1198" s="1523">
        <v>1</v>
      </c>
      <c r="F1198" s="1524">
        <v>2</v>
      </c>
      <c r="G1198" s="1537" t="s">
        <v>5156</v>
      </c>
      <c r="H1198" s="1521">
        <v>1</v>
      </c>
      <c r="I1198" s="1521">
        <v>1</v>
      </c>
      <c r="J1198" s="1538">
        <v>2</v>
      </c>
      <c r="K1198" s="1525"/>
      <c r="L1198" s="1519">
        <v>13115000202</v>
      </c>
      <c r="M1198" s="1520">
        <v>1</v>
      </c>
      <c r="N1198" s="1520">
        <v>1</v>
      </c>
      <c r="O1198" s="1521">
        <v>2</v>
      </c>
    </row>
    <row r="1199" spans="3:15" ht="13.5">
      <c r="C1199" s="1526" t="s">
        <v>5157</v>
      </c>
      <c r="D1199" s="1523">
        <v>1</v>
      </c>
      <c r="E1199" s="1523">
        <v>1</v>
      </c>
      <c r="F1199" s="1524">
        <v>2</v>
      </c>
      <c r="G1199" s="1537" t="s">
        <v>5157</v>
      </c>
      <c r="H1199" s="1521">
        <v>1</v>
      </c>
      <c r="I1199" s="1521">
        <v>1</v>
      </c>
      <c r="J1199" s="1538">
        <v>2</v>
      </c>
      <c r="K1199" s="1525"/>
      <c r="L1199" s="1519">
        <v>13115000300</v>
      </c>
      <c r="M1199" s="1520">
        <v>1</v>
      </c>
      <c r="N1199" s="1520">
        <v>1</v>
      </c>
      <c r="O1199" s="1521">
        <v>2</v>
      </c>
    </row>
    <row r="1200" spans="3:15" ht="13.5">
      <c r="C1200" s="1526" t="s">
        <v>5158</v>
      </c>
      <c r="D1200" s="1523">
        <v>0</v>
      </c>
      <c r="E1200" s="1523">
        <v>0</v>
      </c>
      <c r="F1200" s="1524">
        <v>0</v>
      </c>
      <c r="G1200" s="1537" t="s">
        <v>5158</v>
      </c>
      <c r="H1200" s="1521">
        <v>0</v>
      </c>
      <c r="I1200" s="1521">
        <v>1</v>
      </c>
      <c r="J1200" s="1538">
        <v>1</v>
      </c>
      <c r="K1200" s="1525"/>
      <c r="L1200" s="1519">
        <v>13115000400</v>
      </c>
      <c r="M1200" s="1520">
        <v>0</v>
      </c>
      <c r="N1200" s="1520">
        <v>1</v>
      </c>
      <c r="O1200" s="1521">
        <v>1</v>
      </c>
    </row>
    <row r="1201" spans="3:15" ht="13.5">
      <c r="C1201" s="1526" t="s">
        <v>5159</v>
      </c>
      <c r="D1201" s="1523">
        <v>0</v>
      </c>
      <c r="E1201" s="1523">
        <v>0</v>
      </c>
      <c r="F1201" s="1524">
        <v>0</v>
      </c>
      <c r="G1201" s="1537" t="s">
        <v>5159</v>
      </c>
      <c r="H1201" s="1521">
        <v>0</v>
      </c>
      <c r="I1201" s="1521">
        <v>0</v>
      </c>
      <c r="J1201" s="1538">
        <v>0</v>
      </c>
      <c r="K1201" s="1525"/>
      <c r="L1201" s="1519">
        <v>13115000500</v>
      </c>
      <c r="M1201" s="1520">
        <v>0</v>
      </c>
      <c r="N1201" s="1520">
        <v>0</v>
      </c>
      <c r="O1201" s="1521">
        <v>0</v>
      </c>
    </row>
    <row r="1202" spans="3:15" ht="13.5">
      <c r="C1202" s="1526" t="s">
        <v>5160</v>
      </c>
      <c r="D1202" s="1523">
        <v>0</v>
      </c>
      <c r="E1202" s="1523">
        <v>0</v>
      </c>
      <c r="F1202" s="1524">
        <v>0</v>
      </c>
      <c r="G1202" s="1537" t="s">
        <v>5160</v>
      </c>
      <c r="H1202" s="1521">
        <v>0</v>
      </c>
      <c r="I1202" s="1521">
        <v>0</v>
      </c>
      <c r="J1202" s="1538">
        <v>0</v>
      </c>
      <c r="K1202" s="1525"/>
      <c r="L1202" s="1519">
        <v>13115000600</v>
      </c>
      <c r="M1202" s="1520">
        <v>0</v>
      </c>
      <c r="N1202" s="1520">
        <v>0</v>
      </c>
      <c r="O1202" s="1521">
        <v>0</v>
      </c>
    </row>
    <row r="1203" spans="3:15" ht="13.5">
      <c r="C1203" s="1526" t="s">
        <v>5161</v>
      </c>
      <c r="D1203" s="1523">
        <v>1</v>
      </c>
      <c r="E1203" s="1523">
        <v>1</v>
      </c>
      <c r="F1203" s="1524">
        <v>2</v>
      </c>
      <c r="G1203" s="1537" t="s">
        <v>5161</v>
      </c>
      <c r="H1203" s="1521">
        <v>0</v>
      </c>
      <c r="I1203" s="1521">
        <v>1</v>
      </c>
      <c r="J1203" s="1538">
        <v>1</v>
      </c>
      <c r="K1203" s="1525"/>
      <c r="L1203" s="1519">
        <v>13115000700</v>
      </c>
      <c r="M1203" s="1520">
        <v>1</v>
      </c>
      <c r="N1203" s="1520">
        <v>1</v>
      </c>
      <c r="O1203" s="1521">
        <v>2</v>
      </c>
    </row>
    <row r="1204" spans="3:15" ht="13.5">
      <c r="C1204" s="1526" t="s">
        <v>5162</v>
      </c>
      <c r="D1204" s="1523">
        <v>1</v>
      </c>
      <c r="E1204" s="1523">
        <v>1</v>
      </c>
      <c r="F1204" s="1524">
        <v>2</v>
      </c>
      <c r="G1204" s="1537" t="s">
        <v>5162</v>
      </c>
      <c r="H1204" s="1521">
        <v>1</v>
      </c>
      <c r="I1204" s="1521">
        <v>1</v>
      </c>
      <c r="J1204" s="1538">
        <v>2</v>
      </c>
      <c r="K1204" s="1525"/>
      <c r="L1204" s="1519">
        <v>13115000800</v>
      </c>
      <c r="M1204" s="1520">
        <v>1</v>
      </c>
      <c r="N1204" s="1520">
        <v>1</v>
      </c>
      <c r="O1204" s="1521">
        <v>2</v>
      </c>
    </row>
    <row r="1205" spans="3:15" ht="13.5">
      <c r="C1205" s="1526" t="s">
        <v>5163</v>
      </c>
      <c r="D1205" s="1523">
        <v>0</v>
      </c>
      <c r="E1205" s="1523">
        <v>1</v>
      </c>
      <c r="F1205" s="1524">
        <v>1</v>
      </c>
      <c r="G1205" s="1537" t="s">
        <v>5163</v>
      </c>
      <c r="H1205" s="1521">
        <v>0</v>
      </c>
      <c r="I1205" s="1521">
        <v>1</v>
      </c>
      <c r="J1205" s="1538">
        <v>1</v>
      </c>
      <c r="K1205" s="1525"/>
      <c r="L1205" s="1519">
        <v>13115000900</v>
      </c>
      <c r="M1205" s="1520">
        <v>0</v>
      </c>
      <c r="N1205" s="1520">
        <v>1</v>
      </c>
      <c r="O1205" s="1521">
        <v>1</v>
      </c>
    </row>
    <row r="1206" spans="3:15" ht="13.5">
      <c r="C1206" s="1526" t="s">
        <v>5164</v>
      </c>
      <c r="D1206" s="1523">
        <v>0</v>
      </c>
      <c r="E1206" s="1523">
        <v>0</v>
      </c>
      <c r="F1206" s="1524">
        <v>0</v>
      </c>
      <c r="G1206" s="1537" t="s">
        <v>5164</v>
      </c>
      <c r="H1206" s="1521">
        <v>0</v>
      </c>
      <c r="I1206" s="1521">
        <v>0</v>
      </c>
      <c r="J1206" s="1538">
        <v>0</v>
      </c>
      <c r="K1206" s="1525"/>
      <c r="L1206" s="1519">
        <v>13115001100</v>
      </c>
      <c r="M1206" s="1520">
        <v>0</v>
      </c>
      <c r="N1206" s="1520">
        <v>0</v>
      </c>
      <c r="O1206" s="1521">
        <v>0</v>
      </c>
    </row>
    <row r="1207" spans="3:15" ht="13.5">
      <c r="C1207" s="1526" t="s">
        <v>5165</v>
      </c>
      <c r="D1207" s="1523">
        <v>0</v>
      </c>
      <c r="E1207" s="1523">
        <v>0</v>
      </c>
      <c r="F1207" s="1524">
        <v>0</v>
      </c>
      <c r="G1207" s="1537" t="s">
        <v>5165</v>
      </c>
      <c r="H1207" s="1521">
        <v>0</v>
      </c>
      <c r="I1207" s="1521">
        <v>0</v>
      </c>
      <c r="J1207" s="1538">
        <v>0</v>
      </c>
      <c r="K1207" s="1525"/>
      <c r="L1207" s="1519">
        <v>13115001200</v>
      </c>
      <c r="M1207" s="1520">
        <v>0</v>
      </c>
      <c r="N1207" s="1520">
        <v>0</v>
      </c>
      <c r="O1207" s="1521">
        <v>0</v>
      </c>
    </row>
    <row r="1208" spans="3:15" ht="13.5">
      <c r="C1208" s="1526" t="s">
        <v>5166</v>
      </c>
      <c r="D1208" s="1523">
        <v>0</v>
      </c>
      <c r="E1208" s="1523">
        <v>0</v>
      </c>
      <c r="F1208" s="1524">
        <v>0</v>
      </c>
      <c r="G1208" s="1537" t="s">
        <v>5166</v>
      </c>
      <c r="H1208" s="1521">
        <v>0</v>
      </c>
      <c r="I1208" s="1521">
        <v>0</v>
      </c>
      <c r="J1208" s="1538">
        <v>0</v>
      </c>
      <c r="K1208" s="1525"/>
      <c r="L1208" s="1519">
        <v>13115001300</v>
      </c>
      <c r="M1208" s="1520">
        <v>0</v>
      </c>
      <c r="N1208" s="1520">
        <v>0</v>
      </c>
      <c r="O1208" s="1521">
        <v>0</v>
      </c>
    </row>
    <row r="1209" spans="3:15" ht="13.5">
      <c r="C1209" s="1526" t="s">
        <v>5167</v>
      </c>
      <c r="D1209" s="1523">
        <v>1</v>
      </c>
      <c r="E1209" s="1523">
        <v>1</v>
      </c>
      <c r="F1209" s="1524">
        <v>2</v>
      </c>
      <c r="G1209" s="1537" t="s">
        <v>5167</v>
      </c>
      <c r="H1209" s="1521">
        <v>0</v>
      </c>
      <c r="I1209" s="1521">
        <v>1</v>
      </c>
      <c r="J1209" s="1538">
        <v>1</v>
      </c>
      <c r="K1209" s="1525"/>
      <c r="L1209" s="1519">
        <v>13115001400</v>
      </c>
      <c r="M1209" s="1520">
        <v>1</v>
      </c>
      <c r="N1209" s="1520">
        <v>1</v>
      </c>
      <c r="O1209" s="1521">
        <v>2</v>
      </c>
    </row>
    <row r="1210" spans="3:15" ht="13.5">
      <c r="C1210" s="1526" t="s">
        <v>5168</v>
      </c>
      <c r="D1210" s="1523">
        <v>0</v>
      </c>
      <c r="E1210" s="1523">
        <v>0</v>
      </c>
      <c r="F1210" s="1524">
        <v>0</v>
      </c>
      <c r="G1210" s="1537" t="s">
        <v>5168</v>
      </c>
      <c r="H1210" s="1521">
        <v>0</v>
      </c>
      <c r="I1210" s="1521">
        <v>0</v>
      </c>
      <c r="J1210" s="1538">
        <v>0</v>
      </c>
      <c r="K1210" s="1525"/>
      <c r="L1210" s="1519">
        <v>13115001600</v>
      </c>
      <c r="M1210" s="1520">
        <v>0</v>
      </c>
      <c r="N1210" s="1520">
        <v>0</v>
      </c>
      <c r="O1210" s="1521">
        <v>0</v>
      </c>
    </row>
    <row r="1211" spans="3:15" ht="13.5">
      <c r="C1211" s="1526" t="s">
        <v>5169</v>
      </c>
      <c r="D1211" s="1523">
        <v>1</v>
      </c>
      <c r="E1211" s="1523">
        <v>0</v>
      </c>
      <c r="F1211" s="1524">
        <v>1</v>
      </c>
      <c r="G1211" s="1537" t="s">
        <v>5169</v>
      </c>
      <c r="H1211" s="1521">
        <v>1</v>
      </c>
      <c r="I1211" s="1521">
        <v>1</v>
      </c>
      <c r="J1211" s="1538">
        <v>2</v>
      </c>
      <c r="K1211" s="1525"/>
      <c r="L1211" s="1519">
        <v>13115001701</v>
      </c>
      <c r="M1211" s="1520">
        <v>1</v>
      </c>
      <c r="N1211" s="1520">
        <v>1</v>
      </c>
      <c r="O1211" s="1521">
        <v>2</v>
      </c>
    </row>
    <row r="1212" spans="3:15" ht="13.5">
      <c r="C1212" s="1526" t="s">
        <v>5170</v>
      </c>
      <c r="D1212" s="1523">
        <v>1</v>
      </c>
      <c r="E1212" s="1523">
        <v>1</v>
      </c>
      <c r="F1212" s="1524">
        <v>2</v>
      </c>
      <c r="G1212" s="1537" t="s">
        <v>5170</v>
      </c>
      <c r="H1212" s="1521">
        <v>0</v>
      </c>
      <c r="I1212" s="1521">
        <v>0</v>
      </c>
      <c r="J1212" s="1538">
        <v>0</v>
      </c>
      <c r="K1212" s="1525"/>
      <c r="L1212" s="1519">
        <v>13115001702</v>
      </c>
      <c r="M1212" s="1520">
        <v>1</v>
      </c>
      <c r="N1212" s="1520">
        <v>1</v>
      </c>
      <c r="O1212" s="1521">
        <v>2</v>
      </c>
    </row>
    <row r="1213" spans="3:15" ht="13.5">
      <c r="C1213" s="1526" t="s">
        <v>5171</v>
      </c>
      <c r="D1213" s="1523">
        <v>0</v>
      </c>
      <c r="E1213" s="1523">
        <v>0</v>
      </c>
      <c r="F1213" s="1524">
        <v>0</v>
      </c>
      <c r="G1213" s="1537" t="s">
        <v>5171</v>
      </c>
      <c r="H1213" s="1521">
        <v>0</v>
      </c>
      <c r="I1213" s="1521">
        <v>0</v>
      </c>
      <c r="J1213" s="1538">
        <v>0</v>
      </c>
      <c r="K1213" s="1525"/>
      <c r="L1213" s="1519">
        <v>13115001800</v>
      </c>
      <c r="M1213" s="1520">
        <v>0</v>
      </c>
      <c r="N1213" s="1520">
        <v>0</v>
      </c>
      <c r="O1213" s="1521">
        <v>0</v>
      </c>
    </row>
    <row r="1214" spans="3:15" ht="13.5">
      <c r="C1214" s="1526" t="s">
        <v>5172</v>
      </c>
      <c r="D1214" s="1523">
        <v>0</v>
      </c>
      <c r="E1214" s="1523">
        <v>0</v>
      </c>
      <c r="F1214" s="1524">
        <v>0</v>
      </c>
      <c r="G1214" s="1537" t="s">
        <v>5172</v>
      </c>
      <c r="H1214" s="1521">
        <v>0</v>
      </c>
      <c r="I1214" s="1521">
        <v>0</v>
      </c>
      <c r="J1214" s="1538">
        <v>0</v>
      </c>
      <c r="K1214" s="1525"/>
      <c r="L1214" s="1519">
        <v>13115002000</v>
      </c>
      <c r="M1214" s="1520">
        <v>0</v>
      </c>
      <c r="N1214" s="1520">
        <v>0</v>
      </c>
      <c r="O1214" s="1521">
        <v>0</v>
      </c>
    </row>
    <row r="1215" spans="3:15" ht="13.5">
      <c r="C1215" s="1526" t="s">
        <v>5173</v>
      </c>
      <c r="D1215" s="1523">
        <v>0</v>
      </c>
      <c r="E1215" s="1523">
        <v>0</v>
      </c>
      <c r="F1215" s="1524">
        <v>0</v>
      </c>
      <c r="G1215" s="1537" t="s">
        <v>5173</v>
      </c>
      <c r="H1215" s="1521">
        <v>0</v>
      </c>
      <c r="I1215" s="1521">
        <v>0</v>
      </c>
      <c r="J1215" s="1538">
        <v>0</v>
      </c>
      <c r="K1215" s="1525"/>
      <c r="L1215" s="1519">
        <v>13115002100</v>
      </c>
      <c r="M1215" s="1520">
        <v>0</v>
      </c>
      <c r="N1215" s="1520">
        <v>0</v>
      </c>
      <c r="O1215" s="1521">
        <v>0</v>
      </c>
    </row>
    <row r="1216" spans="3:15" ht="13.5">
      <c r="C1216" s="1526" t="s">
        <v>5174</v>
      </c>
      <c r="D1216" s="1523">
        <v>1</v>
      </c>
      <c r="E1216" s="1523">
        <v>1</v>
      </c>
      <c r="F1216" s="1524">
        <v>2</v>
      </c>
      <c r="G1216" s="1537" t="s">
        <v>5174</v>
      </c>
      <c r="H1216" s="1521">
        <v>1</v>
      </c>
      <c r="I1216" s="1521">
        <v>1</v>
      </c>
      <c r="J1216" s="1538">
        <v>2</v>
      </c>
      <c r="K1216" s="1525"/>
      <c r="L1216" s="1519">
        <v>13117130101</v>
      </c>
      <c r="M1216" s="1520">
        <v>1</v>
      </c>
      <c r="N1216" s="1520">
        <v>1</v>
      </c>
      <c r="O1216" s="1521">
        <v>2</v>
      </c>
    </row>
    <row r="1217" spans="3:15" ht="13.5">
      <c r="C1217" s="1526" t="s">
        <v>5175</v>
      </c>
      <c r="D1217" s="1523">
        <v>1</v>
      </c>
      <c r="E1217" s="1523">
        <v>1</v>
      </c>
      <c r="F1217" s="1524">
        <v>2</v>
      </c>
      <c r="G1217" s="1537" t="s">
        <v>5175</v>
      </c>
      <c r="H1217" s="1521">
        <v>1</v>
      </c>
      <c r="I1217" s="1521">
        <v>1</v>
      </c>
      <c r="J1217" s="1538">
        <v>2</v>
      </c>
      <c r="K1217" s="1525"/>
      <c r="L1217" s="1519">
        <v>13117130102</v>
      </c>
      <c r="M1217" s="1520">
        <v>1</v>
      </c>
      <c r="N1217" s="1520">
        <v>1</v>
      </c>
      <c r="O1217" s="1521">
        <v>2</v>
      </c>
    </row>
    <row r="1218" spans="3:15" ht="13.5">
      <c r="C1218" s="1526" t="s">
        <v>5176</v>
      </c>
      <c r="D1218" s="1523">
        <v>1</v>
      </c>
      <c r="E1218" s="1523">
        <v>1</v>
      </c>
      <c r="F1218" s="1524">
        <v>2</v>
      </c>
      <c r="G1218" s="1537" t="s">
        <v>5176</v>
      </c>
      <c r="H1218" s="1521">
        <v>1</v>
      </c>
      <c r="I1218" s="1521">
        <v>0</v>
      </c>
      <c r="J1218" s="1538">
        <v>1</v>
      </c>
      <c r="K1218" s="1525"/>
      <c r="L1218" s="1519">
        <v>13117130103</v>
      </c>
      <c r="M1218" s="1520">
        <v>1</v>
      </c>
      <c r="N1218" s="1520">
        <v>1</v>
      </c>
      <c r="O1218" s="1521">
        <v>2</v>
      </c>
    </row>
    <row r="1219" spans="3:15" ht="13.5">
      <c r="C1219" s="1526" t="s">
        <v>5177</v>
      </c>
      <c r="D1219" s="1523">
        <v>1</v>
      </c>
      <c r="E1219" s="1523">
        <v>1</v>
      </c>
      <c r="F1219" s="1524">
        <v>2</v>
      </c>
      <c r="G1219" s="1537" t="s">
        <v>5177</v>
      </c>
      <c r="H1219" s="1521">
        <v>1</v>
      </c>
      <c r="I1219" s="1521">
        <v>1</v>
      </c>
      <c r="J1219" s="1538">
        <v>2</v>
      </c>
      <c r="K1219" s="1525"/>
      <c r="L1219" s="1519">
        <v>13117130104</v>
      </c>
      <c r="M1219" s="1520">
        <v>1</v>
      </c>
      <c r="N1219" s="1520">
        <v>1</v>
      </c>
      <c r="O1219" s="1521">
        <v>2</v>
      </c>
    </row>
    <row r="1220" spans="3:15" ht="13.5">
      <c r="C1220" s="1526" t="s">
        <v>5178</v>
      </c>
      <c r="D1220" s="1523">
        <v>0</v>
      </c>
      <c r="E1220" s="1523">
        <v>0</v>
      </c>
      <c r="F1220" s="1524">
        <v>0</v>
      </c>
      <c r="G1220" s="1537" t="s">
        <v>5178</v>
      </c>
      <c r="H1220" s="1521">
        <v>0</v>
      </c>
      <c r="I1220" s="1521">
        <v>1</v>
      </c>
      <c r="J1220" s="1538">
        <v>1</v>
      </c>
      <c r="K1220" s="1525"/>
      <c r="L1220" s="1519">
        <v>13117130105</v>
      </c>
      <c r="M1220" s="1520">
        <v>0</v>
      </c>
      <c r="N1220" s="1520">
        <v>1</v>
      </c>
      <c r="O1220" s="1521">
        <v>1</v>
      </c>
    </row>
    <row r="1221" spans="3:15" ht="13.5">
      <c r="C1221" s="1526" t="s">
        <v>5179</v>
      </c>
      <c r="D1221" s="1523">
        <v>1</v>
      </c>
      <c r="E1221" s="1523">
        <v>1</v>
      </c>
      <c r="F1221" s="1524">
        <v>2</v>
      </c>
      <c r="G1221" s="1537" t="s">
        <v>5179</v>
      </c>
      <c r="H1221" s="1521">
        <v>1</v>
      </c>
      <c r="I1221" s="1521">
        <v>1</v>
      </c>
      <c r="J1221" s="1538">
        <v>2</v>
      </c>
      <c r="K1221" s="1525"/>
      <c r="L1221" s="1519">
        <v>13117130201</v>
      </c>
      <c r="M1221" s="1520">
        <v>1</v>
      </c>
      <c r="N1221" s="1520">
        <v>1</v>
      </c>
      <c r="O1221" s="1521">
        <v>2</v>
      </c>
    </row>
    <row r="1222" spans="3:15" ht="13.5">
      <c r="C1222" s="1526" t="s">
        <v>5180</v>
      </c>
      <c r="D1222" s="1523">
        <v>1</v>
      </c>
      <c r="E1222" s="1523">
        <v>1</v>
      </c>
      <c r="F1222" s="1524">
        <v>2</v>
      </c>
      <c r="G1222" s="1537" t="s">
        <v>5180</v>
      </c>
      <c r="H1222" s="1521">
        <v>1</v>
      </c>
      <c r="I1222" s="1521" t="s">
        <v>4096</v>
      </c>
      <c r="J1222" s="1538">
        <v>1</v>
      </c>
      <c r="K1222" s="1525"/>
      <c r="L1222" s="1519">
        <v>13117130202</v>
      </c>
      <c r="M1222" s="1520">
        <v>1</v>
      </c>
      <c r="N1222" s="1520">
        <v>1</v>
      </c>
      <c r="O1222" s="1521">
        <v>2</v>
      </c>
    </row>
    <row r="1223" spans="3:15" ht="13.5">
      <c r="C1223" s="1526" t="s">
        <v>5181</v>
      </c>
      <c r="D1223" s="1523">
        <v>1</v>
      </c>
      <c r="E1223" s="1523">
        <v>1</v>
      </c>
      <c r="F1223" s="1524">
        <v>2</v>
      </c>
      <c r="G1223" s="1537" t="s">
        <v>5181</v>
      </c>
      <c r="H1223" s="1521">
        <v>1</v>
      </c>
      <c r="I1223" s="1521">
        <v>1</v>
      </c>
      <c r="J1223" s="1538">
        <v>2</v>
      </c>
      <c r="K1223" s="1525"/>
      <c r="L1223" s="1519">
        <v>13117130203</v>
      </c>
      <c r="M1223" s="1520">
        <v>1</v>
      </c>
      <c r="N1223" s="1520">
        <v>1</v>
      </c>
      <c r="O1223" s="1521">
        <v>2</v>
      </c>
    </row>
    <row r="1224" spans="3:15" ht="13.5">
      <c r="C1224" s="1526" t="s">
        <v>5182</v>
      </c>
      <c r="D1224" s="1523">
        <v>1</v>
      </c>
      <c r="E1224" s="1523">
        <v>0</v>
      </c>
      <c r="F1224" s="1524">
        <v>1</v>
      </c>
      <c r="G1224" s="1537" t="s">
        <v>5182</v>
      </c>
      <c r="H1224" s="1521">
        <v>1</v>
      </c>
      <c r="I1224" s="1521">
        <v>0</v>
      </c>
      <c r="J1224" s="1538">
        <v>1</v>
      </c>
      <c r="K1224" s="1525"/>
      <c r="L1224" s="1519">
        <v>13117130204</v>
      </c>
      <c r="M1224" s="1520">
        <v>1</v>
      </c>
      <c r="N1224" s="1520">
        <v>0</v>
      </c>
      <c r="O1224" s="1521">
        <v>1</v>
      </c>
    </row>
    <row r="1225" spans="3:15" ht="13.5">
      <c r="C1225" s="1526" t="s">
        <v>5183</v>
      </c>
      <c r="D1225" s="1523">
        <v>1</v>
      </c>
      <c r="E1225" s="1523">
        <v>1</v>
      </c>
      <c r="F1225" s="1524">
        <v>2</v>
      </c>
      <c r="G1225" s="1537" t="s">
        <v>5183</v>
      </c>
      <c r="H1225" s="1521">
        <v>1</v>
      </c>
      <c r="I1225" s="1521" t="s">
        <v>4096</v>
      </c>
      <c r="J1225" s="1538">
        <v>1</v>
      </c>
      <c r="K1225" s="1525"/>
      <c r="L1225" s="1519">
        <v>13117130205</v>
      </c>
      <c r="M1225" s="1520">
        <v>1</v>
      </c>
      <c r="N1225" s="1520">
        <v>1</v>
      </c>
      <c r="O1225" s="1521">
        <v>2</v>
      </c>
    </row>
    <row r="1226" spans="3:15" ht="13.5">
      <c r="C1226" s="1526" t="s">
        <v>5184</v>
      </c>
      <c r="D1226" s="1523">
        <v>1</v>
      </c>
      <c r="E1226" s="1523">
        <v>1</v>
      </c>
      <c r="F1226" s="1524">
        <v>2</v>
      </c>
      <c r="G1226" s="1537" t="s">
        <v>5184</v>
      </c>
      <c r="H1226" s="1521">
        <v>1</v>
      </c>
      <c r="I1226" s="1521">
        <v>1</v>
      </c>
      <c r="J1226" s="1538">
        <v>2</v>
      </c>
      <c r="K1226" s="1525"/>
      <c r="L1226" s="1519">
        <v>13117130301</v>
      </c>
      <c r="M1226" s="1520">
        <v>1</v>
      </c>
      <c r="N1226" s="1520">
        <v>1</v>
      </c>
      <c r="O1226" s="1521">
        <v>2</v>
      </c>
    </row>
    <row r="1227" spans="3:15" ht="13.5">
      <c r="C1227" s="1526" t="s">
        <v>5185</v>
      </c>
      <c r="D1227" s="1523">
        <v>1</v>
      </c>
      <c r="E1227" s="1523">
        <v>1</v>
      </c>
      <c r="F1227" s="1524">
        <v>2</v>
      </c>
      <c r="G1227" s="1537" t="s">
        <v>5185</v>
      </c>
      <c r="H1227" s="1521">
        <v>1</v>
      </c>
      <c r="I1227" s="1521">
        <v>1</v>
      </c>
      <c r="J1227" s="1538">
        <v>2</v>
      </c>
      <c r="K1227" s="1525"/>
      <c r="L1227" s="1519">
        <v>13117130302</v>
      </c>
      <c r="M1227" s="1520">
        <v>1</v>
      </c>
      <c r="N1227" s="1520">
        <v>1</v>
      </c>
      <c r="O1227" s="1521">
        <v>2</v>
      </c>
    </row>
    <row r="1228" spans="3:15" ht="13.5">
      <c r="C1228" s="1526" t="s">
        <v>5186</v>
      </c>
      <c r="D1228" s="1523">
        <v>1</v>
      </c>
      <c r="E1228" s="1523">
        <v>1</v>
      </c>
      <c r="F1228" s="1524">
        <v>2</v>
      </c>
      <c r="G1228" s="1537" t="s">
        <v>5186</v>
      </c>
      <c r="H1228" s="1521">
        <v>1</v>
      </c>
      <c r="I1228" s="1521">
        <v>1</v>
      </c>
      <c r="J1228" s="1538">
        <v>2</v>
      </c>
      <c r="K1228" s="1525"/>
      <c r="L1228" s="1519">
        <v>13117130303</v>
      </c>
      <c r="M1228" s="1520">
        <v>1</v>
      </c>
      <c r="N1228" s="1520">
        <v>1</v>
      </c>
      <c r="O1228" s="1521">
        <v>2</v>
      </c>
    </row>
    <row r="1229" spans="3:15" ht="13.5">
      <c r="C1229" s="1526" t="s">
        <v>5187</v>
      </c>
      <c r="D1229" s="1523">
        <v>1</v>
      </c>
      <c r="E1229" s="1523">
        <v>1</v>
      </c>
      <c r="F1229" s="1524">
        <v>2</v>
      </c>
      <c r="G1229" s="1537" t="s">
        <v>5187</v>
      </c>
      <c r="H1229" s="1521">
        <v>1</v>
      </c>
      <c r="I1229" s="1521">
        <v>1</v>
      </c>
      <c r="J1229" s="1538">
        <v>2</v>
      </c>
      <c r="K1229" s="1525"/>
      <c r="L1229" s="1519">
        <v>13117130304</v>
      </c>
      <c r="M1229" s="1520">
        <v>1</v>
      </c>
      <c r="N1229" s="1520">
        <v>1</v>
      </c>
      <c r="O1229" s="1521">
        <v>2</v>
      </c>
    </row>
    <row r="1230" spans="3:15" ht="13.5">
      <c r="C1230" s="1526" t="s">
        <v>5188</v>
      </c>
      <c r="D1230" s="1523">
        <v>1</v>
      </c>
      <c r="E1230" s="1523">
        <v>1</v>
      </c>
      <c r="F1230" s="1524">
        <v>2</v>
      </c>
      <c r="G1230" s="1537" t="s">
        <v>5188</v>
      </c>
      <c r="H1230" s="1521">
        <v>1</v>
      </c>
      <c r="I1230" s="1521">
        <v>1</v>
      </c>
      <c r="J1230" s="1538">
        <v>2</v>
      </c>
      <c r="K1230" s="1525"/>
      <c r="L1230" s="1519">
        <v>13117130305</v>
      </c>
      <c r="M1230" s="1520">
        <v>1</v>
      </c>
      <c r="N1230" s="1520">
        <v>1</v>
      </c>
      <c r="O1230" s="1521">
        <v>2</v>
      </c>
    </row>
    <row r="1231" spans="3:15" ht="13.5">
      <c r="C1231" s="1526" t="s">
        <v>5189</v>
      </c>
      <c r="D1231" s="1523">
        <v>1</v>
      </c>
      <c r="E1231" s="1523">
        <v>1</v>
      </c>
      <c r="F1231" s="1524">
        <v>2</v>
      </c>
      <c r="G1231" s="1537" t="s">
        <v>5189</v>
      </c>
      <c r="H1231" s="1521">
        <v>1</v>
      </c>
      <c r="I1231" s="1521">
        <v>1</v>
      </c>
      <c r="J1231" s="1538">
        <v>2</v>
      </c>
      <c r="K1231" s="1525"/>
      <c r="L1231" s="1519">
        <v>13117130306</v>
      </c>
      <c r="M1231" s="1520">
        <v>1</v>
      </c>
      <c r="N1231" s="1520">
        <v>1</v>
      </c>
      <c r="O1231" s="1521">
        <v>2</v>
      </c>
    </row>
    <row r="1232" spans="3:15" ht="13.5">
      <c r="C1232" s="1526" t="s">
        <v>5190</v>
      </c>
      <c r="D1232" s="1523">
        <v>1</v>
      </c>
      <c r="E1232" s="1523">
        <v>1</v>
      </c>
      <c r="F1232" s="1524">
        <v>2</v>
      </c>
      <c r="G1232" s="1537" t="s">
        <v>5190</v>
      </c>
      <c r="H1232" s="1521">
        <v>1</v>
      </c>
      <c r="I1232" s="1521">
        <v>1</v>
      </c>
      <c r="J1232" s="1538">
        <v>2</v>
      </c>
      <c r="K1232" s="1525"/>
      <c r="L1232" s="1519">
        <v>13117130307</v>
      </c>
      <c r="M1232" s="1520">
        <v>1</v>
      </c>
      <c r="N1232" s="1520">
        <v>1</v>
      </c>
      <c r="O1232" s="1521">
        <v>2</v>
      </c>
    </row>
    <row r="1233" spans="3:15" ht="13.5">
      <c r="C1233" s="1526" t="s">
        <v>5191</v>
      </c>
      <c r="D1233" s="1523">
        <v>1</v>
      </c>
      <c r="E1233" s="1523">
        <v>1</v>
      </c>
      <c r="F1233" s="1524">
        <v>2</v>
      </c>
      <c r="G1233" s="1537" t="s">
        <v>5191</v>
      </c>
      <c r="H1233" s="1521">
        <v>1</v>
      </c>
      <c r="I1233" s="1521">
        <v>1</v>
      </c>
      <c r="J1233" s="1538">
        <v>2</v>
      </c>
      <c r="K1233" s="1525"/>
      <c r="L1233" s="1519">
        <v>13117130403</v>
      </c>
      <c r="M1233" s="1520">
        <v>1</v>
      </c>
      <c r="N1233" s="1520">
        <v>1</v>
      </c>
      <c r="O1233" s="1521">
        <v>2</v>
      </c>
    </row>
    <row r="1234" spans="3:15" ht="13.5">
      <c r="C1234" s="1526" t="s">
        <v>5192</v>
      </c>
      <c r="D1234" s="1523">
        <v>1</v>
      </c>
      <c r="E1234" s="1523">
        <v>1</v>
      </c>
      <c r="F1234" s="1524">
        <v>2</v>
      </c>
      <c r="G1234" s="1537" t="s">
        <v>5192</v>
      </c>
      <c r="H1234" s="1521">
        <v>1</v>
      </c>
      <c r="I1234" s="1521">
        <v>1</v>
      </c>
      <c r="J1234" s="1538">
        <v>2</v>
      </c>
      <c r="K1234" s="1525"/>
      <c r="L1234" s="1519">
        <v>13117130404</v>
      </c>
      <c r="M1234" s="1520">
        <v>1</v>
      </c>
      <c r="N1234" s="1520">
        <v>1</v>
      </c>
      <c r="O1234" s="1521">
        <v>2</v>
      </c>
    </row>
    <row r="1235" spans="3:15" ht="13.5">
      <c r="C1235" s="1526" t="s">
        <v>5193</v>
      </c>
      <c r="D1235" s="1523">
        <v>1</v>
      </c>
      <c r="E1235" s="1523">
        <v>1</v>
      </c>
      <c r="F1235" s="1524">
        <v>2</v>
      </c>
      <c r="G1235" s="1537" t="s">
        <v>5193</v>
      </c>
      <c r="H1235" s="1521">
        <v>1</v>
      </c>
      <c r="I1235" s="1521">
        <v>1</v>
      </c>
      <c r="J1235" s="1538">
        <v>2</v>
      </c>
      <c r="K1235" s="1525"/>
      <c r="L1235" s="1519">
        <v>13117130405</v>
      </c>
      <c r="M1235" s="1520">
        <v>1</v>
      </c>
      <c r="N1235" s="1520">
        <v>1</v>
      </c>
      <c r="O1235" s="1521">
        <v>2</v>
      </c>
    </row>
    <row r="1236" spans="3:15" ht="13.5">
      <c r="C1236" s="1526" t="s">
        <v>5194</v>
      </c>
      <c r="D1236" s="1523">
        <v>1</v>
      </c>
      <c r="E1236" s="1523">
        <v>0</v>
      </c>
      <c r="F1236" s="1524">
        <v>1</v>
      </c>
      <c r="G1236" s="1537" t="s">
        <v>5194</v>
      </c>
      <c r="H1236" s="1521">
        <v>1</v>
      </c>
      <c r="I1236" s="1521">
        <v>0</v>
      </c>
      <c r="J1236" s="1538">
        <v>1</v>
      </c>
      <c r="K1236" s="1525"/>
      <c r="L1236" s="1519">
        <v>13117130406</v>
      </c>
      <c r="M1236" s="1520">
        <v>1</v>
      </c>
      <c r="N1236" s="1520">
        <v>0</v>
      </c>
      <c r="O1236" s="1521">
        <v>1</v>
      </c>
    </row>
    <row r="1237" spans="3:15" ht="13.5">
      <c r="C1237" s="1526" t="s">
        <v>5195</v>
      </c>
      <c r="D1237" s="1523">
        <v>1</v>
      </c>
      <c r="E1237" s="1523">
        <v>0</v>
      </c>
      <c r="F1237" s="1524">
        <v>1</v>
      </c>
      <c r="G1237" s="1537" t="s">
        <v>5195</v>
      </c>
      <c r="H1237" s="1521">
        <v>0</v>
      </c>
      <c r="I1237" s="1521">
        <v>0</v>
      </c>
      <c r="J1237" s="1538">
        <v>0</v>
      </c>
      <c r="K1237" s="1525"/>
      <c r="L1237" s="1519">
        <v>13117130408</v>
      </c>
      <c r="M1237" s="1520">
        <v>1</v>
      </c>
      <c r="N1237" s="1520">
        <v>0</v>
      </c>
      <c r="O1237" s="1521">
        <v>1</v>
      </c>
    </row>
    <row r="1238" spans="3:15" ht="13.5">
      <c r="C1238" s="1526" t="s">
        <v>5196</v>
      </c>
      <c r="D1238" s="1523">
        <v>1</v>
      </c>
      <c r="E1238" s="1523">
        <v>1</v>
      </c>
      <c r="F1238" s="1524">
        <v>2</v>
      </c>
      <c r="G1238" s="1537" t="s">
        <v>5196</v>
      </c>
      <c r="H1238" s="1521">
        <v>1</v>
      </c>
      <c r="I1238" s="1521">
        <v>0</v>
      </c>
      <c r="J1238" s="1538">
        <v>1</v>
      </c>
      <c r="K1238" s="1525"/>
      <c r="L1238" s="1519">
        <v>13117130409</v>
      </c>
      <c r="M1238" s="1520">
        <v>1</v>
      </c>
      <c r="N1238" s="1520">
        <v>1</v>
      </c>
      <c r="O1238" s="1521">
        <v>2</v>
      </c>
    </row>
    <row r="1239" spans="3:15" ht="13.5">
      <c r="C1239" s="1526" t="s">
        <v>5197</v>
      </c>
      <c r="D1239" s="1523">
        <v>1</v>
      </c>
      <c r="E1239" s="1523">
        <v>1</v>
      </c>
      <c r="F1239" s="1524">
        <v>2</v>
      </c>
      <c r="G1239" s="1537" t="s">
        <v>5197</v>
      </c>
      <c r="H1239" s="1521">
        <v>1</v>
      </c>
      <c r="I1239" s="1521">
        <v>1</v>
      </c>
      <c r="J1239" s="1538">
        <v>1</v>
      </c>
      <c r="K1239" s="1525"/>
      <c r="L1239" s="1519">
        <v>13117130410</v>
      </c>
      <c r="M1239" s="1520">
        <v>1</v>
      </c>
      <c r="N1239" s="1520">
        <v>1</v>
      </c>
      <c r="O1239" s="1521">
        <v>2</v>
      </c>
    </row>
    <row r="1240" spans="3:15" ht="13.5">
      <c r="C1240" s="1526" t="s">
        <v>5198</v>
      </c>
      <c r="D1240" s="1523">
        <v>1</v>
      </c>
      <c r="E1240" s="1523">
        <v>1</v>
      </c>
      <c r="F1240" s="1524">
        <v>2</v>
      </c>
      <c r="G1240" s="1537" t="s">
        <v>5198</v>
      </c>
      <c r="H1240" s="1521">
        <v>1</v>
      </c>
      <c r="I1240" s="1521">
        <v>0</v>
      </c>
      <c r="J1240" s="1538">
        <v>1</v>
      </c>
      <c r="K1240" s="1525"/>
      <c r="L1240" s="1519">
        <v>13117130503</v>
      </c>
      <c r="M1240" s="1520">
        <v>1</v>
      </c>
      <c r="N1240" s="1520">
        <v>1</v>
      </c>
      <c r="O1240" s="1521">
        <v>2</v>
      </c>
    </row>
    <row r="1241" spans="3:15" ht="13.5">
      <c r="C1241" s="1526" t="s">
        <v>5199</v>
      </c>
      <c r="D1241" s="1523">
        <v>1</v>
      </c>
      <c r="E1241" s="1523">
        <v>1</v>
      </c>
      <c r="F1241" s="1524">
        <v>2</v>
      </c>
      <c r="G1241" s="1537" t="s">
        <v>5199</v>
      </c>
      <c r="H1241" s="1521">
        <v>1</v>
      </c>
      <c r="I1241" s="1521">
        <v>0</v>
      </c>
      <c r="J1241" s="1538">
        <v>1</v>
      </c>
      <c r="K1241" s="1525"/>
      <c r="L1241" s="1519">
        <v>13117130504</v>
      </c>
      <c r="M1241" s="1520">
        <v>1</v>
      </c>
      <c r="N1241" s="1520">
        <v>1</v>
      </c>
      <c r="O1241" s="1521">
        <v>2</v>
      </c>
    </row>
    <row r="1242" spans="3:15" ht="13.5">
      <c r="C1242" s="1526" t="s">
        <v>5200</v>
      </c>
      <c r="D1242" s="1523">
        <v>1</v>
      </c>
      <c r="E1242" s="1523">
        <v>1</v>
      </c>
      <c r="F1242" s="1524">
        <v>2</v>
      </c>
      <c r="G1242" s="1537" t="s">
        <v>5200</v>
      </c>
      <c r="H1242" s="1521">
        <v>1</v>
      </c>
      <c r="I1242" s="1521" t="s">
        <v>4096</v>
      </c>
      <c r="J1242" s="1538">
        <v>1</v>
      </c>
      <c r="K1242" s="1525"/>
      <c r="L1242" s="1519">
        <v>13117130505</v>
      </c>
      <c r="M1242" s="1520">
        <v>1</v>
      </c>
      <c r="N1242" s="1520">
        <v>1</v>
      </c>
      <c r="O1242" s="1521">
        <v>2</v>
      </c>
    </row>
    <row r="1243" spans="3:15" ht="13.5">
      <c r="C1243" s="1526" t="s">
        <v>5201</v>
      </c>
      <c r="D1243" s="1523">
        <v>1</v>
      </c>
      <c r="E1243" s="1523">
        <v>1</v>
      </c>
      <c r="F1243" s="1524">
        <v>2</v>
      </c>
      <c r="G1243" s="1537" t="s">
        <v>5201</v>
      </c>
      <c r="H1243" s="1521">
        <v>1</v>
      </c>
      <c r="I1243" s="1521">
        <v>1</v>
      </c>
      <c r="J1243" s="1538">
        <v>2</v>
      </c>
      <c r="K1243" s="1525"/>
      <c r="L1243" s="1519">
        <v>13117130506</v>
      </c>
      <c r="M1243" s="1520">
        <v>1</v>
      </c>
      <c r="N1243" s="1520">
        <v>1</v>
      </c>
      <c r="O1243" s="1521">
        <v>2</v>
      </c>
    </row>
    <row r="1244" spans="3:15" ht="13.5">
      <c r="C1244" s="1526" t="s">
        <v>5202</v>
      </c>
      <c r="D1244" s="1523">
        <v>1</v>
      </c>
      <c r="E1244" s="1523">
        <v>1</v>
      </c>
      <c r="F1244" s="1524">
        <v>2</v>
      </c>
      <c r="G1244" s="1537" t="s">
        <v>5202</v>
      </c>
      <c r="H1244" s="1521">
        <v>1</v>
      </c>
      <c r="I1244" s="1521">
        <v>1</v>
      </c>
      <c r="J1244" s="1538">
        <v>2</v>
      </c>
      <c r="K1244" s="1525"/>
      <c r="L1244" s="1519">
        <v>13117130507</v>
      </c>
      <c r="M1244" s="1520">
        <v>1</v>
      </c>
      <c r="N1244" s="1520">
        <v>1</v>
      </c>
      <c r="O1244" s="1521">
        <v>2</v>
      </c>
    </row>
    <row r="1245" spans="3:15" ht="13.5">
      <c r="C1245" s="1526" t="s">
        <v>5203</v>
      </c>
      <c r="D1245" s="1523">
        <v>1</v>
      </c>
      <c r="E1245" s="1523">
        <v>1</v>
      </c>
      <c r="F1245" s="1524">
        <v>2</v>
      </c>
      <c r="G1245" s="1537" t="s">
        <v>5203</v>
      </c>
      <c r="H1245" s="1521">
        <v>1</v>
      </c>
      <c r="I1245" s="1521">
        <v>1</v>
      </c>
      <c r="J1245" s="1538">
        <v>2</v>
      </c>
      <c r="K1245" s="1525"/>
      <c r="L1245" s="1519">
        <v>13117130508</v>
      </c>
      <c r="M1245" s="1520">
        <v>1</v>
      </c>
      <c r="N1245" s="1520">
        <v>1</v>
      </c>
      <c r="O1245" s="1521">
        <v>2</v>
      </c>
    </row>
    <row r="1246" spans="3:15" ht="13.5">
      <c r="C1246" s="1526" t="s">
        <v>5204</v>
      </c>
      <c r="D1246" s="1523">
        <v>1</v>
      </c>
      <c r="E1246" s="1523">
        <v>1</v>
      </c>
      <c r="F1246" s="1524">
        <v>2</v>
      </c>
      <c r="G1246" s="1537" t="s">
        <v>5204</v>
      </c>
      <c r="H1246" s="1521">
        <v>1</v>
      </c>
      <c r="I1246" s="1521">
        <v>1</v>
      </c>
      <c r="J1246" s="1538">
        <v>2</v>
      </c>
      <c r="K1246" s="1525"/>
      <c r="L1246" s="1519">
        <v>13117130509</v>
      </c>
      <c r="M1246" s="1520">
        <v>1</v>
      </c>
      <c r="N1246" s="1520">
        <v>1</v>
      </c>
      <c r="O1246" s="1521">
        <v>2</v>
      </c>
    </row>
    <row r="1247" spans="3:15" ht="13.5">
      <c r="C1247" s="1526" t="s">
        <v>5205</v>
      </c>
      <c r="D1247" s="1523">
        <v>1</v>
      </c>
      <c r="E1247" s="1523">
        <v>1</v>
      </c>
      <c r="F1247" s="1524">
        <v>2</v>
      </c>
      <c r="G1247" s="1537" t="s">
        <v>5205</v>
      </c>
      <c r="H1247" s="1521">
        <v>1</v>
      </c>
      <c r="I1247" s="1521">
        <v>1</v>
      </c>
      <c r="J1247" s="1538">
        <v>2</v>
      </c>
      <c r="K1247" s="1525"/>
      <c r="L1247" s="1519">
        <v>13117130510</v>
      </c>
      <c r="M1247" s="1520">
        <v>1</v>
      </c>
      <c r="N1247" s="1520">
        <v>1</v>
      </c>
      <c r="O1247" s="1521">
        <v>2</v>
      </c>
    </row>
    <row r="1248" spans="3:15" ht="13.5">
      <c r="C1248" s="1526" t="s">
        <v>5206</v>
      </c>
      <c r="D1248" s="1523">
        <v>1</v>
      </c>
      <c r="E1248" s="1523">
        <v>1</v>
      </c>
      <c r="F1248" s="1524">
        <v>2</v>
      </c>
      <c r="G1248" s="1537" t="s">
        <v>5206</v>
      </c>
      <c r="H1248" s="1521">
        <v>1</v>
      </c>
      <c r="I1248" s="1521">
        <v>1</v>
      </c>
      <c r="J1248" s="1538">
        <v>2</v>
      </c>
      <c r="K1248" s="1525"/>
      <c r="L1248" s="1519">
        <v>13117130601</v>
      </c>
      <c r="M1248" s="1520">
        <v>1</v>
      </c>
      <c r="N1248" s="1520">
        <v>1</v>
      </c>
      <c r="O1248" s="1521">
        <v>2</v>
      </c>
    </row>
    <row r="1249" spans="3:15" ht="13.5">
      <c r="C1249" s="1526" t="s">
        <v>5207</v>
      </c>
      <c r="D1249" s="1523">
        <v>1</v>
      </c>
      <c r="E1249" s="1523">
        <v>1</v>
      </c>
      <c r="F1249" s="1524">
        <v>2</v>
      </c>
      <c r="G1249" s="1537" t="s">
        <v>5207</v>
      </c>
      <c r="H1249" s="1521">
        <v>1</v>
      </c>
      <c r="I1249" s="1521">
        <v>0</v>
      </c>
      <c r="J1249" s="1538">
        <v>1</v>
      </c>
      <c r="K1249" s="1525"/>
      <c r="L1249" s="1519">
        <v>13117130602</v>
      </c>
      <c r="M1249" s="1520">
        <v>1</v>
      </c>
      <c r="N1249" s="1520">
        <v>1</v>
      </c>
      <c r="O1249" s="1521">
        <v>2</v>
      </c>
    </row>
    <row r="1250" spans="3:15" ht="13.5">
      <c r="C1250" s="1526" t="s">
        <v>5208</v>
      </c>
      <c r="D1250" s="1523">
        <v>1</v>
      </c>
      <c r="E1250" s="1523">
        <v>1</v>
      </c>
      <c r="F1250" s="1524">
        <v>2</v>
      </c>
      <c r="G1250" s="1537" t="s">
        <v>5208</v>
      </c>
      <c r="H1250" s="1521">
        <v>1</v>
      </c>
      <c r="I1250" s="1521" t="s">
        <v>4096</v>
      </c>
      <c r="J1250" s="1538">
        <v>1</v>
      </c>
      <c r="K1250" s="1525"/>
      <c r="L1250" s="1519">
        <v>13117130603</v>
      </c>
      <c r="M1250" s="1520">
        <v>1</v>
      </c>
      <c r="N1250" s="1520">
        <v>1</v>
      </c>
      <c r="O1250" s="1521">
        <v>2</v>
      </c>
    </row>
    <row r="1251" spans="3:15" ht="13.5">
      <c r="C1251" s="1526" t="s">
        <v>5209</v>
      </c>
      <c r="D1251" s="1523">
        <v>1</v>
      </c>
      <c r="E1251" s="1523">
        <v>1</v>
      </c>
      <c r="F1251" s="1524">
        <v>2</v>
      </c>
      <c r="G1251" s="1537" t="s">
        <v>5209</v>
      </c>
      <c r="H1251" s="1521">
        <v>1</v>
      </c>
      <c r="I1251" s="1521">
        <v>1</v>
      </c>
      <c r="J1251" s="1538">
        <v>2</v>
      </c>
      <c r="K1251" s="1525"/>
      <c r="L1251" s="1519">
        <v>13117130604</v>
      </c>
      <c r="M1251" s="1520">
        <v>1</v>
      </c>
      <c r="N1251" s="1520">
        <v>1</v>
      </c>
      <c r="O1251" s="1521">
        <v>2</v>
      </c>
    </row>
    <row r="1252" spans="3:15" ht="13.5">
      <c r="C1252" s="1526" t="s">
        <v>5210</v>
      </c>
      <c r="D1252" s="1523">
        <v>1</v>
      </c>
      <c r="E1252" s="1523">
        <v>1</v>
      </c>
      <c r="F1252" s="1524">
        <v>2</v>
      </c>
      <c r="G1252" s="1537" t="s">
        <v>5210</v>
      </c>
      <c r="H1252" s="1521">
        <v>1</v>
      </c>
      <c r="I1252" s="1521">
        <v>1</v>
      </c>
      <c r="J1252" s="1538">
        <v>2</v>
      </c>
      <c r="K1252" s="1525"/>
      <c r="L1252" s="1519">
        <v>13117130605</v>
      </c>
      <c r="M1252" s="1520">
        <v>1</v>
      </c>
      <c r="N1252" s="1520">
        <v>1</v>
      </c>
      <c r="O1252" s="1521">
        <v>2</v>
      </c>
    </row>
    <row r="1253" spans="3:15" ht="13.5">
      <c r="C1253" s="1526" t="s">
        <v>5211</v>
      </c>
      <c r="D1253" s="1523">
        <v>1</v>
      </c>
      <c r="E1253" s="1523">
        <v>1</v>
      </c>
      <c r="F1253" s="1524">
        <v>2</v>
      </c>
      <c r="G1253" s="1537" t="s">
        <v>5211</v>
      </c>
      <c r="H1253" s="1521">
        <v>1</v>
      </c>
      <c r="I1253" s="1521">
        <v>1</v>
      </c>
      <c r="J1253" s="1538">
        <v>2</v>
      </c>
      <c r="K1253" s="1525"/>
      <c r="L1253" s="1519">
        <v>13117130606</v>
      </c>
      <c r="M1253" s="1520">
        <v>1</v>
      </c>
      <c r="N1253" s="1520">
        <v>1</v>
      </c>
      <c r="O1253" s="1521">
        <v>2</v>
      </c>
    </row>
    <row r="1254" spans="3:15" ht="13.5">
      <c r="C1254" s="1526" t="s">
        <v>5212</v>
      </c>
      <c r="D1254" s="1523">
        <v>1</v>
      </c>
      <c r="E1254" s="1523">
        <v>1</v>
      </c>
      <c r="F1254" s="1524">
        <v>2</v>
      </c>
      <c r="G1254" s="1537" t="s">
        <v>5212</v>
      </c>
      <c r="H1254" s="1521">
        <v>1</v>
      </c>
      <c r="I1254" s="1521">
        <v>1</v>
      </c>
      <c r="J1254" s="1538">
        <v>2</v>
      </c>
      <c r="K1254" s="1525"/>
      <c r="L1254" s="1519">
        <v>13117130607</v>
      </c>
      <c r="M1254" s="1520">
        <v>1</v>
      </c>
      <c r="N1254" s="1520">
        <v>1</v>
      </c>
      <c r="O1254" s="1521">
        <v>2</v>
      </c>
    </row>
    <row r="1255" spans="3:15" ht="13.5">
      <c r="C1255" s="1526" t="s">
        <v>5213</v>
      </c>
      <c r="D1255" s="1523">
        <v>1</v>
      </c>
      <c r="E1255" s="1523">
        <v>1</v>
      </c>
      <c r="F1255" s="1524">
        <v>2</v>
      </c>
      <c r="G1255" s="1537" t="s">
        <v>5213</v>
      </c>
      <c r="H1255" s="1521">
        <v>1</v>
      </c>
      <c r="I1255" s="1521">
        <v>1</v>
      </c>
      <c r="J1255" s="1538">
        <v>2</v>
      </c>
      <c r="K1255" s="1525"/>
      <c r="L1255" s="1519">
        <v>13117130608</v>
      </c>
      <c r="M1255" s="1520">
        <v>1</v>
      </c>
      <c r="N1255" s="1520">
        <v>1</v>
      </c>
      <c r="O1255" s="1521">
        <v>2</v>
      </c>
    </row>
    <row r="1256" spans="3:15" ht="13.5">
      <c r="C1256" s="1526" t="s">
        <v>5214</v>
      </c>
      <c r="D1256" s="1523">
        <v>1</v>
      </c>
      <c r="E1256" s="1523">
        <v>1</v>
      </c>
      <c r="F1256" s="1524">
        <v>2</v>
      </c>
      <c r="G1256" s="1537" t="s">
        <v>5214</v>
      </c>
      <c r="H1256" s="1521">
        <v>1</v>
      </c>
      <c r="I1256" s="1521">
        <v>1</v>
      </c>
      <c r="J1256" s="1538">
        <v>2</v>
      </c>
      <c r="K1256" s="1525"/>
      <c r="L1256" s="1519">
        <v>13117130609</v>
      </c>
      <c r="M1256" s="1520">
        <v>1</v>
      </c>
      <c r="N1256" s="1520">
        <v>1</v>
      </c>
      <c r="O1256" s="1521">
        <v>2</v>
      </c>
    </row>
    <row r="1257" spans="3:15" ht="13.5">
      <c r="C1257" s="1526" t="s">
        <v>5215</v>
      </c>
      <c r="D1257" s="1523">
        <v>1</v>
      </c>
      <c r="E1257" s="1523">
        <v>1</v>
      </c>
      <c r="F1257" s="1524">
        <v>2</v>
      </c>
      <c r="G1257" s="1537" t="s">
        <v>5215</v>
      </c>
      <c r="H1257" s="1521">
        <v>1</v>
      </c>
      <c r="I1257" s="1521">
        <v>1</v>
      </c>
      <c r="J1257" s="1538">
        <v>2</v>
      </c>
      <c r="K1257" s="1525"/>
      <c r="L1257" s="1519">
        <v>13117130610</v>
      </c>
      <c r="M1257" s="1520">
        <v>1</v>
      </c>
      <c r="N1257" s="1520">
        <v>1</v>
      </c>
      <c r="O1257" s="1521">
        <v>2</v>
      </c>
    </row>
    <row r="1258" spans="3:15" ht="13.5">
      <c r="C1258" s="1526" t="s">
        <v>5216</v>
      </c>
      <c r="D1258" s="1523">
        <v>1</v>
      </c>
      <c r="E1258" s="1523">
        <v>1</v>
      </c>
      <c r="F1258" s="1524">
        <v>2</v>
      </c>
      <c r="G1258" s="1537" t="s">
        <v>5216</v>
      </c>
      <c r="H1258" s="1521">
        <v>1</v>
      </c>
      <c r="I1258" s="1521">
        <v>1</v>
      </c>
      <c r="J1258" s="1538">
        <v>2</v>
      </c>
      <c r="K1258" s="1525"/>
      <c r="L1258" s="1519">
        <v>13117130611</v>
      </c>
      <c r="M1258" s="1520">
        <v>1</v>
      </c>
      <c r="N1258" s="1520">
        <v>1</v>
      </c>
      <c r="O1258" s="1521">
        <v>2</v>
      </c>
    </row>
    <row r="1259" spans="3:15" ht="13.5">
      <c r="C1259" s="1526" t="s">
        <v>5217</v>
      </c>
      <c r="D1259" s="1523">
        <v>1</v>
      </c>
      <c r="E1259" s="1523">
        <v>1</v>
      </c>
      <c r="F1259" s="1524">
        <v>2</v>
      </c>
      <c r="G1259" s="1537" t="s">
        <v>5217</v>
      </c>
      <c r="H1259" s="1521">
        <v>1</v>
      </c>
      <c r="I1259" s="1521">
        <v>1</v>
      </c>
      <c r="J1259" s="1538">
        <v>2</v>
      </c>
      <c r="K1259" s="1525"/>
      <c r="L1259" s="1519">
        <v>13117130612</v>
      </c>
      <c r="M1259" s="1520">
        <v>1</v>
      </c>
      <c r="N1259" s="1520">
        <v>1</v>
      </c>
      <c r="O1259" s="1521">
        <v>2</v>
      </c>
    </row>
    <row r="1260" spans="3:15" ht="13.5">
      <c r="C1260" s="1526" t="s">
        <v>5218</v>
      </c>
      <c r="D1260" s="1523">
        <v>1</v>
      </c>
      <c r="E1260" s="1523">
        <v>1</v>
      </c>
      <c r="F1260" s="1524">
        <v>2</v>
      </c>
      <c r="G1260" s="1537" t="s">
        <v>5218</v>
      </c>
      <c r="H1260" s="1521">
        <v>1</v>
      </c>
      <c r="I1260" s="1521" t="s">
        <v>4096</v>
      </c>
      <c r="J1260" s="1538">
        <v>1</v>
      </c>
      <c r="K1260" s="1525"/>
      <c r="L1260" s="1519">
        <v>13117130613</v>
      </c>
      <c r="M1260" s="1520">
        <v>1</v>
      </c>
      <c r="N1260" s="1520">
        <v>1</v>
      </c>
      <c r="O1260" s="1521">
        <v>2</v>
      </c>
    </row>
    <row r="1261" spans="3:15" ht="13.5">
      <c r="C1261" s="1526" t="s">
        <v>5219</v>
      </c>
      <c r="D1261" s="1523">
        <v>0</v>
      </c>
      <c r="E1261" s="1523">
        <v>0</v>
      </c>
      <c r="F1261" s="1524">
        <v>0</v>
      </c>
      <c r="G1261" s="1537" t="s">
        <v>5219</v>
      </c>
      <c r="H1261" s="1521">
        <v>0</v>
      </c>
      <c r="I1261" s="1521">
        <v>0</v>
      </c>
      <c r="J1261" s="1538">
        <v>0</v>
      </c>
      <c r="K1261" s="1525"/>
      <c r="L1261" s="1519">
        <v>13119890101</v>
      </c>
      <c r="M1261" s="1520">
        <v>0</v>
      </c>
      <c r="N1261" s="1520">
        <v>0</v>
      </c>
      <c r="O1261" s="1521">
        <v>0</v>
      </c>
    </row>
    <row r="1262" spans="3:15" ht="13.5">
      <c r="C1262" s="1526" t="s">
        <v>5220</v>
      </c>
      <c r="D1262" s="1523">
        <v>0</v>
      </c>
      <c r="E1262" s="1523">
        <v>1</v>
      </c>
      <c r="F1262" s="1524">
        <v>1</v>
      </c>
      <c r="G1262" s="1537" t="s">
        <v>5220</v>
      </c>
      <c r="H1262" s="1521">
        <v>0</v>
      </c>
      <c r="I1262" s="1521">
        <v>0</v>
      </c>
      <c r="J1262" s="1538">
        <v>0</v>
      </c>
      <c r="K1262" s="1525"/>
      <c r="L1262" s="1519">
        <v>13119890102</v>
      </c>
      <c r="M1262" s="1520">
        <v>0</v>
      </c>
      <c r="N1262" s="1520">
        <v>1</v>
      </c>
      <c r="O1262" s="1521">
        <v>1</v>
      </c>
    </row>
    <row r="1263" spans="3:15" ht="13.5">
      <c r="C1263" s="1526" t="s">
        <v>5221</v>
      </c>
      <c r="D1263" s="1523">
        <v>0</v>
      </c>
      <c r="E1263" s="1523">
        <v>0</v>
      </c>
      <c r="F1263" s="1524">
        <v>0</v>
      </c>
      <c r="G1263" s="1537" t="s">
        <v>5221</v>
      </c>
      <c r="H1263" s="1521">
        <v>0</v>
      </c>
      <c r="I1263" s="1521">
        <v>0</v>
      </c>
      <c r="J1263" s="1538">
        <v>0</v>
      </c>
      <c r="K1263" s="1525"/>
      <c r="L1263" s="1519">
        <v>13119890200</v>
      </c>
      <c r="M1263" s="1520">
        <v>0</v>
      </c>
      <c r="N1263" s="1520">
        <v>0</v>
      </c>
      <c r="O1263" s="1521">
        <v>0</v>
      </c>
    </row>
    <row r="1264" spans="3:15" ht="13.5">
      <c r="C1264" s="1526" t="s">
        <v>5222</v>
      </c>
      <c r="D1264" s="1523">
        <v>0</v>
      </c>
      <c r="E1264" s="1523">
        <v>0</v>
      </c>
      <c r="F1264" s="1524">
        <v>0</v>
      </c>
      <c r="G1264" s="1537" t="s">
        <v>5222</v>
      </c>
      <c r="H1264" s="1521">
        <v>0</v>
      </c>
      <c r="I1264" s="1521">
        <v>0</v>
      </c>
      <c r="J1264" s="1538">
        <v>0</v>
      </c>
      <c r="K1264" s="1525"/>
      <c r="L1264" s="1519">
        <v>13119890300</v>
      </c>
      <c r="M1264" s="1520">
        <v>0</v>
      </c>
      <c r="N1264" s="1520">
        <v>0</v>
      </c>
      <c r="O1264" s="1521">
        <v>0</v>
      </c>
    </row>
    <row r="1265" spans="3:15" ht="13.5">
      <c r="C1265" s="1526" t="s">
        <v>5223</v>
      </c>
      <c r="D1265" s="1523">
        <v>0</v>
      </c>
      <c r="E1265" s="1523">
        <v>0</v>
      </c>
      <c r="F1265" s="1524">
        <v>0</v>
      </c>
      <c r="G1265" s="1537" t="s">
        <v>5223</v>
      </c>
      <c r="H1265" s="1521">
        <v>0</v>
      </c>
      <c r="I1265" s="1521">
        <v>0</v>
      </c>
      <c r="J1265" s="1538">
        <v>0</v>
      </c>
      <c r="K1265" s="1525"/>
      <c r="L1265" s="1519">
        <v>13119890400</v>
      </c>
      <c r="M1265" s="1520">
        <v>0</v>
      </c>
      <c r="N1265" s="1520">
        <v>0</v>
      </c>
      <c r="O1265" s="1521">
        <v>0</v>
      </c>
    </row>
    <row r="1266" spans="3:15" ht="13.5">
      <c r="C1266" s="1526" t="s">
        <v>5224</v>
      </c>
      <c r="D1266" s="1523">
        <v>1</v>
      </c>
      <c r="E1266" s="1523">
        <v>1</v>
      </c>
      <c r="F1266" s="1524">
        <v>2</v>
      </c>
      <c r="G1266" s="1537" t="s">
        <v>5224</v>
      </c>
      <c r="H1266" s="1521">
        <v>1</v>
      </c>
      <c r="I1266" s="1521">
        <v>1</v>
      </c>
      <c r="J1266" s="1538">
        <v>2</v>
      </c>
      <c r="K1266" s="1525"/>
      <c r="L1266" s="1519">
        <v>13121000100</v>
      </c>
      <c r="M1266" s="1520">
        <v>1</v>
      </c>
      <c r="N1266" s="1520">
        <v>1</v>
      </c>
      <c r="O1266" s="1521">
        <v>2</v>
      </c>
    </row>
    <row r="1267" spans="3:15" ht="13.5">
      <c r="C1267" s="1526" t="s">
        <v>5225</v>
      </c>
      <c r="D1267" s="1523">
        <v>1</v>
      </c>
      <c r="E1267" s="1523">
        <v>1</v>
      </c>
      <c r="F1267" s="1524">
        <v>2</v>
      </c>
      <c r="G1267" s="1537" t="s">
        <v>5225</v>
      </c>
      <c r="H1267" s="1521">
        <v>1</v>
      </c>
      <c r="I1267" s="1521">
        <v>1</v>
      </c>
      <c r="J1267" s="1538">
        <v>2</v>
      </c>
      <c r="K1267" s="1525"/>
      <c r="L1267" s="1519">
        <v>13121000200</v>
      </c>
      <c r="M1267" s="1520">
        <v>1</v>
      </c>
      <c r="N1267" s="1520">
        <v>1</v>
      </c>
      <c r="O1267" s="1521">
        <v>2</v>
      </c>
    </row>
    <row r="1268" spans="3:15" ht="13.5">
      <c r="C1268" s="1526" t="s">
        <v>5226</v>
      </c>
      <c r="D1268" s="1523">
        <v>1</v>
      </c>
      <c r="E1268" s="1523">
        <v>1</v>
      </c>
      <c r="F1268" s="1524">
        <v>2</v>
      </c>
      <c r="G1268" s="1537" t="s">
        <v>5226</v>
      </c>
      <c r="H1268" s="1521">
        <v>1</v>
      </c>
      <c r="I1268" s="1521">
        <v>1</v>
      </c>
      <c r="J1268" s="1538">
        <v>2</v>
      </c>
      <c r="K1268" s="1525"/>
      <c r="L1268" s="1519">
        <v>13121000400</v>
      </c>
      <c r="M1268" s="1520">
        <v>1</v>
      </c>
      <c r="N1268" s="1520">
        <v>1</v>
      </c>
      <c r="O1268" s="1521">
        <v>2</v>
      </c>
    </row>
    <row r="1269" spans="3:15" ht="13.5">
      <c r="C1269" s="1526" t="s">
        <v>5227</v>
      </c>
      <c r="D1269" s="1523">
        <v>1</v>
      </c>
      <c r="E1269" s="1523">
        <v>1</v>
      </c>
      <c r="F1269" s="1524">
        <v>2</v>
      </c>
      <c r="G1269" s="1537" t="s">
        <v>5227</v>
      </c>
      <c r="H1269" s="1521">
        <v>1</v>
      </c>
      <c r="I1269" s="1521" t="s">
        <v>4096</v>
      </c>
      <c r="J1269" s="1538">
        <v>1</v>
      </c>
      <c r="K1269" s="1525"/>
      <c r="L1269" s="1519">
        <v>13121000500</v>
      </c>
      <c r="M1269" s="1520">
        <v>1</v>
      </c>
      <c r="N1269" s="1520">
        <v>1</v>
      </c>
      <c r="O1269" s="1521">
        <v>2</v>
      </c>
    </row>
    <row r="1270" spans="3:15" ht="13.5">
      <c r="C1270" s="1526" t="s">
        <v>5228</v>
      </c>
      <c r="D1270" s="1523">
        <v>0</v>
      </c>
      <c r="E1270" s="1523">
        <v>1</v>
      </c>
      <c r="F1270" s="1524">
        <v>1</v>
      </c>
      <c r="G1270" s="1537" t="s">
        <v>5228</v>
      </c>
      <c r="H1270" s="1521">
        <v>0</v>
      </c>
      <c r="I1270" s="1521" t="s">
        <v>4096</v>
      </c>
      <c r="J1270" s="1538">
        <v>0</v>
      </c>
      <c r="K1270" s="1525"/>
      <c r="L1270" s="1519">
        <v>13121000600</v>
      </c>
      <c r="M1270" s="1520">
        <v>0</v>
      </c>
      <c r="N1270" s="1520">
        <v>1</v>
      </c>
      <c r="O1270" s="1521">
        <v>1</v>
      </c>
    </row>
    <row r="1271" spans="3:15" ht="13.5">
      <c r="C1271" s="1526" t="s">
        <v>5229</v>
      </c>
      <c r="D1271" s="1523">
        <v>0</v>
      </c>
      <c r="E1271" s="1523">
        <v>0</v>
      </c>
      <c r="F1271" s="1524">
        <v>0</v>
      </c>
      <c r="G1271" s="1537" t="s">
        <v>5229</v>
      </c>
      <c r="H1271" s="1521">
        <v>0</v>
      </c>
      <c r="I1271" s="1521" t="s">
        <v>4096</v>
      </c>
      <c r="J1271" s="1538">
        <v>0</v>
      </c>
      <c r="K1271" s="1525"/>
      <c r="L1271" s="1519">
        <v>13121000700</v>
      </c>
      <c r="M1271" s="1520">
        <v>0</v>
      </c>
      <c r="N1271" s="1520">
        <v>0</v>
      </c>
      <c r="O1271" s="1521">
        <v>0</v>
      </c>
    </row>
    <row r="1272" spans="3:15" ht="13.5">
      <c r="C1272" s="1526" t="s">
        <v>5230</v>
      </c>
      <c r="D1272" s="1523">
        <v>1</v>
      </c>
      <c r="E1272" s="1523">
        <v>1</v>
      </c>
      <c r="F1272" s="1524">
        <v>2</v>
      </c>
      <c r="G1272" s="1537" t="s">
        <v>5230</v>
      </c>
      <c r="H1272" s="1521">
        <v>1</v>
      </c>
      <c r="I1272" s="1521" t="s">
        <v>4096</v>
      </c>
      <c r="J1272" s="1538">
        <v>1</v>
      </c>
      <c r="K1272" s="1525"/>
      <c r="L1272" s="1519">
        <v>13121001001</v>
      </c>
      <c r="M1272" s="1520">
        <v>1</v>
      </c>
      <c r="N1272" s="1520">
        <v>1</v>
      </c>
      <c r="O1272" s="1521">
        <v>2</v>
      </c>
    </row>
    <row r="1273" spans="3:15" ht="13.5">
      <c r="C1273" s="1526" t="s">
        <v>5231</v>
      </c>
      <c r="D1273" s="1523">
        <v>0</v>
      </c>
      <c r="E1273" s="1523">
        <v>1</v>
      </c>
      <c r="F1273" s="1524">
        <v>1</v>
      </c>
      <c r="G1273" s="1537" t="s">
        <v>5231</v>
      </c>
      <c r="H1273" s="1521">
        <v>0</v>
      </c>
      <c r="I1273" s="1521" t="s">
        <v>4096</v>
      </c>
      <c r="J1273" s="1538">
        <v>0</v>
      </c>
      <c r="K1273" s="1525"/>
      <c r="L1273" s="1519">
        <v>13121001002</v>
      </c>
      <c r="M1273" s="1520">
        <v>0</v>
      </c>
      <c r="N1273" s="1520">
        <v>1</v>
      </c>
      <c r="O1273" s="1521">
        <v>1</v>
      </c>
    </row>
    <row r="1274" spans="3:15" ht="13.5">
      <c r="C1274" s="1526" t="s">
        <v>5232</v>
      </c>
      <c r="D1274" s="1523">
        <v>1</v>
      </c>
      <c r="E1274" s="1523">
        <v>1</v>
      </c>
      <c r="F1274" s="1524">
        <v>2</v>
      </c>
      <c r="G1274" s="1537" t="s">
        <v>5232</v>
      </c>
      <c r="H1274" s="1521">
        <v>1</v>
      </c>
      <c r="I1274" s="1521" t="s">
        <v>4096</v>
      </c>
      <c r="J1274" s="1538">
        <v>1</v>
      </c>
      <c r="K1274" s="1525"/>
      <c r="L1274" s="1519">
        <v>13121001100</v>
      </c>
      <c r="M1274" s="1520">
        <v>1</v>
      </c>
      <c r="N1274" s="1520">
        <v>1</v>
      </c>
      <c r="O1274" s="1521">
        <v>2</v>
      </c>
    </row>
    <row r="1275" spans="3:15" ht="13.5">
      <c r="C1275" s="1526" t="s">
        <v>5233</v>
      </c>
      <c r="D1275" s="1523">
        <v>1</v>
      </c>
      <c r="E1275" s="1523">
        <v>1</v>
      </c>
      <c r="F1275" s="1524">
        <v>2</v>
      </c>
      <c r="G1275" s="1537" t="s">
        <v>5233</v>
      </c>
      <c r="H1275" s="1521">
        <v>1</v>
      </c>
      <c r="I1275" s="1521">
        <v>1</v>
      </c>
      <c r="J1275" s="1538">
        <v>2</v>
      </c>
      <c r="K1275" s="1525"/>
      <c r="L1275" s="1519">
        <v>13121001201</v>
      </c>
      <c r="M1275" s="1520">
        <v>1</v>
      </c>
      <c r="N1275" s="1520">
        <v>1</v>
      </c>
      <c r="O1275" s="1521">
        <v>2</v>
      </c>
    </row>
    <row r="1276" spans="3:15" ht="13.5">
      <c r="C1276" s="1526" t="s">
        <v>5234</v>
      </c>
      <c r="D1276" s="1523">
        <v>1</v>
      </c>
      <c r="E1276" s="1523">
        <v>1</v>
      </c>
      <c r="F1276" s="1524">
        <v>2</v>
      </c>
      <c r="G1276" s="1537" t="s">
        <v>5234</v>
      </c>
      <c r="H1276" s="1521">
        <v>1</v>
      </c>
      <c r="I1276" s="1521" t="s">
        <v>4096</v>
      </c>
      <c r="J1276" s="1538">
        <v>1</v>
      </c>
      <c r="K1276" s="1525"/>
      <c r="L1276" s="1519">
        <v>13121001202</v>
      </c>
      <c r="M1276" s="1520">
        <v>1</v>
      </c>
      <c r="N1276" s="1520">
        <v>1</v>
      </c>
      <c r="O1276" s="1521">
        <v>2</v>
      </c>
    </row>
    <row r="1277" spans="3:15" ht="13.5">
      <c r="C1277" s="1526" t="s">
        <v>5235</v>
      </c>
      <c r="D1277" s="1523">
        <v>1</v>
      </c>
      <c r="E1277" s="1523">
        <v>1</v>
      </c>
      <c r="F1277" s="1524">
        <v>2</v>
      </c>
      <c r="G1277" s="1537" t="s">
        <v>5235</v>
      </c>
      <c r="H1277" s="1521">
        <v>1</v>
      </c>
      <c r="I1277" s="1521">
        <v>1</v>
      </c>
      <c r="J1277" s="1538">
        <v>2</v>
      </c>
      <c r="K1277" s="1525"/>
      <c r="L1277" s="1519">
        <v>13121001300</v>
      </c>
      <c r="M1277" s="1520">
        <v>1</v>
      </c>
      <c r="N1277" s="1520">
        <v>1</v>
      </c>
      <c r="O1277" s="1521">
        <v>2</v>
      </c>
    </row>
    <row r="1278" spans="3:15" ht="13.5">
      <c r="C1278" s="1526" t="s">
        <v>5236</v>
      </c>
      <c r="D1278" s="1523">
        <v>1</v>
      </c>
      <c r="E1278" s="1523">
        <v>1</v>
      </c>
      <c r="F1278" s="1524">
        <v>2</v>
      </c>
      <c r="G1278" s="1537" t="s">
        <v>5236</v>
      </c>
      <c r="H1278" s="1521">
        <v>1</v>
      </c>
      <c r="I1278" s="1521" t="s">
        <v>4096</v>
      </c>
      <c r="J1278" s="1538">
        <v>1</v>
      </c>
      <c r="K1278" s="1525"/>
      <c r="L1278" s="1519">
        <v>13121001400</v>
      </c>
      <c r="M1278" s="1520">
        <v>1</v>
      </c>
      <c r="N1278" s="1520">
        <v>1</v>
      </c>
      <c r="O1278" s="1521">
        <v>2</v>
      </c>
    </row>
    <row r="1279" spans="3:15" ht="13.5">
      <c r="C1279" s="1526" t="s">
        <v>5237</v>
      </c>
      <c r="D1279" s="1523">
        <v>1</v>
      </c>
      <c r="E1279" s="1523">
        <v>1</v>
      </c>
      <c r="F1279" s="1524">
        <v>2</v>
      </c>
      <c r="G1279" s="1537" t="s">
        <v>5237</v>
      </c>
      <c r="H1279" s="1521">
        <v>1</v>
      </c>
      <c r="I1279" s="1521">
        <v>0</v>
      </c>
      <c r="J1279" s="1538">
        <v>1</v>
      </c>
      <c r="K1279" s="1525"/>
      <c r="L1279" s="1519">
        <v>13121001500</v>
      </c>
      <c r="M1279" s="1520">
        <v>1</v>
      </c>
      <c r="N1279" s="1520">
        <v>1</v>
      </c>
      <c r="O1279" s="1521">
        <v>2</v>
      </c>
    </row>
    <row r="1280" spans="3:15" ht="13.5">
      <c r="C1280" s="1526" t="s">
        <v>5238</v>
      </c>
      <c r="D1280" s="1523">
        <v>1</v>
      </c>
      <c r="E1280" s="1523">
        <v>1</v>
      </c>
      <c r="F1280" s="1524">
        <v>2</v>
      </c>
      <c r="G1280" s="1537" t="s">
        <v>5238</v>
      </c>
      <c r="H1280" s="1521">
        <v>1</v>
      </c>
      <c r="I1280" s="1521" t="s">
        <v>4096</v>
      </c>
      <c r="J1280" s="1538">
        <v>1</v>
      </c>
      <c r="K1280" s="1525"/>
      <c r="L1280" s="1519">
        <v>13121001600</v>
      </c>
      <c r="M1280" s="1520">
        <v>1</v>
      </c>
      <c r="N1280" s="1520">
        <v>1</v>
      </c>
      <c r="O1280" s="1521">
        <v>2</v>
      </c>
    </row>
    <row r="1281" spans="3:15" ht="13.5">
      <c r="C1281" s="1526" t="s">
        <v>5239</v>
      </c>
      <c r="D1281" s="1523">
        <v>1</v>
      </c>
      <c r="E1281" s="1523">
        <v>0</v>
      </c>
      <c r="F1281" s="1524">
        <v>1</v>
      </c>
      <c r="G1281" s="1537" t="s">
        <v>5239</v>
      </c>
      <c r="H1281" s="1521">
        <v>1</v>
      </c>
      <c r="I1281" s="1521">
        <v>1</v>
      </c>
      <c r="J1281" s="1538">
        <v>2</v>
      </c>
      <c r="K1281" s="1525"/>
      <c r="L1281" s="1519">
        <v>13121001700</v>
      </c>
      <c r="M1281" s="1520">
        <v>1</v>
      </c>
      <c r="N1281" s="1520">
        <v>1</v>
      </c>
      <c r="O1281" s="1521">
        <v>2</v>
      </c>
    </row>
    <row r="1282" spans="3:15" ht="13.5">
      <c r="C1282" s="1526" t="s">
        <v>5240</v>
      </c>
      <c r="D1282" s="1523">
        <v>0</v>
      </c>
      <c r="E1282" s="1523">
        <v>0</v>
      </c>
      <c r="F1282" s="1524">
        <v>0</v>
      </c>
      <c r="G1282" s="1537" t="s">
        <v>5240</v>
      </c>
      <c r="H1282" s="1521">
        <v>0</v>
      </c>
      <c r="I1282" s="1521">
        <v>1</v>
      </c>
      <c r="J1282" s="1538">
        <v>1</v>
      </c>
      <c r="K1282" s="1525"/>
      <c r="L1282" s="1519">
        <v>13121001800</v>
      </c>
      <c r="M1282" s="1520">
        <v>0</v>
      </c>
      <c r="N1282" s="1520">
        <v>1</v>
      </c>
      <c r="O1282" s="1521">
        <v>1</v>
      </c>
    </row>
    <row r="1283" spans="3:15" ht="13.5">
      <c r="C1283" s="1526" t="s">
        <v>5241</v>
      </c>
      <c r="D1283" s="1523">
        <v>0</v>
      </c>
      <c r="E1283" s="1523">
        <v>1</v>
      </c>
      <c r="F1283" s="1524">
        <v>1</v>
      </c>
      <c r="G1283" s="1537" t="s">
        <v>5241</v>
      </c>
      <c r="H1283" s="1521">
        <v>0</v>
      </c>
      <c r="I1283" s="1521" t="s">
        <v>4096</v>
      </c>
      <c r="J1283" s="1538">
        <v>0</v>
      </c>
      <c r="K1283" s="1525"/>
      <c r="L1283" s="1519">
        <v>13121001900</v>
      </c>
      <c r="M1283" s="1520">
        <v>0</v>
      </c>
      <c r="N1283" s="1520">
        <v>1</v>
      </c>
      <c r="O1283" s="1521">
        <v>1</v>
      </c>
    </row>
    <row r="1284" spans="3:15" ht="13.5">
      <c r="C1284" s="1526" t="s">
        <v>5242</v>
      </c>
      <c r="D1284" s="1523">
        <v>0</v>
      </c>
      <c r="E1284" s="1523">
        <v>0</v>
      </c>
      <c r="F1284" s="1524">
        <v>0</v>
      </c>
      <c r="G1284" s="1537" t="s">
        <v>5242</v>
      </c>
      <c r="H1284" s="1521">
        <v>0</v>
      </c>
      <c r="I1284" s="1521" t="s">
        <v>4096</v>
      </c>
      <c r="J1284" s="1538">
        <v>0</v>
      </c>
      <c r="K1284" s="1525"/>
      <c r="L1284" s="1519">
        <v>13121002100</v>
      </c>
      <c r="M1284" s="1520">
        <v>0</v>
      </c>
      <c r="N1284" s="1520">
        <v>0</v>
      </c>
      <c r="O1284" s="1521">
        <v>0</v>
      </c>
    </row>
    <row r="1285" spans="3:15" ht="13.5">
      <c r="C1285" s="1526" t="s">
        <v>5243</v>
      </c>
      <c r="D1285" s="1523">
        <v>0</v>
      </c>
      <c r="E1285" s="1523">
        <v>0</v>
      </c>
      <c r="F1285" s="1524">
        <v>0</v>
      </c>
      <c r="G1285" s="1537" t="s">
        <v>5243</v>
      </c>
      <c r="H1285" s="1521">
        <v>0</v>
      </c>
      <c r="I1285" s="1521">
        <v>0</v>
      </c>
      <c r="J1285" s="1538">
        <v>0</v>
      </c>
      <c r="K1285" s="1525"/>
      <c r="L1285" s="1519">
        <v>13121002300</v>
      </c>
      <c r="M1285" s="1520">
        <v>0</v>
      </c>
      <c r="N1285" s="1520">
        <v>0</v>
      </c>
      <c r="O1285" s="1521">
        <v>0</v>
      </c>
    </row>
    <row r="1286" spans="3:15" ht="13.5">
      <c r="C1286" s="1526" t="s">
        <v>5244</v>
      </c>
      <c r="D1286" s="1523">
        <v>0</v>
      </c>
      <c r="E1286" s="1523">
        <v>0</v>
      </c>
      <c r="F1286" s="1524">
        <v>0</v>
      </c>
      <c r="G1286" s="1537" t="s">
        <v>5244</v>
      </c>
      <c r="H1286" s="1521">
        <v>0</v>
      </c>
      <c r="I1286" s="1521">
        <v>0</v>
      </c>
      <c r="J1286" s="1538">
        <v>0</v>
      </c>
      <c r="K1286" s="1525"/>
      <c r="L1286" s="1519">
        <v>13121002400</v>
      </c>
      <c r="M1286" s="1520">
        <v>0</v>
      </c>
      <c r="N1286" s="1520">
        <v>0</v>
      </c>
      <c r="O1286" s="1521">
        <v>0</v>
      </c>
    </row>
    <row r="1287" spans="3:15" ht="13.5">
      <c r="C1287" s="1526" t="s">
        <v>5245</v>
      </c>
      <c r="D1287" s="1523">
        <v>0</v>
      </c>
      <c r="E1287" s="1523">
        <v>0</v>
      </c>
      <c r="F1287" s="1524">
        <v>0</v>
      </c>
      <c r="G1287" s="1537" t="s">
        <v>5245</v>
      </c>
      <c r="H1287" s="1521">
        <v>0</v>
      </c>
      <c r="I1287" s="1521">
        <v>0</v>
      </c>
      <c r="J1287" s="1538">
        <v>0</v>
      </c>
      <c r="K1287" s="1525"/>
      <c r="L1287" s="1519">
        <v>13121002500</v>
      </c>
      <c r="M1287" s="1520">
        <v>0</v>
      </c>
      <c r="N1287" s="1520">
        <v>0</v>
      </c>
      <c r="O1287" s="1521">
        <v>0</v>
      </c>
    </row>
    <row r="1288" spans="3:15" ht="13.5">
      <c r="C1288" s="1526" t="s">
        <v>5246</v>
      </c>
      <c r="D1288" s="1523">
        <v>0</v>
      </c>
      <c r="E1288" s="1523">
        <v>0</v>
      </c>
      <c r="F1288" s="1524">
        <v>0</v>
      </c>
      <c r="G1288" s="1537" t="s">
        <v>5246</v>
      </c>
      <c r="H1288" s="1521">
        <v>0</v>
      </c>
      <c r="I1288" s="1521" t="s">
        <v>4096</v>
      </c>
      <c r="J1288" s="1538">
        <v>0</v>
      </c>
      <c r="K1288" s="1525"/>
      <c r="L1288" s="1519">
        <v>13121002600</v>
      </c>
      <c r="M1288" s="1520">
        <v>0</v>
      </c>
      <c r="N1288" s="1520">
        <v>0</v>
      </c>
      <c r="O1288" s="1521">
        <v>0</v>
      </c>
    </row>
    <row r="1289" spans="3:15" ht="13.5">
      <c r="C1289" s="1526" t="s">
        <v>5247</v>
      </c>
      <c r="D1289" s="1523">
        <v>0</v>
      </c>
      <c r="E1289" s="1523">
        <v>0</v>
      </c>
      <c r="F1289" s="1524">
        <v>0</v>
      </c>
      <c r="G1289" s="1537" t="s">
        <v>5247</v>
      </c>
      <c r="H1289" s="1521">
        <v>0</v>
      </c>
      <c r="I1289" s="1521" t="s">
        <v>4096</v>
      </c>
      <c r="J1289" s="1538">
        <v>0</v>
      </c>
      <c r="K1289" s="1525"/>
      <c r="L1289" s="1519">
        <v>13121002800</v>
      </c>
      <c r="M1289" s="1520">
        <v>0</v>
      </c>
      <c r="N1289" s="1520">
        <v>0</v>
      </c>
      <c r="O1289" s="1521">
        <v>0</v>
      </c>
    </row>
    <row r="1290" spans="3:15" ht="13.5">
      <c r="C1290" s="1526" t="s">
        <v>5248</v>
      </c>
      <c r="D1290" s="1523">
        <v>1</v>
      </c>
      <c r="E1290" s="1523">
        <v>1</v>
      </c>
      <c r="F1290" s="1524">
        <v>2</v>
      </c>
      <c r="G1290" s="1537" t="s">
        <v>5248</v>
      </c>
      <c r="H1290" s="1521">
        <v>1</v>
      </c>
      <c r="I1290" s="1521">
        <v>1</v>
      </c>
      <c r="J1290" s="1538">
        <v>2</v>
      </c>
      <c r="K1290" s="1525"/>
      <c r="L1290" s="1519">
        <v>13121002900</v>
      </c>
      <c r="M1290" s="1520">
        <v>1</v>
      </c>
      <c r="N1290" s="1520">
        <v>1</v>
      </c>
      <c r="O1290" s="1521">
        <v>2</v>
      </c>
    </row>
    <row r="1291" spans="3:15" ht="13.5">
      <c r="C1291" s="1526" t="s">
        <v>5249</v>
      </c>
      <c r="D1291" s="1523">
        <v>1</v>
      </c>
      <c r="E1291" s="1523">
        <v>1</v>
      </c>
      <c r="F1291" s="1524">
        <v>2</v>
      </c>
      <c r="G1291" s="1537" t="s">
        <v>5249</v>
      </c>
      <c r="H1291" s="1521">
        <v>1</v>
      </c>
      <c r="I1291" s="1521" t="s">
        <v>4096</v>
      </c>
      <c r="J1291" s="1538">
        <v>1</v>
      </c>
      <c r="K1291" s="1525"/>
      <c r="L1291" s="1519">
        <v>13121003000</v>
      </c>
      <c r="M1291" s="1520">
        <v>1</v>
      </c>
      <c r="N1291" s="1520">
        <v>1</v>
      </c>
      <c r="O1291" s="1521">
        <v>2</v>
      </c>
    </row>
    <row r="1292" spans="3:15" ht="13.5">
      <c r="C1292" s="1526" t="s">
        <v>5250</v>
      </c>
      <c r="D1292" s="1523">
        <v>1</v>
      </c>
      <c r="E1292" s="1523">
        <v>0</v>
      </c>
      <c r="F1292" s="1524">
        <v>1</v>
      </c>
      <c r="G1292" s="1537" t="s">
        <v>5250</v>
      </c>
      <c r="H1292" s="1521">
        <v>1</v>
      </c>
      <c r="I1292" s="1521">
        <v>0</v>
      </c>
      <c r="J1292" s="1538">
        <v>1</v>
      </c>
      <c r="K1292" s="1525"/>
      <c r="L1292" s="1519">
        <v>13121003100</v>
      </c>
      <c r="M1292" s="1520">
        <v>1</v>
      </c>
      <c r="N1292" s="1520">
        <v>0</v>
      </c>
      <c r="O1292" s="1521">
        <v>1</v>
      </c>
    </row>
    <row r="1293" spans="3:15" ht="13.5">
      <c r="C1293" s="1526" t="s">
        <v>5251</v>
      </c>
      <c r="D1293" s="1523">
        <v>1</v>
      </c>
      <c r="E1293" s="1523">
        <v>1</v>
      </c>
      <c r="F1293" s="1524">
        <v>2</v>
      </c>
      <c r="G1293" s="1537" t="s">
        <v>5251</v>
      </c>
      <c r="H1293" s="1521">
        <v>1</v>
      </c>
      <c r="I1293" s="1521" t="s">
        <v>4096</v>
      </c>
      <c r="J1293" s="1538">
        <v>1</v>
      </c>
      <c r="K1293" s="1525"/>
      <c r="L1293" s="1519">
        <v>13121003200</v>
      </c>
      <c r="M1293" s="1520">
        <v>1</v>
      </c>
      <c r="N1293" s="1520">
        <v>1</v>
      </c>
      <c r="O1293" s="1521">
        <v>2</v>
      </c>
    </row>
    <row r="1294" spans="3:15" ht="13.5">
      <c r="C1294" s="1526" t="s">
        <v>5252</v>
      </c>
      <c r="D1294" s="1523">
        <v>0</v>
      </c>
      <c r="E1294" s="1523">
        <v>0</v>
      </c>
      <c r="F1294" s="1524">
        <v>0</v>
      </c>
      <c r="G1294" s="1537" t="s">
        <v>5252</v>
      </c>
      <c r="H1294" s="1521">
        <v>0</v>
      </c>
      <c r="I1294" s="1521" t="s">
        <v>4096</v>
      </c>
      <c r="J1294" s="1538">
        <v>0</v>
      </c>
      <c r="K1294" s="1525"/>
      <c r="L1294" s="1519">
        <v>13121003500</v>
      </c>
      <c r="M1294" s="1520">
        <v>0</v>
      </c>
      <c r="N1294" s="1520">
        <v>0</v>
      </c>
      <c r="O1294" s="1521">
        <v>0</v>
      </c>
    </row>
    <row r="1295" spans="3:15" ht="13.5">
      <c r="C1295" s="1526" t="s">
        <v>5253</v>
      </c>
      <c r="D1295" s="1523">
        <v>1</v>
      </c>
      <c r="E1295" s="1523">
        <v>0</v>
      </c>
      <c r="F1295" s="1524">
        <v>1</v>
      </c>
      <c r="G1295" s="1537" t="s">
        <v>5253</v>
      </c>
      <c r="H1295" s="1521">
        <v>0</v>
      </c>
      <c r="I1295" s="1521">
        <v>0</v>
      </c>
      <c r="J1295" s="1538">
        <v>0</v>
      </c>
      <c r="K1295" s="1525"/>
      <c r="L1295" s="1519">
        <v>13121003600</v>
      </c>
      <c r="M1295" s="1520">
        <v>1</v>
      </c>
      <c r="N1295" s="1520">
        <v>0</v>
      </c>
      <c r="O1295" s="1521">
        <v>1</v>
      </c>
    </row>
    <row r="1296" spans="3:15" ht="13.5">
      <c r="C1296" s="1526" t="s">
        <v>5254</v>
      </c>
      <c r="D1296" s="1523" t="s">
        <v>4096</v>
      </c>
      <c r="E1296" s="1523" t="s">
        <v>4096</v>
      </c>
      <c r="F1296" s="1524">
        <v>0</v>
      </c>
      <c r="G1296" s="1537" t="s">
        <v>5254</v>
      </c>
      <c r="H1296" s="1521">
        <v>0</v>
      </c>
      <c r="I1296" s="1521" t="s">
        <v>4096</v>
      </c>
      <c r="J1296" s="1538">
        <v>0</v>
      </c>
      <c r="K1296" s="1525"/>
      <c r="L1296" s="1519">
        <v>13121003700</v>
      </c>
      <c r="M1296" s="1520">
        <v>0</v>
      </c>
      <c r="N1296" s="1520">
        <v>0</v>
      </c>
      <c r="O1296" s="1521">
        <v>0</v>
      </c>
    </row>
    <row r="1297" spans="3:15" ht="13.5">
      <c r="C1297" s="1526" t="s">
        <v>5255</v>
      </c>
      <c r="D1297" s="1523">
        <v>0</v>
      </c>
      <c r="E1297" s="1523">
        <v>0</v>
      </c>
      <c r="F1297" s="1524">
        <v>0</v>
      </c>
      <c r="G1297" s="1537" t="s">
        <v>5255</v>
      </c>
      <c r="H1297" s="1521">
        <v>0</v>
      </c>
      <c r="I1297" s="1521" t="s">
        <v>4096</v>
      </c>
      <c r="J1297" s="1538">
        <v>0</v>
      </c>
      <c r="K1297" s="1525"/>
      <c r="L1297" s="1519">
        <v>13121003800</v>
      </c>
      <c r="M1297" s="1520">
        <v>0</v>
      </c>
      <c r="N1297" s="1520">
        <v>0</v>
      </c>
      <c r="O1297" s="1521">
        <v>0</v>
      </c>
    </row>
    <row r="1298" spans="3:15" ht="13.5">
      <c r="C1298" s="1526" t="s">
        <v>5256</v>
      </c>
      <c r="D1298" s="1523">
        <v>0</v>
      </c>
      <c r="E1298" s="1523">
        <v>0</v>
      </c>
      <c r="F1298" s="1524">
        <v>0</v>
      </c>
      <c r="G1298" s="1537" t="s">
        <v>5256</v>
      </c>
      <c r="H1298" s="1521">
        <v>0</v>
      </c>
      <c r="I1298" s="1521">
        <v>0</v>
      </c>
      <c r="J1298" s="1538">
        <v>0</v>
      </c>
      <c r="K1298" s="1525"/>
      <c r="L1298" s="1519">
        <v>13121003900</v>
      </c>
      <c r="M1298" s="1520">
        <v>0</v>
      </c>
      <c r="N1298" s="1520">
        <v>0</v>
      </c>
      <c r="O1298" s="1521">
        <v>0</v>
      </c>
    </row>
    <row r="1299" spans="3:15" ht="13.5">
      <c r="C1299" s="1526" t="s">
        <v>5257</v>
      </c>
      <c r="D1299" s="1523">
        <v>0</v>
      </c>
      <c r="E1299" s="1523">
        <v>0</v>
      </c>
      <c r="F1299" s="1524">
        <v>0</v>
      </c>
      <c r="G1299" s="1537" t="s">
        <v>5257</v>
      </c>
      <c r="H1299" s="1521">
        <v>0</v>
      </c>
      <c r="I1299" s="1521">
        <v>0</v>
      </c>
      <c r="J1299" s="1538">
        <v>0</v>
      </c>
      <c r="K1299" s="1525"/>
      <c r="L1299" s="1519">
        <v>13121004000</v>
      </c>
      <c r="M1299" s="1520">
        <v>0</v>
      </c>
      <c r="N1299" s="1520">
        <v>0</v>
      </c>
      <c r="O1299" s="1521">
        <v>0</v>
      </c>
    </row>
    <row r="1300" spans="3:15" ht="13.5">
      <c r="C1300" s="1526" t="s">
        <v>5258</v>
      </c>
      <c r="D1300" s="1523">
        <v>0</v>
      </c>
      <c r="E1300" s="1523">
        <v>0</v>
      </c>
      <c r="F1300" s="1524">
        <v>0</v>
      </c>
      <c r="G1300" s="1537" t="s">
        <v>5258</v>
      </c>
      <c r="H1300" s="1521">
        <v>0</v>
      </c>
      <c r="I1300" s="1521">
        <v>0</v>
      </c>
      <c r="J1300" s="1538">
        <v>0</v>
      </c>
      <c r="K1300" s="1525"/>
      <c r="L1300" s="1519">
        <v>13121004100</v>
      </c>
      <c r="M1300" s="1520">
        <v>0</v>
      </c>
      <c r="N1300" s="1520">
        <v>0</v>
      </c>
      <c r="O1300" s="1521">
        <v>0</v>
      </c>
    </row>
    <row r="1301" spans="3:15" ht="13.5">
      <c r="C1301" s="1526" t="s">
        <v>5259</v>
      </c>
      <c r="D1301" s="1523">
        <v>0</v>
      </c>
      <c r="E1301" s="1523">
        <v>0</v>
      </c>
      <c r="F1301" s="1524">
        <v>0</v>
      </c>
      <c r="G1301" s="1537" t="s">
        <v>5259</v>
      </c>
      <c r="H1301" s="1521">
        <v>0</v>
      </c>
      <c r="I1301" s="1521">
        <v>0</v>
      </c>
      <c r="J1301" s="1538">
        <v>0</v>
      </c>
      <c r="K1301" s="1525"/>
      <c r="L1301" s="1519">
        <v>13121004200</v>
      </c>
      <c r="M1301" s="1520">
        <v>0</v>
      </c>
      <c r="N1301" s="1520">
        <v>0</v>
      </c>
      <c r="O1301" s="1521">
        <v>0</v>
      </c>
    </row>
    <row r="1302" spans="3:15" ht="13.5">
      <c r="C1302" s="1526" t="s">
        <v>5260</v>
      </c>
      <c r="D1302" s="1523">
        <v>0</v>
      </c>
      <c r="E1302" s="1523">
        <v>0</v>
      </c>
      <c r="F1302" s="1524">
        <v>0</v>
      </c>
      <c r="G1302" s="1537" t="s">
        <v>5260</v>
      </c>
      <c r="H1302" s="1521">
        <v>0</v>
      </c>
      <c r="I1302" s="1521" t="s">
        <v>4096</v>
      </c>
      <c r="J1302" s="1538">
        <v>0</v>
      </c>
      <c r="K1302" s="1525"/>
      <c r="L1302" s="1519">
        <v>13121004300</v>
      </c>
      <c r="M1302" s="1520">
        <v>0</v>
      </c>
      <c r="N1302" s="1520">
        <v>0</v>
      </c>
      <c r="O1302" s="1521">
        <v>0</v>
      </c>
    </row>
    <row r="1303" spans="3:15" ht="13.5">
      <c r="C1303" s="1526" t="s">
        <v>5261</v>
      </c>
      <c r="D1303" s="1523">
        <v>0</v>
      </c>
      <c r="E1303" s="1523">
        <v>0</v>
      </c>
      <c r="F1303" s="1524">
        <v>0</v>
      </c>
      <c r="G1303" s="1537" t="s">
        <v>5261</v>
      </c>
      <c r="H1303" s="1521">
        <v>0</v>
      </c>
      <c r="I1303" s="1521">
        <v>0</v>
      </c>
      <c r="J1303" s="1538">
        <v>0</v>
      </c>
      <c r="K1303" s="1525"/>
      <c r="L1303" s="1519">
        <v>13121004400</v>
      </c>
      <c r="M1303" s="1520">
        <v>0</v>
      </c>
      <c r="N1303" s="1520">
        <v>0</v>
      </c>
      <c r="O1303" s="1521">
        <v>0</v>
      </c>
    </row>
    <row r="1304" spans="3:15" ht="13.5">
      <c r="C1304" s="1526" t="s">
        <v>5262</v>
      </c>
      <c r="D1304" s="1523">
        <v>0</v>
      </c>
      <c r="E1304" s="1523">
        <v>0</v>
      </c>
      <c r="F1304" s="1524">
        <v>0</v>
      </c>
      <c r="G1304" s="1537" t="s">
        <v>5262</v>
      </c>
      <c r="H1304" s="1521">
        <v>0</v>
      </c>
      <c r="I1304" s="1521" t="s">
        <v>4096</v>
      </c>
      <c r="J1304" s="1538">
        <v>0</v>
      </c>
      <c r="K1304" s="1525"/>
      <c r="L1304" s="1519">
        <v>13121004800</v>
      </c>
      <c r="M1304" s="1520">
        <v>0</v>
      </c>
      <c r="N1304" s="1520">
        <v>0</v>
      </c>
      <c r="O1304" s="1521">
        <v>0</v>
      </c>
    </row>
    <row r="1305" spans="3:15" ht="13.5">
      <c r="C1305" s="1526" t="s">
        <v>5263</v>
      </c>
      <c r="D1305" s="1523">
        <v>1</v>
      </c>
      <c r="E1305" s="1523">
        <v>0</v>
      </c>
      <c r="F1305" s="1524">
        <v>1</v>
      </c>
      <c r="G1305" s="1537" t="s">
        <v>5263</v>
      </c>
      <c r="H1305" s="1521">
        <v>1</v>
      </c>
      <c r="I1305" s="1521" t="s">
        <v>4096</v>
      </c>
      <c r="J1305" s="1538">
        <v>1</v>
      </c>
      <c r="K1305" s="1525"/>
      <c r="L1305" s="1519">
        <v>13121004900</v>
      </c>
      <c r="M1305" s="1520">
        <v>1</v>
      </c>
      <c r="N1305" s="1520">
        <v>0</v>
      </c>
      <c r="O1305" s="1521">
        <v>1</v>
      </c>
    </row>
    <row r="1306" spans="3:15" ht="13.5">
      <c r="C1306" s="1526" t="s">
        <v>5264</v>
      </c>
      <c r="D1306" s="1523">
        <v>1</v>
      </c>
      <c r="E1306" s="1523">
        <v>1</v>
      </c>
      <c r="F1306" s="1524">
        <v>2</v>
      </c>
      <c r="G1306" s="1537" t="s">
        <v>5264</v>
      </c>
      <c r="H1306" s="1521">
        <v>1</v>
      </c>
      <c r="I1306" s="1521">
        <v>1</v>
      </c>
      <c r="J1306" s="1538">
        <v>2</v>
      </c>
      <c r="K1306" s="1525"/>
      <c r="L1306" s="1519">
        <v>13121005000</v>
      </c>
      <c r="M1306" s="1520">
        <v>1</v>
      </c>
      <c r="N1306" s="1520">
        <v>1</v>
      </c>
      <c r="O1306" s="1521">
        <v>2</v>
      </c>
    </row>
    <row r="1307" spans="3:15" ht="13.5">
      <c r="C1307" s="1526" t="s">
        <v>5265</v>
      </c>
      <c r="D1307" s="1523">
        <v>1</v>
      </c>
      <c r="E1307" s="1523">
        <v>1</v>
      </c>
      <c r="F1307" s="1524">
        <v>2</v>
      </c>
      <c r="G1307" s="1537" t="s">
        <v>5265</v>
      </c>
      <c r="H1307" s="1521">
        <v>1</v>
      </c>
      <c r="I1307" s="1521">
        <v>1</v>
      </c>
      <c r="J1307" s="1538">
        <v>2</v>
      </c>
      <c r="K1307" s="1525"/>
      <c r="L1307" s="1519">
        <v>13121005200</v>
      </c>
      <c r="M1307" s="1520">
        <v>1</v>
      </c>
      <c r="N1307" s="1520">
        <v>1</v>
      </c>
      <c r="O1307" s="1521">
        <v>2</v>
      </c>
    </row>
    <row r="1308" spans="3:15" ht="13.5">
      <c r="C1308" s="1526" t="s">
        <v>5266</v>
      </c>
      <c r="D1308" s="1523">
        <v>1</v>
      </c>
      <c r="E1308" s="1523">
        <v>1</v>
      </c>
      <c r="F1308" s="1524">
        <v>2</v>
      </c>
      <c r="G1308" s="1537" t="s">
        <v>5266</v>
      </c>
      <c r="H1308" s="1521">
        <v>1</v>
      </c>
      <c r="I1308" s="1521">
        <v>1</v>
      </c>
      <c r="J1308" s="1538">
        <v>2</v>
      </c>
      <c r="K1308" s="1525"/>
      <c r="L1308" s="1519">
        <v>13121005300</v>
      </c>
      <c r="M1308" s="1520">
        <v>1</v>
      </c>
      <c r="N1308" s="1520">
        <v>1</v>
      </c>
      <c r="O1308" s="1521">
        <v>2</v>
      </c>
    </row>
    <row r="1309" spans="3:15" ht="13.5">
      <c r="C1309" s="1526" t="s">
        <v>5267</v>
      </c>
      <c r="D1309" s="1523">
        <v>0</v>
      </c>
      <c r="E1309" s="1523">
        <v>0</v>
      </c>
      <c r="F1309" s="1524">
        <v>0</v>
      </c>
      <c r="G1309" s="1537" t="s">
        <v>5267</v>
      </c>
      <c r="H1309" s="1521">
        <v>0</v>
      </c>
      <c r="I1309" s="1521">
        <v>0</v>
      </c>
      <c r="J1309" s="1538">
        <v>0</v>
      </c>
      <c r="K1309" s="1525"/>
      <c r="L1309" s="1519">
        <v>13121005501</v>
      </c>
      <c r="M1309" s="1520">
        <v>0</v>
      </c>
      <c r="N1309" s="1520">
        <v>0</v>
      </c>
      <c r="O1309" s="1521">
        <v>0</v>
      </c>
    </row>
    <row r="1310" spans="3:15" ht="13.5">
      <c r="C1310" s="1526" t="s">
        <v>5268</v>
      </c>
      <c r="D1310" s="1523">
        <v>0</v>
      </c>
      <c r="E1310" s="1523">
        <v>0</v>
      </c>
      <c r="F1310" s="1524">
        <v>0</v>
      </c>
      <c r="G1310" s="1537" t="s">
        <v>5268</v>
      </c>
      <c r="H1310" s="1521">
        <v>0</v>
      </c>
      <c r="I1310" s="1521">
        <v>0</v>
      </c>
      <c r="J1310" s="1538">
        <v>0</v>
      </c>
      <c r="K1310" s="1525"/>
      <c r="L1310" s="1519">
        <v>13121005502</v>
      </c>
      <c r="M1310" s="1520">
        <v>0</v>
      </c>
      <c r="N1310" s="1520">
        <v>0</v>
      </c>
      <c r="O1310" s="1521">
        <v>0</v>
      </c>
    </row>
    <row r="1311" spans="3:15" ht="13.5">
      <c r="C1311" s="1526" t="s">
        <v>5269</v>
      </c>
      <c r="D1311" s="1523">
        <v>0</v>
      </c>
      <c r="E1311" s="1523">
        <v>0</v>
      </c>
      <c r="F1311" s="1524">
        <v>0</v>
      </c>
      <c r="G1311" s="1537" t="s">
        <v>5269</v>
      </c>
      <c r="H1311" s="1521">
        <v>0</v>
      </c>
      <c r="I1311" s="1521">
        <v>0</v>
      </c>
      <c r="J1311" s="1538">
        <v>0</v>
      </c>
      <c r="K1311" s="1525"/>
      <c r="L1311" s="1519">
        <v>13121005700</v>
      </c>
      <c r="M1311" s="1520">
        <v>0</v>
      </c>
      <c r="N1311" s="1520">
        <v>0</v>
      </c>
      <c r="O1311" s="1521">
        <v>0</v>
      </c>
    </row>
    <row r="1312" spans="3:15" ht="13.5">
      <c r="C1312" s="1526" t="s">
        <v>5270</v>
      </c>
      <c r="D1312" s="1523">
        <v>0</v>
      </c>
      <c r="E1312" s="1523">
        <v>0</v>
      </c>
      <c r="F1312" s="1524">
        <v>0</v>
      </c>
      <c r="G1312" s="1537" t="s">
        <v>5270</v>
      </c>
      <c r="H1312" s="1521">
        <v>0</v>
      </c>
      <c r="I1312" s="1521">
        <v>0</v>
      </c>
      <c r="J1312" s="1538">
        <v>0</v>
      </c>
      <c r="K1312" s="1525"/>
      <c r="L1312" s="1519">
        <v>13121005800</v>
      </c>
      <c r="M1312" s="1520">
        <v>0</v>
      </c>
      <c r="N1312" s="1520">
        <v>0</v>
      </c>
      <c r="O1312" s="1521">
        <v>0</v>
      </c>
    </row>
    <row r="1313" spans="3:15" ht="13.5">
      <c r="C1313" s="1526" t="s">
        <v>5271</v>
      </c>
      <c r="D1313" s="1523">
        <v>0</v>
      </c>
      <c r="E1313" s="1523">
        <v>0</v>
      </c>
      <c r="F1313" s="1524">
        <v>0</v>
      </c>
      <c r="G1313" s="1537" t="s">
        <v>5271</v>
      </c>
      <c r="H1313" s="1521">
        <v>0</v>
      </c>
      <c r="I1313" s="1521">
        <v>0</v>
      </c>
      <c r="J1313" s="1538">
        <v>0</v>
      </c>
      <c r="K1313" s="1525"/>
      <c r="L1313" s="1519">
        <v>13121006000</v>
      </c>
      <c r="M1313" s="1520">
        <v>0</v>
      </c>
      <c r="N1313" s="1520">
        <v>0</v>
      </c>
      <c r="O1313" s="1521">
        <v>0</v>
      </c>
    </row>
    <row r="1314" spans="3:15" ht="13.5">
      <c r="C1314" s="1526" t="s">
        <v>5272</v>
      </c>
      <c r="D1314" s="1523">
        <v>0</v>
      </c>
      <c r="E1314" s="1523">
        <v>0</v>
      </c>
      <c r="F1314" s="1524">
        <v>0</v>
      </c>
      <c r="G1314" s="1537" t="s">
        <v>5272</v>
      </c>
      <c r="H1314" s="1521">
        <v>0</v>
      </c>
      <c r="I1314" s="1521">
        <v>0</v>
      </c>
      <c r="J1314" s="1538">
        <v>0</v>
      </c>
      <c r="K1314" s="1525"/>
      <c r="L1314" s="1519">
        <v>13121006100</v>
      </c>
      <c r="M1314" s="1520">
        <v>0</v>
      </c>
      <c r="N1314" s="1520">
        <v>0</v>
      </c>
      <c r="O1314" s="1521">
        <v>0</v>
      </c>
    </row>
    <row r="1315" spans="3:15" ht="13.5">
      <c r="C1315" s="1526" t="s">
        <v>5273</v>
      </c>
      <c r="D1315" s="1523">
        <v>0</v>
      </c>
      <c r="E1315" s="1523">
        <v>0</v>
      </c>
      <c r="F1315" s="1524">
        <v>0</v>
      </c>
      <c r="G1315" s="1537" t="s">
        <v>5273</v>
      </c>
      <c r="H1315" s="1521">
        <v>0</v>
      </c>
      <c r="I1315" s="1521">
        <v>0</v>
      </c>
      <c r="J1315" s="1538">
        <v>0</v>
      </c>
      <c r="K1315" s="1525"/>
      <c r="L1315" s="1519">
        <v>13121006200</v>
      </c>
      <c r="M1315" s="1520">
        <v>0</v>
      </c>
      <c r="N1315" s="1520">
        <v>0</v>
      </c>
      <c r="O1315" s="1521">
        <v>0</v>
      </c>
    </row>
    <row r="1316" spans="3:15" ht="13.5">
      <c r="C1316" s="1526" t="s">
        <v>5274</v>
      </c>
      <c r="D1316" s="1523">
        <v>0</v>
      </c>
      <c r="E1316" s="1523">
        <v>0</v>
      </c>
      <c r="F1316" s="1524">
        <v>0</v>
      </c>
      <c r="G1316" s="1537" t="s">
        <v>5274</v>
      </c>
      <c r="H1316" s="1521">
        <v>0</v>
      </c>
      <c r="I1316" s="1521">
        <v>0</v>
      </c>
      <c r="J1316" s="1538">
        <v>0</v>
      </c>
      <c r="K1316" s="1525"/>
      <c r="L1316" s="1519">
        <v>13121006300</v>
      </c>
      <c r="M1316" s="1520">
        <v>0</v>
      </c>
      <c r="N1316" s="1520">
        <v>0</v>
      </c>
      <c r="O1316" s="1521">
        <v>0</v>
      </c>
    </row>
    <row r="1317" spans="3:15" ht="13.5">
      <c r="C1317" s="1526" t="s">
        <v>5275</v>
      </c>
      <c r="D1317" s="1523">
        <v>0</v>
      </c>
      <c r="E1317" s="1523">
        <v>0</v>
      </c>
      <c r="F1317" s="1524">
        <v>0</v>
      </c>
      <c r="G1317" s="1537" t="s">
        <v>5275</v>
      </c>
      <c r="H1317" s="1521">
        <v>0</v>
      </c>
      <c r="I1317" s="1521" t="s">
        <v>4096</v>
      </c>
      <c r="J1317" s="1538">
        <v>0</v>
      </c>
      <c r="K1317" s="1525"/>
      <c r="L1317" s="1519">
        <v>13121006400</v>
      </c>
      <c r="M1317" s="1520">
        <v>0</v>
      </c>
      <c r="N1317" s="1520">
        <v>0</v>
      </c>
      <c r="O1317" s="1521">
        <v>0</v>
      </c>
    </row>
    <row r="1318" spans="3:15" ht="13.5">
      <c r="C1318" s="1526" t="s">
        <v>5276</v>
      </c>
      <c r="D1318" s="1523">
        <v>0</v>
      </c>
      <c r="E1318" s="1523">
        <v>0</v>
      </c>
      <c r="F1318" s="1524">
        <v>0</v>
      </c>
      <c r="G1318" s="1537" t="s">
        <v>5276</v>
      </c>
      <c r="H1318" s="1521">
        <v>0</v>
      </c>
      <c r="I1318" s="1521">
        <v>0</v>
      </c>
      <c r="J1318" s="1538">
        <v>0</v>
      </c>
      <c r="K1318" s="1525"/>
      <c r="L1318" s="1519">
        <v>13121006500</v>
      </c>
      <c r="M1318" s="1520">
        <v>0</v>
      </c>
      <c r="N1318" s="1520">
        <v>0</v>
      </c>
      <c r="O1318" s="1521">
        <v>0</v>
      </c>
    </row>
    <row r="1319" spans="3:15" ht="13.5">
      <c r="C1319" s="1526" t="s">
        <v>5277</v>
      </c>
      <c r="D1319" s="1523">
        <v>0</v>
      </c>
      <c r="E1319" s="1523">
        <v>0</v>
      </c>
      <c r="F1319" s="1524">
        <v>0</v>
      </c>
      <c r="G1319" s="1537" t="s">
        <v>5277</v>
      </c>
      <c r="H1319" s="1521">
        <v>0</v>
      </c>
      <c r="I1319" s="1521">
        <v>0</v>
      </c>
      <c r="J1319" s="1538">
        <v>0</v>
      </c>
      <c r="K1319" s="1525"/>
      <c r="L1319" s="1519">
        <v>13121006601</v>
      </c>
      <c r="M1319" s="1520">
        <v>0</v>
      </c>
      <c r="N1319" s="1520">
        <v>0</v>
      </c>
      <c r="O1319" s="1521">
        <v>0</v>
      </c>
    </row>
    <row r="1320" spans="3:15" ht="13.5">
      <c r="C1320" s="1526" t="s">
        <v>5278</v>
      </c>
      <c r="D1320" s="1523">
        <v>0</v>
      </c>
      <c r="E1320" s="1523">
        <v>0</v>
      </c>
      <c r="F1320" s="1524">
        <v>0</v>
      </c>
      <c r="G1320" s="1537" t="s">
        <v>5278</v>
      </c>
      <c r="H1320" s="1521">
        <v>0</v>
      </c>
      <c r="I1320" s="1521">
        <v>0</v>
      </c>
      <c r="J1320" s="1538">
        <v>0</v>
      </c>
      <c r="K1320" s="1525"/>
      <c r="L1320" s="1519">
        <v>13121006602</v>
      </c>
      <c r="M1320" s="1520">
        <v>0</v>
      </c>
      <c r="N1320" s="1520">
        <v>0</v>
      </c>
      <c r="O1320" s="1521">
        <v>0</v>
      </c>
    </row>
    <row r="1321" spans="3:15" ht="13.5">
      <c r="C1321" s="1526" t="s">
        <v>5279</v>
      </c>
      <c r="D1321" s="1523">
        <v>0</v>
      </c>
      <c r="E1321" s="1523">
        <v>0</v>
      </c>
      <c r="F1321" s="1524">
        <v>0</v>
      </c>
      <c r="G1321" s="1537" t="s">
        <v>5279</v>
      </c>
      <c r="H1321" s="1521">
        <v>0</v>
      </c>
      <c r="I1321" s="1521">
        <v>0</v>
      </c>
      <c r="J1321" s="1538">
        <v>0</v>
      </c>
      <c r="K1321" s="1525"/>
      <c r="L1321" s="1519">
        <v>13121006700</v>
      </c>
      <c r="M1321" s="1520">
        <v>0</v>
      </c>
      <c r="N1321" s="1520">
        <v>0</v>
      </c>
      <c r="O1321" s="1521">
        <v>0</v>
      </c>
    </row>
    <row r="1322" spans="3:15" ht="13.5">
      <c r="C1322" s="1526" t="s">
        <v>5280</v>
      </c>
      <c r="D1322" s="1523" t="s">
        <v>4096</v>
      </c>
      <c r="E1322" s="1523" t="s">
        <v>4096</v>
      </c>
      <c r="F1322" s="1524">
        <v>0</v>
      </c>
      <c r="G1322" s="1537" t="s">
        <v>5280</v>
      </c>
      <c r="H1322" s="1521" t="s">
        <v>4096</v>
      </c>
      <c r="I1322" s="1521" t="s">
        <v>4096</v>
      </c>
      <c r="J1322" s="1538">
        <v>0</v>
      </c>
      <c r="K1322" s="1525"/>
      <c r="L1322" s="1519">
        <v>13121006801</v>
      </c>
      <c r="M1322" s="1520">
        <v>0</v>
      </c>
      <c r="N1322" s="1520">
        <v>0</v>
      </c>
      <c r="O1322" s="1521">
        <v>0</v>
      </c>
    </row>
    <row r="1323" spans="3:15" ht="13.5">
      <c r="C1323" s="1526" t="s">
        <v>5281</v>
      </c>
      <c r="D1323" s="1523">
        <v>0</v>
      </c>
      <c r="E1323" s="1523">
        <v>0</v>
      </c>
      <c r="F1323" s="1524">
        <v>0</v>
      </c>
      <c r="G1323" s="1537" t="s">
        <v>5281</v>
      </c>
      <c r="H1323" s="1521">
        <v>0</v>
      </c>
      <c r="I1323" s="1521">
        <v>0</v>
      </c>
      <c r="J1323" s="1538">
        <v>0</v>
      </c>
      <c r="K1323" s="1525"/>
      <c r="L1323" s="1519">
        <v>13121006802</v>
      </c>
      <c r="M1323" s="1520">
        <v>0</v>
      </c>
      <c r="N1323" s="1520">
        <v>0</v>
      </c>
      <c r="O1323" s="1521">
        <v>0</v>
      </c>
    </row>
    <row r="1324" spans="3:15" ht="13.5">
      <c r="C1324" s="1526" t="s">
        <v>5282</v>
      </c>
      <c r="D1324" s="1523">
        <v>0</v>
      </c>
      <c r="E1324" s="1523">
        <v>0</v>
      </c>
      <c r="F1324" s="1524">
        <v>0</v>
      </c>
      <c r="G1324" s="1537" t="s">
        <v>5282</v>
      </c>
      <c r="H1324" s="1521">
        <v>1</v>
      </c>
      <c r="I1324" s="1521">
        <v>0</v>
      </c>
      <c r="J1324" s="1538">
        <v>1</v>
      </c>
      <c r="K1324" s="1525"/>
      <c r="L1324" s="1519">
        <v>13121006900</v>
      </c>
      <c r="M1324" s="1520">
        <v>1</v>
      </c>
      <c r="N1324" s="1520">
        <v>0</v>
      </c>
      <c r="O1324" s="1521">
        <v>1</v>
      </c>
    </row>
    <row r="1325" spans="3:15" ht="13.5">
      <c r="C1325" s="1526" t="s">
        <v>5283</v>
      </c>
      <c r="D1325" s="1523">
        <v>0</v>
      </c>
      <c r="E1325" s="1523">
        <v>0</v>
      </c>
      <c r="F1325" s="1524">
        <v>0</v>
      </c>
      <c r="G1325" s="1537" t="s">
        <v>5283</v>
      </c>
      <c r="H1325" s="1521">
        <v>0</v>
      </c>
      <c r="I1325" s="1521">
        <v>0</v>
      </c>
      <c r="J1325" s="1538">
        <v>0</v>
      </c>
      <c r="K1325" s="1525"/>
      <c r="L1325" s="1519">
        <v>13121007001</v>
      </c>
      <c r="M1325" s="1520">
        <v>0</v>
      </c>
      <c r="N1325" s="1520">
        <v>0</v>
      </c>
      <c r="O1325" s="1521">
        <v>0</v>
      </c>
    </row>
    <row r="1326" spans="3:15" ht="13.5">
      <c r="C1326" s="1526" t="s">
        <v>5284</v>
      </c>
      <c r="D1326" s="1523">
        <v>0</v>
      </c>
      <c r="E1326" s="1523">
        <v>0</v>
      </c>
      <c r="F1326" s="1524">
        <v>0</v>
      </c>
      <c r="G1326" s="1537" t="s">
        <v>5284</v>
      </c>
      <c r="H1326" s="1521">
        <v>0</v>
      </c>
      <c r="I1326" s="1521">
        <v>0</v>
      </c>
      <c r="J1326" s="1538">
        <v>0</v>
      </c>
      <c r="K1326" s="1525"/>
      <c r="L1326" s="1519">
        <v>13121007002</v>
      </c>
      <c r="M1326" s="1520">
        <v>0</v>
      </c>
      <c r="N1326" s="1520">
        <v>0</v>
      </c>
      <c r="O1326" s="1521">
        <v>0</v>
      </c>
    </row>
    <row r="1327" spans="3:15" ht="13.5">
      <c r="C1327" s="1526" t="s">
        <v>5285</v>
      </c>
      <c r="D1327" s="1523">
        <v>0</v>
      </c>
      <c r="E1327" s="1523">
        <v>0</v>
      </c>
      <c r="F1327" s="1524">
        <v>0</v>
      </c>
      <c r="G1327" s="1537" t="s">
        <v>5285</v>
      </c>
      <c r="H1327" s="1521">
        <v>0</v>
      </c>
      <c r="I1327" s="1521">
        <v>0</v>
      </c>
      <c r="J1327" s="1538">
        <v>0</v>
      </c>
      <c r="K1327" s="1525"/>
      <c r="L1327" s="1519">
        <v>13121007100</v>
      </c>
      <c r="M1327" s="1520">
        <v>0</v>
      </c>
      <c r="N1327" s="1520">
        <v>0</v>
      </c>
      <c r="O1327" s="1521">
        <v>0</v>
      </c>
    </row>
    <row r="1328" spans="3:15" ht="13.5">
      <c r="C1328" s="1526" t="s">
        <v>5286</v>
      </c>
      <c r="D1328" s="1523">
        <v>0</v>
      </c>
      <c r="E1328" s="1523">
        <v>0</v>
      </c>
      <c r="F1328" s="1524">
        <v>0</v>
      </c>
      <c r="G1328" s="1537" t="s">
        <v>5286</v>
      </c>
      <c r="H1328" s="1521">
        <v>0</v>
      </c>
      <c r="I1328" s="1521">
        <v>0</v>
      </c>
      <c r="J1328" s="1538">
        <v>0</v>
      </c>
      <c r="K1328" s="1525"/>
      <c r="L1328" s="1519">
        <v>13121007200</v>
      </c>
      <c r="M1328" s="1520">
        <v>0</v>
      </c>
      <c r="N1328" s="1520">
        <v>0</v>
      </c>
      <c r="O1328" s="1521">
        <v>0</v>
      </c>
    </row>
    <row r="1329" spans="3:15" ht="13.5">
      <c r="C1329" s="1526" t="s">
        <v>5287</v>
      </c>
      <c r="D1329" s="1523">
        <v>0</v>
      </c>
      <c r="E1329" s="1523">
        <v>0</v>
      </c>
      <c r="F1329" s="1524">
        <v>0</v>
      </c>
      <c r="G1329" s="1537" t="s">
        <v>5287</v>
      </c>
      <c r="H1329" s="1521">
        <v>0</v>
      </c>
      <c r="I1329" s="1521">
        <v>0</v>
      </c>
      <c r="J1329" s="1538">
        <v>0</v>
      </c>
      <c r="K1329" s="1525"/>
      <c r="L1329" s="1519">
        <v>13121007300</v>
      </c>
      <c r="M1329" s="1520">
        <v>0</v>
      </c>
      <c r="N1329" s="1520">
        <v>0</v>
      </c>
      <c r="O1329" s="1521">
        <v>0</v>
      </c>
    </row>
    <row r="1330" spans="3:15" ht="13.5">
      <c r="C1330" s="1526" t="s">
        <v>5288</v>
      </c>
      <c r="D1330" s="1523">
        <v>0</v>
      </c>
      <c r="E1330" s="1523">
        <v>0</v>
      </c>
      <c r="F1330" s="1524">
        <v>0</v>
      </c>
      <c r="G1330" s="1537" t="s">
        <v>5288</v>
      </c>
      <c r="H1330" s="1521">
        <v>0</v>
      </c>
      <c r="I1330" s="1521">
        <v>0</v>
      </c>
      <c r="J1330" s="1538">
        <v>0</v>
      </c>
      <c r="K1330" s="1525"/>
      <c r="L1330" s="1519">
        <v>13121007400</v>
      </c>
      <c r="M1330" s="1520">
        <v>0</v>
      </c>
      <c r="N1330" s="1520">
        <v>0</v>
      </c>
      <c r="O1330" s="1521">
        <v>0</v>
      </c>
    </row>
    <row r="1331" spans="3:15" ht="13.5">
      <c r="C1331" s="1526" t="s">
        <v>5289</v>
      </c>
      <c r="D1331" s="1523">
        <v>0</v>
      </c>
      <c r="E1331" s="1523">
        <v>0</v>
      </c>
      <c r="F1331" s="1524">
        <v>0</v>
      </c>
      <c r="G1331" s="1537" t="s">
        <v>5289</v>
      </c>
      <c r="H1331" s="1521">
        <v>0</v>
      </c>
      <c r="I1331" s="1521">
        <v>0</v>
      </c>
      <c r="J1331" s="1538">
        <v>0</v>
      </c>
      <c r="K1331" s="1525"/>
      <c r="L1331" s="1519">
        <v>13121007500</v>
      </c>
      <c r="M1331" s="1520">
        <v>0</v>
      </c>
      <c r="N1331" s="1520">
        <v>0</v>
      </c>
      <c r="O1331" s="1521">
        <v>0</v>
      </c>
    </row>
    <row r="1332" spans="3:15" ht="13.5">
      <c r="C1332" s="1526" t="s">
        <v>5290</v>
      </c>
      <c r="D1332" s="1523">
        <v>0</v>
      </c>
      <c r="E1332" s="1523">
        <v>0</v>
      </c>
      <c r="F1332" s="1524">
        <v>0</v>
      </c>
      <c r="G1332" s="1537" t="s">
        <v>5290</v>
      </c>
      <c r="H1332" s="1521">
        <v>0</v>
      </c>
      <c r="I1332" s="1521">
        <v>0</v>
      </c>
      <c r="J1332" s="1538">
        <v>0</v>
      </c>
      <c r="K1332" s="1525"/>
      <c r="L1332" s="1519">
        <v>13121007602</v>
      </c>
      <c r="M1332" s="1520">
        <v>0</v>
      </c>
      <c r="N1332" s="1520">
        <v>0</v>
      </c>
      <c r="O1332" s="1521">
        <v>0</v>
      </c>
    </row>
    <row r="1333" spans="3:15" ht="13.5">
      <c r="C1333" s="1526" t="s">
        <v>5291</v>
      </c>
      <c r="D1333" s="1523">
        <v>0</v>
      </c>
      <c r="E1333" s="1523">
        <v>0</v>
      </c>
      <c r="F1333" s="1524">
        <v>0</v>
      </c>
      <c r="G1333" s="1537" t="s">
        <v>5291</v>
      </c>
      <c r="H1333" s="1521">
        <v>0</v>
      </c>
      <c r="I1333" s="1521">
        <v>0</v>
      </c>
      <c r="J1333" s="1538">
        <v>0</v>
      </c>
      <c r="K1333" s="1525"/>
      <c r="L1333" s="1519">
        <v>13121007603</v>
      </c>
      <c r="M1333" s="1520">
        <v>0</v>
      </c>
      <c r="N1333" s="1520">
        <v>0</v>
      </c>
      <c r="O1333" s="1521">
        <v>0</v>
      </c>
    </row>
    <row r="1334" spans="3:15" ht="13.5">
      <c r="C1334" s="1526" t="s">
        <v>5292</v>
      </c>
      <c r="D1334" s="1523">
        <v>0</v>
      </c>
      <c r="E1334" s="1523">
        <v>0</v>
      </c>
      <c r="F1334" s="1524">
        <v>0</v>
      </c>
      <c r="G1334" s="1537" t="s">
        <v>5292</v>
      </c>
      <c r="H1334" s="1521">
        <v>0</v>
      </c>
      <c r="I1334" s="1521" t="s">
        <v>4096</v>
      </c>
      <c r="J1334" s="1538">
        <v>0</v>
      </c>
      <c r="K1334" s="1525"/>
      <c r="L1334" s="1519">
        <v>13121007604</v>
      </c>
      <c r="M1334" s="1520">
        <v>0</v>
      </c>
      <c r="N1334" s="1520">
        <v>0</v>
      </c>
      <c r="O1334" s="1521">
        <v>0</v>
      </c>
    </row>
    <row r="1335" spans="3:15" ht="13.5">
      <c r="C1335" s="1526" t="s">
        <v>5293</v>
      </c>
      <c r="D1335" s="1523">
        <v>0</v>
      </c>
      <c r="E1335" s="1523">
        <v>0</v>
      </c>
      <c r="F1335" s="1524">
        <v>0</v>
      </c>
      <c r="G1335" s="1537" t="s">
        <v>5293</v>
      </c>
      <c r="H1335" s="1521">
        <v>0</v>
      </c>
      <c r="I1335" s="1521">
        <v>0</v>
      </c>
      <c r="J1335" s="1538">
        <v>0</v>
      </c>
      <c r="K1335" s="1525"/>
      <c r="L1335" s="1519">
        <v>13121007703</v>
      </c>
      <c r="M1335" s="1520">
        <v>0</v>
      </c>
      <c r="N1335" s="1520">
        <v>0</v>
      </c>
      <c r="O1335" s="1521">
        <v>0</v>
      </c>
    </row>
    <row r="1336" spans="3:15" ht="13.5">
      <c r="C1336" s="1526" t="s">
        <v>5294</v>
      </c>
      <c r="D1336" s="1523">
        <v>0</v>
      </c>
      <c r="E1336" s="1523">
        <v>0</v>
      </c>
      <c r="F1336" s="1524">
        <v>0</v>
      </c>
      <c r="G1336" s="1537" t="s">
        <v>5294</v>
      </c>
      <c r="H1336" s="1521">
        <v>0</v>
      </c>
      <c r="I1336" s="1521">
        <v>0</v>
      </c>
      <c r="J1336" s="1538">
        <v>0</v>
      </c>
      <c r="K1336" s="1525"/>
      <c r="L1336" s="1519">
        <v>13121007704</v>
      </c>
      <c r="M1336" s="1520">
        <v>0</v>
      </c>
      <c r="N1336" s="1520">
        <v>0</v>
      </c>
      <c r="O1336" s="1521">
        <v>0</v>
      </c>
    </row>
    <row r="1337" spans="3:15" ht="13.5">
      <c r="C1337" s="1526" t="s">
        <v>5295</v>
      </c>
      <c r="D1337" s="1523">
        <v>0</v>
      </c>
      <c r="E1337" s="1523">
        <v>0</v>
      </c>
      <c r="F1337" s="1524">
        <v>0</v>
      </c>
      <c r="G1337" s="1537" t="s">
        <v>5295</v>
      </c>
      <c r="H1337" s="1521">
        <v>0</v>
      </c>
      <c r="I1337" s="1521">
        <v>0</v>
      </c>
      <c r="J1337" s="1538">
        <v>0</v>
      </c>
      <c r="K1337" s="1525"/>
      <c r="L1337" s="1519">
        <v>13121007705</v>
      </c>
      <c r="M1337" s="1520">
        <v>0</v>
      </c>
      <c r="N1337" s="1520">
        <v>0</v>
      </c>
      <c r="O1337" s="1521">
        <v>0</v>
      </c>
    </row>
    <row r="1338" spans="3:15" ht="13.5">
      <c r="C1338" s="1526" t="s">
        <v>5296</v>
      </c>
      <c r="D1338" s="1523">
        <v>0</v>
      </c>
      <c r="E1338" s="1523">
        <v>0</v>
      </c>
      <c r="F1338" s="1524">
        <v>0</v>
      </c>
      <c r="G1338" s="1537" t="s">
        <v>5296</v>
      </c>
      <c r="H1338" s="1521">
        <v>0</v>
      </c>
      <c r="I1338" s="1521">
        <v>1</v>
      </c>
      <c r="J1338" s="1538">
        <v>1</v>
      </c>
      <c r="K1338" s="1525"/>
      <c r="L1338" s="1519">
        <v>13121007706</v>
      </c>
      <c r="M1338" s="1520">
        <v>0</v>
      </c>
      <c r="N1338" s="1520">
        <v>1</v>
      </c>
      <c r="O1338" s="1521">
        <v>1</v>
      </c>
    </row>
    <row r="1339" spans="3:15" ht="13.5">
      <c r="C1339" s="1526" t="s">
        <v>5297</v>
      </c>
      <c r="D1339" s="1523">
        <v>0</v>
      </c>
      <c r="E1339" s="1523">
        <v>0</v>
      </c>
      <c r="F1339" s="1524">
        <v>0</v>
      </c>
      <c r="G1339" s="1537" t="s">
        <v>5297</v>
      </c>
      <c r="H1339" s="1521">
        <v>0</v>
      </c>
      <c r="I1339" s="1521">
        <v>0</v>
      </c>
      <c r="J1339" s="1538">
        <v>0</v>
      </c>
      <c r="K1339" s="1525"/>
      <c r="L1339" s="1519">
        <v>13121007802</v>
      </c>
      <c r="M1339" s="1520">
        <v>0</v>
      </c>
      <c r="N1339" s="1520">
        <v>0</v>
      </c>
      <c r="O1339" s="1521">
        <v>0</v>
      </c>
    </row>
    <row r="1340" spans="3:15" ht="13.5">
      <c r="C1340" s="1526" t="s">
        <v>5298</v>
      </c>
      <c r="D1340" s="1523">
        <v>0</v>
      </c>
      <c r="E1340" s="1523">
        <v>0</v>
      </c>
      <c r="F1340" s="1524">
        <v>0</v>
      </c>
      <c r="G1340" s="1537" t="s">
        <v>5298</v>
      </c>
      <c r="H1340" s="1521">
        <v>0</v>
      </c>
      <c r="I1340" s="1521">
        <v>0</v>
      </c>
      <c r="J1340" s="1538">
        <v>0</v>
      </c>
      <c r="K1340" s="1525"/>
      <c r="L1340" s="1519">
        <v>13121007805</v>
      </c>
      <c r="M1340" s="1520">
        <v>0</v>
      </c>
      <c r="N1340" s="1520">
        <v>0</v>
      </c>
      <c r="O1340" s="1521">
        <v>0</v>
      </c>
    </row>
    <row r="1341" spans="3:15" ht="13.5">
      <c r="C1341" s="1526" t="s">
        <v>5299</v>
      </c>
      <c r="D1341" s="1523">
        <v>0</v>
      </c>
      <c r="E1341" s="1523">
        <v>0</v>
      </c>
      <c r="F1341" s="1524">
        <v>0</v>
      </c>
      <c r="G1341" s="1537" t="s">
        <v>5299</v>
      </c>
      <c r="H1341" s="1521">
        <v>0</v>
      </c>
      <c r="I1341" s="1521">
        <v>1</v>
      </c>
      <c r="J1341" s="1538">
        <v>1</v>
      </c>
      <c r="K1341" s="1525"/>
      <c r="L1341" s="1519">
        <v>13121007806</v>
      </c>
      <c r="M1341" s="1520">
        <v>0</v>
      </c>
      <c r="N1341" s="1520">
        <v>1</v>
      </c>
      <c r="O1341" s="1521">
        <v>1</v>
      </c>
    </row>
    <row r="1342" spans="3:15" ht="13.5">
      <c r="C1342" s="1526" t="s">
        <v>5300</v>
      </c>
      <c r="D1342" s="1523">
        <v>0</v>
      </c>
      <c r="E1342" s="1523">
        <v>0</v>
      </c>
      <c r="F1342" s="1524">
        <v>0</v>
      </c>
      <c r="G1342" s="1537" t="s">
        <v>5300</v>
      </c>
      <c r="H1342" s="1521">
        <v>0</v>
      </c>
      <c r="I1342" s="1521">
        <v>0</v>
      </c>
      <c r="J1342" s="1538">
        <v>0</v>
      </c>
      <c r="K1342" s="1525"/>
      <c r="L1342" s="1519">
        <v>13121007807</v>
      </c>
      <c r="M1342" s="1520">
        <v>0</v>
      </c>
      <c r="N1342" s="1520">
        <v>0</v>
      </c>
      <c r="O1342" s="1521">
        <v>0</v>
      </c>
    </row>
    <row r="1343" spans="3:15" ht="13.5">
      <c r="C1343" s="1526" t="s">
        <v>5301</v>
      </c>
      <c r="D1343" s="1523">
        <v>0</v>
      </c>
      <c r="E1343" s="1523">
        <v>0</v>
      </c>
      <c r="F1343" s="1524">
        <v>0</v>
      </c>
      <c r="G1343" s="1537" t="s">
        <v>5301</v>
      </c>
      <c r="H1343" s="1521">
        <v>0</v>
      </c>
      <c r="I1343" s="1521">
        <v>0</v>
      </c>
      <c r="J1343" s="1538">
        <v>0</v>
      </c>
      <c r="K1343" s="1525"/>
      <c r="L1343" s="1519">
        <v>13121007808</v>
      </c>
      <c r="M1343" s="1520">
        <v>0</v>
      </c>
      <c r="N1343" s="1520">
        <v>0</v>
      </c>
      <c r="O1343" s="1521">
        <v>0</v>
      </c>
    </row>
    <row r="1344" spans="3:15" ht="13.5">
      <c r="C1344" s="1526" t="s">
        <v>5302</v>
      </c>
      <c r="D1344" s="1523">
        <v>0</v>
      </c>
      <c r="E1344" s="1523">
        <v>0</v>
      </c>
      <c r="F1344" s="1524">
        <v>0</v>
      </c>
      <c r="G1344" s="1537" t="s">
        <v>5302</v>
      </c>
      <c r="H1344" s="1521">
        <v>1</v>
      </c>
      <c r="I1344" s="1521">
        <v>1</v>
      </c>
      <c r="J1344" s="1538">
        <v>2</v>
      </c>
      <c r="K1344" s="1525"/>
      <c r="L1344" s="1519">
        <v>13121007900</v>
      </c>
      <c r="M1344" s="1520">
        <v>1</v>
      </c>
      <c r="N1344" s="1520">
        <v>1</v>
      </c>
      <c r="O1344" s="1521">
        <v>2</v>
      </c>
    </row>
    <row r="1345" spans="3:15" ht="13.5">
      <c r="C1345" s="1526" t="s">
        <v>5303</v>
      </c>
      <c r="D1345" s="1523">
        <v>0</v>
      </c>
      <c r="E1345" s="1523">
        <v>0</v>
      </c>
      <c r="F1345" s="1524">
        <v>0</v>
      </c>
      <c r="G1345" s="1537" t="s">
        <v>5303</v>
      </c>
      <c r="H1345" s="1521">
        <v>0</v>
      </c>
      <c r="I1345" s="1521">
        <v>0</v>
      </c>
      <c r="J1345" s="1538">
        <v>0</v>
      </c>
      <c r="K1345" s="1525"/>
      <c r="L1345" s="1519">
        <v>13121008000</v>
      </c>
      <c r="M1345" s="1520">
        <v>0</v>
      </c>
      <c r="N1345" s="1520">
        <v>0</v>
      </c>
      <c r="O1345" s="1521">
        <v>0</v>
      </c>
    </row>
    <row r="1346" spans="3:15" ht="13.5">
      <c r="C1346" s="1526" t="s">
        <v>5304</v>
      </c>
      <c r="D1346" s="1523">
        <v>0</v>
      </c>
      <c r="E1346" s="1523">
        <v>0</v>
      </c>
      <c r="F1346" s="1524">
        <v>0</v>
      </c>
      <c r="G1346" s="1537" t="s">
        <v>5304</v>
      </c>
      <c r="H1346" s="1521">
        <v>0</v>
      </c>
      <c r="I1346" s="1521">
        <v>0</v>
      </c>
      <c r="J1346" s="1538">
        <v>0</v>
      </c>
      <c r="K1346" s="1525"/>
      <c r="L1346" s="1519">
        <v>13121008101</v>
      </c>
      <c r="M1346" s="1520">
        <v>0</v>
      </c>
      <c r="N1346" s="1520">
        <v>0</v>
      </c>
      <c r="O1346" s="1521">
        <v>0</v>
      </c>
    </row>
    <row r="1347" spans="3:15" ht="13.5">
      <c r="C1347" s="1526" t="s">
        <v>5305</v>
      </c>
      <c r="D1347" s="1523">
        <v>0</v>
      </c>
      <c r="E1347" s="1523">
        <v>0</v>
      </c>
      <c r="F1347" s="1524">
        <v>0</v>
      </c>
      <c r="G1347" s="1537" t="s">
        <v>5305</v>
      </c>
      <c r="H1347" s="1521">
        <v>0</v>
      </c>
      <c r="I1347" s="1521">
        <v>0</v>
      </c>
      <c r="J1347" s="1538">
        <v>0</v>
      </c>
      <c r="K1347" s="1525"/>
      <c r="L1347" s="1519">
        <v>13121008102</v>
      </c>
      <c r="M1347" s="1520">
        <v>0</v>
      </c>
      <c r="N1347" s="1520">
        <v>0</v>
      </c>
      <c r="O1347" s="1521">
        <v>0</v>
      </c>
    </row>
    <row r="1348" spans="3:15" ht="13.5">
      <c r="C1348" s="1526" t="s">
        <v>5306</v>
      </c>
      <c r="D1348" s="1523">
        <v>0</v>
      </c>
      <c r="E1348" s="1523">
        <v>0</v>
      </c>
      <c r="F1348" s="1524">
        <v>0</v>
      </c>
      <c r="G1348" s="1537" t="s">
        <v>5306</v>
      </c>
      <c r="H1348" s="1521">
        <v>0</v>
      </c>
      <c r="I1348" s="1521">
        <v>0</v>
      </c>
      <c r="J1348" s="1538">
        <v>0</v>
      </c>
      <c r="K1348" s="1525"/>
      <c r="L1348" s="1519">
        <v>13121008201</v>
      </c>
      <c r="M1348" s="1520">
        <v>0</v>
      </c>
      <c r="N1348" s="1520">
        <v>0</v>
      </c>
      <c r="O1348" s="1521">
        <v>0</v>
      </c>
    </row>
    <row r="1349" spans="3:15" ht="13.5">
      <c r="C1349" s="1526" t="s">
        <v>5307</v>
      </c>
      <c r="D1349" s="1523">
        <v>0</v>
      </c>
      <c r="E1349" s="1523">
        <v>0</v>
      </c>
      <c r="F1349" s="1524">
        <v>0</v>
      </c>
      <c r="G1349" s="1537" t="s">
        <v>5307</v>
      </c>
      <c r="H1349" s="1521">
        <v>0</v>
      </c>
      <c r="I1349" s="1521">
        <v>0</v>
      </c>
      <c r="J1349" s="1538">
        <v>0</v>
      </c>
      <c r="K1349" s="1525"/>
      <c r="L1349" s="1519">
        <v>13121008202</v>
      </c>
      <c r="M1349" s="1520">
        <v>0</v>
      </c>
      <c r="N1349" s="1520">
        <v>0</v>
      </c>
      <c r="O1349" s="1521">
        <v>0</v>
      </c>
    </row>
    <row r="1350" spans="3:15" ht="13.5">
      <c r="C1350" s="1526" t="s">
        <v>5308</v>
      </c>
      <c r="D1350" s="1523">
        <v>0</v>
      </c>
      <c r="E1350" s="1523">
        <v>0</v>
      </c>
      <c r="F1350" s="1524">
        <v>0</v>
      </c>
      <c r="G1350" s="1537" t="s">
        <v>5308</v>
      </c>
      <c r="H1350" s="1521">
        <v>0</v>
      </c>
      <c r="I1350" s="1521" t="s">
        <v>4096</v>
      </c>
      <c r="J1350" s="1538">
        <v>0</v>
      </c>
      <c r="K1350" s="1525"/>
      <c r="L1350" s="1519">
        <v>13121008301</v>
      </c>
      <c r="M1350" s="1520">
        <v>0</v>
      </c>
      <c r="N1350" s="1520">
        <v>0</v>
      </c>
      <c r="O1350" s="1521">
        <v>0</v>
      </c>
    </row>
    <row r="1351" spans="3:15" ht="13.5">
      <c r="C1351" s="1526" t="s">
        <v>5309</v>
      </c>
      <c r="D1351" s="1523">
        <v>0</v>
      </c>
      <c r="E1351" s="1523">
        <v>0</v>
      </c>
      <c r="F1351" s="1524">
        <v>0</v>
      </c>
      <c r="G1351" s="1537" t="s">
        <v>5309</v>
      </c>
      <c r="H1351" s="1521">
        <v>0</v>
      </c>
      <c r="I1351" s="1521" t="s">
        <v>4096</v>
      </c>
      <c r="J1351" s="1538">
        <v>0</v>
      </c>
      <c r="K1351" s="1525"/>
      <c r="L1351" s="1519">
        <v>13121008302</v>
      </c>
      <c r="M1351" s="1520">
        <v>0</v>
      </c>
      <c r="N1351" s="1520">
        <v>0</v>
      </c>
      <c r="O1351" s="1521">
        <v>0</v>
      </c>
    </row>
    <row r="1352" spans="3:15" ht="13.5">
      <c r="C1352" s="1526" t="s">
        <v>5310</v>
      </c>
      <c r="D1352" s="1523">
        <v>0</v>
      </c>
      <c r="E1352" s="1523">
        <v>0</v>
      </c>
      <c r="F1352" s="1524">
        <v>0</v>
      </c>
      <c r="G1352" s="1537" t="s">
        <v>5310</v>
      </c>
      <c r="H1352" s="1521">
        <v>0</v>
      </c>
      <c r="I1352" s="1521">
        <v>0</v>
      </c>
      <c r="J1352" s="1538">
        <v>0</v>
      </c>
      <c r="K1352" s="1525"/>
      <c r="L1352" s="1519">
        <v>13121008400</v>
      </c>
      <c r="M1352" s="1520">
        <v>0</v>
      </c>
      <c r="N1352" s="1520">
        <v>0</v>
      </c>
      <c r="O1352" s="1521">
        <v>0</v>
      </c>
    </row>
    <row r="1353" spans="3:15" ht="13.5">
      <c r="C1353" s="1526" t="s">
        <v>5311</v>
      </c>
      <c r="D1353" s="1523">
        <v>0</v>
      </c>
      <c r="E1353" s="1523">
        <v>0</v>
      </c>
      <c r="F1353" s="1524">
        <v>0</v>
      </c>
      <c r="G1353" s="1537" t="s">
        <v>5311</v>
      </c>
      <c r="H1353" s="1521">
        <v>0</v>
      </c>
      <c r="I1353" s="1521">
        <v>0</v>
      </c>
      <c r="J1353" s="1538">
        <v>0</v>
      </c>
      <c r="K1353" s="1525"/>
      <c r="L1353" s="1519">
        <v>13121008500</v>
      </c>
      <c r="M1353" s="1520">
        <v>0</v>
      </c>
      <c r="N1353" s="1520">
        <v>0</v>
      </c>
      <c r="O1353" s="1521">
        <v>0</v>
      </c>
    </row>
    <row r="1354" spans="3:15" ht="13.5">
      <c r="C1354" s="1526" t="s">
        <v>5312</v>
      </c>
      <c r="D1354" s="1523">
        <v>0</v>
      </c>
      <c r="E1354" s="1523">
        <v>0</v>
      </c>
      <c r="F1354" s="1524">
        <v>0</v>
      </c>
      <c r="G1354" s="1537" t="s">
        <v>5312</v>
      </c>
      <c r="H1354" s="1521">
        <v>0</v>
      </c>
      <c r="I1354" s="1521">
        <v>0</v>
      </c>
      <c r="J1354" s="1538">
        <v>0</v>
      </c>
      <c r="K1354" s="1525"/>
      <c r="L1354" s="1519">
        <v>13121008601</v>
      </c>
      <c r="M1354" s="1520">
        <v>0</v>
      </c>
      <c r="N1354" s="1520">
        <v>0</v>
      </c>
      <c r="O1354" s="1521">
        <v>0</v>
      </c>
    </row>
    <row r="1355" spans="3:15" ht="13.5">
      <c r="C1355" s="1526" t="s">
        <v>5313</v>
      </c>
      <c r="D1355" s="1523">
        <v>0</v>
      </c>
      <c r="E1355" s="1523">
        <v>0</v>
      </c>
      <c r="F1355" s="1524">
        <v>0</v>
      </c>
      <c r="G1355" s="1537" t="s">
        <v>5313</v>
      </c>
      <c r="H1355" s="1521">
        <v>0</v>
      </c>
      <c r="I1355" s="1521" t="s">
        <v>4096</v>
      </c>
      <c r="J1355" s="1538">
        <v>0</v>
      </c>
      <c r="K1355" s="1525"/>
      <c r="L1355" s="1519">
        <v>13121008602</v>
      </c>
      <c r="M1355" s="1520">
        <v>0</v>
      </c>
      <c r="N1355" s="1520">
        <v>0</v>
      </c>
      <c r="O1355" s="1521">
        <v>0</v>
      </c>
    </row>
    <row r="1356" spans="3:15" ht="13.5">
      <c r="C1356" s="1526" t="s">
        <v>5314</v>
      </c>
      <c r="D1356" s="1523">
        <v>0</v>
      </c>
      <c r="E1356" s="1523">
        <v>0</v>
      </c>
      <c r="F1356" s="1524">
        <v>0</v>
      </c>
      <c r="G1356" s="1537" t="s">
        <v>5314</v>
      </c>
      <c r="H1356" s="1521">
        <v>0</v>
      </c>
      <c r="I1356" s="1521">
        <v>0</v>
      </c>
      <c r="J1356" s="1538">
        <v>0</v>
      </c>
      <c r="K1356" s="1525"/>
      <c r="L1356" s="1519">
        <v>13121008700</v>
      </c>
      <c r="M1356" s="1520">
        <v>0</v>
      </c>
      <c r="N1356" s="1520">
        <v>0</v>
      </c>
      <c r="O1356" s="1521">
        <v>0</v>
      </c>
    </row>
    <row r="1357" spans="3:15" ht="13.5">
      <c r="C1357" s="1526" t="s">
        <v>5315</v>
      </c>
      <c r="D1357" s="1523">
        <v>1</v>
      </c>
      <c r="E1357" s="1523">
        <v>1</v>
      </c>
      <c r="F1357" s="1524">
        <v>2</v>
      </c>
      <c r="G1357" s="1537" t="s">
        <v>5315</v>
      </c>
      <c r="H1357" s="1521">
        <v>1</v>
      </c>
      <c r="I1357" s="1521" t="s">
        <v>4096</v>
      </c>
      <c r="J1357" s="1538">
        <v>1</v>
      </c>
      <c r="K1357" s="1525"/>
      <c r="L1357" s="1519">
        <v>13121008800</v>
      </c>
      <c r="M1357" s="1520">
        <v>1</v>
      </c>
      <c r="N1357" s="1520">
        <v>1</v>
      </c>
      <c r="O1357" s="1521">
        <v>2</v>
      </c>
    </row>
    <row r="1358" spans="3:15" ht="13.5">
      <c r="C1358" s="1526" t="s">
        <v>5316</v>
      </c>
      <c r="D1358" s="1523">
        <v>1</v>
      </c>
      <c r="E1358" s="1523">
        <v>1</v>
      </c>
      <c r="F1358" s="1524">
        <v>2</v>
      </c>
      <c r="G1358" s="1537" t="s">
        <v>5316</v>
      </c>
      <c r="H1358" s="1521">
        <v>1</v>
      </c>
      <c r="I1358" s="1521">
        <v>1</v>
      </c>
      <c r="J1358" s="1538">
        <v>2</v>
      </c>
      <c r="K1358" s="1525"/>
      <c r="L1358" s="1519">
        <v>13121008902</v>
      </c>
      <c r="M1358" s="1520">
        <v>1</v>
      </c>
      <c r="N1358" s="1520">
        <v>1</v>
      </c>
      <c r="O1358" s="1521">
        <v>2</v>
      </c>
    </row>
    <row r="1359" spans="3:15" ht="13.5">
      <c r="C1359" s="1526" t="s">
        <v>5317</v>
      </c>
      <c r="D1359" s="1523">
        <v>1</v>
      </c>
      <c r="E1359" s="1523">
        <v>0</v>
      </c>
      <c r="F1359" s="1524">
        <v>1</v>
      </c>
      <c r="G1359" s="1537" t="s">
        <v>5317</v>
      </c>
      <c r="H1359" s="1521">
        <v>1</v>
      </c>
      <c r="I1359" s="1521" t="s">
        <v>4096</v>
      </c>
      <c r="J1359" s="1538">
        <v>1</v>
      </c>
      <c r="K1359" s="1525"/>
      <c r="L1359" s="1519">
        <v>13121008903</v>
      </c>
      <c r="M1359" s="1520">
        <v>1</v>
      </c>
      <c r="N1359" s="1520">
        <v>0</v>
      </c>
      <c r="O1359" s="1521">
        <v>1</v>
      </c>
    </row>
    <row r="1360" spans="3:15" ht="13.5">
      <c r="C1360" s="1526" t="s">
        <v>5318</v>
      </c>
      <c r="D1360" s="1523">
        <v>1</v>
      </c>
      <c r="E1360" s="1523">
        <v>1</v>
      </c>
      <c r="F1360" s="1524">
        <v>2</v>
      </c>
      <c r="G1360" s="1537" t="s">
        <v>5318</v>
      </c>
      <c r="H1360" s="1521">
        <v>1</v>
      </c>
      <c r="I1360" s="1521">
        <v>1</v>
      </c>
      <c r="J1360" s="1538">
        <v>2</v>
      </c>
      <c r="K1360" s="1525"/>
      <c r="L1360" s="1519">
        <v>13121008904</v>
      </c>
      <c r="M1360" s="1520">
        <v>1</v>
      </c>
      <c r="N1360" s="1520">
        <v>1</v>
      </c>
      <c r="O1360" s="1521">
        <v>2</v>
      </c>
    </row>
    <row r="1361" spans="3:15" ht="13.5">
      <c r="C1361" s="1526" t="s">
        <v>5319</v>
      </c>
      <c r="D1361" s="1523">
        <v>1</v>
      </c>
      <c r="E1361" s="1523">
        <v>1</v>
      </c>
      <c r="F1361" s="1524">
        <v>2</v>
      </c>
      <c r="G1361" s="1537" t="s">
        <v>5319</v>
      </c>
      <c r="H1361" s="1521">
        <v>1</v>
      </c>
      <c r="I1361" s="1521">
        <v>1</v>
      </c>
      <c r="J1361" s="1538">
        <v>2</v>
      </c>
      <c r="K1361" s="1525"/>
      <c r="L1361" s="1519">
        <v>13121009000</v>
      </c>
      <c r="M1361" s="1520">
        <v>1</v>
      </c>
      <c r="N1361" s="1520">
        <v>1</v>
      </c>
      <c r="O1361" s="1521">
        <v>2</v>
      </c>
    </row>
    <row r="1362" spans="3:15" ht="13.5">
      <c r="C1362" s="1526" t="s">
        <v>5320</v>
      </c>
      <c r="D1362" s="1523">
        <v>1</v>
      </c>
      <c r="E1362" s="1523">
        <v>1</v>
      </c>
      <c r="F1362" s="1524">
        <v>2</v>
      </c>
      <c r="G1362" s="1537" t="s">
        <v>5320</v>
      </c>
      <c r="H1362" s="1521">
        <v>1</v>
      </c>
      <c r="I1362" s="1521">
        <v>1</v>
      </c>
      <c r="J1362" s="1538">
        <v>2</v>
      </c>
      <c r="K1362" s="1525"/>
      <c r="L1362" s="1519">
        <v>13121009101</v>
      </c>
      <c r="M1362" s="1520">
        <v>1</v>
      </c>
      <c r="N1362" s="1520">
        <v>1</v>
      </c>
      <c r="O1362" s="1521">
        <v>2</v>
      </c>
    </row>
    <row r="1363" spans="3:15" ht="13.5">
      <c r="C1363" s="1526" t="s">
        <v>5321</v>
      </c>
      <c r="D1363" s="1523">
        <v>1</v>
      </c>
      <c r="E1363" s="1523">
        <v>1</v>
      </c>
      <c r="F1363" s="1524">
        <v>2</v>
      </c>
      <c r="G1363" s="1537" t="s">
        <v>5321</v>
      </c>
      <c r="H1363" s="1521">
        <v>1</v>
      </c>
      <c r="I1363" s="1521">
        <v>1</v>
      </c>
      <c r="J1363" s="1538">
        <v>2</v>
      </c>
      <c r="K1363" s="1525"/>
      <c r="L1363" s="1519">
        <v>13121009102</v>
      </c>
      <c r="M1363" s="1520">
        <v>1</v>
      </c>
      <c r="N1363" s="1520">
        <v>1</v>
      </c>
      <c r="O1363" s="1521">
        <v>2</v>
      </c>
    </row>
    <row r="1364" spans="3:15" ht="13.5">
      <c r="C1364" s="1526" t="s">
        <v>5322</v>
      </c>
      <c r="D1364" s="1523">
        <v>1</v>
      </c>
      <c r="E1364" s="1523">
        <v>0</v>
      </c>
      <c r="F1364" s="1524">
        <v>1</v>
      </c>
      <c r="G1364" s="1537" t="s">
        <v>5322</v>
      </c>
      <c r="H1364" s="1521">
        <v>1</v>
      </c>
      <c r="I1364" s="1521">
        <v>1</v>
      </c>
      <c r="J1364" s="1538">
        <v>2</v>
      </c>
      <c r="K1364" s="1525"/>
      <c r="L1364" s="1519">
        <v>13121009200</v>
      </c>
      <c r="M1364" s="1520">
        <v>1</v>
      </c>
      <c r="N1364" s="1520">
        <v>1</v>
      </c>
      <c r="O1364" s="1521">
        <v>2</v>
      </c>
    </row>
    <row r="1365" spans="3:15" ht="13.5">
      <c r="C1365" s="1526" t="s">
        <v>5323</v>
      </c>
      <c r="D1365" s="1523">
        <v>1</v>
      </c>
      <c r="E1365" s="1523">
        <v>1</v>
      </c>
      <c r="F1365" s="1524">
        <v>2</v>
      </c>
      <c r="G1365" s="1537" t="s">
        <v>5323</v>
      </c>
      <c r="H1365" s="1521">
        <v>1</v>
      </c>
      <c r="I1365" s="1521">
        <v>1</v>
      </c>
      <c r="J1365" s="1538">
        <v>2</v>
      </c>
      <c r="K1365" s="1525"/>
      <c r="L1365" s="1519">
        <v>13121009300</v>
      </c>
      <c r="M1365" s="1520">
        <v>1</v>
      </c>
      <c r="N1365" s="1520">
        <v>1</v>
      </c>
      <c r="O1365" s="1521">
        <v>2</v>
      </c>
    </row>
    <row r="1366" spans="3:15" ht="13.5">
      <c r="C1366" s="1526" t="s">
        <v>5324</v>
      </c>
      <c r="D1366" s="1523">
        <v>1</v>
      </c>
      <c r="E1366" s="1523">
        <v>1</v>
      </c>
      <c r="F1366" s="1524">
        <v>2</v>
      </c>
      <c r="G1366" s="1537" t="s">
        <v>5324</v>
      </c>
      <c r="H1366" s="1521">
        <v>1</v>
      </c>
      <c r="I1366" s="1521" t="s">
        <v>4096</v>
      </c>
      <c r="J1366" s="1538">
        <v>1</v>
      </c>
      <c r="K1366" s="1525"/>
      <c r="L1366" s="1519">
        <v>13121009402</v>
      </c>
      <c r="M1366" s="1520">
        <v>1</v>
      </c>
      <c r="N1366" s="1520">
        <v>1</v>
      </c>
      <c r="O1366" s="1521">
        <v>2</v>
      </c>
    </row>
    <row r="1367" spans="3:15" ht="13.5">
      <c r="C1367" s="1526" t="s">
        <v>5325</v>
      </c>
      <c r="D1367" s="1523">
        <v>1</v>
      </c>
      <c r="E1367" s="1523">
        <v>1</v>
      </c>
      <c r="F1367" s="1524">
        <v>2</v>
      </c>
      <c r="G1367" s="1537" t="s">
        <v>5325</v>
      </c>
      <c r="H1367" s="1521">
        <v>1</v>
      </c>
      <c r="I1367" s="1521">
        <v>1</v>
      </c>
      <c r="J1367" s="1538">
        <v>2</v>
      </c>
      <c r="K1367" s="1525"/>
      <c r="L1367" s="1519">
        <v>13121009403</v>
      </c>
      <c r="M1367" s="1520">
        <v>1</v>
      </c>
      <c r="N1367" s="1520">
        <v>1</v>
      </c>
      <c r="O1367" s="1521">
        <v>2</v>
      </c>
    </row>
    <row r="1368" spans="3:15" ht="13.5">
      <c r="C1368" s="1526" t="s">
        <v>5326</v>
      </c>
      <c r="D1368" s="1523">
        <v>1</v>
      </c>
      <c r="E1368" s="1523">
        <v>1</v>
      </c>
      <c r="F1368" s="1524">
        <v>2</v>
      </c>
      <c r="G1368" s="1537" t="s">
        <v>5326</v>
      </c>
      <c r="H1368" s="1521">
        <v>1</v>
      </c>
      <c r="I1368" s="1521">
        <v>1</v>
      </c>
      <c r="J1368" s="1538">
        <v>2</v>
      </c>
      <c r="K1368" s="1525"/>
      <c r="L1368" s="1519">
        <v>13121009404</v>
      </c>
      <c r="M1368" s="1520">
        <v>1</v>
      </c>
      <c r="N1368" s="1520">
        <v>1</v>
      </c>
      <c r="O1368" s="1521">
        <v>2</v>
      </c>
    </row>
    <row r="1369" spans="3:15" ht="13.5">
      <c r="C1369" s="1526" t="s">
        <v>5327</v>
      </c>
      <c r="D1369" s="1523">
        <v>1</v>
      </c>
      <c r="E1369" s="1523">
        <v>1</v>
      </c>
      <c r="F1369" s="1524">
        <v>2</v>
      </c>
      <c r="G1369" s="1537" t="s">
        <v>5327</v>
      </c>
      <c r="H1369" s="1521">
        <v>1</v>
      </c>
      <c r="I1369" s="1521">
        <v>1</v>
      </c>
      <c r="J1369" s="1538">
        <v>2</v>
      </c>
      <c r="K1369" s="1525"/>
      <c r="L1369" s="1519">
        <v>13121009501</v>
      </c>
      <c r="M1369" s="1520">
        <v>1</v>
      </c>
      <c r="N1369" s="1520">
        <v>1</v>
      </c>
      <c r="O1369" s="1521">
        <v>2</v>
      </c>
    </row>
    <row r="1370" spans="3:15" ht="13.5">
      <c r="C1370" s="1526" t="s">
        <v>5328</v>
      </c>
      <c r="D1370" s="1523">
        <v>1</v>
      </c>
      <c r="E1370" s="1523">
        <v>0</v>
      </c>
      <c r="F1370" s="1524">
        <v>1</v>
      </c>
      <c r="G1370" s="1537" t="s">
        <v>5328</v>
      </c>
      <c r="H1370" s="1521">
        <v>1</v>
      </c>
      <c r="I1370" s="1521" t="s">
        <v>4096</v>
      </c>
      <c r="J1370" s="1538">
        <v>1</v>
      </c>
      <c r="K1370" s="1525"/>
      <c r="L1370" s="1519">
        <v>13121009502</v>
      </c>
      <c r="M1370" s="1520">
        <v>1</v>
      </c>
      <c r="N1370" s="1520">
        <v>0</v>
      </c>
      <c r="O1370" s="1521">
        <v>1</v>
      </c>
    </row>
    <row r="1371" spans="3:15" ht="13.5">
      <c r="C1371" s="1526" t="s">
        <v>5329</v>
      </c>
      <c r="D1371" s="1523">
        <v>1</v>
      </c>
      <c r="E1371" s="1523">
        <v>1</v>
      </c>
      <c r="F1371" s="1524">
        <v>2</v>
      </c>
      <c r="G1371" s="1537" t="s">
        <v>5329</v>
      </c>
      <c r="H1371" s="1521">
        <v>1</v>
      </c>
      <c r="I1371" s="1521">
        <v>1</v>
      </c>
      <c r="J1371" s="1538">
        <v>2</v>
      </c>
      <c r="K1371" s="1525"/>
      <c r="L1371" s="1519">
        <v>13121009601</v>
      </c>
      <c r="M1371" s="1520">
        <v>1</v>
      </c>
      <c r="N1371" s="1520">
        <v>1</v>
      </c>
      <c r="O1371" s="1521">
        <v>2</v>
      </c>
    </row>
    <row r="1372" spans="3:15" ht="13.5">
      <c r="C1372" s="1526" t="s">
        <v>5330</v>
      </c>
      <c r="D1372" s="1523">
        <v>1</v>
      </c>
      <c r="E1372" s="1523">
        <v>1</v>
      </c>
      <c r="F1372" s="1524">
        <v>2</v>
      </c>
      <c r="G1372" s="1537" t="s">
        <v>5330</v>
      </c>
      <c r="H1372" s="1521">
        <v>1</v>
      </c>
      <c r="I1372" s="1521">
        <v>1</v>
      </c>
      <c r="J1372" s="1538">
        <v>2</v>
      </c>
      <c r="K1372" s="1525"/>
      <c r="L1372" s="1519">
        <v>13121009602</v>
      </c>
      <c r="M1372" s="1520">
        <v>1</v>
      </c>
      <c r="N1372" s="1520">
        <v>1</v>
      </c>
      <c r="O1372" s="1521">
        <v>2</v>
      </c>
    </row>
    <row r="1373" spans="3:15" ht="13.5">
      <c r="C1373" s="1526" t="s">
        <v>5331</v>
      </c>
      <c r="D1373" s="1523">
        <v>1</v>
      </c>
      <c r="E1373" s="1523">
        <v>1</v>
      </c>
      <c r="F1373" s="1524">
        <v>2</v>
      </c>
      <c r="G1373" s="1537" t="s">
        <v>5331</v>
      </c>
      <c r="H1373" s="1521">
        <v>1</v>
      </c>
      <c r="I1373" s="1521">
        <v>1</v>
      </c>
      <c r="J1373" s="1538">
        <v>2</v>
      </c>
      <c r="K1373" s="1525"/>
      <c r="L1373" s="1519">
        <v>13121009603</v>
      </c>
      <c r="M1373" s="1520">
        <v>1</v>
      </c>
      <c r="N1373" s="1520">
        <v>1</v>
      </c>
      <c r="O1373" s="1521">
        <v>2</v>
      </c>
    </row>
    <row r="1374" spans="3:15" ht="13.5">
      <c r="C1374" s="1526" t="s">
        <v>5332</v>
      </c>
      <c r="D1374" s="1523">
        <v>1</v>
      </c>
      <c r="E1374" s="1523">
        <v>1</v>
      </c>
      <c r="F1374" s="1524">
        <v>2</v>
      </c>
      <c r="G1374" s="1537" t="s">
        <v>5332</v>
      </c>
      <c r="H1374" s="1521">
        <v>1</v>
      </c>
      <c r="I1374" s="1521">
        <v>1</v>
      </c>
      <c r="J1374" s="1538">
        <v>2</v>
      </c>
      <c r="K1374" s="1525"/>
      <c r="L1374" s="1519">
        <v>13121009700</v>
      </c>
      <c r="M1374" s="1520">
        <v>1</v>
      </c>
      <c r="N1374" s="1520">
        <v>1</v>
      </c>
      <c r="O1374" s="1521">
        <v>2</v>
      </c>
    </row>
    <row r="1375" spans="3:15" ht="13.5">
      <c r="C1375" s="1526" t="s">
        <v>5333</v>
      </c>
      <c r="D1375" s="1523">
        <v>1</v>
      </c>
      <c r="E1375" s="1523">
        <v>1</v>
      </c>
      <c r="F1375" s="1524">
        <v>2</v>
      </c>
      <c r="G1375" s="1537" t="s">
        <v>5333</v>
      </c>
      <c r="H1375" s="1521">
        <v>1</v>
      </c>
      <c r="I1375" s="1521">
        <v>1</v>
      </c>
      <c r="J1375" s="1538">
        <v>2</v>
      </c>
      <c r="K1375" s="1525"/>
      <c r="L1375" s="1519">
        <v>13121009801</v>
      </c>
      <c r="M1375" s="1520">
        <v>1</v>
      </c>
      <c r="N1375" s="1520">
        <v>1</v>
      </c>
      <c r="O1375" s="1521">
        <v>2</v>
      </c>
    </row>
    <row r="1376" spans="3:15" ht="13.5">
      <c r="C1376" s="1526" t="s">
        <v>5334</v>
      </c>
      <c r="D1376" s="1523">
        <v>1</v>
      </c>
      <c r="E1376" s="1523">
        <v>1</v>
      </c>
      <c r="F1376" s="1524">
        <v>2</v>
      </c>
      <c r="G1376" s="1537" t="s">
        <v>5334</v>
      </c>
      <c r="H1376" s="1521">
        <v>1</v>
      </c>
      <c r="I1376" s="1521">
        <v>1</v>
      </c>
      <c r="J1376" s="1538">
        <v>2</v>
      </c>
      <c r="K1376" s="1525"/>
      <c r="L1376" s="1519">
        <v>13121009802</v>
      </c>
      <c r="M1376" s="1520">
        <v>1</v>
      </c>
      <c r="N1376" s="1520">
        <v>1</v>
      </c>
      <c r="O1376" s="1521">
        <v>2</v>
      </c>
    </row>
    <row r="1377" spans="3:15" ht="13.5">
      <c r="C1377" s="1526" t="s">
        <v>5335</v>
      </c>
      <c r="D1377" s="1523">
        <v>1</v>
      </c>
      <c r="E1377" s="1523">
        <v>1</v>
      </c>
      <c r="F1377" s="1524">
        <v>2</v>
      </c>
      <c r="G1377" s="1537" t="s">
        <v>5335</v>
      </c>
      <c r="H1377" s="1521">
        <v>1</v>
      </c>
      <c r="I1377" s="1521" t="s">
        <v>4096</v>
      </c>
      <c r="J1377" s="1538">
        <v>1</v>
      </c>
      <c r="K1377" s="1525"/>
      <c r="L1377" s="1519">
        <v>13121009900</v>
      </c>
      <c r="M1377" s="1520">
        <v>1</v>
      </c>
      <c r="N1377" s="1520">
        <v>1</v>
      </c>
      <c r="O1377" s="1521">
        <v>2</v>
      </c>
    </row>
    <row r="1378" spans="3:15" ht="13.5">
      <c r="C1378" s="1526" t="s">
        <v>5336</v>
      </c>
      <c r="D1378" s="1523">
        <v>1</v>
      </c>
      <c r="E1378" s="1523">
        <v>1</v>
      </c>
      <c r="F1378" s="1524">
        <v>2</v>
      </c>
      <c r="G1378" s="1537" t="s">
        <v>5336</v>
      </c>
      <c r="H1378" s="1521">
        <v>1</v>
      </c>
      <c r="I1378" s="1521">
        <v>1</v>
      </c>
      <c r="J1378" s="1538">
        <v>2</v>
      </c>
      <c r="K1378" s="1525"/>
      <c r="L1378" s="1519">
        <v>13121010001</v>
      </c>
      <c r="M1378" s="1520">
        <v>1</v>
      </c>
      <c r="N1378" s="1520">
        <v>1</v>
      </c>
      <c r="O1378" s="1521">
        <v>2</v>
      </c>
    </row>
    <row r="1379" spans="3:15" ht="13.5">
      <c r="C1379" s="1526" t="s">
        <v>5337</v>
      </c>
      <c r="D1379" s="1523">
        <v>1</v>
      </c>
      <c r="E1379" s="1523">
        <v>1</v>
      </c>
      <c r="F1379" s="1524">
        <v>2</v>
      </c>
      <c r="G1379" s="1537" t="s">
        <v>5337</v>
      </c>
      <c r="H1379" s="1521">
        <v>1</v>
      </c>
      <c r="I1379" s="1521">
        <v>1</v>
      </c>
      <c r="J1379" s="1538">
        <v>2</v>
      </c>
      <c r="K1379" s="1525"/>
      <c r="L1379" s="1519">
        <v>13121010002</v>
      </c>
      <c r="M1379" s="1520">
        <v>1</v>
      </c>
      <c r="N1379" s="1520">
        <v>1</v>
      </c>
      <c r="O1379" s="1521">
        <v>2</v>
      </c>
    </row>
    <row r="1380" spans="3:15" ht="13.5">
      <c r="C1380" s="1526" t="s">
        <v>5338</v>
      </c>
      <c r="D1380" s="1523">
        <v>1</v>
      </c>
      <c r="E1380" s="1523">
        <v>1</v>
      </c>
      <c r="F1380" s="1524">
        <v>2</v>
      </c>
      <c r="G1380" s="1537" t="s">
        <v>5338</v>
      </c>
      <c r="H1380" s="1521">
        <v>1</v>
      </c>
      <c r="I1380" s="1521">
        <v>1</v>
      </c>
      <c r="J1380" s="1538">
        <v>2</v>
      </c>
      <c r="K1380" s="1525"/>
      <c r="L1380" s="1519">
        <v>13121010106</v>
      </c>
      <c r="M1380" s="1520">
        <v>1</v>
      </c>
      <c r="N1380" s="1520">
        <v>1</v>
      </c>
      <c r="O1380" s="1521">
        <v>2</v>
      </c>
    </row>
    <row r="1381" spans="3:15" ht="13.5">
      <c r="C1381" s="1526" t="s">
        <v>5339</v>
      </c>
      <c r="D1381" s="1523">
        <v>1</v>
      </c>
      <c r="E1381" s="1523">
        <v>1</v>
      </c>
      <c r="F1381" s="1524">
        <v>2</v>
      </c>
      <c r="G1381" s="1537" t="s">
        <v>5339</v>
      </c>
      <c r="H1381" s="1521">
        <v>1</v>
      </c>
      <c r="I1381" s="1521">
        <v>1</v>
      </c>
      <c r="J1381" s="1538">
        <v>2</v>
      </c>
      <c r="K1381" s="1525"/>
      <c r="L1381" s="1519">
        <v>13121010107</v>
      </c>
      <c r="M1381" s="1520">
        <v>1</v>
      </c>
      <c r="N1381" s="1520">
        <v>1</v>
      </c>
      <c r="O1381" s="1521">
        <v>2</v>
      </c>
    </row>
    <row r="1382" spans="3:15" ht="13.5">
      <c r="C1382" s="1526" t="s">
        <v>5340</v>
      </c>
      <c r="D1382" s="1523">
        <v>1</v>
      </c>
      <c r="E1382" s="1523">
        <v>1</v>
      </c>
      <c r="F1382" s="1524">
        <v>2</v>
      </c>
      <c r="G1382" s="1537" t="s">
        <v>5340</v>
      </c>
      <c r="H1382" s="1521">
        <v>1</v>
      </c>
      <c r="I1382" s="1521">
        <v>1</v>
      </c>
      <c r="J1382" s="1538">
        <v>2</v>
      </c>
      <c r="K1382" s="1525"/>
      <c r="L1382" s="1519">
        <v>13121010108</v>
      </c>
      <c r="M1382" s="1520">
        <v>1</v>
      </c>
      <c r="N1382" s="1520">
        <v>1</v>
      </c>
      <c r="O1382" s="1521">
        <v>2</v>
      </c>
    </row>
    <row r="1383" spans="3:15" ht="13.5">
      <c r="C1383" s="1526" t="s">
        <v>5341</v>
      </c>
      <c r="D1383" s="1523">
        <v>1</v>
      </c>
      <c r="E1383" s="1523">
        <v>1</v>
      </c>
      <c r="F1383" s="1524">
        <v>2</v>
      </c>
      <c r="G1383" s="1537" t="s">
        <v>5341</v>
      </c>
      <c r="H1383" s="1521">
        <v>1</v>
      </c>
      <c r="I1383" s="1521">
        <v>1</v>
      </c>
      <c r="J1383" s="1538">
        <v>2</v>
      </c>
      <c r="K1383" s="1525"/>
      <c r="L1383" s="1519">
        <v>13121010110</v>
      </c>
      <c r="M1383" s="1520">
        <v>1</v>
      </c>
      <c r="N1383" s="1520">
        <v>1</v>
      </c>
      <c r="O1383" s="1521">
        <v>2</v>
      </c>
    </row>
    <row r="1384" spans="3:15" ht="13.5">
      <c r="C1384" s="1526" t="s">
        <v>5342</v>
      </c>
      <c r="D1384" s="1523">
        <v>1</v>
      </c>
      <c r="E1384" s="1523">
        <v>0</v>
      </c>
      <c r="F1384" s="1524">
        <v>1</v>
      </c>
      <c r="G1384" s="1537" t="s">
        <v>5342</v>
      </c>
      <c r="H1384" s="1521">
        <v>1</v>
      </c>
      <c r="I1384" s="1521">
        <v>0</v>
      </c>
      <c r="J1384" s="1538">
        <v>1</v>
      </c>
      <c r="K1384" s="1525"/>
      <c r="L1384" s="1519">
        <v>13121010113</v>
      </c>
      <c r="M1384" s="1520">
        <v>1</v>
      </c>
      <c r="N1384" s="1520">
        <v>0</v>
      </c>
      <c r="O1384" s="1521">
        <v>1</v>
      </c>
    </row>
    <row r="1385" spans="3:15" ht="13.5">
      <c r="C1385" s="1526" t="s">
        <v>5343</v>
      </c>
      <c r="D1385" s="1523">
        <v>1</v>
      </c>
      <c r="E1385" s="1523">
        <v>1</v>
      </c>
      <c r="F1385" s="1524">
        <v>2</v>
      </c>
      <c r="G1385" s="1537" t="s">
        <v>5343</v>
      </c>
      <c r="H1385" s="1521">
        <v>1</v>
      </c>
      <c r="I1385" s="1521">
        <v>1</v>
      </c>
      <c r="J1385" s="1538">
        <v>2</v>
      </c>
      <c r="K1385" s="1525"/>
      <c r="L1385" s="1519">
        <v>13121010114</v>
      </c>
      <c r="M1385" s="1520">
        <v>1</v>
      </c>
      <c r="N1385" s="1520">
        <v>1</v>
      </c>
      <c r="O1385" s="1521">
        <v>2</v>
      </c>
    </row>
    <row r="1386" spans="3:15" ht="13.5">
      <c r="C1386" s="1526" t="s">
        <v>5344</v>
      </c>
      <c r="D1386" s="1523">
        <v>1</v>
      </c>
      <c r="E1386" s="1523">
        <v>1</v>
      </c>
      <c r="F1386" s="1524">
        <v>2</v>
      </c>
      <c r="G1386" s="1537" t="s">
        <v>5344</v>
      </c>
      <c r="H1386" s="1521">
        <v>1</v>
      </c>
      <c r="I1386" s="1521">
        <v>1</v>
      </c>
      <c r="J1386" s="1538">
        <v>2</v>
      </c>
      <c r="K1386" s="1525"/>
      <c r="L1386" s="1519">
        <v>13121010115</v>
      </c>
      <c r="M1386" s="1520">
        <v>1</v>
      </c>
      <c r="N1386" s="1520">
        <v>1</v>
      </c>
      <c r="O1386" s="1521">
        <v>2</v>
      </c>
    </row>
    <row r="1387" spans="3:15" ht="13.5">
      <c r="C1387" s="1526" t="s">
        <v>5345</v>
      </c>
      <c r="D1387" s="1523">
        <v>1</v>
      </c>
      <c r="E1387" s="1523">
        <v>0</v>
      </c>
      <c r="F1387" s="1524">
        <v>1</v>
      </c>
      <c r="G1387" s="1537" t="s">
        <v>5345</v>
      </c>
      <c r="H1387" s="1521">
        <v>1</v>
      </c>
      <c r="I1387" s="1521" t="s">
        <v>4096</v>
      </c>
      <c r="J1387" s="1538">
        <v>1</v>
      </c>
      <c r="K1387" s="1525"/>
      <c r="L1387" s="1519">
        <v>13121010117</v>
      </c>
      <c r="M1387" s="1520">
        <v>1</v>
      </c>
      <c r="N1387" s="1520">
        <v>0</v>
      </c>
      <c r="O1387" s="1521">
        <v>1</v>
      </c>
    </row>
    <row r="1388" spans="3:15" ht="13.5">
      <c r="C1388" s="1526" t="s">
        <v>5346</v>
      </c>
      <c r="D1388" s="1523">
        <v>0</v>
      </c>
      <c r="E1388" s="1523">
        <v>0</v>
      </c>
      <c r="F1388" s="1524">
        <v>0</v>
      </c>
      <c r="G1388" s="1537" t="s">
        <v>5346</v>
      </c>
      <c r="H1388" s="1521">
        <v>1</v>
      </c>
      <c r="I1388" s="1521" t="s">
        <v>4096</v>
      </c>
      <c r="J1388" s="1538">
        <v>1</v>
      </c>
      <c r="K1388" s="1525"/>
      <c r="L1388" s="1519">
        <v>13121010118</v>
      </c>
      <c r="M1388" s="1520">
        <v>1</v>
      </c>
      <c r="N1388" s="1520">
        <v>0</v>
      </c>
      <c r="O1388" s="1521">
        <v>1</v>
      </c>
    </row>
    <row r="1389" spans="3:15" ht="13.5">
      <c r="C1389" s="1526" t="s">
        <v>5347</v>
      </c>
      <c r="D1389" s="1523">
        <v>0</v>
      </c>
      <c r="E1389" s="1523">
        <v>0</v>
      </c>
      <c r="F1389" s="1524">
        <v>0</v>
      </c>
      <c r="G1389" s="1537" t="s">
        <v>5347</v>
      </c>
      <c r="H1389" s="1521">
        <v>0</v>
      </c>
      <c r="I1389" s="1521">
        <v>0</v>
      </c>
      <c r="J1389" s="1538">
        <v>0</v>
      </c>
      <c r="K1389" s="1525"/>
      <c r="L1389" s="1519">
        <v>13121010119</v>
      </c>
      <c r="M1389" s="1520">
        <v>0</v>
      </c>
      <c r="N1389" s="1520">
        <v>0</v>
      </c>
      <c r="O1389" s="1521">
        <v>0</v>
      </c>
    </row>
    <row r="1390" spans="3:15" ht="13.5">
      <c r="C1390" s="1526" t="s">
        <v>5348</v>
      </c>
      <c r="D1390" s="1523">
        <v>1</v>
      </c>
      <c r="E1390" s="1523">
        <v>1</v>
      </c>
      <c r="F1390" s="1524">
        <v>2</v>
      </c>
      <c r="G1390" s="1537" t="s">
        <v>5348</v>
      </c>
      <c r="H1390" s="1521">
        <v>1</v>
      </c>
      <c r="I1390" s="1521" t="s">
        <v>4096</v>
      </c>
      <c r="J1390" s="1538">
        <v>1</v>
      </c>
      <c r="K1390" s="1525"/>
      <c r="L1390" s="1519">
        <v>13121010120</v>
      </c>
      <c r="M1390" s="1520">
        <v>1</v>
      </c>
      <c r="N1390" s="1520">
        <v>1</v>
      </c>
      <c r="O1390" s="1521">
        <v>2</v>
      </c>
    </row>
    <row r="1391" spans="3:15" ht="13.5">
      <c r="C1391" s="1526" t="s">
        <v>5349</v>
      </c>
      <c r="D1391" s="1523">
        <v>1</v>
      </c>
      <c r="E1391" s="1523">
        <v>1</v>
      </c>
      <c r="F1391" s="1524">
        <v>2</v>
      </c>
      <c r="G1391" s="1537" t="s">
        <v>5349</v>
      </c>
      <c r="H1391" s="1521">
        <v>1</v>
      </c>
      <c r="I1391" s="1521">
        <v>1</v>
      </c>
      <c r="J1391" s="1538">
        <v>2</v>
      </c>
      <c r="K1391" s="1525"/>
      <c r="L1391" s="1519">
        <v>13121010121</v>
      </c>
      <c r="M1391" s="1520">
        <v>1</v>
      </c>
      <c r="N1391" s="1520">
        <v>1</v>
      </c>
      <c r="O1391" s="1521">
        <v>2</v>
      </c>
    </row>
    <row r="1392" spans="3:15" ht="13.5">
      <c r="C1392" s="1526" t="s">
        <v>5350</v>
      </c>
      <c r="D1392" s="1523">
        <v>1</v>
      </c>
      <c r="E1392" s="1523">
        <v>1</v>
      </c>
      <c r="F1392" s="1524">
        <v>2</v>
      </c>
      <c r="G1392" s="1537" t="s">
        <v>5350</v>
      </c>
      <c r="H1392" s="1521">
        <v>1</v>
      </c>
      <c r="I1392" s="1521">
        <v>1</v>
      </c>
      <c r="J1392" s="1538">
        <v>2</v>
      </c>
      <c r="K1392" s="1525"/>
      <c r="L1392" s="1519">
        <v>13121010122</v>
      </c>
      <c r="M1392" s="1520">
        <v>1</v>
      </c>
      <c r="N1392" s="1520">
        <v>1</v>
      </c>
      <c r="O1392" s="1521">
        <v>2</v>
      </c>
    </row>
    <row r="1393" spans="3:15" ht="13.5">
      <c r="C1393" s="1526" t="s">
        <v>5351</v>
      </c>
      <c r="D1393" s="1523">
        <v>1</v>
      </c>
      <c r="E1393" s="1523">
        <v>0</v>
      </c>
      <c r="F1393" s="1524">
        <v>1</v>
      </c>
      <c r="G1393" s="1537" t="s">
        <v>5351</v>
      </c>
      <c r="H1393" s="1521">
        <v>1</v>
      </c>
      <c r="I1393" s="1521">
        <v>1</v>
      </c>
      <c r="J1393" s="1538">
        <v>2</v>
      </c>
      <c r="K1393" s="1525"/>
      <c r="L1393" s="1519">
        <v>13121010123</v>
      </c>
      <c r="M1393" s="1520">
        <v>1</v>
      </c>
      <c r="N1393" s="1520">
        <v>1</v>
      </c>
      <c r="O1393" s="1521">
        <v>2</v>
      </c>
    </row>
    <row r="1394" spans="3:15" ht="13.5">
      <c r="C1394" s="1526" t="s">
        <v>5352</v>
      </c>
      <c r="D1394" s="1523">
        <v>1</v>
      </c>
      <c r="E1394" s="1523">
        <v>1</v>
      </c>
      <c r="F1394" s="1524">
        <v>2</v>
      </c>
      <c r="G1394" s="1537" t="s">
        <v>5352</v>
      </c>
      <c r="H1394" s="1521">
        <v>1</v>
      </c>
      <c r="I1394" s="1521">
        <v>1</v>
      </c>
      <c r="J1394" s="1538">
        <v>2</v>
      </c>
      <c r="K1394" s="1525"/>
      <c r="L1394" s="1519">
        <v>13121010204</v>
      </c>
      <c r="M1394" s="1520">
        <v>1</v>
      </c>
      <c r="N1394" s="1520">
        <v>1</v>
      </c>
      <c r="O1394" s="1521">
        <v>2</v>
      </c>
    </row>
    <row r="1395" spans="3:15" ht="13.5">
      <c r="C1395" s="1526" t="s">
        <v>5353</v>
      </c>
      <c r="D1395" s="1523">
        <v>1</v>
      </c>
      <c r="E1395" s="1523">
        <v>1</v>
      </c>
      <c r="F1395" s="1524">
        <v>2</v>
      </c>
      <c r="G1395" s="1537" t="s">
        <v>5353</v>
      </c>
      <c r="H1395" s="1521">
        <v>1</v>
      </c>
      <c r="I1395" s="1521">
        <v>1</v>
      </c>
      <c r="J1395" s="1538">
        <v>2</v>
      </c>
      <c r="K1395" s="1525"/>
      <c r="L1395" s="1519">
        <v>13121010205</v>
      </c>
      <c r="M1395" s="1520">
        <v>1</v>
      </c>
      <c r="N1395" s="1520">
        <v>1</v>
      </c>
      <c r="O1395" s="1521">
        <v>2</v>
      </c>
    </row>
    <row r="1396" spans="3:15" ht="13.5">
      <c r="C1396" s="1526" t="s">
        <v>5354</v>
      </c>
      <c r="D1396" s="1523">
        <v>1</v>
      </c>
      <c r="E1396" s="1523">
        <v>1</v>
      </c>
      <c r="F1396" s="1524">
        <v>2</v>
      </c>
      <c r="G1396" s="1537" t="s">
        <v>5354</v>
      </c>
      <c r="H1396" s="1521">
        <v>1</v>
      </c>
      <c r="I1396" s="1521">
        <v>1</v>
      </c>
      <c r="J1396" s="1538">
        <v>2</v>
      </c>
      <c r="K1396" s="1525"/>
      <c r="L1396" s="1519">
        <v>13121010206</v>
      </c>
      <c r="M1396" s="1520">
        <v>1</v>
      </c>
      <c r="N1396" s="1520">
        <v>1</v>
      </c>
      <c r="O1396" s="1521">
        <v>2</v>
      </c>
    </row>
    <row r="1397" spans="3:15" ht="13.5">
      <c r="C1397" s="1526" t="s">
        <v>5355</v>
      </c>
      <c r="D1397" s="1523">
        <v>1</v>
      </c>
      <c r="E1397" s="1523">
        <v>0</v>
      </c>
      <c r="F1397" s="1524">
        <v>1</v>
      </c>
      <c r="G1397" s="1537" t="s">
        <v>5355</v>
      </c>
      <c r="H1397" s="1521">
        <v>1</v>
      </c>
      <c r="I1397" s="1521">
        <v>1</v>
      </c>
      <c r="J1397" s="1538">
        <v>2</v>
      </c>
      <c r="K1397" s="1525"/>
      <c r="L1397" s="1519">
        <v>13121010208</v>
      </c>
      <c r="M1397" s="1520">
        <v>1</v>
      </c>
      <c r="N1397" s="1520">
        <v>1</v>
      </c>
      <c r="O1397" s="1521">
        <v>2</v>
      </c>
    </row>
    <row r="1398" spans="3:15" ht="13.5">
      <c r="C1398" s="1526" t="s">
        <v>5356</v>
      </c>
      <c r="D1398" s="1523">
        <v>1</v>
      </c>
      <c r="E1398" s="1523">
        <v>1</v>
      </c>
      <c r="F1398" s="1524">
        <v>2</v>
      </c>
      <c r="G1398" s="1537" t="s">
        <v>5356</v>
      </c>
      <c r="H1398" s="1521">
        <v>1</v>
      </c>
      <c r="I1398" s="1521" t="s">
        <v>4096</v>
      </c>
      <c r="J1398" s="1538">
        <v>1</v>
      </c>
      <c r="K1398" s="1525"/>
      <c r="L1398" s="1519">
        <v>13121010209</v>
      </c>
      <c r="M1398" s="1520">
        <v>1</v>
      </c>
      <c r="N1398" s="1520">
        <v>1</v>
      </c>
      <c r="O1398" s="1521">
        <v>2</v>
      </c>
    </row>
    <row r="1399" spans="3:15" ht="13.5">
      <c r="C1399" s="1526" t="s">
        <v>5357</v>
      </c>
      <c r="D1399" s="1523">
        <v>1</v>
      </c>
      <c r="E1399" s="1523">
        <v>1</v>
      </c>
      <c r="F1399" s="1524">
        <v>2</v>
      </c>
      <c r="G1399" s="1537" t="s">
        <v>5357</v>
      </c>
      <c r="H1399" s="1521">
        <v>1</v>
      </c>
      <c r="I1399" s="1521">
        <v>1</v>
      </c>
      <c r="J1399" s="1538">
        <v>2</v>
      </c>
      <c r="K1399" s="1525"/>
      <c r="L1399" s="1519">
        <v>13121010210</v>
      </c>
      <c r="M1399" s="1520">
        <v>1</v>
      </c>
      <c r="N1399" s="1520">
        <v>1</v>
      </c>
      <c r="O1399" s="1521">
        <v>2</v>
      </c>
    </row>
    <row r="1400" spans="3:15" ht="13.5">
      <c r="C1400" s="1526" t="s">
        <v>5358</v>
      </c>
      <c r="D1400" s="1523">
        <v>1</v>
      </c>
      <c r="E1400" s="1523">
        <v>1</v>
      </c>
      <c r="F1400" s="1524">
        <v>2</v>
      </c>
      <c r="G1400" s="1537" t="s">
        <v>5358</v>
      </c>
      <c r="H1400" s="1521">
        <v>1</v>
      </c>
      <c r="I1400" s="1521">
        <v>1</v>
      </c>
      <c r="J1400" s="1538">
        <v>2</v>
      </c>
      <c r="K1400" s="1525"/>
      <c r="L1400" s="1519">
        <v>13121010211</v>
      </c>
      <c r="M1400" s="1520">
        <v>1</v>
      </c>
      <c r="N1400" s="1520">
        <v>1</v>
      </c>
      <c r="O1400" s="1521">
        <v>2</v>
      </c>
    </row>
    <row r="1401" spans="3:15" ht="13.5">
      <c r="C1401" s="1526" t="s">
        <v>5359</v>
      </c>
      <c r="D1401" s="1523">
        <v>1</v>
      </c>
      <c r="E1401" s="1523">
        <v>0</v>
      </c>
      <c r="F1401" s="1524">
        <v>1</v>
      </c>
      <c r="G1401" s="1537" t="s">
        <v>5359</v>
      </c>
      <c r="H1401" s="1521">
        <v>1</v>
      </c>
      <c r="I1401" s="1521">
        <v>0</v>
      </c>
      <c r="J1401" s="1538">
        <v>1</v>
      </c>
      <c r="K1401" s="1525"/>
      <c r="L1401" s="1519">
        <v>13121010212</v>
      </c>
      <c r="M1401" s="1520">
        <v>1</v>
      </c>
      <c r="N1401" s="1520">
        <v>0</v>
      </c>
      <c r="O1401" s="1521">
        <v>1</v>
      </c>
    </row>
    <row r="1402" spans="3:15" ht="13.5">
      <c r="C1402" s="1526" t="s">
        <v>5360</v>
      </c>
      <c r="D1402" s="1523">
        <v>1</v>
      </c>
      <c r="E1402" s="1523">
        <v>0</v>
      </c>
      <c r="F1402" s="1524">
        <v>1</v>
      </c>
      <c r="G1402" s="1537" t="s">
        <v>5360</v>
      </c>
      <c r="H1402" s="1521">
        <v>1</v>
      </c>
      <c r="I1402" s="1521">
        <v>1</v>
      </c>
      <c r="J1402" s="1538">
        <v>2</v>
      </c>
      <c r="K1402" s="1525"/>
      <c r="L1402" s="1519">
        <v>13121010301</v>
      </c>
      <c r="M1402" s="1520">
        <v>1</v>
      </c>
      <c r="N1402" s="1520">
        <v>1</v>
      </c>
      <c r="O1402" s="1521">
        <v>2</v>
      </c>
    </row>
    <row r="1403" spans="3:15" ht="13.5">
      <c r="C1403" s="1526" t="s">
        <v>5361</v>
      </c>
      <c r="D1403" s="1523">
        <v>1</v>
      </c>
      <c r="E1403" s="1523">
        <v>0</v>
      </c>
      <c r="F1403" s="1524">
        <v>1</v>
      </c>
      <c r="G1403" s="1537" t="s">
        <v>5361</v>
      </c>
      <c r="H1403" s="1521">
        <v>1</v>
      </c>
      <c r="I1403" s="1521">
        <v>1</v>
      </c>
      <c r="J1403" s="1538">
        <v>2</v>
      </c>
      <c r="K1403" s="1525"/>
      <c r="L1403" s="1519">
        <v>13121010303</v>
      </c>
      <c r="M1403" s="1520">
        <v>1</v>
      </c>
      <c r="N1403" s="1520">
        <v>1</v>
      </c>
      <c r="O1403" s="1521">
        <v>2</v>
      </c>
    </row>
    <row r="1404" spans="3:15" ht="13.5">
      <c r="C1404" s="1526" t="s">
        <v>5362</v>
      </c>
      <c r="D1404" s="1523">
        <v>1</v>
      </c>
      <c r="E1404" s="1523">
        <v>1</v>
      </c>
      <c r="F1404" s="1524">
        <v>2</v>
      </c>
      <c r="G1404" s="1537" t="s">
        <v>5362</v>
      </c>
      <c r="H1404" s="1521">
        <v>1</v>
      </c>
      <c r="I1404" s="1521">
        <v>1</v>
      </c>
      <c r="J1404" s="1538">
        <v>2</v>
      </c>
      <c r="K1404" s="1525"/>
      <c r="L1404" s="1519">
        <v>13121010304</v>
      </c>
      <c r="M1404" s="1520">
        <v>1</v>
      </c>
      <c r="N1404" s="1520">
        <v>1</v>
      </c>
      <c r="O1404" s="1521">
        <v>2</v>
      </c>
    </row>
    <row r="1405" spans="3:15" ht="13.5">
      <c r="C1405" s="1526" t="s">
        <v>5363</v>
      </c>
      <c r="D1405" s="1523">
        <v>0</v>
      </c>
      <c r="E1405" s="1523">
        <v>0</v>
      </c>
      <c r="F1405" s="1524">
        <v>0</v>
      </c>
      <c r="G1405" s="1537" t="s">
        <v>5363</v>
      </c>
      <c r="H1405" s="1521">
        <v>0</v>
      </c>
      <c r="I1405" s="1521">
        <v>0</v>
      </c>
      <c r="J1405" s="1538">
        <v>0</v>
      </c>
      <c r="K1405" s="1525"/>
      <c r="L1405" s="1519">
        <v>13121010400</v>
      </c>
      <c r="M1405" s="1520">
        <v>0</v>
      </c>
      <c r="N1405" s="1520">
        <v>0</v>
      </c>
      <c r="O1405" s="1521">
        <v>0</v>
      </c>
    </row>
    <row r="1406" spans="3:15" ht="13.5">
      <c r="C1406" s="1526" t="s">
        <v>5364</v>
      </c>
      <c r="D1406" s="1523">
        <v>0</v>
      </c>
      <c r="E1406" s="1523">
        <v>0</v>
      </c>
      <c r="F1406" s="1524">
        <v>0</v>
      </c>
      <c r="G1406" s="1537" t="s">
        <v>5364</v>
      </c>
      <c r="H1406" s="1521">
        <v>0</v>
      </c>
      <c r="I1406" s="1521">
        <v>1</v>
      </c>
      <c r="J1406" s="1538">
        <v>1</v>
      </c>
      <c r="K1406" s="1525"/>
      <c r="L1406" s="1519">
        <v>13121010507</v>
      </c>
      <c r="M1406" s="1520">
        <v>0</v>
      </c>
      <c r="N1406" s="1520">
        <v>1</v>
      </c>
      <c r="O1406" s="1521">
        <v>1</v>
      </c>
    </row>
    <row r="1407" spans="3:15" ht="13.5">
      <c r="C1407" s="1526" t="s">
        <v>5365</v>
      </c>
      <c r="D1407" s="1523">
        <v>0</v>
      </c>
      <c r="E1407" s="1523">
        <v>0</v>
      </c>
      <c r="F1407" s="1524">
        <v>0</v>
      </c>
      <c r="G1407" s="1537" t="s">
        <v>5365</v>
      </c>
      <c r="H1407" s="1521">
        <v>0</v>
      </c>
      <c r="I1407" s="1521">
        <v>0</v>
      </c>
      <c r="J1407" s="1538">
        <v>0</v>
      </c>
      <c r="K1407" s="1525"/>
      <c r="L1407" s="1519">
        <v>13121010508</v>
      </c>
      <c r="M1407" s="1520">
        <v>0</v>
      </c>
      <c r="N1407" s="1520">
        <v>0</v>
      </c>
      <c r="O1407" s="1521">
        <v>0</v>
      </c>
    </row>
    <row r="1408" spans="3:15" ht="13.5">
      <c r="C1408" s="1526" t="s">
        <v>5366</v>
      </c>
      <c r="D1408" s="1523">
        <v>0</v>
      </c>
      <c r="E1408" s="1523">
        <v>0</v>
      </c>
      <c r="F1408" s="1524">
        <v>0</v>
      </c>
      <c r="G1408" s="1537" t="s">
        <v>5366</v>
      </c>
      <c r="H1408" s="1521">
        <v>0</v>
      </c>
      <c r="I1408" s="1521">
        <v>1</v>
      </c>
      <c r="J1408" s="1538">
        <v>1</v>
      </c>
      <c r="K1408" s="1525"/>
      <c r="L1408" s="1519">
        <v>13121010510</v>
      </c>
      <c r="M1408" s="1520">
        <v>0</v>
      </c>
      <c r="N1408" s="1520">
        <v>1</v>
      </c>
      <c r="O1408" s="1521">
        <v>1</v>
      </c>
    </row>
    <row r="1409" spans="3:15" ht="13.5">
      <c r="C1409" s="1526" t="s">
        <v>5367</v>
      </c>
      <c r="D1409" s="1523">
        <v>0</v>
      </c>
      <c r="E1409" s="1523">
        <v>0</v>
      </c>
      <c r="F1409" s="1524">
        <v>0</v>
      </c>
      <c r="G1409" s="1537" t="s">
        <v>5367</v>
      </c>
      <c r="H1409" s="1521">
        <v>0</v>
      </c>
      <c r="I1409" s="1521">
        <v>1</v>
      </c>
      <c r="J1409" s="1538">
        <v>1</v>
      </c>
      <c r="K1409" s="1525"/>
      <c r="L1409" s="1519">
        <v>13121010511</v>
      </c>
      <c r="M1409" s="1520">
        <v>0</v>
      </c>
      <c r="N1409" s="1520">
        <v>1</v>
      </c>
      <c r="O1409" s="1521">
        <v>1</v>
      </c>
    </row>
    <row r="1410" spans="3:15" ht="13.5">
      <c r="C1410" s="1526" t="s">
        <v>5368</v>
      </c>
      <c r="D1410" s="1523">
        <v>0</v>
      </c>
      <c r="E1410" s="1523">
        <v>0</v>
      </c>
      <c r="F1410" s="1524">
        <v>0</v>
      </c>
      <c r="G1410" s="1537" t="s">
        <v>5368</v>
      </c>
      <c r="H1410" s="1521">
        <v>0</v>
      </c>
      <c r="I1410" s="1521" t="s">
        <v>4096</v>
      </c>
      <c r="J1410" s="1538">
        <v>0</v>
      </c>
      <c r="K1410" s="1525"/>
      <c r="L1410" s="1519">
        <v>13121010512</v>
      </c>
      <c r="M1410" s="1520">
        <v>0</v>
      </c>
      <c r="N1410" s="1520">
        <v>0</v>
      </c>
      <c r="O1410" s="1521">
        <v>0</v>
      </c>
    </row>
    <row r="1411" spans="3:15" ht="13.5">
      <c r="C1411" s="1526" t="s">
        <v>5369</v>
      </c>
      <c r="D1411" s="1523">
        <v>0</v>
      </c>
      <c r="E1411" s="1523">
        <v>0</v>
      </c>
      <c r="F1411" s="1524">
        <v>0</v>
      </c>
      <c r="G1411" s="1537" t="s">
        <v>5369</v>
      </c>
      <c r="H1411" s="1521">
        <v>0</v>
      </c>
      <c r="I1411" s="1521">
        <v>0</v>
      </c>
      <c r="J1411" s="1538">
        <v>0</v>
      </c>
      <c r="K1411" s="1525"/>
      <c r="L1411" s="1519">
        <v>13121010513</v>
      </c>
      <c r="M1411" s="1520">
        <v>0</v>
      </c>
      <c r="N1411" s="1520">
        <v>0</v>
      </c>
      <c r="O1411" s="1521">
        <v>0</v>
      </c>
    </row>
    <row r="1412" spans="3:15" ht="13.5">
      <c r="C1412" s="1526" t="s">
        <v>5370</v>
      </c>
      <c r="D1412" s="1523">
        <v>1</v>
      </c>
      <c r="E1412" s="1523">
        <v>1</v>
      </c>
      <c r="F1412" s="1524">
        <v>2</v>
      </c>
      <c r="G1412" s="1537" t="s">
        <v>5370</v>
      </c>
      <c r="H1412" s="1521">
        <v>1</v>
      </c>
      <c r="I1412" s="1521">
        <v>1</v>
      </c>
      <c r="J1412" s="1538">
        <v>2</v>
      </c>
      <c r="K1412" s="1525"/>
      <c r="L1412" s="1519">
        <v>13121010514</v>
      </c>
      <c r="M1412" s="1520">
        <v>1</v>
      </c>
      <c r="N1412" s="1520">
        <v>1</v>
      </c>
      <c r="O1412" s="1521">
        <v>2</v>
      </c>
    </row>
    <row r="1413" spans="3:15" ht="13.5">
      <c r="C1413" s="1526" t="s">
        <v>5371</v>
      </c>
      <c r="D1413" s="1523">
        <v>0</v>
      </c>
      <c r="E1413" s="1523">
        <v>0</v>
      </c>
      <c r="F1413" s="1524">
        <v>0</v>
      </c>
      <c r="G1413" s="1537" t="s">
        <v>5371</v>
      </c>
      <c r="H1413" s="1521">
        <v>1</v>
      </c>
      <c r="I1413" s="1521">
        <v>0</v>
      </c>
      <c r="J1413" s="1538">
        <v>1</v>
      </c>
      <c r="K1413" s="1525"/>
      <c r="L1413" s="1519">
        <v>13121010515</v>
      </c>
      <c r="M1413" s="1520">
        <v>1</v>
      </c>
      <c r="N1413" s="1520">
        <v>0</v>
      </c>
      <c r="O1413" s="1521">
        <v>1</v>
      </c>
    </row>
    <row r="1414" spans="3:15" ht="13.5">
      <c r="C1414" s="1526" t="s">
        <v>5372</v>
      </c>
      <c r="D1414" s="1523">
        <v>0</v>
      </c>
      <c r="E1414" s="1523">
        <v>0</v>
      </c>
      <c r="F1414" s="1524">
        <v>0</v>
      </c>
      <c r="G1414" s="1537" t="s">
        <v>5372</v>
      </c>
      <c r="H1414" s="1521">
        <v>0</v>
      </c>
      <c r="I1414" s="1521">
        <v>0</v>
      </c>
      <c r="J1414" s="1538">
        <v>0</v>
      </c>
      <c r="K1414" s="1525"/>
      <c r="L1414" s="1519">
        <v>13121010516</v>
      </c>
      <c r="M1414" s="1520">
        <v>0</v>
      </c>
      <c r="N1414" s="1520">
        <v>0</v>
      </c>
      <c r="O1414" s="1521">
        <v>0</v>
      </c>
    </row>
    <row r="1415" spans="3:15" ht="13.5">
      <c r="C1415" s="1526" t="s">
        <v>5373</v>
      </c>
      <c r="D1415" s="1523">
        <v>0</v>
      </c>
      <c r="E1415" s="1523">
        <v>0</v>
      </c>
      <c r="F1415" s="1524">
        <v>0</v>
      </c>
      <c r="G1415" s="1537" t="s">
        <v>5373</v>
      </c>
      <c r="H1415" s="1521">
        <v>0</v>
      </c>
      <c r="I1415" s="1521">
        <v>0</v>
      </c>
      <c r="J1415" s="1538">
        <v>0</v>
      </c>
      <c r="K1415" s="1525"/>
      <c r="L1415" s="1519">
        <v>13121010601</v>
      </c>
      <c r="M1415" s="1520">
        <v>0</v>
      </c>
      <c r="N1415" s="1520">
        <v>0</v>
      </c>
      <c r="O1415" s="1521">
        <v>0</v>
      </c>
    </row>
    <row r="1416" spans="3:15" ht="13.5">
      <c r="C1416" s="1526" t="s">
        <v>5374</v>
      </c>
      <c r="D1416" s="1523">
        <v>0</v>
      </c>
      <c r="E1416" s="1523">
        <v>0</v>
      </c>
      <c r="F1416" s="1524">
        <v>0</v>
      </c>
      <c r="G1416" s="1537" t="s">
        <v>5374</v>
      </c>
      <c r="H1416" s="1521">
        <v>0</v>
      </c>
      <c r="I1416" s="1521">
        <v>0</v>
      </c>
      <c r="J1416" s="1538">
        <v>0</v>
      </c>
      <c r="K1416" s="1525"/>
      <c r="L1416" s="1519">
        <v>13121010603</v>
      </c>
      <c r="M1416" s="1520">
        <v>0</v>
      </c>
      <c r="N1416" s="1520">
        <v>0</v>
      </c>
      <c r="O1416" s="1521">
        <v>0</v>
      </c>
    </row>
    <row r="1417" spans="3:15" ht="13.5">
      <c r="C1417" s="1526" t="s">
        <v>5375</v>
      </c>
      <c r="D1417" s="1523">
        <v>0</v>
      </c>
      <c r="E1417" s="1523">
        <v>0</v>
      </c>
      <c r="F1417" s="1524">
        <v>0</v>
      </c>
      <c r="G1417" s="1537" t="s">
        <v>5375</v>
      </c>
      <c r="H1417" s="1521">
        <v>0</v>
      </c>
      <c r="I1417" s="1521">
        <v>0</v>
      </c>
      <c r="J1417" s="1538">
        <v>0</v>
      </c>
      <c r="K1417" s="1525"/>
      <c r="L1417" s="1519">
        <v>13121010604</v>
      </c>
      <c r="M1417" s="1520">
        <v>0</v>
      </c>
      <c r="N1417" s="1520">
        <v>0</v>
      </c>
      <c r="O1417" s="1521">
        <v>0</v>
      </c>
    </row>
    <row r="1418" spans="3:15" ht="13.5">
      <c r="C1418" s="1526" t="s">
        <v>5376</v>
      </c>
      <c r="D1418" s="1523">
        <v>0</v>
      </c>
      <c r="E1418" s="1523">
        <v>0</v>
      </c>
      <c r="F1418" s="1524">
        <v>0</v>
      </c>
      <c r="G1418" s="1537" t="s">
        <v>5376</v>
      </c>
      <c r="H1418" s="1521">
        <v>1</v>
      </c>
      <c r="I1418" s="1521">
        <v>0</v>
      </c>
      <c r="J1418" s="1538">
        <v>1</v>
      </c>
      <c r="K1418" s="1525"/>
      <c r="L1418" s="1519">
        <v>13121010800</v>
      </c>
      <c r="M1418" s="1520">
        <v>1</v>
      </c>
      <c r="N1418" s="1520">
        <v>0</v>
      </c>
      <c r="O1418" s="1521">
        <v>1</v>
      </c>
    </row>
    <row r="1419" spans="3:15" ht="13.5">
      <c r="C1419" s="1526" t="s">
        <v>5377</v>
      </c>
      <c r="D1419" s="1523">
        <v>0</v>
      </c>
      <c r="E1419" s="1523">
        <v>0</v>
      </c>
      <c r="F1419" s="1524">
        <v>0</v>
      </c>
      <c r="G1419" s="1537" t="s">
        <v>5377</v>
      </c>
      <c r="H1419" s="1521">
        <v>0</v>
      </c>
      <c r="I1419" s="1521">
        <v>0</v>
      </c>
      <c r="J1419" s="1538">
        <v>0</v>
      </c>
      <c r="K1419" s="1525"/>
      <c r="L1419" s="1519">
        <v>13121011000</v>
      </c>
      <c r="M1419" s="1520">
        <v>0</v>
      </c>
      <c r="N1419" s="1520">
        <v>0</v>
      </c>
      <c r="O1419" s="1521">
        <v>0</v>
      </c>
    </row>
    <row r="1420" spans="3:15" ht="13.5">
      <c r="C1420" s="1526" t="s">
        <v>5378</v>
      </c>
      <c r="D1420" s="1523">
        <v>1</v>
      </c>
      <c r="E1420" s="1523">
        <v>0</v>
      </c>
      <c r="F1420" s="1524">
        <v>1</v>
      </c>
      <c r="G1420" s="1537" t="s">
        <v>5378</v>
      </c>
      <c r="H1420" s="1521">
        <v>1</v>
      </c>
      <c r="I1420" s="1521">
        <v>0</v>
      </c>
      <c r="J1420" s="1538">
        <v>1</v>
      </c>
      <c r="K1420" s="1525"/>
      <c r="L1420" s="1519">
        <v>13121011100</v>
      </c>
      <c r="M1420" s="1520">
        <v>1</v>
      </c>
      <c r="N1420" s="1520">
        <v>0</v>
      </c>
      <c r="O1420" s="1521">
        <v>1</v>
      </c>
    </row>
    <row r="1421" spans="3:15" ht="13.5">
      <c r="C1421" s="1526" t="s">
        <v>5379</v>
      </c>
      <c r="D1421" s="1523">
        <v>0</v>
      </c>
      <c r="E1421" s="1523">
        <v>0</v>
      </c>
      <c r="F1421" s="1524">
        <v>0</v>
      </c>
      <c r="G1421" s="1537" t="s">
        <v>5379</v>
      </c>
      <c r="H1421" s="1521">
        <v>0</v>
      </c>
      <c r="I1421" s="1521">
        <v>0</v>
      </c>
      <c r="J1421" s="1538">
        <v>0</v>
      </c>
      <c r="K1421" s="1525"/>
      <c r="L1421" s="1519">
        <v>13121011201</v>
      </c>
      <c r="M1421" s="1520">
        <v>0</v>
      </c>
      <c r="N1421" s="1520">
        <v>0</v>
      </c>
      <c r="O1421" s="1521">
        <v>0</v>
      </c>
    </row>
    <row r="1422" spans="3:15" ht="13.5">
      <c r="C1422" s="1526" t="s">
        <v>5380</v>
      </c>
      <c r="D1422" s="1523">
        <v>0</v>
      </c>
      <c r="E1422" s="1523">
        <v>0</v>
      </c>
      <c r="F1422" s="1524">
        <v>0</v>
      </c>
      <c r="G1422" s="1537" t="s">
        <v>5380</v>
      </c>
      <c r="H1422" s="1521">
        <v>0</v>
      </c>
      <c r="I1422" s="1521">
        <v>0</v>
      </c>
      <c r="J1422" s="1538">
        <v>0</v>
      </c>
      <c r="K1422" s="1525"/>
      <c r="L1422" s="1519">
        <v>13121011202</v>
      </c>
      <c r="M1422" s="1520">
        <v>0</v>
      </c>
      <c r="N1422" s="1520">
        <v>0</v>
      </c>
      <c r="O1422" s="1521">
        <v>0</v>
      </c>
    </row>
    <row r="1423" spans="3:15" ht="13.5">
      <c r="C1423" s="1526" t="s">
        <v>5381</v>
      </c>
      <c r="D1423" s="1523">
        <v>0</v>
      </c>
      <c r="E1423" s="1523">
        <v>0</v>
      </c>
      <c r="F1423" s="1524">
        <v>0</v>
      </c>
      <c r="G1423" s="1537" t="s">
        <v>5381</v>
      </c>
      <c r="H1423" s="1521">
        <v>0</v>
      </c>
      <c r="I1423" s="1521">
        <v>0</v>
      </c>
      <c r="J1423" s="1538">
        <v>0</v>
      </c>
      <c r="K1423" s="1525"/>
      <c r="L1423" s="1519">
        <v>13121011301</v>
      </c>
      <c r="M1423" s="1520">
        <v>0</v>
      </c>
      <c r="N1423" s="1520">
        <v>0</v>
      </c>
      <c r="O1423" s="1521">
        <v>0</v>
      </c>
    </row>
    <row r="1424" spans="3:15" ht="13.5">
      <c r="C1424" s="1526" t="s">
        <v>5382</v>
      </c>
      <c r="D1424" s="1523">
        <v>0</v>
      </c>
      <c r="E1424" s="1523">
        <v>0</v>
      </c>
      <c r="F1424" s="1524">
        <v>0</v>
      </c>
      <c r="G1424" s="1537" t="s">
        <v>5382</v>
      </c>
      <c r="H1424" s="1521">
        <v>1</v>
      </c>
      <c r="I1424" s="1521">
        <v>0</v>
      </c>
      <c r="J1424" s="1538">
        <v>1</v>
      </c>
      <c r="K1424" s="1525"/>
      <c r="L1424" s="1519">
        <v>13121011303</v>
      </c>
      <c r="M1424" s="1520">
        <v>1</v>
      </c>
      <c r="N1424" s="1520">
        <v>0</v>
      </c>
      <c r="O1424" s="1521">
        <v>1</v>
      </c>
    </row>
    <row r="1425" spans="3:15" ht="13.5">
      <c r="C1425" s="1526" t="s">
        <v>5383</v>
      </c>
      <c r="D1425" s="1523">
        <v>0</v>
      </c>
      <c r="E1425" s="1523">
        <v>0</v>
      </c>
      <c r="F1425" s="1524">
        <v>0</v>
      </c>
      <c r="G1425" s="1537" t="s">
        <v>5383</v>
      </c>
      <c r="H1425" s="1521">
        <v>0</v>
      </c>
      <c r="I1425" s="1521">
        <v>0</v>
      </c>
      <c r="J1425" s="1538">
        <v>0</v>
      </c>
      <c r="K1425" s="1525"/>
      <c r="L1425" s="1519">
        <v>13121011305</v>
      </c>
      <c r="M1425" s="1520">
        <v>0</v>
      </c>
      <c r="N1425" s="1520">
        <v>0</v>
      </c>
      <c r="O1425" s="1521">
        <v>0</v>
      </c>
    </row>
    <row r="1426" spans="3:15" ht="13.5">
      <c r="C1426" s="1526" t="s">
        <v>5384</v>
      </c>
      <c r="D1426" s="1523">
        <v>0</v>
      </c>
      <c r="E1426" s="1523">
        <v>0</v>
      </c>
      <c r="F1426" s="1524">
        <v>0</v>
      </c>
      <c r="G1426" s="1537" t="s">
        <v>5384</v>
      </c>
      <c r="H1426" s="1521">
        <v>0</v>
      </c>
      <c r="I1426" s="1521">
        <v>0</v>
      </c>
      <c r="J1426" s="1538">
        <v>0</v>
      </c>
      <c r="K1426" s="1525"/>
      <c r="L1426" s="1519">
        <v>13121011306</v>
      </c>
      <c r="M1426" s="1520">
        <v>0</v>
      </c>
      <c r="N1426" s="1520">
        <v>0</v>
      </c>
      <c r="O1426" s="1521">
        <v>0</v>
      </c>
    </row>
    <row r="1427" spans="3:15" ht="13.5">
      <c r="C1427" s="1526" t="s">
        <v>5385</v>
      </c>
      <c r="D1427" s="1523">
        <v>1</v>
      </c>
      <c r="E1427" s="1523">
        <v>0</v>
      </c>
      <c r="F1427" s="1524">
        <v>1</v>
      </c>
      <c r="G1427" s="1537" t="s">
        <v>5385</v>
      </c>
      <c r="H1427" s="1521">
        <v>1</v>
      </c>
      <c r="I1427" s="1521">
        <v>1</v>
      </c>
      <c r="J1427" s="1538">
        <v>2</v>
      </c>
      <c r="K1427" s="1525"/>
      <c r="L1427" s="1519">
        <v>13121011405</v>
      </c>
      <c r="M1427" s="1520">
        <v>1</v>
      </c>
      <c r="N1427" s="1520">
        <v>1</v>
      </c>
      <c r="O1427" s="1521">
        <v>2</v>
      </c>
    </row>
    <row r="1428" spans="3:15" ht="13.5">
      <c r="C1428" s="1526" t="s">
        <v>5386</v>
      </c>
      <c r="D1428" s="1523">
        <v>1</v>
      </c>
      <c r="E1428" s="1523">
        <v>1</v>
      </c>
      <c r="F1428" s="1524">
        <v>2</v>
      </c>
      <c r="G1428" s="1537" t="s">
        <v>5386</v>
      </c>
      <c r="H1428" s="1521">
        <v>1</v>
      </c>
      <c r="I1428" s="1521">
        <v>1</v>
      </c>
      <c r="J1428" s="1538">
        <v>2</v>
      </c>
      <c r="K1428" s="1525"/>
      <c r="L1428" s="1519">
        <v>13121011410</v>
      </c>
      <c r="M1428" s="1520">
        <v>1</v>
      </c>
      <c r="N1428" s="1520">
        <v>1</v>
      </c>
      <c r="O1428" s="1521">
        <v>2</v>
      </c>
    </row>
    <row r="1429" spans="3:15" ht="13.5">
      <c r="C1429" s="1526" t="s">
        <v>5387</v>
      </c>
      <c r="D1429" s="1523">
        <v>1</v>
      </c>
      <c r="E1429" s="1523">
        <v>1</v>
      </c>
      <c r="F1429" s="1524">
        <v>2</v>
      </c>
      <c r="G1429" s="1537" t="s">
        <v>5387</v>
      </c>
      <c r="H1429" s="1521">
        <v>1</v>
      </c>
      <c r="I1429" s="1521">
        <v>1</v>
      </c>
      <c r="J1429" s="1538">
        <v>2</v>
      </c>
      <c r="K1429" s="1525"/>
      <c r="L1429" s="1519">
        <v>13121011411</v>
      </c>
      <c r="M1429" s="1520">
        <v>1</v>
      </c>
      <c r="N1429" s="1520">
        <v>1</v>
      </c>
      <c r="O1429" s="1521">
        <v>2</v>
      </c>
    </row>
    <row r="1430" spans="3:15" ht="13.5">
      <c r="C1430" s="1526" t="s">
        <v>5388</v>
      </c>
      <c r="D1430" s="1523">
        <v>1</v>
      </c>
      <c r="E1430" s="1523">
        <v>1</v>
      </c>
      <c r="F1430" s="1524">
        <v>2</v>
      </c>
      <c r="G1430" s="1537" t="s">
        <v>5388</v>
      </c>
      <c r="H1430" s="1521">
        <v>1</v>
      </c>
      <c r="I1430" s="1521">
        <v>1</v>
      </c>
      <c r="J1430" s="1538">
        <v>2</v>
      </c>
      <c r="K1430" s="1525"/>
      <c r="L1430" s="1519">
        <v>13121011412</v>
      </c>
      <c r="M1430" s="1520">
        <v>1</v>
      </c>
      <c r="N1430" s="1520">
        <v>1</v>
      </c>
      <c r="O1430" s="1521">
        <v>2</v>
      </c>
    </row>
    <row r="1431" spans="3:15" ht="13.5">
      <c r="C1431" s="1526" t="s">
        <v>5389</v>
      </c>
      <c r="D1431" s="1523">
        <v>1</v>
      </c>
      <c r="E1431" s="1523">
        <v>1</v>
      </c>
      <c r="F1431" s="1524">
        <v>2</v>
      </c>
      <c r="G1431" s="1537" t="s">
        <v>5389</v>
      </c>
      <c r="H1431" s="1521">
        <v>1</v>
      </c>
      <c r="I1431" s="1521">
        <v>0</v>
      </c>
      <c r="J1431" s="1538">
        <v>1</v>
      </c>
      <c r="K1431" s="1525"/>
      <c r="L1431" s="1519">
        <v>13121011414</v>
      </c>
      <c r="M1431" s="1520">
        <v>1</v>
      </c>
      <c r="N1431" s="1520">
        <v>1</v>
      </c>
      <c r="O1431" s="1521">
        <v>2</v>
      </c>
    </row>
    <row r="1432" spans="3:15" ht="13.5">
      <c r="C1432" s="1526" t="s">
        <v>5390</v>
      </c>
      <c r="D1432" s="1523">
        <v>1</v>
      </c>
      <c r="E1432" s="1523">
        <v>1</v>
      </c>
      <c r="F1432" s="1524">
        <v>2</v>
      </c>
      <c r="G1432" s="1537" t="s">
        <v>5390</v>
      </c>
      <c r="H1432" s="1521">
        <v>1</v>
      </c>
      <c r="I1432" s="1521">
        <v>1</v>
      </c>
      <c r="J1432" s="1538">
        <v>2</v>
      </c>
      <c r="K1432" s="1525"/>
      <c r="L1432" s="1519">
        <v>13121011416</v>
      </c>
      <c r="M1432" s="1520">
        <v>1</v>
      </c>
      <c r="N1432" s="1520">
        <v>1</v>
      </c>
      <c r="O1432" s="1521">
        <v>2</v>
      </c>
    </row>
    <row r="1433" spans="3:15" ht="13.5">
      <c r="C1433" s="1526" t="s">
        <v>5391</v>
      </c>
      <c r="D1433" s="1523">
        <v>1</v>
      </c>
      <c r="E1433" s="1523">
        <v>1</v>
      </c>
      <c r="F1433" s="1524">
        <v>2</v>
      </c>
      <c r="G1433" s="1537" t="s">
        <v>5391</v>
      </c>
      <c r="H1433" s="1521">
        <v>1</v>
      </c>
      <c r="I1433" s="1521">
        <v>1</v>
      </c>
      <c r="J1433" s="1538">
        <v>2</v>
      </c>
      <c r="K1433" s="1525"/>
      <c r="L1433" s="1519">
        <v>13121011417</v>
      </c>
      <c r="M1433" s="1520">
        <v>1</v>
      </c>
      <c r="N1433" s="1520">
        <v>1</v>
      </c>
      <c r="O1433" s="1521">
        <v>2</v>
      </c>
    </row>
    <row r="1434" spans="3:15" ht="13.5">
      <c r="C1434" s="1526" t="s">
        <v>5392</v>
      </c>
      <c r="D1434" s="1523">
        <v>1</v>
      </c>
      <c r="E1434" s="1523">
        <v>1</v>
      </c>
      <c r="F1434" s="1524">
        <v>2</v>
      </c>
      <c r="G1434" s="1537" t="s">
        <v>5392</v>
      </c>
      <c r="H1434" s="1521">
        <v>1</v>
      </c>
      <c r="I1434" s="1521">
        <v>1</v>
      </c>
      <c r="J1434" s="1538">
        <v>2</v>
      </c>
      <c r="K1434" s="1525"/>
      <c r="L1434" s="1519">
        <v>13121011418</v>
      </c>
      <c r="M1434" s="1520">
        <v>1</v>
      </c>
      <c r="N1434" s="1520">
        <v>1</v>
      </c>
      <c r="O1434" s="1521">
        <v>2</v>
      </c>
    </row>
    <row r="1435" spans="3:15" ht="13.5">
      <c r="C1435" s="1526" t="s">
        <v>5393</v>
      </c>
      <c r="D1435" s="1523">
        <v>1</v>
      </c>
      <c r="E1435" s="1523">
        <v>1</v>
      </c>
      <c r="F1435" s="1524">
        <v>2</v>
      </c>
      <c r="G1435" s="1537" t="s">
        <v>5393</v>
      </c>
      <c r="H1435" s="1521">
        <v>1</v>
      </c>
      <c r="I1435" s="1521">
        <v>1</v>
      </c>
      <c r="J1435" s="1538">
        <v>2</v>
      </c>
      <c r="K1435" s="1525"/>
      <c r="L1435" s="1519">
        <v>13121011419</v>
      </c>
      <c r="M1435" s="1520">
        <v>1</v>
      </c>
      <c r="N1435" s="1520">
        <v>1</v>
      </c>
      <c r="O1435" s="1521">
        <v>2</v>
      </c>
    </row>
    <row r="1436" spans="3:15" ht="13.5">
      <c r="C1436" s="1526" t="s">
        <v>5394</v>
      </c>
      <c r="D1436" s="1523">
        <v>0</v>
      </c>
      <c r="E1436" s="1523">
        <v>0</v>
      </c>
      <c r="F1436" s="1524">
        <v>0</v>
      </c>
      <c r="G1436" s="1537" t="s">
        <v>5394</v>
      </c>
      <c r="H1436" s="1521">
        <v>0</v>
      </c>
      <c r="I1436" s="1521">
        <v>0</v>
      </c>
      <c r="J1436" s="1538">
        <v>0</v>
      </c>
      <c r="K1436" s="1525"/>
      <c r="L1436" s="1519">
        <v>13121011420</v>
      </c>
      <c r="M1436" s="1520">
        <v>0</v>
      </c>
      <c r="N1436" s="1520">
        <v>0</v>
      </c>
      <c r="O1436" s="1521">
        <v>0</v>
      </c>
    </row>
    <row r="1437" spans="3:15" ht="13.5">
      <c r="C1437" s="1526" t="s">
        <v>5395</v>
      </c>
      <c r="D1437" s="1523">
        <v>1</v>
      </c>
      <c r="E1437" s="1523">
        <v>0</v>
      </c>
      <c r="F1437" s="1524">
        <v>1</v>
      </c>
      <c r="G1437" s="1537" t="s">
        <v>5395</v>
      </c>
      <c r="H1437" s="1521">
        <v>1</v>
      </c>
      <c r="I1437" s="1521">
        <v>0</v>
      </c>
      <c r="J1437" s="1538">
        <v>1</v>
      </c>
      <c r="K1437" s="1525"/>
      <c r="L1437" s="1519">
        <v>13121011421</v>
      </c>
      <c r="M1437" s="1520">
        <v>1</v>
      </c>
      <c r="N1437" s="1520">
        <v>0</v>
      </c>
      <c r="O1437" s="1521">
        <v>1</v>
      </c>
    </row>
    <row r="1438" spans="3:15" ht="13.5">
      <c r="C1438" s="1526" t="s">
        <v>5396</v>
      </c>
      <c r="D1438" s="1523">
        <v>1</v>
      </c>
      <c r="E1438" s="1523">
        <v>1</v>
      </c>
      <c r="F1438" s="1524">
        <v>2</v>
      </c>
      <c r="G1438" s="1537" t="s">
        <v>5396</v>
      </c>
      <c r="H1438" s="1521">
        <v>1</v>
      </c>
      <c r="I1438" s="1521">
        <v>1</v>
      </c>
      <c r="J1438" s="1538">
        <v>2</v>
      </c>
      <c r="K1438" s="1525"/>
      <c r="L1438" s="1519">
        <v>13121011422</v>
      </c>
      <c r="M1438" s="1520">
        <v>1</v>
      </c>
      <c r="N1438" s="1520">
        <v>1</v>
      </c>
      <c r="O1438" s="1521">
        <v>2</v>
      </c>
    </row>
    <row r="1439" spans="3:15" ht="13.5">
      <c r="C1439" s="1526" t="s">
        <v>5397</v>
      </c>
      <c r="D1439" s="1523">
        <v>1</v>
      </c>
      <c r="E1439" s="1523">
        <v>1</v>
      </c>
      <c r="F1439" s="1524">
        <v>2</v>
      </c>
      <c r="G1439" s="1537" t="s">
        <v>5397</v>
      </c>
      <c r="H1439" s="1521">
        <v>1</v>
      </c>
      <c r="I1439" s="1521">
        <v>1</v>
      </c>
      <c r="J1439" s="1538">
        <v>2</v>
      </c>
      <c r="K1439" s="1525"/>
      <c r="L1439" s="1519">
        <v>13121011423</v>
      </c>
      <c r="M1439" s="1520">
        <v>1</v>
      </c>
      <c r="N1439" s="1520">
        <v>1</v>
      </c>
      <c r="O1439" s="1521">
        <v>2</v>
      </c>
    </row>
    <row r="1440" spans="3:15" ht="13.5">
      <c r="C1440" s="1526" t="s">
        <v>5398</v>
      </c>
      <c r="D1440" s="1523">
        <v>1</v>
      </c>
      <c r="E1440" s="1523">
        <v>1</v>
      </c>
      <c r="F1440" s="1524">
        <v>2</v>
      </c>
      <c r="G1440" s="1537" t="s">
        <v>5398</v>
      </c>
      <c r="H1440" s="1521">
        <v>1</v>
      </c>
      <c r="I1440" s="1521">
        <v>1</v>
      </c>
      <c r="J1440" s="1538">
        <v>2</v>
      </c>
      <c r="K1440" s="1525"/>
      <c r="L1440" s="1519">
        <v>13121011424</v>
      </c>
      <c r="M1440" s="1520">
        <v>1</v>
      </c>
      <c r="N1440" s="1520">
        <v>1</v>
      </c>
      <c r="O1440" s="1521">
        <v>2</v>
      </c>
    </row>
    <row r="1441" spans="3:15" ht="13.5">
      <c r="C1441" s="1526" t="s">
        <v>5399</v>
      </c>
      <c r="D1441" s="1523">
        <v>1</v>
      </c>
      <c r="E1441" s="1523">
        <v>1</v>
      </c>
      <c r="F1441" s="1524">
        <v>2</v>
      </c>
      <c r="G1441" s="1537" t="s">
        <v>5399</v>
      </c>
      <c r="H1441" s="1521">
        <v>1</v>
      </c>
      <c r="I1441" s="1521">
        <v>1</v>
      </c>
      <c r="J1441" s="1538">
        <v>2</v>
      </c>
      <c r="K1441" s="1525"/>
      <c r="L1441" s="1519">
        <v>13121011425</v>
      </c>
      <c r="M1441" s="1520">
        <v>1</v>
      </c>
      <c r="N1441" s="1520">
        <v>1</v>
      </c>
      <c r="O1441" s="1521">
        <v>2</v>
      </c>
    </row>
    <row r="1442" spans="3:15" ht="13.5">
      <c r="C1442" s="1526" t="s">
        <v>5400</v>
      </c>
      <c r="D1442" s="1523">
        <v>1</v>
      </c>
      <c r="E1442" s="1523">
        <v>1</v>
      </c>
      <c r="F1442" s="1524">
        <v>2</v>
      </c>
      <c r="G1442" s="1537" t="s">
        <v>5400</v>
      </c>
      <c r="H1442" s="1521">
        <v>1</v>
      </c>
      <c r="I1442" s="1521">
        <v>1</v>
      </c>
      <c r="J1442" s="1538">
        <v>2</v>
      </c>
      <c r="K1442" s="1525"/>
      <c r="L1442" s="1519">
        <v>13121011426</v>
      </c>
      <c r="M1442" s="1520">
        <v>1</v>
      </c>
      <c r="N1442" s="1520">
        <v>1</v>
      </c>
      <c r="O1442" s="1521">
        <v>2</v>
      </c>
    </row>
    <row r="1443" spans="3:15" ht="13.5">
      <c r="C1443" s="1526" t="s">
        <v>5401</v>
      </c>
      <c r="D1443" s="1523">
        <v>1</v>
      </c>
      <c r="E1443" s="1523">
        <v>1</v>
      </c>
      <c r="F1443" s="1524">
        <v>2</v>
      </c>
      <c r="G1443" s="1537" t="s">
        <v>5401</v>
      </c>
      <c r="H1443" s="1521">
        <v>1</v>
      </c>
      <c r="I1443" s="1521">
        <v>1</v>
      </c>
      <c r="J1443" s="1538">
        <v>2</v>
      </c>
      <c r="K1443" s="1525"/>
      <c r="L1443" s="1519">
        <v>13121011427</v>
      </c>
      <c r="M1443" s="1520">
        <v>1</v>
      </c>
      <c r="N1443" s="1520">
        <v>1</v>
      </c>
      <c r="O1443" s="1521">
        <v>2</v>
      </c>
    </row>
    <row r="1444" spans="3:15" ht="13.5">
      <c r="C1444" s="1526" t="s">
        <v>5402</v>
      </c>
      <c r="D1444" s="1523">
        <v>1</v>
      </c>
      <c r="E1444" s="1523">
        <v>1</v>
      </c>
      <c r="F1444" s="1524">
        <v>2</v>
      </c>
      <c r="G1444" s="1537" t="s">
        <v>5402</v>
      </c>
      <c r="H1444" s="1521">
        <v>1</v>
      </c>
      <c r="I1444" s="1521">
        <v>1</v>
      </c>
      <c r="J1444" s="1538">
        <v>2</v>
      </c>
      <c r="K1444" s="1525"/>
      <c r="L1444" s="1519">
        <v>13121011503</v>
      </c>
      <c r="M1444" s="1520">
        <v>1</v>
      </c>
      <c r="N1444" s="1520">
        <v>1</v>
      </c>
      <c r="O1444" s="1521">
        <v>2</v>
      </c>
    </row>
    <row r="1445" spans="3:15" ht="13.5">
      <c r="C1445" s="1526" t="s">
        <v>5403</v>
      </c>
      <c r="D1445" s="1523">
        <v>1</v>
      </c>
      <c r="E1445" s="1523">
        <v>1</v>
      </c>
      <c r="F1445" s="1524">
        <v>2</v>
      </c>
      <c r="G1445" s="1537" t="s">
        <v>5403</v>
      </c>
      <c r="H1445" s="1521">
        <v>1</v>
      </c>
      <c r="I1445" s="1521" t="s">
        <v>4096</v>
      </c>
      <c r="J1445" s="1538">
        <v>1</v>
      </c>
      <c r="K1445" s="1525"/>
      <c r="L1445" s="1519">
        <v>13121011504</v>
      </c>
      <c r="M1445" s="1520">
        <v>1</v>
      </c>
      <c r="N1445" s="1520">
        <v>1</v>
      </c>
      <c r="O1445" s="1521">
        <v>2</v>
      </c>
    </row>
    <row r="1446" spans="3:15" ht="13.5">
      <c r="C1446" s="1526" t="s">
        <v>5404</v>
      </c>
      <c r="D1446" s="1523">
        <v>1</v>
      </c>
      <c r="E1446" s="1523">
        <v>1</v>
      </c>
      <c r="F1446" s="1524">
        <v>2</v>
      </c>
      <c r="G1446" s="1537" t="s">
        <v>5404</v>
      </c>
      <c r="H1446" s="1521">
        <v>1</v>
      </c>
      <c r="I1446" s="1521">
        <v>1</v>
      </c>
      <c r="J1446" s="1538">
        <v>2</v>
      </c>
      <c r="K1446" s="1525"/>
      <c r="L1446" s="1519">
        <v>13121011505</v>
      </c>
      <c r="M1446" s="1520">
        <v>1</v>
      </c>
      <c r="N1446" s="1520">
        <v>1</v>
      </c>
      <c r="O1446" s="1521">
        <v>2</v>
      </c>
    </row>
    <row r="1447" spans="3:15" ht="13.5">
      <c r="C1447" s="1526" t="s">
        <v>5405</v>
      </c>
      <c r="D1447" s="1523">
        <v>1</v>
      </c>
      <c r="E1447" s="1523">
        <v>1</v>
      </c>
      <c r="F1447" s="1524">
        <v>2</v>
      </c>
      <c r="G1447" s="1537" t="s">
        <v>5405</v>
      </c>
      <c r="H1447" s="1521">
        <v>1</v>
      </c>
      <c r="I1447" s="1521">
        <v>1</v>
      </c>
      <c r="J1447" s="1538">
        <v>2</v>
      </c>
      <c r="K1447" s="1525"/>
      <c r="L1447" s="1519">
        <v>13121011506</v>
      </c>
      <c r="M1447" s="1520">
        <v>1</v>
      </c>
      <c r="N1447" s="1520">
        <v>1</v>
      </c>
      <c r="O1447" s="1521">
        <v>2</v>
      </c>
    </row>
    <row r="1448" spans="3:15" ht="13.5">
      <c r="C1448" s="1526" t="s">
        <v>5406</v>
      </c>
      <c r="D1448" s="1523">
        <v>1</v>
      </c>
      <c r="E1448" s="1523">
        <v>1</v>
      </c>
      <c r="F1448" s="1524">
        <v>2</v>
      </c>
      <c r="G1448" s="1537" t="s">
        <v>5406</v>
      </c>
      <c r="H1448" s="1521">
        <v>1</v>
      </c>
      <c r="I1448" s="1521">
        <v>1</v>
      </c>
      <c r="J1448" s="1538">
        <v>2</v>
      </c>
      <c r="K1448" s="1525"/>
      <c r="L1448" s="1519">
        <v>13121011610</v>
      </c>
      <c r="M1448" s="1520">
        <v>1</v>
      </c>
      <c r="N1448" s="1520">
        <v>1</v>
      </c>
      <c r="O1448" s="1521">
        <v>2</v>
      </c>
    </row>
    <row r="1449" spans="3:15" ht="13.5">
      <c r="C1449" s="1526" t="s">
        <v>5407</v>
      </c>
      <c r="D1449" s="1523">
        <v>1</v>
      </c>
      <c r="E1449" s="1523">
        <v>0</v>
      </c>
      <c r="F1449" s="1524">
        <v>1</v>
      </c>
      <c r="G1449" s="1537" t="s">
        <v>5407</v>
      </c>
      <c r="H1449" s="1521">
        <v>1</v>
      </c>
      <c r="I1449" s="1521">
        <v>1</v>
      </c>
      <c r="J1449" s="1538">
        <v>2</v>
      </c>
      <c r="K1449" s="1525"/>
      <c r="L1449" s="1519">
        <v>13121011611</v>
      </c>
      <c r="M1449" s="1520">
        <v>1</v>
      </c>
      <c r="N1449" s="1520">
        <v>1</v>
      </c>
      <c r="O1449" s="1521">
        <v>2</v>
      </c>
    </row>
    <row r="1450" spans="3:15" ht="13.5">
      <c r="C1450" s="1526" t="s">
        <v>5408</v>
      </c>
      <c r="D1450" s="1523">
        <v>1</v>
      </c>
      <c r="E1450" s="1523">
        <v>1</v>
      </c>
      <c r="F1450" s="1524">
        <v>2</v>
      </c>
      <c r="G1450" s="1537" t="s">
        <v>5408</v>
      </c>
      <c r="H1450" s="1521">
        <v>1</v>
      </c>
      <c r="I1450" s="1521" t="s">
        <v>4096</v>
      </c>
      <c r="J1450" s="1538">
        <v>1</v>
      </c>
      <c r="K1450" s="1525"/>
      <c r="L1450" s="1519">
        <v>13121011612</v>
      </c>
      <c r="M1450" s="1520">
        <v>1</v>
      </c>
      <c r="N1450" s="1520">
        <v>1</v>
      </c>
      <c r="O1450" s="1521">
        <v>2</v>
      </c>
    </row>
    <row r="1451" spans="3:15" ht="13.5">
      <c r="C1451" s="1526" t="s">
        <v>5409</v>
      </c>
      <c r="D1451" s="1523">
        <v>1</v>
      </c>
      <c r="E1451" s="1523">
        <v>1</v>
      </c>
      <c r="F1451" s="1524">
        <v>2</v>
      </c>
      <c r="G1451" s="1537" t="s">
        <v>5409</v>
      </c>
      <c r="H1451" s="1521">
        <v>1</v>
      </c>
      <c r="I1451" s="1521">
        <v>1</v>
      </c>
      <c r="J1451" s="1538">
        <v>2</v>
      </c>
      <c r="K1451" s="1525"/>
      <c r="L1451" s="1519">
        <v>13121011613</v>
      </c>
      <c r="M1451" s="1520">
        <v>1</v>
      </c>
      <c r="N1451" s="1520">
        <v>1</v>
      </c>
      <c r="O1451" s="1521">
        <v>2</v>
      </c>
    </row>
    <row r="1452" spans="3:15" ht="13.5">
      <c r="C1452" s="1526" t="s">
        <v>5410</v>
      </c>
      <c r="D1452" s="1523">
        <v>1</v>
      </c>
      <c r="E1452" s="1523">
        <v>1</v>
      </c>
      <c r="F1452" s="1524">
        <v>2</v>
      </c>
      <c r="G1452" s="1537" t="s">
        <v>5410</v>
      </c>
      <c r="H1452" s="1521">
        <v>1</v>
      </c>
      <c r="I1452" s="1521">
        <v>1</v>
      </c>
      <c r="J1452" s="1538">
        <v>2</v>
      </c>
      <c r="K1452" s="1525"/>
      <c r="L1452" s="1519">
        <v>13121011614</v>
      </c>
      <c r="M1452" s="1520">
        <v>1</v>
      </c>
      <c r="N1452" s="1520">
        <v>1</v>
      </c>
      <c r="O1452" s="1521">
        <v>2</v>
      </c>
    </row>
    <row r="1453" spans="3:15" ht="13.5">
      <c r="C1453" s="1526" t="s">
        <v>5411</v>
      </c>
      <c r="D1453" s="1523">
        <v>1</v>
      </c>
      <c r="E1453" s="1523">
        <v>1</v>
      </c>
      <c r="F1453" s="1524">
        <v>2</v>
      </c>
      <c r="G1453" s="1537" t="s">
        <v>5411</v>
      </c>
      <c r="H1453" s="1521">
        <v>1</v>
      </c>
      <c r="I1453" s="1521">
        <v>1</v>
      </c>
      <c r="J1453" s="1538">
        <v>2</v>
      </c>
      <c r="K1453" s="1525"/>
      <c r="L1453" s="1519">
        <v>13121011615</v>
      </c>
      <c r="M1453" s="1520">
        <v>1</v>
      </c>
      <c r="N1453" s="1520">
        <v>1</v>
      </c>
      <c r="O1453" s="1521">
        <v>2</v>
      </c>
    </row>
    <row r="1454" spans="3:15" ht="13.5">
      <c r="C1454" s="1526" t="s">
        <v>5412</v>
      </c>
      <c r="D1454" s="1523">
        <v>1</v>
      </c>
      <c r="E1454" s="1523">
        <v>1</v>
      </c>
      <c r="F1454" s="1524">
        <v>2</v>
      </c>
      <c r="G1454" s="1537" t="s">
        <v>5412</v>
      </c>
      <c r="H1454" s="1521">
        <v>1</v>
      </c>
      <c r="I1454" s="1521">
        <v>1</v>
      </c>
      <c r="J1454" s="1538">
        <v>2</v>
      </c>
      <c r="K1454" s="1525"/>
      <c r="L1454" s="1519">
        <v>13121011616</v>
      </c>
      <c r="M1454" s="1520">
        <v>1</v>
      </c>
      <c r="N1454" s="1520">
        <v>1</v>
      </c>
      <c r="O1454" s="1521">
        <v>2</v>
      </c>
    </row>
    <row r="1455" spans="3:15" ht="13.5">
      <c r="C1455" s="1526" t="s">
        <v>5413</v>
      </c>
      <c r="D1455" s="1523">
        <v>1</v>
      </c>
      <c r="E1455" s="1523">
        <v>1</v>
      </c>
      <c r="F1455" s="1524">
        <v>2</v>
      </c>
      <c r="G1455" s="1537" t="s">
        <v>5413</v>
      </c>
      <c r="H1455" s="1521">
        <v>1</v>
      </c>
      <c r="I1455" s="1521">
        <v>1</v>
      </c>
      <c r="J1455" s="1538">
        <v>2</v>
      </c>
      <c r="K1455" s="1525"/>
      <c r="L1455" s="1519">
        <v>13121011617</v>
      </c>
      <c r="M1455" s="1520">
        <v>1</v>
      </c>
      <c r="N1455" s="1520">
        <v>1</v>
      </c>
      <c r="O1455" s="1521">
        <v>2</v>
      </c>
    </row>
    <row r="1456" spans="3:15" ht="13.5">
      <c r="C1456" s="1526" t="s">
        <v>5414</v>
      </c>
      <c r="D1456" s="1523">
        <v>1</v>
      </c>
      <c r="E1456" s="1523">
        <v>1</v>
      </c>
      <c r="F1456" s="1524">
        <v>2</v>
      </c>
      <c r="G1456" s="1537" t="s">
        <v>5414</v>
      </c>
      <c r="H1456" s="1521">
        <v>1</v>
      </c>
      <c r="I1456" s="1521">
        <v>1</v>
      </c>
      <c r="J1456" s="1538">
        <v>2</v>
      </c>
      <c r="K1456" s="1525"/>
      <c r="L1456" s="1519">
        <v>13121011618</v>
      </c>
      <c r="M1456" s="1520">
        <v>1</v>
      </c>
      <c r="N1456" s="1520">
        <v>1</v>
      </c>
      <c r="O1456" s="1521">
        <v>2</v>
      </c>
    </row>
    <row r="1457" spans="3:15" ht="13.5">
      <c r="C1457" s="1526" t="s">
        <v>5415</v>
      </c>
      <c r="D1457" s="1523">
        <v>1</v>
      </c>
      <c r="E1457" s="1523">
        <v>1</v>
      </c>
      <c r="F1457" s="1524">
        <v>2</v>
      </c>
      <c r="G1457" s="1537" t="s">
        <v>5415</v>
      </c>
      <c r="H1457" s="1521">
        <v>1</v>
      </c>
      <c r="I1457" s="1521">
        <v>1</v>
      </c>
      <c r="J1457" s="1538">
        <v>2</v>
      </c>
      <c r="K1457" s="1525"/>
      <c r="L1457" s="1519">
        <v>13121011619</v>
      </c>
      <c r="M1457" s="1520">
        <v>1</v>
      </c>
      <c r="N1457" s="1520">
        <v>1</v>
      </c>
      <c r="O1457" s="1521">
        <v>2</v>
      </c>
    </row>
    <row r="1458" spans="3:15" ht="13.5">
      <c r="C1458" s="1526" t="s">
        <v>5416</v>
      </c>
      <c r="D1458" s="1523">
        <v>1</v>
      </c>
      <c r="E1458" s="1523">
        <v>1</v>
      </c>
      <c r="F1458" s="1524">
        <v>2</v>
      </c>
      <c r="G1458" s="1537" t="s">
        <v>5416</v>
      </c>
      <c r="H1458" s="1521">
        <v>1</v>
      </c>
      <c r="I1458" s="1521">
        <v>1</v>
      </c>
      <c r="J1458" s="1538">
        <v>2</v>
      </c>
      <c r="K1458" s="1525"/>
      <c r="L1458" s="1519">
        <v>13121011620</v>
      </c>
      <c r="M1458" s="1520">
        <v>1</v>
      </c>
      <c r="N1458" s="1520">
        <v>1</v>
      </c>
      <c r="O1458" s="1521">
        <v>2</v>
      </c>
    </row>
    <row r="1459" spans="3:15" ht="13.5">
      <c r="C1459" s="1526" t="s">
        <v>5417</v>
      </c>
      <c r="D1459" s="1523">
        <v>1</v>
      </c>
      <c r="E1459" s="1523">
        <v>1</v>
      </c>
      <c r="F1459" s="1524">
        <v>2</v>
      </c>
      <c r="G1459" s="1537" t="s">
        <v>5417</v>
      </c>
      <c r="H1459" s="1521">
        <v>1</v>
      </c>
      <c r="I1459" s="1521">
        <v>1</v>
      </c>
      <c r="J1459" s="1538">
        <v>2</v>
      </c>
      <c r="K1459" s="1525"/>
      <c r="L1459" s="1519">
        <v>13121011621</v>
      </c>
      <c r="M1459" s="1520">
        <v>1</v>
      </c>
      <c r="N1459" s="1520">
        <v>1</v>
      </c>
      <c r="O1459" s="1521">
        <v>2</v>
      </c>
    </row>
    <row r="1460" spans="3:15" ht="13.5">
      <c r="C1460" s="1526" t="s">
        <v>5418</v>
      </c>
      <c r="D1460" s="1523">
        <v>1</v>
      </c>
      <c r="E1460" s="1523">
        <v>1</v>
      </c>
      <c r="F1460" s="1524">
        <v>2</v>
      </c>
      <c r="G1460" s="1537" t="s">
        <v>5418</v>
      </c>
      <c r="H1460" s="1521">
        <v>1</v>
      </c>
      <c r="I1460" s="1521">
        <v>1</v>
      </c>
      <c r="J1460" s="1538">
        <v>2</v>
      </c>
      <c r="K1460" s="1525"/>
      <c r="L1460" s="1519">
        <v>13121011622</v>
      </c>
      <c r="M1460" s="1520">
        <v>1</v>
      </c>
      <c r="N1460" s="1520">
        <v>1</v>
      </c>
      <c r="O1460" s="1521">
        <v>2</v>
      </c>
    </row>
    <row r="1461" spans="3:15" ht="13.5">
      <c r="C1461" s="1526" t="s">
        <v>5419</v>
      </c>
      <c r="D1461" s="1523">
        <v>1</v>
      </c>
      <c r="E1461" s="1523">
        <v>1</v>
      </c>
      <c r="F1461" s="1524">
        <v>2</v>
      </c>
      <c r="G1461" s="1537" t="s">
        <v>5419</v>
      </c>
      <c r="H1461" s="1521">
        <v>1</v>
      </c>
      <c r="I1461" s="1521">
        <v>1</v>
      </c>
      <c r="J1461" s="1538">
        <v>2</v>
      </c>
      <c r="K1461" s="1525"/>
      <c r="L1461" s="1519">
        <v>13121011623</v>
      </c>
      <c r="M1461" s="1520">
        <v>1</v>
      </c>
      <c r="N1461" s="1520">
        <v>1</v>
      </c>
      <c r="O1461" s="1521">
        <v>2</v>
      </c>
    </row>
    <row r="1462" spans="3:15" ht="13.5">
      <c r="C1462" s="1526" t="s">
        <v>5420</v>
      </c>
      <c r="D1462" s="1523">
        <v>1</v>
      </c>
      <c r="E1462" s="1523">
        <v>1</v>
      </c>
      <c r="F1462" s="1524">
        <v>2</v>
      </c>
      <c r="G1462" s="1537" t="s">
        <v>5420</v>
      </c>
      <c r="H1462" s="1521">
        <v>1</v>
      </c>
      <c r="I1462" s="1521" t="s">
        <v>4096</v>
      </c>
      <c r="J1462" s="1538">
        <v>1</v>
      </c>
      <c r="K1462" s="1525"/>
      <c r="L1462" s="1519">
        <v>13121011624</v>
      </c>
      <c r="M1462" s="1520">
        <v>1</v>
      </c>
      <c r="N1462" s="1520">
        <v>1</v>
      </c>
      <c r="O1462" s="1521">
        <v>2</v>
      </c>
    </row>
    <row r="1463" spans="3:15" ht="13.5">
      <c r="C1463" s="1526" t="s">
        <v>5421</v>
      </c>
      <c r="D1463" s="1523">
        <v>1</v>
      </c>
      <c r="E1463" s="1523">
        <v>1</v>
      </c>
      <c r="F1463" s="1524">
        <v>2</v>
      </c>
      <c r="G1463" s="1537" t="s">
        <v>5421</v>
      </c>
      <c r="H1463" s="1521">
        <v>1</v>
      </c>
      <c r="I1463" s="1521">
        <v>1</v>
      </c>
      <c r="J1463" s="1538">
        <v>2</v>
      </c>
      <c r="K1463" s="1525"/>
      <c r="L1463" s="1519">
        <v>13121011625</v>
      </c>
      <c r="M1463" s="1520">
        <v>1</v>
      </c>
      <c r="N1463" s="1520">
        <v>1</v>
      </c>
      <c r="O1463" s="1521">
        <v>2</v>
      </c>
    </row>
    <row r="1464" spans="3:15" ht="13.5">
      <c r="C1464" s="1526" t="s">
        <v>5422</v>
      </c>
      <c r="D1464" s="1523">
        <v>1</v>
      </c>
      <c r="E1464" s="1523">
        <v>1</v>
      </c>
      <c r="F1464" s="1524">
        <v>2</v>
      </c>
      <c r="G1464" s="1537" t="s">
        <v>5422</v>
      </c>
      <c r="H1464" s="1521">
        <v>1</v>
      </c>
      <c r="I1464" s="1521">
        <v>1</v>
      </c>
      <c r="J1464" s="1538">
        <v>2</v>
      </c>
      <c r="K1464" s="1525"/>
      <c r="L1464" s="1519">
        <v>13121011626</v>
      </c>
      <c r="M1464" s="1520">
        <v>1</v>
      </c>
      <c r="N1464" s="1520">
        <v>1</v>
      </c>
      <c r="O1464" s="1521">
        <v>2</v>
      </c>
    </row>
    <row r="1465" spans="3:15" ht="13.5">
      <c r="C1465" s="1526" t="s">
        <v>5423</v>
      </c>
      <c r="D1465" s="1523">
        <v>0</v>
      </c>
      <c r="E1465" s="1523">
        <v>0</v>
      </c>
      <c r="F1465" s="1524">
        <v>0</v>
      </c>
      <c r="G1465" s="1537" t="s">
        <v>5423</v>
      </c>
      <c r="H1465" s="1521">
        <v>0</v>
      </c>
      <c r="I1465" s="1521">
        <v>0</v>
      </c>
      <c r="J1465" s="1538">
        <v>0</v>
      </c>
      <c r="K1465" s="1525"/>
      <c r="L1465" s="1519">
        <v>13121011800</v>
      </c>
      <c r="M1465" s="1520">
        <v>0</v>
      </c>
      <c r="N1465" s="1520">
        <v>0</v>
      </c>
      <c r="O1465" s="1521">
        <v>0</v>
      </c>
    </row>
    <row r="1466" spans="3:15" ht="13.5">
      <c r="C1466" s="1526" t="s">
        <v>5424</v>
      </c>
      <c r="D1466" s="1523">
        <v>0</v>
      </c>
      <c r="E1466" s="1523">
        <v>0</v>
      </c>
      <c r="F1466" s="1524">
        <v>0</v>
      </c>
      <c r="G1466" s="1537" t="s">
        <v>5424</v>
      </c>
      <c r="H1466" s="1521">
        <v>0</v>
      </c>
      <c r="I1466" s="1521" t="s">
        <v>4096</v>
      </c>
      <c r="J1466" s="1538">
        <v>0</v>
      </c>
      <c r="K1466" s="1525"/>
      <c r="L1466" s="1519">
        <v>13121011900</v>
      </c>
      <c r="M1466" s="1520">
        <v>0</v>
      </c>
      <c r="N1466" s="1520">
        <v>0</v>
      </c>
      <c r="O1466" s="1521">
        <v>0</v>
      </c>
    </row>
    <row r="1467" spans="3:15" ht="13.5">
      <c r="C1467" s="1526" t="s">
        <v>5425</v>
      </c>
      <c r="D1467" s="1523">
        <v>0</v>
      </c>
      <c r="E1467" s="1523">
        <v>0</v>
      </c>
      <c r="F1467" s="1524">
        <v>0</v>
      </c>
      <c r="G1467" s="1537" t="s">
        <v>5425</v>
      </c>
      <c r="H1467" s="1521">
        <v>0</v>
      </c>
      <c r="I1467" s="1521">
        <v>0</v>
      </c>
      <c r="J1467" s="1538">
        <v>0</v>
      </c>
      <c r="K1467" s="1525"/>
      <c r="L1467" s="1519">
        <v>13121012000</v>
      </c>
      <c r="M1467" s="1520">
        <v>0</v>
      </c>
      <c r="N1467" s="1520">
        <v>0</v>
      </c>
      <c r="O1467" s="1521">
        <v>0</v>
      </c>
    </row>
    <row r="1468" spans="3:15" ht="13.5">
      <c r="C1468" s="1526" t="s">
        <v>5426</v>
      </c>
      <c r="D1468" s="1523">
        <v>1</v>
      </c>
      <c r="E1468" s="1523">
        <v>0</v>
      </c>
      <c r="F1468" s="1524">
        <v>1</v>
      </c>
      <c r="G1468" s="1537" t="s">
        <v>5426</v>
      </c>
      <c r="H1468" s="1521">
        <v>1</v>
      </c>
      <c r="I1468" s="1521">
        <v>0</v>
      </c>
      <c r="J1468" s="1538">
        <v>1</v>
      </c>
      <c r="K1468" s="1525"/>
      <c r="L1468" s="1519">
        <v>13121012300</v>
      </c>
      <c r="M1468" s="1520">
        <v>1</v>
      </c>
      <c r="N1468" s="1520">
        <v>0</v>
      </c>
      <c r="O1468" s="1521">
        <v>1</v>
      </c>
    </row>
    <row r="1469" spans="3:15" ht="13.5">
      <c r="C1469" s="1526" t="s">
        <v>5427</v>
      </c>
      <c r="D1469" s="1523" t="s">
        <v>4096</v>
      </c>
      <c r="E1469" s="1523" t="s">
        <v>4096</v>
      </c>
      <c r="F1469" s="1524">
        <v>0</v>
      </c>
      <c r="G1469" s="1537" t="s">
        <v>5427</v>
      </c>
      <c r="H1469" s="1521" t="s">
        <v>4096</v>
      </c>
      <c r="I1469" s="1521" t="s">
        <v>4096</v>
      </c>
      <c r="J1469" s="1538">
        <v>0</v>
      </c>
      <c r="K1469" s="1525"/>
      <c r="L1469" s="1519">
        <v>13121980000</v>
      </c>
      <c r="M1469" s="1520">
        <v>0</v>
      </c>
      <c r="N1469" s="1520">
        <v>0</v>
      </c>
      <c r="O1469" s="1521">
        <v>0</v>
      </c>
    </row>
    <row r="1470" spans="3:15" ht="13.5">
      <c r="C1470" s="1526" t="s">
        <v>5428</v>
      </c>
      <c r="D1470" s="1523">
        <v>0</v>
      </c>
      <c r="E1470" s="1523">
        <v>0</v>
      </c>
      <c r="F1470" s="1524">
        <v>0</v>
      </c>
      <c r="G1470" s="1537" t="s">
        <v>5428</v>
      </c>
      <c r="H1470" s="1521">
        <v>0</v>
      </c>
      <c r="I1470" s="1521">
        <v>1</v>
      </c>
      <c r="J1470" s="1538">
        <v>1</v>
      </c>
      <c r="K1470" s="1525"/>
      <c r="L1470" s="1519">
        <v>13123080100</v>
      </c>
      <c r="M1470" s="1520">
        <v>0</v>
      </c>
      <c r="N1470" s="1520">
        <v>1</v>
      </c>
      <c r="O1470" s="1521">
        <v>1</v>
      </c>
    </row>
    <row r="1471" spans="3:15" ht="13.5">
      <c r="C1471" s="1526" t="s">
        <v>5429</v>
      </c>
      <c r="D1471" s="1523">
        <v>0</v>
      </c>
      <c r="E1471" s="1523">
        <v>0</v>
      </c>
      <c r="F1471" s="1524">
        <v>0</v>
      </c>
      <c r="G1471" s="1537" t="s">
        <v>5429</v>
      </c>
      <c r="H1471" s="1521">
        <v>0</v>
      </c>
      <c r="I1471" s="1521">
        <v>0</v>
      </c>
      <c r="J1471" s="1538">
        <v>0</v>
      </c>
      <c r="K1471" s="1525"/>
      <c r="L1471" s="1519">
        <v>13123080200</v>
      </c>
      <c r="M1471" s="1520">
        <v>0</v>
      </c>
      <c r="N1471" s="1520">
        <v>0</v>
      </c>
      <c r="O1471" s="1521">
        <v>0</v>
      </c>
    </row>
    <row r="1472" spans="3:15" ht="13.5">
      <c r="C1472" s="1526" t="s">
        <v>5430</v>
      </c>
      <c r="D1472" s="1523">
        <v>0</v>
      </c>
      <c r="E1472" s="1523">
        <v>0</v>
      </c>
      <c r="F1472" s="1524">
        <v>0</v>
      </c>
      <c r="G1472" s="1537" t="s">
        <v>5430</v>
      </c>
      <c r="H1472" s="1521">
        <v>0</v>
      </c>
      <c r="I1472" s="1521">
        <v>0</v>
      </c>
      <c r="J1472" s="1538">
        <v>0</v>
      </c>
      <c r="K1472" s="1525"/>
      <c r="L1472" s="1519">
        <v>13123080300</v>
      </c>
      <c r="M1472" s="1520">
        <v>0</v>
      </c>
      <c r="N1472" s="1520">
        <v>0</v>
      </c>
      <c r="O1472" s="1521">
        <v>0</v>
      </c>
    </row>
    <row r="1473" spans="3:15" ht="13.5">
      <c r="C1473" s="1526" t="s">
        <v>5431</v>
      </c>
      <c r="D1473" s="1523">
        <v>0</v>
      </c>
      <c r="E1473" s="1523">
        <v>0</v>
      </c>
      <c r="F1473" s="1524">
        <v>0</v>
      </c>
      <c r="G1473" s="1537" t="s">
        <v>5431</v>
      </c>
      <c r="H1473" s="1521">
        <v>0</v>
      </c>
      <c r="I1473" s="1521">
        <v>0</v>
      </c>
      <c r="J1473" s="1538">
        <v>0</v>
      </c>
      <c r="K1473" s="1525"/>
      <c r="L1473" s="1519">
        <v>13123080400</v>
      </c>
      <c r="M1473" s="1520">
        <v>0</v>
      </c>
      <c r="N1473" s="1520">
        <v>0</v>
      </c>
      <c r="O1473" s="1521">
        <v>0</v>
      </c>
    </row>
    <row r="1474" spans="3:15" ht="13.5">
      <c r="C1474" s="1526" t="s">
        <v>5432</v>
      </c>
      <c r="D1474" s="1523">
        <v>0</v>
      </c>
      <c r="E1474" s="1523">
        <v>0</v>
      </c>
      <c r="F1474" s="1524">
        <v>0</v>
      </c>
      <c r="G1474" s="1537" t="s">
        <v>5432</v>
      </c>
      <c r="H1474" s="1521">
        <v>0</v>
      </c>
      <c r="I1474" s="1521">
        <v>1</v>
      </c>
      <c r="J1474" s="1538">
        <v>1</v>
      </c>
      <c r="K1474" s="1525"/>
      <c r="L1474" s="1519">
        <v>13123080500</v>
      </c>
      <c r="M1474" s="1520">
        <v>0</v>
      </c>
      <c r="N1474" s="1520">
        <v>1</v>
      </c>
      <c r="O1474" s="1521">
        <v>1</v>
      </c>
    </row>
    <row r="1475" spans="3:15" ht="13.5">
      <c r="C1475" s="1526" t="s">
        <v>5433</v>
      </c>
      <c r="D1475" s="1523">
        <v>0</v>
      </c>
      <c r="E1475" s="1523">
        <v>0</v>
      </c>
      <c r="F1475" s="1524">
        <v>0</v>
      </c>
      <c r="G1475" s="1537" t="s">
        <v>5433</v>
      </c>
      <c r="H1475" s="1521">
        <v>0</v>
      </c>
      <c r="I1475" s="1521">
        <v>1</v>
      </c>
      <c r="J1475" s="1538">
        <v>1</v>
      </c>
      <c r="K1475" s="1525"/>
      <c r="L1475" s="1519">
        <v>13125010100</v>
      </c>
      <c r="M1475" s="1520">
        <v>0</v>
      </c>
      <c r="N1475" s="1520">
        <v>1</v>
      </c>
      <c r="O1475" s="1521">
        <v>1</v>
      </c>
    </row>
    <row r="1476" spans="3:15" ht="13.5">
      <c r="C1476" s="1526" t="s">
        <v>5434</v>
      </c>
      <c r="D1476" s="1523">
        <v>1</v>
      </c>
      <c r="E1476" s="1523">
        <v>1</v>
      </c>
      <c r="F1476" s="1524">
        <v>2</v>
      </c>
      <c r="G1476" s="1537" t="s">
        <v>5434</v>
      </c>
      <c r="H1476" s="1521">
        <v>1</v>
      </c>
      <c r="I1476" s="1521">
        <v>1</v>
      </c>
      <c r="J1476" s="1538">
        <v>2</v>
      </c>
      <c r="K1476" s="1525"/>
      <c r="L1476" s="1519">
        <v>13127000101</v>
      </c>
      <c r="M1476" s="1520">
        <v>1</v>
      </c>
      <c r="N1476" s="1520">
        <v>1</v>
      </c>
      <c r="O1476" s="1521">
        <v>2</v>
      </c>
    </row>
    <row r="1477" spans="3:15" ht="13.5">
      <c r="C1477" s="1526" t="s">
        <v>5435</v>
      </c>
      <c r="D1477" s="1523">
        <v>1</v>
      </c>
      <c r="E1477" s="1523">
        <v>1</v>
      </c>
      <c r="F1477" s="1524">
        <v>2</v>
      </c>
      <c r="G1477" s="1537" t="s">
        <v>5435</v>
      </c>
      <c r="H1477" s="1521">
        <v>1</v>
      </c>
      <c r="I1477" s="1521">
        <v>1</v>
      </c>
      <c r="J1477" s="1538">
        <v>2</v>
      </c>
      <c r="K1477" s="1525"/>
      <c r="L1477" s="1519">
        <v>13127000102</v>
      </c>
      <c r="M1477" s="1520">
        <v>1</v>
      </c>
      <c r="N1477" s="1520">
        <v>1</v>
      </c>
      <c r="O1477" s="1521">
        <v>2</v>
      </c>
    </row>
    <row r="1478" spans="3:15" ht="13.5">
      <c r="C1478" s="1526" t="s">
        <v>5436</v>
      </c>
      <c r="D1478" s="1523">
        <v>1</v>
      </c>
      <c r="E1478" s="1523">
        <v>1</v>
      </c>
      <c r="F1478" s="1524">
        <v>2</v>
      </c>
      <c r="G1478" s="1537" t="s">
        <v>5436</v>
      </c>
      <c r="H1478" s="1521">
        <v>1</v>
      </c>
      <c r="I1478" s="1521">
        <v>1</v>
      </c>
      <c r="J1478" s="1538">
        <v>2</v>
      </c>
      <c r="K1478" s="1525"/>
      <c r="L1478" s="1519">
        <v>13127000200</v>
      </c>
      <c r="M1478" s="1520">
        <v>1</v>
      </c>
      <c r="N1478" s="1520">
        <v>1</v>
      </c>
      <c r="O1478" s="1521">
        <v>2</v>
      </c>
    </row>
    <row r="1479" spans="3:15" ht="13.5">
      <c r="C1479" s="1526" t="s">
        <v>5437</v>
      </c>
      <c r="D1479" s="1523">
        <v>1</v>
      </c>
      <c r="E1479" s="1523">
        <v>1</v>
      </c>
      <c r="F1479" s="1524">
        <v>2</v>
      </c>
      <c r="G1479" s="1537" t="s">
        <v>5437</v>
      </c>
      <c r="H1479" s="1521">
        <v>1</v>
      </c>
      <c r="I1479" s="1521">
        <v>1</v>
      </c>
      <c r="J1479" s="1538">
        <v>2</v>
      </c>
      <c r="K1479" s="1525"/>
      <c r="L1479" s="1519">
        <v>13127000300</v>
      </c>
      <c r="M1479" s="1520">
        <v>1</v>
      </c>
      <c r="N1479" s="1520">
        <v>1</v>
      </c>
      <c r="O1479" s="1521">
        <v>2</v>
      </c>
    </row>
    <row r="1480" spans="3:15" ht="13.5">
      <c r="C1480" s="1526" t="s">
        <v>5438</v>
      </c>
      <c r="D1480" s="1523">
        <v>1</v>
      </c>
      <c r="E1480" s="1523">
        <v>0</v>
      </c>
      <c r="F1480" s="1524">
        <v>1</v>
      </c>
      <c r="G1480" s="1537" t="s">
        <v>5438</v>
      </c>
      <c r="H1480" s="1521">
        <v>0</v>
      </c>
      <c r="I1480" s="1521">
        <v>0</v>
      </c>
      <c r="J1480" s="1538">
        <v>0</v>
      </c>
      <c r="K1480" s="1525"/>
      <c r="L1480" s="1519">
        <v>13127000401</v>
      </c>
      <c r="M1480" s="1520">
        <v>1</v>
      </c>
      <c r="N1480" s="1520">
        <v>0</v>
      </c>
      <c r="O1480" s="1521">
        <v>1</v>
      </c>
    </row>
    <row r="1481" spans="3:15" ht="13.5">
      <c r="C1481" s="1526" t="s">
        <v>5439</v>
      </c>
      <c r="D1481" s="1523">
        <v>0</v>
      </c>
      <c r="E1481" s="1523">
        <v>1</v>
      </c>
      <c r="F1481" s="1524">
        <v>1</v>
      </c>
      <c r="G1481" s="1537" t="s">
        <v>5439</v>
      </c>
      <c r="H1481" s="1521">
        <v>0</v>
      </c>
      <c r="I1481" s="1521">
        <v>1</v>
      </c>
      <c r="J1481" s="1538">
        <v>1</v>
      </c>
      <c r="K1481" s="1525"/>
      <c r="L1481" s="1519">
        <v>13127000403</v>
      </c>
      <c r="M1481" s="1520">
        <v>0</v>
      </c>
      <c r="N1481" s="1520">
        <v>1</v>
      </c>
      <c r="O1481" s="1521">
        <v>1</v>
      </c>
    </row>
    <row r="1482" spans="3:15" ht="13.5">
      <c r="C1482" s="1526" t="s">
        <v>5440</v>
      </c>
      <c r="D1482" s="1523">
        <v>0</v>
      </c>
      <c r="E1482" s="1523">
        <v>1</v>
      </c>
      <c r="F1482" s="1524">
        <v>1</v>
      </c>
      <c r="G1482" s="1537" t="s">
        <v>5440</v>
      </c>
      <c r="H1482" s="1521">
        <v>0</v>
      </c>
      <c r="I1482" s="1521">
        <v>1</v>
      </c>
      <c r="J1482" s="1538">
        <v>1</v>
      </c>
      <c r="K1482" s="1525"/>
      <c r="L1482" s="1519">
        <v>13127000404</v>
      </c>
      <c r="M1482" s="1520">
        <v>0</v>
      </c>
      <c r="N1482" s="1520">
        <v>1</v>
      </c>
      <c r="O1482" s="1521">
        <v>1</v>
      </c>
    </row>
    <row r="1483" spans="3:15" ht="13.5">
      <c r="C1483" s="1526" t="s">
        <v>5441</v>
      </c>
      <c r="D1483" s="1523">
        <v>0</v>
      </c>
      <c r="E1483" s="1523">
        <v>0</v>
      </c>
      <c r="F1483" s="1524">
        <v>0</v>
      </c>
      <c r="G1483" s="1537" t="s">
        <v>5441</v>
      </c>
      <c r="H1483" s="1521">
        <v>0</v>
      </c>
      <c r="I1483" s="1521">
        <v>0</v>
      </c>
      <c r="J1483" s="1538">
        <v>0</v>
      </c>
      <c r="K1483" s="1525"/>
      <c r="L1483" s="1519">
        <v>13127000501</v>
      </c>
      <c r="M1483" s="1520">
        <v>0</v>
      </c>
      <c r="N1483" s="1520">
        <v>0</v>
      </c>
      <c r="O1483" s="1521">
        <v>0</v>
      </c>
    </row>
    <row r="1484" spans="3:15" ht="13.5">
      <c r="C1484" s="1526" t="s">
        <v>5442</v>
      </c>
      <c r="D1484" s="1523">
        <v>0</v>
      </c>
      <c r="E1484" s="1523">
        <v>0</v>
      </c>
      <c r="F1484" s="1524">
        <v>0</v>
      </c>
      <c r="G1484" s="1537" t="s">
        <v>5442</v>
      </c>
      <c r="H1484" s="1521">
        <v>0</v>
      </c>
      <c r="I1484" s="1521">
        <v>0</v>
      </c>
      <c r="J1484" s="1538">
        <v>0</v>
      </c>
      <c r="K1484" s="1525"/>
      <c r="L1484" s="1519">
        <v>13127000503</v>
      </c>
      <c r="M1484" s="1520">
        <v>0</v>
      </c>
      <c r="N1484" s="1520">
        <v>0</v>
      </c>
      <c r="O1484" s="1521">
        <v>0</v>
      </c>
    </row>
    <row r="1485" spans="3:15" ht="13.5">
      <c r="C1485" s="1526" t="s">
        <v>5443</v>
      </c>
      <c r="D1485" s="1523">
        <v>0</v>
      </c>
      <c r="E1485" s="1523">
        <v>0</v>
      </c>
      <c r="F1485" s="1524">
        <v>0</v>
      </c>
      <c r="G1485" s="1537" t="s">
        <v>5443</v>
      </c>
      <c r="H1485" s="1521">
        <v>0</v>
      </c>
      <c r="I1485" s="1521">
        <v>0</v>
      </c>
      <c r="J1485" s="1538">
        <v>0</v>
      </c>
      <c r="K1485" s="1525"/>
      <c r="L1485" s="1519">
        <v>13127000504</v>
      </c>
      <c r="M1485" s="1520">
        <v>0</v>
      </c>
      <c r="N1485" s="1520">
        <v>0</v>
      </c>
      <c r="O1485" s="1521">
        <v>0</v>
      </c>
    </row>
    <row r="1486" spans="3:15" ht="13.5">
      <c r="C1486" s="1526" t="s">
        <v>5444</v>
      </c>
      <c r="D1486" s="1523">
        <v>0</v>
      </c>
      <c r="E1486" s="1523">
        <v>0</v>
      </c>
      <c r="F1486" s="1524">
        <v>0</v>
      </c>
      <c r="G1486" s="1537" t="s">
        <v>5444</v>
      </c>
      <c r="H1486" s="1521">
        <v>0</v>
      </c>
      <c r="I1486" s="1521">
        <v>0</v>
      </c>
      <c r="J1486" s="1538">
        <v>0</v>
      </c>
      <c r="K1486" s="1525"/>
      <c r="L1486" s="1519">
        <v>13127000600</v>
      </c>
      <c r="M1486" s="1520">
        <v>0</v>
      </c>
      <c r="N1486" s="1520">
        <v>0</v>
      </c>
      <c r="O1486" s="1521">
        <v>0</v>
      </c>
    </row>
    <row r="1487" spans="3:15" ht="13.5">
      <c r="C1487" s="1526" t="s">
        <v>5445</v>
      </c>
      <c r="D1487" s="1523">
        <v>0</v>
      </c>
      <c r="E1487" s="1523">
        <v>0</v>
      </c>
      <c r="F1487" s="1524">
        <v>0</v>
      </c>
      <c r="G1487" s="1537" t="s">
        <v>5445</v>
      </c>
      <c r="H1487" s="1521">
        <v>0</v>
      </c>
      <c r="I1487" s="1521">
        <v>0</v>
      </c>
      <c r="J1487" s="1538">
        <v>0</v>
      </c>
      <c r="K1487" s="1525"/>
      <c r="L1487" s="1519">
        <v>13127000700</v>
      </c>
      <c r="M1487" s="1520">
        <v>0</v>
      </c>
      <c r="N1487" s="1520">
        <v>0</v>
      </c>
      <c r="O1487" s="1521">
        <v>0</v>
      </c>
    </row>
    <row r="1488" spans="3:15" ht="13.5">
      <c r="C1488" s="1526" t="s">
        <v>5446</v>
      </c>
      <c r="D1488" s="1523">
        <v>0</v>
      </c>
      <c r="E1488" s="1523">
        <v>0</v>
      </c>
      <c r="F1488" s="1524">
        <v>0</v>
      </c>
      <c r="G1488" s="1537" t="s">
        <v>5446</v>
      </c>
      <c r="H1488" s="1521">
        <v>0</v>
      </c>
      <c r="I1488" s="1521">
        <v>0</v>
      </c>
      <c r="J1488" s="1538">
        <v>0</v>
      </c>
      <c r="K1488" s="1525"/>
      <c r="L1488" s="1519">
        <v>13127000800</v>
      </c>
      <c r="M1488" s="1520">
        <v>0</v>
      </c>
      <c r="N1488" s="1520">
        <v>0</v>
      </c>
      <c r="O1488" s="1521">
        <v>0</v>
      </c>
    </row>
    <row r="1489" spans="3:15" ht="13.5">
      <c r="C1489" s="1526" t="s">
        <v>5447</v>
      </c>
      <c r="D1489" s="1523">
        <v>0</v>
      </c>
      <c r="E1489" s="1523">
        <v>0</v>
      </c>
      <c r="F1489" s="1524">
        <v>0</v>
      </c>
      <c r="G1489" s="1537" t="s">
        <v>5447</v>
      </c>
      <c r="H1489" s="1521">
        <v>0</v>
      </c>
      <c r="I1489" s="1521">
        <v>0</v>
      </c>
      <c r="J1489" s="1538">
        <v>0</v>
      </c>
      <c r="K1489" s="1525"/>
      <c r="L1489" s="1519">
        <v>13127000900</v>
      </c>
      <c r="M1489" s="1520">
        <v>0</v>
      </c>
      <c r="N1489" s="1520">
        <v>0</v>
      </c>
      <c r="O1489" s="1521">
        <v>0</v>
      </c>
    </row>
    <row r="1490" spans="3:15" ht="13.5">
      <c r="C1490" s="1526" t="s">
        <v>5448</v>
      </c>
      <c r="D1490" s="1523">
        <v>1</v>
      </c>
      <c r="E1490" s="1523">
        <v>1</v>
      </c>
      <c r="F1490" s="1524">
        <v>2</v>
      </c>
      <c r="G1490" s="1537" t="s">
        <v>5448</v>
      </c>
      <c r="H1490" s="1521">
        <v>1</v>
      </c>
      <c r="I1490" s="1521">
        <v>0</v>
      </c>
      <c r="J1490" s="1538">
        <v>1</v>
      </c>
      <c r="K1490" s="1525"/>
      <c r="L1490" s="1519">
        <v>13127001000</v>
      </c>
      <c r="M1490" s="1520">
        <v>1</v>
      </c>
      <c r="N1490" s="1520">
        <v>1</v>
      </c>
      <c r="O1490" s="1521">
        <v>2</v>
      </c>
    </row>
    <row r="1491" spans="3:15" ht="13.5">
      <c r="C1491" s="1526" t="s">
        <v>5449</v>
      </c>
      <c r="D1491" s="1523" t="s">
        <v>4096</v>
      </c>
      <c r="E1491" s="1523" t="s">
        <v>4096</v>
      </c>
      <c r="F1491" s="1524">
        <v>0</v>
      </c>
      <c r="G1491" s="1537" t="s">
        <v>5449</v>
      </c>
      <c r="H1491" s="1521" t="s">
        <v>4096</v>
      </c>
      <c r="I1491" s="1521" t="s">
        <v>4096</v>
      </c>
      <c r="J1491" s="1538">
        <v>0</v>
      </c>
      <c r="K1491" s="1525"/>
      <c r="L1491" s="1519">
        <v>13127990000</v>
      </c>
      <c r="M1491" s="1520">
        <v>0</v>
      </c>
      <c r="N1491" s="1520">
        <v>0</v>
      </c>
      <c r="O1491" s="1521">
        <v>0</v>
      </c>
    </row>
    <row r="1492" spans="3:15" ht="13.5">
      <c r="C1492" s="1526" t="s">
        <v>5450</v>
      </c>
      <c r="D1492" s="1523">
        <v>0</v>
      </c>
      <c r="E1492" s="1523">
        <v>0</v>
      </c>
      <c r="F1492" s="1524">
        <v>0</v>
      </c>
      <c r="G1492" s="1537" t="s">
        <v>5450</v>
      </c>
      <c r="H1492" s="1521">
        <v>0</v>
      </c>
      <c r="I1492" s="1521">
        <v>0</v>
      </c>
      <c r="J1492" s="1538">
        <v>0</v>
      </c>
      <c r="K1492" s="1525"/>
      <c r="L1492" s="1519">
        <v>13129970100</v>
      </c>
      <c r="M1492" s="1520">
        <v>0</v>
      </c>
      <c r="N1492" s="1520">
        <v>0</v>
      </c>
      <c r="O1492" s="1521">
        <v>0</v>
      </c>
    </row>
    <row r="1493" spans="3:15" ht="13.5">
      <c r="C1493" s="1526" t="s">
        <v>5451</v>
      </c>
      <c r="D1493" s="1523">
        <v>0</v>
      </c>
      <c r="E1493" s="1523">
        <v>0</v>
      </c>
      <c r="F1493" s="1524">
        <v>0</v>
      </c>
      <c r="G1493" s="1537" t="s">
        <v>5451</v>
      </c>
      <c r="H1493" s="1521">
        <v>0</v>
      </c>
      <c r="I1493" s="1521">
        <v>0</v>
      </c>
      <c r="J1493" s="1538">
        <v>0</v>
      </c>
      <c r="K1493" s="1525"/>
      <c r="L1493" s="1519">
        <v>13129970200</v>
      </c>
      <c r="M1493" s="1520">
        <v>0</v>
      </c>
      <c r="N1493" s="1520">
        <v>0</v>
      </c>
      <c r="O1493" s="1521">
        <v>0</v>
      </c>
    </row>
    <row r="1494" spans="3:15" ht="13.5">
      <c r="C1494" s="1526" t="s">
        <v>5452</v>
      </c>
      <c r="D1494" s="1523">
        <v>0</v>
      </c>
      <c r="E1494" s="1523">
        <v>0</v>
      </c>
      <c r="F1494" s="1524">
        <v>0</v>
      </c>
      <c r="G1494" s="1537" t="s">
        <v>5452</v>
      </c>
      <c r="H1494" s="1521">
        <v>0</v>
      </c>
      <c r="I1494" s="1521">
        <v>0</v>
      </c>
      <c r="J1494" s="1538">
        <v>0</v>
      </c>
      <c r="K1494" s="1525"/>
      <c r="L1494" s="1519">
        <v>13129970300</v>
      </c>
      <c r="M1494" s="1520">
        <v>0</v>
      </c>
      <c r="N1494" s="1520">
        <v>0</v>
      </c>
      <c r="O1494" s="1521">
        <v>0</v>
      </c>
    </row>
    <row r="1495" spans="3:15" ht="13.5">
      <c r="C1495" s="1526" t="s">
        <v>5453</v>
      </c>
      <c r="D1495" s="1523">
        <v>0</v>
      </c>
      <c r="E1495" s="1523">
        <v>0</v>
      </c>
      <c r="F1495" s="1524">
        <v>0</v>
      </c>
      <c r="G1495" s="1537" t="s">
        <v>5453</v>
      </c>
      <c r="H1495" s="1521">
        <v>0</v>
      </c>
      <c r="I1495" s="1521">
        <v>0</v>
      </c>
      <c r="J1495" s="1538">
        <v>0</v>
      </c>
      <c r="K1495" s="1525"/>
      <c r="L1495" s="1519">
        <v>13129970400</v>
      </c>
      <c r="M1495" s="1520">
        <v>0</v>
      </c>
      <c r="N1495" s="1520">
        <v>0</v>
      </c>
      <c r="O1495" s="1521">
        <v>0</v>
      </c>
    </row>
    <row r="1496" spans="3:15" ht="13.5">
      <c r="C1496" s="1526" t="s">
        <v>5454</v>
      </c>
      <c r="D1496" s="1523">
        <v>0</v>
      </c>
      <c r="E1496" s="1523">
        <v>0</v>
      </c>
      <c r="F1496" s="1524">
        <v>0</v>
      </c>
      <c r="G1496" s="1537" t="s">
        <v>5454</v>
      </c>
      <c r="H1496" s="1521">
        <v>0</v>
      </c>
      <c r="I1496" s="1521">
        <v>0</v>
      </c>
      <c r="J1496" s="1538">
        <v>0</v>
      </c>
      <c r="K1496" s="1525"/>
      <c r="L1496" s="1519">
        <v>13129970500</v>
      </c>
      <c r="M1496" s="1520">
        <v>0</v>
      </c>
      <c r="N1496" s="1520">
        <v>0</v>
      </c>
      <c r="O1496" s="1521">
        <v>0</v>
      </c>
    </row>
    <row r="1497" spans="3:15" ht="13.5">
      <c r="C1497" s="1526" t="s">
        <v>5455</v>
      </c>
      <c r="D1497" s="1523">
        <v>0</v>
      </c>
      <c r="E1497" s="1523">
        <v>0</v>
      </c>
      <c r="F1497" s="1524">
        <v>0</v>
      </c>
      <c r="G1497" s="1537" t="s">
        <v>5455</v>
      </c>
      <c r="H1497" s="1521">
        <v>0</v>
      </c>
      <c r="I1497" s="1521">
        <v>0</v>
      </c>
      <c r="J1497" s="1538">
        <v>0</v>
      </c>
      <c r="K1497" s="1525"/>
      <c r="L1497" s="1519">
        <v>13129970600</v>
      </c>
      <c r="M1497" s="1520">
        <v>0</v>
      </c>
      <c r="N1497" s="1520">
        <v>0</v>
      </c>
      <c r="O1497" s="1521">
        <v>0</v>
      </c>
    </row>
    <row r="1498" spans="3:15" ht="13.5">
      <c r="C1498" s="1526" t="s">
        <v>5456</v>
      </c>
      <c r="D1498" s="1523">
        <v>0</v>
      </c>
      <c r="E1498" s="1523">
        <v>0</v>
      </c>
      <c r="F1498" s="1524">
        <v>0</v>
      </c>
      <c r="G1498" s="1537" t="s">
        <v>5456</v>
      </c>
      <c r="H1498" s="1521">
        <v>0</v>
      </c>
      <c r="I1498" s="1521">
        <v>0</v>
      </c>
      <c r="J1498" s="1538">
        <v>0</v>
      </c>
      <c r="K1498" s="1525"/>
      <c r="L1498" s="1519">
        <v>13129970700</v>
      </c>
      <c r="M1498" s="1520">
        <v>0</v>
      </c>
      <c r="N1498" s="1520">
        <v>0</v>
      </c>
      <c r="O1498" s="1521">
        <v>0</v>
      </c>
    </row>
    <row r="1499" spans="3:15" ht="13.5">
      <c r="C1499" s="1526" t="s">
        <v>5457</v>
      </c>
      <c r="D1499" s="1523">
        <v>1</v>
      </c>
      <c r="E1499" s="1523">
        <v>1</v>
      </c>
      <c r="F1499" s="1524">
        <v>2</v>
      </c>
      <c r="G1499" s="1537" t="s">
        <v>5457</v>
      </c>
      <c r="H1499" s="1521">
        <v>1</v>
      </c>
      <c r="I1499" s="1521">
        <v>1</v>
      </c>
      <c r="J1499" s="1538">
        <v>2</v>
      </c>
      <c r="K1499" s="1525"/>
      <c r="L1499" s="1519">
        <v>13129970800</v>
      </c>
      <c r="M1499" s="1520">
        <v>1</v>
      </c>
      <c r="N1499" s="1520">
        <v>1</v>
      </c>
      <c r="O1499" s="1521">
        <v>2</v>
      </c>
    </row>
    <row r="1500" spans="3:15" ht="13.5">
      <c r="C1500" s="1526" t="s">
        <v>5458</v>
      </c>
      <c r="D1500" s="1523">
        <v>1</v>
      </c>
      <c r="E1500" s="1523">
        <v>0</v>
      </c>
      <c r="F1500" s="1524">
        <v>1</v>
      </c>
      <c r="G1500" s="1537" t="s">
        <v>5458</v>
      </c>
      <c r="H1500" s="1521">
        <v>1</v>
      </c>
      <c r="I1500" s="1521">
        <v>1</v>
      </c>
      <c r="J1500" s="1538">
        <v>2</v>
      </c>
      <c r="K1500" s="1525"/>
      <c r="L1500" s="1519">
        <v>13129970900</v>
      </c>
      <c r="M1500" s="1520">
        <v>1</v>
      </c>
      <c r="N1500" s="1520">
        <v>1</v>
      </c>
      <c r="O1500" s="1521">
        <v>2</v>
      </c>
    </row>
    <row r="1501" spans="3:15" ht="13.5">
      <c r="C1501" s="1526" t="s">
        <v>5459</v>
      </c>
      <c r="D1501" s="1523">
        <v>0</v>
      </c>
      <c r="E1501" s="1523">
        <v>0</v>
      </c>
      <c r="F1501" s="1524">
        <v>0</v>
      </c>
      <c r="G1501" s="1537" t="s">
        <v>5459</v>
      </c>
      <c r="H1501" s="1521">
        <v>0</v>
      </c>
      <c r="I1501" s="1521">
        <v>1</v>
      </c>
      <c r="J1501" s="1538">
        <v>1</v>
      </c>
      <c r="K1501" s="1525"/>
      <c r="L1501" s="1519">
        <v>13131950100</v>
      </c>
      <c r="M1501" s="1520">
        <v>0</v>
      </c>
      <c r="N1501" s="1520">
        <v>1</v>
      </c>
      <c r="O1501" s="1521">
        <v>1</v>
      </c>
    </row>
    <row r="1502" spans="3:15" ht="13.5">
      <c r="C1502" s="1526" t="s">
        <v>5460</v>
      </c>
      <c r="D1502" s="1523">
        <v>0</v>
      </c>
      <c r="E1502" s="1523">
        <v>0</v>
      </c>
      <c r="F1502" s="1524">
        <v>0</v>
      </c>
      <c r="G1502" s="1537" t="s">
        <v>5460</v>
      </c>
      <c r="H1502" s="1521">
        <v>0</v>
      </c>
      <c r="I1502" s="1521">
        <v>0</v>
      </c>
      <c r="J1502" s="1538">
        <v>0</v>
      </c>
      <c r="K1502" s="1525"/>
      <c r="L1502" s="1519">
        <v>13131950200</v>
      </c>
      <c r="M1502" s="1520">
        <v>0</v>
      </c>
      <c r="N1502" s="1520">
        <v>0</v>
      </c>
      <c r="O1502" s="1521">
        <v>0</v>
      </c>
    </row>
    <row r="1503" spans="3:15" ht="13.5">
      <c r="C1503" s="1526" t="s">
        <v>5461</v>
      </c>
      <c r="D1503" s="1523">
        <v>0</v>
      </c>
      <c r="E1503" s="1523">
        <v>0</v>
      </c>
      <c r="F1503" s="1524">
        <v>0</v>
      </c>
      <c r="G1503" s="1537" t="s">
        <v>5461</v>
      </c>
      <c r="H1503" s="1521">
        <v>0</v>
      </c>
      <c r="I1503" s="1521">
        <v>0</v>
      </c>
      <c r="J1503" s="1538">
        <v>0</v>
      </c>
      <c r="K1503" s="1525"/>
      <c r="L1503" s="1519">
        <v>13131950300</v>
      </c>
      <c r="M1503" s="1520">
        <v>0</v>
      </c>
      <c r="N1503" s="1520">
        <v>0</v>
      </c>
      <c r="O1503" s="1521">
        <v>0</v>
      </c>
    </row>
    <row r="1504" spans="3:15" ht="13.5">
      <c r="C1504" s="1526" t="s">
        <v>5462</v>
      </c>
      <c r="D1504" s="1523">
        <v>0</v>
      </c>
      <c r="E1504" s="1523">
        <v>0</v>
      </c>
      <c r="F1504" s="1524">
        <v>0</v>
      </c>
      <c r="G1504" s="1537" t="s">
        <v>5462</v>
      </c>
      <c r="H1504" s="1521">
        <v>0</v>
      </c>
      <c r="I1504" s="1521">
        <v>0</v>
      </c>
      <c r="J1504" s="1538">
        <v>0</v>
      </c>
      <c r="K1504" s="1525"/>
      <c r="L1504" s="1519">
        <v>13131950400</v>
      </c>
      <c r="M1504" s="1520">
        <v>0</v>
      </c>
      <c r="N1504" s="1520">
        <v>0</v>
      </c>
      <c r="O1504" s="1521">
        <v>0</v>
      </c>
    </row>
    <row r="1505" spans="3:15" ht="13.5">
      <c r="C1505" s="1526" t="s">
        <v>5463</v>
      </c>
      <c r="D1505" s="1523">
        <v>0</v>
      </c>
      <c r="E1505" s="1523">
        <v>0</v>
      </c>
      <c r="F1505" s="1524">
        <v>0</v>
      </c>
      <c r="G1505" s="1537" t="s">
        <v>5463</v>
      </c>
      <c r="H1505" s="1521">
        <v>0</v>
      </c>
      <c r="I1505" s="1521">
        <v>0</v>
      </c>
      <c r="J1505" s="1538">
        <v>0</v>
      </c>
      <c r="K1505" s="1525"/>
      <c r="L1505" s="1519">
        <v>13131950500</v>
      </c>
      <c r="M1505" s="1520">
        <v>0</v>
      </c>
      <c r="N1505" s="1520">
        <v>0</v>
      </c>
      <c r="O1505" s="1521">
        <v>0</v>
      </c>
    </row>
    <row r="1506" spans="3:15" ht="13.5">
      <c r="C1506" s="1526" t="s">
        <v>5464</v>
      </c>
      <c r="D1506" s="1523">
        <v>1</v>
      </c>
      <c r="E1506" s="1523">
        <v>0</v>
      </c>
      <c r="F1506" s="1524">
        <v>1</v>
      </c>
      <c r="G1506" s="1537" t="s">
        <v>5464</v>
      </c>
      <c r="H1506" s="1521">
        <v>1</v>
      </c>
      <c r="I1506" s="1521">
        <v>1</v>
      </c>
      <c r="J1506" s="1538">
        <v>2</v>
      </c>
      <c r="K1506" s="1525"/>
      <c r="L1506" s="1519">
        <v>13131950600</v>
      </c>
      <c r="M1506" s="1520">
        <v>1</v>
      </c>
      <c r="N1506" s="1520">
        <v>1</v>
      </c>
      <c r="O1506" s="1521">
        <v>2</v>
      </c>
    </row>
    <row r="1507" spans="3:15" ht="13.5">
      <c r="C1507" s="1526" t="s">
        <v>5465</v>
      </c>
      <c r="D1507" s="1523">
        <v>0</v>
      </c>
      <c r="E1507" s="1523">
        <v>0</v>
      </c>
      <c r="F1507" s="1524">
        <v>0</v>
      </c>
      <c r="G1507" s="1537" t="s">
        <v>5465</v>
      </c>
      <c r="H1507" s="1521">
        <v>0</v>
      </c>
      <c r="I1507" s="1521" t="s">
        <v>4096</v>
      </c>
      <c r="J1507" s="1538">
        <v>0</v>
      </c>
      <c r="K1507" s="1525"/>
      <c r="L1507" s="1519">
        <v>13133950100</v>
      </c>
      <c r="M1507" s="1520">
        <v>0</v>
      </c>
      <c r="N1507" s="1520">
        <v>0</v>
      </c>
      <c r="O1507" s="1521">
        <v>0</v>
      </c>
    </row>
    <row r="1508" spans="3:15" ht="13.5">
      <c r="C1508" s="1526" t="s">
        <v>5466</v>
      </c>
      <c r="D1508" s="1523">
        <v>0</v>
      </c>
      <c r="E1508" s="1523">
        <v>0</v>
      </c>
      <c r="F1508" s="1524">
        <v>0</v>
      </c>
      <c r="G1508" s="1537" t="s">
        <v>5466</v>
      </c>
      <c r="H1508" s="1521">
        <v>0</v>
      </c>
      <c r="I1508" s="1521">
        <v>0</v>
      </c>
      <c r="J1508" s="1538">
        <v>0</v>
      </c>
      <c r="K1508" s="1525"/>
      <c r="L1508" s="1519">
        <v>13133950200</v>
      </c>
      <c r="M1508" s="1520">
        <v>0</v>
      </c>
      <c r="N1508" s="1520">
        <v>0</v>
      </c>
      <c r="O1508" s="1521">
        <v>0</v>
      </c>
    </row>
    <row r="1509" spans="3:15" ht="13.5">
      <c r="C1509" s="1526" t="s">
        <v>5467</v>
      </c>
      <c r="D1509" s="1523">
        <v>1</v>
      </c>
      <c r="E1509" s="1523">
        <v>1</v>
      </c>
      <c r="F1509" s="1524">
        <v>2</v>
      </c>
      <c r="G1509" s="1537" t="s">
        <v>5467</v>
      </c>
      <c r="H1509" s="1521">
        <v>1</v>
      </c>
      <c r="I1509" s="1521" t="s">
        <v>4096</v>
      </c>
      <c r="J1509" s="1538">
        <v>1</v>
      </c>
      <c r="K1509" s="1525"/>
      <c r="L1509" s="1519">
        <v>13133950301</v>
      </c>
      <c r="M1509" s="1520">
        <v>1</v>
      </c>
      <c r="N1509" s="1520">
        <v>1</v>
      </c>
      <c r="O1509" s="1521">
        <v>2</v>
      </c>
    </row>
    <row r="1510" spans="3:15" ht="13.5">
      <c r="C1510" s="1526" t="s">
        <v>5468</v>
      </c>
      <c r="D1510" s="1523">
        <v>1</v>
      </c>
      <c r="E1510" s="1523">
        <v>1</v>
      </c>
      <c r="F1510" s="1524">
        <v>2</v>
      </c>
      <c r="G1510" s="1537" t="s">
        <v>5468</v>
      </c>
      <c r="H1510" s="1521">
        <v>1</v>
      </c>
      <c r="I1510" s="1521">
        <v>1</v>
      </c>
      <c r="J1510" s="1538">
        <v>2</v>
      </c>
      <c r="K1510" s="1525"/>
      <c r="L1510" s="1519">
        <v>13133950302</v>
      </c>
      <c r="M1510" s="1520">
        <v>1</v>
      </c>
      <c r="N1510" s="1520">
        <v>1</v>
      </c>
      <c r="O1510" s="1521">
        <v>2</v>
      </c>
    </row>
    <row r="1511" spans="3:15" ht="13.5">
      <c r="C1511" s="1526" t="s">
        <v>5469</v>
      </c>
      <c r="D1511" s="1523">
        <v>0</v>
      </c>
      <c r="E1511" s="1523">
        <v>0</v>
      </c>
      <c r="F1511" s="1524">
        <v>0</v>
      </c>
      <c r="G1511" s="1537" t="s">
        <v>5469</v>
      </c>
      <c r="H1511" s="1521">
        <v>0</v>
      </c>
      <c r="I1511" s="1521">
        <v>0</v>
      </c>
      <c r="J1511" s="1538">
        <v>0</v>
      </c>
      <c r="K1511" s="1525"/>
      <c r="L1511" s="1519">
        <v>13133950303</v>
      </c>
      <c r="M1511" s="1520">
        <v>0</v>
      </c>
      <c r="N1511" s="1520">
        <v>0</v>
      </c>
      <c r="O1511" s="1521">
        <v>0</v>
      </c>
    </row>
    <row r="1512" spans="3:15" ht="13.5">
      <c r="C1512" s="1526" t="s">
        <v>5470</v>
      </c>
      <c r="D1512" s="1523">
        <v>0</v>
      </c>
      <c r="E1512" s="1523">
        <v>0</v>
      </c>
      <c r="F1512" s="1524">
        <v>0</v>
      </c>
      <c r="G1512" s="1537" t="s">
        <v>5470</v>
      </c>
      <c r="H1512" s="1521">
        <v>0</v>
      </c>
      <c r="I1512" s="1521">
        <v>0</v>
      </c>
      <c r="J1512" s="1538">
        <v>0</v>
      </c>
      <c r="K1512" s="1525"/>
      <c r="L1512" s="1519">
        <v>13133950400</v>
      </c>
      <c r="M1512" s="1520">
        <v>0</v>
      </c>
      <c r="N1512" s="1520">
        <v>0</v>
      </c>
      <c r="O1512" s="1521">
        <v>0</v>
      </c>
    </row>
    <row r="1513" spans="3:15" ht="13.5">
      <c r="C1513" s="1526" t="s">
        <v>5471</v>
      </c>
      <c r="D1513" s="1523">
        <v>1</v>
      </c>
      <c r="E1513" s="1523">
        <v>0</v>
      </c>
      <c r="F1513" s="1524">
        <v>1</v>
      </c>
      <c r="G1513" s="1537" t="s">
        <v>5471</v>
      </c>
      <c r="H1513" s="1521">
        <v>0</v>
      </c>
      <c r="I1513" s="1521">
        <v>0</v>
      </c>
      <c r="J1513" s="1538">
        <v>0</v>
      </c>
      <c r="K1513" s="1525"/>
      <c r="L1513" s="1519">
        <v>13133950500</v>
      </c>
      <c r="M1513" s="1520">
        <v>1</v>
      </c>
      <c r="N1513" s="1520">
        <v>0</v>
      </c>
      <c r="O1513" s="1521">
        <v>1</v>
      </c>
    </row>
    <row r="1514" spans="3:15" ht="13.5">
      <c r="C1514" s="1526" t="s">
        <v>5472</v>
      </c>
      <c r="D1514" s="1523">
        <v>1</v>
      </c>
      <c r="E1514" s="1523">
        <v>1</v>
      </c>
      <c r="F1514" s="1524">
        <v>2</v>
      </c>
      <c r="G1514" s="1537" t="s">
        <v>5472</v>
      </c>
      <c r="H1514" s="1521">
        <v>1</v>
      </c>
      <c r="I1514" s="1521">
        <v>0</v>
      </c>
      <c r="J1514" s="1538">
        <v>1</v>
      </c>
      <c r="K1514" s="1525"/>
      <c r="L1514" s="1519">
        <v>13135050103</v>
      </c>
      <c r="M1514" s="1520">
        <v>1</v>
      </c>
      <c r="N1514" s="1520">
        <v>1</v>
      </c>
      <c r="O1514" s="1521">
        <v>2</v>
      </c>
    </row>
    <row r="1515" spans="3:15" ht="13.5">
      <c r="C1515" s="1526" t="s">
        <v>5473</v>
      </c>
      <c r="D1515" s="1523">
        <v>0</v>
      </c>
      <c r="E1515" s="1523">
        <v>0</v>
      </c>
      <c r="F1515" s="1524">
        <v>0</v>
      </c>
      <c r="G1515" s="1537" t="s">
        <v>5473</v>
      </c>
      <c r="H1515" s="1521">
        <v>0</v>
      </c>
      <c r="I1515" s="1521">
        <v>0</v>
      </c>
      <c r="J1515" s="1538">
        <v>0</v>
      </c>
      <c r="K1515" s="1525"/>
      <c r="L1515" s="1519">
        <v>13135050105</v>
      </c>
      <c r="M1515" s="1520">
        <v>0</v>
      </c>
      <c r="N1515" s="1520">
        <v>0</v>
      </c>
      <c r="O1515" s="1521">
        <v>0</v>
      </c>
    </row>
    <row r="1516" spans="3:15" ht="13.5">
      <c r="C1516" s="1526" t="s">
        <v>5474</v>
      </c>
      <c r="D1516" s="1523">
        <v>1</v>
      </c>
      <c r="E1516" s="1523">
        <v>0</v>
      </c>
      <c r="F1516" s="1524">
        <v>1</v>
      </c>
      <c r="G1516" s="1537" t="s">
        <v>5474</v>
      </c>
      <c r="H1516" s="1521">
        <v>1</v>
      </c>
      <c r="I1516" s="1521">
        <v>0</v>
      </c>
      <c r="J1516" s="1538">
        <v>1</v>
      </c>
      <c r="K1516" s="1525"/>
      <c r="L1516" s="1519">
        <v>13135050106</v>
      </c>
      <c r="M1516" s="1520">
        <v>1</v>
      </c>
      <c r="N1516" s="1520">
        <v>0</v>
      </c>
      <c r="O1516" s="1521">
        <v>1</v>
      </c>
    </row>
    <row r="1517" spans="3:15" ht="13.5">
      <c r="C1517" s="1526" t="s">
        <v>5475</v>
      </c>
      <c r="D1517" s="1523">
        <v>1</v>
      </c>
      <c r="E1517" s="1523">
        <v>1</v>
      </c>
      <c r="F1517" s="1524">
        <v>2</v>
      </c>
      <c r="G1517" s="1537" t="s">
        <v>5475</v>
      </c>
      <c r="H1517" s="1521">
        <v>1</v>
      </c>
      <c r="I1517" s="1521">
        <v>1</v>
      </c>
      <c r="J1517" s="1538">
        <v>2</v>
      </c>
      <c r="K1517" s="1525"/>
      <c r="L1517" s="1519">
        <v>13135050107</v>
      </c>
      <c r="M1517" s="1520">
        <v>1</v>
      </c>
      <c r="N1517" s="1520">
        <v>1</v>
      </c>
      <c r="O1517" s="1521">
        <v>2</v>
      </c>
    </row>
    <row r="1518" spans="3:15" ht="13.5">
      <c r="C1518" s="1526" t="s">
        <v>5476</v>
      </c>
      <c r="D1518" s="1523">
        <v>1</v>
      </c>
      <c r="E1518" s="1523">
        <v>1</v>
      </c>
      <c r="F1518" s="1524">
        <v>2</v>
      </c>
      <c r="G1518" s="1537" t="s">
        <v>5476</v>
      </c>
      <c r="H1518" s="1521">
        <v>1</v>
      </c>
      <c r="I1518" s="1521">
        <v>1</v>
      </c>
      <c r="J1518" s="1538">
        <v>2</v>
      </c>
      <c r="K1518" s="1525"/>
      <c r="L1518" s="1519">
        <v>13135050108</v>
      </c>
      <c r="M1518" s="1520">
        <v>1</v>
      </c>
      <c r="N1518" s="1520">
        <v>1</v>
      </c>
      <c r="O1518" s="1521">
        <v>2</v>
      </c>
    </row>
    <row r="1519" spans="3:15" ht="13.5">
      <c r="C1519" s="1526" t="s">
        <v>5477</v>
      </c>
      <c r="D1519" s="1523">
        <v>1</v>
      </c>
      <c r="E1519" s="1523">
        <v>1</v>
      </c>
      <c r="F1519" s="1524">
        <v>2</v>
      </c>
      <c r="G1519" s="1537" t="s">
        <v>5477</v>
      </c>
      <c r="H1519" s="1521">
        <v>1</v>
      </c>
      <c r="I1519" s="1521">
        <v>0</v>
      </c>
      <c r="J1519" s="1538">
        <v>1</v>
      </c>
      <c r="K1519" s="1525"/>
      <c r="L1519" s="1519">
        <v>13135050109</v>
      </c>
      <c r="M1519" s="1520">
        <v>1</v>
      </c>
      <c r="N1519" s="1520">
        <v>1</v>
      </c>
      <c r="O1519" s="1521">
        <v>2</v>
      </c>
    </row>
    <row r="1520" spans="3:15" ht="13.5">
      <c r="C1520" s="1526" t="s">
        <v>5478</v>
      </c>
      <c r="D1520" s="1523">
        <v>1</v>
      </c>
      <c r="E1520" s="1523">
        <v>0</v>
      </c>
      <c r="F1520" s="1524">
        <v>1</v>
      </c>
      <c r="G1520" s="1537" t="s">
        <v>5478</v>
      </c>
      <c r="H1520" s="1521">
        <v>1</v>
      </c>
      <c r="I1520" s="1521">
        <v>0</v>
      </c>
      <c r="J1520" s="1538">
        <v>1</v>
      </c>
      <c r="K1520" s="1525"/>
      <c r="L1520" s="1519">
        <v>13135050205</v>
      </c>
      <c r="M1520" s="1520">
        <v>1</v>
      </c>
      <c r="N1520" s="1520">
        <v>0</v>
      </c>
      <c r="O1520" s="1521">
        <v>1</v>
      </c>
    </row>
    <row r="1521" spans="3:15" ht="13.5">
      <c r="C1521" s="1526" t="s">
        <v>5479</v>
      </c>
      <c r="D1521" s="1523">
        <v>1</v>
      </c>
      <c r="E1521" s="1523">
        <v>1</v>
      </c>
      <c r="F1521" s="1524">
        <v>2</v>
      </c>
      <c r="G1521" s="1537" t="s">
        <v>5479</v>
      </c>
      <c r="H1521" s="1521">
        <v>1</v>
      </c>
      <c r="I1521" s="1521">
        <v>1</v>
      </c>
      <c r="J1521" s="1538">
        <v>2</v>
      </c>
      <c r="K1521" s="1525"/>
      <c r="L1521" s="1519">
        <v>13135050208</v>
      </c>
      <c r="M1521" s="1520">
        <v>1</v>
      </c>
      <c r="N1521" s="1520">
        <v>1</v>
      </c>
      <c r="O1521" s="1521">
        <v>2</v>
      </c>
    </row>
    <row r="1522" spans="3:15" ht="13.5">
      <c r="C1522" s="1526" t="s">
        <v>5480</v>
      </c>
      <c r="D1522" s="1523">
        <v>0</v>
      </c>
      <c r="E1522" s="1523">
        <v>0</v>
      </c>
      <c r="F1522" s="1524">
        <v>0</v>
      </c>
      <c r="G1522" s="1537" t="s">
        <v>5480</v>
      </c>
      <c r="H1522" s="1521">
        <v>1</v>
      </c>
      <c r="I1522" s="1521">
        <v>0</v>
      </c>
      <c r="J1522" s="1538">
        <v>1</v>
      </c>
      <c r="K1522" s="1525"/>
      <c r="L1522" s="1519">
        <v>13135050209</v>
      </c>
      <c r="M1522" s="1520">
        <v>1</v>
      </c>
      <c r="N1522" s="1520">
        <v>0</v>
      </c>
      <c r="O1522" s="1521">
        <v>1</v>
      </c>
    </row>
    <row r="1523" spans="3:15" ht="13.5">
      <c r="C1523" s="1526" t="s">
        <v>5481</v>
      </c>
      <c r="D1523" s="1523">
        <v>1</v>
      </c>
      <c r="E1523" s="1523">
        <v>1</v>
      </c>
      <c r="F1523" s="1524">
        <v>2</v>
      </c>
      <c r="G1523" s="1537" t="s">
        <v>5481</v>
      </c>
      <c r="H1523" s="1521">
        <v>1</v>
      </c>
      <c r="I1523" s="1521">
        <v>1</v>
      </c>
      <c r="J1523" s="1538">
        <v>2</v>
      </c>
      <c r="K1523" s="1525"/>
      <c r="L1523" s="1519">
        <v>13135050210</v>
      </c>
      <c r="M1523" s="1520">
        <v>1</v>
      </c>
      <c r="N1523" s="1520">
        <v>1</v>
      </c>
      <c r="O1523" s="1521">
        <v>2</v>
      </c>
    </row>
    <row r="1524" spans="3:15" ht="13.5">
      <c r="C1524" s="1526" t="s">
        <v>5482</v>
      </c>
      <c r="D1524" s="1523">
        <v>0</v>
      </c>
      <c r="E1524" s="1523">
        <v>0</v>
      </c>
      <c r="F1524" s="1524">
        <v>0</v>
      </c>
      <c r="G1524" s="1537" t="s">
        <v>5482</v>
      </c>
      <c r="H1524" s="1521">
        <v>0</v>
      </c>
      <c r="I1524" s="1521">
        <v>0</v>
      </c>
      <c r="J1524" s="1538">
        <v>0</v>
      </c>
      <c r="K1524" s="1525"/>
      <c r="L1524" s="1519">
        <v>13135050211</v>
      </c>
      <c r="M1524" s="1520">
        <v>0</v>
      </c>
      <c r="N1524" s="1520">
        <v>0</v>
      </c>
      <c r="O1524" s="1521">
        <v>0</v>
      </c>
    </row>
    <row r="1525" spans="3:15" ht="13.5">
      <c r="C1525" s="1526" t="s">
        <v>5483</v>
      </c>
      <c r="D1525" s="1523">
        <v>1</v>
      </c>
      <c r="E1525" s="1523">
        <v>1</v>
      </c>
      <c r="F1525" s="1524">
        <v>2</v>
      </c>
      <c r="G1525" s="1537" t="s">
        <v>5483</v>
      </c>
      <c r="H1525" s="1521">
        <v>1</v>
      </c>
      <c r="I1525" s="1521">
        <v>1</v>
      </c>
      <c r="J1525" s="1538">
        <v>2</v>
      </c>
      <c r="K1525" s="1525"/>
      <c r="L1525" s="1519">
        <v>13135050212</v>
      </c>
      <c r="M1525" s="1520">
        <v>1</v>
      </c>
      <c r="N1525" s="1520">
        <v>1</v>
      </c>
      <c r="O1525" s="1521">
        <v>2</v>
      </c>
    </row>
    <row r="1526" spans="3:15" ht="13.5">
      <c r="C1526" s="1526" t="s">
        <v>5484</v>
      </c>
      <c r="D1526" s="1523">
        <v>1</v>
      </c>
      <c r="E1526" s="1523">
        <v>1</v>
      </c>
      <c r="F1526" s="1524">
        <v>2</v>
      </c>
      <c r="G1526" s="1537" t="s">
        <v>5484</v>
      </c>
      <c r="H1526" s="1521">
        <v>1</v>
      </c>
      <c r="I1526" s="1521">
        <v>1</v>
      </c>
      <c r="J1526" s="1538">
        <v>2</v>
      </c>
      <c r="K1526" s="1525"/>
      <c r="L1526" s="1519">
        <v>13135050213</v>
      </c>
      <c r="M1526" s="1520">
        <v>1</v>
      </c>
      <c r="N1526" s="1520">
        <v>1</v>
      </c>
      <c r="O1526" s="1521">
        <v>2</v>
      </c>
    </row>
    <row r="1527" spans="3:15" ht="13.5">
      <c r="C1527" s="1526" t="s">
        <v>5485</v>
      </c>
      <c r="D1527" s="1523">
        <v>1</v>
      </c>
      <c r="E1527" s="1523">
        <v>1</v>
      </c>
      <c r="F1527" s="1524">
        <v>2</v>
      </c>
      <c r="G1527" s="1537" t="s">
        <v>5485</v>
      </c>
      <c r="H1527" s="1521">
        <v>1</v>
      </c>
      <c r="I1527" s="1521">
        <v>1</v>
      </c>
      <c r="J1527" s="1538">
        <v>2</v>
      </c>
      <c r="K1527" s="1525"/>
      <c r="L1527" s="1519">
        <v>13135050214</v>
      </c>
      <c r="M1527" s="1520">
        <v>1</v>
      </c>
      <c r="N1527" s="1520">
        <v>1</v>
      </c>
      <c r="O1527" s="1521">
        <v>2</v>
      </c>
    </row>
    <row r="1528" spans="3:15" ht="13.5">
      <c r="C1528" s="1526" t="s">
        <v>5486</v>
      </c>
      <c r="D1528" s="1523">
        <v>1</v>
      </c>
      <c r="E1528" s="1523">
        <v>1</v>
      </c>
      <c r="F1528" s="1524">
        <v>2</v>
      </c>
      <c r="G1528" s="1537" t="s">
        <v>5486</v>
      </c>
      <c r="H1528" s="1521">
        <v>1</v>
      </c>
      <c r="I1528" s="1521" t="s">
        <v>4096</v>
      </c>
      <c r="J1528" s="1538">
        <v>1</v>
      </c>
      <c r="K1528" s="1525"/>
      <c r="L1528" s="1519">
        <v>13135050215</v>
      </c>
      <c r="M1528" s="1520">
        <v>1</v>
      </c>
      <c r="N1528" s="1520">
        <v>1</v>
      </c>
      <c r="O1528" s="1521">
        <v>2</v>
      </c>
    </row>
    <row r="1529" spans="3:15" ht="13.5">
      <c r="C1529" s="1526" t="s">
        <v>5487</v>
      </c>
      <c r="D1529" s="1523">
        <v>1</v>
      </c>
      <c r="E1529" s="1523">
        <v>1</v>
      </c>
      <c r="F1529" s="1524">
        <v>2</v>
      </c>
      <c r="G1529" s="1537" t="s">
        <v>5487</v>
      </c>
      <c r="H1529" s="1521">
        <v>1</v>
      </c>
      <c r="I1529" s="1521">
        <v>1</v>
      </c>
      <c r="J1529" s="1538">
        <v>2</v>
      </c>
      <c r="K1529" s="1525"/>
      <c r="L1529" s="1519">
        <v>13135050216</v>
      </c>
      <c r="M1529" s="1520">
        <v>1</v>
      </c>
      <c r="N1529" s="1520">
        <v>1</v>
      </c>
      <c r="O1529" s="1521">
        <v>2</v>
      </c>
    </row>
    <row r="1530" spans="3:15" ht="13.5">
      <c r="C1530" s="1526" t="s">
        <v>5488</v>
      </c>
      <c r="D1530" s="1523">
        <v>1</v>
      </c>
      <c r="E1530" s="1523">
        <v>1</v>
      </c>
      <c r="F1530" s="1524">
        <v>2</v>
      </c>
      <c r="G1530" s="1537" t="s">
        <v>5488</v>
      </c>
      <c r="H1530" s="1521">
        <v>1</v>
      </c>
      <c r="I1530" s="1521">
        <v>1</v>
      </c>
      <c r="J1530" s="1538">
        <v>2</v>
      </c>
      <c r="K1530" s="1525"/>
      <c r="L1530" s="1519">
        <v>13135050217</v>
      </c>
      <c r="M1530" s="1520">
        <v>1</v>
      </c>
      <c r="N1530" s="1520">
        <v>1</v>
      </c>
      <c r="O1530" s="1521">
        <v>2</v>
      </c>
    </row>
    <row r="1531" spans="3:15" ht="13.5">
      <c r="C1531" s="1526" t="s">
        <v>5489</v>
      </c>
      <c r="D1531" s="1523">
        <v>1</v>
      </c>
      <c r="E1531" s="1523">
        <v>1</v>
      </c>
      <c r="F1531" s="1524">
        <v>2</v>
      </c>
      <c r="G1531" s="1537" t="s">
        <v>5489</v>
      </c>
      <c r="H1531" s="1521">
        <v>1</v>
      </c>
      <c r="I1531" s="1521">
        <v>0</v>
      </c>
      <c r="J1531" s="1538">
        <v>1</v>
      </c>
      <c r="K1531" s="1525"/>
      <c r="L1531" s="1519">
        <v>13135050218</v>
      </c>
      <c r="M1531" s="1520">
        <v>1</v>
      </c>
      <c r="N1531" s="1520">
        <v>1</v>
      </c>
      <c r="O1531" s="1521">
        <v>2</v>
      </c>
    </row>
    <row r="1532" spans="3:15" ht="13.5">
      <c r="C1532" s="1526" t="s">
        <v>5490</v>
      </c>
      <c r="D1532" s="1523">
        <v>1</v>
      </c>
      <c r="E1532" s="1523">
        <v>1</v>
      </c>
      <c r="F1532" s="1524">
        <v>2</v>
      </c>
      <c r="G1532" s="1537" t="s">
        <v>5490</v>
      </c>
      <c r="H1532" s="1521">
        <v>1</v>
      </c>
      <c r="I1532" s="1521">
        <v>1</v>
      </c>
      <c r="J1532" s="1538">
        <v>2</v>
      </c>
      <c r="K1532" s="1525"/>
      <c r="L1532" s="1519">
        <v>13135050219</v>
      </c>
      <c r="M1532" s="1520">
        <v>1</v>
      </c>
      <c r="N1532" s="1520">
        <v>1</v>
      </c>
      <c r="O1532" s="1521">
        <v>2</v>
      </c>
    </row>
    <row r="1533" spans="3:15" ht="13.5">
      <c r="C1533" s="1526" t="s">
        <v>5491</v>
      </c>
      <c r="D1533" s="1523">
        <v>0</v>
      </c>
      <c r="E1533" s="1523">
        <v>0</v>
      </c>
      <c r="F1533" s="1524">
        <v>0</v>
      </c>
      <c r="G1533" s="1537" t="s">
        <v>5491</v>
      </c>
      <c r="H1533" s="1521">
        <v>1</v>
      </c>
      <c r="I1533" s="1521">
        <v>0</v>
      </c>
      <c r="J1533" s="1538">
        <v>1</v>
      </c>
      <c r="K1533" s="1525"/>
      <c r="L1533" s="1519">
        <v>13135050220</v>
      </c>
      <c r="M1533" s="1520">
        <v>1</v>
      </c>
      <c r="N1533" s="1520">
        <v>0</v>
      </c>
      <c r="O1533" s="1521">
        <v>1</v>
      </c>
    </row>
    <row r="1534" spans="3:15" ht="13.5">
      <c r="C1534" s="1526" t="s">
        <v>5492</v>
      </c>
      <c r="D1534" s="1523">
        <v>1</v>
      </c>
      <c r="E1534" s="1523">
        <v>0</v>
      </c>
      <c r="F1534" s="1524">
        <v>1</v>
      </c>
      <c r="G1534" s="1537" t="s">
        <v>5492</v>
      </c>
      <c r="H1534" s="1521">
        <v>1</v>
      </c>
      <c r="I1534" s="1521">
        <v>0</v>
      </c>
      <c r="J1534" s="1538">
        <v>1</v>
      </c>
      <c r="K1534" s="1525"/>
      <c r="L1534" s="1519">
        <v>13135050304</v>
      </c>
      <c r="M1534" s="1520">
        <v>1</v>
      </c>
      <c r="N1534" s="1520">
        <v>0</v>
      </c>
      <c r="O1534" s="1521">
        <v>1</v>
      </c>
    </row>
    <row r="1535" spans="3:15" ht="13.5">
      <c r="C1535" s="1526" t="s">
        <v>5493</v>
      </c>
      <c r="D1535" s="1523">
        <v>0</v>
      </c>
      <c r="E1535" s="1523">
        <v>0</v>
      </c>
      <c r="F1535" s="1524">
        <v>0</v>
      </c>
      <c r="G1535" s="1537" t="s">
        <v>5493</v>
      </c>
      <c r="H1535" s="1521">
        <v>1</v>
      </c>
      <c r="I1535" s="1521">
        <v>0</v>
      </c>
      <c r="J1535" s="1538">
        <v>1</v>
      </c>
      <c r="K1535" s="1525"/>
      <c r="L1535" s="1519">
        <v>13135050306</v>
      </c>
      <c r="M1535" s="1520">
        <v>1</v>
      </c>
      <c r="N1535" s="1520">
        <v>0</v>
      </c>
      <c r="O1535" s="1521">
        <v>1</v>
      </c>
    </row>
    <row r="1536" spans="3:15" ht="13.5">
      <c r="C1536" s="1526" t="s">
        <v>5494</v>
      </c>
      <c r="D1536" s="1523">
        <v>1</v>
      </c>
      <c r="E1536" s="1523">
        <v>1</v>
      </c>
      <c r="F1536" s="1524">
        <v>2</v>
      </c>
      <c r="G1536" s="1537" t="s">
        <v>5494</v>
      </c>
      <c r="H1536" s="1521">
        <v>1</v>
      </c>
      <c r="I1536" s="1521">
        <v>1</v>
      </c>
      <c r="J1536" s="1538">
        <v>2</v>
      </c>
      <c r="K1536" s="1525"/>
      <c r="L1536" s="1519">
        <v>13135050308</v>
      </c>
      <c r="M1536" s="1520">
        <v>1</v>
      </c>
      <c r="N1536" s="1520">
        <v>1</v>
      </c>
      <c r="O1536" s="1521">
        <v>2</v>
      </c>
    </row>
    <row r="1537" spans="3:15" ht="13.5">
      <c r="C1537" s="1526" t="s">
        <v>5495</v>
      </c>
      <c r="D1537" s="1523">
        <v>1</v>
      </c>
      <c r="E1537" s="1523">
        <v>1</v>
      </c>
      <c r="F1537" s="1524">
        <v>2</v>
      </c>
      <c r="G1537" s="1537" t="s">
        <v>5495</v>
      </c>
      <c r="H1537" s="1521">
        <v>1</v>
      </c>
      <c r="I1537" s="1521">
        <v>1</v>
      </c>
      <c r="J1537" s="1538">
        <v>2</v>
      </c>
      <c r="K1537" s="1525"/>
      <c r="L1537" s="1519">
        <v>13135050309</v>
      </c>
      <c r="M1537" s="1520">
        <v>1</v>
      </c>
      <c r="N1537" s="1520">
        <v>1</v>
      </c>
      <c r="O1537" s="1521">
        <v>2</v>
      </c>
    </row>
    <row r="1538" spans="3:15" ht="13.5">
      <c r="C1538" s="1526" t="s">
        <v>5496</v>
      </c>
      <c r="D1538" s="1523">
        <v>1</v>
      </c>
      <c r="E1538" s="1523">
        <v>1</v>
      </c>
      <c r="F1538" s="1524">
        <v>2</v>
      </c>
      <c r="G1538" s="1537" t="s">
        <v>5496</v>
      </c>
      <c r="H1538" s="1521">
        <v>1</v>
      </c>
      <c r="I1538" s="1521">
        <v>1</v>
      </c>
      <c r="J1538" s="1538">
        <v>2</v>
      </c>
      <c r="K1538" s="1525"/>
      <c r="L1538" s="1519">
        <v>13135050310</v>
      </c>
      <c r="M1538" s="1520">
        <v>1</v>
      </c>
      <c r="N1538" s="1520">
        <v>1</v>
      </c>
      <c r="O1538" s="1521">
        <v>2</v>
      </c>
    </row>
    <row r="1539" spans="3:15" ht="13.5">
      <c r="C1539" s="1526" t="s">
        <v>5497</v>
      </c>
      <c r="D1539" s="1523">
        <v>1</v>
      </c>
      <c r="E1539" s="1523">
        <v>1</v>
      </c>
      <c r="F1539" s="1524">
        <v>2</v>
      </c>
      <c r="G1539" s="1537" t="s">
        <v>5497</v>
      </c>
      <c r="H1539" s="1521">
        <v>1</v>
      </c>
      <c r="I1539" s="1521">
        <v>0</v>
      </c>
      <c r="J1539" s="1538">
        <v>1</v>
      </c>
      <c r="K1539" s="1525"/>
      <c r="L1539" s="1519">
        <v>13135050311</v>
      </c>
      <c r="M1539" s="1520">
        <v>1</v>
      </c>
      <c r="N1539" s="1520">
        <v>1</v>
      </c>
      <c r="O1539" s="1521">
        <v>2</v>
      </c>
    </row>
    <row r="1540" spans="3:15" ht="13.5">
      <c r="C1540" s="1526" t="s">
        <v>5498</v>
      </c>
      <c r="D1540" s="1523">
        <v>0</v>
      </c>
      <c r="E1540" s="1523">
        <v>0</v>
      </c>
      <c r="F1540" s="1524">
        <v>0</v>
      </c>
      <c r="G1540" s="1537" t="s">
        <v>5498</v>
      </c>
      <c r="H1540" s="1521">
        <v>0</v>
      </c>
      <c r="I1540" s="1521">
        <v>0</v>
      </c>
      <c r="J1540" s="1538">
        <v>0</v>
      </c>
      <c r="K1540" s="1525"/>
      <c r="L1540" s="1519">
        <v>13135050313</v>
      </c>
      <c r="M1540" s="1520">
        <v>0</v>
      </c>
      <c r="N1540" s="1520">
        <v>0</v>
      </c>
      <c r="O1540" s="1521">
        <v>0</v>
      </c>
    </row>
    <row r="1541" spans="3:15" ht="13.5">
      <c r="C1541" s="1526" t="s">
        <v>5499</v>
      </c>
      <c r="D1541" s="1523">
        <v>1</v>
      </c>
      <c r="E1541" s="1523">
        <v>0</v>
      </c>
      <c r="F1541" s="1524">
        <v>1</v>
      </c>
      <c r="G1541" s="1537" t="s">
        <v>5499</v>
      </c>
      <c r="H1541" s="1521">
        <v>1</v>
      </c>
      <c r="I1541" s="1521">
        <v>0</v>
      </c>
      <c r="J1541" s="1538">
        <v>1</v>
      </c>
      <c r="K1541" s="1525"/>
      <c r="L1541" s="1519">
        <v>13135050314</v>
      </c>
      <c r="M1541" s="1520">
        <v>1</v>
      </c>
      <c r="N1541" s="1520">
        <v>0</v>
      </c>
      <c r="O1541" s="1521">
        <v>1</v>
      </c>
    </row>
    <row r="1542" spans="3:15" ht="13.5">
      <c r="C1542" s="1526" t="s">
        <v>5500</v>
      </c>
      <c r="D1542" s="1523">
        <v>1</v>
      </c>
      <c r="E1542" s="1523">
        <v>0</v>
      </c>
      <c r="F1542" s="1524">
        <v>1</v>
      </c>
      <c r="G1542" s="1537" t="s">
        <v>5500</v>
      </c>
      <c r="H1542" s="1521">
        <v>1</v>
      </c>
      <c r="I1542" s="1521">
        <v>0</v>
      </c>
      <c r="J1542" s="1538">
        <v>1</v>
      </c>
      <c r="K1542" s="1525"/>
      <c r="L1542" s="1519">
        <v>13135050315</v>
      </c>
      <c r="M1542" s="1520">
        <v>1</v>
      </c>
      <c r="N1542" s="1520">
        <v>0</v>
      </c>
      <c r="O1542" s="1521">
        <v>1</v>
      </c>
    </row>
    <row r="1543" spans="3:15" ht="13.5">
      <c r="C1543" s="1526" t="s">
        <v>5501</v>
      </c>
      <c r="D1543" s="1523">
        <v>0</v>
      </c>
      <c r="E1543" s="1523">
        <v>0</v>
      </c>
      <c r="F1543" s="1524">
        <v>0</v>
      </c>
      <c r="G1543" s="1537" t="s">
        <v>5501</v>
      </c>
      <c r="H1543" s="1521">
        <v>1</v>
      </c>
      <c r="I1543" s="1521" t="s">
        <v>4096</v>
      </c>
      <c r="J1543" s="1538">
        <v>1</v>
      </c>
      <c r="K1543" s="1525"/>
      <c r="L1543" s="1519">
        <v>13135050317</v>
      </c>
      <c r="M1543" s="1520">
        <v>1</v>
      </c>
      <c r="N1543" s="1520">
        <v>0</v>
      </c>
      <c r="O1543" s="1521">
        <v>1</v>
      </c>
    </row>
    <row r="1544" spans="3:15" ht="13.5">
      <c r="C1544" s="1526" t="s">
        <v>5502</v>
      </c>
      <c r="D1544" s="1523">
        <v>1</v>
      </c>
      <c r="E1544" s="1523">
        <v>0</v>
      </c>
      <c r="F1544" s="1524">
        <v>1</v>
      </c>
      <c r="G1544" s="1537" t="s">
        <v>5502</v>
      </c>
      <c r="H1544" s="1521">
        <v>1</v>
      </c>
      <c r="I1544" s="1521" t="s">
        <v>4096</v>
      </c>
      <c r="J1544" s="1538">
        <v>1</v>
      </c>
      <c r="K1544" s="1525"/>
      <c r="L1544" s="1519">
        <v>13135050318</v>
      </c>
      <c r="M1544" s="1520">
        <v>1</v>
      </c>
      <c r="N1544" s="1520">
        <v>0</v>
      </c>
      <c r="O1544" s="1521">
        <v>1</v>
      </c>
    </row>
    <row r="1545" spans="3:15" ht="13.5">
      <c r="C1545" s="1526" t="s">
        <v>5503</v>
      </c>
      <c r="D1545" s="1523">
        <v>0</v>
      </c>
      <c r="E1545" s="1523">
        <v>0</v>
      </c>
      <c r="F1545" s="1524">
        <v>0</v>
      </c>
      <c r="G1545" s="1537" t="s">
        <v>5503</v>
      </c>
      <c r="H1545" s="1521">
        <v>0</v>
      </c>
      <c r="I1545" s="1521" t="s">
        <v>4096</v>
      </c>
      <c r="J1545" s="1538">
        <v>0</v>
      </c>
      <c r="K1545" s="1525"/>
      <c r="L1545" s="1519">
        <v>13135050319</v>
      </c>
      <c r="M1545" s="1520">
        <v>0</v>
      </c>
      <c r="N1545" s="1520">
        <v>0</v>
      </c>
      <c r="O1545" s="1521">
        <v>0</v>
      </c>
    </row>
    <row r="1546" spans="3:15" ht="13.5">
      <c r="C1546" s="1526" t="s">
        <v>5504</v>
      </c>
      <c r="D1546" s="1523">
        <v>0</v>
      </c>
      <c r="E1546" s="1523">
        <v>0</v>
      </c>
      <c r="F1546" s="1524">
        <v>0</v>
      </c>
      <c r="G1546" s="1537" t="s">
        <v>5504</v>
      </c>
      <c r="H1546" s="1521">
        <v>0</v>
      </c>
      <c r="I1546" s="1521" t="s">
        <v>4096</v>
      </c>
      <c r="J1546" s="1538">
        <v>0</v>
      </c>
      <c r="K1546" s="1525"/>
      <c r="L1546" s="1519">
        <v>13135050320</v>
      </c>
      <c r="M1546" s="1520">
        <v>0</v>
      </c>
      <c r="N1546" s="1520">
        <v>0</v>
      </c>
      <c r="O1546" s="1521">
        <v>0</v>
      </c>
    </row>
    <row r="1547" spans="3:15" ht="13.5">
      <c r="C1547" s="1526" t="s">
        <v>5505</v>
      </c>
      <c r="D1547" s="1523">
        <v>1</v>
      </c>
      <c r="E1547" s="1523">
        <v>1</v>
      </c>
      <c r="F1547" s="1524">
        <v>2</v>
      </c>
      <c r="G1547" s="1537" t="s">
        <v>5505</v>
      </c>
      <c r="H1547" s="1521">
        <v>1</v>
      </c>
      <c r="I1547" s="1521">
        <v>1</v>
      </c>
      <c r="J1547" s="1538">
        <v>2</v>
      </c>
      <c r="K1547" s="1525"/>
      <c r="L1547" s="1519">
        <v>13135050321</v>
      </c>
      <c r="M1547" s="1520">
        <v>1</v>
      </c>
      <c r="N1547" s="1520">
        <v>1</v>
      </c>
      <c r="O1547" s="1521">
        <v>2</v>
      </c>
    </row>
    <row r="1548" spans="3:15" ht="13.5">
      <c r="C1548" s="1526" t="s">
        <v>5506</v>
      </c>
      <c r="D1548" s="1523">
        <v>1</v>
      </c>
      <c r="E1548" s="1523">
        <v>1</v>
      </c>
      <c r="F1548" s="1524">
        <v>2</v>
      </c>
      <c r="G1548" s="1537" t="s">
        <v>5506</v>
      </c>
      <c r="H1548" s="1521">
        <v>1</v>
      </c>
      <c r="I1548" s="1521">
        <v>1</v>
      </c>
      <c r="J1548" s="1538">
        <v>2</v>
      </c>
      <c r="K1548" s="1525"/>
      <c r="L1548" s="1519">
        <v>13135050322</v>
      </c>
      <c r="M1548" s="1520">
        <v>1</v>
      </c>
      <c r="N1548" s="1520">
        <v>1</v>
      </c>
      <c r="O1548" s="1521">
        <v>2</v>
      </c>
    </row>
    <row r="1549" spans="3:15" ht="13.5">
      <c r="C1549" s="1526" t="s">
        <v>5507</v>
      </c>
      <c r="D1549" s="1523">
        <v>0</v>
      </c>
      <c r="E1549" s="1523">
        <v>0</v>
      </c>
      <c r="F1549" s="1524">
        <v>0</v>
      </c>
      <c r="G1549" s="1537" t="s">
        <v>5507</v>
      </c>
      <c r="H1549" s="1521">
        <v>1</v>
      </c>
      <c r="I1549" s="1521">
        <v>0</v>
      </c>
      <c r="J1549" s="1538">
        <v>1</v>
      </c>
      <c r="K1549" s="1525"/>
      <c r="L1549" s="1519">
        <v>13135050410</v>
      </c>
      <c r="M1549" s="1520">
        <v>1</v>
      </c>
      <c r="N1549" s="1520">
        <v>0</v>
      </c>
      <c r="O1549" s="1521">
        <v>1</v>
      </c>
    </row>
    <row r="1550" spans="3:15" ht="13.5">
      <c r="C1550" s="1526" t="s">
        <v>5508</v>
      </c>
      <c r="D1550" s="1523">
        <v>1</v>
      </c>
      <c r="E1550" s="1523">
        <v>1</v>
      </c>
      <c r="F1550" s="1524">
        <v>2</v>
      </c>
      <c r="G1550" s="1537" t="s">
        <v>5508</v>
      </c>
      <c r="H1550" s="1521">
        <v>1</v>
      </c>
      <c r="I1550" s="1521">
        <v>1</v>
      </c>
      <c r="J1550" s="1538">
        <v>2</v>
      </c>
      <c r="K1550" s="1525"/>
      <c r="L1550" s="1519">
        <v>13135050415</v>
      </c>
      <c r="M1550" s="1520">
        <v>1</v>
      </c>
      <c r="N1550" s="1520">
        <v>1</v>
      </c>
      <c r="O1550" s="1521">
        <v>2</v>
      </c>
    </row>
    <row r="1551" spans="3:15" ht="13.5">
      <c r="C1551" s="1526" t="s">
        <v>5509</v>
      </c>
      <c r="D1551" s="1523">
        <v>0</v>
      </c>
      <c r="E1551" s="1523">
        <v>0</v>
      </c>
      <c r="F1551" s="1524">
        <v>0</v>
      </c>
      <c r="G1551" s="1537" t="s">
        <v>5509</v>
      </c>
      <c r="H1551" s="1521">
        <v>0</v>
      </c>
      <c r="I1551" s="1521">
        <v>0</v>
      </c>
      <c r="J1551" s="1538">
        <v>0</v>
      </c>
      <c r="K1551" s="1525"/>
      <c r="L1551" s="1519">
        <v>13135050416</v>
      </c>
      <c r="M1551" s="1520">
        <v>0</v>
      </c>
      <c r="N1551" s="1520">
        <v>0</v>
      </c>
      <c r="O1551" s="1521">
        <v>0</v>
      </c>
    </row>
    <row r="1552" spans="3:15" ht="13.5">
      <c r="C1552" s="1526" t="s">
        <v>5510</v>
      </c>
      <c r="D1552" s="1523">
        <v>0</v>
      </c>
      <c r="E1552" s="1523">
        <v>0</v>
      </c>
      <c r="F1552" s="1524">
        <v>0</v>
      </c>
      <c r="G1552" s="1537" t="s">
        <v>5510</v>
      </c>
      <c r="H1552" s="1521">
        <v>0</v>
      </c>
      <c r="I1552" s="1521" t="s">
        <v>4096</v>
      </c>
      <c r="J1552" s="1538">
        <v>0</v>
      </c>
      <c r="K1552" s="1525"/>
      <c r="L1552" s="1519">
        <v>13135050417</v>
      </c>
      <c r="M1552" s="1520">
        <v>0</v>
      </c>
      <c r="N1552" s="1520">
        <v>0</v>
      </c>
      <c r="O1552" s="1521">
        <v>0</v>
      </c>
    </row>
    <row r="1553" spans="3:15" ht="13.5">
      <c r="C1553" s="1526" t="s">
        <v>5511</v>
      </c>
      <c r="D1553" s="1523">
        <v>0</v>
      </c>
      <c r="E1553" s="1523">
        <v>0</v>
      </c>
      <c r="F1553" s="1524">
        <v>0</v>
      </c>
      <c r="G1553" s="1537" t="s">
        <v>5511</v>
      </c>
      <c r="H1553" s="1521">
        <v>0</v>
      </c>
      <c r="I1553" s="1521">
        <v>0</v>
      </c>
      <c r="J1553" s="1538">
        <v>0</v>
      </c>
      <c r="K1553" s="1525"/>
      <c r="L1553" s="1519">
        <v>13135050418</v>
      </c>
      <c r="M1553" s="1520">
        <v>0</v>
      </c>
      <c r="N1553" s="1520">
        <v>0</v>
      </c>
      <c r="O1553" s="1521">
        <v>0</v>
      </c>
    </row>
    <row r="1554" spans="3:15" ht="13.5">
      <c r="C1554" s="1526" t="s">
        <v>5512</v>
      </c>
      <c r="D1554" s="1523">
        <v>0</v>
      </c>
      <c r="E1554" s="1523">
        <v>0</v>
      </c>
      <c r="F1554" s="1524">
        <v>0</v>
      </c>
      <c r="G1554" s="1537" t="s">
        <v>5512</v>
      </c>
      <c r="H1554" s="1521">
        <v>0</v>
      </c>
      <c r="I1554" s="1521" t="s">
        <v>4096</v>
      </c>
      <c r="J1554" s="1538">
        <v>0</v>
      </c>
      <c r="K1554" s="1525"/>
      <c r="L1554" s="1519">
        <v>13135050419</v>
      </c>
      <c r="M1554" s="1520">
        <v>0</v>
      </c>
      <c r="N1554" s="1520">
        <v>0</v>
      </c>
      <c r="O1554" s="1521">
        <v>0</v>
      </c>
    </row>
    <row r="1555" spans="3:15" ht="13.5">
      <c r="C1555" s="1526" t="s">
        <v>5513</v>
      </c>
      <c r="D1555" s="1523">
        <v>0</v>
      </c>
      <c r="E1555" s="1523">
        <v>0</v>
      </c>
      <c r="F1555" s="1524">
        <v>0</v>
      </c>
      <c r="G1555" s="1537" t="s">
        <v>5513</v>
      </c>
      <c r="H1555" s="1521">
        <v>0</v>
      </c>
      <c r="I1555" s="1521">
        <v>0</v>
      </c>
      <c r="J1555" s="1538">
        <v>0</v>
      </c>
      <c r="K1555" s="1525"/>
      <c r="L1555" s="1519">
        <v>13135050421</v>
      </c>
      <c r="M1555" s="1520">
        <v>0</v>
      </c>
      <c r="N1555" s="1520">
        <v>0</v>
      </c>
      <c r="O1555" s="1521">
        <v>0</v>
      </c>
    </row>
    <row r="1556" spans="3:15" ht="13.5">
      <c r="C1556" s="1526" t="s">
        <v>5514</v>
      </c>
      <c r="D1556" s="1523">
        <v>0</v>
      </c>
      <c r="E1556" s="1523">
        <v>0</v>
      </c>
      <c r="F1556" s="1524">
        <v>0</v>
      </c>
      <c r="G1556" s="1537" t="s">
        <v>5514</v>
      </c>
      <c r="H1556" s="1521">
        <v>0</v>
      </c>
      <c r="I1556" s="1521">
        <v>0</v>
      </c>
      <c r="J1556" s="1538">
        <v>0</v>
      </c>
      <c r="K1556" s="1525"/>
      <c r="L1556" s="1519">
        <v>13135050422</v>
      </c>
      <c r="M1556" s="1520">
        <v>0</v>
      </c>
      <c r="N1556" s="1520">
        <v>0</v>
      </c>
      <c r="O1556" s="1521">
        <v>0</v>
      </c>
    </row>
    <row r="1557" spans="3:15" ht="13.5">
      <c r="C1557" s="1526" t="s">
        <v>5515</v>
      </c>
      <c r="D1557" s="1523">
        <v>0</v>
      </c>
      <c r="E1557" s="1523">
        <v>0</v>
      </c>
      <c r="F1557" s="1524">
        <v>0</v>
      </c>
      <c r="G1557" s="1537" t="s">
        <v>5515</v>
      </c>
      <c r="H1557" s="1521">
        <v>0</v>
      </c>
      <c r="I1557" s="1521" t="s">
        <v>4096</v>
      </c>
      <c r="J1557" s="1538">
        <v>0</v>
      </c>
      <c r="K1557" s="1525"/>
      <c r="L1557" s="1519">
        <v>13135050423</v>
      </c>
      <c r="M1557" s="1520">
        <v>0</v>
      </c>
      <c r="N1557" s="1520">
        <v>0</v>
      </c>
      <c r="O1557" s="1521">
        <v>0</v>
      </c>
    </row>
    <row r="1558" spans="3:15" ht="13.5">
      <c r="C1558" s="1526" t="s">
        <v>5516</v>
      </c>
      <c r="D1558" s="1523">
        <v>0</v>
      </c>
      <c r="E1558" s="1523">
        <v>0</v>
      </c>
      <c r="F1558" s="1524">
        <v>0</v>
      </c>
      <c r="G1558" s="1537" t="s">
        <v>5516</v>
      </c>
      <c r="H1558" s="1521">
        <v>0</v>
      </c>
      <c r="I1558" s="1521" t="s">
        <v>4096</v>
      </c>
      <c r="J1558" s="1538">
        <v>0</v>
      </c>
      <c r="K1558" s="1525"/>
      <c r="L1558" s="1519">
        <v>13135050424</v>
      </c>
      <c r="M1558" s="1520">
        <v>0</v>
      </c>
      <c r="N1558" s="1520">
        <v>0</v>
      </c>
      <c r="O1558" s="1521">
        <v>0</v>
      </c>
    </row>
    <row r="1559" spans="3:15" ht="13.5">
      <c r="C1559" s="1526" t="s">
        <v>5517</v>
      </c>
      <c r="D1559" s="1523">
        <v>1</v>
      </c>
      <c r="E1559" s="1523">
        <v>1</v>
      </c>
      <c r="F1559" s="1524">
        <v>2</v>
      </c>
      <c r="G1559" s="1537" t="s">
        <v>5517</v>
      </c>
      <c r="H1559" s="1521">
        <v>1</v>
      </c>
      <c r="I1559" s="1521">
        <v>1</v>
      </c>
      <c r="J1559" s="1538">
        <v>2</v>
      </c>
      <c r="K1559" s="1525"/>
      <c r="L1559" s="1519">
        <v>13135050425</v>
      </c>
      <c r="M1559" s="1520">
        <v>1</v>
      </c>
      <c r="N1559" s="1520">
        <v>1</v>
      </c>
      <c r="O1559" s="1521">
        <v>2</v>
      </c>
    </row>
    <row r="1560" spans="3:15" ht="13.5">
      <c r="C1560" s="1526" t="s">
        <v>5518</v>
      </c>
      <c r="D1560" s="1523">
        <v>1</v>
      </c>
      <c r="E1560" s="1523">
        <v>1</v>
      </c>
      <c r="F1560" s="1524">
        <v>2</v>
      </c>
      <c r="G1560" s="1537" t="s">
        <v>5518</v>
      </c>
      <c r="H1560" s="1521">
        <v>1</v>
      </c>
      <c r="I1560" s="1521">
        <v>1</v>
      </c>
      <c r="J1560" s="1538">
        <v>2</v>
      </c>
      <c r="K1560" s="1525"/>
      <c r="L1560" s="1519">
        <v>13135050426</v>
      </c>
      <c r="M1560" s="1520">
        <v>1</v>
      </c>
      <c r="N1560" s="1520">
        <v>1</v>
      </c>
      <c r="O1560" s="1521">
        <v>2</v>
      </c>
    </row>
    <row r="1561" spans="3:15" ht="13.5">
      <c r="C1561" s="1526" t="s">
        <v>5519</v>
      </c>
      <c r="D1561" s="1523">
        <v>1</v>
      </c>
      <c r="E1561" s="1523">
        <v>1</v>
      </c>
      <c r="F1561" s="1524">
        <v>2</v>
      </c>
      <c r="G1561" s="1537" t="s">
        <v>5519</v>
      </c>
      <c r="H1561" s="1521">
        <v>1</v>
      </c>
      <c r="I1561" s="1521">
        <v>1</v>
      </c>
      <c r="J1561" s="1538">
        <v>2</v>
      </c>
      <c r="K1561" s="1525"/>
      <c r="L1561" s="1519">
        <v>13135050427</v>
      </c>
      <c r="M1561" s="1520">
        <v>1</v>
      </c>
      <c r="N1561" s="1520">
        <v>1</v>
      </c>
      <c r="O1561" s="1521">
        <v>2</v>
      </c>
    </row>
    <row r="1562" spans="3:15" ht="13.5">
      <c r="C1562" s="1526" t="s">
        <v>5520</v>
      </c>
      <c r="D1562" s="1523">
        <v>1</v>
      </c>
      <c r="E1562" s="1523">
        <v>1</v>
      </c>
      <c r="F1562" s="1524">
        <v>2</v>
      </c>
      <c r="G1562" s="1537" t="s">
        <v>5520</v>
      </c>
      <c r="H1562" s="1521">
        <v>1</v>
      </c>
      <c r="I1562" s="1521">
        <v>1</v>
      </c>
      <c r="J1562" s="1538">
        <v>2</v>
      </c>
      <c r="K1562" s="1525"/>
      <c r="L1562" s="1519">
        <v>13135050428</v>
      </c>
      <c r="M1562" s="1520">
        <v>1</v>
      </c>
      <c r="N1562" s="1520">
        <v>1</v>
      </c>
      <c r="O1562" s="1521">
        <v>2</v>
      </c>
    </row>
    <row r="1563" spans="3:15" ht="13.5">
      <c r="C1563" s="1526" t="s">
        <v>5521</v>
      </c>
      <c r="D1563" s="1523">
        <v>1</v>
      </c>
      <c r="E1563" s="1523">
        <v>1</v>
      </c>
      <c r="F1563" s="1524">
        <v>2</v>
      </c>
      <c r="G1563" s="1537" t="s">
        <v>5521</v>
      </c>
      <c r="H1563" s="1521">
        <v>1</v>
      </c>
      <c r="I1563" s="1521">
        <v>1</v>
      </c>
      <c r="J1563" s="1538">
        <v>2</v>
      </c>
      <c r="K1563" s="1525"/>
      <c r="L1563" s="1519">
        <v>13135050429</v>
      </c>
      <c r="M1563" s="1520">
        <v>1</v>
      </c>
      <c r="N1563" s="1520">
        <v>1</v>
      </c>
      <c r="O1563" s="1521">
        <v>2</v>
      </c>
    </row>
    <row r="1564" spans="3:15" ht="13.5">
      <c r="C1564" s="1526" t="s">
        <v>5522</v>
      </c>
      <c r="D1564" s="1523">
        <v>1</v>
      </c>
      <c r="E1564" s="1523">
        <v>1</v>
      </c>
      <c r="F1564" s="1524">
        <v>2</v>
      </c>
      <c r="G1564" s="1537" t="s">
        <v>5522</v>
      </c>
      <c r="H1564" s="1521">
        <v>1</v>
      </c>
      <c r="I1564" s="1521">
        <v>0</v>
      </c>
      <c r="J1564" s="1538">
        <v>1</v>
      </c>
      <c r="K1564" s="1525"/>
      <c r="L1564" s="1519">
        <v>13135050430</v>
      </c>
      <c r="M1564" s="1520">
        <v>1</v>
      </c>
      <c r="N1564" s="1520">
        <v>1</v>
      </c>
      <c r="O1564" s="1521">
        <v>2</v>
      </c>
    </row>
    <row r="1565" spans="3:15" ht="13.5">
      <c r="C1565" s="1526" t="s">
        <v>5523</v>
      </c>
      <c r="D1565" s="1523">
        <v>0</v>
      </c>
      <c r="E1565" s="1523">
        <v>0</v>
      </c>
      <c r="F1565" s="1524">
        <v>0</v>
      </c>
      <c r="G1565" s="1537" t="s">
        <v>5523</v>
      </c>
      <c r="H1565" s="1521">
        <v>0</v>
      </c>
      <c r="I1565" s="1521">
        <v>0</v>
      </c>
      <c r="J1565" s="1538">
        <v>0</v>
      </c>
      <c r="K1565" s="1525"/>
      <c r="L1565" s="1519">
        <v>13135050431</v>
      </c>
      <c r="M1565" s="1520">
        <v>0</v>
      </c>
      <c r="N1565" s="1520">
        <v>0</v>
      </c>
      <c r="O1565" s="1521">
        <v>0</v>
      </c>
    </row>
    <row r="1566" spans="3:15" ht="13.5">
      <c r="C1566" s="1526" t="s">
        <v>5524</v>
      </c>
      <c r="D1566" s="1523">
        <v>1</v>
      </c>
      <c r="E1566" s="1523">
        <v>1</v>
      </c>
      <c r="F1566" s="1524">
        <v>2</v>
      </c>
      <c r="G1566" s="1537" t="s">
        <v>5524</v>
      </c>
      <c r="H1566" s="1521">
        <v>1</v>
      </c>
      <c r="I1566" s="1521" t="s">
        <v>4096</v>
      </c>
      <c r="J1566" s="1538">
        <v>1</v>
      </c>
      <c r="K1566" s="1525"/>
      <c r="L1566" s="1519">
        <v>13135050432</v>
      </c>
      <c r="M1566" s="1520">
        <v>1</v>
      </c>
      <c r="N1566" s="1520">
        <v>1</v>
      </c>
      <c r="O1566" s="1521">
        <v>2</v>
      </c>
    </row>
    <row r="1567" spans="3:15" ht="13.5">
      <c r="C1567" s="1526" t="s">
        <v>5525</v>
      </c>
      <c r="D1567" s="1523">
        <v>0</v>
      </c>
      <c r="E1567" s="1523">
        <v>0</v>
      </c>
      <c r="F1567" s="1524">
        <v>0</v>
      </c>
      <c r="G1567" s="1537" t="s">
        <v>5525</v>
      </c>
      <c r="H1567" s="1521">
        <v>1</v>
      </c>
      <c r="I1567" s="1521">
        <v>0</v>
      </c>
      <c r="J1567" s="1538">
        <v>1</v>
      </c>
      <c r="K1567" s="1525"/>
      <c r="L1567" s="1519">
        <v>13135050433</v>
      </c>
      <c r="M1567" s="1520">
        <v>1</v>
      </c>
      <c r="N1567" s="1520">
        <v>0</v>
      </c>
      <c r="O1567" s="1521">
        <v>1</v>
      </c>
    </row>
    <row r="1568" spans="3:15" ht="13.5">
      <c r="C1568" s="1526" t="s">
        <v>5526</v>
      </c>
      <c r="D1568" s="1523">
        <v>0</v>
      </c>
      <c r="E1568" s="1523">
        <v>0</v>
      </c>
      <c r="F1568" s="1524">
        <v>0</v>
      </c>
      <c r="G1568" s="1537" t="s">
        <v>5526</v>
      </c>
      <c r="H1568" s="1521">
        <v>1</v>
      </c>
      <c r="I1568" s="1521">
        <v>0</v>
      </c>
      <c r="J1568" s="1538">
        <v>1</v>
      </c>
      <c r="K1568" s="1525"/>
      <c r="L1568" s="1519">
        <v>13135050434</v>
      </c>
      <c r="M1568" s="1520">
        <v>1</v>
      </c>
      <c r="N1568" s="1520">
        <v>0</v>
      </c>
      <c r="O1568" s="1521">
        <v>1</v>
      </c>
    </row>
    <row r="1569" spans="3:15" ht="13.5">
      <c r="C1569" s="1526" t="s">
        <v>5527</v>
      </c>
      <c r="D1569" s="1523">
        <v>1</v>
      </c>
      <c r="E1569" s="1523">
        <v>0</v>
      </c>
      <c r="F1569" s="1524">
        <v>1</v>
      </c>
      <c r="G1569" s="1537" t="s">
        <v>5527</v>
      </c>
      <c r="H1569" s="1521">
        <v>0</v>
      </c>
      <c r="I1569" s="1521">
        <v>0</v>
      </c>
      <c r="J1569" s="1538">
        <v>0</v>
      </c>
      <c r="K1569" s="1525"/>
      <c r="L1569" s="1519">
        <v>13135050435</v>
      </c>
      <c r="M1569" s="1520">
        <v>1</v>
      </c>
      <c r="N1569" s="1520">
        <v>0</v>
      </c>
      <c r="O1569" s="1521">
        <v>1</v>
      </c>
    </row>
    <row r="1570" spans="3:15" ht="13.5">
      <c r="C1570" s="1526" t="s">
        <v>5528</v>
      </c>
      <c r="D1570" s="1523">
        <v>0</v>
      </c>
      <c r="E1570" s="1523">
        <v>0</v>
      </c>
      <c r="F1570" s="1524">
        <v>0</v>
      </c>
      <c r="G1570" s="1537" t="s">
        <v>5528</v>
      </c>
      <c r="H1570" s="1521">
        <v>0</v>
      </c>
      <c r="I1570" s="1521">
        <v>0</v>
      </c>
      <c r="J1570" s="1538">
        <v>0</v>
      </c>
      <c r="K1570" s="1525"/>
      <c r="L1570" s="1519">
        <v>13135050436</v>
      </c>
      <c r="M1570" s="1520">
        <v>0</v>
      </c>
      <c r="N1570" s="1520">
        <v>0</v>
      </c>
      <c r="O1570" s="1521">
        <v>0</v>
      </c>
    </row>
    <row r="1571" spans="3:15" ht="13.5">
      <c r="C1571" s="1526" t="s">
        <v>5529</v>
      </c>
      <c r="D1571" s="1523">
        <v>1</v>
      </c>
      <c r="E1571" s="1523">
        <v>0</v>
      </c>
      <c r="F1571" s="1524">
        <v>1</v>
      </c>
      <c r="G1571" s="1537" t="s">
        <v>5529</v>
      </c>
      <c r="H1571" s="1521">
        <v>0</v>
      </c>
      <c r="I1571" s="1521">
        <v>0</v>
      </c>
      <c r="J1571" s="1538">
        <v>0</v>
      </c>
      <c r="K1571" s="1525"/>
      <c r="L1571" s="1519">
        <v>13135050511</v>
      </c>
      <c r="M1571" s="1520">
        <v>1</v>
      </c>
      <c r="N1571" s="1520">
        <v>0</v>
      </c>
      <c r="O1571" s="1521">
        <v>1</v>
      </c>
    </row>
    <row r="1572" spans="3:15" ht="13.5">
      <c r="C1572" s="1526" t="s">
        <v>5530</v>
      </c>
      <c r="D1572" s="1523">
        <v>0</v>
      </c>
      <c r="E1572" s="1523">
        <v>0</v>
      </c>
      <c r="F1572" s="1524">
        <v>0</v>
      </c>
      <c r="G1572" s="1537" t="s">
        <v>5530</v>
      </c>
      <c r="H1572" s="1521">
        <v>0</v>
      </c>
      <c r="I1572" s="1521">
        <v>0</v>
      </c>
      <c r="J1572" s="1538">
        <v>0</v>
      </c>
      <c r="K1572" s="1525"/>
      <c r="L1572" s="1519">
        <v>13135050520</v>
      </c>
      <c r="M1572" s="1520">
        <v>0</v>
      </c>
      <c r="N1572" s="1520">
        <v>0</v>
      </c>
      <c r="O1572" s="1521">
        <v>0</v>
      </c>
    </row>
    <row r="1573" spans="3:15" ht="13.5">
      <c r="C1573" s="1526" t="s">
        <v>5531</v>
      </c>
      <c r="D1573" s="1523">
        <v>0</v>
      </c>
      <c r="E1573" s="1523">
        <v>0</v>
      </c>
      <c r="F1573" s="1524">
        <v>0</v>
      </c>
      <c r="G1573" s="1537" t="s">
        <v>5531</v>
      </c>
      <c r="H1573" s="1521">
        <v>0</v>
      </c>
      <c r="I1573" s="1521">
        <v>0</v>
      </c>
      <c r="J1573" s="1538">
        <v>0</v>
      </c>
      <c r="K1573" s="1525"/>
      <c r="L1573" s="1519">
        <v>13135050521</v>
      </c>
      <c r="M1573" s="1520">
        <v>0</v>
      </c>
      <c r="N1573" s="1520">
        <v>0</v>
      </c>
      <c r="O1573" s="1521">
        <v>0</v>
      </c>
    </row>
    <row r="1574" spans="3:15" ht="13.5">
      <c r="C1574" s="1526" t="s">
        <v>5532</v>
      </c>
      <c r="D1574" s="1523">
        <v>0</v>
      </c>
      <c r="E1574" s="1523">
        <v>0</v>
      </c>
      <c r="F1574" s="1524">
        <v>0</v>
      </c>
      <c r="G1574" s="1537" t="s">
        <v>5532</v>
      </c>
      <c r="H1574" s="1521">
        <v>0</v>
      </c>
      <c r="I1574" s="1521">
        <v>0</v>
      </c>
      <c r="J1574" s="1538">
        <v>0</v>
      </c>
      <c r="K1574" s="1525"/>
      <c r="L1574" s="1519">
        <v>13135050522</v>
      </c>
      <c r="M1574" s="1520">
        <v>0</v>
      </c>
      <c r="N1574" s="1520">
        <v>0</v>
      </c>
      <c r="O1574" s="1521">
        <v>0</v>
      </c>
    </row>
    <row r="1575" spans="3:15" ht="13.5">
      <c r="C1575" s="1526" t="s">
        <v>5533</v>
      </c>
      <c r="D1575" s="1523">
        <v>1</v>
      </c>
      <c r="E1575" s="1523">
        <v>1</v>
      </c>
      <c r="F1575" s="1524">
        <v>2</v>
      </c>
      <c r="G1575" s="1537" t="s">
        <v>5533</v>
      </c>
      <c r="H1575" s="1521">
        <v>0</v>
      </c>
      <c r="I1575" s="1521" t="s">
        <v>4096</v>
      </c>
      <c r="J1575" s="1538">
        <v>0</v>
      </c>
      <c r="K1575" s="1525"/>
      <c r="L1575" s="1519">
        <v>13135050523</v>
      </c>
      <c r="M1575" s="1520">
        <v>1</v>
      </c>
      <c r="N1575" s="1520">
        <v>1</v>
      </c>
      <c r="O1575" s="1521">
        <v>2</v>
      </c>
    </row>
    <row r="1576" spans="3:15" ht="13.5">
      <c r="C1576" s="1526" t="s">
        <v>5534</v>
      </c>
      <c r="D1576" s="1523">
        <v>0</v>
      </c>
      <c r="E1576" s="1523">
        <v>0</v>
      </c>
      <c r="F1576" s="1524">
        <v>0</v>
      </c>
      <c r="G1576" s="1537" t="s">
        <v>5534</v>
      </c>
      <c r="H1576" s="1521">
        <v>0</v>
      </c>
      <c r="I1576" s="1521">
        <v>0</v>
      </c>
      <c r="J1576" s="1538">
        <v>0</v>
      </c>
      <c r="K1576" s="1525"/>
      <c r="L1576" s="1519">
        <v>13135050524</v>
      </c>
      <c r="M1576" s="1520">
        <v>0</v>
      </c>
      <c r="N1576" s="1520">
        <v>0</v>
      </c>
      <c r="O1576" s="1521">
        <v>0</v>
      </c>
    </row>
    <row r="1577" spans="3:15" ht="13.5">
      <c r="C1577" s="1526" t="s">
        <v>5535</v>
      </c>
      <c r="D1577" s="1523">
        <v>1</v>
      </c>
      <c r="E1577" s="1523">
        <v>1</v>
      </c>
      <c r="F1577" s="1524">
        <v>2</v>
      </c>
      <c r="G1577" s="1537" t="s">
        <v>5535</v>
      </c>
      <c r="H1577" s="1521">
        <v>1</v>
      </c>
      <c r="I1577" s="1521">
        <v>1</v>
      </c>
      <c r="J1577" s="1538">
        <v>2</v>
      </c>
      <c r="K1577" s="1525"/>
      <c r="L1577" s="1519">
        <v>13135050525</v>
      </c>
      <c r="M1577" s="1520">
        <v>1</v>
      </c>
      <c r="N1577" s="1520">
        <v>1</v>
      </c>
      <c r="O1577" s="1521">
        <v>2</v>
      </c>
    </row>
    <row r="1578" spans="3:15" ht="13.5">
      <c r="C1578" s="1526" t="s">
        <v>5536</v>
      </c>
      <c r="D1578" s="1523">
        <v>0</v>
      </c>
      <c r="E1578" s="1523">
        <v>0</v>
      </c>
      <c r="F1578" s="1524">
        <v>0</v>
      </c>
      <c r="G1578" s="1537" t="s">
        <v>5536</v>
      </c>
      <c r="H1578" s="1521">
        <v>1</v>
      </c>
      <c r="I1578" s="1521">
        <v>0</v>
      </c>
      <c r="J1578" s="1538">
        <v>1</v>
      </c>
      <c r="K1578" s="1525"/>
      <c r="L1578" s="1519">
        <v>13135050526</v>
      </c>
      <c r="M1578" s="1520">
        <v>1</v>
      </c>
      <c r="N1578" s="1520">
        <v>0</v>
      </c>
      <c r="O1578" s="1521">
        <v>1</v>
      </c>
    </row>
    <row r="1579" spans="3:15" ht="13.5">
      <c r="C1579" s="1526" t="s">
        <v>5537</v>
      </c>
      <c r="D1579" s="1523">
        <v>1</v>
      </c>
      <c r="E1579" s="1523">
        <v>1</v>
      </c>
      <c r="F1579" s="1524">
        <v>2</v>
      </c>
      <c r="G1579" s="1537" t="s">
        <v>5537</v>
      </c>
      <c r="H1579" s="1521">
        <v>1</v>
      </c>
      <c r="I1579" s="1521">
        <v>1</v>
      </c>
      <c r="J1579" s="1538">
        <v>2</v>
      </c>
      <c r="K1579" s="1525"/>
      <c r="L1579" s="1519">
        <v>13135050527</v>
      </c>
      <c r="M1579" s="1520">
        <v>1</v>
      </c>
      <c r="N1579" s="1520">
        <v>1</v>
      </c>
      <c r="O1579" s="1521">
        <v>2</v>
      </c>
    </row>
    <row r="1580" spans="3:15" ht="13.5">
      <c r="C1580" s="1526" t="s">
        <v>5538</v>
      </c>
      <c r="D1580" s="1523">
        <v>1</v>
      </c>
      <c r="E1580" s="1523">
        <v>1</v>
      </c>
      <c r="F1580" s="1524">
        <v>2</v>
      </c>
      <c r="G1580" s="1537" t="s">
        <v>5538</v>
      </c>
      <c r="H1580" s="1521">
        <v>1</v>
      </c>
      <c r="I1580" s="1521">
        <v>1</v>
      </c>
      <c r="J1580" s="1538">
        <v>2</v>
      </c>
      <c r="K1580" s="1525"/>
      <c r="L1580" s="1519">
        <v>13135050528</v>
      </c>
      <c r="M1580" s="1520">
        <v>1</v>
      </c>
      <c r="N1580" s="1520">
        <v>1</v>
      </c>
      <c r="O1580" s="1521">
        <v>2</v>
      </c>
    </row>
    <row r="1581" spans="3:15" ht="13.5">
      <c r="C1581" s="1526" t="s">
        <v>5539</v>
      </c>
      <c r="D1581" s="1523">
        <v>1</v>
      </c>
      <c r="E1581" s="1523">
        <v>0</v>
      </c>
      <c r="F1581" s="1524">
        <v>1</v>
      </c>
      <c r="G1581" s="1537" t="s">
        <v>5539</v>
      </c>
      <c r="H1581" s="1521">
        <v>1</v>
      </c>
      <c r="I1581" s="1521" t="s">
        <v>4096</v>
      </c>
      <c r="J1581" s="1538">
        <v>1</v>
      </c>
      <c r="K1581" s="1525"/>
      <c r="L1581" s="1519">
        <v>13135050529</v>
      </c>
      <c r="M1581" s="1520">
        <v>1</v>
      </c>
      <c r="N1581" s="1520">
        <v>0</v>
      </c>
      <c r="O1581" s="1521">
        <v>1</v>
      </c>
    </row>
    <row r="1582" spans="3:15" ht="13.5">
      <c r="C1582" s="1526" t="s">
        <v>5540</v>
      </c>
      <c r="D1582" s="1523">
        <v>1</v>
      </c>
      <c r="E1582" s="1523">
        <v>1</v>
      </c>
      <c r="F1582" s="1524">
        <v>2</v>
      </c>
      <c r="G1582" s="1537" t="s">
        <v>5540</v>
      </c>
      <c r="H1582" s="1521">
        <v>1</v>
      </c>
      <c r="I1582" s="1521">
        <v>1</v>
      </c>
      <c r="J1582" s="1538">
        <v>2</v>
      </c>
      <c r="K1582" s="1525"/>
      <c r="L1582" s="1519">
        <v>13135050530</v>
      </c>
      <c r="M1582" s="1520">
        <v>1</v>
      </c>
      <c r="N1582" s="1520">
        <v>1</v>
      </c>
      <c r="O1582" s="1521">
        <v>2</v>
      </c>
    </row>
    <row r="1583" spans="3:15" ht="13.5">
      <c r="C1583" s="1526" t="s">
        <v>5541</v>
      </c>
      <c r="D1583" s="1523">
        <v>1</v>
      </c>
      <c r="E1583" s="1523">
        <v>0</v>
      </c>
      <c r="F1583" s="1524">
        <v>1</v>
      </c>
      <c r="G1583" s="1537" t="s">
        <v>5541</v>
      </c>
      <c r="H1583" s="1521">
        <v>0</v>
      </c>
      <c r="I1583" s="1521">
        <v>0</v>
      </c>
      <c r="J1583" s="1538">
        <v>0</v>
      </c>
      <c r="K1583" s="1525"/>
      <c r="L1583" s="1519">
        <v>13135050531</v>
      </c>
      <c r="M1583" s="1520">
        <v>1</v>
      </c>
      <c r="N1583" s="1520">
        <v>0</v>
      </c>
      <c r="O1583" s="1521">
        <v>1</v>
      </c>
    </row>
    <row r="1584" spans="3:15" ht="13.5">
      <c r="C1584" s="1526" t="s">
        <v>5542</v>
      </c>
      <c r="D1584" s="1523">
        <v>1</v>
      </c>
      <c r="E1584" s="1523">
        <v>0</v>
      </c>
      <c r="F1584" s="1524">
        <v>1</v>
      </c>
      <c r="G1584" s="1537" t="s">
        <v>5542</v>
      </c>
      <c r="H1584" s="1521">
        <v>1</v>
      </c>
      <c r="I1584" s="1521">
        <v>0</v>
      </c>
      <c r="J1584" s="1538">
        <v>1</v>
      </c>
      <c r="K1584" s="1525"/>
      <c r="L1584" s="1519">
        <v>13135050532</v>
      </c>
      <c r="M1584" s="1520">
        <v>1</v>
      </c>
      <c r="N1584" s="1520">
        <v>0</v>
      </c>
      <c r="O1584" s="1521">
        <v>1</v>
      </c>
    </row>
    <row r="1585" spans="3:15" ht="13.5">
      <c r="C1585" s="1526" t="s">
        <v>5543</v>
      </c>
      <c r="D1585" s="1523">
        <v>1</v>
      </c>
      <c r="E1585" s="1523">
        <v>0</v>
      </c>
      <c r="F1585" s="1524">
        <v>1</v>
      </c>
      <c r="G1585" s="1537" t="s">
        <v>5543</v>
      </c>
      <c r="H1585" s="1521">
        <v>1</v>
      </c>
      <c r="I1585" s="1521">
        <v>0</v>
      </c>
      <c r="J1585" s="1538">
        <v>1</v>
      </c>
      <c r="K1585" s="1525"/>
      <c r="L1585" s="1519">
        <v>13135050533</v>
      </c>
      <c r="M1585" s="1520">
        <v>1</v>
      </c>
      <c r="N1585" s="1520">
        <v>0</v>
      </c>
      <c r="O1585" s="1521">
        <v>1</v>
      </c>
    </row>
    <row r="1586" spans="3:15" ht="13.5">
      <c r="C1586" s="1526" t="s">
        <v>5544</v>
      </c>
      <c r="D1586" s="1523">
        <v>1</v>
      </c>
      <c r="E1586" s="1523">
        <v>1</v>
      </c>
      <c r="F1586" s="1524">
        <v>2</v>
      </c>
      <c r="G1586" s="1537" t="s">
        <v>5544</v>
      </c>
      <c r="H1586" s="1521">
        <v>1</v>
      </c>
      <c r="I1586" s="1521" t="s">
        <v>4096</v>
      </c>
      <c r="J1586" s="1538">
        <v>1</v>
      </c>
      <c r="K1586" s="1525"/>
      <c r="L1586" s="1519">
        <v>13135050534</v>
      </c>
      <c r="M1586" s="1520">
        <v>1</v>
      </c>
      <c r="N1586" s="1520">
        <v>1</v>
      </c>
      <c r="O1586" s="1521">
        <v>2</v>
      </c>
    </row>
    <row r="1587" spans="3:15" ht="13.5">
      <c r="C1587" s="1526" t="s">
        <v>5545</v>
      </c>
      <c r="D1587" s="1523">
        <v>1</v>
      </c>
      <c r="E1587" s="1523">
        <v>0</v>
      </c>
      <c r="F1587" s="1524">
        <v>1</v>
      </c>
      <c r="G1587" s="1537" t="s">
        <v>5545</v>
      </c>
      <c r="H1587" s="1521">
        <v>1</v>
      </c>
      <c r="I1587" s="1521">
        <v>0</v>
      </c>
      <c r="J1587" s="1538">
        <v>1</v>
      </c>
      <c r="K1587" s="1525"/>
      <c r="L1587" s="1519">
        <v>13135050535</v>
      </c>
      <c r="M1587" s="1520">
        <v>1</v>
      </c>
      <c r="N1587" s="1520">
        <v>0</v>
      </c>
      <c r="O1587" s="1521">
        <v>1</v>
      </c>
    </row>
    <row r="1588" spans="3:15" ht="13.5">
      <c r="C1588" s="1526" t="s">
        <v>5546</v>
      </c>
      <c r="D1588" s="1523">
        <v>1</v>
      </c>
      <c r="E1588" s="1523">
        <v>1</v>
      </c>
      <c r="F1588" s="1524">
        <v>2</v>
      </c>
      <c r="G1588" s="1537" t="s">
        <v>5546</v>
      </c>
      <c r="H1588" s="1521">
        <v>1</v>
      </c>
      <c r="I1588" s="1521">
        <v>0</v>
      </c>
      <c r="J1588" s="1538">
        <v>1</v>
      </c>
      <c r="K1588" s="1525"/>
      <c r="L1588" s="1519">
        <v>13135050536</v>
      </c>
      <c r="M1588" s="1520">
        <v>1</v>
      </c>
      <c r="N1588" s="1520">
        <v>1</v>
      </c>
      <c r="O1588" s="1521">
        <v>2</v>
      </c>
    </row>
    <row r="1589" spans="3:15" ht="13.5">
      <c r="C1589" s="1526" t="s">
        <v>5547</v>
      </c>
      <c r="D1589" s="1523">
        <v>0</v>
      </c>
      <c r="E1589" s="1523">
        <v>0</v>
      </c>
      <c r="F1589" s="1524">
        <v>0</v>
      </c>
      <c r="G1589" s="1537" t="s">
        <v>5547</v>
      </c>
      <c r="H1589" s="1521">
        <v>0</v>
      </c>
      <c r="I1589" s="1521" t="s">
        <v>4096</v>
      </c>
      <c r="J1589" s="1538">
        <v>0</v>
      </c>
      <c r="K1589" s="1525"/>
      <c r="L1589" s="1519">
        <v>13135050537</v>
      </c>
      <c r="M1589" s="1520">
        <v>0</v>
      </c>
      <c r="N1589" s="1520">
        <v>0</v>
      </c>
      <c r="O1589" s="1521">
        <v>0</v>
      </c>
    </row>
    <row r="1590" spans="3:15" ht="13.5">
      <c r="C1590" s="1526" t="s">
        <v>5548</v>
      </c>
      <c r="D1590" s="1523">
        <v>1</v>
      </c>
      <c r="E1590" s="1523">
        <v>1</v>
      </c>
      <c r="F1590" s="1524">
        <v>2</v>
      </c>
      <c r="G1590" s="1537" t="s">
        <v>5548</v>
      </c>
      <c r="H1590" s="1521">
        <v>1</v>
      </c>
      <c r="I1590" s="1521">
        <v>0</v>
      </c>
      <c r="J1590" s="1538">
        <v>1</v>
      </c>
      <c r="K1590" s="1525"/>
      <c r="L1590" s="1519">
        <v>13135050538</v>
      </c>
      <c r="M1590" s="1520">
        <v>1</v>
      </c>
      <c r="N1590" s="1520">
        <v>1</v>
      </c>
      <c r="O1590" s="1521">
        <v>2</v>
      </c>
    </row>
    <row r="1591" spans="3:15" ht="13.5">
      <c r="C1591" s="1526" t="s">
        <v>5549</v>
      </c>
      <c r="D1591" s="1523">
        <v>0</v>
      </c>
      <c r="E1591" s="1523">
        <v>0</v>
      </c>
      <c r="F1591" s="1524">
        <v>0</v>
      </c>
      <c r="G1591" s="1537" t="s">
        <v>5549</v>
      </c>
      <c r="H1591" s="1521">
        <v>0</v>
      </c>
      <c r="I1591" s="1521">
        <v>0</v>
      </c>
      <c r="J1591" s="1538">
        <v>0</v>
      </c>
      <c r="K1591" s="1525"/>
      <c r="L1591" s="1519">
        <v>13135050539</v>
      </c>
      <c r="M1591" s="1520">
        <v>0</v>
      </c>
      <c r="N1591" s="1520">
        <v>0</v>
      </c>
      <c r="O1591" s="1521">
        <v>0</v>
      </c>
    </row>
    <row r="1592" spans="3:15" ht="13.5">
      <c r="C1592" s="1526" t="s">
        <v>5550</v>
      </c>
      <c r="D1592" s="1523">
        <v>1</v>
      </c>
      <c r="E1592" s="1523">
        <v>1</v>
      </c>
      <c r="F1592" s="1524">
        <v>2</v>
      </c>
      <c r="G1592" s="1537" t="s">
        <v>5550</v>
      </c>
      <c r="H1592" s="1521">
        <v>0</v>
      </c>
      <c r="I1592" s="1521">
        <v>0</v>
      </c>
      <c r="J1592" s="1538">
        <v>0</v>
      </c>
      <c r="K1592" s="1525"/>
      <c r="L1592" s="1519">
        <v>13135050540</v>
      </c>
      <c r="M1592" s="1520">
        <v>1</v>
      </c>
      <c r="N1592" s="1520">
        <v>1</v>
      </c>
      <c r="O1592" s="1521">
        <v>2</v>
      </c>
    </row>
    <row r="1593" spans="3:15" ht="13.5">
      <c r="C1593" s="1526" t="s">
        <v>5551</v>
      </c>
      <c r="D1593" s="1523">
        <v>0</v>
      </c>
      <c r="E1593" s="1523">
        <v>0</v>
      </c>
      <c r="F1593" s="1524">
        <v>0</v>
      </c>
      <c r="G1593" s="1537" t="s">
        <v>5551</v>
      </c>
      <c r="H1593" s="1521">
        <v>0</v>
      </c>
      <c r="I1593" s="1521" t="s">
        <v>4096</v>
      </c>
      <c r="J1593" s="1538">
        <v>0</v>
      </c>
      <c r="K1593" s="1525"/>
      <c r="L1593" s="1519">
        <v>13135050541</v>
      </c>
      <c r="M1593" s="1520">
        <v>0</v>
      </c>
      <c r="N1593" s="1520">
        <v>0</v>
      </c>
      <c r="O1593" s="1521">
        <v>0</v>
      </c>
    </row>
    <row r="1594" spans="3:15" ht="13.5">
      <c r="C1594" s="1526" t="s">
        <v>5552</v>
      </c>
      <c r="D1594" s="1523">
        <v>0</v>
      </c>
      <c r="E1594" s="1523">
        <v>0</v>
      </c>
      <c r="F1594" s="1524">
        <v>0</v>
      </c>
      <c r="G1594" s="1537" t="s">
        <v>5552</v>
      </c>
      <c r="H1594" s="1521">
        <v>0</v>
      </c>
      <c r="I1594" s="1521">
        <v>0</v>
      </c>
      <c r="J1594" s="1538">
        <v>0</v>
      </c>
      <c r="K1594" s="1525"/>
      <c r="L1594" s="1519">
        <v>13135050542</v>
      </c>
      <c r="M1594" s="1520">
        <v>0</v>
      </c>
      <c r="N1594" s="1520">
        <v>0</v>
      </c>
      <c r="O1594" s="1521">
        <v>0</v>
      </c>
    </row>
    <row r="1595" spans="3:15" ht="13.5">
      <c r="C1595" s="1526" t="s">
        <v>5553</v>
      </c>
      <c r="D1595" s="1523">
        <v>1</v>
      </c>
      <c r="E1595" s="1523">
        <v>1</v>
      </c>
      <c r="F1595" s="1524">
        <v>2</v>
      </c>
      <c r="G1595" s="1537" t="s">
        <v>5553</v>
      </c>
      <c r="H1595" s="1521">
        <v>1</v>
      </c>
      <c r="I1595" s="1521">
        <v>1</v>
      </c>
      <c r="J1595" s="1538">
        <v>2</v>
      </c>
      <c r="K1595" s="1525"/>
      <c r="L1595" s="1519">
        <v>13135050543</v>
      </c>
      <c r="M1595" s="1520">
        <v>1</v>
      </c>
      <c r="N1595" s="1520">
        <v>1</v>
      </c>
      <c r="O1595" s="1521">
        <v>2</v>
      </c>
    </row>
    <row r="1596" spans="3:15" ht="13.5">
      <c r="C1596" s="1526" t="s">
        <v>5554</v>
      </c>
      <c r="D1596" s="1523">
        <v>1</v>
      </c>
      <c r="E1596" s="1523">
        <v>1</v>
      </c>
      <c r="F1596" s="1524">
        <v>2</v>
      </c>
      <c r="G1596" s="1537" t="s">
        <v>5554</v>
      </c>
      <c r="H1596" s="1521">
        <v>1</v>
      </c>
      <c r="I1596" s="1521">
        <v>1</v>
      </c>
      <c r="J1596" s="1538">
        <v>2</v>
      </c>
      <c r="K1596" s="1525"/>
      <c r="L1596" s="1519">
        <v>13135050544</v>
      </c>
      <c r="M1596" s="1520">
        <v>1</v>
      </c>
      <c r="N1596" s="1520">
        <v>1</v>
      </c>
      <c r="O1596" s="1521">
        <v>2</v>
      </c>
    </row>
    <row r="1597" spans="3:15" ht="13.5">
      <c r="C1597" s="1526" t="s">
        <v>5555</v>
      </c>
      <c r="D1597" s="1523">
        <v>1</v>
      </c>
      <c r="E1597" s="1523">
        <v>0</v>
      </c>
      <c r="F1597" s="1524">
        <v>1</v>
      </c>
      <c r="G1597" s="1537" t="s">
        <v>5555</v>
      </c>
      <c r="H1597" s="1521">
        <v>1</v>
      </c>
      <c r="I1597" s="1521">
        <v>0</v>
      </c>
      <c r="J1597" s="1538">
        <v>1</v>
      </c>
      <c r="K1597" s="1525"/>
      <c r="L1597" s="1519">
        <v>13135050545</v>
      </c>
      <c r="M1597" s="1520">
        <v>1</v>
      </c>
      <c r="N1597" s="1520">
        <v>0</v>
      </c>
      <c r="O1597" s="1521">
        <v>1</v>
      </c>
    </row>
    <row r="1598" spans="3:15" ht="13.5">
      <c r="C1598" s="1526" t="s">
        <v>5556</v>
      </c>
      <c r="D1598" s="1523">
        <v>1</v>
      </c>
      <c r="E1598" s="1523">
        <v>1</v>
      </c>
      <c r="F1598" s="1524">
        <v>2</v>
      </c>
      <c r="G1598" s="1537" t="s">
        <v>5556</v>
      </c>
      <c r="H1598" s="1521">
        <v>1</v>
      </c>
      <c r="I1598" s="1521">
        <v>1</v>
      </c>
      <c r="J1598" s="1538">
        <v>2</v>
      </c>
      <c r="K1598" s="1525"/>
      <c r="L1598" s="1519">
        <v>13135050546</v>
      </c>
      <c r="M1598" s="1520">
        <v>1</v>
      </c>
      <c r="N1598" s="1520">
        <v>1</v>
      </c>
      <c r="O1598" s="1521">
        <v>2</v>
      </c>
    </row>
    <row r="1599" spans="3:15" ht="13.5">
      <c r="C1599" s="1526" t="s">
        <v>5557</v>
      </c>
      <c r="D1599" s="1523">
        <v>1</v>
      </c>
      <c r="E1599" s="1523">
        <v>1</v>
      </c>
      <c r="F1599" s="1524">
        <v>2</v>
      </c>
      <c r="G1599" s="1537" t="s">
        <v>5557</v>
      </c>
      <c r="H1599" s="1521">
        <v>1</v>
      </c>
      <c r="I1599" s="1521">
        <v>1</v>
      </c>
      <c r="J1599" s="1538">
        <v>2</v>
      </c>
      <c r="K1599" s="1525"/>
      <c r="L1599" s="1519">
        <v>13135050547</v>
      </c>
      <c r="M1599" s="1520">
        <v>1</v>
      </c>
      <c r="N1599" s="1520">
        <v>1</v>
      </c>
      <c r="O1599" s="1521">
        <v>2</v>
      </c>
    </row>
    <row r="1600" spans="3:15" ht="13.5">
      <c r="C1600" s="1526" t="s">
        <v>5558</v>
      </c>
      <c r="D1600" s="1523">
        <v>1</v>
      </c>
      <c r="E1600" s="1523">
        <v>1</v>
      </c>
      <c r="F1600" s="1524">
        <v>2</v>
      </c>
      <c r="G1600" s="1537" t="s">
        <v>5558</v>
      </c>
      <c r="H1600" s="1521">
        <v>1</v>
      </c>
      <c r="I1600" s="1521">
        <v>1</v>
      </c>
      <c r="J1600" s="1538">
        <v>2</v>
      </c>
      <c r="K1600" s="1525"/>
      <c r="L1600" s="1519">
        <v>13135050548</v>
      </c>
      <c r="M1600" s="1520">
        <v>1</v>
      </c>
      <c r="N1600" s="1520">
        <v>1</v>
      </c>
      <c r="O1600" s="1521">
        <v>2</v>
      </c>
    </row>
    <row r="1601" spans="3:15" ht="13.5">
      <c r="C1601" s="1526" t="s">
        <v>5559</v>
      </c>
      <c r="D1601" s="1523">
        <v>1</v>
      </c>
      <c r="E1601" s="1523">
        <v>1</v>
      </c>
      <c r="F1601" s="1524">
        <v>2</v>
      </c>
      <c r="G1601" s="1537" t="s">
        <v>5559</v>
      </c>
      <c r="H1601" s="1521">
        <v>1</v>
      </c>
      <c r="I1601" s="1521">
        <v>1</v>
      </c>
      <c r="J1601" s="1538">
        <v>2</v>
      </c>
      <c r="K1601" s="1525"/>
      <c r="L1601" s="1519">
        <v>13135050549</v>
      </c>
      <c r="M1601" s="1520">
        <v>1</v>
      </c>
      <c r="N1601" s="1520">
        <v>1</v>
      </c>
      <c r="O1601" s="1521">
        <v>2</v>
      </c>
    </row>
    <row r="1602" spans="3:15" ht="13.5">
      <c r="C1602" s="1526" t="s">
        <v>5560</v>
      </c>
      <c r="D1602" s="1523">
        <v>1</v>
      </c>
      <c r="E1602" s="1523">
        <v>1</v>
      </c>
      <c r="F1602" s="1524">
        <v>2</v>
      </c>
      <c r="G1602" s="1537" t="s">
        <v>5560</v>
      </c>
      <c r="H1602" s="1521">
        <v>1</v>
      </c>
      <c r="I1602" s="1521">
        <v>1</v>
      </c>
      <c r="J1602" s="1538">
        <v>2</v>
      </c>
      <c r="K1602" s="1525"/>
      <c r="L1602" s="1519">
        <v>13135050605</v>
      </c>
      <c r="M1602" s="1520">
        <v>1</v>
      </c>
      <c r="N1602" s="1520">
        <v>1</v>
      </c>
      <c r="O1602" s="1521">
        <v>2</v>
      </c>
    </row>
    <row r="1603" spans="3:15" ht="13.5">
      <c r="C1603" s="1526" t="s">
        <v>5561</v>
      </c>
      <c r="D1603" s="1523">
        <v>1</v>
      </c>
      <c r="E1603" s="1523">
        <v>1</v>
      </c>
      <c r="F1603" s="1524">
        <v>2</v>
      </c>
      <c r="G1603" s="1537" t="s">
        <v>5561</v>
      </c>
      <c r="H1603" s="1521">
        <v>1</v>
      </c>
      <c r="I1603" s="1521">
        <v>1</v>
      </c>
      <c r="J1603" s="1538">
        <v>2</v>
      </c>
      <c r="K1603" s="1525"/>
      <c r="L1603" s="1519">
        <v>13135050606</v>
      </c>
      <c r="M1603" s="1520">
        <v>1</v>
      </c>
      <c r="N1603" s="1520">
        <v>1</v>
      </c>
      <c r="O1603" s="1521">
        <v>2</v>
      </c>
    </row>
    <row r="1604" spans="3:15" ht="13.5">
      <c r="C1604" s="1526" t="s">
        <v>5562</v>
      </c>
      <c r="D1604" s="1523">
        <v>1</v>
      </c>
      <c r="E1604" s="1523">
        <v>1</v>
      </c>
      <c r="F1604" s="1524">
        <v>2</v>
      </c>
      <c r="G1604" s="1537" t="s">
        <v>5562</v>
      </c>
      <c r="H1604" s="1521">
        <v>1</v>
      </c>
      <c r="I1604" s="1521">
        <v>1</v>
      </c>
      <c r="J1604" s="1538">
        <v>2</v>
      </c>
      <c r="K1604" s="1525"/>
      <c r="L1604" s="1519">
        <v>13135050607</v>
      </c>
      <c r="M1604" s="1520">
        <v>1</v>
      </c>
      <c r="N1604" s="1520">
        <v>1</v>
      </c>
      <c r="O1604" s="1521">
        <v>2</v>
      </c>
    </row>
    <row r="1605" spans="3:15" ht="13.5">
      <c r="C1605" s="1526" t="s">
        <v>5563</v>
      </c>
      <c r="D1605" s="1523">
        <v>1</v>
      </c>
      <c r="E1605" s="1523">
        <v>1</v>
      </c>
      <c r="F1605" s="1524">
        <v>2</v>
      </c>
      <c r="G1605" s="1537" t="s">
        <v>5563</v>
      </c>
      <c r="H1605" s="1521">
        <v>1</v>
      </c>
      <c r="I1605" s="1521">
        <v>1</v>
      </c>
      <c r="J1605" s="1538">
        <v>2</v>
      </c>
      <c r="K1605" s="1525"/>
      <c r="L1605" s="1519">
        <v>13135050608</v>
      </c>
      <c r="M1605" s="1520">
        <v>1</v>
      </c>
      <c r="N1605" s="1520">
        <v>1</v>
      </c>
      <c r="O1605" s="1521">
        <v>2</v>
      </c>
    </row>
    <row r="1606" spans="3:15" ht="13.5">
      <c r="C1606" s="1526" t="s">
        <v>5564</v>
      </c>
      <c r="D1606" s="1523">
        <v>1</v>
      </c>
      <c r="E1606" s="1523">
        <v>1</v>
      </c>
      <c r="F1606" s="1524">
        <v>2</v>
      </c>
      <c r="G1606" s="1537" t="s">
        <v>5564</v>
      </c>
      <c r="H1606" s="1521">
        <v>1</v>
      </c>
      <c r="I1606" s="1521">
        <v>1</v>
      </c>
      <c r="J1606" s="1538">
        <v>2</v>
      </c>
      <c r="K1606" s="1525"/>
      <c r="L1606" s="1519">
        <v>13135050609</v>
      </c>
      <c r="M1606" s="1520">
        <v>1</v>
      </c>
      <c r="N1606" s="1520">
        <v>1</v>
      </c>
      <c r="O1606" s="1521">
        <v>2</v>
      </c>
    </row>
    <row r="1607" spans="3:15" ht="13.5">
      <c r="C1607" s="1526" t="s">
        <v>5565</v>
      </c>
      <c r="D1607" s="1523">
        <v>1</v>
      </c>
      <c r="E1607" s="1523">
        <v>1</v>
      </c>
      <c r="F1607" s="1524">
        <v>2</v>
      </c>
      <c r="G1607" s="1537" t="s">
        <v>5565</v>
      </c>
      <c r="H1607" s="1521">
        <v>1</v>
      </c>
      <c r="I1607" s="1521">
        <v>1</v>
      </c>
      <c r="J1607" s="1538">
        <v>2</v>
      </c>
      <c r="K1607" s="1525"/>
      <c r="L1607" s="1519">
        <v>13135050610</v>
      </c>
      <c r="M1607" s="1520">
        <v>1</v>
      </c>
      <c r="N1607" s="1520">
        <v>1</v>
      </c>
      <c r="O1607" s="1521">
        <v>2</v>
      </c>
    </row>
    <row r="1608" spans="3:15" ht="13.5">
      <c r="C1608" s="1526" t="s">
        <v>5566</v>
      </c>
      <c r="D1608" s="1523">
        <v>0</v>
      </c>
      <c r="E1608" s="1523">
        <v>1</v>
      </c>
      <c r="F1608" s="1524">
        <v>1</v>
      </c>
      <c r="G1608" s="1537" t="s">
        <v>5566</v>
      </c>
      <c r="H1608" s="1521">
        <v>0</v>
      </c>
      <c r="I1608" s="1521">
        <v>1</v>
      </c>
      <c r="J1608" s="1538">
        <v>1</v>
      </c>
      <c r="K1608" s="1525"/>
      <c r="L1608" s="1519">
        <v>13135050709</v>
      </c>
      <c r="M1608" s="1520">
        <v>0</v>
      </c>
      <c r="N1608" s="1520">
        <v>1</v>
      </c>
      <c r="O1608" s="1521">
        <v>1</v>
      </c>
    </row>
    <row r="1609" spans="3:15" ht="13.5">
      <c r="C1609" s="1526" t="s">
        <v>5567</v>
      </c>
      <c r="D1609" s="1523">
        <v>1</v>
      </c>
      <c r="E1609" s="1523">
        <v>1</v>
      </c>
      <c r="F1609" s="1524">
        <v>2</v>
      </c>
      <c r="G1609" s="1537" t="s">
        <v>5567</v>
      </c>
      <c r="H1609" s="1521">
        <v>1</v>
      </c>
      <c r="I1609" s="1521">
        <v>1</v>
      </c>
      <c r="J1609" s="1538">
        <v>2</v>
      </c>
      <c r="K1609" s="1525"/>
      <c r="L1609" s="1519">
        <v>13135050712</v>
      </c>
      <c r="M1609" s="1520">
        <v>1</v>
      </c>
      <c r="N1609" s="1520">
        <v>1</v>
      </c>
      <c r="O1609" s="1521">
        <v>2</v>
      </c>
    </row>
    <row r="1610" spans="3:15" ht="13.5">
      <c r="C1610" s="1526" t="s">
        <v>5568</v>
      </c>
      <c r="D1610" s="1523">
        <v>1</v>
      </c>
      <c r="E1610" s="1523">
        <v>1</v>
      </c>
      <c r="F1610" s="1524">
        <v>2</v>
      </c>
      <c r="G1610" s="1537" t="s">
        <v>5568</v>
      </c>
      <c r="H1610" s="1521">
        <v>1</v>
      </c>
      <c r="I1610" s="1521">
        <v>1</v>
      </c>
      <c r="J1610" s="1538">
        <v>2</v>
      </c>
      <c r="K1610" s="1525"/>
      <c r="L1610" s="1519">
        <v>13135050713</v>
      </c>
      <c r="M1610" s="1520">
        <v>1</v>
      </c>
      <c r="N1610" s="1520">
        <v>1</v>
      </c>
      <c r="O1610" s="1521">
        <v>2</v>
      </c>
    </row>
    <row r="1611" spans="3:15" ht="13.5">
      <c r="C1611" s="1526" t="s">
        <v>5569</v>
      </c>
      <c r="D1611" s="1523">
        <v>1</v>
      </c>
      <c r="E1611" s="1523">
        <v>1</v>
      </c>
      <c r="F1611" s="1524">
        <v>2</v>
      </c>
      <c r="G1611" s="1537" t="s">
        <v>5569</v>
      </c>
      <c r="H1611" s="1521">
        <v>1</v>
      </c>
      <c r="I1611" s="1521">
        <v>1</v>
      </c>
      <c r="J1611" s="1538">
        <v>2</v>
      </c>
      <c r="K1611" s="1525"/>
      <c r="L1611" s="1519">
        <v>13135050714</v>
      </c>
      <c r="M1611" s="1520">
        <v>1</v>
      </c>
      <c r="N1611" s="1520">
        <v>1</v>
      </c>
      <c r="O1611" s="1521">
        <v>2</v>
      </c>
    </row>
    <row r="1612" spans="3:15" ht="13.5">
      <c r="C1612" s="1526" t="s">
        <v>5570</v>
      </c>
      <c r="D1612" s="1523">
        <v>1</v>
      </c>
      <c r="E1612" s="1523">
        <v>1</v>
      </c>
      <c r="F1612" s="1524">
        <v>2</v>
      </c>
      <c r="G1612" s="1537" t="s">
        <v>5570</v>
      </c>
      <c r="H1612" s="1521">
        <v>1</v>
      </c>
      <c r="I1612" s="1521">
        <v>1</v>
      </c>
      <c r="J1612" s="1538">
        <v>2</v>
      </c>
      <c r="K1612" s="1525"/>
      <c r="L1612" s="1519">
        <v>13135050715</v>
      </c>
      <c r="M1612" s="1520">
        <v>1</v>
      </c>
      <c r="N1612" s="1520">
        <v>1</v>
      </c>
      <c r="O1612" s="1521">
        <v>2</v>
      </c>
    </row>
    <row r="1613" spans="3:15" ht="13.5">
      <c r="C1613" s="1526" t="s">
        <v>5571</v>
      </c>
      <c r="D1613" s="1523">
        <v>1</v>
      </c>
      <c r="E1613" s="1523">
        <v>1</v>
      </c>
      <c r="F1613" s="1524">
        <v>2</v>
      </c>
      <c r="G1613" s="1537" t="s">
        <v>5571</v>
      </c>
      <c r="H1613" s="1521">
        <v>1</v>
      </c>
      <c r="I1613" s="1521" t="s">
        <v>4096</v>
      </c>
      <c r="J1613" s="1538">
        <v>1</v>
      </c>
      <c r="K1613" s="1525"/>
      <c r="L1613" s="1519">
        <v>13135050718</v>
      </c>
      <c r="M1613" s="1520">
        <v>1</v>
      </c>
      <c r="N1613" s="1520">
        <v>1</v>
      </c>
      <c r="O1613" s="1521">
        <v>2</v>
      </c>
    </row>
    <row r="1614" spans="3:15" ht="13.5">
      <c r="C1614" s="1526" t="s">
        <v>5572</v>
      </c>
      <c r="D1614" s="1523">
        <v>1</v>
      </c>
      <c r="E1614" s="1523">
        <v>1</v>
      </c>
      <c r="F1614" s="1524">
        <v>2</v>
      </c>
      <c r="G1614" s="1537" t="s">
        <v>5572</v>
      </c>
      <c r="H1614" s="1521">
        <v>1</v>
      </c>
      <c r="I1614" s="1521">
        <v>0</v>
      </c>
      <c r="J1614" s="1538">
        <v>1</v>
      </c>
      <c r="K1614" s="1525"/>
      <c r="L1614" s="1519">
        <v>13135050719</v>
      </c>
      <c r="M1614" s="1520">
        <v>1</v>
      </c>
      <c r="N1614" s="1520">
        <v>1</v>
      </c>
      <c r="O1614" s="1521">
        <v>2</v>
      </c>
    </row>
    <row r="1615" spans="3:15" ht="13.5">
      <c r="C1615" s="1526" t="s">
        <v>5573</v>
      </c>
      <c r="D1615" s="1523">
        <v>1</v>
      </c>
      <c r="E1615" s="1523">
        <v>1</v>
      </c>
      <c r="F1615" s="1524">
        <v>2</v>
      </c>
      <c r="G1615" s="1537" t="s">
        <v>5573</v>
      </c>
      <c r="H1615" s="1521">
        <v>1</v>
      </c>
      <c r="I1615" s="1521">
        <v>1</v>
      </c>
      <c r="J1615" s="1538">
        <v>2</v>
      </c>
      <c r="K1615" s="1525"/>
      <c r="L1615" s="1519">
        <v>13135050720</v>
      </c>
      <c r="M1615" s="1520">
        <v>1</v>
      </c>
      <c r="N1615" s="1520">
        <v>1</v>
      </c>
      <c r="O1615" s="1521">
        <v>2</v>
      </c>
    </row>
    <row r="1616" spans="3:15" ht="13.5">
      <c r="C1616" s="1526" t="s">
        <v>5574</v>
      </c>
      <c r="D1616" s="1523">
        <v>1</v>
      </c>
      <c r="E1616" s="1523">
        <v>0</v>
      </c>
      <c r="F1616" s="1524">
        <v>1</v>
      </c>
      <c r="G1616" s="1537" t="s">
        <v>5574</v>
      </c>
      <c r="H1616" s="1521">
        <v>1</v>
      </c>
      <c r="I1616" s="1521">
        <v>1</v>
      </c>
      <c r="J1616" s="1538">
        <v>2</v>
      </c>
      <c r="K1616" s="1525"/>
      <c r="L1616" s="1519">
        <v>13135050721</v>
      </c>
      <c r="M1616" s="1520">
        <v>1</v>
      </c>
      <c r="N1616" s="1520">
        <v>1</v>
      </c>
      <c r="O1616" s="1521">
        <v>2</v>
      </c>
    </row>
    <row r="1617" spans="3:15" ht="13.5">
      <c r="C1617" s="1526" t="s">
        <v>5575</v>
      </c>
      <c r="D1617" s="1523">
        <v>0</v>
      </c>
      <c r="E1617" s="1523">
        <v>0</v>
      </c>
      <c r="F1617" s="1524">
        <v>0</v>
      </c>
      <c r="G1617" s="1537" t="s">
        <v>5575</v>
      </c>
      <c r="H1617" s="1521">
        <v>0</v>
      </c>
      <c r="I1617" s="1521">
        <v>0</v>
      </c>
      <c r="J1617" s="1538">
        <v>0</v>
      </c>
      <c r="K1617" s="1525"/>
      <c r="L1617" s="1519">
        <v>13135050722</v>
      </c>
      <c r="M1617" s="1520">
        <v>0</v>
      </c>
      <c r="N1617" s="1520">
        <v>0</v>
      </c>
      <c r="O1617" s="1521">
        <v>0</v>
      </c>
    </row>
    <row r="1618" spans="3:15" ht="13.5">
      <c r="C1618" s="1526" t="s">
        <v>5576</v>
      </c>
      <c r="D1618" s="1523">
        <v>0</v>
      </c>
      <c r="E1618" s="1523">
        <v>1</v>
      </c>
      <c r="F1618" s="1524">
        <v>1</v>
      </c>
      <c r="G1618" s="1537" t="s">
        <v>5576</v>
      </c>
      <c r="H1618" s="1521">
        <v>1</v>
      </c>
      <c r="I1618" s="1521">
        <v>1</v>
      </c>
      <c r="J1618" s="1538">
        <v>2</v>
      </c>
      <c r="K1618" s="1525"/>
      <c r="L1618" s="1519">
        <v>13135050723</v>
      </c>
      <c r="M1618" s="1520">
        <v>1</v>
      </c>
      <c r="N1618" s="1520">
        <v>1</v>
      </c>
      <c r="O1618" s="1521">
        <v>2</v>
      </c>
    </row>
    <row r="1619" spans="3:15" ht="13.5">
      <c r="C1619" s="1526" t="s">
        <v>5577</v>
      </c>
      <c r="D1619" s="1523">
        <v>1</v>
      </c>
      <c r="E1619" s="1523">
        <v>1</v>
      </c>
      <c r="F1619" s="1524">
        <v>2</v>
      </c>
      <c r="G1619" s="1537" t="s">
        <v>5577</v>
      </c>
      <c r="H1619" s="1521">
        <v>1</v>
      </c>
      <c r="I1619" s="1521">
        <v>1</v>
      </c>
      <c r="J1619" s="1538">
        <v>2</v>
      </c>
      <c r="K1619" s="1525"/>
      <c r="L1619" s="1519">
        <v>13135050724</v>
      </c>
      <c r="M1619" s="1520">
        <v>1</v>
      </c>
      <c r="N1619" s="1520">
        <v>1</v>
      </c>
      <c r="O1619" s="1521">
        <v>2</v>
      </c>
    </row>
    <row r="1620" spans="3:15" ht="13.5">
      <c r="C1620" s="1526" t="s">
        <v>5578</v>
      </c>
      <c r="D1620" s="1523">
        <v>1</v>
      </c>
      <c r="E1620" s="1523">
        <v>1</v>
      </c>
      <c r="F1620" s="1524">
        <v>2</v>
      </c>
      <c r="G1620" s="1537" t="s">
        <v>5578</v>
      </c>
      <c r="H1620" s="1521">
        <v>1</v>
      </c>
      <c r="I1620" s="1521">
        <v>1</v>
      </c>
      <c r="J1620" s="1538">
        <v>2</v>
      </c>
      <c r="K1620" s="1525"/>
      <c r="L1620" s="1519">
        <v>13135050725</v>
      </c>
      <c r="M1620" s="1520">
        <v>1</v>
      </c>
      <c r="N1620" s="1520">
        <v>1</v>
      </c>
      <c r="O1620" s="1521">
        <v>2</v>
      </c>
    </row>
    <row r="1621" spans="3:15" ht="13.5">
      <c r="C1621" s="1526" t="s">
        <v>5579</v>
      </c>
      <c r="D1621" s="1523">
        <v>1</v>
      </c>
      <c r="E1621" s="1523">
        <v>1</v>
      </c>
      <c r="F1621" s="1524">
        <v>2</v>
      </c>
      <c r="G1621" s="1537" t="s">
        <v>5579</v>
      </c>
      <c r="H1621" s="1521">
        <v>1</v>
      </c>
      <c r="I1621" s="1521">
        <v>1</v>
      </c>
      <c r="J1621" s="1538">
        <v>2</v>
      </c>
      <c r="K1621" s="1525"/>
      <c r="L1621" s="1519">
        <v>13135050726</v>
      </c>
      <c r="M1621" s="1520">
        <v>1</v>
      </c>
      <c r="N1621" s="1520">
        <v>1</v>
      </c>
      <c r="O1621" s="1521">
        <v>2</v>
      </c>
    </row>
    <row r="1622" spans="3:15" ht="13.5">
      <c r="C1622" s="1526" t="s">
        <v>5580</v>
      </c>
      <c r="D1622" s="1523">
        <v>1</v>
      </c>
      <c r="E1622" s="1523">
        <v>1</v>
      </c>
      <c r="F1622" s="1524">
        <v>2</v>
      </c>
      <c r="G1622" s="1537" t="s">
        <v>5580</v>
      </c>
      <c r="H1622" s="1521">
        <v>1</v>
      </c>
      <c r="I1622" s="1521">
        <v>1</v>
      </c>
      <c r="J1622" s="1538">
        <v>2</v>
      </c>
      <c r="K1622" s="1525"/>
      <c r="L1622" s="1519">
        <v>13135050727</v>
      </c>
      <c r="M1622" s="1520">
        <v>1</v>
      </c>
      <c r="N1622" s="1520">
        <v>1</v>
      </c>
      <c r="O1622" s="1521">
        <v>2</v>
      </c>
    </row>
    <row r="1623" spans="3:15" ht="13.5">
      <c r="C1623" s="1526" t="s">
        <v>5581</v>
      </c>
      <c r="D1623" s="1523">
        <v>1</v>
      </c>
      <c r="E1623" s="1523">
        <v>1</v>
      </c>
      <c r="F1623" s="1524">
        <v>2</v>
      </c>
      <c r="G1623" s="1537" t="s">
        <v>5581</v>
      </c>
      <c r="H1623" s="1521">
        <v>1</v>
      </c>
      <c r="I1623" s="1521">
        <v>1</v>
      </c>
      <c r="J1623" s="1538">
        <v>2</v>
      </c>
      <c r="K1623" s="1525"/>
      <c r="L1623" s="1519">
        <v>13135050728</v>
      </c>
      <c r="M1623" s="1520">
        <v>1</v>
      </c>
      <c r="N1623" s="1520">
        <v>1</v>
      </c>
      <c r="O1623" s="1521">
        <v>2</v>
      </c>
    </row>
    <row r="1624" spans="3:15" ht="13.5">
      <c r="C1624" s="1526" t="s">
        <v>5582</v>
      </c>
      <c r="D1624" s="1523">
        <v>0</v>
      </c>
      <c r="E1624" s="1523">
        <v>0</v>
      </c>
      <c r="F1624" s="1524">
        <v>0</v>
      </c>
      <c r="G1624" s="1537" t="s">
        <v>5582</v>
      </c>
      <c r="H1624" s="1521">
        <v>1</v>
      </c>
      <c r="I1624" s="1521">
        <v>0</v>
      </c>
      <c r="J1624" s="1538">
        <v>1</v>
      </c>
      <c r="K1624" s="1525"/>
      <c r="L1624" s="1519">
        <v>13135050729</v>
      </c>
      <c r="M1624" s="1520">
        <v>1</v>
      </c>
      <c r="N1624" s="1520">
        <v>0</v>
      </c>
      <c r="O1624" s="1521">
        <v>1</v>
      </c>
    </row>
    <row r="1625" spans="3:15" ht="13.5">
      <c r="C1625" s="1526" t="s">
        <v>5583</v>
      </c>
      <c r="D1625" s="1523">
        <v>1</v>
      </c>
      <c r="E1625" s="1523">
        <v>1</v>
      </c>
      <c r="F1625" s="1524">
        <v>2</v>
      </c>
      <c r="G1625" s="1537" t="s">
        <v>5583</v>
      </c>
      <c r="H1625" s="1521">
        <v>1</v>
      </c>
      <c r="I1625" s="1521">
        <v>0</v>
      </c>
      <c r="J1625" s="1538">
        <v>1</v>
      </c>
      <c r="K1625" s="1525"/>
      <c r="L1625" s="1519">
        <v>13135050730</v>
      </c>
      <c r="M1625" s="1520">
        <v>1</v>
      </c>
      <c r="N1625" s="1520">
        <v>1</v>
      </c>
      <c r="O1625" s="1521">
        <v>2</v>
      </c>
    </row>
    <row r="1626" spans="3:15" ht="13.5">
      <c r="C1626" s="1526" t="s">
        <v>5584</v>
      </c>
      <c r="D1626" s="1523">
        <v>1</v>
      </c>
      <c r="E1626" s="1523">
        <v>1</v>
      </c>
      <c r="F1626" s="1524">
        <v>2</v>
      </c>
      <c r="G1626" s="1537" t="s">
        <v>5584</v>
      </c>
      <c r="H1626" s="1521">
        <v>0</v>
      </c>
      <c r="I1626" s="1521">
        <v>1</v>
      </c>
      <c r="J1626" s="1538">
        <v>1</v>
      </c>
      <c r="K1626" s="1525"/>
      <c r="L1626" s="1519">
        <v>13135050731</v>
      </c>
      <c r="M1626" s="1520">
        <v>1</v>
      </c>
      <c r="N1626" s="1520">
        <v>1</v>
      </c>
      <c r="O1626" s="1521">
        <v>2</v>
      </c>
    </row>
    <row r="1627" spans="3:15" ht="13.5">
      <c r="C1627" s="1526" t="s">
        <v>5585</v>
      </c>
      <c r="D1627" s="1523">
        <v>1</v>
      </c>
      <c r="E1627" s="1523">
        <v>1</v>
      </c>
      <c r="F1627" s="1524">
        <v>2</v>
      </c>
      <c r="G1627" s="1537" t="s">
        <v>5585</v>
      </c>
      <c r="H1627" s="1521">
        <v>0</v>
      </c>
      <c r="I1627" s="1521">
        <v>1</v>
      </c>
      <c r="J1627" s="1538">
        <v>1</v>
      </c>
      <c r="K1627" s="1525"/>
      <c r="L1627" s="1519">
        <v>13137000100</v>
      </c>
      <c r="M1627" s="1520">
        <v>1</v>
      </c>
      <c r="N1627" s="1520">
        <v>1</v>
      </c>
      <c r="O1627" s="1521">
        <v>2</v>
      </c>
    </row>
    <row r="1628" spans="3:15" ht="13.5">
      <c r="C1628" s="1526" t="s">
        <v>5586</v>
      </c>
      <c r="D1628" s="1523">
        <v>1</v>
      </c>
      <c r="E1628" s="1523">
        <v>0</v>
      </c>
      <c r="F1628" s="1524">
        <v>1</v>
      </c>
      <c r="G1628" s="1537" t="s">
        <v>5586</v>
      </c>
      <c r="H1628" s="1521">
        <v>0</v>
      </c>
      <c r="I1628" s="1521">
        <v>0</v>
      </c>
      <c r="J1628" s="1538">
        <v>0</v>
      </c>
      <c r="K1628" s="1525"/>
      <c r="L1628" s="1519">
        <v>13137000201</v>
      </c>
      <c r="M1628" s="1520">
        <v>1</v>
      </c>
      <c r="N1628" s="1520">
        <v>0</v>
      </c>
      <c r="O1628" s="1521">
        <v>1</v>
      </c>
    </row>
    <row r="1629" spans="3:15" ht="13.5">
      <c r="C1629" s="1526" t="s">
        <v>5587</v>
      </c>
      <c r="D1629" s="1523">
        <v>1</v>
      </c>
      <c r="E1629" s="1523">
        <v>1</v>
      </c>
      <c r="F1629" s="1524">
        <v>2</v>
      </c>
      <c r="G1629" s="1537" t="s">
        <v>5587</v>
      </c>
      <c r="H1629" s="1521">
        <v>1</v>
      </c>
      <c r="I1629" s="1521">
        <v>0</v>
      </c>
      <c r="J1629" s="1538">
        <v>1</v>
      </c>
      <c r="K1629" s="1525"/>
      <c r="L1629" s="1519">
        <v>13137000202</v>
      </c>
      <c r="M1629" s="1520">
        <v>1</v>
      </c>
      <c r="N1629" s="1520">
        <v>1</v>
      </c>
      <c r="O1629" s="1521">
        <v>2</v>
      </c>
    </row>
    <row r="1630" spans="3:15" ht="13.5">
      <c r="C1630" s="1526" t="s">
        <v>5588</v>
      </c>
      <c r="D1630" s="1523">
        <v>0</v>
      </c>
      <c r="E1630" s="1523">
        <v>0</v>
      </c>
      <c r="F1630" s="1524">
        <v>0</v>
      </c>
      <c r="G1630" s="1537" t="s">
        <v>5588</v>
      </c>
      <c r="H1630" s="1521">
        <v>0</v>
      </c>
      <c r="I1630" s="1521">
        <v>0</v>
      </c>
      <c r="J1630" s="1538">
        <v>0</v>
      </c>
      <c r="K1630" s="1525"/>
      <c r="L1630" s="1519">
        <v>13137000300</v>
      </c>
      <c r="M1630" s="1520">
        <v>0</v>
      </c>
      <c r="N1630" s="1520">
        <v>0</v>
      </c>
      <c r="O1630" s="1521">
        <v>0</v>
      </c>
    </row>
    <row r="1631" spans="3:15" ht="13.5">
      <c r="C1631" s="1526" t="s">
        <v>5589</v>
      </c>
      <c r="D1631" s="1523">
        <v>1</v>
      </c>
      <c r="E1631" s="1523">
        <v>0</v>
      </c>
      <c r="F1631" s="1524">
        <v>1</v>
      </c>
      <c r="G1631" s="1537" t="s">
        <v>5589</v>
      </c>
      <c r="H1631" s="1521">
        <v>0</v>
      </c>
      <c r="I1631" s="1521">
        <v>1</v>
      </c>
      <c r="J1631" s="1538">
        <v>1</v>
      </c>
      <c r="K1631" s="1525"/>
      <c r="L1631" s="1519">
        <v>13137000400</v>
      </c>
      <c r="M1631" s="1520">
        <v>1</v>
      </c>
      <c r="N1631" s="1520">
        <v>1</v>
      </c>
      <c r="O1631" s="1521">
        <v>1</v>
      </c>
    </row>
    <row r="1632" spans="3:15" ht="13.5">
      <c r="C1632" s="1526" t="s">
        <v>5590</v>
      </c>
      <c r="D1632" s="1523">
        <v>0</v>
      </c>
      <c r="E1632" s="1523">
        <v>0</v>
      </c>
      <c r="F1632" s="1524">
        <v>0</v>
      </c>
      <c r="G1632" s="1537" t="s">
        <v>5590</v>
      </c>
      <c r="H1632" s="1521">
        <v>0</v>
      </c>
      <c r="I1632" s="1521">
        <v>1</v>
      </c>
      <c r="J1632" s="1538">
        <v>1</v>
      </c>
      <c r="K1632" s="1525"/>
      <c r="L1632" s="1519">
        <v>13137000500</v>
      </c>
      <c r="M1632" s="1520">
        <v>0</v>
      </c>
      <c r="N1632" s="1520">
        <v>1</v>
      </c>
      <c r="O1632" s="1521">
        <v>1</v>
      </c>
    </row>
    <row r="1633" spans="3:15" ht="13.5">
      <c r="C1633" s="1526" t="s">
        <v>5591</v>
      </c>
      <c r="D1633" s="1523">
        <v>0</v>
      </c>
      <c r="E1633" s="1523">
        <v>0</v>
      </c>
      <c r="F1633" s="1524">
        <v>0</v>
      </c>
      <c r="G1633" s="1537" t="s">
        <v>5591</v>
      </c>
      <c r="H1633" s="1521">
        <v>0</v>
      </c>
      <c r="I1633" s="1521">
        <v>0</v>
      </c>
      <c r="J1633" s="1538">
        <v>0</v>
      </c>
      <c r="K1633" s="1525"/>
      <c r="L1633" s="1519">
        <v>13137000601</v>
      </c>
      <c r="M1633" s="1520">
        <v>0</v>
      </c>
      <c r="N1633" s="1520">
        <v>0</v>
      </c>
      <c r="O1633" s="1521">
        <v>0</v>
      </c>
    </row>
    <row r="1634" spans="3:15" ht="13.5">
      <c r="C1634" s="1526" t="s">
        <v>5592</v>
      </c>
      <c r="D1634" s="1523">
        <v>0</v>
      </c>
      <c r="E1634" s="1523">
        <v>0</v>
      </c>
      <c r="F1634" s="1524">
        <v>0</v>
      </c>
      <c r="G1634" s="1537" t="s">
        <v>5592</v>
      </c>
      <c r="H1634" s="1521">
        <v>0</v>
      </c>
      <c r="I1634" s="1521">
        <v>0</v>
      </c>
      <c r="J1634" s="1538">
        <v>0</v>
      </c>
      <c r="K1634" s="1525"/>
      <c r="L1634" s="1519">
        <v>13137000602</v>
      </c>
      <c r="M1634" s="1520">
        <v>0</v>
      </c>
      <c r="N1634" s="1520">
        <v>0</v>
      </c>
      <c r="O1634" s="1521">
        <v>0</v>
      </c>
    </row>
    <row r="1635" spans="3:15" ht="13.5">
      <c r="C1635" s="1526" t="s">
        <v>5593</v>
      </c>
      <c r="D1635" s="1523">
        <v>1</v>
      </c>
      <c r="E1635" s="1523">
        <v>0</v>
      </c>
      <c r="F1635" s="1524">
        <v>1</v>
      </c>
      <c r="G1635" s="1537" t="s">
        <v>5593</v>
      </c>
      <c r="H1635" s="1521">
        <v>0</v>
      </c>
      <c r="I1635" s="1521">
        <v>0</v>
      </c>
      <c r="J1635" s="1538">
        <v>0</v>
      </c>
      <c r="K1635" s="1525"/>
      <c r="L1635" s="1519">
        <v>13139000101</v>
      </c>
      <c r="M1635" s="1520">
        <v>1</v>
      </c>
      <c r="N1635" s="1520">
        <v>0</v>
      </c>
      <c r="O1635" s="1521">
        <v>1</v>
      </c>
    </row>
    <row r="1636" spans="3:15" ht="13.5">
      <c r="C1636" s="1526" t="s">
        <v>5594</v>
      </c>
      <c r="D1636" s="1523">
        <v>1</v>
      </c>
      <c r="E1636" s="1523">
        <v>0</v>
      </c>
      <c r="F1636" s="1524">
        <v>1</v>
      </c>
      <c r="G1636" s="1537" t="s">
        <v>5594</v>
      </c>
      <c r="H1636" s="1521">
        <v>1</v>
      </c>
      <c r="I1636" s="1521">
        <v>0</v>
      </c>
      <c r="J1636" s="1538">
        <v>1</v>
      </c>
      <c r="K1636" s="1525"/>
      <c r="L1636" s="1519">
        <v>13139000102</v>
      </c>
      <c r="M1636" s="1520">
        <v>1</v>
      </c>
      <c r="N1636" s="1520">
        <v>0</v>
      </c>
      <c r="O1636" s="1521">
        <v>1</v>
      </c>
    </row>
    <row r="1637" spans="3:15" ht="13.5">
      <c r="C1637" s="1526" t="s">
        <v>5595</v>
      </c>
      <c r="D1637" s="1523">
        <v>0</v>
      </c>
      <c r="E1637" s="1523">
        <v>0</v>
      </c>
      <c r="F1637" s="1524">
        <v>0</v>
      </c>
      <c r="G1637" s="1537" t="s">
        <v>5595</v>
      </c>
      <c r="H1637" s="1521">
        <v>1</v>
      </c>
      <c r="I1637" s="1521">
        <v>0</v>
      </c>
      <c r="J1637" s="1538">
        <v>1</v>
      </c>
      <c r="K1637" s="1525"/>
      <c r="L1637" s="1519">
        <v>13139000201</v>
      </c>
      <c r="M1637" s="1520">
        <v>1</v>
      </c>
      <c r="N1637" s="1520">
        <v>0</v>
      </c>
      <c r="O1637" s="1521">
        <v>1</v>
      </c>
    </row>
    <row r="1638" spans="3:15" ht="13.5">
      <c r="C1638" s="1526" t="s">
        <v>5596</v>
      </c>
      <c r="D1638" s="1523">
        <v>1</v>
      </c>
      <c r="E1638" s="1523">
        <v>1</v>
      </c>
      <c r="F1638" s="1524">
        <v>2</v>
      </c>
      <c r="G1638" s="1537" t="s">
        <v>5596</v>
      </c>
      <c r="H1638" s="1521">
        <v>1</v>
      </c>
      <c r="I1638" s="1521">
        <v>1</v>
      </c>
      <c r="J1638" s="1538">
        <v>2</v>
      </c>
      <c r="K1638" s="1525"/>
      <c r="L1638" s="1519">
        <v>13139000203</v>
      </c>
      <c r="M1638" s="1520">
        <v>1</v>
      </c>
      <c r="N1638" s="1520">
        <v>1</v>
      </c>
      <c r="O1638" s="1521">
        <v>2</v>
      </c>
    </row>
    <row r="1639" spans="3:15" ht="13.5">
      <c r="C1639" s="1526" t="s">
        <v>5597</v>
      </c>
      <c r="D1639" s="1523">
        <v>1</v>
      </c>
      <c r="E1639" s="1523">
        <v>1</v>
      </c>
      <c r="F1639" s="1524">
        <v>2</v>
      </c>
      <c r="G1639" s="1537" t="s">
        <v>5597</v>
      </c>
      <c r="H1639" s="1521">
        <v>1</v>
      </c>
      <c r="I1639" s="1521">
        <v>1</v>
      </c>
      <c r="J1639" s="1538">
        <v>2</v>
      </c>
      <c r="K1639" s="1525"/>
      <c r="L1639" s="1519">
        <v>13139000204</v>
      </c>
      <c r="M1639" s="1520">
        <v>1</v>
      </c>
      <c r="N1639" s="1520">
        <v>1</v>
      </c>
      <c r="O1639" s="1521">
        <v>2</v>
      </c>
    </row>
    <row r="1640" spans="3:15" ht="13.5">
      <c r="C1640" s="1526" t="s">
        <v>5598</v>
      </c>
      <c r="D1640" s="1523">
        <v>1</v>
      </c>
      <c r="E1640" s="1523">
        <v>1</v>
      </c>
      <c r="F1640" s="1524">
        <v>2</v>
      </c>
      <c r="G1640" s="1537" t="s">
        <v>5598</v>
      </c>
      <c r="H1640" s="1521">
        <v>1</v>
      </c>
      <c r="I1640" s="1521">
        <v>0</v>
      </c>
      <c r="J1640" s="1538">
        <v>1</v>
      </c>
      <c r="K1640" s="1525"/>
      <c r="L1640" s="1519">
        <v>13139000302</v>
      </c>
      <c r="M1640" s="1520">
        <v>1</v>
      </c>
      <c r="N1640" s="1520">
        <v>1</v>
      </c>
      <c r="O1640" s="1521">
        <v>2</v>
      </c>
    </row>
    <row r="1641" spans="3:15" ht="13.5">
      <c r="C1641" s="1526" t="s">
        <v>5599</v>
      </c>
      <c r="D1641" s="1523">
        <v>1</v>
      </c>
      <c r="E1641" s="1523">
        <v>1</v>
      </c>
      <c r="F1641" s="1524">
        <v>2</v>
      </c>
      <c r="G1641" s="1537" t="s">
        <v>5599</v>
      </c>
      <c r="H1641" s="1521">
        <v>1</v>
      </c>
      <c r="I1641" s="1521">
        <v>1</v>
      </c>
      <c r="J1641" s="1538">
        <v>2</v>
      </c>
      <c r="K1641" s="1525"/>
      <c r="L1641" s="1519">
        <v>13139000303</v>
      </c>
      <c r="M1641" s="1520">
        <v>1</v>
      </c>
      <c r="N1641" s="1520">
        <v>1</v>
      </c>
      <c r="O1641" s="1521">
        <v>2</v>
      </c>
    </row>
    <row r="1642" spans="3:15" ht="13.5">
      <c r="C1642" s="1526" t="s">
        <v>5600</v>
      </c>
      <c r="D1642" s="1523">
        <v>1</v>
      </c>
      <c r="E1642" s="1523">
        <v>1</v>
      </c>
      <c r="F1642" s="1524">
        <v>2</v>
      </c>
      <c r="G1642" s="1537" t="s">
        <v>5600</v>
      </c>
      <c r="H1642" s="1521">
        <v>1</v>
      </c>
      <c r="I1642" s="1521">
        <v>1</v>
      </c>
      <c r="J1642" s="1538">
        <v>2</v>
      </c>
      <c r="K1642" s="1525"/>
      <c r="L1642" s="1519">
        <v>13139000304</v>
      </c>
      <c r="M1642" s="1520">
        <v>1</v>
      </c>
      <c r="N1642" s="1520">
        <v>1</v>
      </c>
      <c r="O1642" s="1521">
        <v>2</v>
      </c>
    </row>
    <row r="1643" spans="3:15" ht="13.5">
      <c r="C1643" s="1526" t="s">
        <v>5601</v>
      </c>
      <c r="D1643" s="1523">
        <v>1</v>
      </c>
      <c r="E1643" s="1523">
        <v>1</v>
      </c>
      <c r="F1643" s="1524">
        <v>2</v>
      </c>
      <c r="G1643" s="1537" t="s">
        <v>5601</v>
      </c>
      <c r="H1643" s="1521">
        <v>1</v>
      </c>
      <c r="I1643" s="1521">
        <v>1</v>
      </c>
      <c r="J1643" s="1538">
        <v>2</v>
      </c>
      <c r="K1643" s="1525"/>
      <c r="L1643" s="1519">
        <v>13139000305</v>
      </c>
      <c r="M1643" s="1520">
        <v>1</v>
      </c>
      <c r="N1643" s="1520">
        <v>1</v>
      </c>
      <c r="O1643" s="1521">
        <v>2</v>
      </c>
    </row>
    <row r="1644" spans="3:15" ht="13.5">
      <c r="C1644" s="1526" t="s">
        <v>5602</v>
      </c>
      <c r="D1644" s="1523">
        <v>1</v>
      </c>
      <c r="E1644" s="1523">
        <v>0</v>
      </c>
      <c r="F1644" s="1524">
        <v>1</v>
      </c>
      <c r="G1644" s="1537" t="s">
        <v>5602</v>
      </c>
      <c r="H1644" s="1521">
        <v>1</v>
      </c>
      <c r="I1644" s="1521">
        <v>1</v>
      </c>
      <c r="J1644" s="1538">
        <v>2</v>
      </c>
      <c r="K1644" s="1525"/>
      <c r="L1644" s="1519">
        <v>13139000400</v>
      </c>
      <c r="M1644" s="1520">
        <v>1</v>
      </c>
      <c r="N1644" s="1520">
        <v>1</v>
      </c>
      <c r="O1644" s="1521">
        <v>2</v>
      </c>
    </row>
    <row r="1645" spans="3:15" ht="13.5">
      <c r="C1645" s="1526" t="s">
        <v>5603</v>
      </c>
      <c r="D1645" s="1523">
        <v>1</v>
      </c>
      <c r="E1645" s="1523">
        <v>1</v>
      </c>
      <c r="F1645" s="1524">
        <v>2</v>
      </c>
      <c r="G1645" s="1537" t="s">
        <v>5603</v>
      </c>
      <c r="H1645" s="1521">
        <v>1</v>
      </c>
      <c r="I1645" s="1521">
        <v>1</v>
      </c>
      <c r="J1645" s="1538">
        <v>2</v>
      </c>
      <c r="K1645" s="1525"/>
      <c r="L1645" s="1519">
        <v>13139000500</v>
      </c>
      <c r="M1645" s="1520">
        <v>1</v>
      </c>
      <c r="N1645" s="1520">
        <v>1</v>
      </c>
      <c r="O1645" s="1521">
        <v>2</v>
      </c>
    </row>
    <row r="1646" spans="3:15" ht="13.5">
      <c r="C1646" s="1526" t="s">
        <v>5604</v>
      </c>
      <c r="D1646" s="1523">
        <v>0</v>
      </c>
      <c r="E1646" s="1523">
        <v>0</v>
      </c>
      <c r="F1646" s="1524">
        <v>0</v>
      </c>
      <c r="G1646" s="1537" t="s">
        <v>5604</v>
      </c>
      <c r="H1646" s="1521">
        <v>0</v>
      </c>
      <c r="I1646" s="1521">
        <v>0</v>
      </c>
      <c r="J1646" s="1538">
        <v>0</v>
      </c>
      <c r="K1646" s="1525"/>
      <c r="L1646" s="1519">
        <v>13139000600</v>
      </c>
      <c r="M1646" s="1520">
        <v>0</v>
      </c>
      <c r="N1646" s="1520">
        <v>0</v>
      </c>
      <c r="O1646" s="1521">
        <v>0</v>
      </c>
    </row>
    <row r="1647" spans="3:15" ht="13.5">
      <c r="C1647" s="1526" t="s">
        <v>5605</v>
      </c>
      <c r="D1647" s="1523">
        <v>0</v>
      </c>
      <c r="E1647" s="1523">
        <v>0</v>
      </c>
      <c r="F1647" s="1524">
        <v>0</v>
      </c>
      <c r="G1647" s="1537" t="s">
        <v>5605</v>
      </c>
      <c r="H1647" s="1521">
        <v>0</v>
      </c>
      <c r="I1647" s="1521">
        <v>0</v>
      </c>
      <c r="J1647" s="1538">
        <v>0</v>
      </c>
      <c r="K1647" s="1525"/>
      <c r="L1647" s="1519">
        <v>13139000701</v>
      </c>
      <c r="M1647" s="1520">
        <v>0</v>
      </c>
      <c r="N1647" s="1520">
        <v>0</v>
      </c>
      <c r="O1647" s="1521">
        <v>0</v>
      </c>
    </row>
    <row r="1648" spans="3:15" ht="13.5">
      <c r="C1648" s="1526" t="s">
        <v>5606</v>
      </c>
      <c r="D1648" s="1523">
        <v>0</v>
      </c>
      <c r="E1648" s="1523">
        <v>0</v>
      </c>
      <c r="F1648" s="1524">
        <v>0</v>
      </c>
      <c r="G1648" s="1537" t="s">
        <v>5606</v>
      </c>
      <c r="H1648" s="1521">
        <v>0</v>
      </c>
      <c r="I1648" s="1521">
        <v>0</v>
      </c>
      <c r="J1648" s="1538">
        <v>0</v>
      </c>
      <c r="K1648" s="1525"/>
      <c r="L1648" s="1519">
        <v>13139000702</v>
      </c>
      <c r="M1648" s="1520">
        <v>0</v>
      </c>
      <c r="N1648" s="1520">
        <v>0</v>
      </c>
      <c r="O1648" s="1521">
        <v>0</v>
      </c>
    </row>
    <row r="1649" spans="3:15" ht="13.5">
      <c r="C1649" s="1526" t="s">
        <v>5607</v>
      </c>
      <c r="D1649" s="1523">
        <v>0</v>
      </c>
      <c r="E1649" s="1523">
        <v>0</v>
      </c>
      <c r="F1649" s="1524">
        <v>0</v>
      </c>
      <c r="G1649" s="1537" t="s">
        <v>5607</v>
      </c>
      <c r="H1649" s="1521">
        <v>0</v>
      </c>
      <c r="I1649" s="1521">
        <v>0</v>
      </c>
      <c r="J1649" s="1538">
        <v>0</v>
      </c>
      <c r="K1649" s="1525"/>
      <c r="L1649" s="1519">
        <v>13139000800</v>
      </c>
      <c r="M1649" s="1520">
        <v>0</v>
      </c>
      <c r="N1649" s="1520">
        <v>0</v>
      </c>
      <c r="O1649" s="1521">
        <v>0</v>
      </c>
    </row>
    <row r="1650" spans="3:15" ht="13.5">
      <c r="C1650" s="1526" t="s">
        <v>5608</v>
      </c>
      <c r="D1650" s="1523">
        <v>1</v>
      </c>
      <c r="E1650" s="1523">
        <v>1</v>
      </c>
      <c r="F1650" s="1524">
        <v>2</v>
      </c>
      <c r="G1650" s="1537" t="s">
        <v>5608</v>
      </c>
      <c r="H1650" s="1521">
        <v>1</v>
      </c>
      <c r="I1650" s="1521">
        <v>1</v>
      </c>
      <c r="J1650" s="1538">
        <v>2</v>
      </c>
      <c r="K1650" s="1525"/>
      <c r="L1650" s="1519">
        <v>13139000900</v>
      </c>
      <c r="M1650" s="1520">
        <v>1</v>
      </c>
      <c r="N1650" s="1520">
        <v>1</v>
      </c>
      <c r="O1650" s="1521">
        <v>2</v>
      </c>
    </row>
    <row r="1651" spans="3:15" ht="13.5">
      <c r="C1651" s="1526" t="s">
        <v>5609</v>
      </c>
      <c r="D1651" s="1523">
        <v>1</v>
      </c>
      <c r="E1651" s="1523">
        <v>0</v>
      </c>
      <c r="F1651" s="1524">
        <v>1</v>
      </c>
      <c r="G1651" s="1537" t="s">
        <v>5609</v>
      </c>
      <c r="H1651" s="1521">
        <v>0</v>
      </c>
      <c r="I1651" s="1521">
        <v>1</v>
      </c>
      <c r="J1651" s="1538">
        <v>1</v>
      </c>
      <c r="K1651" s="1525"/>
      <c r="L1651" s="1519">
        <v>13139001002</v>
      </c>
      <c r="M1651" s="1520">
        <v>1</v>
      </c>
      <c r="N1651" s="1520">
        <v>1</v>
      </c>
      <c r="O1651" s="1521">
        <v>1</v>
      </c>
    </row>
    <row r="1652" spans="3:15" ht="13.5">
      <c r="C1652" s="1526" t="s">
        <v>5610</v>
      </c>
      <c r="D1652" s="1523">
        <v>0</v>
      </c>
      <c r="E1652" s="1523">
        <v>0</v>
      </c>
      <c r="F1652" s="1524">
        <v>0</v>
      </c>
      <c r="G1652" s="1537" t="s">
        <v>5610</v>
      </c>
      <c r="H1652" s="1521">
        <v>0</v>
      </c>
      <c r="I1652" s="1521">
        <v>0</v>
      </c>
      <c r="J1652" s="1538">
        <v>0</v>
      </c>
      <c r="K1652" s="1525"/>
      <c r="L1652" s="1519">
        <v>13139001003</v>
      </c>
      <c r="M1652" s="1520">
        <v>0</v>
      </c>
      <c r="N1652" s="1520">
        <v>0</v>
      </c>
      <c r="O1652" s="1521">
        <v>0</v>
      </c>
    </row>
    <row r="1653" spans="3:15" ht="13.5">
      <c r="C1653" s="1526" t="s">
        <v>5611</v>
      </c>
      <c r="D1653" s="1523">
        <v>1</v>
      </c>
      <c r="E1653" s="1523">
        <v>1</v>
      </c>
      <c r="F1653" s="1524">
        <v>2</v>
      </c>
      <c r="G1653" s="1537" t="s">
        <v>5611</v>
      </c>
      <c r="H1653" s="1521">
        <v>0</v>
      </c>
      <c r="I1653" s="1521">
        <v>0</v>
      </c>
      <c r="J1653" s="1538">
        <v>0</v>
      </c>
      <c r="K1653" s="1525"/>
      <c r="L1653" s="1519">
        <v>13139001004</v>
      </c>
      <c r="M1653" s="1520">
        <v>1</v>
      </c>
      <c r="N1653" s="1520">
        <v>1</v>
      </c>
      <c r="O1653" s="1521">
        <v>2</v>
      </c>
    </row>
    <row r="1654" spans="3:15" ht="13.5">
      <c r="C1654" s="1526" t="s">
        <v>5612</v>
      </c>
      <c r="D1654" s="1523">
        <v>0</v>
      </c>
      <c r="E1654" s="1523">
        <v>0</v>
      </c>
      <c r="F1654" s="1524">
        <v>0</v>
      </c>
      <c r="G1654" s="1537" t="s">
        <v>5612</v>
      </c>
      <c r="H1654" s="1521">
        <v>0</v>
      </c>
      <c r="I1654" s="1521" t="s">
        <v>4096</v>
      </c>
      <c r="J1654" s="1538">
        <v>0</v>
      </c>
      <c r="K1654" s="1525"/>
      <c r="L1654" s="1519">
        <v>13139001101</v>
      </c>
      <c r="M1654" s="1520">
        <v>0</v>
      </c>
      <c r="N1654" s="1520">
        <v>0</v>
      </c>
      <c r="O1654" s="1521">
        <v>0</v>
      </c>
    </row>
    <row r="1655" spans="3:15" ht="13.5">
      <c r="C1655" s="1526" t="s">
        <v>5613</v>
      </c>
      <c r="D1655" s="1523">
        <v>0</v>
      </c>
      <c r="E1655" s="1523">
        <v>0</v>
      </c>
      <c r="F1655" s="1524">
        <v>0</v>
      </c>
      <c r="G1655" s="1537" t="s">
        <v>5613</v>
      </c>
      <c r="H1655" s="1521">
        <v>1</v>
      </c>
      <c r="I1655" s="1521">
        <v>0</v>
      </c>
      <c r="J1655" s="1538">
        <v>1</v>
      </c>
      <c r="K1655" s="1525"/>
      <c r="L1655" s="1519">
        <v>13139001102</v>
      </c>
      <c r="M1655" s="1520">
        <v>1</v>
      </c>
      <c r="N1655" s="1520">
        <v>0</v>
      </c>
      <c r="O1655" s="1521">
        <v>1</v>
      </c>
    </row>
    <row r="1656" spans="3:15" ht="13.5">
      <c r="C1656" s="1526" t="s">
        <v>5614</v>
      </c>
      <c r="D1656" s="1523">
        <v>0</v>
      </c>
      <c r="E1656" s="1523">
        <v>0</v>
      </c>
      <c r="F1656" s="1524">
        <v>0</v>
      </c>
      <c r="G1656" s="1537" t="s">
        <v>5614</v>
      </c>
      <c r="H1656" s="1521">
        <v>0</v>
      </c>
      <c r="I1656" s="1521">
        <v>0</v>
      </c>
      <c r="J1656" s="1538">
        <v>0</v>
      </c>
      <c r="K1656" s="1525"/>
      <c r="L1656" s="1519">
        <v>13139001201</v>
      </c>
      <c r="M1656" s="1520">
        <v>0</v>
      </c>
      <c r="N1656" s="1520">
        <v>0</v>
      </c>
      <c r="O1656" s="1521">
        <v>0</v>
      </c>
    </row>
    <row r="1657" spans="3:15" ht="13.5">
      <c r="C1657" s="1526" t="s">
        <v>5615</v>
      </c>
      <c r="D1657" s="1523">
        <v>1</v>
      </c>
      <c r="E1657" s="1523">
        <v>0</v>
      </c>
      <c r="F1657" s="1524">
        <v>1</v>
      </c>
      <c r="G1657" s="1537" t="s">
        <v>5615</v>
      </c>
      <c r="H1657" s="1521">
        <v>0</v>
      </c>
      <c r="I1657" s="1521">
        <v>0</v>
      </c>
      <c r="J1657" s="1538">
        <v>0</v>
      </c>
      <c r="K1657" s="1525"/>
      <c r="L1657" s="1519">
        <v>13139001202</v>
      </c>
      <c r="M1657" s="1520">
        <v>1</v>
      </c>
      <c r="N1657" s="1520">
        <v>0</v>
      </c>
      <c r="O1657" s="1521">
        <v>1</v>
      </c>
    </row>
    <row r="1658" spans="3:15" ht="13.5">
      <c r="C1658" s="1526" t="s">
        <v>5616</v>
      </c>
      <c r="D1658" s="1523">
        <v>1</v>
      </c>
      <c r="E1658" s="1523">
        <v>1</v>
      </c>
      <c r="F1658" s="1524">
        <v>2</v>
      </c>
      <c r="G1658" s="1537" t="s">
        <v>5616</v>
      </c>
      <c r="H1658" s="1521">
        <v>1</v>
      </c>
      <c r="I1658" s="1521">
        <v>0</v>
      </c>
      <c r="J1658" s="1538">
        <v>1</v>
      </c>
      <c r="K1658" s="1525"/>
      <c r="L1658" s="1519">
        <v>13139001301</v>
      </c>
      <c r="M1658" s="1520">
        <v>1</v>
      </c>
      <c r="N1658" s="1520">
        <v>1</v>
      </c>
      <c r="O1658" s="1521">
        <v>2</v>
      </c>
    </row>
    <row r="1659" spans="3:15" ht="13.5">
      <c r="C1659" s="1526" t="s">
        <v>5617</v>
      </c>
      <c r="D1659" s="1523">
        <v>1</v>
      </c>
      <c r="E1659" s="1523">
        <v>1</v>
      </c>
      <c r="F1659" s="1524">
        <v>2</v>
      </c>
      <c r="G1659" s="1537" t="s">
        <v>5617</v>
      </c>
      <c r="H1659" s="1521">
        <v>1</v>
      </c>
      <c r="I1659" s="1521">
        <v>1</v>
      </c>
      <c r="J1659" s="1538">
        <v>2</v>
      </c>
      <c r="K1659" s="1525"/>
      <c r="L1659" s="1519">
        <v>13139001302</v>
      </c>
      <c r="M1659" s="1520">
        <v>1</v>
      </c>
      <c r="N1659" s="1520">
        <v>1</v>
      </c>
      <c r="O1659" s="1521">
        <v>2</v>
      </c>
    </row>
    <row r="1660" spans="3:15" ht="13.5">
      <c r="C1660" s="1526" t="s">
        <v>5618</v>
      </c>
      <c r="D1660" s="1523">
        <v>1</v>
      </c>
      <c r="E1660" s="1523">
        <v>1</v>
      </c>
      <c r="F1660" s="1524">
        <v>2</v>
      </c>
      <c r="G1660" s="1537" t="s">
        <v>5618</v>
      </c>
      <c r="H1660" s="1521">
        <v>1</v>
      </c>
      <c r="I1660" s="1521">
        <v>0</v>
      </c>
      <c r="J1660" s="1538">
        <v>1</v>
      </c>
      <c r="K1660" s="1525"/>
      <c r="L1660" s="1519">
        <v>13139001402</v>
      </c>
      <c r="M1660" s="1520">
        <v>1</v>
      </c>
      <c r="N1660" s="1520">
        <v>1</v>
      </c>
      <c r="O1660" s="1521">
        <v>2</v>
      </c>
    </row>
    <row r="1661" spans="3:15" ht="13.5">
      <c r="C1661" s="1526" t="s">
        <v>5619</v>
      </c>
      <c r="D1661" s="1523">
        <v>0</v>
      </c>
      <c r="E1661" s="1523">
        <v>0</v>
      </c>
      <c r="F1661" s="1524">
        <v>0</v>
      </c>
      <c r="G1661" s="1537" t="s">
        <v>5619</v>
      </c>
      <c r="H1661" s="1521">
        <v>0</v>
      </c>
      <c r="I1661" s="1521">
        <v>0</v>
      </c>
      <c r="J1661" s="1538">
        <v>0</v>
      </c>
      <c r="K1661" s="1525"/>
      <c r="L1661" s="1519">
        <v>13139001403</v>
      </c>
      <c r="M1661" s="1520">
        <v>0</v>
      </c>
      <c r="N1661" s="1520">
        <v>0</v>
      </c>
      <c r="O1661" s="1521">
        <v>0</v>
      </c>
    </row>
    <row r="1662" spans="3:15" ht="13.5">
      <c r="C1662" s="1526" t="s">
        <v>5620</v>
      </c>
      <c r="D1662" s="1523">
        <v>1</v>
      </c>
      <c r="E1662" s="1523">
        <v>0</v>
      </c>
      <c r="F1662" s="1524">
        <v>1</v>
      </c>
      <c r="G1662" s="1537" t="s">
        <v>5620</v>
      </c>
      <c r="H1662" s="1521">
        <v>1</v>
      </c>
      <c r="I1662" s="1521">
        <v>0</v>
      </c>
      <c r="J1662" s="1538">
        <v>1</v>
      </c>
      <c r="K1662" s="1525"/>
      <c r="L1662" s="1519">
        <v>13139001404</v>
      </c>
      <c r="M1662" s="1520">
        <v>1</v>
      </c>
      <c r="N1662" s="1520">
        <v>0</v>
      </c>
      <c r="O1662" s="1521">
        <v>1</v>
      </c>
    </row>
    <row r="1663" spans="3:15" ht="13.5">
      <c r="C1663" s="1526" t="s">
        <v>5621</v>
      </c>
      <c r="D1663" s="1523">
        <v>1</v>
      </c>
      <c r="E1663" s="1523">
        <v>1</v>
      </c>
      <c r="F1663" s="1524">
        <v>2</v>
      </c>
      <c r="G1663" s="1537" t="s">
        <v>5621</v>
      </c>
      <c r="H1663" s="1521">
        <v>1</v>
      </c>
      <c r="I1663" s="1521">
        <v>1</v>
      </c>
      <c r="J1663" s="1538">
        <v>2</v>
      </c>
      <c r="K1663" s="1525"/>
      <c r="L1663" s="1519">
        <v>13139001501</v>
      </c>
      <c r="M1663" s="1520">
        <v>1</v>
      </c>
      <c r="N1663" s="1520">
        <v>1</v>
      </c>
      <c r="O1663" s="1521">
        <v>2</v>
      </c>
    </row>
    <row r="1664" spans="3:15" ht="13.5">
      <c r="C1664" s="1526" t="s">
        <v>5622</v>
      </c>
      <c r="D1664" s="1523">
        <v>1</v>
      </c>
      <c r="E1664" s="1523">
        <v>1</v>
      </c>
      <c r="F1664" s="1524">
        <v>2</v>
      </c>
      <c r="G1664" s="1537" t="s">
        <v>5622</v>
      </c>
      <c r="H1664" s="1521">
        <v>1</v>
      </c>
      <c r="I1664" s="1521">
        <v>1</v>
      </c>
      <c r="J1664" s="1538">
        <v>2</v>
      </c>
      <c r="K1664" s="1525"/>
      <c r="L1664" s="1519">
        <v>13139001502</v>
      </c>
      <c r="M1664" s="1520">
        <v>1</v>
      </c>
      <c r="N1664" s="1520">
        <v>1</v>
      </c>
      <c r="O1664" s="1521">
        <v>2</v>
      </c>
    </row>
    <row r="1665" spans="3:15" ht="13.5">
      <c r="C1665" s="1526" t="s">
        <v>5623</v>
      </c>
      <c r="D1665" s="1523">
        <v>1</v>
      </c>
      <c r="E1665" s="1523">
        <v>1</v>
      </c>
      <c r="F1665" s="1524">
        <v>2</v>
      </c>
      <c r="G1665" s="1537" t="s">
        <v>5623</v>
      </c>
      <c r="H1665" s="1521">
        <v>1</v>
      </c>
      <c r="I1665" s="1521">
        <v>0</v>
      </c>
      <c r="J1665" s="1538">
        <v>1</v>
      </c>
      <c r="K1665" s="1525"/>
      <c r="L1665" s="1519">
        <v>13139001603</v>
      </c>
      <c r="M1665" s="1520">
        <v>1</v>
      </c>
      <c r="N1665" s="1520">
        <v>1</v>
      </c>
      <c r="O1665" s="1521">
        <v>2</v>
      </c>
    </row>
    <row r="1666" spans="3:15" ht="13.5">
      <c r="C1666" s="1526" t="s">
        <v>5624</v>
      </c>
      <c r="D1666" s="1523">
        <v>1</v>
      </c>
      <c r="E1666" s="1523">
        <v>1</v>
      </c>
      <c r="F1666" s="1524">
        <v>2</v>
      </c>
      <c r="G1666" s="1537" t="s">
        <v>5624</v>
      </c>
      <c r="H1666" s="1521">
        <v>1</v>
      </c>
      <c r="I1666" s="1521">
        <v>1</v>
      </c>
      <c r="J1666" s="1538">
        <v>2</v>
      </c>
      <c r="K1666" s="1525"/>
      <c r="L1666" s="1519">
        <v>13139001604</v>
      </c>
      <c r="M1666" s="1520">
        <v>1</v>
      </c>
      <c r="N1666" s="1520">
        <v>1</v>
      </c>
      <c r="O1666" s="1521">
        <v>2</v>
      </c>
    </row>
    <row r="1667" spans="3:15" ht="13.5">
      <c r="C1667" s="1526" t="s">
        <v>5625</v>
      </c>
      <c r="D1667" s="1523">
        <v>1</v>
      </c>
      <c r="E1667" s="1523">
        <v>1</v>
      </c>
      <c r="F1667" s="1524">
        <v>2</v>
      </c>
      <c r="G1667" s="1537" t="s">
        <v>5625</v>
      </c>
      <c r="H1667" s="1521">
        <v>1</v>
      </c>
      <c r="I1667" s="1521" t="s">
        <v>4096</v>
      </c>
      <c r="J1667" s="1538">
        <v>1</v>
      </c>
      <c r="K1667" s="1525"/>
      <c r="L1667" s="1519">
        <v>13139001605</v>
      </c>
      <c r="M1667" s="1520">
        <v>1</v>
      </c>
      <c r="N1667" s="1520">
        <v>1</v>
      </c>
      <c r="O1667" s="1521">
        <v>2</v>
      </c>
    </row>
    <row r="1668" spans="3:15" ht="13.5">
      <c r="C1668" s="1526" t="s">
        <v>5626</v>
      </c>
      <c r="D1668" s="1523">
        <v>1</v>
      </c>
      <c r="E1668" s="1523">
        <v>1</v>
      </c>
      <c r="F1668" s="1524">
        <v>2</v>
      </c>
      <c r="G1668" s="1537" t="s">
        <v>5626</v>
      </c>
      <c r="H1668" s="1521">
        <v>1</v>
      </c>
      <c r="I1668" s="1521">
        <v>1</v>
      </c>
      <c r="J1668" s="1538">
        <v>2</v>
      </c>
      <c r="K1668" s="1525"/>
      <c r="L1668" s="1519">
        <v>13139001606</v>
      </c>
      <c r="M1668" s="1520">
        <v>1</v>
      </c>
      <c r="N1668" s="1520">
        <v>1</v>
      </c>
      <c r="O1668" s="1521">
        <v>2</v>
      </c>
    </row>
    <row r="1669" spans="3:15" ht="13.5">
      <c r="C1669" s="1526" t="s">
        <v>5627</v>
      </c>
      <c r="D1669" s="1523">
        <v>0</v>
      </c>
      <c r="E1669" s="1523">
        <v>1</v>
      </c>
      <c r="F1669" s="1524">
        <v>1</v>
      </c>
      <c r="G1669" s="1537" t="s">
        <v>5627</v>
      </c>
      <c r="H1669" s="1521">
        <v>1</v>
      </c>
      <c r="I1669" s="1521">
        <v>1</v>
      </c>
      <c r="J1669" s="1538">
        <v>2</v>
      </c>
      <c r="K1669" s="1525"/>
      <c r="L1669" s="1519">
        <v>13139001607</v>
      </c>
      <c r="M1669" s="1520">
        <v>1</v>
      </c>
      <c r="N1669" s="1520">
        <v>1</v>
      </c>
      <c r="O1669" s="1521">
        <v>2</v>
      </c>
    </row>
    <row r="1670" spans="3:15" ht="13.5">
      <c r="C1670" s="1526" t="s">
        <v>5628</v>
      </c>
      <c r="D1670" s="1523">
        <v>1</v>
      </c>
      <c r="E1670" s="1523">
        <v>1</v>
      </c>
      <c r="F1670" s="1524">
        <v>2</v>
      </c>
      <c r="G1670" s="1537" t="s">
        <v>5628</v>
      </c>
      <c r="H1670" s="1521">
        <v>1</v>
      </c>
      <c r="I1670" s="1521">
        <v>1</v>
      </c>
      <c r="J1670" s="1538">
        <v>2</v>
      </c>
      <c r="K1670" s="1525"/>
      <c r="L1670" s="1519">
        <v>13139001608</v>
      </c>
      <c r="M1670" s="1520">
        <v>1</v>
      </c>
      <c r="N1670" s="1520">
        <v>1</v>
      </c>
      <c r="O1670" s="1521">
        <v>2</v>
      </c>
    </row>
    <row r="1671" spans="3:15" ht="13.5">
      <c r="C1671" s="1526" t="s">
        <v>5629</v>
      </c>
      <c r="D1671" s="1523">
        <v>0</v>
      </c>
      <c r="E1671" s="1523">
        <v>0</v>
      </c>
      <c r="F1671" s="1524">
        <v>0</v>
      </c>
      <c r="G1671" s="1537" t="s">
        <v>5629</v>
      </c>
      <c r="H1671" s="1521">
        <v>0</v>
      </c>
      <c r="I1671" s="1521">
        <v>1</v>
      </c>
      <c r="J1671" s="1538">
        <v>1</v>
      </c>
      <c r="K1671" s="1525"/>
      <c r="L1671" s="1519">
        <v>13141480300</v>
      </c>
      <c r="M1671" s="1520">
        <v>0</v>
      </c>
      <c r="N1671" s="1520">
        <v>1</v>
      </c>
      <c r="O1671" s="1521">
        <v>1</v>
      </c>
    </row>
    <row r="1672" spans="3:15" ht="13.5">
      <c r="C1672" s="1526" t="s">
        <v>5630</v>
      </c>
      <c r="D1672" s="1523">
        <v>0</v>
      </c>
      <c r="E1672" s="1523">
        <v>0</v>
      </c>
      <c r="F1672" s="1524">
        <v>0</v>
      </c>
      <c r="G1672" s="1537" t="s">
        <v>5630</v>
      </c>
      <c r="H1672" s="1521">
        <v>0</v>
      </c>
      <c r="I1672" s="1521">
        <v>1</v>
      </c>
      <c r="J1672" s="1538">
        <v>1</v>
      </c>
      <c r="K1672" s="1525"/>
      <c r="L1672" s="1519">
        <v>13141480400</v>
      </c>
      <c r="M1672" s="1520">
        <v>0</v>
      </c>
      <c r="N1672" s="1520">
        <v>1</v>
      </c>
      <c r="O1672" s="1521">
        <v>1</v>
      </c>
    </row>
    <row r="1673" spans="3:15" ht="13.5">
      <c r="C1673" s="1526" t="s">
        <v>5631</v>
      </c>
      <c r="D1673" s="1523">
        <v>0</v>
      </c>
      <c r="E1673" s="1523">
        <v>0</v>
      </c>
      <c r="F1673" s="1524">
        <v>0</v>
      </c>
      <c r="G1673" s="1537" t="s">
        <v>5631</v>
      </c>
      <c r="H1673" s="1521">
        <v>0</v>
      </c>
      <c r="I1673" s="1521">
        <v>0</v>
      </c>
      <c r="J1673" s="1538">
        <v>0</v>
      </c>
      <c r="K1673" s="1525"/>
      <c r="L1673" s="1519">
        <v>13143010100</v>
      </c>
      <c r="M1673" s="1520">
        <v>0</v>
      </c>
      <c r="N1673" s="1520">
        <v>0</v>
      </c>
      <c r="O1673" s="1521">
        <v>0</v>
      </c>
    </row>
    <row r="1674" spans="3:15" ht="13.5">
      <c r="C1674" s="1526" t="s">
        <v>5632</v>
      </c>
      <c r="D1674" s="1523">
        <v>0</v>
      </c>
      <c r="E1674" s="1523">
        <v>1</v>
      </c>
      <c r="F1674" s="1524">
        <v>1</v>
      </c>
      <c r="G1674" s="1537" t="s">
        <v>5632</v>
      </c>
      <c r="H1674" s="1521">
        <v>0</v>
      </c>
      <c r="I1674" s="1521">
        <v>0</v>
      </c>
      <c r="J1674" s="1538">
        <v>0</v>
      </c>
      <c r="K1674" s="1525"/>
      <c r="L1674" s="1519">
        <v>13143010200</v>
      </c>
      <c r="M1674" s="1520">
        <v>0</v>
      </c>
      <c r="N1674" s="1520">
        <v>1</v>
      </c>
      <c r="O1674" s="1521">
        <v>1</v>
      </c>
    </row>
    <row r="1675" spans="3:15" ht="13.5">
      <c r="C1675" s="1526" t="s">
        <v>5633</v>
      </c>
      <c r="D1675" s="1523">
        <v>0</v>
      </c>
      <c r="E1675" s="1523">
        <v>0</v>
      </c>
      <c r="F1675" s="1524">
        <v>0</v>
      </c>
      <c r="G1675" s="1537" t="s">
        <v>5633</v>
      </c>
      <c r="H1675" s="1521">
        <v>0</v>
      </c>
      <c r="I1675" s="1521">
        <v>0</v>
      </c>
      <c r="J1675" s="1538">
        <v>0</v>
      </c>
      <c r="K1675" s="1525"/>
      <c r="L1675" s="1519">
        <v>13143010301</v>
      </c>
      <c r="M1675" s="1520">
        <v>0</v>
      </c>
      <c r="N1675" s="1520">
        <v>0</v>
      </c>
      <c r="O1675" s="1521">
        <v>0</v>
      </c>
    </row>
    <row r="1676" spans="3:15" ht="13.5">
      <c r="C1676" s="1526" t="s">
        <v>5634</v>
      </c>
      <c r="D1676" s="1523">
        <v>0</v>
      </c>
      <c r="E1676" s="1523">
        <v>0</v>
      </c>
      <c r="F1676" s="1524">
        <v>0</v>
      </c>
      <c r="G1676" s="1537" t="s">
        <v>5634</v>
      </c>
      <c r="H1676" s="1521">
        <v>1</v>
      </c>
      <c r="I1676" s="1521">
        <v>0</v>
      </c>
      <c r="J1676" s="1538">
        <v>1</v>
      </c>
      <c r="K1676" s="1525"/>
      <c r="L1676" s="1519">
        <v>13143010302</v>
      </c>
      <c r="M1676" s="1520">
        <v>1</v>
      </c>
      <c r="N1676" s="1520">
        <v>0</v>
      </c>
      <c r="O1676" s="1521">
        <v>1</v>
      </c>
    </row>
    <row r="1677" spans="3:15" ht="13.5">
      <c r="C1677" s="1526" t="s">
        <v>5635</v>
      </c>
      <c r="D1677" s="1523">
        <v>0</v>
      </c>
      <c r="E1677" s="1523">
        <v>0</v>
      </c>
      <c r="F1677" s="1524">
        <v>0</v>
      </c>
      <c r="G1677" s="1537" t="s">
        <v>5635</v>
      </c>
      <c r="H1677" s="1521">
        <v>0</v>
      </c>
      <c r="I1677" s="1521">
        <v>0</v>
      </c>
      <c r="J1677" s="1538">
        <v>0</v>
      </c>
      <c r="K1677" s="1525"/>
      <c r="L1677" s="1519">
        <v>13143010400</v>
      </c>
      <c r="M1677" s="1520">
        <v>0</v>
      </c>
      <c r="N1677" s="1520">
        <v>0</v>
      </c>
      <c r="O1677" s="1521">
        <v>0</v>
      </c>
    </row>
    <row r="1678" spans="3:15" ht="13.5">
      <c r="C1678" s="1526" t="s">
        <v>5636</v>
      </c>
      <c r="D1678" s="1523">
        <v>0</v>
      </c>
      <c r="E1678" s="1523">
        <v>0</v>
      </c>
      <c r="F1678" s="1524">
        <v>0</v>
      </c>
      <c r="G1678" s="1537" t="s">
        <v>5636</v>
      </c>
      <c r="H1678" s="1521">
        <v>0</v>
      </c>
      <c r="I1678" s="1521">
        <v>1</v>
      </c>
      <c r="J1678" s="1538">
        <v>1</v>
      </c>
      <c r="K1678" s="1525"/>
      <c r="L1678" s="1519">
        <v>13145120198</v>
      </c>
      <c r="M1678" s="1520">
        <v>0</v>
      </c>
      <c r="N1678" s="1520">
        <v>1</v>
      </c>
      <c r="O1678" s="1521">
        <v>1</v>
      </c>
    </row>
    <row r="1679" spans="3:15" ht="13.5">
      <c r="C1679" s="1526" t="s">
        <v>5637</v>
      </c>
      <c r="D1679" s="1523">
        <v>0</v>
      </c>
      <c r="E1679" s="1523">
        <v>1</v>
      </c>
      <c r="F1679" s="1524">
        <v>1</v>
      </c>
      <c r="G1679" s="1537" t="s">
        <v>5637</v>
      </c>
      <c r="H1679" s="1521">
        <v>0</v>
      </c>
      <c r="I1679" s="1521" t="s">
        <v>4096</v>
      </c>
      <c r="J1679" s="1538">
        <v>0</v>
      </c>
      <c r="K1679" s="1525"/>
      <c r="L1679" s="1519">
        <v>13145120200</v>
      </c>
      <c r="M1679" s="1520">
        <v>0</v>
      </c>
      <c r="N1679" s="1520">
        <v>1</v>
      </c>
      <c r="O1679" s="1521">
        <v>1</v>
      </c>
    </row>
    <row r="1680" spans="3:15" ht="13.5">
      <c r="C1680" s="1526" t="s">
        <v>5638</v>
      </c>
      <c r="D1680" s="1523">
        <v>1</v>
      </c>
      <c r="E1680" s="1523">
        <v>1</v>
      </c>
      <c r="F1680" s="1524">
        <v>2</v>
      </c>
      <c r="G1680" s="1537" t="s">
        <v>5638</v>
      </c>
      <c r="H1680" s="1521">
        <v>1</v>
      </c>
      <c r="I1680" s="1521">
        <v>1</v>
      </c>
      <c r="J1680" s="1538">
        <v>2</v>
      </c>
      <c r="K1680" s="1525"/>
      <c r="L1680" s="1519">
        <v>13145120300</v>
      </c>
      <c r="M1680" s="1520">
        <v>1</v>
      </c>
      <c r="N1680" s="1520">
        <v>1</v>
      </c>
      <c r="O1680" s="1521">
        <v>2</v>
      </c>
    </row>
    <row r="1681" spans="3:15" ht="13.5">
      <c r="C1681" s="1526" t="s">
        <v>5639</v>
      </c>
      <c r="D1681" s="1523">
        <v>1</v>
      </c>
      <c r="E1681" s="1523">
        <v>1</v>
      </c>
      <c r="F1681" s="1524">
        <v>2</v>
      </c>
      <c r="G1681" s="1537" t="s">
        <v>5639</v>
      </c>
      <c r="H1681" s="1521">
        <v>1</v>
      </c>
      <c r="I1681" s="1521">
        <v>1</v>
      </c>
      <c r="J1681" s="1538">
        <v>2</v>
      </c>
      <c r="K1681" s="1525"/>
      <c r="L1681" s="1519">
        <v>13145120401</v>
      </c>
      <c r="M1681" s="1520">
        <v>1</v>
      </c>
      <c r="N1681" s="1520">
        <v>1</v>
      </c>
      <c r="O1681" s="1521">
        <v>2</v>
      </c>
    </row>
    <row r="1682" spans="3:15" ht="13.5">
      <c r="C1682" s="1526" t="s">
        <v>5640</v>
      </c>
      <c r="D1682" s="1523">
        <v>1</v>
      </c>
      <c r="E1682" s="1523">
        <v>1</v>
      </c>
      <c r="F1682" s="1524">
        <v>2</v>
      </c>
      <c r="G1682" s="1537" t="s">
        <v>5640</v>
      </c>
      <c r="H1682" s="1521">
        <v>0</v>
      </c>
      <c r="I1682" s="1521">
        <v>1</v>
      </c>
      <c r="J1682" s="1538">
        <v>1</v>
      </c>
      <c r="K1682" s="1525"/>
      <c r="L1682" s="1519">
        <v>13145120402</v>
      </c>
      <c r="M1682" s="1520">
        <v>1</v>
      </c>
      <c r="N1682" s="1520">
        <v>1</v>
      </c>
      <c r="O1682" s="1521">
        <v>2</v>
      </c>
    </row>
    <row r="1683" spans="3:15" ht="13.5">
      <c r="C1683" s="1526" t="s">
        <v>5641</v>
      </c>
      <c r="D1683" s="1523">
        <v>0</v>
      </c>
      <c r="E1683" s="1523">
        <v>1</v>
      </c>
      <c r="F1683" s="1524">
        <v>1</v>
      </c>
      <c r="G1683" s="1537" t="s">
        <v>5641</v>
      </c>
      <c r="H1683" s="1521">
        <v>0</v>
      </c>
      <c r="I1683" s="1521">
        <v>1</v>
      </c>
      <c r="J1683" s="1538">
        <v>1</v>
      </c>
      <c r="K1683" s="1525"/>
      <c r="L1683" s="1519">
        <v>13147960100</v>
      </c>
      <c r="M1683" s="1520">
        <v>0</v>
      </c>
      <c r="N1683" s="1520">
        <v>1</v>
      </c>
      <c r="O1683" s="1521">
        <v>1</v>
      </c>
    </row>
    <row r="1684" spans="3:15" ht="13.5">
      <c r="C1684" s="1526" t="s">
        <v>5642</v>
      </c>
      <c r="D1684" s="1523">
        <v>1</v>
      </c>
      <c r="E1684" s="1523">
        <v>1</v>
      </c>
      <c r="F1684" s="1524">
        <v>2</v>
      </c>
      <c r="G1684" s="1537" t="s">
        <v>5642</v>
      </c>
      <c r="H1684" s="1521">
        <v>0</v>
      </c>
      <c r="I1684" s="1521">
        <v>1</v>
      </c>
      <c r="J1684" s="1538">
        <v>1</v>
      </c>
      <c r="K1684" s="1525"/>
      <c r="L1684" s="1519">
        <v>13147960200</v>
      </c>
      <c r="M1684" s="1520">
        <v>1</v>
      </c>
      <c r="N1684" s="1520">
        <v>1</v>
      </c>
      <c r="O1684" s="1521">
        <v>2</v>
      </c>
    </row>
    <row r="1685" spans="3:15" ht="13.5">
      <c r="C1685" s="1526" t="s">
        <v>5643</v>
      </c>
      <c r="D1685" s="1523">
        <v>0</v>
      </c>
      <c r="E1685" s="1523">
        <v>0</v>
      </c>
      <c r="F1685" s="1524">
        <v>0</v>
      </c>
      <c r="G1685" s="1537" t="s">
        <v>5643</v>
      </c>
      <c r="H1685" s="1521">
        <v>0</v>
      </c>
      <c r="I1685" s="1521">
        <v>0</v>
      </c>
      <c r="J1685" s="1538">
        <v>0</v>
      </c>
      <c r="K1685" s="1525"/>
      <c r="L1685" s="1519">
        <v>13147960300</v>
      </c>
      <c r="M1685" s="1520">
        <v>0</v>
      </c>
      <c r="N1685" s="1520">
        <v>0</v>
      </c>
      <c r="O1685" s="1521">
        <v>0</v>
      </c>
    </row>
    <row r="1686" spans="3:15" ht="13.5">
      <c r="C1686" s="1526" t="s">
        <v>5644</v>
      </c>
      <c r="D1686" s="1523">
        <v>0</v>
      </c>
      <c r="E1686" s="1523">
        <v>0</v>
      </c>
      <c r="F1686" s="1524">
        <v>0</v>
      </c>
      <c r="G1686" s="1537" t="s">
        <v>5644</v>
      </c>
      <c r="H1686" s="1521">
        <v>0</v>
      </c>
      <c r="I1686" s="1521">
        <v>0</v>
      </c>
      <c r="J1686" s="1538">
        <v>0</v>
      </c>
      <c r="K1686" s="1525"/>
      <c r="L1686" s="1519">
        <v>13147960400</v>
      </c>
      <c r="M1686" s="1520">
        <v>0</v>
      </c>
      <c r="N1686" s="1520">
        <v>0</v>
      </c>
      <c r="O1686" s="1521">
        <v>0</v>
      </c>
    </row>
    <row r="1687" spans="3:15" ht="13.5">
      <c r="C1687" s="1526" t="s">
        <v>5645</v>
      </c>
      <c r="D1687" s="1523">
        <v>0</v>
      </c>
      <c r="E1687" s="1523">
        <v>0</v>
      </c>
      <c r="F1687" s="1524">
        <v>0</v>
      </c>
      <c r="G1687" s="1537" t="s">
        <v>5645</v>
      </c>
      <c r="H1687" s="1521">
        <v>0</v>
      </c>
      <c r="I1687" s="1521">
        <v>1</v>
      </c>
      <c r="J1687" s="1538">
        <v>1</v>
      </c>
      <c r="K1687" s="1525"/>
      <c r="L1687" s="1519">
        <v>13147960500</v>
      </c>
      <c r="M1687" s="1520">
        <v>0</v>
      </c>
      <c r="N1687" s="1520">
        <v>1</v>
      </c>
      <c r="O1687" s="1521">
        <v>1</v>
      </c>
    </row>
    <row r="1688" spans="3:15" ht="13.5">
      <c r="C1688" s="1526" t="s">
        <v>5646</v>
      </c>
      <c r="D1688" s="1523">
        <v>0</v>
      </c>
      <c r="E1688" s="1523">
        <v>0</v>
      </c>
      <c r="F1688" s="1524">
        <v>0</v>
      </c>
      <c r="G1688" s="1537" t="s">
        <v>5646</v>
      </c>
      <c r="H1688" s="1521">
        <v>0</v>
      </c>
      <c r="I1688" s="1521">
        <v>0</v>
      </c>
      <c r="J1688" s="1538">
        <v>0</v>
      </c>
      <c r="K1688" s="1525"/>
      <c r="L1688" s="1519">
        <v>13149970100</v>
      </c>
      <c r="M1688" s="1520">
        <v>0</v>
      </c>
      <c r="N1688" s="1520">
        <v>0</v>
      </c>
      <c r="O1688" s="1521">
        <v>0</v>
      </c>
    </row>
    <row r="1689" spans="3:15" ht="13.5">
      <c r="C1689" s="1526" t="s">
        <v>5647</v>
      </c>
      <c r="D1689" s="1523">
        <v>0</v>
      </c>
      <c r="E1689" s="1523">
        <v>1</v>
      </c>
      <c r="F1689" s="1524">
        <v>1</v>
      </c>
      <c r="G1689" s="1537" t="s">
        <v>5647</v>
      </c>
      <c r="H1689" s="1521">
        <v>0</v>
      </c>
      <c r="I1689" s="1521">
        <v>1</v>
      </c>
      <c r="J1689" s="1538">
        <v>1</v>
      </c>
      <c r="K1689" s="1525"/>
      <c r="L1689" s="1519">
        <v>13149970200</v>
      </c>
      <c r="M1689" s="1520">
        <v>0</v>
      </c>
      <c r="N1689" s="1520">
        <v>1</v>
      </c>
      <c r="O1689" s="1521">
        <v>1</v>
      </c>
    </row>
    <row r="1690" spans="3:15" ht="13.5">
      <c r="C1690" s="1526" t="s">
        <v>5648</v>
      </c>
      <c r="D1690" s="1523">
        <v>0</v>
      </c>
      <c r="E1690" s="1523">
        <v>0</v>
      </c>
      <c r="F1690" s="1524">
        <v>0</v>
      </c>
      <c r="G1690" s="1537" t="s">
        <v>5648</v>
      </c>
      <c r="H1690" s="1521">
        <v>1</v>
      </c>
      <c r="I1690" s="1521">
        <v>0</v>
      </c>
      <c r="J1690" s="1538">
        <v>1</v>
      </c>
      <c r="K1690" s="1525"/>
      <c r="L1690" s="1519">
        <v>13149970300</v>
      </c>
      <c r="M1690" s="1520">
        <v>1</v>
      </c>
      <c r="N1690" s="1520">
        <v>0</v>
      </c>
      <c r="O1690" s="1521">
        <v>1</v>
      </c>
    </row>
    <row r="1691" spans="3:15" ht="13.5">
      <c r="C1691" s="1526" t="s">
        <v>5649</v>
      </c>
      <c r="D1691" s="1523">
        <v>1</v>
      </c>
      <c r="E1691" s="1523">
        <v>1</v>
      </c>
      <c r="F1691" s="1524">
        <v>2</v>
      </c>
      <c r="G1691" s="1537" t="s">
        <v>5649</v>
      </c>
      <c r="H1691" s="1521">
        <v>1</v>
      </c>
      <c r="I1691" s="1521">
        <v>1</v>
      </c>
      <c r="J1691" s="1538">
        <v>2</v>
      </c>
      <c r="K1691" s="1525"/>
      <c r="L1691" s="1519">
        <v>13151070104</v>
      </c>
      <c r="M1691" s="1520">
        <v>1</v>
      </c>
      <c r="N1691" s="1520">
        <v>1</v>
      </c>
      <c r="O1691" s="1521">
        <v>2</v>
      </c>
    </row>
    <row r="1692" spans="3:15" ht="13.5">
      <c r="C1692" s="1526" t="s">
        <v>5650</v>
      </c>
      <c r="D1692" s="1523">
        <v>0</v>
      </c>
      <c r="E1692" s="1523">
        <v>0</v>
      </c>
      <c r="F1692" s="1524">
        <v>0</v>
      </c>
      <c r="G1692" s="1537" t="s">
        <v>5650</v>
      </c>
      <c r="H1692" s="1521">
        <v>0</v>
      </c>
      <c r="I1692" s="1521">
        <v>0</v>
      </c>
      <c r="J1692" s="1538">
        <v>0</v>
      </c>
      <c r="K1692" s="1525"/>
      <c r="L1692" s="1519">
        <v>13151070106</v>
      </c>
      <c r="M1692" s="1520">
        <v>0</v>
      </c>
      <c r="N1692" s="1520">
        <v>0</v>
      </c>
      <c r="O1692" s="1521">
        <v>0</v>
      </c>
    </row>
    <row r="1693" spans="3:15" ht="13.5">
      <c r="C1693" s="1526" t="s">
        <v>5651</v>
      </c>
      <c r="D1693" s="1523">
        <v>1</v>
      </c>
      <c r="E1693" s="1523">
        <v>1</v>
      </c>
      <c r="F1693" s="1524">
        <v>2</v>
      </c>
      <c r="G1693" s="1537" t="s">
        <v>5651</v>
      </c>
      <c r="H1693" s="1521">
        <v>1</v>
      </c>
      <c r="I1693" s="1521">
        <v>1</v>
      </c>
      <c r="J1693" s="1538">
        <v>2</v>
      </c>
      <c r="K1693" s="1525"/>
      <c r="L1693" s="1519">
        <v>13151070107</v>
      </c>
      <c r="M1693" s="1520">
        <v>1</v>
      </c>
      <c r="N1693" s="1520">
        <v>1</v>
      </c>
      <c r="O1693" s="1521">
        <v>2</v>
      </c>
    </row>
    <row r="1694" spans="3:15" ht="13.5">
      <c r="C1694" s="1526" t="s">
        <v>5652</v>
      </c>
      <c r="D1694" s="1523">
        <v>1</v>
      </c>
      <c r="E1694" s="1523">
        <v>1</v>
      </c>
      <c r="F1694" s="1524">
        <v>2</v>
      </c>
      <c r="G1694" s="1537" t="s">
        <v>5652</v>
      </c>
      <c r="H1694" s="1521">
        <v>1</v>
      </c>
      <c r="I1694" s="1521">
        <v>1</v>
      </c>
      <c r="J1694" s="1538">
        <v>2</v>
      </c>
      <c r="K1694" s="1525"/>
      <c r="L1694" s="1519">
        <v>13151070108</v>
      </c>
      <c r="M1694" s="1520">
        <v>1</v>
      </c>
      <c r="N1694" s="1520">
        <v>1</v>
      </c>
      <c r="O1694" s="1521">
        <v>2</v>
      </c>
    </row>
    <row r="1695" spans="3:15" ht="13.5">
      <c r="C1695" s="1526" t="s">
        <v>5653</v>
      </c>
      <c r="D1695" s="1523">
        <v>1</v>
      </c>
      <c r="E1695" s="1523">
        <v>1</v>
      </c>
      <c r="F1695" s="1524">
        <v>2</v>
      </c>
      <c r="G1695" s="1537" t="s">
        <v>5653</v>
      </c>
      <c r="H1695" s="1521">
        <v>1</v>
      </c>
      <c r="I1695" s="1521">
        <v>1</v>
      </c>
      <c r="J1695" s="1538">
        <v>2</v>
      </c>
      <c r="K1695" s="1525"/>
      <c r="L1695" s="1519">
        <v>13151070109</v>
      </c>
      <c r="M1695" s="1520">
        <v>1</v>
      </c>
      <c r="N1695" s="1520">
        <v>1</v>
      </c>
      <c r="O1695" s="1521">
        <v>2</v>
      </c>
    </row>
    <row r="1696" spans="3:15" ht="13.5">
      <c r="C1696" s="1526" t="s">
        <v>5654</v>
      </c>
      <c r="D1696" s="1523">
        <v>1</v>
      </c>
      <c r="E1696" s="1523">
        <v>1</v>
      </c>
      <c r="F1696" s="1524">
        <v>2</v>
      </c>
      <c r="G1696" s="1537" t="s">
        <v>5654</v>
      </c>
      <c r="H1696" s="1521">
        <v>1</v>
      </c>
      <c r="I1696" s="1521">
        <v>1</v>
      </c>
      <c r="J1696" s="1538">
        <v>2</v>
      </c>
      <c r="K1696" s="1525"/>
      <c r="L1696" s="1519">
        <v>13151070110</v>
      </c>
      <c r="M1696" s="1520">
        <v>1</v>
      </c>
      <c r="N1696" s="1520">
        <v>1</v>
      </c>
      <c r="O1696" s="1521">
        <v>2</v>
      </c>
    </row>
    <row r="1697" spans="3:15" ht="13.5">
      <c r="C1697" s="1526" t="s">
        <v>5655</v>
      </c>
      <c r="D1697" s="1523">
        <v>0</v>
      </c>
      <c r="E1697" s="1523">
        <v>0</v>
      </c>
      <c r="F1697" s="1524">
        <v>0</v>
      </c>
      <c r="G1697" s="1537" t="s">
        <v>5655</v>
      </c>
      <c r="H1697" s="1521">
        <v>0</v>
      </c>
      <c r="I1697" s="1521">
        <v>0</v>
      </c>
      <c r="J1697" s="1538">
        <v>0</v>
      </c>
      <c r="K1697" s="1525"/>
      <c r="L1697" s="1519">
        <v>13151070111</v>
      </c>
      <c r="M1697" s="1520">
        <v>0</v>
      </c>
      <c r="N1697" s="1520">
        <v>0</v>
      </c>
      <c r="O1697" s="1521">
        <v>0</v>
      </c>
    </row>
    <row r="1698" spans="3:15" ht="13.5">
      <c r="C1698" s="1526" t="s">
        <v>5656</v>
      </c>
      <c r="D1698" s="1523">
        <v>0</v>
      </c>
      <c r="E1698" s="1523">
        <v>0</v>
      </c>
      <c r="F1698" s="1524">
        <v>0</v>
      </c>
      <c r="G1698" s="1537" t="s">
        <v>5656</v>
      </c>
      <c r="H1698" s="1521">
        <v>0</v>
      </c>
      <c r="I1698" s="1521">
        <v>0</v>
      </c>
      <c r="J1698" s="1538">
        <v>0</v>
      </c>
      <c r="K1698" s="1525"/>
      <c r="L1698" s="1519">
        <v>13151070113</v>
      </c>
      <c r="M1698" s="1520">
        <v>0</v>
      </c>
      <c r="N1698" s="1520">
        <v>0</v>
      </c>
      <c r="O1698" s="1521">
        <v>0</v>
      </c>
    </row>
    <row r="1699" spans="3:15" ht="13.5">
      <c r="C1699" s="1526" t="s">
        <v>5657</v>
      </c>
      <c r="D1699" s="1523">
        <v>0</v>
      </c>
      <c r="E1699" s="1523">
        <v>1</v>
      </c>
      <c r="F1699" s="1524">
        <v>1</v>
      </c>
      <c r="G1699" s="1537" t="s">
        <v>5657</v>
      </c>
      <c r="H1699" s="1521">
        <v>0</v>
      </c>
      <c r="I1699" s="1521">
        <v>1</v>
      </c>
      <c r="J1699" s="1538">
        <v>1</v>
      </c>
      <c r="K1699" s="1525"/>
      <c r="L1699" s="1519">
        <v>13151070114</v>
      </c>
      <c r="M1699" s="1520">
        <v>0</v>
      </c>
      <c r="N1699" s="1520">
        <v>1</v>
      </c>
      <c r="O1699" s="1521">
        <v>1</v>
      </c>
    </row>
    <row r="1700" spans="3:15" ht="13.5">
      <c r="C1700" s="1526" t="s">
        <v>5658</v>
      </c>
      <c r="D1700" s="1523">
        <v>1</v>
      </c>
      <c r="E1700" s="1523">
        <v>1</v>
      </c>
      <c r="F1700" s="1524">
        <v>2</v>
      </c>
      <c r="G1700" s="1537" t="s">
        <v>5658</v>
      </c>
      <c r="H1700" s="1521">
        <v>1</v>
      </c>
      <c r="I1700" s="1521">
        <v>1</v>
      </c>
      <c r="J1700" s="1538">
        <v>2</v>
      </c>
      <c r="K1700" s="1525"/>
      <c r="L1700" s="1519">
        <v>13151070202</v>
      </c>
      <c r="M1700" s="1520">
        <v>1</v>
      </c>
      <c r="N1700" s="1520">
        <v>1</v>
      </c>
      <c r="O1700" s="1521">
        <v>2</v>
      </c>
    </row>
    <row r="1701" spans="3:15" ht="13.5">
      <c r="C1701" s="1526" t="s">
        <v>5659</v>
      </c>
      <c r="D1701" s="1523">
        <v>1</v>
      </c>
      <c r="E1701" s="1523">
        <v>1</v>
      </c>
      <c r="F1701" s="1524">
        <v>2</v>
      </c>
      <c r="G1701" s="1537" t="s">
        <v>5659</v>
      </c>
      <c r="H1701" s="1521">
        <v>1</v>
      </c>
      <c r="I1701" s="1521">
        <v>1</v>
      </c>
      <c r="J1701" s="1538">
        <v>2</v>
      </c>
      <c r="K1701" s="1525"/>
      <c r="L1701" s="1519">
        <v>13151070203</v>
      </c>
      <c r="M1701" s="1520">
        <v>1</v>
      </c>
      <c r="N1701" s="1520">
        <v>1</v>
      </c>
      <c r="O1701" s="1521">
        <v>2</v>
      </c>
    </row>
    <row r="1702" spans="3:15" ht="13.5">
      <c r="C1702" s="1526" t="s">
        <v>5660</v>
      </c>
      <c r="D1702" s="1523">
        <v>1</v>
      </c>
      <c r="E1702" s="1523">
        <v>1</v>
      </c>
      <c r="F1702" s="1524">
        <v>2</v>
      </c>
      <c r="G1702" s="1537" t="s">
        <v>5660</v>
      </c>
      <c r="H1702" s="1521">
        <v>1</v>
      </c>
      <c r="I1702" s="1521">
        <v>1</v>
      </c>
      <c r="J1702" s="1538">
        <v>2</v>
      </c>
      <c r="K1702" s="1525"/>
      <c r="L1702" s="1519">
        <v>13151070204</v>
      </c>
      <c r="M1702" s="1520">
        <v>1</v>
      </c>
      <c r="N1702" s="1520">
        <v>1</v>
      </c>
      <c r="O1702" s="1521">
        <v>2</v>
      </c>
    </row>
    <row r="1703" spans="3:15" ht="13.5">
      <c r="C1703" s="1526" t="s">
        <v>5661</v>
      </c>
      <c r="D1703" s="1523">
        <v>0</v>
      </c>
      <c r="E1703" s="1523">
        <v>1</v>
      </c>
      <c r="F1703" s="1524">
        <v>1</v>
      </c>
      <c r="G1703" s="1537" t="s">
        <v>5661</v>
      </c>
      <c r="H1703" s="1521">
        <v>0</v>
      </c>
      <c r="I1703" s="1521">
        <v>1</v>
      </c>
      <c r="J1703" s="1538">
        <v>1</v>
      </c>
      <c r="K1703" s="1525"/>
      <c r="L1703" s="1519">
        <v>13151070205</v>
      </c>
      <c r="M1703" s="1520">
        <v>0</v>
      </c>
      <c r="N1703" s="1520">
        <v>1</v>
      </c>
      <c r="O1703" s="1521">
        <v>1</v>
      </c>
    </row>
    <row r="1704" spans="3:15" ht="13.5">
      <c r="C1704" s="1526" t="s">
        <v>5662</v>
      </c>
      <c r="D1704" s="1523">
        <v>0</v>
      </c>
      <c r="E1704" s="1523">
        <v>0</v>
      </c>
      <c r="F1704" s="1524">
        <v>0</v>
      </c>
      <c r="G1704" s="1537" t="s">
        <v>5662</v>
      </c>
      <c r="H1704" s="1521">
        <v>0</v>
      </c>
      <c r="I1704" s="1521">
        <v>1</v>
      </c>
      <c r="J1704" s="1538">
        <v>1</v>
      </c>
      <c r="K1704" s="1525"/>
      <c r="L1704" s="1519">
        <v>13151070304</v>
      </c>
      <c r="M1704" s="1520">
        <v>0</v>
      </c>
      <c r="N1704" s="1520">
        <v>1</v>
      </c>
      <c r="O1704" s="1521">
        <v>1</v>
      </c>
    </row>
    <row r="1705" spans="3:15" ht="13.5">
      <c r="C1705" s="1526" t="s">
        <v>5663</v>
      </c>
      <c r="D1705" s="1523">
        <v>1</v>
      </c>
      <c r="E1705" s="1523">
        <v>1</v>
      </c>
      <c r="F1705" s="1524">
        <v>2</v>
      </c>
      <c r="G1705" s="1537" t="s">
        <v>5663</v>
      </c>
      <c r="H1705" s="1521">
        <v>1</v>
      </c>
      <c r="I1705" s="1521" t="s">
        <v>4096</v>
      </c>
      <c r="J1705" s="1538">
        <v>1</v>
      </c>
      <c r="K1705" s="1525"/>
      <c r="L1705" s="1519">
        <v>13151070305</v>
      </c>
      <c r="M1705" s="1520">
        <v>1</v>
      </c>
      <c r="N1705" s="1520">
        <v>1</v>
      </c>
      <c r="O1705" s="1521">
        <v>2</v>
      </c>
    </row>
    <row r="1706" spans="3:15" ht="13.5">
      <c r="C1706" s="1526" t="s">
        <v>5664</v>
      </c>
      <c r="D1706" s="1523">
        <v>1</v>
      </c>
      <c r="E1706" s="1523">
        <v>1</v>
      </c>
      <c r="F1706" s="1524">
        <v>2</v>
      </c>
      <c r="G1706" s="1537" t="s">
        <v>5664</v>
      </c>
      <c r="H1706" s="1521">
        <v>1</v>
      </c>
      <c r="I1706" s="1521">
        <v>1</v>
      </c>
      <c r="J1706" s="1538">
        <v>2</v>
      </c>
      <c r="K1706" s="1525"/>
      <c r="L1706" s="1519">
        <v>13151070306</v>
      </c>
      <c r="M1706" s="1520">
        <v>1</v>
      </c>
      <c r="N1706" s="1520">
        <v>1</v>
      </c>
      <c r="O1706" s="1521">
        <v>2</v>
      </c>
    </row>
    <row r="1707" spans="3:15" ht="13.5">
      <c r="C1707" s="1526" t="s">
        <v>5665</v>
      </c>
      <c r="D1707" s="1523">
        <v>1</v>
      </c>
      <c r="E1707" s="1523">
        <v>1</v>
      </c>
      <c r="F1707" s="1524">
        <v>2</v>
      </c>
      <c r="G1707" s="1537" t="s">
        <v>5665</v>
      </c>
      <c r="H1707" s="1521">
        <v>1</v>
      </c>
      <c r="I1707" s="1521">
        <v>1</v>
      </c>
      <c r="J1707" s="1538">
        <v>2</v>
      </c>
      <c r="K1707" s="1525"/>
      <c r="L1707" s="1519">
        <v>13151070307</v>
      </c>
      <c r="M1707" s="1520">
        <v>1</v>
      </c>
      <c r="N1707" s="1520">
        <v>1</v>
      </c>
      <c r="O1707" s="1521">
        <v>2</v>
      </c>
    </row>
    <row r="1708" spans="3:15" ht="13.5">
      <c r="C1708" s="1526" t="s">
        <v>5666</v>
      </c>
      <c r="D1708" s="1523">
        <v>1</v>
      </c>
      <c r="E1708" s="1523">
        <v>1</v>
      </c>
      <c r="F1708" s="1524">
        <v>2</v>
      </c>
      <c r="G1708" s="1537" t="s">
        <v>5666</v>
      </c>
      <c r="H1708" s="1521">
        <v>1</v>
      </c>
      <c r="I1708" s="1521">
        <v>1</v>
      </c>
      <c r="J1708" s="1538">
        <v>2</v>
      </c>
      <c r="K1708" s="1525"/>
      <c r="L1708" s="1519">
        <v>13151070309</v>
      </c>
      <c r="M1708" s="1520">
        <v>1</v>
      </c>
      <c r="N1708" s="1520">
        <v>1</v>
      </c>
      <c r="O1708" s="1521">
        <v>2</v>
      </c>
    </row>
    <row r="1709" spans="3:15" ht="13.5">
      <c r="C1709" s="1526" t="s">
        <v>5667</v>
      </c>
      <c r="D1709" s="1523">
        <v>1</v>
      </c>
      <c r="E1709" s="1523">
        <v>1</v>
      </c>
      <c r="F1709" s="1524">
        <v>2</v>
      </c>
      <c r="G1709" s="1537" t="s">
        <v>5667</v>
      </c>
      <c r="H1709" s="1521">
        <v>1</v>
      </c>
      <c r="I1709" s="1521">
        <v>0</v>
      </c>
      <c r="J1709" s="1538">
        <v>1</v>
      </c>
      <c r="K1709" s="1525"/>
      <c r="L1709" s="1519">
        <v>13151070310</v>
      </c>
      <c r="M1709" s="1520">
        <v>1</v>
      </c>
      <c r="N1709" s="1520">
        <v>1</v>
      </c>
      <c r="O1709" s="1521">
        <v>2</v>
      </c>
    </row>
    <row r="1710" spans="3:15" ht="13.5">
      <c r="C1710" s="1526" t="s">
        <v>5668</v>
      </c>
      <c r="D1710" s="1523">
        <v>0</v>
      </c>
      <c r="E1710" s="1523">
        <v>0</v>
      </c>
      <c r="F1710" s="1524">
        <v>0</v>
      </c>
      <c r="G1710" s="1537" t="s">
        <v>5668</v>
      </c>
      <c r="H1710" s="1521">
        <v>0</v>
      </c>
      <c r="I1710" s="1521" t="s">
        <v>4096</v>
      </c>
      <c r="J1710" s="1538">
        <v>0</v>
      </c>
      <c r="K1710" s="1525"/>
      <c r="L1710" s="1519">
        <v>13151070311</v>
      </c>
      <c r="M1710" s="1520">
        <v>0</v>
      </c>
      <c r="N1710" s="1520">
        <v>0</v>
      </c>
      <c r="O1710" s="1521">
        <v>0</v>
      </c>
    </row>
    <row r="1711" spans="3:15" ht="13.5">
      <c r="C1711" s="1526" t="s">
        <v>5669</v>
      </c>
      <c r="D1711" s="1523">
        <v>1</v>
      </c>
      <c r="E1711" s="1523">
        <v>1</v>
      </c>
      <c r="F1711" s="1524">
        <v>2</v>
      </c>
      <c r="G1711" s="1537" t="s">
        <v>5669</v>
      </c>
      <c r="H1711" s="1521">
        <v>1</v>
      </c>
      <c r="I1711" s="1521">
        <v>1</v>
      </c>
      <c r="J1711" s="1538">
        <v>2</v>
      </c>
      <c r="K1711" s="1525"/>
      <c r="L1711" s="1519">
        <v>13151070402</v>
      </c>
      <c r="M1711" s="1520">
        <v>1</v>
      </c>
      <c r="N1711" s="1520">
        <v>1</v>
      </c>
      <c r="O1711" s="1521">
        <v>2</v>
      </c>
    </row>
    <row r="1712" spans="3:15" ht="13.5">
      <c r="C1712" s="1526" t="s">
        <v>5670</v>
      </c>
      <c r="D1712" s="1523">
        <v>0</v>
      </c>
      <c r="E1712" s="1523">
        <v>1</v>
      </c>
      <c r="F1712" s="1524">
        <v>1</v>
      </c>
      <c r="G1712" s="1537" t="s">
        <v>5670</v>
      </c>
      <c r="H1712" s="1521">
        <v>0</v>
      </c>
      <c r="I1712" s="1521">
        <v>0</v>
      </c>
      <c r="J1712" s="1538">
        <v>0</v>
      </c>
      <c r="K1712" s="1525"/>
      <c r="L1712" s="1519">
        <v>13151070403</v>
      </c>
      <c r="M1712" s="1520">
        <v>0</v>
      </c>
      <c r="N1712" s="1520">
        <v>1</v>
      </c>
      <c r="O1712" s="1521">
        <v>1</v>
      </c>
    </row>
    <row r="1713" spans="3:15" ht="13.5">
      <c r="C1713" s="1526" t="s">
        <v>5671</v>
      </c>
      <c r="D1713" s="1523">
        <v>1</v>
      </c>
      <c r="E1713" s="1523">
        <v>1</v>
      </c>
      <c r="F1713" s="1524">
        <v>2</v>
      </c>
      <c r="G1713" s="1537" t="s">
        <v>5671</v>
      </c>
      <c r="H1713" s="1521">
        <v>1</v>
      </c>
      <c r="I1713" s="1521">
        <v>1</v>
      </c>
      <c r="J1713" s="1538">
        <v>2</v>
      </c>
      <c r="K1713" s="1525"/>
      <c r="L1713" s="1519">
        <v>13151070404</v>
      </c>
      <c r="M1713" s="1520">
        <v>1</v>
      </c>
      <c r="N1713" s="1520">
        <v>1</v>
      </c>
      <c r="O1713" s="1521">
        <v>2</v>
      </c>
    </row>
    <row r="1714" spans="3:15" ht="13.5">
      <c r="C1714" s="1526" t="s">
        <v>5672</v>
      </c>
      <c r="D1714" s="1523">
        <v>0</v>
      </c>
      <c r="E1714" s="1523">
        <v>0</v>
      </c>
      <c r="F1714" s="1524">
        <v>0</v>
      </c>
      <c r="G1714" s="1537" t="s">
        <v>5672</v>
      </c>
      <c r="H1714" s="1521">
        <v>1</v>
      </c>
      <c r="I1714" s="1521">
        <v>0</v>
      </c>
      <c r="J1714" s="1538">
        <v>1</v>
      </c>
      <c r="K1714" s="1525"/>
      <c r="L1714" s="1519">
        <v>13151070501</v>
      </c>
      <c r="M1714" s="1520">
        <v>1</v>
      </c>
      <c r="N1714" s="1520">
        <v>0</v>
      </c>
      <c r="O1714" s="1521">
        <v>1</v>
      </c>
    </row>
    <row r="1715" spans="3:15" ht="13.5">
      <c r="C1715" s="1526" t="s">
        <v>5673</v>
      </c>
      <c r="D1715" s="1523">
        <v>1</v>
      </c>
      <c r="E1715" s="1523">
        <v>1</v>
      </c>
      <c r="F1715" s="1524">
        <v>2</v>
      </c>
      <c r="G1715" s="1537" t="s">
        <v>5673</v>
      </c>
      <c r="H1715" s="1521">
        <v>1</v>
      </c>
      <c r="I1715" s="1521">
        <v>1</v>
      </c>
      <c r="J1715" s="1538">
        <v>2</v>
      </c>
      <c r="K1715" s="1525"/>
      <c r="L1715" s="1519">
        <v>13151070502</v>
      </c>
      <c r="M1715" s="1520">
        <v>1</v>
      </c>
      <c r="N1715" s="1520">
        <v>1</v>
      </c>
      <c r="O1715" s="1521">
        <v>2</v>
      </c>
    </row>
    <row r="1716" spans="3:15" ht="13.5">
      <c r="C1716" s="1526" t="s">
        <v>5674</v>
      </c>
      <c r="D1716" s="1523">
        <v>0</v>
      </c>
      <c r="E1716" s="1523">
        <v>0</v>
      </c>
      <c r="F1716" s="1524">
        <v>0</v>
      </c>
      <c r="G1716" s="1537" t="s">
        <v>5674</v>
      </c>
      <c r="H1716" s="1521">
        <v>0</v>
      </c>
      <c r="I1716" s="1521">
        <v>1</v>
      </c>
      <c r="J1716" s="1538">
        <v>0</v>
      </c>
      <c r="K1716" s="1525"/>
      <c r="L1716" s="1519">
        <v>13153020105</v>
      </c>
      <c r="M1716" s="1520">
        <v>0</v>
      </c>
      <c r="N1716" s="1520">
        <v>1</v>
      </c>
      <c r="O1716" s="1521">
        <v>0</v>
      </c>
    </row>
    <row r="1717" spans="3:15" ht="13.5">
      <c r="C1717" s="1526" t="s">
        <v>5675</v>
      </c>
      <c r="D1717" s="1523">
        <v>0</v>
      </c>
      <c r="E1717" s="1523">
        <v>1</v>
      </c>
      <c r="F1717" s="1524">
        <v>1</v>
      </c>
      <c r="G1717" s="1537" t="s">
        <v>5675</v>
      </c>
      <c r="H1717" s="1521">
        <v>0</v>
      </c>
      <c r="I1717" s="1521">
        <v>0</v>
      </c>
      <c r="J1717" s="1538">
        <v>0</v>
      </c>
      <c r="K1717" s="1525"/>
      <c r="L1717" s="1519">
        <v>13153020106</v>
      </c>
      <c r="M1717" s="1520">
        <v>0</v>
      </c>
      <c r="N1717" s="1520">
        <v>1</v>
      </c>
      <c r="O1717" s="1521">
        <v>1</v>
      </c>
    </row>
    <row r="1718" spans="3:15" ht="13.5">
      <c r="C1718" s="1526" t="s">
        <v>5676</v>
      </c>
      <c r="D1718" s="1523">
        <v>0</v>
      </c>
      <c r="E1718" s="1523">
        <v>1</v>
      </c>
      <c r="F1718" s="1524">
        <v>1</v>
      </c>
      <c r="G1718" s="1537" t="s">
        <v>5676</v>
      </c>
      <c r="H1718" s="1521">
        <v>0</v>
      </c>
      <c r="I1718" s="1521">
        <v>1</v>
      </c>
      <c r="J1718" s="1538">
        <v>1</v>
      </c>
      <c r="K1718" s="1525"/>
      <c r="L1718" s="1519">
        <v>13153020108</v>
      </c>
      <c r="M1718" s="1520">
        <v>0</v>
      </c>
      <c r="N1718" s="1520">
        <v>1</v>
      </c>
      <c r="O1718" s="1521">
        <v>1</v>
      </c>
    </row>
    <row r="1719" spans="3:15" ht="13.5">
      <c r="C1719" s="1526" t="s">
        <v>5677</v>
      </c>
      <c r="D1719" s="1523">
        <v>1</v>
      </c>
      <c r="E1719" s="1523">
        <v>1</v>
      </c>
      <c r="F1719" s="1524">
        <v>2</v>
      </c>
      <c r="G1719" s="1537" t="s">
        <v>5677</v>
      </c>
      <c r="H1719" s="1521">
        <v>1</v>
      </c>
      <c r="I1719" s="1521">
        <v>1</v>
      </c>
      <c r="J1719" s="1538">
        <v>2</v>
      </c>
      <c r="K1719" s="1525"/>
      <c r="L1719" s="1519">
        <v>13153020109</v>
      </c>
      <c r="M1719" s="1520">
        <v>1</v>
      </c>
      <c r="N1719" s="1520">
        <v>1</v>
      </c>
      <c r="O1719" s="1521">
        <v>2</v>
      </c>
    </row>
    <row r="1720" spans="3:15" ht="13.5">
      <c r="C1720" s="1526" t="s">
        <v>5678</v>
      </c>
      <c r="D1720" s="1523">
        <v>0</v>
      </c>
      <c r="E1720" s="1523">
        <v>0</v>
      </c>
      <c r="F1720" s="1524">
        <v>0</v>
      </c>
      <c r="G1720" s="1537" t="s">
        <v>5678</v>
      </c>
      <c r="H1720" s="1521">
        <v>0</v>
      </c>
      <c r="I1720" s="1521">
        <v>0</v>
      </c>
      <c r="J1720" s="1538">
        <v>0</v>
      </c>
      <c r="K1720" s="1525"/>
      <c r="L1720" s="1519">
        <v>13153020200</v>
      </c>
      <c r="M1720" s="1520">
        <v>0</v>
      </c>
      <c r="N1720" s="1520">
        <v>0</v>
      </c>
      <c r="O1720" s="1521">
        <v>0</v>
      </c>
    </row>
    <row r="1721" spans="3:15" ht="13.5">
      <c r="C1721" s="1526" t="s">
        <v>5679</v>
      </c>
      <c r="D1721" s="1523">
        <v>0</v>
      </c>
      <c r="E1721" s="1523">
        <v>0</v>
      </c>
      <c r="F1721" s="1524">
        <v>0</v>
      </c>
      <c r="G1721" s="1537" t="s">
        <v>5679</v>
      </c>
      <c r="H1721" s="1521">
        <v>0</v>
      </c>
      <c r="I1721" s="1521">
        <v>0</v>
      </c>
      <c r="J1721" s="1538">
        <v>0</v>
      </c>
      <c r="K1721" s="1525"/>
      <c r="L1721" s="1519">
        <v>13153020300</v>
      </c>
      <c r="M1721" s="1520">
        <v>0</v>
      </c>
      <c r="N1721" s="1520">
        <v>0</v>
      </c>
      <c r="O1721" s="1521">
        <v>0</v>
      </c>
    </row>
    <row r="1722" spans="3:15" ht="13.5">
      <c r="C1722" s="1526" t="s">
        <v>5680</v>
      </c>
      <c r="D1722" s="1523">
        <v>0</v>
      </c>
      <c r="E1722" s="1523">
        <v>0</v>
      </c>
      <c r="F1722" s="1524">
        <v>0</v>
      </c>
      <c r="G1722" s="1537" t="s">
        <v>5680</v>
      </c>
      <c r="H1722" s="1521">
        <v>0</v>
      </c>
      <c r="I1722" s="1521">
        <v>0</v>
      </c>
      <c r="J1722" s="1538">
        <v>0</v>
      </c>
      <c r="K1722" s="1525"/>
      <c r="L1722" s="1519">
        <v>13153020400</v>
      </c>
      <c r="M1722" s="1520">
        <v>0</v>
      </c>
      <c r="N1722" s="1520">
        <v>0</v>
      </c>
      <c r="O1722" s="1521">
        <v>0</v>
      </c>
    </row>
    <row r="1723" spans="3:15" ht="13.5">
      <c r="C1723" s="1526" t="s">
        <v>5681</v>
      </c>
      <c r="D1723" s="1523">
        <v>0</v>
      </c>
      <c r="E1723" s="1523">
        <v>1</v>
      </c>
      <c r="F1723" s="1524">
        <v>1</v>
      </c>
      <c r="G1723" s="1537" t="s">
        <v>5681</v>
      </c>
      <c r="H1723" s="1521">
        <v>0</v>
      </c>
      <c r="I1723" s="1521" t="s">
        <v>4096</v>
      </c>
      <c r="J1723" s="1538">
        <v>0</v>
      </c>
      <c r="K1723" s="1525"/>
      <c r="L1723" s="1519">
        <v>13153020600</v>
      </c>
      <c r="M1723" s="1520">
        <v>0</v>
      </c>
      <c r="N1723" s="1520">
        <v>1</v>
      </c>
      <c r="O1723" s="1521">
        <v>1</v>
      </c>
    </row>
    <row r="1724" spans="3:15" ht="13.5">
      <c r="C1724" s="1526" t="s">
        <v>5682</v>
      </c>
      <c r="D1724" s="1523">
        <v>0</v>
      </c>
      <c r="E1724" s="1523">
        <v>0</v>
      </c>
      <c r="F1724" s="1524">
        <v>0</v>
      </c>
      <c r="G1724" s="1537" t="s">
        <v>5682</v>
      </c>
      <c r="H1724" s="1521">
        <v>0</v>
      </c>
      <c r="I1724" s="1521">
        <v>0</v>
      </c>
      <c r="J1724" s="1538">
        <v>0</v>
      </c>
      <c r="K1724" s="1525"/>
      <c r="L1724" s="1519">
        <v>13153020700</v>
      </c>
      <c r="M1724" s="1520">
        <v>0</v>
      </c>
      <c r="N1724" s="1520">
        <v>0</v>
      </c>
      <c r="O1724" s="1521">
        <v>0</v>
      </c>
    </row>
    <row r="1725" spans="3:15" ht="13.5">
      <c r="C1725" s="1526" t="s">
        <v>5683</v>
      </c>
      <c r="D1725" s="1523">
        <v>0</v>
      </c>
      <c r="E1725" s="1523">
        <v>0</v>
      </c>
      <c r="F1725" s="1524">
        <v>0</v>
      </c>
      <c r="G1725" s="1537" t="s">
        <v>5683</v>
      </c>
      <c r="H1725" s="1521">
        <v>1</v>
      </c>
      <c r="I1725" s="1521">
        <v>0</v>
      </c>
      <c r="J1725" s="1538">
        <v>1</v>
      </c>
      <c r="K1725" s="1525"/>
      <c r="L1725" s="1519">
        <v>13153020800</v>
      </c>
      <c r="M1725" s="1520">
        <v>1</v>
      </c>
      <c r="N1725" s="1520">
        <v>0</v>
      </c>
      <c r="O1725" s="1521">
        <v>1</v>
      </c>
    </row>
    <row r="1726" spans="3:15" ht="13.5">
      <c r="C1726" s="1526" t="s">
        <v>5684</v>
      </c>
      <c r="D1726" s="1523">
        <v>0</v>
      </c>
      <c r="E1726" s="1523">
        <v>0</v>
      </c>
      <c r="F1726" s="1524">
        <v>0</v>
      </c>
      <c r="G1726" s="1537" t="s">
        <v>5684</v>
      </c>
      <c r="H1726" s="1521">
        <v>0</v>
      </c>
      <c r="I1726" s="1521">
        <v>0</v>
      </c>
      <c r="J1726" s="1538">
        <v>0</v>
      </c>
      <c r="K1726" s="1525"/>
      <c r="L1726" s="1519">
        <v>13153020900</v>
      </c>
      <c r="M1726" s="1520">
        <v>0</v>
      </c>
      <c r="N1726" s="1520">
        <v>0</v>
      </c>
      <c r="O1726" s="1521">
        <v>0</v>
      </c>
    </row>
    <row r="1727" spans="3:15" ht="13.5">
      <c r="C1727" s="1526" t="s">
        <v>5685</v>
      </c>
      <c r="D1727" s="1523">
        <v>0</v>
      </c>
      <c r="E1727" s="1523">
        <v>0</v>
      </c>
      <c r="F1727" s="1524">
        <v>0</v>
      </c>
      <c r="G1727" s="1537" t="s">
        <v>5685</v>
      </c>
      <c r="H1727" s="1521">
        <v>0</v>
      </c>
      <c r="I1727" s="1521">
        <v>1</v>
      </c>
      <c r="J1727" s="1538">
        <v>1</v>
      </c>
      <c r="K1727" s="1525"/>
      <c r="L1727" s="1519">
        <v>13153021000</v>
      </c>
      <c r="M1727" s="1520">
        <v>0</v>
      </c>
      <c r="N1727" s="1520">
        <v>1</v>
      </c>
      <c r="O1727" s="1521">
        <v>1</v>
      </c>
    </row>
    <row r="1728" spans="3:15" ht="13.5">
      <c r="C1728" s="1526" t="s">
        <v>5686</v>
      </c>
      <c r="D1728" s="1523">
        <v>1</v>
      </c>
      <c r="E1728" s="1523">
        <v>1</v>
      </c>
      <c r="F1728" s="1524">
        <v>2</v>
      </c>
      <c r="G1728" s="1537" t="s">
        <v>5686</v>
      </c>
      <c r="H1728" s="1521">
        <v>1</v>
      </c>
      <c r="I1728" s="1521">
        <v>1</v>
      </c>
      <c r="J1728" s="1538">
        <v>2</v>
      </c>
      <c r="K1728" s="1525"/>
      <c r="L1728" s="1519">
        <v>13153021103</v>
      </c>
      <c r="M1728" s="1520">
        <v>1</v>
      </c>
      <c r="N1728" s="1520">
        <v>1</v>
      </c>
      <c r="O1728" s="1521">
        <v>2</v>
      </c>
    </row>
    <row r="1729" spans="3:15" ht="13.5">
      <c r="C1729" s="1526" t="s">
        <v>5687</v>
      </c>
      <c r="D1729" s="1523">
        <v>0</v>
      </c>
      <c r="E1729" s="1523">
        <v>0</v>
      </c>
      <c r="F1729" s="1524">
        <v>0</v>
      </c>
      <c r="G1729" s="1537" t="s">
        <v>5687</v>
      </c>
      <c r="H1729" s="1521">
        <v>0</v>
      </c>
      <c r="I1729" s="1521">
        <v>0</v>
      </c>
      <c r="J1729" s="1538">
        <v>0</v>
      </c>
      <c r="K1729" s="1525"/>
      <c r="L1729" s="1519">
        <v>13153021104</v>
      </c>
      <c r="M1729" s="1520">
        <v>0</v>
      </c>
      <c r="N1729" s="1520">
        <v>0</v>
      </c>
      <c r="O1729" s="1521">
        <v>0</v>
      </c>
    </row>
    <row r="1730" spans="3:15" ht="13.5">
      <c r="C1730" s="1526" t="s">
        <v>5688</v>
      </c>
      <c r="D1730" s="1523">
        <v>0</v>
      </c>
      <c r="E1730" s="1523">
        <v>1</v>
      </c>
      <c r="F1730" s="1524">
        <v>1</v>
      </c>
      <c r="G1730" s="1537" t="s">
        <v>5688</v>
      </c>
      <c r="H1730" s="1521">
        <v>1</v>
      </c>
      <c r="I1730" s="1521">
        <v>0</v>
      </c>
      <c r="J1730" s="1538">
        <v>1</v>
      </c>
      <c r="K1730" s="1525"/>
      <c r="L1730" s="1519">
        <v>13153021105</v>
      </c>
      <c r="M1730" s="1520">
        <v>1</v>
      </c>
      <c r="N1730" s="1520">
        <v>1</v>
      </c>
      <c r="O1730" s="1521">
        <v>1</v>
      </c>
    </row>
    <row r="1731" spans="3:15" ht="13.5">
      <c r="C1731" s="1526" t="s">
        <v>5689</v>
      </c>
      <c r="D1731" s="1523">
        <v>1</v>
      </c>
      <c r="E1731" s="1523">
        <v>1</v>
      </c>
      <c r="F1731" s="1524">
        <v>2</v>
      </c>
      <c r="G1731" s="1537" t="s">
        <v>5689</v>
      </c>
      <c r="H1731" s="1521">
        <v>0</v>
      </c>
      <c r="I1731" s="1521">
        <v>1</v>
      </c>
      <c r="J1731" s="1538">
        <v>1</v>
      </c>
      <c r="K1731" s="1525"/>
      <c r="L1731" s="1519">
        <v>13153021107</v>
      </c>
      <c r="M1731" s="1520">
        <v>1</v>
      </c>
      <c r="N1731" s="1520">
        <v>1</v>
      </c>
      <c r="O1731" s="1521">
        <v>2</v>
      </c>
    </row>
    <row r="1732" spans="3:15" ht="13.5">
      <c r="C1732" s="1526" t="s">
        <v>5690</v>
      </c>
      <c r="D1732" s="1523">
        <v>1</v>
      </c>
      <c r="E1732" s="1523">
        <v>1</v>
      </c>
      <c r="F1732" s="1524">
        <v>2</v>
      </c>
      <c r="G1732" s="1537" t="s">
        <v>5690</v>
      </c>
      <c r="H1732" s="1521">
        <v>1</v>
      </c>
      <c r="I1732" s="1521">
        <v>1</v>
      </c>
      <c r="J1732" s="1538">
        <v>2</v>
      </c>
      <c r="K1732" s="1525"/>
      <c r="L1732" s="1519">
        <v>13153021108</v>
      </c>
      <c r="M1732" s="1520">
        <v>1</v>
      </c>
      <c r="N1732" s="1520">
        <v>1</v>
      </c>
      <c r="O1732" s="1521">
        <v>2</v>
      </c>
    </row>
    <row r="1733" spans="3:15" ht="13.5">
      <c r="C1733" s="1526" t="s">
        <v>5691</v>
      </c>
      <c r="D1733" s="1523">
        <v>1</v>
      </c>
      <c r="E1733" s="1523">
        <v>1</v>
      </c>
      <c r="F1733" s="1524">
        <v>2</v>
      </c>
      <c r="G1733" s="1537" t="s">
        <v>5691</v>
      </c>
      <c r="H1733" s="1521">
        <v>1</v>
      </c>
      <c r="I1733" s="1521">
        <v>1</v>
      </c>
      <c r="J1733" s="1538">
        <v>2</v>
      </c>
      <c r="K1733" s="1525"/>
      <c r="L1733" s="1519">
        <v>13153021113</v>
      </c>
      <c r="M1733" s="1520">
        <v>1</v>
      </c>
      <c r="N1733" s="1520">
        <v>1</v>
      </c>
      <c r="O1733" s="1521">
        <v>2</v>
      </c>
    </row>
    <row r="1734" spans="3:15" ht="13.5">
      <c r="C1734" s="1526" t="s">
        <v>5692</v>
      </c>
      <c r="D1734" s="1523">
        <v>1</v>
      </c>
      <c r="E1734" s="1523">
        <v>1</v>
      </c>
      <c r="F1734" s="1524">
        <v>2</v>
      </c>
      <c r="G1734" s="1537" t="s">
        <v>5692</v>
      </c>
      <c r="H1734" s="1521">
        <v>1</v>
      </c>
      <c r="I1734" s="1521">
        <v>1</v>
      </c>
      <c r="J1734" s="1538">
        <v>2</v>
      </c>
      <c r="K1734" s="1525"/>
      <c r="L1734" s="1519">
        <v>13153021201</v>
      </c>
      <c r="M1734" s="1520">
        <v>1</v>
      </c>
      <c r="N1734" s="1520">
        <v>1</v>
      </c>
      <c r="O1734" s="1521">
        <v>2</v>
      </c>
    </row>
    <row r="1735" spans="3:15" ht="13.5">
      <c r="C1735" s="1526" t="s">
        <v>5693</v>
      </c>
      <c r="D1735" s="1523">
        <v>0</v>
      </c>
      <c r="E1735" s="1523">
        <v>1</v>
      </c>
      <c r="F1735" s="1524">
        <v>1</v>
      </c>
      <c r="G1735" s="1537" t="s">
        <v>5693</v>
      </c>
      <c r="H1735" s="1521">
        <v>0</v>
      </c>
      <c r="I1735" s="1521">
        <v>1</v>
      </c>
      <c r="J1735" s="1538">
        <v>1</v>
      </c>
      <c r="K1735" s="1525"/>
      <c r="L1735" s="1519">
        <v>13153021202</v>
      </c>
      <c r="M1735" s="1520">
        <v>0</v>
      </c>
      <c r="N1735" s="1520">
        <v>1</v>
      </c>
      <c r="O1735" s="1521">
        <v>1</v>
      </c>
    </row>
    <row r="1736" spans="3:15" ht="13.5">
      <c r="C1736" s="1526" t="s">
        <v>5694</v>
      </c>
      <c r="D1736" s="1523">
        <v>0</v>
      </c>
      <c r="E1736" s="1523">
        <v>0</v>
      </c>
      <c r="F1736" s="1524">
        <v>0</v>
      </c>
      <c r="G1736" s="1537" t="s">
        <v>5694</v>
      </c>
      <c r="H1736" s="1521">
        <v>0</v>
      </c>
      <c r="I1736" s="1521">
        <v>0</v>
      </c>
      <c r="J1736" s="1538">
        <v>0</v>
      </c>
      <c r="K1736" s="1525"/>
      <c r="L1736" s="1519">
        <v>13153021300</v>
      </c>
      <c r="M1736" s="1520">
        <v>0</v>
      </c>
      <c r="N1736" s="1520">
        <v>0</v>
      </c>
      <c r="O1736" s="1521">
        <v>0</v>
      </c>
    </row>
    <row r="1737" spans="3:15" ht="13.5">
      <c r="C1737" s="1526" t="s">
        <v>5695</v>
      </c>
      <c r="D1737" s="1523">
        <v>0</v>
      </c>
      <c r="E1737" s="1523">
        <v>1</v>
      </c>
      <c r="F1737" s="1524">
        <v>1</v>
      </c>
      <c r="G1737" s="1537" t="s">
        <v>5695</v>
      </c>
      <c r="H1737" s="1521">
        <v>0</v>
      </c>
      <c r="I1737" s="1521">
        <v>1</v>
      </c>
      <c r="J1737" s="1538">
        <v>1</v>
      </c>
      <c r="K1737" s="1525"/>
      <c r="L1737" s="1519">
        <v>13153021400</v>
      </c>
      <c r="M1737" s="1520">
        <v>0</v>
      </c>
      <c r="N1737" s="1520">
        <v>1</v>
      </c>
      <c r="O1737" s="1521">
        <v>1</v>
      </c>
    </row>
    <row r="1738" spans="3:15" ht="13.5">
      <c r="C1738" s="1526" t="s">
        <v>5696</v>
      </c>
      <c r="D1738" s="1523">
        <v>1</v>
      </c>
      <c r="E1738" s="1523">
        <v>1</v>
      </c>
      <c r="F1738" s="1524">
        <v>2</v>
      </c>
      <c r="G1738" s="1537" t="s">
        <v>5696</v>
      </c>
      <c r="H1738" s="1521">
        <v>1</v>
      </c>
      <c r="I1738" s="1521">
        <v>1</v>
      </c>
      <c r="J1738" s="1538">
        <v>2</v>
      </c>
      <c r="K1738" s="1525"/>
      <c r="L1738" s="1519">
        <v>13153021500</v>
      </c>
      <c r="M1738" s="1520">
        <v>1</v>
      </c>
      <c r="N1738" s="1520">
        <v>1</v>
      </c>
      <c r="O1738" s="1521">
        <v>2</v>
      </c>
    </row>
    <row r="1739" spans="3:15" ht="13.5">
      <c r="C1739" s="1526" t="s">
        <v>5697</v>
      </c>
      <c r="D1739" s="1523">
        <v>0</v>
      </c>
      <c r="E1739" s="1523">
        <v>0</v>
      </c>
      <c r="F1739" s="1524">
        <v>0</v>
      </c>
      <c r="G1739" s="1537" t="s">
        <v>5697</v>
      </c>
      <c r="H1739" s="1521">
        <v>0</v>
      </c>
      <c r="I1739" s="1521">
        <v>0</v>
      </c>
      <c r="J1739" s="1538">
        <v>0</v>
      </c>
      <c r="K1739" s="1525"/>
      <c r="L1739" s="1519">
        <v>13155950100</v>
      </c>
      <c r="M1739" s="1520">
        <v>0</v>
      </c>
      <c r="N1739" s="1520">
        <v>0</v>
      </c>
      <c r="O1739" s="1521">
        <v>0</v>
      </c>
    </row>
    <row r="1740" spans="3:15" ht="13.5">
      <c r="C1740" s="1526" t="s">
        <v>5698</v>
      </c>
      <c r="D1740" s="1523">
        <v>0</v>
      </c>
      <c r="E1740" s="1523">
        <v>0</v>
      </c>
      <c r="F1740" s="1524">
        <v>0</v>
      </c>
      <c r="G1740" s="1537" t="s">
        <v>5698</v>
      </c>
      <c r="H1740" s="1521">
        <v>0</v>
      </c>
      <c r="I1740" s="1521">
        <v>0</v>
      </c>
      <c r="J1740" s="1538">
        <v>0</v>
      </c>
      <c r="K1740" s="1525"/>
      <c r="L1740" s="1519">
        <v>13155950200</v>
      </c>
      <c r="M1740" s="1520">
        <v>0</v>
      </c>
      <c r="N1740" s="1520">
        <v>0</v>
      </c>
      <c r="O1740" s="1521">
        <v>0</v>
      </c>
    </row>
    <row r="1741" spans="3:15" ht="13.5">
      <c r="C1741" s="1526" t="s">
        <v>5699</v>
      </c>
      <c r="D1741" s="1523">
        <v>1</v>
      </c>
      <c r="E1741" s="1523">
        <v>1</v>
      </c>
      <c r="F1741" s="1524">
        <v>2</v>
      </c>
      <c r="G1741" s="1537" t="s">
        <v>5699</v>
      </c>
      <c r="H1741" s="1521">
        <v>1</v>
      </c>
      <c r="I1741" s="1521">
        <v>1</v>
      </c>
      <c r="J1741" s="1538">
        <v>1</v>
      </c>
      <c r="K1741" s="1525"/>
      <c r="L1741" s="1519">
        <v>13157010101</v>
      </c>
      <c r="M1741" s="1520">
        <v>1</v>
      </c>
      <c r="N1741" s="1520">
        <v>1</v>
      </c>
      <c r="O1741" s="1521">
        <v>2</v>
      </c>
    </row>
    <row r="1742" spans="3:15" ht="13.5">
      <c r="C1742" s="1526" t="s">
        <v>5700</v>
      </c>
      <c r="D1742" s="1523">
        <v>1</v>
      </c>
      <c r="E1742" s="1523">
        <v>1</v>
      </c>
      <c r="F1742" s="1524">
        <v>2</v>
      </c>
      <c r="G1742" s="1537" t="s">
        <v>5700</v>
      </c>
      <c r="H1742" s="1521">
        <v>1</v>
      </c>
      <c r="I1742" s="1521">
        <v>1</v>
      </c>
      <c r="J1742" s="1538">
        <v>2</v>
      </c>
      <c r="K1742" s="1525"/>
      <c r="L1742" s="1519">
        <v>13157010102</v>
      </c>
      <c r="M1742" s="1520">
        <v>1</v>
      </c>
      <c r="N1742" s="1520">
        <v>1</v>
      </c>
      <c r="O1742" s="1521">
        <v>2</v>
      </c>
    </row>
    <row r="1743" spans="3:15" ht="13.5">
      <c r="C1743" s="1526" t="s">
        <v>5701</v>
      </c>
      <c r="D1743" s="1523">
        <v>1</v>
      </c>
      <c r="E1743" s="1523">
        <v>1</v>
      </c>
      <c r="F1743" s="1524">
        <v>2</v>
      </c>
      <c r="G1743" s="1537" t="s">
        <v>5701</v>
      </c>
      <c r="H1743" s="1521">
        <v>0</v>
      </c>
      <c r="I1743" s="1521">
        <v>1</v>
      </c>
      <c r="J1743" s="1538">
        <v>1</v>
      </c>
      <c r="K1743" s="1525"/>
      <c r="L1743" s="1519">
        <v>13157010103</v>
      </c>
      <c r="M1743" s="1520">
        <v>1</v>
      </c>
      <c r="N1743" s="1520">
        <v>1</v>
      </c>
      <c r="O1743" s="1521">
        <v>2</v>
      </c>
    </row>
    <row r="1744" spans="3:15" ht="13.5">
      <c r="C1744" s="1526" t="s">
        <v>5702</v>
      </c>
      <c r="D1744" s="1523">
        <v>0</v>
      </c>
      <c r="E1744" s="1523">
        <v>0</v>
      </c>
      <c r="F1744" s="1524">
        <v>0</v>
      </c>
      <c r="G1744" s="1537" t="s">
        <v>5702</v>
      </c>
      <c r="H1744" s="1521">
        <v>0</v>
      </c>
      <c r="I1744" s="1521">
        <v>0</v>
      </c>
      <c r="J1744" s="1538">
        <v>0</v>
      </c>
      <c r="K1744" s="1525"/>
      <c r="L1744" s="1519">
        <v>13157010200</v>
      </c>
      <c r="M1744" s="1520">
        <v>0</v>
      </c>
      <c r="N1744" s="1520">
        <v>0</v>
      </c>
      <c r="O1744" s="1521">
        <v>0</v>
      </c>
    </row>
    <row r="1745" spans="3:15" ht="13.5">
      <c r="C1745" s="1526" t="s">
        <v>5703</v>
      </c>
      <c r="D1745" s="1523">
        <v>0</v>
      </c>
      <c r="E1745" s="1523">
        <v>0</v>
      </c>
      <c r="F1745" s="1524">
        <v>0</v>
      </c>
      <c r="G1745" s="1537" t="s">
        <v>5703</v>
      </c>
      <c r="H1745" s="1521">
        <v>0</v>
      </c>
      <c r="I1745" s="1521">
        <v>0</v>
      </c>
      <c r="J1745" s="1538">
        <v>0</v>
      </c>
      <c r="K1745" s="1525"/>
      <c r="L1745" s="1519">
        <v>13157010300</v>
      </c>
      <c r="M1745" s="1520">
        <v>0</v>
      </c>
      <c r="N1745" s="1520">
        <v>0</v>
      </c>
      <c r="O1745" s="1521">
        <v>0</v>
      </c>
    </row>
    <row r="1746" spans="3:15" ht="13.5">
      <c r="C1746" s="1526" t="s">
        <v>5704</v>
      </c>
      <c r="D1746" s="1523">
        <v>0</v>
      </c>
      <c r="E1746" s="1523">
        <v>0</v>
      </c>
      <c r="F1746" s="1524">
        <v>0</v>
      </c>
      <c r="G1746" s="1537" t="s">
        <v>5704</v>
      </c>
      <c r="H1746" s="1521">
        <v>0</v>
      </c>
      <c r="I1746" s="1521">
        <v>0</v>
      </c>
      <c r="J1746" s="1538">
        <v>0</v>
      </c>
      <c r="K1746" s="1525"/>
      <c r="L1746" s="1519">
        <v>13157010400</v>
      </c>
      <c r="M1746" s="1520">
        <v>0</v>
      </c>
      <c r="N1746" s="1520">
        <v>0</v>
      </c>
      <c r="O1746" s="1521">
        <v>0</v>
      </c>
    </row>
    <row r="1747" spans="3:15" ht="13.5">
      <c r="C1747" s="1526" t="s">
        <v>5705</v>
      </c>
      <c r="D1747" s="1523">
        <v>0</v>
      </c>
      <c r="E1747" s="1523">
        <v>0</v>
      </c>
      <c r="F1747" s="1524">
        <v>0</v>
      </c>
      <c r="G1747" s="1537" t="s">
        <v>5705</v>
      </c>
      <c r="H1747" s="1521">
        <v>0</v>
      </c>
      <c r="I1747" s="1521">
        <v>0</v>
      </c>
      <c r="J1747" s="1538">
        <v>0</v>
      </c>
      <c r="K1747" s="1525"/>
      <c r="L1747" s="1519">
        <v>13157010500</v>
      </c>
      <c r="M1747" s="1520">
        <v>0</v>
      </c>
      <c r="N1747" s="1520">
        <v>0</v>
      </c>
      <c r="O1747" s="1521">
        <v>0</v>
      </c>
    </row>
    <row r="1748" spans="3:15" ht="13.5">
      <c r="C1748" s="1526" t="s">
        <v>5706</v>
      </c>
      <c r="D1748" s="1523">
        <v>0</v>
      </c>
      <c r="E1748" s="1523">
        <v>0</v>
      </c>
      <c r="F1748" s="1524">
        <v>0</v>
      </c>
      <c r="G1748" s="1537" t="s">
        <v>5706</v>
      </c>
      <c r="H1748" s="1521">
        <v>1</v>
      </c>
      <c r="I1748" s="1521">
        <v>0</v>
      </c>
      <c r="J1748" s="1538">
        <v>1</v>
      </c>
      <c r="K1748" s="1525"/>
      <c r="L1748" s="1519">
        <v>13157010600</v>
      </c>
      <c r="M1748" s="1520">
        <v>1</v>
      </c>
      <c r="N1748" s="1520">
        <v>0</v>
      </c>
      <c r="O1748" s="1521">
        <v>1</v>
      </c>
    </row>
    <row r="1749" spans="3:15" ht="13.5">
      <c r="C1749" s="1526" t="s">
        <v>5707</v>
      </c>
      <c r="D1749" s="1523">
        <v>0</v>
      </c>
      <c r="E1749" s="1523">
        <v>1</v>
      </c>
      <c r="F1749" s="1524">
        <v>1</v>
      </c>
      <c r="G1749" s="1537" t="s">
        <v>5707</v>
      </c>
      <c r="H1749" s="1521">
        <v>1</v>
      </c>
      <c r="I1749" s="1521">
        <v>1</v>
      </c>
      <c r="J1749" s="1538">
        <v>1</v>
      </c>
      <c r="K1749" s="1525"/>
      <c r="L1749" s="1519">
        <v>13157010701</v>
      </c>
      <c r="M1749" s="1520">
        <v>1</v>
      </c>
      <c r="N1749" s="1520">
        <v>1</v>
      </c>
      <c r="O1749" s="1521">
        <v>1</v>
      </c>
    </row>
    <row r="1750" spans="3:15" ht="13.5">
      <c r="C1750" s="1526" t="s">
        <v>5708</v>
      </c>
      <c r="D1750" s="1523">
        <v>1</v>
      </c>
      <c r="E1750" s="1523">
        <v>1</v>
      </c>
      <c r="F1750" s="1524">
        <v>2</v>
      </c>
      <c r="G1750" s="1537" t="s">
        <v>5708</v>
      </c>
      <c r="H1750" s="1521">
        <v>1</v>
      </c>
      <c r="I1750" s="1521">
        <v>1</v>
      </c>
      <c r="J1750" s="1538">
        <v>2</v>
      </c>
      <c r="K1750" s="1525"/>
      <c r="L1750" s="1519">
        <v>13157010702</v>
      </c>
      <c r="M1750" s="1520">
        <v>1</v>
      </c>
      <c r="N1750" s="1520">
        <v>1</v>
      </c>
      <c r="O1750" s="1521">
        <v>2</v>
      </c>
    </row>
    <row r="1751" spans="3:15" ht="13.5">
      <c r="C1751" s="1526" t="s">
        <v>5709</v>
      </c>
      <c r="D1751" s="1523">
        <v>1</v>
      </c>
      <c r="E1751" s="1523">
        <v>1</v>
      </c>
      <c r="F1751" s="1524">
        <v>2</v>
      </c>
      <c r="G1751" s="1537" t="s">
        <v>5709</v>
      </c>
      <c r="H1751" s="1521">
        <v>1</v>
      </c>
      <c r="I1751" s="1521">
        <v>1</v>
      </c>
      <c r="J1751" s="1538">
        <v>2</v>
      </c>
      <c r="K1751" s="1525"/>
      <c r="L1751" s="1519">
        <v>13157010703</v>
      </c>
      <c r="M1751" s="1520">
        <v>1</v>
      </c>
      <c r="N1751" s="1520">
        <v>1</v>
      </c>
      <c r="O1751" s="1521">
        <v>2</v>
      </c>
    </row>
    <row r="1752" spans="3:15" ht="13.5">
      <c r="C1752" s="1526" t="s">
        <v>5710</v>
      </c>
      <c r="D1752" s="1523">
        <v>0</v>
      </c>
      <c r="E1752" s="1523">
        <v>0</v>
      </c>
      <c r="F1752" s="1524">
        <v>0</v>
      </c>
      <c r="G1752" s="1537" t="s">
        <v>5710</v>
      </c>
      <c r="H1752" s="1521">
        <v>0</v>
      </c>
      <c r="I1752" s="1521">
        <v>0</v>
      </c>
      <c r="J1752" s="1538">
        <v>0</v>
      </c>
      <c r="K1752" s="1525"/>
      <c r="L1752" s="1519">
        <v>13159010100</v>
      </c>
      <c r="M1752" s="1520">
        <v>0</v>
      </c>
      <c r="N1752" s="1520">
        <v>0</v>
      </c>
      <c r="O1752" s="1521">
        <v>0</v>
      </c>
    </row>
    <row r="1753" spans="3:15" ht="13.5">
      <c r="C1753" s="1526" t="s">
        <v>5711</v>
      </c>
      <c r="D1753" s="1523">
        <v>1</v>
      </c>
      <c r="E1753" s="1523">
        <v>1</v>
      </c>
      <c r="F1753" s="1524">
        <v>2</v>
      </c>
      <c r="G1753" s="1537" t="s">
        <v>5711</v>
      </c>
      <c r="H1753" s="1521">
        <v>0</v>
      </c>
      <c r="I1753" s="1521">
        <v>0</v>
      </c>
      <c r="J1753" s="1538">
        <v>0</v>
      </c>
      <c r="K1753" s="1525"/>
      <c r="L1753" s="1519">
        <v>13159010200</v>
      </c>
      <c r="M1753" s="1520">
        <v>1</v>
      </c>
      <c r="N1753" s="1520">
        <v>1</v>
      </c>
      <c r="O1753" s="1521">
        <v>2</v>
      </c>
    </row>
    <row r="1754" spans="3:15" ht="13.5">
      <c r="C1754" s="1526" t="s">
        <v>5712</v>
      </c>
      <c r="D1754" s="1523">
        <v>0</v>
      </c>
      <c r="E1754" s="1523">
        <v>0</v>
      </c>
      <c r="F1754" s="1524">
        <v>0</v>
      </c>
      <c r="G1754" s="1537" t="s">
        <v>5712</v>
      </c>
      <c r="H1754" s="1521">
        <v>0</v>
      </c>
      <c r="I1754" s="1521">
        <v>0</v>
      </c>
      <c r="J1754" s="1538">
        <v>0</v>
      </c>
      <c r="K1754" s="1525"/>
      <c r="L1754" s="1519">
        <v>13159010500</v>
      </c>
      <c r="M1754" s="1520">
        <v>0</v>
      </c>
      <c r="N1754" s="1520">
        <v>0</v>
      </c>
      <c r="O1754" s="1521">
        <v>0</v>
      </c>
    </row>
    <row r="1755" spans="3:15" ht="13.5">
      <c r="C1755" s="1526" t="s">
        <v>5713</v>
      </c>
      <c r="D1755" s="1523">
        <v>0</v>
      </c>
      <c r="E1755" s="1523">
        <v>0</v>
      </c>
      <c r="F1755" s="1524">
        <v>0</v>
      </c>
      <c r="G1755" s="1537" t="s">
        <v>5713</v>
      </c>
      <c r="H1755" s="1521">
        <v>0</v>
      </c>
      <c r="I1755" s="1521">
        <v>0</v>
      </c>
      <c r="J1755" s="1538">
        <v>0</v>
      </c>
      <c r="K1755" s="1525"/>
      <c r="L1755" s="1519">
        <v>13161960100</v>
      </c>
      <c r="M1755" s="1520">
        <v>0</v>
      </c>
      <c r="N1755" s="1520">
        <v>0</v>
      </c>
      <c r="O1755" s="1521">
        <v>0</v>
      </c>
    </row>
    <row r="1756" spans="3:15" ht="13.5">
      <c r="C1756" s="1526" t="s">
        <v>5714</v>
      </c>
      <c r="D1756" s="1523">
        <v>0</v>
      </c>
      <c r="E1756" s="1523">
        <v>0</v>
      </c>
      <c r="F1756" s="1524">
        <v>0</v>
      </c>
      <c r="G1756" s="1537" t="s">
        <v>5714</v>
      </c>
      <c r="H1756" s="1521">
        <v>0</v>
      </c>
      <c r="I1756" s="1521">
        <v>0</v>
      </c>
      <c r="J1756" s="1538">
        <v>0</v>
      </c>
      <c r="K1756" s="1525"/>
      <c r="L1756" s="1519">
        <v>13161960200</v>
      </c>
      <c r="M1756" s="1520">
        <v>0</v>
      </c>
      <c r="N1756" s="1520">
        <v>0</v>
      </c>
      <c r="O1756" s="1521">
        <v>0</v>
      </c>
    </row>
    <row r="1757" spans="3:15" ht="13.5">
      <c r="C1757" s="1526" t="s">
        <v>5715</v>
      </c>
      <c r="D1757" s="1523">
        <v>0</v>
      </c>
      <c r="E1757" s="1523">
        <v>0</v>
      </c>
      <c r="F1757" s="1524">
        <v>0</v>
      </c>
      <c r="G1757" s="1537" t="s">
        <v>5715</v>
      </c>
      <c r="H1757" s="1521">
        <v>0</v>
      </c>
      <c r="I1757" s="1521">
        <v>0</v>
      </c>
      <c r="J1757" s="1538">
        <v>0</v>
      </c>
      <c r="K1757" s="1525"/>
      <c r="L1757" s="1519">
        <v>13161960300</v>
      </c>
      <c r="M1757" s="1520">
        <v>0</v>
      </c>
      <c r="N1757" s="1520">
        <v>0</v>
      </c>
      <c r="O1757" s="1521">
        <v>0</v>
      </c>
    </row>
    <row r="1758" spans="3:15" ht="13.5">
      <c r="C1758" s="1526" t="s">
        <v>5716</v>
      </c>
      <c r="D1758" s="1523">
        <v>0</v>
      </c>
      <c r="E1758" s="1523">
        <v>0</v>
      </c>
      <c r="F1758" s="1524">
        <v>0</v>
      </c>
      <c r="G1758" s="1537" t="s">
        <v>5716</v>
      </c>
      <c r="H1758" s="1521">
        <v>0</v>
      </c>
      <c r="I1758" s="1521">
        <v>0</v>
      </c>
      <c r="J1758" s="1538">
        <v>0</v>
      </c>
      <c r="K1758" s="1525"/>
      <c r="L1758" s="1519">
        <v>13163960100</v>
      </c>
      <c r="M1758" s="1520">
        <v>0</v>
      </c>
      <c r="N1758" s="1520">
        <v>0</v>
      </c>
      <c r="O1758" s="1521">
        <v>0</v>
      </c>
    </row>
    <row r="1759" spans="3:15" ht="13.5">
      <c r="C1759" s="1526" t="s">
        <v>5717</v>
      </c>
      <c r="D1759" s="1523">
        <v>0</v>
      </c>
      <c r="E1759" s="1523">
        <v>0</v>
      </c>
      <c r="F1759" s="1524">
        <v>0</v>
      </c>
      <c r="G1759" s="1537" t="s">
        <v>5717</v>
      </c>
      <c r="H1759" s="1521">
        <v>0</v>
      </c>
      <c r="I1759" s="1521">
        <v>0</v>
      </c>
      <c r="J1759" s="1538">
        <v>0</v>
      </c>
      <c r="K1759" s="1525"/>
      <c r="L1759" s="1519">
        <v>13163960200</v>
      </c>
      <c r="M1759" s="1520">
        <v>0</v>
      </c>
      <c r="N1759" s="1520">
        <v>0</v>
      </c>
      <c r="O1759" s="1521">
        <v>0</v>
      </c>
    </row>
    <row r="1760" spans="3:15" ht="13.5">
      <c r="C1760" s="1526" t="s">
        <v>5718</v>
      </c>
      <c r="D1760" s="1523">
        <v>0</v>
      </c>
      <c r="E1760" s="1523">
        <v>0</v>
      </c>
      <c r="F1760" s="1524">
        <v>0</v>
      </c>
      <c r="G1760" s="1537" t="s">
        <v>5718</v>
      </c>
      <c r="H1760" s="1521">
        <v>0</v>
      </c>
      <c r="I1760" s="1521">
        <v>0</v>
      </c>
      <c r="J1760" s="1538">
        <v>0</v>
      </c>
      <c r="K1760" s="1525"/>
      <c r="L1760" s="1519">
        <v>13163960300</v>
      </c>
      <c r="M1760" s="1520">
        <v>0</v>
      </c>
      <c r="N1760" s="1520">
        <v>0</v>
      </c>
      <c r="O1760" s="1521">
        <v>0</v>
      </c>
    </row>
    <row r="1761" spans="3:15" ht="13.5">
      <c r="C1761" s="1526" t="s">
        <v>5719</v>
      </c>
      <c r="D1761" s="1523">
        <v>0</v>
      </c>
      <c r="E1761" s="1523">
        <v>0</v>
      </c>
      <c r="F1761" s="1524">
        <v>0</v>
      </c>
      <c r="G1761" s="1537" t="s">
        <v>5719</v>
      </c>
      <c r="H1761" s="1521">
        <v>0</v>
      </c>
      <c r="I1761" s="1521" t="s">
        <v>4096</v>
      </c>
      <c r="J1761" s="1538">
        <v>0</v>
      </c>
      <c r="K1761" s="1525"/>
      <c r="L1761" s="1519">
        <v>13163960400</v>
      </c>
      <c r="M1761" s="1520">
        <v>0</v>
      </c>
      <c r="N1761" s="1520">
        <v>0</v>
      </c>
      <c r="O1761" s="1521">
        <v>0</v>
      </c>
    </row>
    <row r="1762" spans="3:15" ht="13.5">
      <c r="C1762" s="1526" t="s">
        <v>5720</v>
      </c>
      <c r="D1762" s="1523">
        <v>0</v>
      </c>
      <c r="E1762" s="1523">
        <v>0</v>
      </c>
      <c r="F1762" s="1524">
        <v>0</v>
      </c>
      <c r="G1762" s="1537" t="s">
        <v>5720</v>
      </c>
      <c r="H1762" s="1521">
        <v>0</v>
      </c>
      <c r="I1762" s="1521">
        <v>0</v>
      </c>
      <c r="J1762" s="1538">
        <v>0</v>
      </c>
      <c r="K1762" s="1525"/>
      <c r="L1762" s="1519">
        <v>13165960100</v>
      </c>
      <c r="M1762" s="1520">
        <v>0</v>
      </c>
      <c r="N1762" s="1520">
        <v>0</v>
      </c>
      <c r="O1762" s="1521">
        <v>0</v>
      </c>
    </row>
    <row r="1763" spans="3:15" ht="13.5">
      <c r="C1763" s="1526" t="s">
        <v>5721</v>
      </c>
      <c r="D1763" s="1523">
        <v>0</v>
      </c>
      <c r="E1763" s="1523">
        <v>0</v>
      </c>
      <c r="F1763" s="1524">
        <v>0</v>
      </c>
      <c r="G1763" s="1537" t="s">
        <v>5721</v>
      </c>
      <c r="H1763" s="1521">
        <v>0</v>
      </c>
      <c r="I1763" s="1521">
        <v>0</v>
      </c>
      <c r="J1763" s="1538">
        <v>0</v>
      </c>
      <c r="K1763" s="1525"/>
      <c r="L1763" s="1519">
        <v>13165960200</v>
      </c>
      <c r="M1763" s="1520">
        <v>0</v>
      </c>
      <c r="N1763" s="1520">
        <v>0</v>
      </c>
      <c r="O1763" s="1521">
        <v>0</v>
      </c>
    </row>
    <row r="1764" spans="3:15" ht="13.5">
      <c r="C1764" s="1526" t="s">
        <v>5722</v>
      </c>
      <c r="D1764" s="1523">
        <v>0</v>
      </c>
      <c r="E1764" s="1523">
        <v>0</v>
      </c>
      <c r="F1764" s="1524">
        <v>0</v>
      </c>
      <c r="G1764" s="1537" t="s">
        <v>5722</v>
      </c>
      <c r="H1764" s="1521">
        <v>0</v>
      </c>
      <c r="I1764" s="1521">
        <v>1</v>
      </c>
      <c r="J1764" s="1538">
        <v>0</v>
      </c>
      <c r="K1764" s="1525"/>
      <c r="L1764" s="1519">
        <v>13167960100</v>
      </c>
      <c r="M1764" s="1520">
        <v>0</v>
      </c>
      <c r="N1764" s="1520">
        <v>1</v>
      </c>
      <c r="O1764" s="1521">
        <v>0</v>
      </c>
    </row>
    <row r="1765" spans="3:15" ht="13.5">
      <c r="C1765" s="1526" t="s">
        <v>5723</v>
      </c>
      <c r="D1765" s="1523">
        <v>0</v>
      </c>
      <c r="E1765" s="1523">
        <v>0</v>
      </c>
      <c r="F1765" s="1524">
        <v>0</v>
      </c>
      <c r="G1765" s="1537" t="s">
        <v>5723</v>
      </c>
      <c r="H1765" s="1521">
        <v>0</v>
      </c>
      <c r="I1765" s="1521">
        <v>0</v>
      </c>
      <c r="J1765" s="1538">
        <v>0</v>
      </c>
      <c r="K1765" s="1525"/>
      <c r="L1765" s="1519">
        <v>13167960200</v>
      </c>
      <c r="M1765" s="1520">
        <v>0</v>
      </c>
      <c r="N1765" s="1520">
        <v>0</v>
      </c>
      <c r="O1765" s="1521">
        <v>0</v>
      </c>
    </row>
    <row r="1766" spans="3:15" ht="13.5">
      <c r="C1766" s="1526" t="s">
        <v>5724</v>
      </c>
      <c r="D1766" s="1523">
        <v>0</v>
      </c>
      <c r="E1766" s="1523">
        <v>0</v>
      </c>
      <c r="F1766" s="1524">
        <v>0</v>
      </c>
      <c r="G1766" s="1537" t="s">
        <v>5724</v>
      </c>
      <c r="H1766" s="1521">
        <v>1</v>
      </c>
      <c r="I1766" s="1521">
        <v>1</v>
      </c>
      <c r="J1766" s="1538">
        <v>2</v>
      </c>
      <c r="K1766" s="1525"/>
      <c r="L1766" s="1519">
        <v>13167960300</v>
      </c>
      <c r="M1766" s="1520">
        <v>1</v>
      </c>
      <c r="N1766" s="1520">
        <v>1</v>
      </c>
      <c r="O1766" s="1521">
        <v>2</v>
      </c>
    </row>
    <row r="1767" spans="3:15" ht="13.5">
      <c r="C1767" s="1526" t="s">
        <v>5725</v>
      </c>
      <c r="D1767" s="1523">
        <v>1</v>
      </c>
      <c r="E1767" s="1523">
        <v>1</v>
      </c>
      <c r="F1767" s="1524">
        <v>2</v>
      </c>
      <c r="G1767" s="1537" t="s">
        <v>5725</v>
      </c>
      <c r="H1767" s="1521">
        <v>1</v>
      </c>
      <c r="I1767" s="1521">
        <v>1</v>
      </c>
      <c r="J1767" s="1538">
        <v>2</v>
      </c>
      <c r="K1767" s="1525"/>
      <c r="L1767" s="1519">
        <v>13169030101</v>
      </c>
      <c r="M1767" s="1520">
        <v>1</v>
      </c>
      <c r="N1767" s="1520">
        <v>1</v>
      </c>
      <c r="O1767" s="1521">
        <v>2</v>
      </c>
    </row>
    <row r="1768" spans="3:15" ht="13.5">
      <c r="C1768" s="1526" t="s">
        <v>5726</v>
      </c>
      <c r="D1768" s="1523">
        <v>1</v>
      </c>
      <c r="E1768" s="1523">
        <v>1</v>
      </c>
      <c r="F1768" s="1524">
        <v>2</v>
      </c>
      <c r="G1768" s="1537" t="s">
        <v>5726</v>
      </c>
      <c r="H1768" s="1521">
        <v>1</v>
      </c>
      <c r="I1768" s="1521">
        <v>0</v>
      </c>
      <c r="J1768" s="1538">
        <v>1</v>
      </c>
      <c r="K1768" s="1525"/>
      <c r="L1768" s="1519">
        <v>13169030103</v>
      </c>
      <c r="M1768" s="1520">
        <v>1</v>
      </c>
      <c r="N1768" s="1520">
        <v>1</v>
      </c>
      <c r="O1768" s="1521">
        <v>2</v>
      </c>
    </row>
    <row r="1769" spans="3:15" ht="13.5">
      <c r="C1769" s="1526" t="s">
        <v>5727</v>
      </c>
      <c r="D1769" s="1523">
        <v>0</v>
      </c>
      <c r="E1769" s="1523">
        <v>0</v>
      </c>
      <c r="F1769" s="1524">
        <v>0</v>
      </c>
      <c r="G1769" s="1537" t="s">
        <v>5727</v>
      </c>
      <c r="H1769" s="1521">
        <v>0</v>
      </c>
      <c r="I1769" s="1521">
        <v>0</v>
      </c>
      <c r="J1769" s="1538">
        <v>0</v>
      </c>
      <c r="K1769" s="1525"/>
      <c r="L1769" s="1519">
        <v>13169030104</v>
      </c>
      <c r="M1769" s="1520">
        <v>0</v>
      </c>
      <c r="N1769" s="1520">
        <v>0</v>
      </c>
      <c r="O1769" s="1521">
        <v>0</v>
      </c>
    </row>
    <row r="1770" spans="3:15" ht="13.5">
      <c r="C1770" s="1526" t="s">
        <v>5728</v>
      </c>
      <c r="D1770" s="1523">
        <v>0</v>
      </c>
      <c r="E1770" s="1523">
        <v>0</v>
      </c>
      <c r="F1770" s="1524">
        <v>0</v>
      </c>
      <c r="G1770" s="1537" t="s">
        <v>5728</v>
      </c>
      <c r="H1770" s="1521">
        <v>0</v>
      </c>
      <c r="I1770" s="1521">
        <v>0</v>
      </c>
      <c r="J1770" s="1538">
        <v>0</v>
      </c>
      <c r="K1770" s="1525"/>
      <c r="L1770" s="1519">
        <v>13169030200</v>
      </c>
      <c r="M1770" s="1520">
        <v>0</v>
      </c>
      <c r="N1770" s="1520">
        <v>0</v>
      </c>
      <c r="O1770" s="1521">
        <v>0</v>
      </c>
    </row>
    <row r="1771" spans="3:15" ht="13.5">
      <c r="C1771" s="1526" t="s">
        <v>5729</v>
      </c>
      <c r="D1771" s="1523">
        <v>1</v>
      </c>
      <c r="E1771" s="1523">
        <v>1</v>
      </c>
      <c r="F1771" s="1524">
        <v>2</v>
      </c>
      <c r="G1771" s="1537" t="s">
        <v>5729</v>
      </c>
      <c r="H1771" s="1521">
        <v>1</v>
      </c>
      <c r="I1771" s="1521">
        <v>1</v>
      </c>
      <c r="J1771" s="1538">
        <v>2</v>
      </c>
      <c r="K1771" s="1525"/>
      <c r="L1771" s="1519">
        <v>13169030301</v>
      </c>
      <c r="M1771" s="1520">
        <v>1</v>
      </c>
      <c r="N1771" s="1520">
        <v>1</v>
      </c>
      <c r="O1771" s="1521">
        <v>2</v>
      </c>
    </row>
    <row r="1772" spans="3:15" ht="13.5">
      <c r="C1772" s="1526" t="s">
        <v>5730</v>
      </c>
      <c r="D1772" s="1523">
        <v>0</v>
      </c>
      <c r="E1772" s="1523">
        <v>1</v>
      </c>
      <c r="F1772" s="1524">
        <v>1</v>
      </c>
      <c r="G1772" s="1537" t="s">
        <v>5730</v>
      </c>
      <c r="H1772" s="1521">
        <v>0</v>
      </c>
      <c r="I1772" s="1521">
        <v>0</v>
      </c>
      <c r="J1772" s="1538">
        <v>0</v>
      </c>
      <c r="K1772" s="1525"/>
      <c r="L1772" s="1519">
        <v>13169030302</v>
      </c>
      <c r="M1772" s="1520">
        <v>0</v>
      </c>
      <c r="N1772" s="1520">
        <v>1</v>
      </c>
      <c r="O1772" s="1521">
        <v>1</v>
      </c>
    </row>
    <row r="1773" spans="3:15" ht="13.5">
      <c r="C1773" s="1526" t="s">
        <v>5731</v>
      </c>
      <c r="D1773" s="1523">
        <v>0</v>
      </c>
      <c r="E1773" s="1523">
        <v>0</v>
      </c>
      <c r="F1773" s="1524">
        <v>0</v>
      </c>
      <c r="G1773" s="1537" t="s">
        <v>5731</v>
      </c>
      <c r="H1773" s="1521">
        <v>0</v>
      </c>
      <c r="I1773" s="1521">
        <v>0</v>
      </c>
      <c r="J1773" s="1538">
        <v>0</v>
      </c>
      <c r="K1773" s="1525"/>
      <c r="L1773" s="1519">
        <v>13171970100</v>
      </c>
      <c r="M1773" s="1520">
        <v>0</v>
      </c>
      <c r="N1773" s="1520">
        <v>0</v>
      </c>
      <c r="O1773" s="1521">
        <v>0</v>
      </c>
    </row>
    <row r="1774" spans="3:15" ht="13.5">
      <c r="C1774" s="1526" t="s">
        <v>5732</v>
      </c>
      <c r="D1774" s="1523">
        <v>0</v>
      </c>
      <c r="E1774" s="1523">
        <v>0</v>
      </c>
      <c r="F1774" s="1524">
        <v>0</v>
      </c>
      <c r="G1774" s="1537" t="s">
        <v>5732</v>
      </c>
      <c r="H1774" s="1521">
        <v>0</v>
      </c>
      <c r="I1774" s="1521">
        <v>0</v>
      </c>
      <c r="J1774" s="1538">
        <v>0</v>
      </c>
      <c r="K1774" s="1525"/>
      <c r="L1774" s="1519">
        <v>13171970200</v>
      </c>
      <c r="M1774" s="1520">
        <v>0</v>
      </c>
      <c r="N1774" s="1520">
        <v>0</v>
      </c>
      <c r="O1774" s="1521">
        <v>0</v>
      </c>
    </row>
    <row r="1775" spans="3:15" ht="13.5">
      <c r="C1775" s="1526" t="s">
        <v>5733</v>
      </c>
      <c r="D1775" s="1523">
        <v>0</v>
      </c>
      <c r="E1775" s="1523">
        <v>0</v>
      </c>
      <c r="F1775" s="1524">
        <v>0</v>
      </c>
      <c r="G1775" s="1537" t="s">
        <v>5733</v>
      </c>
      <c r="H1775" s="1521">
        <v>0</v>
      </c>
      <c r="I1775" s="1521">
        <v>0</v>
      </c>
      <c r="J1775" s="1538">
        <v>0</v>
      </c>
      <c r="K1775" s="1525"/>
      <c r="L1775" s="1519">
        <v>13171970300</v>
      </c>
      <c r="M1775" s="1520">
        <v>0</v>
      </c>
      <c r="N1775" s="1520">
        <v>0</v>
      </c>
      <c r="O1775" s="1521">
        <v>0</v>
      </c>
    </row>
    <row r="1776" spans="3:15" ht="13.5">
      <c r="C1776" s="1526" t="s">
        <v>5734</v>
      </c>
      <c r="D1776" s="1523">
        <v>0</v>
      </c>
      <c r="E1776" s="1523">
        <v>0</v>
      </c>
      <c r="F1776" s="1524">
        <v>0</v>
      </c>
      <c r="G1776" s="1537" t="s">
        <v>5734</v>
      </c>
      <c r="H1776" s="1521">
        <v>0</v>
      </c>
      <c r="I1776" s="1521">
        <v>0</v>
      </c>
      <c r="J1776" s="1538">
        <v>0</v>
      </c>
      <c r="K1776" s="1525"/>
      <c r="L1776" s="1519">
        <v>13173950100</v>
      </c>
      <c r="M1776" s="1520">
        <v>0</v>
      </c>
      <c r="N1776" s="1520">
        <v>0</v>
      </c>
      <c r="O1776" s="1521">
        <v>0</v>
      </c>
    </row>
    <row r="1777" spans="3:15" ht="13.5">
      <c r="C1777" s="1526" t="s">
        <v>5735</v>
      </c>
      <c r="D1777" s="1523">
        <v>0</v>
      </c>
      <c r="E1777" s="1523">
        <v>0</v>
      </c>
      <c r="F1777" s="1524">
        <v>0</v>
      </c>
      <c r="G1777" s="1537" t="s">
        <v>5735</v>
      </c>
      <c r="H1777" s="1521">
        <v>0</v>
      </c>
      <c r="I1777" s="1521">
        <v>0</v>
      </c>
      <c r="J1777" s="1538">
        <v>0</v>
      </c>
      <c r="K1777" s="1525"/>
      <c r="L1777" s="1519">
        <v>13173950200</v>
      </c>
      <c r="M1777" s="1520">
        <v>0</v>
      </c>
      <c r="N1777" s="1520">
        <v>0</v>
      </c>
      <c r="O1777" s="1521">
        <v>0</v>
      </c>
    </row>
    <row r="1778" spans="3:15" ht="13.5">
      <c r="C1778" s="1526" t="s">
        <v>5736</v>
      </c>
      <c r="D1778" s="1523">
        <v>0</v>
      </c>
      <c r="E1778" s="1523">
        <v>0</v>
      </c>
      <c r="F1778" s="1524">
        <v>0</v>
      </c>
      <c r="G1778" s="1537" t="s">
        <v>5736</v>
      </c>
      <c r="H1778" s="1521">
        <v>0</v>
      </c>
      <c r="I1778" s="1521">
        <v>0</v>
      </c>
      <c r="J1778" s="1538">
        <v>0</v>
      </c>
      <c r="K1778" s="1525"/>
      <c r="L1778" s="1519">
        <v>13175950100</v>
      </c>
      <c r="M1778" s="1520">
        <v>0</v>
      </c>
      <c r="N1778" s="1520">
        <v>0</v>
      </c>
      <c r="O1778" s="1521">
        <v>0</v>
      </c>
    </row>
    <row r="1779" spans="3:15" ht="13.5">
      <c r="C1779" s="1526" t="s">
        <v>5737</v>
      </c>
      <c r="D1779" s="1523">
        <v>0</v>
      </c>
      <c r="E1779" s="1523">
        <v>1</v>
      </c>
      <c r="F1779" s="1524">
        <v>1</v>
      </c>
      <c r="G1779" s="1537" t="s">
        <v>5737</v>
      </c>
      <c r="H1779" s="1521">
        <v>1</v>
      </c>
      <c r="I1779" s="1521">
        <v>1</v>
      </c>
      <c r="J1779" s="1538">
        <v>2</v>
      </c>
      <c r="K1779" s="1525"/>
      <c r="L1779" s="1519">
        <v>13175950201</v>
      </c>
      <c r="M1779" s="1520">
        <v>1</v>
      </c>
      <c r="N1779" s="1520">
        <v>1</v>
      </c>
      <c r="O1779" s="1521">
        <v>2</v>
      </c>
    </row>
    <row r="1780" spans="3:15" ht="13.5">
      <c r="C1780" s="1526" t="s">
        <v>5738</v>
      </c>
      <c r="D1780" s="1523">
        <v>1</v>
      </c>
      <c r="E1780" s="1523">
        <v>1</v>
      </c>
      <c r="F1780" s="1524">
        <v>2</v>
      </c>
      <c r="G1780" s="1537" t="s">
        <v>5738</v>
      </c>
      <c r="H1780" s="1521">
        <v>1</v>
      </c>
      <c r="I1780" s="1521">
        <v>1</v>
      </c>
      <c r="J1780" s="1538">
        <v>2</v>
      </c>
      <c r="K1780" s="1525"/>
      <c r="L1780" s="1519">
        <v>13175950202</v>
      </c>
      <c r="M1780" s="1520">
        <v>1</v>
      </c>
      <c r="N1780" s="1520">
        <v>1</v>
      </c>
      <c r="O1780" s="1521">
        <v>2</v>
      </c>
    </row>
    <row r="1781" spans="3:15" ht="13.5">
      <c r="C1781" s="1526" t="s">
        <v>5739</v>
      </c>
      <c r="D1781" s="1523">
        <v>0</v>
      </c>
      <c r="E1781" s="1523">
        <v>0</v>
      </c>
      <c r="F1781" s="1524">
        <v>0</v>
      </c>
      <c r="G1781" s="1537" t="s">
        <v>5739</v>
      </c>
      <c r="H1781" s="1521">
        <v>0</v>
      </c>
      <c r="I1781" s="1521">
        <v>0</v>
      </c>
      <c r="J1781" s="1538">
        <v>0</v>
      </c>
      <c r="K1781" s="1525"/>
      <c r="L1781" s="1519">
        <v>13175950300</v>
      </c>
      <c r="M1781" s="1520">
        <v>0</v>
      </c>
      <c r="N1781" s="1520">
        <v>0</v>
      </c>
      <c r="O1781" s="1521">
        <v>0</v>
      </c>
    </row>
    <row r="1782" spans="3:15" ht="13.5">
      <c r="C1782" s="1526" t="s">
        <v>5740</v>
      </c>
      <c r="D1782" s="1523">
        <v>0</v>
      </c>
      <c r="E1782" s="1523">
        <v>0</v>
      </c>
      <c r="F1782" s="1524">
        <v>0</v>
      </c>
      <c r="G1782" s="1537" t="s">
        <v>5740</v>
      </c>
      <c r="H1782" s="1521">
        <v>0</v>
      </c>
      <c r="I1782" s="1521">
        <v>0</v>
      </c>
      <c r="J1782" s="1538">
        <v>0</v>
      </c>
      <c r="K1782" s="1525"/>
      <c r="L1782" s="1519">
        <v>13175950400</v>
      </c>
      <c r="M1782" s="1520">
        <v>0</v>
      </c>
      <c r="N1782" s="1520">
        <v>0</v>
      </c>
      <c r="O1782" s="1521">
        <v>0</v>
      </c>
    </row>
    <row r="1783" spans="3:15" ht="13.5">
      <c r="C1783" s="1526" t="s">
        <v>5741</v>
      </c>
      <c r="D1783" s="1523">
        <v>0</v>
      </c>
      <c r="E1783" s="1523">
        <v>0</v>
      </c>
      <c r="F1783" s="1524">
        <v>0</v>
      </c>
      <c r="G1783" s="1537" t="s">
        <v>5741</v>
      </c>
      <c r="H1783" s="1521">
        <v>0</v>
      </c>
      <c r="I1783" s="1521">
        <v>0</v>
      </c>
      <c r="J1783" s="1538">
        <v>0</v>
      </c>
      <c r="K1783" s="1525"/>
      <c r="L1783" s="1519">
        <v>13175950500</v>
      </c>
      <c r="M1783" s="1520">
        <v>0</v>
      </c>
      <c r="N1783" s="1520">
        <v>0</v>
      </c>
      <c r="O1783" s="1521">
        <v>0</v>
      </c>
    </row>
    <row r="1784" spans="3:15" ht="13.5">
      <c r="C1784" s="1526" t="s">
        <v>5742</v>
      </c>
      <c r="D1784" s="1523">
        <v>1</v>
      </c>
      <c r="E1784" s="1523">
        <v>0</v>
      </c>
      <c r="F1784" s="1524">
        <v>1</v>
      </c>
      <c r="G1784" s="1537" t="s">
        <v>5742</v>
      </c>
      <c r="H1784" s="1521">
        <v>0</v>
      </c>
      <c r="I1784" s="1521">
        <v>1</v>
      </c>
      <c r="J1784" s="1538">
        <v>1</v>
      </c>
      <c r="K1784" s="1525"/>
      <c r="L1784" s="1519">
        <v>13175950600</v>
      </c>
      <c r="M1784" s="1520">
        <v>1</v>
      </c>
      <c r="N1784" s="1520">
        <v>1</v>
      </c>
      <c r="O1784" s="1521">
        <v>1</v>
      </c>
    </row>
    <row r="1785" spans="3:15" ht="13.5">
      <c r="C1785" s="1526" t="s">
        <v>5743</v>
      </c>
      <c r="D1785" s="1523">
        <v>0</v>
      </c>
      <c r="E1785" s="1523">
        <v>0</v>
      </c>
      <c r="F1785" s="1524">
        <v>0</v>
      </c>
      <c r="G1785" s="1537" t="s">
        <v>5743</v>
      </c>
      <c r="H1785" s="1521">
        <v>0</v>
      </c>
      <c r="I1785" s="1521">
        <v>1</v>
      </c>
      <c r="J1785" s="1538">
        <v>1</v>
      </c>
      <c r="K1785" s="1525"/>
      <c r="L1785" s="1519">
        <v>13175950700</v>
      </c>
      <c r="M1785" s="1520">
        <v>0</v>
      </c>
      <c r="N1785" s="1520">
        <v>1</v>
      </c>
      <c r="O1785" s="1521">
        <v>1</v>
      </c>
    </row>
    <row r="1786" spans="3:15" ht="13.5">
      <c r="C1786" s="1526" t="s">
        <v>5744</v>
      </c>
      <c r="D1786" s="1523">
        <v>0</v>
      </c>
      <c r="E1786" s="1523">
        <v>0</v>
      </c>
      <c r="F1786" s="1524">
        <v>0</v>
      </c>
      <c r="G1786" s="1537" t="s">
        <v>5744</v>
      </c>
      <c r="H1786" s="1521">
        <v>0</v>
      </c>
      <c r="I1786" s="1521">
        <v>0</v>
      </c>
      <c r="J1786" s="1538">
        <v>0</v>
      </c>
      <c r="K1786" s="1525"/>
      <c r="L1786" s="1519">
        <v>13175950800</v>
      </c>
      <c r="M1786" s="1520">
        <v>0</v>
      </c>
      <c r="N1786" s="1520">
        <v>0</v>
      </c>
      <c r="O1786" s="1521">
        <v>0</v>
      </c>
    </row>
    <row r="1787" spans="3:15" ht="13.5">
      <c r="C1787" s="1526" t="s">
        <v>5745</v>
      </c>
      <c r="D1787" s="1523">
        <v>0</v>
      </c>
      <c r="E1787" s="1523">
        <v>0</v>
      </c>
      <c r="F1787" s="1524">
        <v>0</v>
      </c>
      <c r="G1787" s="1537" t="s">
        <v>5745</v>
      </c>
      <c r="H1787" s="1521">
        <v>0</v>
      </c>
      <c r="I1787" s="1521">
        <v>0</v>
      </c>
      <c r="J1787" s="1538">
        <v>0</v>
      </c>
      <c r="K1787" s="1525"/>
      <c r="L1787" s="1519">
        <v>13175950900</v>
      </c>
      <c r="M1787" s="1520">
        <v>0</v>
      </c>
      <c r="N1787" s="1520">
        <v>0</v>
      </c>
      <c r="O1787" s="1521">
        <v>0</v>
      </c>
    </row>
    <row r="1788" spans="3:15" ht="13.5">
      <c r="C1788" s="1526" t="s">
        <v>5746</v>
      </c>
      <c r="D1788" s="1523">
        <v>0</v>
      </c>
      <c r="E1788" s="1523">
        <v>0</v>
      </c>
      <c r="F1788" s="1524">
        <v>0</v>
      </c>
      <c r="G1788" s="1537" t="s">
        <v>5746</v>
      </c>
      <c r="H1788" s="1521">
        <v>0</v>
      </c>
      <c r="I1788" s="1521">
        <v>0</v>
      </c>
      <c r="J1788" s="1538">
        <v>0</v>
      </c>
      <c r="K1788" s="1525"/>
      <c r="L1788" s="1519">
        <v>13175951000</v>
      </c>
      <c r="M1788" s="1520">
        <v>0</v>
      </c>
      <c r="N1788" s="1520">
        <v>0</v>
      </c>
      <c r="O1788" s="1521">
        <v>0</v>
      </c>
    </row>
    <row r="1789" spans="3:15" ht="13.5">
      <c r="C1789" s="1526" t="s">
        <v>5747</v>
      </c>
      <c r="D1789" s="1523">
        <v>0</v>
      </c>
      <c r="E1789" s="1523">
        <v>0</v>
      </c>
      <c r="F1789" s="1524">
        <v>0</v>
      </c>
      <c r="G1789" s="1537" t="s">
        <v>5747</v>
      </c>
      <c r="H1789" s="1521">
        <v>0</v>
      </c>
      <c r="I1789" s="1521">
        <v>0</v>
      </c>
      <c r="J1789" s="1538">
        <v>0</v>
      </c>
      <c r="K1789" s="1525"/>
      <c r="L1789" s="1519">
        <v>13175951100</v>
      </c>
      <c r="M1789" s="1520">
        <v>0</v>
      </c>
      <c r="N1789" s="1520">
        <v>0</v>
      </c>
      <c r="O1789" s="1521">
        <v>0</v>
      </c>
    </row>
    <row r="1790" spans="3:15" ht="13.5">
      <c r="C1790" s="1526" t="s">
        <v>5748</v>
      </c>
      <c r="D1790" s="1523">
        <v>0</v>
      </c>
      <c r="E1790" s="1523">
        <v>0</v>
      </c>
      <c r="F1790" s="1524">
        <v>0</v>
      </c>
      <c r="G1790" s="1537" t="s">
        <v>5748</v>
      </c>
      <c r="H1790" s="1521">
        <v>0</v>
      </c>
      <c r="I1790" s="1521" t="s">
        <v>4096</v>
      </c>
      <c r="J1790" s="1538">
        <v>0</v>
      </c>
      <c r="K1790" s="1525"/>
      <c r="L1790" s="1519">
        <v>13175951400</v>
      </c>
      <c r="M1790" s="1520">
        <v>0</v>
      </c>
      <c r="N1790" s="1520">
        <v>0</v>
      </c>
      <c r="O1790" s="1521">
        <v>0</v>
      </c>
    </row>
    <row r="1791" spans="3:15" ht="13.5">
      <c r="C1791" s="1526" t="s">
        <v>5749</v>
      </c>
      <c r="D1791" s="1523">
        <v>1</v>
      </c>
      <c r="E1791" s="1523">
        <v>1</v>
      </c>
      <c r="F1791" s="1524">
        <v>2</v>
      </c>
      <c r="G1791" s="1537" t="s">
        <v>5749</v>
      </c>
      <c r="H1791" s="1521">
        <v>0</v>
      </c>
      <c r="I1791" s="1521">
        <v>1</v>
      </c>
      <c r="J1791" s="1538">
        <v>1</v>
      </c>
      <c r="K1791" s="1525"/>
      <c r="L1791" s="1519">
        <v>13177020100</v>
      </c>
      <c r="M1791" s="1520">
        <v>1</v>
      </c>
      <c r="N1791" s="1520">
        <v>1</v>
      </c>
      <c r="O1791" s="1521">
        <v>2</v>
      </c>
    </row>
    <row r="1792" spans="3:15" ht="13.5">
      <c r="C1792" s="1526" t="s">
        <v>5750</v>
      </c>
      <c r="D1792" s="1523">
        <v>0</v>
      </c>
      <c r="E1792" s="1523">
        <v>0</v>
      </c>
      <c r="F1792" s="1524">
        <v>0</v>
      </c>
      <c r="G1792" s="1537" t="s">
        <v>5750</v>
      </c>
      <c r="H1792" s="1521">
        <v>0</v>
      </c>
      <c r="I1792" s="1521" t="s">
        <v>4096</v>
      </c>
      <c r="J1792" s="1538">
        <v>0</v>
      </c>
      <c r="K1792" s="1525"/>
      <c r="L1792" s="1519">
        <v>13177020200</v>
      </c>
      <c r="M1792" s="1520">
        <v>0</v>
      </c>
      <c r="N1792" s="1520">
        <v>0</v>
      </c>
      <c r="O1792" s="1521">
        <v>0</v>
      </c>
    </row>
    <row r="1793" spans="3:15" ht="13.5">
      <c r="C1793" s="1526" t="s">
        <v>5751</v>
      </c>
      <c r="D1793" s="1523">
        <v>0</v>
      </c>
      <c r="E1793" s="1523">
        <v>1</v>
      </c>
      <c r="F1793" s="1524">
        <v>1</v>
      </c>
      <c r="G1793" s="1537" t="s">
        <v>5751</v>
      </c>
      <c r="H1793" s="1521">
        <v>0</v>
      </c>
      <c r="I1793" s="1521">
        <v>0</v>
      </c>
      <c r="J1793" s="1538">
        <v>0</v>
      </c>
      <c r="K1793" s="1525"/>
      <c r="L1793" s="1519">
        <v>13177020300</v>
      </c>
      <c r="M1793" s="1520">
        <v>0</v>
      </c>
      <c r="N1793" s="1520">
        <v>1</v>
      </c>
      <c r="O1793" s="1521">
        <v>1</v>
      </c>
    </row>
    <row r="1794" spans="3:15" ht="13.5">
      <c r="C1794" s="1526" t="s">
        <v>5752</v>
      </c>
      <c r="D1794" s="1523">
        <v>1</v>
      </c>
      <c r="E1794" s="1523">
        <v>1</v>
      </c>
      <c r="F1794" s="1524">
        <v>2</v>
      </c>
      <c r="G1794" s="1537" t="s">
        <v>5752</v>
      </c>
      <c r="H1794" s="1521">
        <v>1</v>
      </c>
      <c r="I1794" s="1521">
        <v>0</v>
      </c>
      <c r="J1794" s="1538">
        <v>1</v>
      </c>
      <c r="K1794" s="1525"/>
      <c r="L1794" s="1519">
        <v>13177020402</v>
      </c>
      <c r="M1794" s="1520">
        <v>1</v>
      </c>
      <c r="N1794" s="1520">
        <v>1</v>
      </c>
      <c r="O1794" s="1521">
        <v>2</v>
      </c>
    </row>
    <row r="1795" spans="3:15" ht="13.5">
      <c r="C1795" s="1526" t="s">
        <v>5753</v>
      </c>
      <c r="D1795" s="1523">
        <v>1</v>
      </c>
      <c r="E1795" s="1523">
        <v>1</v>
      </c>
      <c r="F1795" s="1524">
        <v>2</v>
      </c>
      <c r="G1795" s="1537" t="s">
        <v>5753</v>
      </c>
      <c r="H1795" s="1521">
        <v>1</v>
      </c>
      <c r="I1795" s="1521">
        <v>1</v>
      </c>
      <c r="J1795" s="1538">
        <v>2</v>
      </c>
      <c r="K1795" s="1525"/>
      <c r="L1795" s="1519">
        <v>13177020403</v>
      </c>
      <c r="M1795" s="1520">
        <v>1</v>
      </c>
      <c r="N1795" s="1520">
        <v>1</v>
      </c>
      <c r="O1795" s="1521">
        <v>2</v>
      </c>
    </row>
    <row r="1796" spans="3:15" ht="13.5">
      <c r="C1796" s="1526" t="s">
        <v>5754</v>
      </c>
      <c r="D1796" s="1523">
        <v>0</v>
      </c>
      <c r="E1796" s="1523">
        <v>1</v>
      </c>
      <c r="F1796" s="1524">
        <v>1</v>
      </c>
      <c r="G1796" s="1537" t="s">
        <v>5754</v>
      </c>
      <c r="H1796" s="1521">
        <v>0</v>
      </c>
      <c r="I1796" s="1521" t="s">
        <v>4096</v>
      </c>
      <c r="J1796" s="1538">
        <v>0</v>
      </c>
      <c r="K1796" s="1525"/>
      <c r="L1796" s="1519">
        <v>13179010101</v>
      </c>
      <c r="M1796" s="1520">
        <v>0</v>
      </c>
      <c r="N1796" s="1520">
        <v>1</v>
      </c>
      <c r="O1796" s="1521">
        <v>1</v>
      </c>
    </row>
    <row r="1797" spans="3:15" ht="13.5">
      <c r="C1797" s="1526" t="s">
        <v>5755</v>
      </c>
      <c r="D1797" s="1523">
        <v>1</v>
      </c>
      <c r="E1797" s="1523">
        <v>1</v>
      </c>
      <c r="F1797" s="1524">
        <v>2</v>
      </c>
      <c r="G1797" s="1537" t="s">
        <v>5755</v>
      </c>
      <c r="H1797" s="1521">
        <v>1</v>
      </c>
      <c r="I1797" s="1521" t="s">
        <v>4096</v>
      </c>
      <c r="J1797" s="1538">
        <v>1</v>
      </c>
      <c r="K1797" s="1525"/>
      <c r="L1797" s="1519">
        <v>13179010102</v>
      </c>
      <c r="M1797" s="1520">
        <v>1</v>
      </c>
      <c r="N1797" s="1520">
        <v>1</v>
      </c>
      <c r="O1797" s="1521">
        <v>2</v>
      </c>
    </row>
    <row r="1798" spans="3:15" ht="13.5">
      <c r="C1798" s="1526" t="s">
        <v>5756</v>
      </c>
      <c r="D1798" s="1523">
        <v>0</v>
      </c>
      <c r="E1798" s="1523">
        <v>1</v>
      </c>
      <c r="F1798" s="1524">
        <v>1</v>
      </c>
      <c r="G1798" s="1537" t="s">
        <v>5756</v>
      </c>
      <c r="H1798" s="1521">
        <v>0</v>
      </c>
      <c r="I1798" s="1521" t="s">
        <v>4096</v>
      </c>
      <c r="J1798" s="1538">
        <v>0</v>
      </c>
      <c r="K1798" s="1525"/>
      <c r="L1798" s="1519">
        <v>13179010103</v>
      </c>
      <c r="M1798" s="1520">
        <v>0</v>
      </c>
      <c r="N1798" s="1520">
        <v>1</v>
      </c>
      <c r="O1798" s="1521">
        <v>1</v>
      </c>
    </row>
    <row r="1799" spans="3:15" ht="13.5">
      <c r="C1799" s="1526" t="s">
        <v>5757</v>
      </c>
      <c r="D1799" s="1523">
        <v>0</v>
      </c>
      <c r="E1799" s="1523">
        <v>1</v>
      </c>
      <c r="F1799" s="1524">
        <v>1</v>
      </c>
      <c r="G1799" s="1537" t="s">
        <v>5757</v>
      </c>
      <c r="H1799" s="1521">
        <v>0</v>
      </c>
      <c r="I1799" s="1521">
        <v>1</v>
      </c>
      <c r="J1799" s="1538">
        <v>1</v>
      </c>
      <c r="K1799" s="1525"/>
      <c r="L1799" s="1519">
        <v>13179010202</v>
      </c>
      <c r="M1799" s="1520">
        <v>0</v>
      </c>
      <c r="N1799" s="1520">
        <v>1</v>
      </c>
      <c r="O1799" s="1521">
        <v>1</v>
      </c>
    </row>
    <row r="1800" spans="3:15" ht="13.5">
      <c r="C1800" s="1526" t="s">
        <v>5758</v>
      </c>
      <c r="D1800" s="1523">
        <v>0</v>
      </c>
      <c r="E1800" s="1523">
        <v>0</v>
      </c>
      <c r="F1800" s="1524">
        <v>0</v>
      </c>
      <c r="G1800" s="1537" t="s">
        <v>5758</v>
      </c>
      <c r="H1800" s="1521">
        <v>0</v>
      </c>
      <c r="I1800" s="1521">
        <v>0</v>
      </c>
      <c r="J1800" s="1538">
        <v>0</v>
      </c>
      <c r="K1800" s="1525"/>
      <c r="L1800" s="1519">
        <v>13179010204</v>
      </c>
      <c r="M1800" s="1520">
        <v>0</v>
      </c>
      <c r="N1800" s="1520">
        <v>0</v>
      </c>
      <c r="O1800" s="1521">
        <v>0</v>
      </c>
    </row>
    <row r="1801" spans="3:15" ht="13.5">
      <c r="C1801" s="1526" t="s">
        <v>5759</v>
      </c>
      <c r="D1801" s="1523">
        <v>0</v>
      </c>
      <c r="E1801" s="1523">
        <v>1</v>
      </c>
      <c r="F1801" s="1524">
        <v>1</v>
      </c>
      <c r="G1801" s="1537" t="s">
        <v>5759</v>
      </c>
      <c r="H1801" s="1521">
        <v>0</v>
      </c>
      <c r="I1801" s="1521">
        <v>0</v>
      </c>
      <c r="J1801" s="1538">
        <v>0</v>
      </c>
      <c r="K1801" s="1525"/>
      <c r="L1801" s="1519">
        <v>13179010205</v>
      </c>
      <c r="M1801" s="1520">
        <v>0</v>
      </c>
      <c r="N1801" s="1520">
        <v>1</v>
      </c>
      <c r="O1801" s="1521">
        <v>1</v>
      </c>
    </row>
    <row r="1802" spans="3:15" ht="13.5">
      <c r="C1802" s="1526" t="s">
        <v>5760</v>
      </c>
      <c r="D1802" s="1523">
        <v>0</v>
      </c>
      <c r="E1802" s="1523">
        <v>1</v>
      </c>
      <c r="F1802" s="1524">
        <v>1</v>
      </c>
      <c r="G1802" s="1537" t="s">
        <v>5760</v>
      </c>
      <c r="H1802" s="1521">
        <v>0</v>
      </c>
      <c r="I1802" s="1521">
        <v>1</v>
      </c>
      <c r="J1802" s="1538">
        <v>1</v>
      </c>
      <c r="K1802" s="1525"/>
      <c r="L1802" s="1519">
        <v>13179010206</v>
      </c>
      <c r="M1802" s="1520">
        <v>0</v>
      </c>
      <c r="N1802" s="1520">
        <v>1</v>
      </c>
      <c r="O1802" s="1521">
        <v>1</v>
      </c>
    </row>
    <row r="1803" spans="3:15" ht="13.5">
      <c r="C1803" s="1526" t="s">
        <v>5761</v>
      </c>
      <c r="D1803" s="1523">
        <v>0</v>
      </c>
      <c r="E1803" s="1523">
        <v>0</v>
      </c>
      <c r="F1803" s="1524">
        <v>0</v>
      </c>
      <c r="G1803" s="1537" t="s">
        <v>5761</v>
      </c>
      <c r="H1803" s="1521">
        <v>0</v>
      </c>
      <c r="I1803" s="1521">
        <v>0</v>
      </c>
      <c r="J1803" s="1538">
        <v>0</v>
      </c>
      <c r="K1803" s="1525"/>
      <c r="L1803" s="1519">
        <v>13179010207</v>
      </c>
      <c r="M1803" s="1520">
        <v>0</v>
      </c>
      <c r="N1803" s="1520">
        <v>0</v>
      </c>
      <c r="O1803" s="1521">
        <v>0</v>
      </c>
    </row>
    <row r="1804" spans="3:15" ht="13.5">
      <c r="C1804" s="1526" t="s">
        <v>5762</v>
      </c>
      <c r="D1804" s="1523">
        <v>0</v>
      </c>
      <c r="E1804" s="1523">
        <v>1</v>
      </c>
      <c r="F1804" s="1524">
        <v>1</v>
      </c>
      <c r="G1804" s="1537" t="s">
        <v>5762</v>
      </c>
      <c r="H1804" s="1521">
        <v>0</v>
      </c>
      <c r="I1804" s="1521" t="s">
        <v>4096</v>
      </c>
      <c r="J1804" s="1538">
        <v>0</v>
      </c>
      <c r="K1804" s="1525"/>
      <c r="L1804" s="1519">
        <v>13179010208</v>
      </c>
      <c r="M1804" s="1520">
        <v>0</v>
      </c>
      <c r="N1804" s="1520">
        <v>1</v>
      </c>
      <c r="O1804" s="1521">
        <v>1</v>
      </c>
    </row>
    <row r="1805" spans="3:15" ht="13.5">
      <c r="C1805" s="1526" t="s">
        <v>5763</v>
      </c>
      <c r="D1805" s="1523">
        <v>0</v>
      </c>
      <c r="E1805" s="1523">
        <v>1</v>
      </c>
      <c r="F1805" s="1524">
        <v>1</v>
      </c>
      <c r="G1805" s="1537" t="s">
        <v>5763</v>
      </c>
      <c r="H1805" s="1521">
        <v>0</v>
      </c>
      <c r="I1805" s="1521">
        <v>1</v>
      </c>
      <c r="J1805" s="1538">
        <v>1</v>
      </c>
      <c r="K1805" s="1525"/>
      <c r="L1805" s="1519">
        <v>13179010300</v>
      </c>
      <c r="M1805" s="1520">
        <v>0</v>
      </c>
      <c r="N1805" s="1520">
        <v>1</v>
      </c>
      <c r="O1805" s="1521">
        <v>1</v>
      </c>
    </row>
    <row r="1806" spans="3:15" ht="13.5">
      <c r="C1806" s="1526" t="s">
        <v>5764</v>
      </c>
      <c r="D1806" s="1523">
        <v>0</v>
      </c>
      <c r="E1806" s="1523">
        <v>0</v>
      </c>
      <c r="F1806" s="1524">
        <v>0</v>
      </c>
      <c r="G1806" s="1537" t="s">
        <v>5764</v>
      </c>
      <c r="H1806" s="1521">
        <v>0</v>
      </c>
      <c r="I1806" s="1521">
        <v>0</v>
      </c>
      <c r="J1806" s="1538">
        <v>0</v>
      </c>
      <c r="K1806" s="1525"/>
      <c r="L1806" s="1519">
        <v>13179010400</v>
      </c>
      <c r="M1806" s="1520">
        <v>0</v>
      </c>
      <c r="N1806" s="1520">
        <v>0</v>
      </c>
      <c r="O1806" s="1521">
        <v>0</v>
      </c>
    </row>
    <row r="1807" spans="3:15" ht="13.5">
      <c r="C1807" s="1526" t="s">
        <v>5765</v>
      </c>
      <c r="D1807" s="1523">
        <v>1</v>
      </c>
      <c r="E1807" s="1523">
        <v>1</v>
      </c>
      <c r="F1807" s="1524">
        <v>2</v>
      </c>
      <c r="G1807" s="1537" t="s">
        <v>5765</v>
      </c>
      <c r="H1807" s="1521">
        <v>0</v>
      </c>
      <c r="I1807" s="1521">
        <v>0</v>
      </c>
      <c r="J1807" s="1538">
        <v>0</v>
      </c>
      <c r="K1807" s="1525"/>
      <c r="L1807" s="1519">
        <v>13179010501</v>
      </c>
      <c r="M1807" s="1520">
        <v>1</v>
      </c>
      <c r="N1807" s="1520">
        <v>1</v>
      </c>
      <c r="O1807" s="1521">
        <v>2</v>
      </c>
    </row>
    <row r="1808" spans="3:15" ht="13.5">
      <c r="C1808" s="1526" t="s">
        <v>5766</v>
      </c>
      <c r="D1808" s="1523">
        <v>0</v>
      </c>
      <c r="E1808" s="1523">
        <v>0</v>
      </c>
      <c r="F1808" s="1524">
        <v>0</v>
      </c>
      <c r="G1808" s="1537" t="s">
        <v>5766</v>
      </c>
      <c r="H1808" s="1521">
        <v>0</v>
      </c>
      <c r="I1808" s="1521">
        <v>0</v>
      </c>
      <c r="J1808" s="1538">
        <v>0</v>
      </c>
      <c r="K1808" s="1525"/>
      <c r="L1808" s="1519">
        <v>13179010502</v>
      </c>
      <c r="M1808" s="1520">
        <v>0</v>
      </c>
      <c r="N1808" s="1520">
        <v>0</v>
      </c>
      <c r="O1808" s="1521">
        <v>0</v>
      </c>
    </row>
    <row r="1809" spans="3:15" ht="13.5">
      <c r="C1809" s="1526" t="s">
        <v>5767</v>
      </c>
      <c r="D1809" s="1523">
        <v>0</v>
      </c>
      <c r="E1809" s="1523">
        <v>0</v>
      </c>
      <c r="F1809" s="1524">
        <v>0</v>
      </c>
      <c r="G1809" s="1537" t="s">
        <v>5767</v>
      </c>
      <c r="H1809" s="1521">
        <v>0</v>
      </c>
      <c r="I1809" s="1521">
        <v>0</v>
      </c>
      <c r="J1809" s="1538">
        <v>0</v>
      </c>
      <c r="K1809" s="1525"/>
      <c r="L1809" s="1519">
        <v>13179010600</v>
      </c>
      <c r="M1809" s="1520">
        <v>0</v>
      </c>
      <c r="N1809" s="1520">
        <v>0</v>
      </c>
      <c r="O1809" s="1521">
        <v>0</v>
      </c>
    </row>
    <row r="1810" spans="3:15" ht="13.5">
      <c r="C1810" s="1526" t="s">
        <v>5768</v>
      </c>
      <c r="D1810" s="1523" t="s">
        <v>4096</v>
      </c>
      <c r="E1810" s="1523" t="s">
        <v>4096</v>
      </c>
      <c r="F1810" s="1524">
        <v>0</v>
      </c>
      <c r="G1810" s="1537" t="s">
        <v>5768</v>
      </c>
      <c r="H1810" s="1521" t="s">
        <v>4096</v>
      </c>
      <c r="I1810" s="1521" t="s">
        <v>4096</v>
      </c>
      <c r="J1810" s="1538">
        <v>0</v>
      </c>
      <c r="K1810" s="1525"/>
      <c r="L1810" s="1519">
        <v>13179990000</v>
      </c>
      <c r="M1810" s="1520">
        <v>0</v>
      </c>
      <c r="N1810" s="1520">
        <v>0</v>
      </c>
      <c r="O1810" s="1521">
        <v>0</v>
      </c>
    </row>
    <row r="1811" spans="3:15" ht="13.5">
      <c r="C1811" s="1526" t="s">
        <v>5769</v>
      </c>
      <c r="D1811" s="1523">
        <v>0</v>
      </c>
      <c r="E1811" s="1523">
        <v>0</v>
      </c>
      <c r="F1811" s="1524">
        <v>0</v>
      </c>
      <c r="G1811" s="1537" t="s">
        <v>5769</v>
      </c>
      <c r="H1811" s="1521">
        <v>0</v>
      </c>
      <c r="I1811" s="1521">
        <v>1</v>
      </c>
      <c r="J1811" s="1538">
        <v>1</v>
      </c>
      <c r="K1811" s="1525"/>
      <c r="L1811" s="1519">
        <v>13181970100</v>
      </c>
      <c r="M1811" s="1520">
        <v>0</v>
      </c>
      <c r="N1811" s="1520">
        <v>1</v>
      </c>
      <c r="O1811" s="1521">
        <v>1</v>
      </c>
    </row>
    <row r="1812" spans="3:15" ht="13.5">
      <c r="C1812" s="1526" t="s">
        <v>5770</v>
      </c>
      <c r="D1812" s="1523">
        <v>0</v>
      </c>
      <c r="E1812" s="1523">
        <v>0</v>
      </c>
      <c r="F1812" s="1524">
        <v>0</v>
      </c>
      <c r="G1812" s="1537" t="s">
        <v>5770</v>
      </c>
      <c r="H1812" s="1521">
        <v>0</v>
      </c>
      <c r="I1812" s="1521">
        <v>0</v>
      </c>
      <c r="J1812" s="1538">
        <v>0</v>
      </c>
      <c r="K1812" s="1525"/>
      <c r="L1812" s="1519">
        <v>13181970200</v>
      </c>
      <c r="M1812" s="1520">
        <v>0</v>
      </c>
      <c r="N1812" s="1520">
        <v>0</v>
      </c>
      <c r="O1812" s="1521">
        <v>0</v>
      </c>
    </row>
    <row r="1813" spans="3:15" ht="13.5">
      <c r="C1813" s="1526" t="s">
        <v>5771</v>
      </c>
      <c r="D1813" s="1523">
        <v>0</v>
      </c>
      <c r="E1813" s="1523">
        <v>0</v>
      </c>
      <c r="F1813" s="1524">
        <v>0</v>
      </c>
      <c r="G1813" s="1537" t="s">
        <v>5771</v>
      </c>
      <c r="H1813" s="1521">
        <v>0</v>
      </c>
      <c r="I1813" s="1521">
        <v>0</v>
      </c>
      <c r="J1813" s="1538">
        <v>0</v>
      </c>
      <c r="K1813" s="1525"/>
      <c r="L1813" s="1519">
        <v>13183970100</v>
      </c>
      <c r="M1813" s="1520">
        <v>0</v>
      </c>
      <c r="N1813" s="1520">
        <v>0</v>
      </c>
      <c r="O1813" s="1521">
        <v>0</v>
      </c>
    </row>
    <row r="1814" spans="3:15" ht="13.5">
      <c r="C1814" s="1526" t="s">
        <v>5772</v>
      </c>
      <c r="D1814" s="1523">
        <v>0</v>
      </c>
      <c r="E1814" s="1523">
        <v>0</v>
      </c>
      <c r="F1814" s="1524">
        <v>0</v>
      </c>
      <c r="G1814" s="1537" t="s">
        <v>5772</v>
      </c>
      <c r="H1814" s="1521">
        <v>0</v>
      </c>
      <c r="I1814" s="1521">
        <v>1</v>
      </c>
      <c r="J1814" s="1538">
        <v>1</v>
      </c>
      <c r="K1814" s="1525"/>
      <c r="L1814" s="1519">
        <v>13183970200</v>
      </c>
      <c r="M1814" s="1520">
        <v>0</v>
      </c>
      <c r="N1814" s="1520">
        <v>1</v>
      </c>
      <c r="O1814" s="1521">
        <v>1</v>
      </c>
    </row>
    <row r="1815" spans="3:15" ht="13.5">
      <c r="C1815" s="1526" t="s">
        <v>5773</v>
      </c>
      <c r="D1815" s="1523" t="s">
        <v>4096</v>
      </c>
      <c r="E1815" s="1523" t="s">
        <v>4096</v>
      </c>
      <c r="F1815" s="1524">
        <v>0</v>
      </c>
      <c r="G1815" s="1537" t="s">
        <v>5773</v>
      </c>
      <c r="H1815" s="1521" t="s">
        <v>4096</v>
      </c>
      <c r="I1815" s="1521" t="s">
        <v>4096</v>
      </c>
      <c r="J1815" s="1538">
        <v>0</v>
      </c>
      <c r="K1815" s="1525"/>
      <c r="L1815" s="1519">
        <v>13183980000</v>
      </c>
      <c r="M1815" s="1520">
        <v>0</v>
      </c>
      <c r="N1815" s="1520">
        <v>0</v>
      </c>
      <c r="O1815" s="1521">
        <v>0</v>
      </c>
    </row>
    <row r="1816" spans="3:15" ht="13.5">
      <c r="C1816" s="1526" t="s">
        <v>5774</v>
      </c>
      <c r="D1816" s="1523">
        <v>0</v>
      </c>
      <c r="E1816" s="1523">
        <v>1</v>
      </c>
      <c r="F1816" s="1524">
        <v>1</v>
      </c>
      <c r="G1816" s="1537" t="s">
        <v>5774</v>
      </c>
      <c r="H1816" s="1521">
        <v>0</v>
      </c>
      <c r="I1816" s="1521">
        <v>0</v>
      </c>
      <c r="J1816" s="1538">
        <v>0</v>
      </c>
      <c r="K1816" s="1525"/>
      <c r="L1816" s="1519">
        <v>13185010101</v>
      </c>
      <c r="M1816" s="1520">
        <v>0</v>
      </c>
      <c r="N1816" s="1520">
        <v>1</v>
      </c>
      <c r="O1816" s="1521">
        <v>1</v>
      </c>
    </row>
    <row r="1817" spans="3:15" ht="13.5">
      <c r="C1817" s="1526" t="s">
        <v>5775</v>
      </c>
      <c r="D1817" s="1523">
        <v>0</v>
      </c>
      <c r="E1817" s="1523">
        <v>1</v>
      </c>
      <c r="F1817" s="1524">
        <v>1</v>
      </c>
      <c r="G1817" s="1537" t="s">
        <v>5775</v>
      </c>
      <c r="H1817" s="1521">
        <v>0</v>
      </c>
      <c r="I1817" s="1521">
        <v>1</v>
      </c>
      <c r="J1817" s="1538">
        <v>1</v>
      </c>
      <c r="K1817" s="1525"/>
      <c r="L1817" s="1519">
        <v>13185010102</v>
      </c>
      <c r="M1817" s="1520">
        <v>0</v>
      </c>
      <c r="N1817" s="1520">
        <v>1</v>
      </c>
      <c r="O1817" s="1521">
        <v>1</v>
      </c>
    </row>
    <row r="1818" spans="3:15" ht="13.5">
      <c r="C1818" s="1526" t="s">
        <v>5776</v>
      </c>
      <c r="D1818" s="1523">
        <v>1</v>
      </c>
      <c r="E1818" s="1523">
        <v>1</v>
      </c>
      <c r="F1818" s="1524">
        <v>2</v>
      </c>
      <c r="G1818" s="1537" t="s">
        <v>5776</v>
      </c>
      <c r="H1818" s="1521">
        <v>1</v>
      </c>
      <c r="I1818" s="1521">
        <v>1</v>
      </c>
      <c r="J1818" s="1538">
        <v>2</v>
      </c>
      <c r="K1818" s="1525"/>
      <c r="L1818" s="1519">
        <v>13185010103</v>
      </c>
      <c r="M1818" s="1520">
        <v>1</v>
      </c>
      <c r="N1818" s="1520">
        <v>1</v>
      </c>
      <c r="O1818" s="1521">
        <v>2</v>
      </c>
    </row>
    <row r="1819" spans="3:15" ht="13.5">
      <c r="C1819" s="1526" t="s">
        <v>5777</v>
      </c>
      <c r="D1819" s="1523">
        <v>0</v>
      </c>
      <c r="E1819" s="1523">
        <v>1</v>
      </c>
      <c r="F1819" s="1524">
        <v>1</v>
      </c>
      <c r="G1819" s="1537" t="s">
        <v>5777</v>
      </c>
      <c r="H1819" s="1521">
        <v>0</v>
      </c>
      <c r="I1819" s="1521">
        <v>1</v>
      </c>
      <c r="J1819" s="1538">
        <v>1</v>
      </c>
      <c r="K1819" s="1525"/>
      <c r="L1819" s="1519">
        <v>13185010201</v>
      </c>
      <c r="M1819" s="1520">
        <v>0</v>
      </c>
      <c r="N1819" s="1520">
        <v>1</v>
      </c>
      <c r="O1819" s="1521">
        <v>1</v>
      </c>
    </row>
    <row r="1820" spans="3:15" ht="13.5">
      <c r="C1820" s="1526" t="s">
        <v>5778</v>
      </c>
      <c r="D1820" s="1523">
        <v>1</v>
      </c>
      <c r="E1820" s="1523">
        <v>1</v>
      </c>
      <c r="F1820" s="1524">
        <v>2</v>
      </c>
      <c r="G1820" s="1537" t="s">
        <v>5778</v>
      </c>
      <c r="H1820" s="1521">
        <v>1</v>
      </c>
      <c r="I1820" s="1521">
        <v>1</v>
      </c>
      <c r="J1820" s="1538">
        <v>2</v>
      </c>
      <c r="K1820" s="1525"/>
      <c r="L1820" s="1519">
        <v>13185010202</v>
      </c>
      <c r="M1820" s="1520">
        <v>1</v>
      </c>
      <c r="N1820" s="1520">
        <v>1</v>
      </c>
      <c r="O1820" s="1521">
        <v>2</v>
      </c>
    </row>
    <row r="1821" spans="3:15" ht="13.5">
      <c r="C1821" s="1526" t="s">
        <v>5779</v>
      </c>
      <c r="D1821" s="1523">
        <v>1</v>
      </c>
      <c r="E1821" s="1523">
        <v>1</v>
      </c>
      <c r="F1821" s="1524">
        <v>2</v>
      </c>
      <c r="G1821" s="1537" t="s">
        <v>5779</v>
      </c>
      <c r="H1821" s="1521">
        <v>1</v>
      </c>
      <c r="I1821" s="1521">
        <v>1</v>
      </c>
      <c r="J1821" s="1538">
        <v>2</v>
      </c>
      <c r="K1821" s="1525"/>
      <c r="L1821" s="1519">
        <v>13185010301</v>
      </c>
      <c r="M1821" s="1520">
        <v>1</v>
      </c>
      <c r="N1821" s="1520">
        <v>1</v>
      </c>
      <c r="O1821" s="1521">
        <v>2</v>
      </c>
    </row>
    <row r="1822" spans="3:15" ht="13.5">
      <c r="C1822" s="1526" t="s">
        <v>5780</v>
      </c>
      <c r="D1822" s="1523">
        <v>1</v>
      </c>
      <c r="E1822" s="1523">
        <v>1</v>
      </c>
      <c r="F1822" s="1524">
        <v>2</v>
      </c>
      <c r="G1822" s="1537" t="s">
        <v>5780</v>
      </c>
      <c r="H1822" s="1521">
        <v>1</v>
      </c>
      <c r="I1822" s="1521">
        <v>1</v>
      </c>
      <c r="J1822" s="1538">
        <v>2</v>
      </c>
      <c r="K1822" s="1525"/>
      <c r="L1822" s="1519">
        <v>13185010302</v>
      </c>
      <c r="M1822" s="1520">
        <v>1</v>
      </c>
      <c r="N1822" s="1520">
        <v>1</v>
      </c>
      <c r="O1822" s="1521">
        <v>2</v>
      </c>
    </row>
    <row r="1823" spans="3:15" ht="13.5">
      <c r="C1823" s="1526" t="s">
        <v>5781</v>
      </c>
      <c r="D1823" s="1523">
        <v>1</v>
      </c>
      <c r="E1823" s="1523">
        <v>1</v>
      </c>
      <c r="F1823" s="1524">
        <v>2</v>
      </c>
      <c r="G1823" s="1537" t="s">
        <v>5781</v>
      </c>
      <c r="H1823" s="1521">
        <v>1</v>
      </c>
      <c r="I1823" s="1521">
        <v>1</v>
      </c>
      <c r="J1823" s="1538">
        <v>2</v>
      </c>
      <c r="K1823" s="1525"/>
      <c r="L1823" s="1519">
        <v>13185010401</v>
      </c>
      <c r="M1823" s="1520">
        <v>1</v>
      </c>
      <c r="N1823" s="1520">
        <v>1</v>
      </c>
      <c r="O1823" s="1521">
        <v>2</v>
      </c>
    </row>
    <row r="1824" spans="3:15" ht="13.5">
      <c r="C1824" s="1526" t="s">
        <v>5782</v>
      </c>
      <c r="D1824" s="1523">
        <v>0</v>
      </c>
      <c r="E1824" s="1523">
        <v>0</v>
      </c>
      <c r="F1824" s="1524">
        <v>0</v>
      </c>
      <c r="G1824" s="1537" t="s">
        <v>5782</v>
      </c>
      <c r="H1824" s="1521">
        <v>0</v>
      </c>
      <c r="I1824" s="1521">
        <v>0</v>
      </c>
      <c r="J1824" s="1538">
        <v>0</v>
      </c>
      <c r="K1824" s="1525"/>
      <c r="L1824" s="1519">
        <v>13185010402</v>
      </c>
      <c r="M1824" s="1520">
        <v>0</v>
      </c>
      <c r="N1824" s="1520">
        <v>0</v>
      </c>
      <c r="O1824" s="1521">
        <v>0</v>
      </c>
    </row>
    <row r="1825" spans="3:15" ht="13.5">
      <c r="C1825" s="1526" t="s">
        <v>5783</v>
      </c>
      <c r="D1825" s="1523">
        <v>0</v>
      </c>
      <c r="E1825" s="1523">
        <v>0</v>
      </c>
      <c r="F1825" s="1524">
        <v>0</v>
      </c>
      <c r="G1825" s="1537" t="s">
        <v>5783</v>
      </c>
      <c r="H1825" s="1521">
        <v>0</v>
      </c>
      <c r="I1825" s="1521">
        <v>0</v>
      </c>
      <c r="J1825" s="1538">
        <v>0</v>
      </c>
      <c r="K1825" s="1525"/>
      <c r="L1825" s="1519">
        <v>13185010500</v>
      </c>
      <c r="M1825" s="1520">
        <v>0</v>
      </c>
      <c r="N1825" s="1520">
        <v>0</v>
      </c>
      <c r="O1825" s="1521">
        <v>0</v>
      </c>
    </row>
    <row r="1826" spans="3:15" ht="13.5">
      <c r="C1826" s="1526" t="s">
        <v>5784</v>
      </c>
      <c r="D1826" s="1523">
        <v>0</v>
      </c>
      <c r="E1826" s="1523">
        <v>0</v>
      </c>
      <c r="F1826" s="1524">
        <v>0</v>
      </c>
      <c r="G1826" s="1537" t="s">
        <v>5784</v>
      </c>
      <c r="H1826" s="1521">
        <v>0</v>
      </c>
      <c r="I1826" s="1521">
        <v>1</v>
      </c>
      <c r="J1826" s="1538">
        <v>1</v>
      </c>
      <c r="K1826" s="1525"/>
      <c r="L1826" s="1519">
        <v>13185010601</v>
      </c>
      <c r="M1826" s="1520">
        <v>0</v>
      </c>
      <c r="N1826" s="1520">
        <v>1</v>
      </c>
      <c r="O1826" s="1521">
        <v>1</v>
      </c>
    </row>
    <row r="1827" spans="3:15" ht="13.5">
      <c r="C1827" s="1526" t="s">
        <v>5785</v>
      </c>
      <c r="D1827" s="1523">
        <v>1</v>
      </c>
      <c r="E1827" s="1523">
        <v>1</v>
      </c>
      <c r="F1827" s="1524">
        <v>2</v>
      </c>
      <c r="G1827" s="1537" t="s">
        <v>5785</v>
      </c>
      <c r="H1827" s="1521">
        <v>1</v>
      </c>
      <c r="I1827" s="1521">
        <v>1</v>
      </c>
      <c r="J1827" s="1538">
        <v>2</v>
      </c>
      <c r="K1827" s="1525"/>
      <c r="L1827" s="1519">
        <v>13185010604</v>
      </c>
      <c r="M1827" s="1520">
        <v>1</v>
      </c>
      <c r="N1827" s="1520">
        <v>1</v>
      </c>
      <c r="O1827" s="1521">
        <v>2</v>
      </c>
    </row>
    <row r="1828" spans="3:15" ht="13.5">
      <c r="C1828" s="1526" t="s">
        <v>5786</v>
      </c>
      <c r="D1828" s="1523">
        <v>0</v>
      </c>
      <c r="E1828" s="1523">
        <v>0</v>
      </c>
      <c r="F1828" s="1524">
        <v>0</v>
      </c>
      <c r="G1828" s="1537" t="s">
        <v>5786</v>
      </c>
      <c r="H1828" s="1521">
        <v>0</v>
      </c>
      <c r="I1828" s="1521">
        <v>0</v>
      </c>
      <c r="J1828" s="1538">
        <v>0</v>
      </c>
      <c r="K1828" s="1525"/>
      <c r="L1828" s="1519">
        <v>13185010700</v>
      </c>
      <c r="M1828" s="1520">
        <v>0</v>
      </c>
      <c r="N1828" s="1520">
        <v>0</v>
      </c>
      <c r="O1828" s="1521">
        <v>0</v>
      </c>
    </row>
    <row r="1829" spans="3:15" ht="13.5">
      <c r="C1829" s="1526" t="s">
        <v>5787</v>
      </c>
      <c r="D1829" s="1523">
        <v>0</v>
      </c>
      <c r="E1829" s="1523">
        <v>0</v>
      </c>
      <c r="F1829" s="1524">
        <v>0</v>
      </c>
      <c r="G1829" s="1537" t="s">
        <v>5787</v>
      </c>
      <c r="H1829" s="1521">
        <v>0</v>
      </c>
      <c r="I1829" s="1521">
        <v>0</v>
      </c>
      <c r="J1829" s="1538">
        <v>0</v>
      </c>
      <c r="K1829" s="1525"/>
      <c r="L1829" s="1519">
        <v>13185010800</v>
      </c>
      <c r="M1829" s="1520">
        <v>0</v>
      </c>
      <c r="N1829" s="1520">
        <v>0</v>
      </c>
      <c r="O1829" s="1521">
        <v>0</v>
      </c>
    </row>
    <row r="1830" spans="3:15" ht="13.5">
      <c r="C1830" s="1526" t="s">
        <v>5788</v>
      </c>
      <c r="D1830" s="1523">
        <v>0</v>
      </c>
      <c r="E1830" s="1523">
        <v>0</v>
      </c>
      <c r="F1830" s="1524">
        <v>0</v>
      </c>
      <c r="G1830" s="1537" t="s">
        <v>5788</v>
      </c>
      <c r="H1830" s="1521">
        <v>0</v>
      </c>
      <c r="I1830" s="1521">
        <v>0</v>
      </c>
      <c r="J1830" s="1538">
        <v>0</v>
      </c>
      <c r="K1830" s="1525"/>
      <c r="L1830" s="1519">
        <v>13185010900</v>
      </c>
      <c r="M1830" s="1520">
        <v>0</v>
      </c>
      <c r="N1830" s="1520">
        <v>0</v>
      </c>
      <c r="O1830" s="1521">
        <v>0</v>
      </c>
    </row>
    <row r="1831" spans="3:15" ht="13.5">
      <c r="C1831" s="1526" t="s">
        <v>5789</v>
      </c>
      <c r="D1831" s="1523">
        <v>0</v>
      </c>
      <c r="E1831" s="1523">
        <v>0</v>
      </c>
      <c r="F1831" s="1524">
        <v>0</v>
      </c>
      <c r="G1831" s="1537" t="s">
        <v>5789</v>
      </c>
      <c r="H1831" s="1521">
        <v>0</v>
      </c>
      <c r="I1831" s="1521">
        <v>0</v>
      </c>
      <c r="J1831" s="1538">
        <v>0</v>
      </c>
      <c r="K1831" s="1525"/>
      <c r="L1831" s="1519">
        <v>13185011000</v>
      </c>
      <c r="M1831" s="1520">
        <v>0</v>
      </c>
      <c r="N1831" s="1520">
        <v>0</v>
      </c>
      <c r="O1831" s="1521">
        <v>0</v>
      </c>
    </row>
    <row r="1832" spans="3:15" ht="13.5">
      <c r="C1832" s="1526" t="s">
        <v>5790</v>
      </c>
      <c r="D1832" s="1523">
        <v>0</v>
      </c>
      <c r="E1832" s="1523">
        <v>0</v>
      </c>
      <c r="F1832" s="1524">
        <v>0</v>
      </c>
      <c r="G1832" s="1537" t="s">
        <v>5790</v>
      </c>
      <c r="H1832" s="1521">
        <v>0</v>
      </c>
      <c r="I1832" s="1521">
        <v>1</v>
      </c>
      <c r="J1832" s="1538">
        <v>1</v>
      </c>
      <c r="K1832" s="1525"/>
      <c r="L1832" s="1519">
        <v>13185011100</v>
      </c>
      <c r="M1832" s="1520">
        <v>0</v>
      </c>
      <c r="N1832" s="1520">
        <v>1</v>
      </c>
      <c r="O1832" s="1521">
        <v>1</v>
      </c>
    </row>
    <row r="1833" spans="3:15" ht="13.5">
      <c r="C1833" s="1526" t="s">
        <v>5791</v>
      </c>
      <c r="D1833" s="1523">
        <v>0</v>
      </c>
      <c r="E1833" s="1523">
        <v>0</v>
      </c>
      <c r="F1833" s="1524">
        <v>0</v>
      </c>
      <c r="G1833" s="1537" t="s">
        <v>5791</v>
      </c>
      <c r="H1833" s="1521">
        <v>0</v>
      </c>
      <c r="I1833" s="1521">
        <v>0</v>
      </c>
      <c r="J1833" s="1538">
        <v>0</v>
      </c>
      <c r="K1833" s="1525"/>
      <c r="L1833" s="1519">
        <v>13185011200</v>
      </c>
      <c r="M1833" s="1520">
        <v>0</v>
      </c>
      <c r="N1833" s="1520">
        <v>0</v>
      </c>
      <c r="O1833" s="1521">
        <v>0</v>
      </c>
    </row>
    <row r="1834" spans="3:15" ht="13.5">
      <c r="C1834" s="1526" t="s">
        <v>5792</v>
      </c>
      <c r="D1834" s="1523">
        <v>0</v>
      </c>
      <c r="E1834" s="1523">
        <v>0</v>
      </c>
      <c r="F1834" s="1524">
        <v>0</v>
      </c>
      <c r="G1834" s="1537" t="s">
        <v>5792</v>
      </c>
      <c r="H1834" s="1521">
        <v>0</v>
      </c>
      <c r="I1834" s="1521">
        <v>0</v>
      </c>
      <c r="J1834" s="1538">
        <v>0</v>
      </c>
      <c r="K1834" s="1525"/>
      <c r="L1834" s="1519">
        <v>13185011301</v>
      </c>
      <c r="M1834" s="1520">
        <v>0</v>
      </c>
      <c r="N1834" s="1520">
        <v>0</v>
      </c>
      <c r="O1834" s="1521">
        <v>0</v>
      </c>
    </row>
    <row r="1835" spans="3:15" ht="13.5">
      <c r="C1835" s="1526" t="s">
        <v>5793</v>
      </c>
      <c r="D1835" s="1523">
        <v>0</v>
      </c>
      <c r="E1835" s="1523">
        <v>0</v>
      </c>
      <c r="F1835" s="1524">
        <v>0</v>
      </c>
      <c r="G1835" s="1537" t="s">
        <v>5793</v>
      </c>
      <c r="H1835" s="1521">
        <v>0</v>
      </c>
      <c r="I1835" s="1521">
        <v>0</v>
      </c>
      <c r="J1835" s="1538">
        <v>0</v>
      </c>
      <c r="K1835" s="1525"/>
      <c r="L1835" s="1519">
        <v>13185011302</v>
      </c>
      <c r="M1835" s="1520">
        <v>0</v>
      </c>
      <c r="N1835" s="1520">
        <v>0</v>
      </c>
      <c r="O1835" s="1521">
        <v>0</v>
      </c>
    </row>
    <row r="1836" spans="3:15" ht="13.5">
      <c r="C1836" s="1526" t="s">
        <v>5794</v>
      </c>
      <c r="D1836" s="1523">
        <v>0</v>
      </c>
      <c r="E1836" s="1523">
        <v>0</v>
      </c>
      <c r="F1836" s="1524">
        <v>0</v>
      </c>
      <c r="G1836" s="1537" t="s">
        <v>5794</v>
      </c>
      <c r="H1836" s="1521">
        <v>0</v>
      </c>
      <c r="I1836" s="1521">
        <v>1</v>
      </c>
      <c r="J1836" s="1538">
        <v>1</v>
      </c>
      <c r="K1836" s="1525"/>
      <c r="L1836" s="1519">
        <v>13185011401</v>
      </c>
      <c r="M1836" s="1520">
        <v>0</v>
      </c>
      <c r="N1836" s="1520">
        <v>1</v>
      </c>
      <c r="O1836" s="1521">
        <v>1</v>
      </c>
    </row>
    <row r="1837" spans="3:15" ht="13.5">
      <c r="C1837" s="1526" t="s">
        <v>5795</v>
      </c>
      <c r="D1837" s="1523">
        <v>0</v>
      </c>
      <c r="E1837" s="1523">
        <v>0</v>
      </c>
      <c r="F1837" s="1524">
        <v>0</v>
      </c>
      <c r="G1837" s="1537" t="s">
        <v>5795</v>
      </c>
      <c r="H1837" s="1521">
        <v>0</v>
      </c>
      <c r="I1837" s="1521">
        <v>0</v>
      </c>
      <c r="J1837" s="1538">
        <v>0</v>
      </c>
      <c r="K1837" s="1525"/>
      <c r="L1837" s="1519">
        <v>13185011402</v>
      </c>
      <c r="M1837" s="1520">
        <v>0</v>
      </c>
      <c r="N1837" s="1520">
        <v>0</v>
      </c>
      <c r="O1837" s="1521">
        <v>0</v>
      </c>
    </row>
    <row r="1838" spans="3:15" ht="13.5">
      <c r="C1838" s="1526" t="s">
        <v>5796</v>
      </c>
      <c r="D1838" s="1523">
        <v>0</v>
      </c>
      <c r="E1838" s="1523">
        <v>0</v>
      </c>
      <c r="F1838" s="1524">
        <v>0</v>
      </c>
      <c r="G1838" s="1537" t="s">
        <v>5796</v>
      </c>
      <c r="H1838" s="1521">
        <v>0</v>
      </c>
      <c r="I1838" s="1521">
        <v>0</v>
      </c>
      <c r="J1838" s="1538">
        <v>0</v>
      </c>
      <c r="K1838" s="1525"/>
      <c r="L1838" s="1519">
        <v>13185011403</v>
      </c>
      <c r="M1838" s="1520">
        <v>0</v>
      </c>
      <c r="N1838" s="1520">
        <v>0</v>
      </c>
      <c r="O1838" s="1521">
        <v>0</v>
      </c>
    </row>
    <row r="1839" spans="3:15" ht="13.5">
      <c r="C1839" s="1526" t="s">
        <v>5797</v>
      </c>
      <c r="D1839" s="1523">
        <v>0</v>
      </c>
      <c r="E1839" s="1523">
        <v>0</v>
      </c>
      <c r="F1839" s="1524">
        <v>0</v>
      </c>
      <c r="G1839" s="1537" t="s">
        <v>5797</v>
      </c>
      <c r="H1839" s="1521">
        <v>0</v>
      </c>
      <c r="I1839" s="1521">
        <v>0</v>
      </c>
      <c r="J1839" s="1538">
        <v>0</v>
      </c>
      <c r="K1839" s="1525"/>
      <c r="L1839" s="1519">
        <v>13185011500</v>
      </c>
      <c r="M1839" s="1520">
        <v>0</v>
      </c>
      <c r="N1839" s="1520">
        <v>0</v>
      </c>
      <c r="O1839" s="1521">
        <v>0</v>
      </c>
    </row>
    <row r="1840" spans="3:15" ht="13.5">
      <c r="C1840" s="1526" t="s">
        <v>5798</v>
      </c>
      <c r="D1840" s="1523">
        <v>0</v>
      </c>
      <c r="E1840" s="1523">
        <v>1</v>
      </c>
      <c r="F1840" s="1524">
        <v>1</v>
      </c>
      <c r="G1840" s="1537" t="s">
        <v>5798</v>
      </c>
      <c r="H1840" s="1521">
        <v>0</v>
      </c>
      <c r="I1840" s="1521">
        <v>0</v>
      </c>
      <c r="J1840" s="1538">
        <v>0</v>
      </c>
      <c r="K1840" s="1525"/>
      <c r="L1840" s="1519">
        <v>13185011600</v>
      </c>
      <c r="M1840" s="1520">
        <v>0</v>
      </c>
      <c r="N1840" s="1520">
        <v>1</v>
      </c>
      <c r="O1840" s="1521">
        <v>1</v>
      </c>
    </row>
    <row r="1841" spans="3:15" ht="13.5">
      <c r="C1841" s="1526" t="s">
        <v>5799</v>
      </c>
      <c r="D1841" s="1523">
        <v>0</v>
      </c>
      <c r="E1841" s="1523">
        <v>0</v>
      </c>
      <c r="F1841" s="1524">
        <v>0</v>
      </c>
      <c r="G1841" s="1537" t="s">
        <v>5799</v>
      </c>
      <c r="H1841" s="1521">
        <v>1</v>
      </c>
      <c r="I1841" s="1521">
        <v>0</v>
      </c>
      <c r="J1841" s="1538">
        <v>1</v>
      </c>
      <c r="K1841" s="1525"/>
      <c r="L1841" s="1519">
        <v>13187960101</v>
      </c>
      <c r="M1841" s="1520">
        <v>1</v>
      </c>
      <c r="N1841" s="1520">
        <v>0</v>
      </c>
      <c r="O1841" s="1521">
        <v>1</v>
      </c>
    </row>
    <row r="1842" spans="3:15" ht="13.5">
      <c r="C1842" s="1526" t="s">
        <v>5800</v>
      </c>
      <c r="D1842" s="1523">
        <v>1</v>
      </c>
      <c r="E1842" s="1523">
        <v>1</v>
      </c>
      <c r="F1842" s="1524">
        <v>2</v>
      </c>
      <c r="G1842" s="1537" t="s">
        <v>5800</v>
      </c>
      <c r="H1842" s="1521">
        <v>1</v>
      </c>
      <c r="I1842" s="1521">
        <v>1</v>
      </c>
      <c r="J1842" s="1538">
        <v>2</v>
      </c>
      <c r="K1842" s="1525"/>
      <c r="L1842" s="1519">
        <v>13187960102</v>
      </c>
      <c r="M1842" s="1520">
        <v>1</v>
      </c>
      <c r="N1842" s="1520">
        <v>1</v>
      </c>
      <c r="O1842" s="1521">
        <v>2</v>
      </c>
    </row>
    <row r="1843" spans="3:15" ht="13.5">
      <c r="C1843" s="1526" t="s">
        <v>5801</v>
      </c>
      <c r="D1843" s="1523">
        <v>0</v>
      </c>
      <c r="E1843" s="1523">
        <v>1</v>
      </c>
      <c r="F1843" s="1524">
        <v>1</v>
      </c>
      <c r="G1843" s="1537" t="s">
        <v>5801</v>
      </c>
      <c r="H1843" s="1521">
        <v>0</v>
      </c>
      <c r="I1843" s="1521">
        <v>1</v>
      </c>
      <c r="J1843" s="1538">
        <v>1</v>
      </c>
      <c r="K1843" s="1525"/>
      <c r="L1843" s="1519">
        <v>13187960201</v>
      </c>
      <c r="M1843" s="1520">
        <v>0</v>
      </c>
      <c r="N1843" s="1520">
        <v>1</v>
      </c>
      <c r="O1843" s="1521">
        <v>1</v>
      </c>
    </row>
    <row r="1844" spans="3:15" ht="13.5">
      <c r="C1844" s="1526" t="s">
        <v>5802</v>
      </c>
      <c r="D1844" s="1523">
        <v>0</v>
      </c>
      <c r="E1844" s="1523">
        <v>0</v>
      </c>
      <c r="F1844" s="1524">
        <v>0</v>
      </c>
      <c r="G1844" s="1537" t="s">
        <v>5802</v>
      </c>
      <c r="H1844" s="1521">
        <v>0</v>
      </c>
      <c r="I1844" s="1521">
        <v>0</v>
      </c>
      <c r="J1844" s="1538">
        <v>0</v>
      </c>
      <c r="K1844" s="1525"/>
      <c r="L1844" s="1519">
        <v>13187960202</v>
      </c>
      <c r="M1844" s="1520">
        <v>0</v>
      </c>
      <c r="N1844" s="1520">
        <v>0</v>
      </c>
      <c r="O1844" s="1521">
        <v>0</v>
      </c>
    </row>
    <row r="1845" spans="3:15" ht="13.5">
      <c r="C1845" s="1526" t="s">
        <v>5803</v>
      </c>
      <c r="D1845" s="1523">
        <v>1</v>
      </c>
      <c r="E1845" s="1523">
        <v>1</v>
      </c>
      <c r="F1845" s="1524">
        <v>2</v>
      </c>
      <c r="G1845" s="1537" t="s">
        <v>5803</v>
      </c>
      <c r="H1845" s="1521">
        <v>1</v>
      </c>
      <c r="I1845" s="1521">
        <v>0</v>
      </c>
      <c r="J1845" s="1538">
        <v>1</v>
      </c>
      <c r="K1845" s="1525"/>
      <c r="L1845" s="1519">
        <v>13189950100</v>
      </c>
      <c r="M1845" s="1520">
        <v>1</v>
      </c>
      <c r="N1845" s="1520">
        <v>1</v>
      </c>
      <c r="O1845" s="1521">
        <v>2</v>
      </c>
    </row>
    <row r="1846" spans="3:15" ht="13.5">
      <c r="C1846" s="1526" t="s">
        <v>5804</v>
      </c>
      <c r="D1846" s="1523">
        <v>0</v>
      </c>
      <c r="E1846" s="1523">
        <v>0</v>
      </c>
      <c r="F1846" s="1524">
        <v>0</v>
      </c>
      <c r="G1846" s="1537" t="s">
        <v>5804</v>
      </c>
      <c r="H1846" s="1521">
        <v>0</v>
      </c>
      <c r="I1846" s="1521">
        <v>0</v>
      </c>
      <c r="J1846" s="1538">
        <v>0</v>
      </c>
      <c r="K1846" s="1525"/>
      <c r="L1846" s="1519">
        <v>13189950200</v>
      </c>
      <c r="M1846" s="1520">
        <v>0</v>
      </c>
      <c r="N1846" s="1520">
        <v>0</v>
      </c>
      <c r="O1846" s="1521">
        <v>0</v>
      </c>
    </row>
    <row r="1847" spans="3:15" ht="13.5">
      <c r="C1847" s="1526" t="s">
        <v>5805</v>
      </c>
      <c r="D1847" s="1523">
        <v>0</v>
      </c>
      <c r="E1847" s="1523">
        <v>0</v>
      </c>
      <c r="F1847" s="1524">
        <v>0</v>
      </c>
      <c r="G1847" s="1537" t="s">
        <v>5805</v>
      </c>
      <c r="H1847" s="1521">
        <v>0</v>
      </c>
      <c r="I1847" s="1521">
        <v>0</v>
      </c>
      <c r="J1847" s="1538">
        <v>0</v>
      </c>
      <c r="K1847" s="1525"/>
      <c r="L1847" s="1519">
        <v>13189950300</v>
      </c>
      <c r="M1847" s="1520">
        <v>0</v>
      </c>
      <c r="N1847" s="1520">
        <v>0</v>
      </c>
      <c r="O1847" s="1521">
        <v>0</v>
      </c>
    </row>
    <row r="1848" spans="3:15" ht="13.5">
      <c r="C1848" s="1526" t="s">
        <v>5806</v>
      </c>
      <c r="D1848" s="1523">
        <v>0</v>
      </c>
      <c r="E1848" s="1523">
        <v>0</v>
      </c>
      <c r="F1848" s="1524">
        <v>0</v>
      </c>
      <c r="G1848" s="1537" t="s">
        <v>5806</v>
      </c>
      <c r="H1848" s="1521">
        <v>0</v>
      </c>
      <c r="I1848" s="1521">
        <v>0</v>
      </c>
      <c r="J1848" s="1538">
        <v>0</v>
      </c>
      <c r="K1848" s="1525"/>
      <c r="L1848" s="1519">
        <v>13189950400</v>
      </c>
      <c r="M1848" s="1520">
        <v>0</v>
      </c>
      <c r="N1848" s="1520">
        <v>0</v>
      </c>
      <c r="O1848" s="1521">
        <v>0</v>
      </c>
    </row>
    <row r="1849" spans="3:15" ht="13.5">
      <c r="C1849" s="1526" t="s">
        <v>5807</v>
      </c>
      <c r="D1849" s="1523">
        <v>0</v>
      </c>
      <c r="E1849" s="1523">
        <v>0</v>
      </c>
      <c r="F1849" s="1524">
        <v>0</v>
      </c>
      <c r="G1849" s="1537" t="s">
        <v>5807</v>
      </c>
      <c r="H1849" s="1521">
        <v>0</v>
      </c>
      <c r="I1849" s="1521">
        <v>0</v>
      </c>
      <c r="J1849" s="1538">
        <v>0</v>
      </c>
      <c r="K1849" s="1525"/>
      <c r="L1849" s="1519">
        <v>13189950500</v>
      </c>
      <c r="M1849" s="1520">
        <v>0</v>
      </c>
      <c r="N1849" s="1520">
        <v>0</v>
      </c>
      <c r="O1849" s="1521">
        <v>0</v>
      </c>
    </row>
    <row r="1850" spans="3:15" ht="13.5">
      <c r="C1850" s="1526" t="s">
        <v>5808</v>
      </c>
      <c r="D1850" s="1523">
        <v>0</v>
      </c>
      <c r="E1850" s="1523">
        <v>0</v>
      </c>
      <c r="F1850" s="1524">
        <v>0</v>
      </c>
      <c r="G1850" s="1537" t="s">
        <v>5808</v>
      </c>
      <c r="H1850" s="1521">
        <v>0</v>
      </c>
      <c r="I1850" s="1521">
        <v>1</v>
      </c>
      <c r="J1850" s="1538">
        <v>1</v>
      </c>
      <c r="K1850" s="1525"/>
      <c r="L1850" s="1519">
        <v>13191110100</v>
      </c>
      <c r="M1850" s="1520">
        <v>0</v>
      </c>
      <c r="N1850" s="1520">
        <v>1</v>
      </c>
      <c r="O1850" s="1521">
        <v>1</v>
      </c>
    </row>
    <row r="1851" spans="3:15" ht="13.5">
      <c r="C1851" s="1526" t="s">
        <v>5809</v>
      </c>
      <c r="D1851" s="1523">
        <v>0</v>
      </c>
      <c r="E1851" s="1523">
        <v>0</v>
      </c>
      <c r="F1851" s="1524">
        <v>0</v>
      </c>
      <c r="G1851" s="1537" t="s">
        <v>5809</v>
      </c>
      <c r="H1851" s="1521">
        <v>0</v>
      </c>
      <c r="I1851" s="1521">
        <v>0</v>
      </c>
      <c r="J1851" s="1538">
        <v>0</v>
      </c>
      <c r="K1851" s="1525"/>
      <c r="L1851" s="1519">
        <v>13191110200</v>
      </c>
      <c r="M1851" s="1520">
        <v>0</v>
      </c>
      <c r="N1851" s="1520">
        <v>0</v>
      </c>
      <c r="O1851" s="1521">
        <v>0</v>
      </c>
    </row>
    <row r="1852" spans="3:15" ht="13.5">
      <c r="C1852" s="1526" t="s">
        <v>5810</v>
      </c>
      <c r="D1852" s="1523">
        <v>0</v>
      </c>
      <c r="E1852" s="1523">
        <v>0</v>
      </c>
      <c r="F1852" s="1524">
        <v>0</v>
      </c>
      <c r="G1852" s="1537" t="s">
        <v>5810</v>
      </c>
      <c r="H1852" s="1521">
        <v>0</v>
      </c>
      <c r="I1852" s="1521">
        <v>0</v>
      </c>
      <c r="J1852" s="1538">
        <v>0</v>
      </c>
      <c r="K1852" s="1525"/>
      <c r="L1852" s="1519">
        <v>13191110300</v>
      </c>
      <c r="M1852" s="1520">
        <v>0</v>
      </c>
      <c r="N1852" s="1520">
        <v>0</v>
      </c>
      <c r="O1852" s="1521">
        <v>0</v>
      </c>
    </row>
    <row r="1853" spans="3:15" ht="13.5">
      <c r="C1853" s="1526" t="s">
        <v>5811</v>
      </c>
      <c r="D1853" s="1523" t="s">
        <v>4096</v>
      </c>
      <c r="E1853" s="1523" t="s">
        <v>4096</v>
      </c>
      <c r="F1853" s="1524">
        <v>0</v>
      </c>
      <c r="G1853" s="1537" t="s">
        <v>5811</v>
      </c>
      <c r="H1853" s="1521" t="s">
        <v>4096</v>
      </c>
      <c r="I1853" s="1521" t="s">
        <v>4096</v>
      </c>
      <c r="J1853" s="1538">
        <v>0</v>
      </c>
      <c r="K1853" s="1525"/>
      <c r="L1853" s="1519">
        <v>13191980000</v>
      </c>
      <c r="M1853" s="1520">
        <v>0</v>
      </c>
      <c r="N1853" s="1520">
        <v>0</v>
      </c>
      <c r="O1853" s="1521">
        <v>0</v>
      </c>
    </row>
    <row r="1854" spans="3:15" ht="13.5">
      <c r="C1854" s="1526" t="s">
        <v>5812</v>
      </c>
      <c r="D1854" s="1523" t="s">
        <v>4096</v>
      </c>
      <c r="E1854" s="1523" t="s">
        <v>4096</v>
      </c>
      <c r="F1854" s="1524">
        <v>0</v>
      </c>
      <c r="G1854" s="1537" t="s">
        <v>5812</v>
      </c>
      <c r="H1854" s="1521" t="s">
        <v>4096</v>
      </c>
      <c r="I1854" s="1521" t="s">
        <v>4096</v>
      </c>
      <c r="J1854" s="1538">
        <v>0</v>
      </c>
      <c r="K1854" s="1525"/>
      <c r="L1854" s="1519">
        <v>13191990000</v>
      </c>
      <c r="M1854" s="1520">
        <v>0</v>
      </c>
      <c r="N1854" s="1520">
        <v>0</v>
      </c>
      <c r="O1854" s="1521">
        <v>0</v>
      </c>
    </row>
    <row r="1855" spans="3:15" ht="13.5">
      <c r="C1855" s="1526" t="s">
        <v>5813</v>
      </c>
      <c r="D1855" s="1523">
        <v>0</v>
      </c>
      <c r="E1855" s="1523">
        <v>0</v>
      </c>
      <c r="F1855" s="1524">
        <v>0</v>
      </c>
      <c r="G1855" s="1537" t="s">
        <v>5813</v>
      </c>
      <c r="H1855" s="1521">
        <v>0</v>
      </c>
      <c r="I1855" s="1521" t="s">
        <v>4096</v>
      </c>
      <c r="J1855" s="1538">
        <v>0</v>
      </c>
      <c r="K1855" s="1525"/>
      <c r="L1855" s="1519">
        <v>13193000100</v>
      </c>
      <c r="M1855" s="1520">
        <v>0</v>
      </c>
      <c r="N1855" s="1520">
        <v>0</v>
      </c>
      <c r="O1855" s="1521">
        <v>0</v>
      </c>
    </row>
    <row r="1856" spans="3:15" ht="13.5">
      <c r="C1856" s="1526" t="s">
        <v>5814</v>
      </c>
      <c r="D1856" s="1523">
        <v>0</v>
      </c>
      <c r="E1856" s="1523">
        <v>0</v>
      </c>
      <c r="F1856" s="1524">
        <v>0</v>
      </c>
      <c r="G1856" s="1537" t="s">
        <v>5814</v>
      </c>
      <c r="H1856" s="1521">
        <v>0</v>
      </c>
      <c r="I1856" s="1521">
        <v>0</v>
      </c>
      <c r="J1856" s="1538">
        <v>0</v>
      </c>
      <c r="K1856" s="1525"/>
      <c r="L1856" s="1519">
        <v>13193000200</v>
      </c>
      <c r="M1856" s="1520">
        <v>0</v>
      </c>
      <c r="N1856" s="1520">
        <v>0</v>
      </c>
      <c r="O1856" s="1521">
        <v>0</v>
      </c>
    </row>
    <row r="1857" spans="3:15" ht="13.5">
      <c r="C1857" s="1526" t="s">
        <v>5815</v>
      </c>
      <c r="D1857" s="1523">
        <v>0</v>
      </c>
      <c r="E1857" s="1523">
        <v>0</v>
      </c>
      <c r="F1857" s="1524">
        <v>0</v>
      </c>
      <c r="G1857" s="1537" t="s">
        <v>5815</v>
      </c>
      <c r="H1857" s="1521">
        <v>0</v>
      </c>
      <c r="I1857" s="1521">
        <v>1</v>
      </c>
      <c r="J1857" s="1538">
        <v>1</v>
      </c>
      <c r="K1857" s="1525"/>
      <c r="L1857" s="1519">
        <v>13193000300</v>
      </c>
      <c r="M1857" s="1520">
        <v>0</v>
      </c>
      <c r="N1857" s="1520">
        <v>1</v>
      </c>
      <c r="O1857" s="1521">
        <v>1</v>
      </c>
    </row>
    <row r="1858" spans="3:15" ht="13.5">
      <c r="C1858" s="1526" t="s">
        <v>5816</v>
      </c>
      <c r="D1858" s="1523">
        <v>0</v>
      </c>
      <c r="E1858" s="1523">
        <v>0</v>
      </c>
      <c r="F1858" s="1524">
        <v>0</v>
      </c>
      <c r="G1858" s="1537" t="s">
        <v>5816</v>
      </c>
      <c r="H1858" s="1521">
        <v>0</v>
      </c>
      <c r="I1858" s="1521">
        <v>0</v>
      </c>
      <c r="J1858" s="1538">
        <v>0</v>
      </c>
      <c r="K1858" s="1525"/>
      <c r="L1858" s="1519">
        <v>13193000400</v>
      </c>
      <c r="M1858" s="1520">
        <v>0</v>
      </c>
      <c r="N1858" s="1520">
        <v>0</v>
      </c>
      <c r="O1858" s="1521">
        <v>0</v>
      </c>
    </row>
    <row r="1859" spans="3:15" ht="13.5">
      <c r="C1859" s="1526" t="s">
        <v>5817</v>
      </c>
      <c r="D1859" s="1523">
        <v>0</v>
      </c>
      <c r="E1859" s="1523">
        <v>0</v>
      </c>
      <c r="F1859" s="1524">
        <v>0</v>
      </c>
      <c r="G1859" s="1537" t="s">
        <v>5817</v>
      </c>
      <c r="H1859" s="1521">
        <v>0</v>
      </c>
      <c r="I1859" s="1521">
        <v>0</v>
      </c>
      <c r="J1859" s="1538">
        <v>0</v>
      </c>
      <c r="K1859" s="1525"/>
      <c r="L1859" s="1519">
        <v>13195020100</v>
      </c>
      <c r="M1859" s="1520">
        <v>0</v>
      </c>
      <c r="N1859" s="1520">
        <v>0</v>
      </c>
      <c r="O1859" s="1521">
        <v>0</v>
      </c>
    </row>
    <row r="1860" spans="3:15" ht="13.5">
      <c r="C1860" s="1526" t="s">
        <v>5818</v>
      </c>
      <c r="D1860" s="1523">
        <v>0</v>
      </c>
      <c r="E1860" s="1523">
        <v>0</v>
      </c>
      <c r="F1860" s="1524">
        <v>0</v>
      </c>
      <c r="G1860" s="1537" t="s">
        <v>5818</v>
      </c>
      <c r="H1860" s="1521">
        <v>0</v>
      </c>
      <c r="I1860" s="1521">
        <v>0</v>
      </c>
      <c r="J1860" s="1538">
        <v>0</v>
      </c>
      <c r="K1860" s="1525"/>
      <c r="L1860" s="1519">
        <v>13195020200</v>
      </c>
      <c r="M1860" s="1520">
        <v>0</v>
      </c>
      <c r="N1860" s="1520">
        <v>0</v>
      </c>
      <c r="O1860" s="1521">
        <v>0</v>
      </c>
    </row>
    <row r="1861" spans="3:15" ht="13.5">
      <c r="C1861" s="1526" t="s">
        <v>5819</v>
      </c>
      <c r="D1861" s="1523">
        <v>0</v>
      </c>
      <c r="E1861" s="1523">
        <v>0</v>
      </c>
      <c r="F1861" s="1524">
        <v>0</v>
      </c>
      <c r="G1861" s="1537" t="s">
        <v>5819</v>
      </c>
      <c r="H1861" s="1521">
        <v>0</v>
      </c>
      <c r="I1861" s="1521">
        <v>0</v>
      </c>
      <c r="J1861" s="1538">
        <v>0</v>
      </c>
      <c r="K1861" s="1525"/>
      <c r="L1861" s="1519">
        <v>13195020300</v>
      </c>
      <c r="M1861" s="1520">
        <v>0</v>
      </c>
      <c r="N1861" s="1520">
        <v>0</v>
      </c>
      <c r="O1861" s="1521">
        <v>0</v>
      </c>
    </row>
    <row r="1862" spans="3:15" ht="13.5">
      <c r="C1862" s="1526" t="s">
        <v>5820</v>
      </c>
      <c r="D1862" s="1523">
        <v>1</v>
      </c>
      <c r="E1862" s="1523">
        <v>1</v>
      </c>
      <c r="F1862" s="1524">
        <v>2</v>
      </c>
      <c r="G1862" s="1537" t="s">
        <v>5820</v>
      </c>
      <c r="H1862" s="1521">
        <v>0</v>
      </c>
      <c r="I1862" s="1521">
        <v>0</v>
      </c>
      <c r="J1862" s="1538">
        <v>0</v>
      </c>
      <c r="K1862" s="1525"/>
      <c r="L1862" s="1519">
        <v>13195020400</v>
      </c>
      <c r="M1862" s="1520">
        <v>1</v>
      </c>
      <c r="N1862" s="1520">
        <v>1</v>
      </c>
      <c r="O1862" s="1521">
        <v>2</v>
      </c>
    </row>
    <row r="1863" spans="3:15" ht="13.5">
      <c r="C1863" s="1526" t="s">
        <v>5821</v>
      </c>
      <c r="D1863" s="1523">
        <v>0</v>
      </c>
      <c r="E1863" s="1523">
        <v>1</v>
      </c>
      <c r="F1863" s="1524">
        <v>1</v>
      </c>
      <c r="G1863" s="1537" t="s">
        <v>5821</v>
      </c>
      <c r="H1863" s="1521">
        <v>0</v>
      </c>
      <c r="I1863" s="1521">
        <v>0</v>
      </c>
      <c r="J1863" s="1538">
        <v>0</v>
      </c>
      <c r="K1863" s="1525"/>
      <c r="L1863" s="1519">
        <v>13195020500</v>
      </c>
      <c r="M1863" s="1520">
        <v>0</v>
      </c>
      <c r="N1863" s="1520">
        <v>1</v>
      </c>
      <c r="O1863" s="1521">
        <v>1</v>
      </c>
    </row>
    <row r="1864" spans="3:15" ht="13.5">
      <c r="C1864" s="1526" t="s">
        <v>5822</v>
      </c>
      <c r="D1864" s="1523">
        <v>1</v>
      </c>
      <c r="E1864" s="1523">
        <v>0</v>
      </c>
      <c r="F1864" s="1524">
        <v>1</v>
      </c>
      <c r="G1864" s="1537" t="s">
        <v>5822</v>
      </c>
      <c r="H1864" s="1521">
        <v>0</v>
      </c>
      <c r="I1864" s="1521">
        <v>0</v>
      </c>
      <c r="J1864" s="1538">
        <v>0</v>
      </c>
      <c r="K1864" s="1525"/>
      <c r="L1864" s="1519">
        <v>13195020600</v>
      </c>
      <c r="M1864" s="1520">
        <v>1</v>
      </c>
      <c r="N1864" s="1520">
        <v>0</v>
      </c>
      <c r="O1864" s="1521">
        <v>1</v>
      </c>
    </row>
    <row r="1865" spans="3:15" ht="13.5">
      <c r="C1865" s="1526" t="s">
        <v>5823</v>
      </c>
      <c r="D1865" s="1523">
        <v>0</v>
      </c>
      <c r="E1865" s="1523">
        <v>0</v>
      </c>
      <c r="F1865" s="1524">
        <v>0</v>
      </c>
      <c r="G1865" s="1537" t="s">
        <v>5823</v>
      </c>
      <c r="H1865" s="1521">
        <v>0</v>
      </c>
      <c r="I1865" s="1521">
        <v>0</v>
      </c>
      <c r="J1865" s="1538">
        <v>0</v>
      </c>
      <c r="K1865" s="1525"/>
      <c r="L1865" s="1519">
        <v>13197920100</v>
      </c>
      <c r="M1865" s="1520">
        <v>0</v>
      </c>
      <c r="N1865" s="1520">
        <v>0</v>
      </c>
      <c r="O1865" s="1521">
        <v>0</v>
      </c>
    </row>
    <row r="1866" spans="3:15" ht="13.5">
      <c r="C1866" s="1526" t="s">
        <v>5824</v>
      </c>
      <c r="D1866" s="1523">
        <v>0</v>
      </c>
      <c r="E1866" s="1523">
        <v>0</v>
      </c>
      <c r="F1866" s="1524">
        <v>0</v>
      </c>
      <c r="G1866" s="1537" t="s">
        <v>5824</v>
      </c>
      <c r="H1866" s="1521">
        <v>0</v>
      </c>
      <c r="I1866" s="1521">
        <v>0</v>
      </c>
      <c r="J1866" s="1538">
        <v>0</v>
      </c>
      <c r="K1866" s="1525"/>
      <c r="L1866" s="1519">
        <v>13197920200</v>
      </c>
      <c r="M1866" s="1520">
        <v>0</v>
      </c>
      <c r="N1866" s="1520">
        <v>0</v>
      </c>
      <c r="O1866" s="1521">
        <v>0</v>
      </c>
    </row>
    <row r="1867" spans="3:15" ht="13.5">
      <c r="C1867" s="1526" t="s">
        <v>5825</v>
      </c>
      <c r="D1867" s="1523">
        <v>0</v>
      </c>
      <c r="E1867" s="1523">
        <v>0</v>
      </c>
      <c r="F1867" s="1524">
        <v>0</v>
      </c>
      <c r="G1867" s="1537" t="s">
        <v>5825</v>
      </c>
      <c r="H1867" s="1521">
        <v>0</v>
      </c>
      <c r="I1867" s="1521">
        <v>0</v>
      </c>
      <c r="J1867" s="1538">
        <v>0</v>
      </c>
      <c r="K1867" s="1525"/>
      <c r="L1867" s="1519">
        <v>13199970500</v>
      </c>
      <c r="M1867" s="1520">
        <v>0</v>
      </c>
      <c r="N1867" s="1520">
        <v>0</v>
      </c>
      <c r="O1867" s="1521">
        <v>0</v>
      </c>
    </row>
    <row r="1868" spans="3:15" ht="13.5">
      <c r="C1868" s="1526" t="s">
        <v>5826</v>
      </c>
      <c r="D1868" s="1523">
        <v>0</v>
      </c>
      <c r="E1868" s="1523">
        <v>0</v>
      </c>
      <c r="F1868" s="1524">
        <v>0</v>
      </c>
      <c r="G1868" s="1537" t="s">
        <v>5826</v>
      </c>
      <c r="H1868" s="1521">
        <v>0</v>
      </c>
      <c r="I1868" s="1521">
        <v>0</v>
      </c>
      <c r="J1868" s="1538">
        <v>0</v>
      </c>
      <c r="K1868" s="1525"/>
      <c r="L1868" s="1519">
        <v>13199970600</v>
      </c>
      <c r="M1868" s="1520">
        <v>0</v>
      </c>
      <c r="N1868" s="1520">
        <v>0</v>
      </c>
      <c r="O1868" s="1521">
        <v>0</v>
      </c>
    </row>
    <row r="1869" spans="3:15" ht="13.5">
      <c r="C1869" s="1526" t="s">
        <v>5827</v>
      </c>
      <c r="D1869" s="1523">
        <v>0</v>
      </c>
      <c r="E1869" s="1523">
        <v>0</v>
      </c>
      <c r="F1869" s="1524">
        <v>0</v>
      </c>
      <c r="G1869" s="1537" t="s">
        <v>5827</v>
      </c>
      <c r="H1869" s="1521">
        <v>0</v>
      </c>
      <c r="I1869" s="1521">
        <v>0</v>
      </c>
      <c r="J1869" s="1538">
        <v>0</v>
      </c>
      <c r="K1869" s="1525"/>
      <c r="L1869" s="1519">
        <v>13199970700</v>
      </c>
      <c r="M1869" s="1520">
        <v>0</v>
      </c>
      <c r="N1869" s="1520">
        <v>0</v>
      </c>
      <c r="O1869" s="1521">
        <v>0</v>
      </c>
    </row>
    <row r="1870" spans="3:15" ht="13.5">
      <c r="C1870" s="1526" t="s">
        <v>5828</v>
      </c>
      <c r="D1870" s="1523">
        <v>0</v>
      </c>
      <c r="E1870" s="1523">
        <v>0</v>
      </c>
      <c r="F1870" s="1524">
        <v>0</v>
      </c>
      <c r="G1870" s="1537" t="s">
        <v>5828</v>
      </c>
      <c r="H1870" s="1521">
        <v>0</v>
      </c>
      <c r="I1870" s="1521">
        <v>0</v>
      </c>
      <c r="J1870" s="1538">
        <v>0</v>
      </c>
      <c r="K1870" s="1525"/>
      <c r="L1870" s="1519">
        <v>13199970800</v>
      </c>
      <c r="M1870" s="1520">
        <v>0</v>
      </c>
      <c r="N1870" s="1520">
        <v>0</v>
      </c>
      <c r="O1870" s="1521">
        <v>0</v>
      </c>
    </row>
    <row r="1871" spans="3:15" ht="13.5">
      <c r="C1871" s="1526" t="s">
        <v>5829</v>
      </c>
      <c r="D1871" s="1523">
        <v>0</v>
      </c>
      <c r="E1871" s="1523">
        <v>0</v>
      </c>
      <c r="F1871" s="1524">
        <v>0</v>
      </c>
      <c r="G1871" s="1537" t="s">
        <v>5829</v>
      </c>
      <c r="H1871" s="1521">
        <v>0</v>
      </c>
      <c r="I1871" s="1521">
        <v>0</v>
      </c>
      <c r="J1871" s="1538">
        <v>0</v>
      </c>
      <c r="K1871" s="1525"/>
      <c r="L1871" s="1519">
        <v>13201950100</v>
      </c>
      <c r="M1871" s="1520">
        <v>0</v>
      </c>
      <c r="N1871" s="1520">
        <v>0</v>
      </c>
      <c r="O1871" s="1521">
        <v>0</v>
      </c>
    </row>
    <row r="1872" spans="3:15" ht="13.5">
      <c r="C1872" s="1526" t="s">
        <v>5830</v>
      </c>
      <c r="D1872" s="1523">
        <v>0</v>
      </c>
      <c r="E1872" s="1523">
        <v>0</v>
      </c>
      <c r="F1872" s="1524">
        <v>0</v>
      </c>
      <c r="G1872" s="1537" t="s">
        <v>5830</v>
      </c>
      <c r="H1872" s="1521">
        <v>0</v>
      </c>
      <c r="I1872" s="1521">
        <v>0</v>
      </c>
      <c r="J1872" s="1538">
        <v>0</v>
      </c>
      <c r="K1872" s="1525"/>
      <c r="L1872" s="1519">
        <v>13201950200</v>
      </c>
      <c r="M1872" s="1520">
        <v>0</v>
      </c>
      <c r="N1872" s="1520">
        <v>0</v>
      </c>
      <c r="O1872" s="1521">
        <v>0</v>
      </c>
    </row>
    <row r="1873" spans="3:15" ht="13.5">
      <c r="C1873" s="1526" t="s">
        <v>5831</v>
      </c>
      <c r="D1873" s="1523">
        <v>1</v>
      </c>
      <c r="E1873" s="1523">
        <v>0</v>
      </c>
      <c r="F1873" s="1524">
        <v>1</v>
      </c>
      <c r="G1873" s="1537" t="s">
        <v>5831</v>
      </c>
      <c r="H1873" s="1521">
        <v>1</v>
      </c>
      <c r="I1873" s="1521">
        <v>1</v>
      </c>
      <c r="J1873" s="1538">
        <v>2</v>
      </c>
      <c r="K1873" s="1525"/>
      <c r="L1873" s="1519">
        <v>13201950300</v>
      </c>
      <c r="M1873" s="1520">
        <v>1</v>
      </c>
      <c r="N1873" s="1520">
        <v>1</v>
      </c>
      <c r="O1873" s="1521">
        <v>2</v>
      </c>
    </row>
    <row r="1874" spans="3:15" ht="13.5">
      <c r="C1874" s="1526" t="s">
        <v>5832</v>
      </c>
      <c r="D1874" s="1523">
        <v>0</v>
      </c>
      <c r="E1874" s="1523">
        <v>0</v>
      </c>
      <c r="F1874" s="1524">
        <v>0</v>
      </c>
      <c r="G1874" s="1537" t="s">
        <v>5832</v>
      </c>
      <c r="H1874" s="1521">
        <v>0</v>
      </c>
      <c r="I1874" s="1521">
        <v>0</v>
      </c>
      <c r="J1874" s="1538">
        <v>0</v>
      </c>
      <c r="K1874" s="1525"/>
      <c r="L1874" s="1519">
        <v>13205090100</v>
      </c>
      <c r="M1874" s="1520">
        <v>0</v>
      </c>
      <c r="N1874" s="1520">
        <v>0</v>
      </c>
      <c r="O1874" s="1521">
        <v>0</v>
      </c>
    </row>
    <row r="1875" spans="3:15" ht="13.5">
      <c r="C1875" s="1526" t="s">
        <v>5833</v>
      </c>
      <c r="D1875" s="1523">
        <v>0</v>
      </c>
      <c r="E1875" s="1523">
        <v>0</v>
      </c>
      <c r="F1875" s="1524">
        <v>0</v>
      </c>
      <c r="G1875" s="1537" t="s">
        <v>5833</v>
      </c>
      <c r="H1875" s="1521">
        <v>0</v>
      </c>
      <c r="I1875" s="1521">
        <v>0</v>
      </c>
      <c r="J1875" s="1538">
        <v>0</v>
      </c>
      <c r="K1875" s="1525"/>
      <c r="L1875" s="1519">
        <v>13205090200</v>
      </c>
      <c r="M1875" s="1520">
        <v>0</v>
      </c>
      <c r="N1875" s="1520">
        <v>0</v>
      </c>
      <c r="O1875" s="1521">
        <v>0</v>
      </c>
    </row>
    <row r="1876" spans="3:15" ht="13.5">
      <c r="C1876" s="1526" t="s">
        <v>5834</v>
      </c>
      <c r="D1876" s="1523">
        <v>0</v>
      </c>
      <c r="E1876" s="1523">
        <v>0</v>
      </c>
      <c r="F1876" s="1524">
        <v>0</v>
      </c>
      <c r="G1876" s="1537" t="s">
        <v>5834</v>
      </c>
      <c r="H1876" s="1521">
        <v>0</v>
      </c>
      <c r="I1876" s="1521">
        <v>0</v>
      </c>
      <c r="J1876" s="1538">
        <v>0</v>
      </c>
      <c r="K1876" s="1525"/>
      <c r="L1876" s="1519">
        <v>13205090300</v>
      </c>
      <c r="M1876" s="1520">
        <v>0</v>
      </c>
      <c r="N1876" s="1520">
        <v>0</v>
      </c>
      <c r="O1876" s="1521">
        <v>0</v>
      </c>
    </row>
    <row r="1877" spans="3:15" ht="13.5">
      <c r="C1877" s="1526" t="s">
        <v>5835</v>
      </c>
      <c r="D1877" s="1523">
        <v>0</v>
      </c>
      <c r="E1877" s="1523">
        <v>0</v>
      </c>
      <c r="F1877" s="1524">
        <v>0</v>
      </c>
      <c r="G1877" s="1537" t="s">
        <v>5835</v>
      </c>
      <c r="H1877" s="1521">
        <v>0</v>
      </c>
      <c r="I1877" s="1521">
        <v>0</v>
      </c>
      <c r="J1877" s="1538">
        <v>0</v>
      </c>
      <c r="K1877" s="1525"/>
      <c r="L1877" s="1519">
        <v>13205090400</v>
      </c>
      <c r="M1877" s="1520">
        <v>0</v>
      </c>
      <c r="N1877" s="1520">
        <v>0</v>
      </c>
      <c r="O1877" s="1521">
        <v>0</v>
      </c>
    </row>
    <row r="1878" spans="3:15" ht="13.5">
      <c r="C1878" s="1526" t="s">
        <v>5836</v>
      </c>
      <c r="D1878" s="1523">
        <v>0</v>
      </c>
      <c r="E1878" s="1523">
        <v>0</v>
      </c>
      <c r="F1878" s="1524">
        <v>0</v>
      </c>
      <c r="G1878" s="1537" t="s">
        <v>5836</v>
      </c>
      <c r="H1878" s="1521">
        <v>0</v>
      </c>
      <c r="I1878" s="1521">
        <v>0</v>
      </c>
      <c r="J1878" s="1538">
        <v>0</v>
      </c>
      <c r="K1878" s="1525"/>
      <c r="L1878" s="1519">
        <v>13205090500</v>
      </c>
      <c r="M1878" s="1520">
        <v>0</v>
      </c>
      <c r="N1878" s="1520">
        <v>0</v>
      </c>
      <c r="O1878" s="1521">
        <v>0</v>
      </c>
    </row>
    <row r="1879" spans="3:15" ht="13.5">
      <c r="C1879" s="1526" t="s">
        <v>5837</v>
      </c>
      <c r="D1879" s="1523">
        <v>0</v>
      </c>
      <c r="E1879" s="1523">
        <v>0</v>
      </c>
      <c r="F1879" s="1524">
        <v>0</v>
      </c>
      <c r="G1879" s="1537" t="s">
        <v>5837</v>
      </c>
      <c r="H1879" s="1521">
        <v>0</v>
      </c>
      <c r="I1879" s="1521">
        <v>0</v>
      </c>
      <c r="J1879" s="1538">
        <v>0</v>
      </c>
      <c r="K1879" s="1525"/>
      <c r="L1879" s="1519">
        <v>13207050101</v>
      </c>
      <c r="M1879" s="1520">
        <v>0</v>
      </c>
      <c r="N1879" s="1520">
        <v>0</v>
      </c>
      <c r="O1879" s="1521">
        <v>0</v>
      </c>
    </row>
    <row r="1880" spans="3:15" ht="13.5">
      <c r="C1880" s="1526" t="s">
        <v>5838</v>
      </c>
      <c r="D1880" s="1523">
        <v>0</v>
      </c>
      <c r="E1880" s="1523">
        <v>0</v>
      </c>
      <c r="F1880" s="1524">
        <v>0</v>
      </c>
      <c r="G1880" s="1537" t="s">
        <v>5838</v>
      </c>
      <c r="H1880" s="1521">
        <v>0</v>
      </c>
      <c r="I1880" s="1521">
        <v>0</v>
      </c>
      <c r="J1880" s="1538">
        <v>0</v>
      </c>
      <c r="K1880" s="1525"/>
      <c r="L1880" s="1519">
        <v>13207050102</v>
      </c>
      <c r="M1880" s="1520">
        <v>0</v>
      </c>
      <c r="N1880" s="1520">
        <v>0</v>
      </c>
      <c r="O1880" s="1521">
        <v>0</v>
      </c>
    </row>
    <row r="1881" spans="3:15" ht="13.5">
      <c r="C1881" s="1526" t="s">
        <v>5839</v>
      </c>
      <c r="D1881" s="1523">
        <v>0</v>
      </c>
      <c r="E1881" s="1523">
        <v>0</v>
      </c>
      <c r="F1881" s="1524">
        <v>0</v>
      </c>
      <c r="G1881" s="1537" t="s">
        <v>5839</v>
      </c>
      <c r="H1881" s="1521">
        <v>0</v>
      </c>
      <c r="I1881" s="1521">
        <v>0</v>
      </c>
      <c r="J1881" s="1538">
        <v>0</v>
      </c>
      <c r="K1881" s="1525"/>
      <c r="L1881" s="1519">
        <v>13207050200</v>
      </c>
      <c r="M1881" s="1520">
        <v>0</v>
      </c>
      <c r="N1881" s="1520">
        <v>0</v>
      </c>
      <c r="O1881" s="1521">
        <v>0</v>
      </c>
    </row>
    <row r="1882" spans="3:15" ht="13.5">
      <c r="C1882" s="1526" t="s">
        <v>5840</v>
      </c>
      <c r="D1882" s="1523">
        <v>0</v>
      </c>
      <c r="E1882" s="1523">
        <v>1</v>
      </c>
      <c r="F1882" s="1524">
        <v>1</v>
      </c>
      <c r="G1882" s="1537" t="s">
        <v>5840</v>
      </c>
      <c r="H1882" s="1521">
        <v>0</v>
      </c>
      <c r="I1882" s="1521">
        <v>1</v>
      </c>
      <c r="J1882" s="1538">
        <v>1</v>
      </c>
      <c r="K1882" s="1525"/>
      <c r="L1882" s="1519">
        <v>13207050301</v>
      </c>
      <c r="M1882" s="1520">
        <v>0</v>
      </c>
      <c r="N1882" s="1520">
        <v>1</v>
      </c>
      <c r="O1882" s="1521">
        <v>1</v>
      </c>
    </row>
    <row r="1883" spans="3:15" ht="13.5">
      <c r="C1883" s="1526" t="s">
        <v>5841</v>
      </c>
      <c r="D1883" s="1523">
        <v>1</v>
      </c>
      <c r="E1883" s="1523">
        <v>1</v>
      </c>
      <c r="F1883" s="1524">
        <v>2</v>
      </c>
      <c r="G1883" s="1537" t="s">
        <v>5841</v>
      </c>
      <c r="H1883" s="1521">
        <v>1</v>
      </c>
      <c r="I1883" s="1521">
        <v>1</v>
      </c>
      <c r="J1883" s="1538">
        <v>2</v>
      </c>
      <c r="K1883" s="1525"/>
      <c r="L1883" s="1519">
        <v>13207050302</v>
      </c>
      <c r="M1883" s="1520">
        <v>1</v>
      </c>
      <c r="N1883" s="1520">
        <v>1</v>
      </c>
      <c r="O1883" s="1521">
        <v>2</v>
      </c>
    </row>
    <row r="1884" spans="3:15" ht="13.5">
      <c r="C1884" s="1526" t="s">
        <v>5842</v>
      </c>
      <c r="D1884" s="1523">
        <v>0</v>
      </c>
      <c r="E1884" s="1523">
        <v>0</v>
      </c>
      <c r="F1884" s="1524">
        <v>0</v>
      </c>
      <c r="G1884" s="1537" t="s">
        <v>5842</v>
      </c>
      <c r="H1884" s="1521">
        <v>0</v>
      </c>
      <c r="I1884" s="1521">
        <v>0</v>
      </c>
      <c r="J1884" s="1538">
        <v>0</v>
      </c>
      <c r="K1884" s="1525"/>
      <c r="L1884" s="1519">
        <v>13209950100</v>
      </c>
      <c r="M1884" s="1520">
        <v>0</v>
      </c>
      <c r="N1884" s="1520">
        <v>0</v>
      </c>
      <c r="O1884" s="1521">
        <v>0</v>
      </c>
    </row>
    <row r="1885" spans="3:15" ht="13.5">
      <c r="C1885" s="1526" t="s">
        <v>5843</v>
      </c>
      <c r="D1885" s="1523">
        <v>0</v>
      </c>
      <c r="E1885" s="1523">
        <v>0</v>
      </c>
      <c r="F1885" s="1524">
        <v>0</v>
      </c>
      <c r="G1885" s="1537" t="s">
        <v>5843</v>
      </c>
      <c r="H1885" s="1521">
        <v>0</v>
      </c>
      <c r="I1885" s="1521">
        <v>1</v>
      </c>
      <c r="J1885" s="1538">
        <v>1</v>
      </c>
      <c r="K1885" s="1525"/>
      <c r="L1885" s="1519">
        <v>13209950200</v>
      </c>
      <c r="M1885" s="1520">
        <v>0</v>
      </c>
      <c r="N1885" s="1520">
        <v>1</v>
      </c>
      <c r="O1885" s="1521">
        <v>1</v>
      </c>
    </row>
    <row r="1886" spans="3:15" ht="13.5">
      <c r="C1886" s="1526" t="s">
        <v>5844</v>
      </c>
      <c r="D1886" s="1523">
        <v>0</v>
      </c>
      <c r="E1886" s="1523">
        <v>0</v>
      </c>
      <c r="F1886" s="1524">
        <v>0</v>
      </c>
      <c r="G1886" s="1537" t="s">
        <v>5844</v>
      </c>
      <c r="H1886" s="1521">
        <v>0</v>
      </c>
      <c r="I1886" s="1521">
        <v>0</v>
      </c>
      <c r="J1886" s="1538">
        <v>0</v>
      </c>
      <c r="K1886" s="1525"/>
      <c r="L1886" s="1519">
        <v>13209950300</v>
      </c>
      <c r="M1886" s="1520">
        <v>0</v>
      </c>
      <c r="N1886" s="1520">
        <v>0</v>
      </c>
      <c r="O1886" s="1521">
        <v>0</v>
      </c>
    </row>
    <row r="1887" spans="3:15" ht="13.5">
      <c r="C1887" s="1526" t="s">
        <v>5845</v>
      </c>
      <c r="D1887" s="1523">
        <v>1</v>
      </c>
      <c r="E1887" s="1523">
        <v>1</v>
      </c>
      <c r="F1887" s="1524">
        <v>2</v>
      </c>
      <c r="G1887" s="1537" t="s">
        <v>5845</v>
      </c>
      <c r="H1887" s="1521">
        <v>1</v>
      </c>
      <c r="I1887" s="1521">
        <v>1</v>
      </c>
      <c r="J1887" s="1538">
        <v>2</v>
      </c>
      <c r="K1887" s="1525"/>
      <c r="L1887" s="1519">
        <v>13211010100</v>
      </c>
      <c r="M1887" s="1520">
        <v>1</v>
      </c>
      <c r="N1887" s="1520">
        <v>1</v>
      </c>
      <c r="O1887" s="1521">
        <v>2</v>
      </c>
    </row>
    <row r="1888" spans="3:15" ht="13.5">
      <c r="C1888" s="1526" t="s">
        <v>5846</v>
      </c>
      <c r="D1888" s="1523">
        <v>0</v>
      </c>
      <c r="E1888" s="1523">
        <v>0</v>
      </c>
      <c r="F1888" s="1524">
        <v>0</v>
      </c>
      <c r="G1888" s="1537" t="s">
        <v>5846</v>
      </c>
      <c r="H1888" s="1521">
        <v>0</v>
      </c>
      <c r="I1888" s="1521">
        <v>0</v>
      </c>
      <c r="J1888" s="1538">
        <v>0</v>
      </c>
      <c r="K1888" s="1525"/>
      <c r="L1888" s="1519">
        <v>13211010200</v>
      </c>
      <c r="M1888" s="1520">
        <v>0</v>
      </c>
      <c r="N1888" s="1520">
        <v>0</v>
      </c>
      <c r="O1888" s="1521">
        <v>0</v>
      </c>
    </row>
    <row r="1889" spans="3:15" ht="13.5">
      <c r="C1889" s="1526" t="s">
        <v>5847</v>
      </c>
      <c r="D1889" s="1523">
        <v>1</v>
      </c>
      <c r="E1889" s="1523">
        <v>1</v>
      </c>
      <c r="F1889" s="1524">
        <v>2</v>
      </c>
      <c r="G1889" s="1537" t="s">
        <v>5847</v>
      </c>
      <c r="H1889" s="1521">
        <v>0</v>
      </c>
      <c r="I1889" s="1521">
        <v>1</v>
      </c>
      <c r="J1889" s="1538">
        <v>1</v>
      </c>
      <c r="K1889" s="1525"/>
      <c r="L1889" s="1519">
        <v>13211010300</v>
      </c>
      <c r="M1889" s="1520">
        <v>1</v>
      </c>
      <c r="N1889" s="1520">
        <v>1</v>
      </c>
      <c r="O1889" s="1521">
        <v>2</v>
      </c>
    </row>
    <row r="1890" spans="3:15" ht="13.5">
      <c r="C1890" s="1526" t="s">
        <v>5848</v>
      </c>
      <c r="D1890" s="1523">
        <v>1</v>
      </c>
      <c r="E1890" s="1523">
        <v>0</v>
      </c>
      <c r="F1890" s="1524">
        <v>1</v>
      </c>
      <c r="G1890" s="1537" t="s">
        <v>5848</v>
      </c>
      <c r="H1890" s="1521">
        <v>1</v>
      </c>
      <c r="I1890" s="1521">
        <v>0</v>
      </c>
      <c r="J1890" s="1538">
        <v>1</v>
      </c>
      <c r="K1890" s="1525"/>
      <c r="L1890" s="1519">
        <v>13211010400</v>
      </c>
      <c r="M1890" s="1520">
        <v>1</v>
      </c>
      <c r="N1890" s="1520">
        <v>0</v>
      </c>
      <c r="O1890" s="1521">
        <v>1</v>
      </c>
    </row>
    <row r="1891" spans="3:15" ht="13.5">
      <c r="C1891" s="1526" t="s">
        <v>5849</v>
      </c>
      <c r="D1891" s="1523">
        <v>1</v>
      </c>
      <c r="E1891" s="1523">
        <v>1</v>
      </c>
      <c r="F1891" s="1524">
        <v>2</v>
      </c>
      <c r="G1891" s="1537" t="s">
        <v>5849</v>
      </c>
      <c r="H1891" s="1521">
        <v>1</v>
      </c>
      <c r="I1891" s="1521">
        <v>0</v>
      </c>
      <c r="J1891" s="1538">
        <v>1</v>
      </c>
      <c r="K1891" s="1525"/>
      <c r="L1891" s="1519">
        <v>13211010500</v>
      </c>
      <c r="M1891" s="1520">
        <v>1</v>
      </c>
      <c r="N1891" s="1520">
        <v>1</v>
      </c>
      <c r="O1891" s="1521">
        <v>2</v>
      </c>
    </row>
    <row r="1892" spans="3:15" ht="13.5">
      <c r="C1892" s="1526" t="s">
        <v>5850</v>
      </c>
      <c r="D1892" s="1523">
        <v>0</v>
      </c>
      <c r="E1892" s="1523">
        <v>0</v>
      </c>
      <c r="F1892" s="1524">
        <v>0</v>
      </c>
      <c r="G1892" s="1537" t="s">
        <v>5850</v>
      </c>
      <c r="H1892" s="1521">
        <v>0</v>
      </c>
      <c r="I1892" s="1521">
        <v>0</v>
      </c>
      <c r="J1892" s="1538">
        <v>0</v>
      </c>
      <c r="K1892" s="1525"/>
      <c r="L1892" s="1519">
        <v>13213010100</v>
      </c>
      <c r="M1892" s="1520">
        <v>0</v>
      </c>
      <c r="N1892" s="1520">
        <v>0</v>
      </c>
      <c r="O1892" s="1521">
        <v>0</v>
      </c>
    </row>
    <row r="1893" spans="3:15" ht="13.5">
      <c r="C1893" s="1526" t="s">
        <v>5851</v>
      </c>
      <c r="D1893" s="1523">
        <v>0</v>
      </c>
      <c r="E1893" s="1523">
        <v>0</v>
      </c>
      <c r="F1893" s="1524">
        <v>0</v>
      </c>
      <c r="G1893" s="1537" t="s">
        <v>5851</v>
      </c>
      <c r="H1893" s="1521">
        <v>0</v>
      </c>
      <c r="I1893" s="1521">
        <v>0</v>
      </c>
      <c r="J1893" s="1538">
        <v>0</v>
      </c>
      <c r="K1893" s="1525"/>
      <c r="L1893" s="1519">
        <v>13213010201</v>
      </c>
      <c r="M1893" s="1520">
        <v>0</v>
      </c>
      <c r="N1893" s="1520">
        <v>0</v>
      </c>
      <c r="O1893" s="1521">
        <v>0</v>
      </c>
    </row>
    <row r="1894" spans="3:15" ht="13.5">
      <c r="C1894" s="1526" t="s">
        <v>5852</v>
      </c>
      <c r="D1894" s="1523">
        <v>0</v>
      </c>
      <c r="E1894" s="1523">
        <v>0</v>
      </c>
      <c r="F1894" s="1524">
        <v>0</v>
      </c>
      <c r="G1894" s="1537" t="s">
        <v>5852</v>
      </c>
      <c r="H1894" s="1521">
        <v>0</v>
      </c>
      <c r="I1894" s="1521">
        <v>0</v>
      </c>
      <c r="J1894" s="1538">
        <v>0</v>
      </c>
      <c r="K1894" s="1525"/>
      <c r="L1894" s="1519">
        <v>13213010202</v>
      </c>
      <c r="M1894" s="1520">
        <v>0</v>
      </c>
      <c r="N1894" s="1520">
        <v>0</v>
      </c>
      <c r="O1894" s="1521">
        <v>0</v>
      </c>
    </row>
    <row r="1895" spans="3:15" ht="13.5">
      <c r="C1895" s="1526" t="s">
        <v>5853</v>
      </c>
      <c r="D1895" s="1523">
        <v>0</v>
      </c>
      <c r="E1895" s="1523">
        <v>0</v>
      </c>
      <c r="F1895" s="1524">
        <v>0</v>
      </c>
      <c r="G1895" s="1537" t="s">
        <v>5853</v>
      </c>
      <c r="H1895" s="1521">
        <v>0</v>
      </c>
      <c r="I1895" s="1521">
        <v>0</v>
      </c>
      <c r="J1895" s="1538">
        <v>0</v>
      </c>
      <c r="K1895" s="1525"/>
      <c r="L1895" s="1519">
        <v>13213010300</v>
      </c>
      <c r="M1895" s="1520">
        <v>0</v>
      </c>
      <c r="N1895" s="1520">
        <v>0</v>
      </c>
      <c r="O1895" s="1521">
        <v>0</v>
      </c>
    </row>
    <row r="1896" spans="3:15" ht="13.5">
      <c r="C1896" s="1526" t="s">
        <v>5854</v>
      </c>
      <c r="D1896" s="1523">
        <v>0</v>
      </c>
      <c r="E1896" s="1523">
        <v>0</v>
      </c>
      <c r="F1896" s="1524">
        <v>0</v>
      </c>
      <c r="G1896" s="1537" t="s">
        <v>5854</v>
      </c>
      <c r="H1896" s="1521">
        <v>0</v>
      </c>
      <c r="I1896" s="1521">
        <v>0</v>
      </c>
      <c r="J1896" s="1538">
        <v>0</v>
      </c>
      <c r="K1896" s="1525"/>
      <c r="L1896" s="1519">
        <v>13213010400</v>
      </c>
      <c r="M1896" s="1520">
        <v>0</v>
      </c>
      <c r="N1896" s="1520">
        <v>0</v>
      </c>
      <c r="O1896" s="1521">
        <v>0</v>
      </c>
    </row>
    <row r="1897" spans="3:15" ht="13.5">
      <c r="C1897" s="1526" t="s">
        <v>5855</v>
      </c>
      <c r="D1897" s="1523">
        <v>0</v>
      </c>
      <c r="E1897" s="1523">
        <v>0</v>
      </c>
      <c r="F1897" s="1524">
        <v>0</v>
      </c>
      <c r="G1897" s="1537" t="s">
        <v>5855</v>
      </c>
      <c r="H1897" s="1521">
        <v>0</v>
      </c>
      <c r="I1897" s="1521">
        <v>0</v>
      </c>
      <c r="J1897" s="1538">
        <v>0</v>
      </c>
      <c r="K1897" s="1525"/>
      <c r="L1897" s="1519">
        <v>13213010500</v>
      </c>
      <c r="M1897" s="1520">
        <v>0</v>
      </c>
      <c r="N1897" s="1520">
        <v>0</v>
      </c>
      <c r="O1897" s="1521">
        <v>0</v>
      </c>
    </row>
    <row r="1898" spans="3:15" ht="13.5">
      <c r="C1898" s="1526" t="s">
        <v>5856</v>
      </c>
      <c r="D1898" s="1523">
        <v>0</v>
      </c>
      <c r="E1898" s="1523">
        <v>0</v>
      </c>
      <c r="F1898" s="1524">
        <v>0</v>
      </c>
      <c r="G1898" s="1537" t="s">
        <v>5856</v>
      </c>
      <c r="H1898" s="1521">
        <v>0</v>
      </c>
      <c r="I1898" s="1521">
        <v>0</v>
      </c>
      <c r="J1898" s="1538">
        <v>0</v>
      </c>
      <c r="K1898" s="1525"/>
      <c r="L1898" s="1519">
        <v>13213010600</v>
      </c>
      <c r="M1898" s="1520">
        <v>0</v>
      </c>
      <c r="N1898" s="1520">
        <v>0</v>
      </c>
      <c r="O1898" s="1521">
        <v>0</v>
      </c>
    </row>
    <row r="1899" spans="3:15" ht="13.5">
      <c r="C1899" s="1526" t="s">
        <v>5857</v>
      </c>
      <c r="D1899" s="1523">
        <v>0</v>
      </c>
      <c r="E1899" s="1523">
        <v>0</v>
      </c>
      <c r="F1899" s="1524">
        <v>0</v>
      </c>
      <c r="G1899" s="1537" t="s">
        <v>5857</v>
      </c>
      <c r="H1899" s="1521">
        <v>0</v>
      </c>
      <c r="I1899" s="1521">
        <v>0</v>
      </c>
      <c r="J1899" s="1538">
        <v>0</v>
      </c>
      <c r="K1899" s="1525"/>
      <c r="L1899" s="1519">
        <v>13213010700</v>
      </c>
      <c r="M1899" s="1520">
        <v>0</v>
      </c>
      <c r="N1899" s="1520">
        <v>0</v>
      </c>
      <c r="O1899" s="1521">
        <v>0</v>
      </c>
    </row>
    <row r="1900" spans="3:15" ht="13.5">
      <c r="C1900" s="1526" t="s">
        <v>5858</v>
      </c>
      <c r="D1900" s="1523">
        <v>0</v>
      </c>
      <c r="E1900" s="1523">
        <v>1</v>
      </c>
      <c r="F1900" s="1524">
        <v>1</v>
      </c>
      <c r="G1900" s="1537" t="s">
        <v>5858</v>
      </c>
      <c r="H1900" s="1521">
        <v>0</v>
      </c>
      <c r="I1900" s="1521">
        <v>1</v>
      </c>
      <c r="J1900" s="1538">
        <v>1</v>
      </c>
      <c r="K1900" s="1525"/>
      <c r="L1900" s="1519">
        <v>13215000200</v>
      </c>
      <c r="M1900" s="1520">
        <v>0</v>
      </c>
      <c r="N1900" s="1520">
        <v>1</v>
      </c>
      <c r="O1900" s="1521">
        <v>1</v>
      </c>
    </row>
    <row r="1901" spans="3:15" ht="13.5">
      <c r="C1901" s="1526" t="s">
        <v>5859</v>
      </c>
      <c r="D1901" s="1523">
        <v>0</v>
      </c>
      <c r="E1901" s="1523">
        <v>0</v>
      </c>
      <c r="F1901" s="1524">
        <v>0</v>
      </c>
      <c r="G1901" s="1537" t="s">
        <v>5859</v>
      </c>
      <c r="H1901" s="1521">
        <v>0</v>
      </c>
      <c r="I1901" s="1521">
        <v>0</v>
      </c>
      <c r="J1901" s="1538">
        <v>0</v>
      </c>
      <c r="K1901" s="1525"/>
      <c r="L1901" s="1519">
        <v>13215000300</v>
      </c>
      <c r="M1901" s="1520">
        <v>0</v>
      </c>
      <c r="N1901" s="1520">
        <v>0</v>
      </c>
      <c r="O1901" s="1521">
        <v>0</v>
      </c>
    </row>
    <row r="1902" spans="3:15" ht="13.5">
      <c r="C1902" s="1526" t="s">
        <v>5860</v>
      </c>
      <c r="D1902" s="1523">
        <v>0</v>
      </c>
      <c r="E1902" s="1523">
        <v>0</v>
      </c>
      <c r="F1902" s="1524">
        <v>0</v>
      </c>
      <c r="G1902" s="1537" t="s">
        <v>5860</v>
      </c>
      <c r="H1902" s="1521">
        <v>0</v>
      </c>
      <c r="I1902" s="1521">
        <v>0</v>
      </c>
      <c r="J1902" s="1538">
        <v>0</v>
      </c>
      <c r="K1902" s="1525"/>
      <c r="L1902" s="1519">
        <v>13215000400</v>
      </c>
      <c r="M1902" s="1520">
        <v>0</v>
      </c>
      <c r="N1902" s="1520">
        <v>0</v>
      </c>
      <c r="O1902" s="1521">
        <v>0</v>
      </c>
    </row>
    <row r="1903" spans="3:15" ht="13.5">
      <c r="C1903" s="1526" t="s">
        <v>5861</v>
      </c>
      <c r="D1903" s="1523">
        <v>0</v>
      </c>
      <c r="E1903" s="1523">
        <v>0</v>
      </c>
      <c r="F1903" s="1524">
        <v>0</v>
      </c>
      <c r="G1903" s="1537" t="s">
        <v>5861</v>
      </c>
      <c r="H1903" s="1521">
        <v>0</v>
      </c>
      <c r="I1903" s="1521">
        <v>0</v>
      </c>
      <c r="J1903" s="1538">
        <v>0</v>
      </c>
      <c r="K1903" s="1525"/>
      <c r="L1903" s="1519">
        <v>13215000800</v>
      </c>
      <c r="M1903" s="1520">
        <v>0</v>
      </c>
      <c r="N1903" s="1520">
        <v>0</v>
      </c>
      <c r="O1903" s="1521">
        <v>0</v>
      </c>
    </row>
    <row r="1904" spans="3:15" ht="13.5">
      <c r="C1904" s="1526" t="s">
        <v>5862</v>
      </c>
      <c r="D1904" s="1523">
        <v>0</v>
      </c>
      <c r="E1904" s="1523">
        <v>0</v>
      </c>
      <c r="F1904" s="1524">
        <v>0</v>
      </c>
      <c r="G1904" s="1537" t="s">
        <v>5862</v>
      </c>
      <c r="H1904" s="1521">
        <v>0</v>
      </c>
      <c r="I1904" s="1521">
        <v>0</v>
      </c>
      <c r="J1904" s="1538">
        <v>0</v>
      </c>
      <c r="K1904" s="1525"/>
      <c r="L1904" s="1519">
        <v>13215000900</v>
      </c>
      <c r="M1904" s="1520">
        <v>0</v>
      </c>
      <c r="N1904" s="1520">
        <v>0</v>
      </c>
      <c r="O1904" s="1521">
        <v>0</v>
      </c>
    </row>
    <row r="1905" spans="3:15" ht="13.5">
      <c r="C1905" s="1526" t="s">
        <v>5863</v>
      </c>
      <c r="D1905" s="1523">
        <v>0</v>
      </c>
      <c r="E1905" s="1523">
        <v>0</v>
      </c>
      <c r="F1905" s="1524">
        <v>0</v>
      </c>
      <c r="G1905" s="1537" t="s">
        <v>5863</v>
      </c>
      <c r="H1905" s="1521">
        <v>0</v>
      </c>
      <c r="I1905" s="1521">
        <v>0</v>
      </c>
      <c r="J1905" s="1538">
        <v>0</v>
      </c>
      <c r="K1905" s="1525"/>
      <c r="L1905" s="1519">
        <v>13215001000</v>
      </c>
      <c r="M1905" s="1520">
        <v>0</v>
      </c>
      <c r="N1905" s="1520">
        <v>0</v>
      </c>
      <c r="O1905" s="1521">
        <v>0</v>
      </c>
    </row>
    <row r="1906" spans="3:15" ht="13.5">
      <c r="C1906" s="1526" t="s">
        <v>5864</v>
      </c>
      <c r="D1906" s="1523">
        <v>1</v>
      </c>
      <c r="E1906" s="1523">
        <v>1</v>
      </c>
      <c r="F1906" s="1524">
        <v>2</v>
      </c>
      <c r="G1906" s="1537" t="s">
        <v>5864</v>
      </c>
      <c r="H1906" s="1521">
        <v>1</v>
      </c>
      <c r="I1906" s="1521">
        <v>1</v>
      </c>
      <c r="J1906" s="1538">
        <v>2</v>
      </c>
      <c r="K1906" s="1525"/>
      <c r="L1906" s="1519">
        <v>13215001100</v>
      </c>
      <c r="M1906" s="1520">
        <v>1</v>
      </c>
      <c r="N1906" s="1520">
        <v>1</v>
      </c>
      <c r="O1906" s="1521">
        <v>2</v>
      </c>
    </row>
    <row r="1907" spans="3:15" ht="13.5">
      <c r="C1907" s="1526" t="s">
        <v>5865</v>
      </c>
      <c r="D1907" s="1523">
        <v>1</v>
      </c>
      <c r="E1907" s="1523">
        <v>1</v>
      </c>
      <c r="F1907" s="1524">
        <v>2</v>
      </c>
      <c r="G1907" s="1537" t="s">
        <v>5865</v>
      </c>
      <c r="H1907" s="1521">
        <v>1</v>
      </c>
      <c r="I1907" s="1521">
        <v>1</v>
      </c>
      <c r="J1907" s="1538">
        <v>2</v>
      </c>
      <c r="K1907" s="1525"/>
      <c r="L1907" s="1519">
        <v>13215001200</v>
      </c>
      <c r="M1907" s="1520">
        <v>1</v>
      </c>
      <c r="N1907" s="1520">
        <v>1</v>
      </c>
      <c r="O1907" s="1521">
        <v>2</v>
      </c>
    </row>
    <row r="1908" spans="3:15" ht="13.5">
      <c r="C1908" s="1526" t="s">
        <v>5866</v>
      </c>
      <c r="D1908" s="1523">
        <v>0</v>
      </c>
      <c r="E1908" s="1523">
        <v>0</v>
      </c>
      <c r="F1908" s="1524">
        <v>0</v>
      </c>
      <c r="G1908" s="1537" t="s">
        <v>5866</v>
      </c>
      <c r="H1908" s="1521">
        <v>0</v>
      </c>
      <c r="I1908" s="1521">
        <v>0</v>
      </c>
      <c r="J1908" s="1538">
        <v>0</v>
      </c>
      <c r="K1908" s="1525"/>
      <c r="L1908" s="1519">
        <v>13215001400</v>
      </c>
      <c r="M1908" s="1520">
        <v>0</v>
      </c>
      <c r="N1908" s="1520">
        <v>0</v>
      </c>
      <c r="O1908" s="1521">
        <v>0</v>
      </c>
    </row>
    <row r="1909" spans="3:15" ht="13.5">
      <c r="C1909" s="1526" t="s">
        <v>5867</v>
      </c>
      <c r="D1909" s="1523">
        <v>0</v>
      </c>
      <c r="E1909" s="1523">
        <v>0</v>
      </c>
      <c r="F1909" s="1524">
        <v>0</v>
      </c>
      <c r="G1909" s="1537" t="s">
        <v>5867</v>
      </c>
      <c r="H1909" s="1521">
        <v>0</v>
      </c>
      <c r="I1909" s="1521" t="s">
        <v>4096</v>
      </c>
      <c r="J1909" s="1538">
        <v>0</v>
      </c>
      <c r="K1909" s="1525"/>
      <c r="L1909" s="1519">
        <v>13215001600</v>
      </c>
      <c r="M1909" s="1520">
        <v>0</v>
      </c>
      <c r="N1909" s="1520">
        <v>0</v>
      </c>
      <c r="O1909" s="1521">
        <v>0</v>
      </c>
    </row>
    <row r="1910" spans="3:15" ht="13.5">
      <c r="C1910" s="1526" t="s">
        <v>5868</v>
      </c>
      <c r="D1910" s="1523">
        <v>0</v>
      </c>
      <c r="E1910" s="1523">
        <v>0</v>
      </c>
      <c r="F1910" s="1524">
        <v>0</v>
      </c>
      <c r="G1910" s="1537" t="s">
        <v>5868</v>
      </c>
      <c r="H1910" s="1521">
        <v>0</v>
      </c>
      <c r="I1910" s="1521">
        <v>0</v>
      </c>
      <c r="J1910" s="1538">
        <v>0</v>
      </c>
      <c r="K1910" s="1525"/>
      <c r="L1910" s="1519">
        <v>13215001800</v>
      </c>
      <c r="M1910" s="1520">
        <v>0</v>
      </c>
      <c r="N1910" s="1520">
        <v>0</v>
      </c>
      <c r="O1910" s="1521">
        <v>0</v>
      </c>
    </row>
    <row r="1911" spans="3:15" ht="13.5">
      <c r="C1911" s="1526" t="s">
        <v>5869</v>
      </c>
      <c r="D1911" s="1523">
        <v>0</v>
      </c>
      <c r="E1911" s="1523">
        <v>0</v>
      </c>
      <c r="F1911" s="1524">
        <v>0</v>
      </c>
      <c r="G1911" s="1537" t="s">
        <v>5869</v>
      </c>
      <c r="H1911" s="1521">
        <v>0</v>
      </c>
      <c r="I1911" s="1521">
        <v>0</v>
      </c>
      <c r="J1911" s="1538">
        <v>0</v>
      </c>
      <c r="K1911" s="1525"/>
      <c r="L1911" s="1519">
        <v>13215002000</v>
      </c>
      <c r="M1911" s="1520">
        <v>0</v>
      </c>
      <c r="N1911" s="1520">
        <v>0</v>
      </c>
      <c r="O1911" s="1521">
        <v>0</v>
      </c>
    </row>
    <row r="1912" spans="3:15" ht="13.5">
      <c r="C1912" s="1526" t="s">
        <v>5870</v>
      </c>
      <c r="D1912" s="1523">
        <v>0</v>
      </c>
      <c r="E1912" s="1523">
        <v>0</v>
      </c>
      <c r="F1912" s="1524">
        <v>0</v>
      </c>
      <c r="G1912" s="1537" t="s">
        <v>5870</v>
      </c>
      <c r="H1912" s="1521">
        <v>0</v>
      </c>
      <c r="I1912" s="1521">
        <v>0</v>
      </c>
      <c r="J1912" s="1538">
        <v>0</v>
      </c>
      <c r="K1912" s="1525"/>
      <c r="L1912" s="1519">
        <v>13215002100</v>
      </c>
      <c r="M1912" s="1520">
        <v>0</v>
      </c>
      <c r="N1912" s="1520">
        <v>0</v>
      </c>
      <c r="O1912" s="1521">
        <v>0</v>
      </c>
    </row>
    <row r="1913" spans="3:15" ht="13.5">
      <c r="C1913" s="1526" t="s">
        <v>5871</v>
      </c>
      <c r="D1913" s="1523">
        <v>0</v>
      </c>
      <c r="E1913" s="1523">
        <v>0</v>
      </c>
      <c r="F1913" s="1524">
        <v>0</v>
      </c>
      <c r="G1913" s="1537" t="s">
        <v>5871</v>
      </c>
      <c r="H1913" s="1521">
        <v>0</v>
      </c>
      <c r="I1913" s="1521">
        <v>0</v>
      </c>
      <c r="J1913" s="1538">
        <v>0</v>
      </c>
      <c r="K1913" s="1525"/>
      <c r="L1913" s="1519">
        <v>13215002200</v>
      </c>
      <c r="M1913" s="1520">
        <v>0</v>
      </c>
      <c r="N1913" s="1520">
        <v>0</v>
      </c>
      <c r="O1913" s="1521">
        <v>0</v>
      </c>
    </row>
    <row r="1914" spans="3:15" ht="13.5">
      <c r="C1914" s="1526" t="s">
        <v>5872</v>
      </c>
      <c r="D1914" s="1523">
        <v>0</v>
      </c>
      <c r="E1914" s="1523">
        <v>0</v>
      </c>
      <c r="F1914" s="1524">
        <v>0</v>
      </c>
      <c r="G1914" s="1537" t="s">
        <v>5872</v>
      </c>
      <c r="H1914" s="1521">
        <v>0</v>
      </c>
      <c r="I1914" s="1521">
        <v>0</v>
      </c>
      <c r="J1914" s="1538">
        <v>0</v>
      </c>
      <c r="K1914" s="1525"/>
      <c r="L1914" s="1519">
        <v>13215002300</v>
      </c>
      <c r="M1914" s="1520">
        <v>0</v>
      </c>
      <c r="N1914" s="1520">
        <v>0</v>
      </c>
      <c r="O1914" s="1521">
        <v>0</v>
      </c>
    </row>
    <row r="1915" spans="3:15" ht="13.5">
      <c r="C1915" s="1526" t="s">
        <v>5873</v>
      </c>
      <c r="D1915" s="1523">
        <v>0</v>
      </c>
      <c r="E1915" s="1523">
        <v>0</v>
      </c>
      <c r="F1915" s="1524">
        <v>0</v>
      </c>
      <c r="G1915" s="1537" t="s">
        <v>5873</v>
      </c>
      <c r="H1915" s="1521">
        <v>0</v>
      </c>
      <c r="I1915" s="1521">
        <v>0</v>
      </c>
      <c r="J1915" s="1538">
        <v>0</v>
      </c>
      <c r="K1915" s="1525"/>
      <c r="L1915" s="1519">
        <v>13215002400</v>
      </c>
      <c r="M1915" s="1520">
        <v>0</v>
      </c>
      <c r="N1915" s="1520">
        <v>0</v>
      </c>
      <c r="O1915" s="1521">
        <v>0</v>
      </c>
    </row>
    <row r="1916" spans="3:15" ht="13.5">
      <c r="C1916" s="1526" t="s">
        <v>5874</v>
      </c>
      <c r="D1916" s="1523">
        <v>0</v>
      </c>
      <c r="E1916" s="1523">
        <v>0</v>
      </c>
      <c r="F1916" s="1524">
        <v>0</v>
      </c>
      <c r="G1916" s="1537" t="s">
        <v>5874</v>
      </c>
      <c r="H1916" s="1521">
        <v>0</v>
      </c>
      <c r="I1916" s="1521">
        <v>0</v>
      </c>
      <c r="J1916" s="1538">
        <v>0</v>
      </c>
      <c r="K1916" s="1525"/>
      <c r="L1916" s="1519">
        <v>13215002500</v>
      </c>
      <c r="M1916" s="1520">
        <v>0</v>
      </c>
      <c r="N1916" s="1520">
        <v>0</v>
      </c>
      <c r="O1916" s="1521">
        <v>0</v>
      </c>
    </row>
    <row r="1917" spans="3:15" ht="13.5">
      <c r="C1917" s="1526" t="s">
        <v>5875</v>
      </c>
      <c r="D1917" s="1523">
        <v>0</v>
      </c>
      <c r="E1917" s="1523">
        <v>0</v>
      </c>
      <c r="F1917" s="1524">
        <v>0</v>
      </c>
      <c r="G1917" s="1537" t="s">
        <v>5875</v>
      </c>
      <c r="H1917" s="1521">
        <v>0</v>
      </c>
      <c r="I1917" s="1521">
        <v>0</v>
      </c>
      <c r="J1917" s="1538">
        <v>0</v>
      </c>
      <c r="K1917" s="1525"/>
      <c r="L1917" s="1519">
        <v>13215002700</v>
      </c>
      <c r="M1917" s="1520">
        <v>0</v>
      </c>
      <c r="N1917" s="1520">
        <v>0</v>
      </c>
      <c r="O1917" s="1521">
        <v>0</v>
      </c>
    </row>
    <row r="1918" spans="3:15" ht="13.5">
      <c r="C1918" s="1526" t="s">
        <v>5876</v>
      </c>
      <c r="D1918" s="1523">
        <v>0</v>
      </c>
      <c r="E1918" s="1523">
        <v>0</v>
      </c>
      <c r="F1918" s="1524">
        <v>0</v>
      </c>
      <c r="G1918" s="1537" t="s">
        <v>5876</v>
      </c>
      <c r="H1918" s="1521">
        <v>0</v>
      </c>
      <c r="I1918" s="1521">
        <v>0</v>
      </c>
      <c r="J1918" s="1538">
        <v>0</v>
      </c>
      <c r="K1918" s="1525"/>
      <c r="L1918" s="1519">
        <v>13215002800</v>
      </c>
      <c r="M1918" s="1520">
        <v>0</v>
      </c>
      <c r="N1918" s="1520">
        <v>0</v>
      </c>
      <c r="O1918" s="1521">
        <v>0</v>
      </c>
    </row>
    <row r="1919" spans="3:15" ht="13.5">
      <c r="C1919" s="1526" t="s">
        <v>5877</v>
      </c>
      <c r="D1919" s="1523">
        <v>0</v>
      </c>
      <c r="E1919" s="1523">
        <v>0</v>
      </c>
      <c r="F1919" s="1524">
        <v>0</v>
      </c>
      <c r="G1919" s="1537" t="s">
        <v>5877</v>
      </c>
      <c r="H1919" s="1521">
        <v>0</v>
      </c>
      <c r="I1919" s="1521">
        <v>0</v>
      </c>
      <c r="J1919" s="1538">
        <v>0</v>
      </c>
      <c r="K1919" s="1525"/>
      <c r="L1919" s="1519">
        <v>13215002901</v>
      </c>
      <c r="M1919" s="1520">
        <v>0</v>
      </c>
      <c r="N1919" s="1520">
        <v>0</v>
      </c>
      <c r="O1919" s="1521">
        <v>0</v>
      </c>
    </row>
    <row r="1920" spans="3:15" ht="13.5">
      <c r="C1920" s="1526" t="s">
        <v>5878</v>
      </c>
      <c r="D1920" s="1523">
        <v>0</v>
      </c>
      <c r="E1920" s="1523">
        <v>0</v>
      </c>
      <c r="F1920" s="1524">
        <v>0</v>
      </c>
      <c r="G1920" s="1537" t="s">
        <v>5878</v>
      </c>
      <c r="H1920" s="1521">
        <v>0</v>
      </c>
      <c r="I1920" s="1521">
        <v>0</v>
      </c>
      <c r="J1920" s="1538">
        <v>0</v>
      </c>
      <c r="K1920" s="1525"/>
      <c r="L1920" s="1519">
        <v>13215002902</v>
      </c>
      <c r="M1920" s="1520">
        <v>0</v>
      </c>
      <c r="N1920" s="1520">
        <v>0</v>
      </c>
      <c r="O1920" s="1521">
        <v>0</v>
      </c>
    </row>
    <row r="1921" spans="3:15" ht="13.5">
      <c r="C1921" s="1526" t="s">
        <v>5879</v>
      </c>
      <c r="D1921" s="1523">
        <v>0</v>
      </c>
      <c r="E1921" s="1523">
        <v>0</v>
      </c>
      <c r="F1921" s="1524">
        <v>0</v>
      </c>
      <c r="G1921" s="1537" t="s">
        <v>5879</v>
      </c>
      <c r="H1921" s="1521">
        <v>0</v>
      </c>
      <c r="I1921" s="1521" t="s">
        <v>4096</v>
      </c>
      <c r="J1921" s="1538">
        <v>0</v>
      </c>
      <c r="K1921" s="1525"/>
      <c r="L1921" s="1519">
        <v>13215003000</v>
      </c>
      <c r="M1921" s="1520">
        <v>0</v>
      </c>
      <c r="N1921" s="1520">
        <v>0</v>
      </c>
      <c r="O1921" s="1521">
        <v>0</v>
      </c>
    </row>
    <row r="1922" spans="3:15" ht="13.5">
      <c r="C1922" s="1526" t="s">
        <v>5880</v>
      </c>
      <c r="D1922" s="1523">
        <v>0</v>
      </c>
      <c r="E1922" s="1523">
        <v>0</v>
      </c>
      <c r="F1922" s="1524">
        <v>0</v>
      </c>
      <c r="G1922" s="1537" t="s">
        <v>5880</v>
      </c>
      <c r="H1922" s="1521">
        <v>0</v>
      </c>
      <c r="I1922" s="1521">
        <v>0</v>
      </c>
      <c r="J1922" s="1538">
        <v>0</v>
      </c>
      <c r="K1922" s="1525"/>
      <c r="L1922" s="1519">
        <v>13215003200</v>
      </c>
      <c r="M1922" s="1520">
        <v>0</v>
      </c>
      <c r="N1922" s="1520">
        <v>0</v>
      </c>
      <c r="O1922" s="1521">
        <v>0</v>
      </c>
    </row>
    <row r="1923" spans="3:15" ht="13.5">
      <c r="C1923" s="1526" t="s">
        <v>5881</v>
      </c>
      <c r="D1923" s="1523">
        <v>0</v>
      </c>
      <c r="E1923" s="1523">
        <v>0</v>
      </c>
      <c r="F1923" s="1524">
        <v>0</v>
      </c>
      <c r="G1923" s="1537" t="s">
        <v>5881</v>
      </c>
      <c r="H1923" s="1521">
        <v>0</v>
      </c>
      <c r="I1923" s="1521">
        <v>0</v>
      </c>
      <c r="J1923" s="1538">
        <v>0</v>
      </c>
      <c r="K1923" s="1525"/>
      <c r="L1923" s="1519">
        <v>13215003301</v>
      </c>
      <c r="M1923" s="1520">
        <v>0</v>
      </c>
      <c r="N1923" s="1520">
        <v>0</v>
      </c>
      <c r="O1923" s="1521">
        <v>0</v>
      </c>
    </row>
    <row r="1924" spans="3:15" ht="13.5">
      <c r="C1924" s="1526" t="s">
        <v>5882</v>
      </c>
      <c r="D1924" s="1523">
        <v>0</v>
      </c>
      <c r="E1924" s="1523">
        <v>0</v>
      </c>
      <c r="F1924" s="1524">
        <v>0</v>
      </c>
      <c r="G1924" s="1537" t="s">
        <v>5882</v>
      </c>
      <c r="H1924" s="1521">
        <v>0</v>
      </c>
      <c r="I1924" s="1521">
        <v>0</v>
      </c>
      <c r="J1924" s="1538">
        <v>0</v>
      </c>
      <c r="K1924" s="1525"/>
      <c r="L1924" s="1519">
        <v>13215003302</v>
      </c>
      <c r="M1924" s="1520">
        <v>0</v>
      </c>
      <c r="N1924" s="1520">
        <v>0</v>
      </c>
      <c r="O1924" s="1521">
        <v>0</v>
      </c>
    </row>
    <row r="1925" spans="3:15" ht="13.5">
      <c r="C1925" s="1526" t="s">
        <v>5883</v>
      </c>
      <c r="D1925" s="1523">
        <v>0</v>
      </c>
      <c r="E1925" s="1523">
        <v>0</v>
      </c>
      <c r="F1925" s="1524">
        <v>0</v>
      </c>
      <c r="G1925" s="1537" t="s">
        <v>5883</v>
      </c>
      <c r="H1925" s="1521">
        <v>0</v>
      </c>
      <c r="I1925" s="1521">
        <v>0</v>
      </c>
      <c r="J1925" s="1538">
        <v>0</v>
      </c>
      <c r="K1925" s="1525"/>
      <c r="L1925" s="1519">
        <v>13215003400</v>
      </c>
      <c r="M1925" s="1520">
        <v>0</v>
      </c>
      <c r="N1925" s="1520">
        <v>0</v>
      </c>
      <c r="O1925" s="1521">
        <v>0</v>
      </c>
    </row>
    <row r="1926" spans="3:15" ht="13.5">
      <c r="C1926" s="1526" t="s">
        <v>5884</v>
      </c>
      <c r="D1926" s="1523">
        <v>1</v>
      </c>
      <c r="E1926" s="1523">
        <v>1</v>
      </c>
      <c r="F1926" s="1524">
        <v>2</v>
      </c>
      <c r="G1926" s="1537" t="s">
        <v>5884</v>
      </c>
      <c r="H1926" s="1521">
        <v>1</v>
      </c>
      <c r="I1926" s="1521">
        <v>1</v>
      </c>
      <c r="J1926" s="1538">
        <v>2</v>
      </c>
      <c r="K1926" s="1525"/>
      <c r="L1926" s="1519">
        <v>13215010104</v>
      </c>
      <c r="M1926" s="1520">
        <v>1</v>
      </c>
      <c r="N1926" s="1520">
        <v>1</v>
      </c>
      <c r="O1926" s="1521">
        <v>2</v>
      </c>
    </row>
    <row r="1927" spans="3:15" ht="13.5">
      <c r="C1927" s="1526" t="s">
        <v>5885</v>
      </c>
      <c r="D1927" s="1523">
        <v>0</v>
      </c>
      <c r="E1927" s="1523">
        <v>1</v>
      </c>
      <c r="F1927" s="1524">
        <v>1</v>
      </c>
      <c r="G1927" s="1537" t="s">
        <v>5885</v>
      </c>
      <c r="H1927" s="1521">
        <v>0</v>
      </c>
      <c r="I1927" s="1521">
        <v>1</v>
      </c>
      <c r="J1927" s="1538">
        <v>1</v>
      </c>
      <c r="K1927" s="1525"/>
      <c r="L1927" s="1519">
        <v>13215010106</v>
      </c>
      <c r="M1927" s="1520">
        <v>0</v>
      </c>
      <c r="N1927" s="1520">
        <v>1</v>
      </c>
      <c r="O1927" s="1521">
        <v>1</v>
      </c>
    </row>
    <row r="1928" spans="3:15" ht="13.5">
      <c r="C1928" s="1526" t="s">
        <v>5886</v>
      </c>
      <c r="D1928" s="1523">
        <v>1</v>
      </c>
      <c r="E1928" s="1523">
        <v>1</v>
      </c>
      <c r="F1928" s="1524">
        <v>2</v>
      </c>
      <c r="G1928" s="1537" t="s">
        <v>5886</v>
      </c>
      <c r="H1928" s="1521">
        <v>1</v>
      </c>
      <c r="I1928" s="1521">
        <v>1</v>
      </c>
      <c r="J1928" s="1538">
        <v>2</v>
      </c>
      <c r="K1928" s="1525"/>
      <c r="L1928" s="1519">
        <v>13215010107</v>
      </c>
      <c r="M1928" s="1520">
        <v>1</v>
      </c>
      <c r="N1928" s="1520">
        <v>1</v>
      </c>
      <c r="O1928" s="1521">
        <v>2</v>
      </c>
    </row>
    <row r="1929" spans="3:15" ht="13.5">
      <c r="C1929" s="1526" t="s">
        <v>5887</v>
      </c>
      <c r="D1929" s="1523">
        <v>1</v>
      </c>
      <c r="E1929" s="1523">
        <v>1</v>
      </c>
      <c r="F1929" s="1524">
        <v>2</v>
      </c>
      <c r="G1929" s="1537" t="s">
        <v>5887</v>
      </c>
      <c r="H1929" s="1521">
        <v>1</v>
      </c>
      <c r="I1929" s="1521">
        <v>1</v>
      </c>
      <c r="J1929" s="1538">
        <v>2</v>
      </c>
      <c r="K1929" s="1525"/>
      <c r="L1929" s="1519">
        <v>13215010201</v>
      </c>
      <c r="M1929" s="1520">
        <v>1</v>
      </c>
      <c r="N1929" s="1520">
        <v>1</v>
      </c>
      <c r="O1929" s="1521">
        <v>2</v>
      </c>
    </row>
    <row r="1930" spans="3:15" ht="13.5">
      <c r="C1930" s="1526" t="s">
        <v>5888</v>
      </c>
      <c r="D1930" s="1523">
        <v>1</v>
      </c>
      <c r="E1930" s="1523">
        <v>1</v>
      </c>
      <c r="F1930" s="1524">
        <v>2</v>
      </c>
      <c r="G1930" s="1537" t="s">
        <v>5888</v>
      </c>
      <c r="H1930" s="1521">
        <v>1</v>
      </c>
      <c r="I1930" s="1521">
        <v>1</v>
      </c>
      <c r="J1930" s="1538">
        <v>2</v>
      </c>
      <c r="K1930" s="1525"/>
      <c r="L1930" s="1519">
        <v>13215010203</v>
      </c>
      <c r="M1930" s="1520">
        <v>1</v>
      </c>
      <c r="N1930" s="1520">
        <v>1</v>
      </c>
      <c r="O1930" s="1521">
        <v>2</v>
      </c>
    </row>
    <row r="1931" spans="3:15" ht="13.5">
      <c r="C1931" s="1526" t="s">
        <v>5889</v>
      </c>
      <c r="D1931" s="1523">
        <v>1</v>
      </c>
      <c r="E1931" s="1523">
        <v>1</v>
      </c>
      <c r="F1931" s="1524">
        <v>2</v>
      </c>
      <c r="G1931" s="1537" t="s">
        <v>5889</v>
      </c>
      <c r="H1931" s="1521">
        <v>1</v>
      </c>
      <c r="I1931" s="1521">
        <v>1</v>
      </c>
      <c r="J1931" s="1538">
        <v>2</v>
      </c>
      <c r="K1931" s="1525"/>
      <c r="L1931" s="1519">
        <v>13215010204</v>
      </c>
      <c r="M1931" s="1520">
        <v>1</v>
      </c>
      <c r="N1931" s="1520">
        <v>1</v>
      </c>
      <c r="O1931" s="1521">
        <v>2</v>
      </c>
    </row>
    <row r="1932" spans="3:15" ht="13.5">
      <c r="C1932" s="1526" t="s">
        <v>5890</v>
      </c>
      <c r="D1932" s="1523">
        <v>1</v>
      </c>
      <c r="E1932" s="1523">
        <v>1</v>
      </c>
      <c r="F1932" s="1524">
        <v>2</v>
      </c>
      <c r="G1932" s="1537" t="s">
        <v>5890</v>
      </c>
      <c r="H1932" s="1521">
        <v>1</v>
      </c>
      <c r="I1932" s="1521">
        <v>1</v>
      </c>
      <c r="J1932" s="1538">
        <v>2</v>
      </c>
      <c r="K1932" s="1525"/>
      <c r="L1932" s="1519">
        <v>13215010205</v>
      </c>
      <c r="M1932" s="1520">
        <v>1</v>
      </c>
      <c r="N1932" s="1520">
        <v>1</v>
      </c>
      <c r="O1932" s="1521">
        <v>2</v>
      </c>
    </row>
    <row r="1933" spans="3:15" ht="13.5">
      <c r="C1933" s="1526" t="s">
        <v>5891</v>
      </c>
      <c r="D1933" s="1523">
        <v>1</v>
      </c>
      <c r="E1933" s="1523">
        <v>1</v>
      </c>
      <c r="F1933" s="1524">
        <v>2</v>
      </c>
      <c r="G1933" s="1537" t="s">
        <v>5891</v>
      </c>
      <c r="H1933" s="1521">
        <v>1</v>
      </c>
      <c r="I1933" s="1521">
        <v>1</v>
      </c>
      <c r="J1933" s="1538">
        <v>2</v>
      </c>
      <c r="K1933" s="1525"/>
      <c r="L1933" s="1519">
        <v>13215010301</v>
      </c>
      <c r="M1933" s="1520">
        <v>1</v>
      </c>
      <c r="N1933" s="1520">
        <v>1</v>
      </c>
      <c r="O1933" s="1521">
        <v>2</v>
      </c>
    </row>
    <row r="1934" spans="3:15" ht="13.5">
      <c r="C1934" s="1526" t="s">
        <v>5892</v>
      </c>
      <c r="D1934" s="1523">
        <v>1</v>
      </c>
      <c r="E1934" s="1523">
        <v>1</v>
      </c>
      <c r="F1934" s="1524">
        <v>2</v>
      </c>
      <c r="G1934" s="1537" t="s">
        <v>5892</v>
      </c>
      <c r="H1934" s="1521">
        <v>1</v>
      </c>
      <c r="I1934" s="1521">
        <v>1</v>
      </c>
      <c r="J1934" s="1538">
        <v>2</v>
      </c>
      <c r="K1934" s="1525"/>
      <c r="L1934" s="1519">
        <v>13215010302</v>
      </c>
      <c r="M1934" s="1520">
        <v>1</v>
      </c>
      <c r="N1934" s="1520">
        <v>1</v>
      </c>
      <c r="O1934" s="1521">
        <v>2</v>
      </c>
    </row>
    <row r="1935" spans="3:15" ht="13.5">
      <c r="C1935" s="1526" t="s">
        <v>5893</v>
      </c>
      <c r="D1935" s="1523">
        <v>1</v>
      </c>
      <c r="E1935" s="1523">
        <v>1</v>
      </c>
      <c r="F1935" s="1524">
        <v>2</v>
      </c>
      <c r="G1935" s="1537" t="s">
        <v>5893</v>
      </c>
      <c r="H1935" s="1521">
        <v>1</v>
      </c>
      <c r="I1935" s="1521">
        <v>1</v>
      </c>
      <c r="J1935" s="1538">
        <v>2</v>
      </c>
      <c r="K1935" s="1525"/>
      <c r="L1935" s="1519">
        <v>13215010401</v>
      </c>
      <c r="M1935" s="1520">
        <v>1</v>
      </c>
      <c r="N1935" s="1520">
        <v>1</v>
      </c>
      <c r="O1935" s="1521">
        <v>2</v>
      </c>
    </row>
    <row r="1936" spans="3:15" ht="13.5">
      <c r="C1936" s="1526" t="s">
        <v>5894</v>
      </c>
      <c r="D1936" s="1523">
        <v>1</v>
      </c>
      <c r="E1936" s="1523">
        <v>0</v>
      </c>
      <c r="F1936" s="1524">
        <v>1</v>
      </c>
      <c r="G1936" s="1537" t="s">
        <v>5894</v>
      </c>
      <c r="H1936" s="1521">
        <v>1</v>
      </c>
      <c r="I1936" s="1521">
        <v>0</v>
      </c>
      <c r="J1936" s="1538">
        <v>0</v>
      </c>
      <c r="K1936" s="1525"/>
      <c r="L1936" s="1519">
        <v>13215010402</v>
      </c>
      <c r="M1936" s="1520">
        <v>1</v>
      </c>
      <c r="N1936" s="1520">
        <v>0</v>
      </c>
      <c r="O1936" s="1521">
        <v>1</v>
      </c>
    </row>
    <row r="1937" spans="3:15" ht="13.5">
      <c r="C1937" s="1526" t="s">
        <v>5895</v>
      </c>
      <c r="D1937" s="1523">
        <v>1</v>
      </c>
      <c r="E1937" s="1523">
        <v>0</v>
      </c>
      <c r="F1937" s="1524">
        <v>1</v>
      </c>
      <c r="G1937" s="1537" t="s">
        <v>5895</v>
      </c>
      <c r="H1937" s="1521">
        <v>0</v>
      </c>
      <c r="I1937" s="1521">
        <v>1</v>
      </c>
      <c r="J1937" s="1538">
        <v>1</v>
      </c>
      <c r="K1937" s="1525"/>
      <c r="L1937" s="1519">
        <v>13215010501</v>
      </c>
      <c r="M1937" s="1520">
        <v>1</v>
      </c>
      <c r="N1937" s="1520">
        <v>1</v>
      </c>
      <c r="O1937" s="1521">
        <v>1</v>
      </c>
    </row>
    <row r="1938" spans="3:15" ht="13.5">
      <c r="C1938" s="1526" t="s">
        <v>5896</v>
      </c>
      <c r="D1938" s="1523">
        <v>0</v>
      </c>
      <c r="E1938" s="1523">
        <v>0</v>
      </c>
      <c r="F1938" s="1524">
        <v>0</v>
      </c>
      <c r="G1938" s="1537" t="s">
        <v>5896</v>
      </c>
      <c r="H1938" s="1521">
        <v>0</v>
      </c>
      <c r="I1938" s="1521">
        <v>0</v>
      </c>
      <c r="J1938" s="1538">
        <v>0</v>
      </c>
      <c r="K1938" s="1525"/>
      <c r="L1938" s="1519">
        <v>13215010502</v>
      </c>
      <c r="M1938" s="1520">
        <v>0</v>
      </c>
      <c r="N1938" s="1520">
        <v>0</v>
      </c>
      <c r="O1938" s="1521">
        <v>0</v>
      </c>
    </row>
    <row r="1939" spans="3:15" ht="13.5">
      <c r="C1939" s="1526" t="s">
        <v>5897</v>
      </c>
      <c r="D1939" s="1523">
        <v>0</v>
      </c>
      <c r="E1939" s="1523">
        <v>0</v>
      </c>
      <c r="F1939" s="1524">
        <v>0</v>
      </c>
      <c r="G1939" s="1537" t="s">
        <v>5897</v>
      </c>
      <c r="H1939" s="1521">
        <v>0</v>
      </c>
      <c r="I1939" s="1521">
        <v>0</v>
      </c>
      <c r="J1939" s="1538">
        <v>0</v>
      </c>
      <c r="K1939" s="1525"/>
      <c r="L1939" s="1519">
        <v>13215010602</v>
      </c>
      <c r="M1939" s="1520">
        <v>0</v>
      </c>
      <c r="N1939" s="1520">
        <v>0</v>
      </c>
      <c r="O1939" s="1521">
        <v>0</v>
      </c>
    </row>
    <row r="1940" spans="3:15" ht="13.5">
      <c r="C1940" s="1526" t="s">
        <v>5898</v>
      </c>
      <c r="D1940" s="1523">
        <v>0</v>
      </c>
      <c r="E1940" s="1523">
        <v>0</v>
      </c>
      <c r="F1940" s="1524">
        <v>0</v>
      </c>
      <c r="G1940" s="1537" t="s">
        <v>5898</v>
      </c>
      <c r="H1940" s="1521">
        <v>0</v>
      </c>
      <c r="I1940" s="1521">
        <v>1</v>
      </c>
      <c r="J1940" s="1538">
        <v>1</v>
      </c>
      <c r="K1940" s="1525"/>
      <c r="L1940" s="1519">
        <v>13215010605</v>
      </c>
      <c r="M1940" s="1520">
        <v>0</v>
      </c>
      <c r="N1940" s="1520">
        <v>1</v>
      </c>
      <c r="O1940" s="1521">
        <v>1</v>
      </c>
    </row>
    <row r="1941" spans="3:15" ht="13.5">
      <c r="C1941" s="1526" t="s">
        <v>5899</v>
      </c>
      <c r="D1941" s="1523" t="s">
        <v>4096</v>
      </c>
      <c r="E1941" s="1523">
        <v>0</v>
      </c>
      <c r="F1941" s="1524">
        <v>0</v>
      </c>
      <c r="G1941" s="1537" t="s">
        <v>5899</v>
      </c>
      <c r="H1941" s="1521" t="s">
        <v>4096</v>
      </c>
      <c r="I1941" s="1521" t="s">
        <v>4096</v>
      </c>
      <c r="J1941" s="1538">
        <v>0</v>
      </c>
      <c r="K1941" s="1525"/>
      <c r="L1941" s="1519">
        <v>13215010606</v>
      </c>
      <c r="M1941" s="1520">
        <v>0</v>
      </c>
      <c r="N1941" s="1520">
        <v>0</v>
      </c>
      <c r="O1941" s="1521">
        <v>0</v>
      </c>
    </row>
    <row r="1942" spans="3:15" ht="13.5">
      <c r="C1942" s="1526" t="s">
        <v>5900</v>
      </c>
      <c r="D1942" s="1523">
        <v>0</v>
      </c>
      <c r="E1942" s="1523">
        <v>0</v>
      </c>
      <c r="F1942" s="1524">
        <v>0</v>
      </c>
      <c r="G1942" s="1537" t="s">
        <v>5900</v>
      </c>
      <c r="H1942" s="1521">
        <v>0</v>
      </c>
      <c r="I1942" s="1521">
        <v>0</v>
      </c>
      <c r="J1942" s="1538">
        <v>0</v>
      </c>
      <c r="K1942" s="1525"/>
      <c r="L1942" s="1519">
        <v>13215010607</v>
      </c>
      <c r="M1942" s="1520">
        <v>0</v>
      </c>
      <c r="N1942" s="1520">
        <v>0</v>
      </c>
      <c r="O1942" s="1521">
        <v>0</v>
      </c>
    </row>
    <row r="1943" spans="3:15" ht="13.5">
      <c r="C1943" s="1526" t="s">
        <v>5901</v>
      </c>
      <c r="D1943" s="1523">
        <v>0</v>
      </c>
      <c r="E1943" s="1523">
        <v>0</v>
      </c>
      <c r="F1943" s="1524">
        <v>0</v>
      </c>
      <c r="G1943" s="1537" t="s">
        <v>5901</v>
      </c>
      <c r="H1943" s="1521">
        <v>0</v>
      </c>
      <c r="I1943" s="1521">
        <v>0</v>
      </c>
      <c r="J1943" s="1538">
        <v>0</v>
      </c>
      <c r="K1943" s="1525"/>
      <c r="L1943" s="1519">
        <v>13215010608</v>
      </c>
      <c r="M1943" s="1520">
        <v>0</v>
      </c>
      <c r="N1943" s="1520">
        <v>0</v>
      </c>
      <c r="O1943" s="1521">
        <v>0</v>
      </c>
    </row>
    <row r="1944" spans="3:15" ht="13.5">
      <c r="C1944" s="1526" t="s">
        <v>5902</v>
      </c>
      <c r="D1944" s="1523">
        <v>0</v>
      </c>
      <c r="E1944" s="1523">
        <v>0</v>
      </c>
      <c r="F1944" s="1524">
        <v>0</v>
      </c>
      <c r="G1944" s="1537" t="s">
        <v>5902</v>
      </c>
      <c r="H1944" s="1521">
        <v>0</v>
      </c>
      <c r="I1944" s="1521">
        <v>0</v>
      </c>
      <c r="J1944" s="1538">
        <v>0</v>
      </c>
      <c r="K1944" s="1525"/>
      <c r="L1944" s="1519">
        <v>13215010701</v>
      </c>
      <c r="M1944" s="1520">
        <v>0</v>
      </c>
      <c r="N1944" s="1520">
        <v>0</v>
      </c>
      <c r="O1944" s="1521">
        <v>0</v>
      </c>
    </row>
    <row r="1945" spans="3:15" ht="13.5">
      <c r="C1945" s="1526" t="s">
        <v>5903</v>
      </c>
      <c r="D1945" s="1523">
        <v>0</v>
      </c>
      <c r="E1945" s="1523">
        <v>0</v>
      </c>
      <c r="F1945" s="1524">
        <v>0</v>
      </c>
      <c r="G1945" s="1537" t="s">
        <v>5903</v>
      </c>
      <c r="H1945" s="1521">
        <v>1</v>
      </c>
      <c r="I1945" s="1521">
        <v>0</v>
      </c>
      <c r="J1945" s="1538">
        <v>0</v>
      </c>
      <c r="K1945" s="1525"/>
      <c r="L1945" s="1519">
        <v>13215010702</v>
      </c>
      <c r="M1945" s="1520">
        <v>1</v>
      </c>
      <c r="N1945" s="1520">
        <v>0</v>
      </c>
      <c r="O1945" s="1521">
        <v>0</v>
      </c>
    </row>
    <row r="1946" spans="3:15" ht="13.5">
      <c r="C1946" s="1526" t="s">
        <v>5904</v>
      </c>
      <c r="D1946" s="1523">
        <v>0</v>
      </c>
      <c r="E1946" s="1523">
        <v>0</v>
      </c>
      <c r="F1946" s="1524">
        <v>0</v>
      </c>
      <c r="G1946" s="1537" t="s">
        <v>5904</v>
      </c>
      <c r="H1946" s="1521">
        <v>0</v>
      </c>
      <c r="I1946" s="1521">
        <v>0</v>
      </c>
      <c r="J1946" s="1538">
        <v>0</v>
      </c>
      <c r="K1946" s="1525"/>
      <c r="L1946" s="1519">
        <v>13215010703</v>
      </c>
      <c r="M1946" s="1520">
        <v>0</v>
      </c>
      <c r="N1946" s="1520">
        <v>0</v>
      </c>
      <c r="O1946" s="1521">
        <v>0</v>
      </c>
    </row>
    <row r="1947" spans="3:15" ht="13.5">
      <c r="C1947" s="1526" t="s">
        <v>5905</v>
      </c>
      <c r="D1947" s="1523">
        <v>0</v>
      </c>
      <c r="E1947" s="1523">
        <v>1</v>
      </c>
      <c r="F1947" s="1524">
        <v>1</v>
      </c>
      <c r="G1947" s="1537" t="s">
        <v>5905</v>
      </c>
      <c r="H1947" s="1521">
        <v>0</v>
      </c>
      <c r="I1947" s="1521" t="s">
        <v>4096</v>
      </c>
      <c r="J1947" s="1538">
        <v>0</v>
      </c>
      <c r="K1947" s="1525"/>
      <c r="L1947" s="1519">
        <v>13215010801</v>
      </c>
      <c r="M1947" s="1520">
        <v>0</v>
      </c>
      <c r="N1947" s="1520">
        <v>1</v>
      </c>
      <c r="O1947" s="1521">
        <v>1</v>
      </c>
    </row>
    <row r="1948" spans="3:15" ht="13.5">
      <c r="C1948" s="1526" t="s">
        <v>5906</v>
      </c>
      <c r="D1948" s="1523">
        <v>0</v>
      </c>
      <c r="E1948" s="1523">
        <v>1</v>
      </c>
      <c r="F1948" s="1524">
        <v>1</v>
      </c>
      <c r="G1948" s="1537" t="s">
        <v>5906</v>
      </c>
      <c r="H1948" s="1521">
        <v>1</v>
      </c>
      <c r="I1948" s="1521" t="s">
        <v>4096</v>
      </c>
      <c r="J1948" s="1538">
        <v>1</v>
      </c>
      <c r="K1948" s="1525"/>
      <c r="L1948" s="1519">
        <v>13215010802</v>
      </c>
      <c r="M1948" s="1520">
        <v>1</v>
      </c>
      <c r="N1948" s="1520">
        <v>1</v>
      </c>
      <c r="O1948" s="1521">
        <v>1</v>
      </c>
    </row>
    <row r="1949" spans="3:15" ht="13.5">
      <c r="C1949" s="1526" t="s">
        <v>5907</v>
      </c>
      <c r="D1949" s="1523">
        <v>0</v>
      </c>
      <c r="E1949" s="1523">
        <v>0</v>
      </c>
      <c r="F1949" s="1524">
        <v>0</v>
      </c>
      <c r="G1949" s="1537" t="s">
        <v>5907</v>
      </c>
      <c r="H1949" s="1521">
        <v>0</v>
      </c>
      <c r="I1949" s="1521">
        <v>0</v>
      </c>
      <c r="J1949" s="1538">
        <v>0</v>
      </c>
      <c r="K1949" s="1525"/>
      <c r="L1949" s="1519">
        <v>13215011100</v>
      </c>
      <c r="M1949" s="1520">
        <v>0</v>
      </c>
      <c r="N1949" s="1520">
        <v>0</v>
      </c>
      <c r="O1949" s="1521">
        <v>0</v>
      </c>
    </row>
    <row r="1950" spans="3:15" ht="13.5">
      <c r="C1950" s="1526" t="s">
        <v>5908</v>
      </c>
      <c r="D1950" s="1523">
        <v>0</v>
      </c>
      <c r="E1950" s="1523">
        <v>0</v>
      </c>
      <c r="F1950" s="1524">
        <v>0</v>
      </c>
      <c r="G1950" s="1537" t="s">
        <v>5908</v>
      </c>
      <c r="H1950" s="1521">
        <v>0</v>
      </c>
      <c r="I1950" s="1521">
        <v>0</v>
      </c>
      <c r="J1950" s="1538">
        <v>0</v>
      </c>
      <c r="K1950" s="1525"/>
      <c r="L1950" s="1519">
        <v>13215011200</v>
      </c>
      <c r="M1950" s="1520">
        <v>0</v>
      </c>
      <c r="N1950" s="1520">
        <v>0</v>
      </c>
      <c r="O1950" s="1521">
        <v>0</v>
      </c>
    </row>
    <row r="1951" spans="3:15" ht="13.5">
      <c r="C1951" s="1526" t="s">
        <v>5909</v>
      </c>
      <c r="D1951" s="1523">
        <v>0</v>
      </c>
      <c r="E1951" s="1523">
        <v>0</v>
      </c>
      <c r="F1951" s="1524">
        <v>0</v>
      </c>
      <c r="G1951" s="1537" t="s">
        <v>5909</v>
      </c>
      <c r="H1951" s="1521">
        <v>0</v>
      </c>
      <c r="I1951" s="1521">
        <v>0</v>
      </c>
      <c r="J1951" s="1538">
        <v>0</v>
      </c>
      <c r="K1951" s="1525"/>
      <c r="L1951" s="1519">
        <v>13215011400</v>
      </c>
      <c r="M1951" s="1520">
        <v>0</v>
      </c>
      <c r="N1951" s="1520">
        <v>0</v>
      </c>
      <c r="O1951" s="1521">
        <v>0</v>
      </c>
    </row>
    <row r="1952" spans="3:15" ht="13.5">
      <c r="C1952" s="1526" t="s">
        <v>5910</v>
      </c>
      <c r="D1952" s="1523">
        <v>0</v>
      </c>
      <c r="E1952" s="1523">
        <v>0</v>
      </c>
      <c r="F1952" s="1524">
        <v>0</v>
      </c>
      <c r="G1952" s="1537" t="s">
        <v>5910</v>
      </c>
      <c r="H1952" s="1521">
        <v>0</v>
      </c>
      <c r="I1952" s="1521">
        <v>0</v>
      </c>
      <c r="J1952" s="1538">
        <v>0</v>
      </c>
      <c r="K1952" s="1525"/>
      <c r="L1952" s="1519">
        <v>13215011500</v>
      </c>
      <c r="M1952" s="1520">
        <v>0</v>
      </c>
      <c r="N1952" s="1520">
        <v>0</v>
      </c>
      <c r="O1952" s="1521">
        <v>0</v>
      </c>
    </row>
    <row r="1953" spans="3:15" ht="13.5">
      <c r="C1953" s="1526" t="s">
        <v>5911</v>
      </c>
      <c r="D1953" s="1523">
        <v>0</v>
      </c>
      <c r="E1953" s="1523">
        <v>1</v>
      </c>
      <c r="F1953" s="1524">
        <v>1</v>
      </c>
      <c r="G1953" s="1537" t="s">
        <v>5911</v>
      </c>
      <c r="H1953" s="1521">
        <v>0</v>
      </c>
      <c r="I1953" s="1521">
        <v>1</v>
      </c>
      <c r="J1953" s="1538">
        <v>1</v>
      </c>
      <c r="K1953" s="1525"/>
      <c r="L1953" s="1519">
        <v>13217100100</v>
      </c>
      <c r="M1953" s="1520">
        <v>0</v>
      </c>
      <c r="N1953" s="1520">
        <v>1</v>
      </c>
      <c r="O1953" s="1521">
        <v>1</v>
      </c>
    </row>
    <row r="1954" spans="3:15" ht="13.5">
      <c r="C1954" s="1526" t="s">
        <v>5912</v>
      </c>
      <c r="D1954" s="1523">
        <v>1</v>
      </c>
      <c r="E1954" s="1523">
        <v>1</v>
      </c>
      <c r="F1954" s="1524">
        <v>2</v>
      </c>
      <c r="G1954" s="1537" t="s">
        <v>5912</v>
      </c>
      <c r="H1954" s="1521">
        <v>1</v>
      </c>
      <c r="I1954" s="1521">
        <v>1</v>
      </c>
      <c r="J1954" s="1538">
        <v>2</v>
      </c>
      <c r="K1954" s="1525"/>
      <c r="L1954" s="1519">
        <v>13217100201</v>
      </c>
      <c r="M1954" s="1520">
        <v>1</v>
      </c>
      <c r="N1954" s="1520">
        <v>1</v>
      </c>
      <c r="O1954" s="1521">
        <v>2</v>
      </c>
    </row>
    <row r="1955" spans="3:15" ht="13.5">
      <c r="C1955" s="1526" t="s">
        <v>5913</v>
      </c>
      <c r="D1955" s="1523">
        <v>1</v>
      </c>
      <c r="E1955" s="1523">
        <v>1</v>
      </c>
      <c r="F1955" s="1524">
        <v>2</v>
      </c>
      <c r="G1955" s="1537" t="s">
        <v>5913</v>
      </c>
      <c r="H1955" s="1521">
        <v>1</v>
      </c>
      <c r="I1955" s="1521">
        <v>1</v>
      </c>
      <c r="J1955" s="1538">
        <v>2</v>
      </c>
      <c r="K1955" s="1525"/>
      <c r="L1955" s="1519">
        <v>13217100202</v>
      </c>
      <c r="M1955" s="1520">
        <v>1</v>
      </c>
      <c r="N1955" s="1520">
        <v>1</v>
      </c>
      <c r="O1955" s="1521">
        <v>2</v>
      </c>
    </row>
    <row r="1956" spans="3:15" ht="13.5">
      <c r="C1956" s="1526" t="s">
        <v>5914</v>
      </c>
      <c r="D1956" s="1523">
        <v>0</v>
      </c>
      <c r="E1956" s="1523">
        <v>0</v>
      </c>
      <c r="F1956" s="1524">
        <v>0</v>
      </c>
      <c r="G1956" s="1537" t="s">
        <v>5914</v>
      </c>
      <c r="H1956" s="1521">
        <v>0</v>
      </c>
      <c r="I1956" s="1521">
        <v>1</v>
      </c>
      <c r="J1956" s="1538">
        <v>1</v>
      </c>
      <c r="K1956" s="1525"/>
      <c r="L1956" s="1519">
        <v>13217100300</v>
      </c>
      <c r="M1956" s="1520">
        <v>0</v>
      </c>
      <c r="N1956" s="1520">
        <v>1</v>
      </c>
      <c r="O1956" s="1521">
        <v>1</v>
      </c>
    </row>
    <row r="1957" spans="3:15" ht="13.5">
      <c r="C1957" s="1526" t="s">
        <v>5915</v>
      </c>
      <c r="D1957" s="1523">
        <v>0</v>
      </c>
      <c r="E1957" s="1523">
        <v>0</v>
      </c>
      <c r="F1957" s="1524">
        <v>0</v>
      </c>
      <c r="G1957" s="1537" t="s">
        <v>5915</v>
      </c>
      <c r="H1957" s="1521">
        <v>0</v>
      </c>
      <c r="I1957" s="1521">
        <v>0</v>
      </c>
      <c r="J1957" s="1538">
        <v>0</v>
      </c>
      <c r="K1957" s="1525"/>
      <c r="L1957" s="1519">
        <v>13217100400</v>
      </c>
      <c r="M1957" s="1520">
        <v>0</v>
      </c>
      <c r="N1957" s="1520">
        <v>0</v>
      </c>
      <c r="O1957" s="1521">
        <v>0</v>
      </c>
    </row>
    <row r="1958" spans="3:15" ht="13.5">
      <c r="C1958" s="1526" t="s">
        <v>5916</v>
      </c>
      <c r="D1958" s="1523">
        <v>0</v>
      </c>
      <c r="E1958" s="1523">
        <v>0</v>
      </c>
      <c r="F1958" s="1524">
        <v>0</v>
      </c>
      <c r="G1958" s="1537" t="s">
        <v>5916</v>
      </c>
      <c r="H1958" s="1521">
        <v>0</v>
      </c>
      <c r="I1958" s="1521">
        <v>1</v>
      </c>
      <c r="J1958" s="1538">
        <v>1</v>
      </c>
      <c r="K1958" s="1525"/>
      <c r="L1958" s="1519">
        <v>13217100501</v>
      </c>
      <c r="M1958" s="1520">
        <v>0</v>
      </c>
      <c r="N1958" s="1520">
        <v>1</v>
      </c>
      <c r="O1958" s="1521">
        <v>1</v>
      </c>
    </row>
    <row r="1959" spans="3:15" ht="13.5">
      <c r="C1959" s="1526" t="s">
        <v>5917</v>
      </c>
      <c r="D1959" s="1523">
        <v>0</v>
      </c>
      <c r="E1959" s="1523">
        <v>0</v>
      </c>
      <c r="F1959" s="1524">
        <v>0</v>
      </c>
      <c r="G1959" s="1537" t="s">
        <v>5917</v>
      </c>
      <c r="H1959" s="1521">
        <v>0</v>
      </c>
      <c r="I1959" s="1521">
        <v>0</v>
      </c>
      <c r="J1959" s="1538">
        <v>0</v>
      </c>
      <c r="K1959" s="1525"/>
      <c r="L1959" s="1519">
        <v>13217100502</v>
      </c>
      <c r="M1959" s="1520">
        <v>0</v>
      </c>
      <c r="N1959" s="1520">
        <v>0</v>
      </c>
      <c r="O1959" s="1521">
        <v>0</v>
      </c>
    </row>
    <row r="1960" spans="3:15" ht="13.5">
      <c r="C1960" s="1526" t="s">
        <v>5918</v>
      </c>
      <c r="D1960" s="1523">
        <v>0</v>
      </c>
      <c r="E1960" s="1523">
        <v>0</v>
      </c>
      <c r="F1960" s="1524">
        <v>0</v>
      </c>
      <c r="G1960" s="1537" t="s">
        <v>5918</v>
      </c>
      <c r="H1960" s="1521">
        <v>0</v>
      </c>
      <c r="I1960" s="1521">
        <v>0</v>
      </c>
      <c r="J1960" s="1538">
        <v>0</v>
      </c>
      <c r="K1960" s="1525"/>
      <c r="L1960" s="1519">
        <v>13217100600</v>
      </c>
      <c r="M1960" s="1520">
        <v>0</v>
      </c>
      <c r="N1960" s="1520">
        <v>0</v>
      </c>
      <c r="O1960" s="1521">
        <v>0</v>
      </c>
    </row>
    <row r="1961" spans="3:15" ht="13.5">
      <c r="C1961" s="1526" t="s">
        <v>5919</v>
      </c>
      <c r="D1961" s="1523">
        <v>0</v>
      </c>
      <c r="E1961" s="1523">
        <v>0</v>
      </c>
      <c r="F1961" s="1524">
        <v>0</v>
      </c>
      <c r="G1961" s="1537" t="s">
        <v>5919</v>
      </c>
      <c r="H1961" s="1521">
        <v>0</v>
      </c>
      <c r="I1961" s="1521">
        <v>0</v>
      </c>
      <c r="J1961" s="1538">
        <v>0</v>
      </c>
      <c r="K1961" s="1525"/>
      <c r="L1961" s="1519">
        <v>13217100700</v>
      </c>
      <c r="M1961" s="1520">
        <v>0</v>
      </c>
      <c r="N1961" s="1520">
        <v>0</v>
      </c>
      <c r="O1961" s="1521">
        <v>0</v>
      </c>
    </row>
    <row r="1962" spans="3:15" ht="13.5">
      <c r="C1962" s="1526" t="s">
        <v>5920</v>
      </c>
      <c r="D1962" s="1523">
        <v>0</v>
      </c>
      <c r="E1962" s="1523">
        <v>1</v>
      </c>
      <c r="F1962" s="1524">
        <v>1</v>
      </c>
      <c r="G1962" s="1537" t="s">
        <v>5920</v>
      </c>
      <c r="H1962" s="1521">
        <v>0</v>
      </c>
      <c r="I1962" s="1521">
        <v>0</v>
      </c>
      <c r="J1962" s="1538">
        <v>0</v>
      </c>
      <c r="K1962" s="1525"/>
      <c r="L1962" s="1519">
        <v>13217100800</v>
      </c>
      <c r="M1962" s="1520">
        <v>0</v>
      </c>
      <c r="N1962" s="1520">
        <v>1</v>
      </c>
      <c r="O1962" s="1521">
        <v>1</v>
      </c>
    </row>
    <row r="1963" spans="3:15" ht="13.5">
      <c r="C1963" s="1526" t="s">
        <v>5921</v>
      </c>
      <c r="D1963" s="1523">
        <v>0</v>
      </c>
      <c r="E1963" s="1523">
        <v>1</v>
      </c>
      <c r="F1963" s="1524">
        <v>1</v>
      </c>
      <c r="G1963" s="1537" t="s">
        <v>5921</v>
      </c>
      <c r="H1963" s="1521">
        <v>0</v>
      </c>
      <c r="I1963" s="1521">
        <v>1</v>
      </c>
      <c r="J1963" s="1538">
        <v>1</v>
      </c>
      <c r="K1963" s="1525"/>
      <c r="L1963" s="1519">
        <v>13217100901</v>
      </c>
      <c r="M1963" s="1520">
        <v>0</v>
      </c>
      <c r="N1963" s="1520">
        <v>1</v>
      </c>
      <c r="O1963" s="1521">
        <v>1</v>
      </c>
    </row>
    <row r="1964" spans="3:15" ht="13.5">
      <c r="C1964" s="1526" t="s">
        <v>5922</v>
      </c>
      <c r="D1964" s="1523">
        <v>0</v>
      </c>
      <c r="E1964" s="1523">
        <v>0</v>
      </c>
      <c r="F1964" s="1524">
        <v>0</v>
      </c>
      <c r="G1964" s="1537" t="s">
        <v>5922</v>
      </c>
      <c r="H1964" s="1521">
        <v>0</v>
      </c>
      <c r="I1964" s="1521">
        <v>0</v>
      </c>
      <c r="J1964" s="1538">
        <v>0</v>
      </c>
      <c r="K1964" s="1525"/>
      <c r="L1964" s="1519">
        <v>13217100902</v>
      </c>
      <c r="M1964" s="1520">
        <v>0</v>
      </c>
      <c r="N1964" s="1520">
        <v>0</v>
      </c>
      <c r="O1964" s="1521">
        <v>0</v>
      </c>
    </row>
    <row r="1965" spans="3:15" ht="13.5">
      <c r="C1965" s="1526" t="s">
        <v>5923</v>
      </c>
      <c r="D1965" s="1523">
        <v>0</v>
      </c>
      <c r="E1965" s="1523">
        <v>0</v>
      </c>
      <c r="F1965" s="1524">
        <v>0</v>
      </c>
      <c r="G1965" s="1537" t="s">
        <v>5923</v>
      </c>
      <c r="H1965" s="1521">
        <v>0</v>
      </c>
      <c r="I1965" s="1521">
        <v>0</v>
      </c>
      <c r="J1965" s="1538">
        <v>0</v>
      </c>
      <c r="K1965" s="1525"/>
      <c r="L1965" s="1519">
        <v>13217100903</v>
      </c>
      <c r="M1965" s="1520">
        <v>0</v>
      </c>
      <c r="N1965" s="1520">
        <v>0</v>
      </c>
      <c r="O1965" s="1521">
        <v>0</v>
      </c>
    </row>
    <row r="1966" spans="3:15" ht="13.5">
      <c r="C1966" s="1526" t="s">
        <v>5924</v>
      </c>
      <c r="D1966" s="1523">
        <v>1</v>
      </c>
      <c r="E1966" s="1523">
        <v>1</v>
      </c>
      <c r="F1966" s="1524">
        <v>2</v>
      </c>
      <c r="G1966" s="1537" t="s">
        <v>5924</v>
      </c>
      <c r="H1966" s="1521">
        <v>1</v>
      </c>
      <c r="I1966" s="1521">
        <v>1</v>
      </c>
      <c r="J1966" s="1538">
        <v>2</v>
      </c>
      <c r="K1966" s="1525"/>
      <c r="L1966" s="1519">
        <v>13219030100</v>
      </c>
      <c r="M1966" s="1520">
        <v>1</v>
      </c>
      <c r="N1966" s="1520">
        <v>1</v>
      </c>
      <c r="O1966" s="1521">
        <v>2</v>
      </c>
    </row>
    <row r="1967" spans="3:15" ht="13.5">
      <c r="C1967" s="1526" t="s">
        <v>5925</v>
      </c>
      <c r="D1967" s="1523">
        <v>1</v>
      </c>
      <c r="E1967" s="1523">
        <v>1</v>
      </c>
      <c r="F1967" s="1524">
        <v>2</v>
      </c>
      <c r="G1967" s="1537" t="s">
        <v>5925</v>
      </c>
      <c r="H1967" s="1521">
        <v>1</v>
      </c>
      <c r="I1967" s="1521">
        <v>1</v>
      </c>
      <c r="J1967" s="1538">
        <v>2</v>
      </c>
      <c r="K1967" s="1525"/>
      <c r="L1967" s="1519">
        <v>13219030200</v>
      </c>
      <c r="M1967" s="1520">
        <v>1</v>
      </c>
      <c r="N1967" s="1520">
        <v>1</v>
      </c>
      <c r="O1967" s="1521">
        <v>2</v>
      </c>
    </row>
    <row r="1968" spans="3:15" ht="13.5">
      <c r="C1968" s="1526" t="s">
        <v>5926</v>
      </c>
      <c r="D1968" s="1523">
        <v>1</v>
      </c>
      <c r="E1968" s="1523">
        <v>1</v>
      </c>
      <c r="F1968" s="1524">
        <v>2</v>
      </c>
      <c r="G1968" s="1537" t="s">
        <v>5926</v>
      </c>
      <c r="H1968" s="1521">
        <v>1</v>
      </c>
      <c r="I1968" s="1521">
        <v>1</v>
      </c>
      <c r="J1968" s="1538">
        <v>2</v>
      </c>
      <c r="K1968" s="1525"/>
      <c r="L1968" s="1519">
        <v>13219030300</v>
      </c>
      <c r="M1968" s="1520">
        <v>1</v>
      </c>
      <c r="N1968" s="1520">
        <v>1</v>
      </c>
      <c r="O1968" s="1521">
        <v>2</v>
      </c>
    </row>
    <row r="1969" spans="3:15" ht="13.5">
      <c r="C1969" s="1526" t="s">
        <v>5927</v>
      </c>
      <c r="D1969" s="1523">
        <v>1</v>
      </c>
      <c r="E1969" s="1523">
        <v>1</v>
      </c>
      <c r="F1969" s="1524">
        <v>2</v>
      </c>
      <c r="G1969" s="1537" t="s">
        <v>5927</v>
      </c>
      <c r="H1969" s="1521">
        <v>1</v>
      </c>
      <c r="I1969" s="1521">
        <v>1</v>
      </c>
      <c r="J1969" s="1538">
        <v>2</v>
      </c>
      <c r="K1969" s="1525"/>
      <c r="L1969" s="1519">
        <v>13219030400</v>
      </c>
      <c r="M1969" s="1520">
        <v>1</v>
      </c>
      <c r="N1969" s="1520">
        <v>1</v>
      </c>
      <c r="O1969" s="1521">
        <v>2</v>
      </c>
    </row>
    <row r="1970" spans="3:15" ht="13.5">
      <c r="C1970" s="1526" t="s">
        <v>5928</v>
      </c>
      <c r="D1970" s="1523">
        <v>1</v>
      </c>
      <c r="E1970" s="1523">
        <v>1</v>
      </c>
      <c r="F1970" s="1524">
        <v>2</v>
      </c>
      <c r="G1970" s="1537" t="s">
        <v>5928</v>
      </c>
      <c r="H1970" s="1521">
        <v>1</v>
      </c>
      <c r="I1970" s="1521">
        <v>1</v>
      </c>
      <c r="J1970" s="1538">
        <v>2</v>
      </c>
      <c r="K1970" s="1525"/>
      <c r="L1970" s="1519">
        <v>13219030500</v>
      </c>
      <c r="M1970" s="1520">
        <v>1</v>
      </c>
      <c r="N1970" s="1520">
        <v>1</v>
      </c>
      <c r="O1970" s="1521">
        <v>2</v>
      </c>
    </row>
    <row r="1971" spans="3:15" ht="13.5">
      <c r="C1971" s="1526" t="s">
        <v>5929</v>
      </c>
      <c r="D1971" s="1523">
        <v>1</v>
      </c>
      <c r="E1971" s="1523">
        <v>1</v>
      </c>
      <c r="F1971" s="1524">
        <v>2</v>
      </c>
      <c r="G1971" s="1537" t="s">
        <v>5929</v>
      </c>
      <c r="H1971" s="1521">
        <v>1</v>
      </c>
      <c r="I1971" s="1521">
        <v>1</v>
      </c>
      <c r="J1971" s="1538">
        <v>2</v>
      </c>
      <c r="K1971" s="1525"/>
      <c r="L1971" s="1519">
        <v>13219030600</v>
      </c>
      <c r="M1971" s="1520">
        <v>1</v>
      </c>
      <c r="N1971" s="1520">
        <v>1</v>
      </c>
      <c r="O1971" s="1521">
        <v>2</v>
      </c>
    </row>
    <row r="1972" spans="3:15" ht="13.5">
      <c r="C1972" s="1526" t="s">
        <v>5930</v>
      </c>
      <c r="D1972" s="1523">
        <v>0</v>
      </c>
      <c r="E1972" s="1523">
        <v>0</v>
      </c>
      <c r="F1972" s="1524">
        <v>0</v>
      </c>
      <c r="G1972" s="1537" t="s">
        <v>5930</v>
      </c>
      <c r="H1972" s="1521">
        <v>0</v>
      </c>
      <c r="I1972" s="1521">
        <v>0</v>
      </c>
      <c r="J1972" s="1538">
        <v>0</v>
      </c>
      <c r="K1972" s="1525"/>
      <c r="L1972" s="1519">
        <v>13221960100</v>
      </c>
      <c r="M1972" s="1520">
        <v>0</v>
      </c>
      <c r="N1972" s="1520">
        <v>0</v>
      </c>
      <c r="O1972" s="1521">
        <v>0</v>
      </c>
    </row>
    <row r="1973" spans="3:15" ht="13.5">
      <c r="C1973" s="1526" t="s">
        <v>5931</v>
      </c>
      <c r="D1973" s="1523">
        <v>1</v>
      </c>
      <c r="E1973" s="1523">
        <v>1</v>
      </c>
      <c r="F1973" s="1524">
        <v>2</v>
      </c>
      <c r="G1973" s="1537" t="s">
        <v>5931</v>
      </c>
      <c r="H1973" s="1521">
        <v>1</v>
      </c>
      <c r="I1973" s="1521">
        <v>1</v>
      </c>
      <c r="J1973" s="1538">
        <v>2</v>
      </c>
      <c r="K1973" s="1525"/>
      <c r="L1973" s="1519">
        <v>13221960201</v>
      </c>
      <c r="M1973" s="1520">
        <v>1</v>
      </c>
      <c r="N1973" s="1520">
        <v>1</v>
      </c>
      <c r="O1973" s="1521">
        <v>2</v>
      </c>
    </row>
    <row r="1974" spans="3:15" ht="13.5">
      <c r="C1974" s="1526" t="s">
        <v>5932</v>
      </c>
      <c r="D1974" s="1523">
        <v>0</v>
      </c>
      <c r="E1974" s="1523">
        <v>0</v>
      </c>
      <c r="F1974" s="1524">
        <v>0</v>
      </c>
      <c r="G1974" s="1537" t="s">
        <v>5932</v>
      </c>
      <c r="H1974" s="1521">
        <v>0</v>
      </c>
      <c r="I1974" s="1521">
        <v>1</v>
      </c>
      <c r="J1974" s="1538">
        <v>1</v>
      </c>
      <c r="K1974" s="1525"/>
      <c r="L1974" s="1519">
        <v>13221960202</v>
      </c>
      <c r="M1974" s="1520">
        <v>0</v>
      </c>
      <c r="N1974" s="1520">
        <v>1</v>
      </c>
      <c r="O1974" s="1521">
        <v>1</v>
      </c>
    </row>
    <row r="1975" spans="3:15" ht="13.5">
      <c r="C1975" s="1526" t="s">
        <v>5933</v>
      </c>
      <c r="D1975" s="1523">
        <v>0</v>
      </c>
      <c r="E1975" s="1523">
        <v>0</v>
      </c>
      <c r="F1975" s="1524">
        <v>0</v>
      </c>
      <c r="G1975" s="1537" t="s">
        <v>5933</v>
      </c>
      <c r="H1975" s="1521">
        <v>0</v>
      </c>
      <c r="I1975" s="1521">
        <v>0</v>
      </c>
      <c r="J1975" s="1538">
        <v>0</v>
      </c>
      <c r="K1975" s="1525"/>
      <c r="L1975" s="1519">
        <v>13221960300</v>
      </c>
      <c r="M1975" s="1520">
        <v>0</v>
      </c>
      <c r="N1975" s="1520">
        <v>0</v>
      </c>
      <c r="O1975" s="1521">
        <v>0</v>
      </c>
    </row>
    <row r="1976" spans="3:15" ht="13.5">
      <c r="C1976" s="1526" t="s">
        <v>5934</v>
      </c>
      <c r="D1976" s="1523">
        <v>1</v>
      </c>
      <c r="E1976" s="1523">
        <v>1</v>
      </c>
      <c r="F1976" s="1524">
        <v>2</v>
      </c>
      <c r="G1976" s="1537" t="s">
        <v>5934</v>
      </c>
      <c r="H1976" s="1521">
        <v>1</v>
      </c>
      <c r="I1976" s="1521">
        <v>1</v>
      </c>
      <c r="J1976" s="1538">
        <v>2</v>
      </c>
      <c r="K1976" s="1525"/>
      <c r="L1976" s="1519">
        <v>13223120101</v>
      </c>
      <c r="M1976" s="1520">
        <v>1</v>
      </c>
      <c r="N1976" s="1520">
        <v>1</v>
      </c>
      <c r="O1976" s="1521">
        <v>2</v>
      </c>
    </row>
    <row r="1977" spans="3:15" ht="13.5">
      <c r="C1977" s="1526" t="s">
        <v>5935</v>
      </c>
      <c r="D1977" s="1523">
        <v>1</v>
      </c>
      <c r="E1977" s="1523">
        <v>1</v>
      </c>
      <c r="F1977" s="1524">
        <v>2</v>
      </c>
      <c r="G1977" s="1537" t="s">
        <v>5935</v>
      </c>
      <c r="H1977" s="1521">
        <v>1</v>
      </c>
      <c r="I1977" s="1521">
        <v>1</v>
      </c>
      <c r="J1977" s="1538">
        <v>2</v>
      </c>
      <c r="K1977" s="1525"/>
      <c r="L1977" s="1519">
        <v>13223120102</v>
      </c>
      <c r="M1977" s="1520">
        <v>1</v>
      </c>
      <c r="N1977" s="1520">
        <v>1</v>
      </c>
      <c r="O1977" s="1521">
        <v>2</v>
      </c>
    </row>
    <row r="1978" spans="3:15" ht="13.5">
      <c r="C1978" s="1526" t="s">
        <v>5936</v>
      </c>
      <c r="D1978" s="1523">
        <v>1</v>
      </c>
      <c r="E1978" s="1523">
        <v>1</v>
      </c>
      <c r="F1978" s="1524">
        <v>2</v>
      </c>
      <c r="G1978" s="1537" t="s">
        <v>5936</v>
      </c>
      <c r="H1978" s="1521">
        <v>1</v>
      </c>
      <c r="I1978" s="1521" t="s">
        <v>4096</v>
      </c>
      <c r="J1978" s="1538">
        <v>1</v>
      </c>
      <c r="K1978" s="1525"/>
      <c r="L1978" s="1519">
        <v>13223120103</v>
      </c>
      <c r="M1978" s="1520">
        <v>1</v>
      </c>
      <c r="N1978" s="1520">
        <v>1</v>
      </c>
      <c r="O1978" s="1521">
        <v>2</v>
      </c>
    </row>
    <row r="1979" spans="3:15" ht="13.5">
      <c r="C1979" s="1526" t="s">
        <v>5937</v>
      </c>
      <c r="D1979" s="1523">
        <v>1</v>
      </c>
      <c r="E1979" s="1523">
        <v>1</v>
      </c>
      <c r="F1979" s="1524">
        <v>2</v>
      </c>
      <c r="G1979" s="1537" t="s">
        <v>5937</v>
      </c>
      <c r="H1979" s="1521">
        <v>1</v>
      </c>
      <c r="I1979" s="1521" t="s">
        <v>4096</v>
      </c>
      <c r="J1979" s="1538">
        <v>1</v>
      </c>
      <c r="K1979" s="1525"/>
      <c r="L1979" s="1519">
        <v>13223120104</v>
      </c>
      <c r="M1979" s="1520">
        <v>1</v>
      </c>
      <c r="N1979" s="1520">
        <v>1</v>
      </c>
      <c r="O1979" s="1521">
        <v>2</v>
      </c>
    </row>
    <row r="1980" spans="3:15" ht="13.5">
      <c r="C1980" s="1526" t="s">
        <v>5938</v>
      </c>
      <c r="D1980" s="1523">
        <v>1</v>
      </c>
      <c r="E1980" s="1523">
        <v>1</v>
      </c>
      <c r="F1980" s="1524">
        <v>2</v>
      </c>
      <c r="G1980" s="1537" t="s">
        <v>5938</v>
      </c>
      <c r="H1980" s="1521">
        <v>1</v>
      </c>
      <c r="I1980" s="1521">
        <v>1</v>
      </c>
      <c r="J1980" s="1538">
        <v>2</v>
      </c>
      <c r="K1980" s="1525"/>
      <c r="L1980" s="1519">
        <v>13223120202</v>
      </c>
      <c r="M1980" s="1520">
        <v>1</v>
      </c>
      <c r="N1980" s="1520">
        <v>1</v>
      </c>
      <c r="O1980" s="1521">
        <v>2</v>
      </c>
    </row>
    <row r="1981" spans="3:15" ht="13.5">
      <c r="C1981" s="1526" t="s">
        <v>5939</v>
      </c>
      <c r="D1981" s="1523">
        <v>1</v>
      </c>
      <c r="E1981" s="1523">
        <v>1</v>
      </c>
      <c r="F1981" s="1524">
        <v>2</v>
      </c>
      <c r="G1981" s="1537" t="s">
        <v>5939</v>
      </c>
      <c r="H1981" s="1521">
        <v>1</v>
      </c>
      <c r="I1981" s="1521">
        <v>1</v>
      </c>
      <c r="J1981" s="1538">
        <v>2</v>
      </c>
      <c r="K1981" s="1525"/>
      <c r="L1981" s="1519">
        <v>13223120203</v>
      </c>
      <c r="M1981" s="1520">
        <v>1</v>
      </c>
      <c r="N1981" s="1520">
        <v>1</v>
      </c>
      <c r="O1981" s="1521">
        <v>2</v>
      </c>
    </row>
    <row r="1982" spans="3:15" ht="13.5">
      <c r="C1982" s="1526" t="s">
        <v>5940</v>
      </c>
      <c r="D1982" s="1523">
        <v>1</v>
      </c>
      <c r="E1982" s="1523">
        <v>1</v>
      </c>
      <c r="F1982" s="1524">
        <v>2</v>
      </c>
      <c r="G1982" s="1537" t="s">
        <v>5940</v>
      </c>
      <c r="H1982" s="1521">
        <v>1</v>
      </c>
      <c r="I1982" s="1521">
        <v>1</v>
      </c>
      <c r="J1982" s="1538">
        <v>2</v>
      </c>
      <c r="K1982" s="1525"/>
      <c r="L1982" s="1519">
        <v>13223120204</v>
      </c>
      <c r="M1982" s="1520">
        <v>1</v>
      </c>
      <c r="N1982" s="1520">
        <v>1</v>
      </c>
      <c r="O1982" s="1521">
        <v>2</v>
      </c>
    </row>
    <row r="1983" spans="3:15" ht="13.5">
      <c r="C1983" s="1526" t="s">
        <v>5941</v>
      </c>
      <c r="D1983" s="1523">
        <v>1</v>
      </c>
      <c r="E1983" s="1523">
        <v>0</v>
      </c>
      <c r="F1983" s="1524">
        <v>1</v>
      </c>
      <c r="G1983" s="1537" t="s">
        <v>5941</v>
      </c>
      <c r="H1983" s="1521">
        <v>1</v>
      </c>
      <c r="I1983" s="1521">
        <v>1</v>
      </c>
      <c r="J1983" s="1538">
        <v>2</v>
      </c>
      <c r="K1983" s="1525"/>
      <c r="L1983" s="1519">
        <v>13223120301</v>
      </c>
      <c r="M1983" s="1520">
        <v>1</v>
      </c>
      <c r="N1983" s="1520">
        <v>1</v>
      </c>
      <c r="O1983" s="1521">
        <v>2</v>
      </c>
    </row>
    <row r="1984" spans="3:15" ht="13.5">
      <c r="C1984" s="1526" t="s">
        <v>5942</v>
      </c>
      <c r="D1984" s="1523">
        <v>1</v>
      </c>
      <c r="E1984" s="1523">
        <v>0</v>
      </c>
      <c r="F1984" s="1524">
        <v>1</v>
      </c>
      <c r="G1984" s="1537" t="s">
        <v>5942</v>
      </c>
      <c r="H1984" s="1521">
        <v>1</v>
      </c>
      <c r="I1984" s="1521">
        <v>0</v>
      </c>
      <c r="J1984" s="1538">
        <v>1</v>
      </c>
      <c r="K1984" s="1525"/>
      <c r="L1984" s="1519">
        <v>13223120302</v>
      </c>
      <c r="M1984" s="1520">
        <v>1</v>
      </c>
      <c r="N1984" s="1520">
        <v>0</v>
      </c>
      <c r="O1984" s="1521">
        <v>1</v>
      </c>
    </row>
    <row r="1985" spans="3:15" ht="13.5">
      <c r="C1985" s="1526" t="s">
        <v>5943</v>
      </c>
      <c r="D1985" s="1523">
        <v>1</v>
      </c>
      <c r="E1985" s="1523">
        <v>1</v>
      </c>
      <c r="F1985" s="1524">
        <v>2</v>
      </c>
      <c r="G1985" s="1537" t="s">
        <v>5943</v>
      </c>
      <c r="H1985" s="1521">
        <v>0</v>
      </c>
      <c r="I1985" s="1521">
        <v>0</v>
      </c>
      <c r="J1985" s="1538">
        <v>0</v>
      </c>
      <c r="K1985" s="1525"/>
      <c r="L1985" s="1519">
        <v>13223120303</v>
      </c>
      <c r="M1985" s="1520">
        <v>1</v>
      </c>
      <c r="N1985" s="1520">
        <v>1</v>
      </c>
      <c r="O1985" s="1521">
        <v>2</v>
      </c>
    </row>
    <row r="1986" spans="3:15" ht="13.5">
      <c r="C1986" s="1526" t="s">
        <v>5944</v>
      </c>
      <c r="D1986" s="1523">
        <v>0</v>
      </c>
      <c r="E1986" s="1523">
        <v>1</v>
      </c>
      <c r="F1986" s="1524">
        <v>1</v>
      </c>
      <c r="G1986" s="1537" t="s">
        <v>5944</v>
      </c>
      <c r="H1986" s="1521">
        <v>1</v>
      </c>
      <c r="I1986" s="1521">
        <v>1</v>
      </c>
      <c r="J1986" s="1538">
        <v>2</v>
      </c>
      <c r="K1986" s="1525"/>
      <c r="L1986" s="1519">
        <v>13223120400</v>
      </c>
      <c r="M1986" s="1520">
        <v>1</v>
      </c>
      <c r="N1986" s="1520">
        <v>1</v>
      </c>
      <c r="O1986" s="1521">
        <v>2</v>
      </c>
    </row>
    <row r="1987" spans="3:15" ht="13.5">
      <c r="C1987" s="1526" t="s">
        <v>5945</v>
      </c>
      <c r="D1987" s="1523">
        <v>1</v>
      </c>
      <c r="E1987" s="1523">
        <v>1</v>
      </c>
      <c r="F1987" s="1524">
        <v>2</v>
      </c>
      <c r="G1987" s="1537" t="s">
        <v>5945</v>
      </c>
      <c r="H1987" s="1521">
        <v>1</v>
      </c>
      <c r="I1987" s="1521">
        <v>1</v>
      </c>
      <c r="J1987" s="1538">
        <v>1</v>
      </c>
      <c r="K1987" s="1525"/>
      <c r="L1987" s="1519">
        <v>13223120501</v>
      </c>
      <c r="M1987" s="1520">
        <v>1</v>
      </c>
      <c r="N1987" s="1520">
        <v>1</v>
      </c>
      <c r="O1987" s="1521">
        <v>2</v>
      </c>
    </row>
    <row r="1988" spans="3:15" ht="13.5">
      <c r="C1988" s="1526" t="s">
        <v>5946</v>
      </c>
      <c r="D1988" s="1523">
        <v>1</v>
      </c>
      <c r="E1988" s="1523">
        <v>1</v>
      </c>
      <c r="F1988" s="1524">
        <v>2</v>
      </c>
      <c r="G1988" s="1537" t="s">
        <v>5946</v>
      </c>
      <c r="H1988" s="1521">
        <v>1</v>
      </c>
      <c r="I1988" s="1521">
        <v>0</v>
      </c>
      <c r="J1988" s="1538">
        <v>1</v>
      </c>
      <c r="K1988" s="1525"/>
      <c r="L1988" s="1519">
        <v>13223120502</v>
      </c>
      <c r="M1988" s="1520">
        <v>1</v>
      </c>
      <c r="N1988" s="1520">
        <v>1</v>
      </c>
      <c r="O1988" s="1521">
        <v>2</v>
      </c>
    </row>
    <row r="1989" spans="3:15" ht="13.5">
      <c r="C1989" s="1526" t="s">
        <v>5947</v>
      </c>
      <c r="D1989" s="1523">
        <v>1</v>
      </c>
      <c r="E1989" s="1523">
        <v>1</v>
      </c>
      <c r="F1989" s="1524">
        <v>2</v>
      </c>
      <c r="G1989" s="1537" t="s">
        <v>5947</v>
      </c>
      <c r="H1989" s="1521">
        <v>0</v>
      </c>
      <c r="I1989" s="1521">
        <v>1</v>
      </c>
      <c r="J1989" s="1538">
        <v>1</v>
      </c>
      <c r="K1989" s="1525"/>
      <c r="L1989" s="1519">
        <v>13223120503</v>
      </c>
      <c r="M1989" s="1520">
        <v>1</v>
      </c>
      <c r="N1989" s="1520">
        <v>1</v>
      </c>
      <c r="O1989" s="1521">
        <v>2</v>
      </c>
    </row>
    <row r="1990" spans="3:15" ht="13.5">
      <c r="C1990" s="1526" t="s">
        <v>5948</v>
      </c>
      <c r="D1990" s="1523">
        <v>1</v>
      </c>
      <c r="E1990" s="1523">
        <v>1</v>
      </c>
      <c r="F1990" s="1524">
        <v>2</v>
      </c>
      <c r="G1990" s="1537" t="s">
        <v>5948</v>
      </c>
      <c r="H1990" s="1521">
        <v>1</v>
      </c>
      <c r="I1990" s="1521">
        <v>0</v>
      </c>
      <c r="J1990" s="1538">
        <v>1</v>
      </c>
      <c r="K1990" s="1525"/>
      <c r="L1990" s="1519">
        <v>13223120601</v>
      </c>
      <c r="M1990" s="1520">
        <v>1</v>
      </c>
      <c r="N1990" s="1520">
        <v>1</v>
      </c>
      <c r="O1990" s="1521">
        <v>2</v>
      </c>
    </row>
    <row r="1991" spans="3:15" ht="13.5">
      <c r="C1991" s="1526" t="s">
        <v>5949</v>
      </c>
      <c r="D1991" s="1523">
        <v>1</v>
      </c>
      <c r="E1991" s="1523">
        <v>1</v>
      </c>
      <c r="F1991" s="1524">
        <v>2</v>
      </c>
      <c r="G1991" s="1537" t="s">
        <v>5949</v>
      </c>
      <c r="H1991" s="1521">
        <v>1</v>
      </c>
      <c r="I1991" s="1521" t="s">
        <v>4096</v>
      </c>
      <c r="J1991" s="1538">
        <v>1</v>
      </c>
      <c r="K1991" s="1525"/>
      <c r="L1991" s="1519">
        <v>13223120602</v>
      </c>
      <c r="M1991" s="1520">
        <v>1</v>
      </c>
      <c r="N1991" s="1520">
        <v>1</v>
      </c>
      <c r="O1991" s="1521">
        <v>2</v>
      </c>
    </row>
    <row r="1992" spans="3:15" ht="13.5">
      <c r="C1992" s="1526" t="s">
        <v>5950</v>
      </c>
      <c r="D1992" s="1523">
        <v>1</v>
      </c>
      <c r="E1992" s="1523">
        <v>1</v>
      </c>
      <c r="F1992" s="1524">
        <v>2</v>
      </c>
      <c r="G1992" s="1537" t="s">
        <v>5950</v>
      </c>
      <c r="H1992" s="1521">
        <v>0</v>
      </c>
      <c r="I1992" s="1521">
        <v>1</v>
      </c>
      <c r="J1992" s="1538">
        <v>1</v>
      </c>
      <c r="K1992" s="1525"/>
      <c r="L1992" s="1519">
        <v>13223120603</v>
      </c>
      <c r="M1992" s="1520">
        <v>1</v>
      </c>
      <c r="N1992" s="1520">
        <v>1</v>
      </c>
      <c r="O1992" s="1521">
        <v>2</v>
      </c>
    </row>
    <row r="1993" spans="3:15" ht="13.5">
      <c r="C1993" s="1526" t="s">
        <v>5951</v>
      </c>
      <c r="D1993" s="1523">
        <v>1</v>
      </c>
      <c r="E1993" s="1523">
        <v>1</v>
      </c>
      <c r="F1993" s="1524">
        <v>2</v>
      </c>
      <c r="G1993" s="1537" t="s">
        <v>5951</v>
      </c>
      <c r="H1993" s="1521">
        <v>1</v>
      </c>
      <c r="I1993" s="1521">
        <v>1</v>
      </c>
      <c r="J1993" s="1538">
        <v>2</v>
      </c>
      <c r="K1993" s="1525"/>
      <c r="L1993" s="1519">
        <v>13223120604</v>
      </c>
      <c r="M1993" s="1520">
        <v>1</v>
      </c>
      <c r="N1993" s="1520">
        <v>1</v>
      </c>
      <c r="O1993" s="1521">
        <v>2</v>
      </c>
    </row>
    <row r="1994" spans="3:15" ht="13.5">
      <c r="C1994" s="1526" t="s">
        <v>5952</v>
      </c>
      <c r="D1994" s="1523">
        <v>1</v>
      </c>
      <c r="E1994" s="1523">
        <v>1</v>
      </c>
      <c r="F1994" s="1524">
        <v>2</v>
      </c>
      <c r="G1994" s="1537" t="s">
        <v>5952</v>
      </c>
      <c r="H1994" s="1521">
        <v>1</v>
      </c>
      <c r="I1994" s="1521">
        <v>0</v>
      </c>
      <c r="J1994" s="1538">
        <v>1</v>
      </c>
      <c r="K1994" s="1525"/>
      <c r="L1994" s="1519">
        <v>13223120605</v>
      </c>
      <c r="M1994" s="1520">
        <v>1</v>
      </c>
      <c r="N1994" s="1520">
        <v>1</v>
      </c>
      <c r="O1994" s="1521">
        <v>2</v>
      </c>
    </row>
    <row r="1995" spans="3:15" ht="13.5">
      <c r="C1995" s="1526" t="s">
        <v>5953</v>
      </c>
      <c r="D1995" s="1523">
        <v>1</v>
      </c>
      <c r="E1995" s="1523">
        <v>1</v>
      </c>
      <c r="F1995" s="1524">
        <v>2</v>
      </c>
      <c r="G1995" s="1537" t="s">
        <v>5953</v>
      </c>
      <c r="H1995" s="1521">
        <v>1</v>
      </c>
      <c r="I1995" s="1521">
        <v>1</v>
      </c>
      <c r="J1995" s="1538">
        <v>2</v>
      </c>
      <c r="K1995" s="1525"/>
      <c r="L1995" s="1519">
        <v>13225040101</v>
      </c>
      <c r="M1995" s="1520">
        <v>1</v>
      </c>
      <c r="N1995" s="1520">
        <v>1</v>
      </c>
      <c r="O1995" s="1521">
        <v>2</v>
      </c>
    </row>
    <row r="1996" spans="3:15" ht="13.5">
      <c r="C1996" s="1526" t="s">
        <v>5954</v>
      </c>
      <c r="D1996" s="1523">
        <v>1</v>
      </c>
      <c r="E1996" s="1523">
        <v>1</v>
      </c>
      <c r="F1996" s="1524">
        <v>2</v>
      </c>
      <c r="G1996" s="1537" t="s">
        <v>5954</v>
      </c>
      <c r="H1996" s="1521">
        <v>0</v>
      </c>
      <c r="I1996" s="1521">
        <v>1</v>
      </c>
      <c r="J1996" s="1538">
        <v>1</v>
      </c>
      <c r="K1996" s="1525"/>
      <c r="L1996" s="1519">
        <v>13225040102</v>
      </c>
      <c r="M1996" s="1520">
        <v>1</v>
      </c>
      <c r="N1996" s="1520">
        <v>1</v>
      </c>
      <c r="O1996" s="1521">
        <v>2</v>
      </c>
    </row>
    <row r="1997" spans="3:15" ht="13.5">
      <c r="C1997" s="1526" t="s">
        <v>5955</v>
      </c>
      <c r="D1997" s="1523">
        <v>0</v>
      </c>
      <c r="E1997" s="1523">
        <v>0</v>
      </c>
      <c r="F1997" s="1524">
        <v>0</v>
      </c>
      <c r="G1997" s="1537" t="s">
        <v>5955</v>
      </c>
      <c r="H1997" s="1521">
        <v>0</v>
      </c>
      <c r="I1997" s="1521">
        <v>0</v>
      </c>
      <c r="J1997" s="1538">
        <v>0</v>
      </c>
      <c r="K1997" s="1525"/>
      <c r="L1997" s="1519">
        <v>13225040200</v>
      </c>
      <c r="M1997" s="1520">
        <v>0</v>
      </c>
      <c r="N1997" s="1520">
        <v>0</v>
      </c>
      <c r="O1997" s="1521">
        <v>0</v>
      </c>
    </row>
    <row r="1998" spans="3:15" ht="13.5">
      <c r="C1998" s="1526" t="s">
        <v>5956</v>
      </c>
      <c r="D1998" s="1523">
        <v>1</v>
      </c>
      <c r="E1998" s="1523">
        <v>0</v>
      </c>
      <c r="F1998" s="1524">
        <v>1</v>
      </c>
      <c r="G1998" s="1537" t="s">
        <v>5956</v>
      </c>
      <c r="H1998" s="1521">
        <v>0</v>
      </c>
      <c r="I1998" s="1521">
        <v>0</v>
      </c>
      <c r="J1998" s="1538">
        <v>0</v>
      </c>
      <c r="K1998" s="1525"/>
      <c r="L1998" s="1519">
        <v>13225040301</v>
      </c>
      <c r="M1998" s="1520">
        <v>1</v>
      </c>
      <c r="N1998" s="1520">
        <v>0</v>
      </c>
      <c r="O1998" s="1521">
        <v>1</v>
      </c>
    </row>
    <row r="1999" spans="3:15" ht="13.5">
      <c r="C1999" s="1526" t="s">
        <v>5957</v>
      </c>
      <c r="D1999" s="1523">
        <v>0</v>
      </c>
      <c r="E1999" s="1523">
        <v>0</v>
      </c>
      <c r="F1999" s="1524">
        <v>0</v>
      </c>
      <c r="G1999" s="1537" t="s">
        <v>5957</v>
      </c>
      <c r="H1999" s="1521">
        <v>0</v>
      </c>
      <c r="I1999" s="1521">
        <v>0</v>
      </c>
      <c r="J1999" s="1538">
        <v>0</v>
      </c>
      <c r="K1999" s="1525"/>
      <c r="L1999" s="1519">
        <v>13225040302</v>
      </c>
      <c r="M1999" s="1520">
        <v>0</v>
      </c>
      <c r="N1999" s="1520">
        <v>0</v>
      </c>
      <c r="O1999" s="1521">
        <v>0</v>
      </c>
    </row>
    <row r="2000" spans="3:15" ht="13.5">
      <c r="C2000" s="1526" t="s">
        <v>5958</v>
      </c>
      <c r="D2000" s="1523">
        <v>0</v>
      </c>
      <c r="E2000" s="1523">
        <v>0</v>
      </c>
      <c r="F2000" s="1524">
        <v>0</v>
      </c>
      <c r="G2000" s="1537" t="s">
        <v>5958</v>
      </c>
      <c r="H2000" s="1521">
        <v>0</v>
      </c>
      <c r="I2000" s="1521" t="s">
        <v>4096</v>
      </c>
      <c r="J2000" s="1538">
        <v>0</v>
      </c>
      <c r="K2000" s="1525"/>
      <c r="L2000" s="1519">
        <v>13225040400</v>
      </c>
      <c r="M2000" s="1520">
        <v>0</v>
      </c>
      <c r="N2000" s="1520">
        <v>0</v>
      </c>
      <c r="O2000" s="1521">
        <v>0</v>
      </c>
    </row>
    <row r="2001" spans="3:15" ht="13.5">
      <c r="C2001" s="1526" t="s">
        <v>5959</v>
      </c>
      <c r="D2001" s="1523">
        <v>1</v>
      </c>
      <c r="E2001" s="1523">
        <v>1</v>
      </c>
      <c r="F2001" s="1524">
        <v>2</v>
      </c>
      <c r="G2001" s="1537" t="s">
        <v>5959</v>
      </c>
      <c r="H2001" s="1521">
        <v>1</v>
      </c>
      <c r="I2001" s="1521">
        <v>1</v>
      </c>
      <c r="J2001" s="1538">
        <v>2</v>
      </c>
      <c r="K2001" s="1525"/>
      <c r="L2001" s="1519">
        <v>13227050100</v>
      </c>
      <c r="M2001" s="1520">
        <v>1</v>
      </c>
      <c r="N2001" s="1520">
        <v>1</v>
      </c>
      <c r="O2001" s="1521">
        <v>2</v>
      </c>
    </row>
    <row r="2002" spans="3:15" ht="13.5">
      <c r="C2002" s="1526" t="s">
        <v>5960</v>
      </c>
      <c r="D2002" s="1523">
        <v>0</v>
      </c>
      <c r="E2002" s="1523">
        <v>0</v>
      </c>
      <c r="F2002" s="1524">
        <v>0</v>
      </c>
      <c r="G2002" s="1537" t="s">
        <v>5960</v>
      </c>
      <c r="H2002" s="1521">
        <v>0</v>
      </c>
      <c r="I2002" s="1521">
        <v>0</v>
      </c>
      <c r="J2002" s="1538">
        <v>0</v>
      </c>
      <c r="K2002" s="1525"/>
      <c r="L2002" s="1519">
        <v>13227050200</v>
      </c>
      <c r="M2002" s="1520">
        <v>0</v>
      </c>
      <c r="N2002" s="1520">
        <v>0</v>
      </c>
      <c r="O2002" s="1521">
        <v>0</v>
      </c>
    </row>
    <row r="2003" spans="3:15" ht="13.5">
      <c r="C2003" s="1526" t="s">
        <v>5961</v>
      </c>
      <c r="D2003" s="1523">
        <v>0</v>
      </c>
      <c r="E2003" s="1523">
        <v>1</v>
      </c>
      <c r="F2003" s="1524">
        <v>1</v>
      </c>
      <c r="G2003" s="1537" t="s">
        <v>5961</v>
      </c>
      <c r="H2003" s="1521">
        <v>0</v>
      </c>
      <c r="I2003" s="1521">
        <v>0</v>
      </c>
      <c r="J2003" s="1538">
        <v>0</v>
      </c>
      <c r="K2003" s="1525"/>
      <c r="L2003" s="1519">
        <v>13227050300</v>
      </c>
      <c r="M2003" s="1520">
        <v>0</v>
      </c>
      <c r="N2003" s="1520">
        <v>1</v>
      </c>
      <c r="O2003" s="1521">
        <v>1</v>
      </c>
    </row>
    <row r="2004" spans="3:15" ht="13.5">
      <c r="C2004" s="1526" t="s">
        <v>5962</v>
      </c>
      <c r="D2004" s="1523">
        <v>0</v>
      </c>
      <c r="E2004" s="1523">
        <v>0</v>
      </c>
      <c r="F2004" s="1524">
        <v>0</v>
      </c>
      <c r="G2004" s="1537" t="s">
        <v>5962</v>
      </c>
      <c r="H2004" s="1521">
        <v>0</v>
      </c>
      <c r="I2004" s="1521">
        <v>1</v>
      </c>
      <c r="J2004" s="1538">
        <v>1</v>
      </c>
      <c r="K2004" s="1525"/>
      <c r="L2004" s="1519">
        <v>13227050400</v>
      </c>
      <c r="M2004" s="1520">
        <v>0</v>
      </c>
      <c r="N2004" s="1520">
        <v>1</v>
      </c>
      <c r="O2004" s="1521">
        <v>1</v>
      </c>
    </row>
    <row r="2005" spans="3:15" ht="13.5">
      <c r="C2005" s="1526" t="s">
        <v>5963</v>
      </c>
      <c r="D2005" s="1523">
        <v>1</v>
      </c>
      <c r="E2005" s="1523">
        <v>1</v>
      </c>
      <c r="F2005" s="1524">
        <v>2</v>
      </c>
      <c r="G2005" s="1537" t="s">
        <v>5963</v>
      </c>
      <c r="H2005" s="1521">
        <v>0</v>
      </c>
      <c r="I2005" s="1521">
        <v>0</v>
      </c>
      <c r="J2005" s="1538">
        <v>0</v>
      </c>
      <c r="K2005" s="1525"/>
      <c r="L2005" s="1519">
        <v>13227050500</v>
      </c>
      <c r="M2005" s="1520">
        <v>1</v>
      </c>
      <c r="N2005" s="1520">
        <v>1</v>
      </c>
      <c r="O2005" s="1521">
        <v>2</v>
      </c>
    </row>
    <row r="2006" spans="3:15" ht="13.5">
      <c r="C2006" s="1526" t="s">
        <v>5964</v>
      </c>
      <c r="D2006" s="1523">
        <v>1</v>
      </c>
      <c r="E2006" s="1523">
        <v>1</v>
      </c>
      <c r="F2006" s="1524">
        <v>2</v>
      </c>
      <c r="G2006" s="1537" t="s">
        <v>5964</v>
      </c>
      <c r="H2006" s="1521">
        <v>1</v>
      </c>
      <c r="I2006" s="1521">
        <v>1</v>
      </c>
      <c r="J2006" s="1538">
        <v>2</v>
      </c>
      <c r="K2006" s="1525"/>
      <c r="L2006" s="1519">
        <v>13227050600</v>
      </c>
      <c r="M2006" s="1520">
        <v>1</v>
      </c>
      <c r="N2006" s="1520">
        <v>1</v>
      </c>
      <c r="O2006" s="1521">
        <v>2</v>
      </c>
    </row>
    <row r="2007" spans="3:15" ht="13.5">
      <c r="C2007" s="1526" t="s">
        <v>5965</v>
      </c>
      <c r="D2007" s="1523">
        <v>0</v>
      </c>
      <c r="E2007" s="1523">
        <v>0</v>
      </c>
      <c r="F2007" s="1524">
        <v>0</v>
      </c>
      <c r="G2007" s="1537" t="s">
        <v>5965</v>
      </c>
      <c r="H2007" s="1521">
        <v>0</v>
      </c>
      <c r="I2007" s="1521">
        <v>0</v>
      </c>
      <c r="J2007" s="1538">
        <v>0</v>
      </c>
      <c r="K2007" s="1525"/>
      <c r="L2007" s="1519">
        <v>13229960100</v>
      </c>
      <c r="M2007" s="1520">
        <v>0</v>
      </c>
      <c r="N2007" s="1520">
        <v>0</v>
      </c>
      <c r="O2007" s="1521">
        <v>0</v>
      </c>
    </row>
    <row r="2008" spans="3:15" ht="13.5">
      <c r="C2008" s="1526" t="s">
        <v>5966</v>
      </c>
      <c r="D2008" s="1523">
        <v>0</v>
      </c>
      <c r="E2008" s="1523">
        <v>0</v>
      </c>
      <c r="F2008" s="1524">
        <v>0</v>
      </c>
      <c r="G2008" s="1537" t="s">
        <v>5966</v>
      </c>
      <c r="H2008" s="1521">
        <v>0</v>
      </c>
      <c r="I2008" s="1521">
        <v>0</v>
      </c>
      <c r="J2008" s="1538">
        <v>0</v>
      </c>
      <c r="K2008" s="1525"/>
      <c r="L2008" s="1519">
        <v>13229960200</v>
      </c>
      <c r="M2008" s="1520">
        <v>0</v>
      </c>
      <c r="N2008" s="1520">
        <v>0</v>
      </c>
      <c r="O2008" s="1521">
        <v>0</v>
      </c>
    </row>
    <row r="2009" spans="3:15" ht="13.5">
      <c r="C2009" s="1526" t="s">
        <v>5967</v>
      </c>
      <c r="D2009" s="1523">
        <v>0</v>
      </c>
      <c r="E2009" s="1523">
        <v>0</v>
      </c>
      <c r="F2009" s="1524">
        <v>0</v>
      </c>
      <c r="G2009" s="1537" t="s">
        <v>5967</v>
      </c>
      <c r="H2009" s="1521">
        <v>0</v>
      </c>
      <c r="I2009" s="1521">
        <v>0</v>
      </c>
      <c r="J2009" s="1538">
        <v>0</v>
      </c>
      <c r="K2009" s="1525"/>
      <c r="L2009" s="1519">
        <v>13229960300</v>
      </c>
      <c r="M2009" s="1520">
        <v>0</v>
      </c>
      <c r="N2009" s="1520">
        <v>0</v>
      </c>
      <c r="O2009" s="1521">
        <v>0</v>
      </c>
    </row>
    <row r="2010" spans="3:15" ht="13.5">
      <c r="C2010" s="1526" t="s">
        <v>5968</v>
      </c>
      <c r="D2010" s="1523">
        <v>0</v>
      </c>
      <c r="E2010" s="1523">
        <v>1</v>
      </c>
      <c r="F2010" s="1524">
        <v>1</v>
      </c>
      <c r="G2010" s="1537" t="s">
        <v>5968</v>
      </c>
      <c r="H2010" s="1521">
        <v>0</v>
      </c>
      <c r="I2010" s="1521">
        <v>0</v>
      </c>
      <c r="J2010" s="1538">
        <v>0</v>
      </c>
      <c r="K2010" s="1525"/>
      <c r="L2010" s="1519">
        <v>13229960400</v>
      </c>
      <c r="M2010" s="1520">
        <v>0</v>
      </c>
      <c r="N2010" s="1520">
        <v>1</v>
      </c>
      <c r="O2010" s="1521">
        <v>1</v>
      </c>
    </row>
    <row r="2011" spans="3:15" ht="13.5">
      <c r="C2011" s="1526" t="s">
        <v>5969</v>
      </c>
      <c r="D2011" s="1523">
        <v>0</v>
      </c>
      <c r="E2011" s="1523">
        <v>1</v>
      </c>
      <c r="F2011" s="1524">
        <v>1</v>
      </c>
      <c r="G2011" s="1537" t="s">
        <v>5969</v>
      </c>
      <c r="H2011" s="1521">
        <v>0</v>
      </c>
      <c r="I2011" s="1521">
        <v>1</v>
      </c>
      <c r="J2011" s="1538">
        <v>1</v>
      </c>
      <c r="K2011" s="1525"/>
      <c r="L2011" s="1519">
        <v>13231010100</v>
      </c>
      <c r="M2011" s="1520">
        <v>0</v>
      </c>
      <c r="N2011" s="1520">
        <v>1</v>
      </c>
      <c r="O2011" s="1521">
        <v>1</v>
      </c>
    </row>
    <row r="2012" spans="3:15" ht="13.5">
      <c r="C2012" s="1526" t="s">
        <v>5970</v>
      </c>
      <c r="D2012" s="1523">
        <v>1</v>
      </c>
      <c r="E2012" s="1523">
        <v>1</v>
      </c>
      <c r="F2012" s="1524">
        <v>2</v>
      </c>
      <c r="G2012" s="1537" t="s">
        <v>5970</v>
      </c>
      <c r="H2012" s="1521">
        <v>1</v>
      </c>
      <c r="I2012" s="1521">
        <v>1</v>
      </c>
      <c r="J2012" s="1538">
        <v>2</v>
      </c>
      <c r="K2012" s="1525"/>
      <c r="L2012" s="1519">
        <v>13231010200</v>
      </c>
      <c r="M2012" s="1520">
        <v>1</v>
      </c>
      <c r="N2012" s="1520">
        <v>1</v>
      </c>
      <c r="O2012" s="1521">
        <v>2</v>
      </c>
    </row>
    <row r="2013" spans="3:15" ht="13.5">
      <c r="C2013" s="1526" t="s">
        <v>5971</v>
      </c>
      <c r="D2013" s="1523">
        <v>0</v>
      </c>
      <c r="E2013" s="1523">
        <v>1</v>
      </c>
      <c r="F2013" s="1524">
        <v>1</v>
      </c>
      <c r="G2013" s="1537" t="s">
        <v>5971</v>
      </c>
      <c r="H2013" s="1521">
        <v>0</v>
      </c>
      <c r="I2013" s="1521">
        <v>0</v>
      </c>
      <c r="J2013" s="1538">
        <v>0</v>
      </c>
      <c r="K2013" s="1525"/>
      <c r="L2013" s="1519">
        <v>13231010300</v>
      </c>
      <c r="M2013" s="1520">
        <v>0</v>
      </c>
      <c r="N2013" s="1520">
        <v>1</v>
      </c>
      <c r="O2013" s="1521">
        <v>1</v>
      </c>
    </row>
    <row r="2014" spans="3:15" ht="13.5">
      <c r="C2014" s="1526" t="s">
        <v>5972</v>
      </c>
      <c r="D2014" s="1523">
        <v>0</v>
      </c>
      <c r="E2014" s="1523">
        <v>1</v>
      </c>
      <c r="F2014" s="1524">
        <v>1</v>
      </c>
      <c r="G2014" s="1537" t="s">
        <v>5972</v>
      </c>
      <c r="H2014" s="1521">
        <v>0</v>
      </c>
      <c r="I2014" s="1521">
        <v>0</v>
      </c>
      <c r="J2014" s="1538">
        <v>0</v>
      </c>
      <c r="K2014" s="1525"/>
      <c r="L2014" s="1519">
        <v>13231010400</v>
      </c>
      <c r="M2014" s="1520">
        <v>0</v>
      </c>
      <c r="N2014" s="1520">
        <v>1</v>
      </c>
      <c r="O2014" s="1521">
        <v>1</v>
      </c>
    </row>
    <row r="2015" spans="3:15" ht="13.5">
      <c r="C2015" s="1526" t="s">
        <v>5973</v>
      </c>
      <c r="D2015" s="1523">
        <v>0</v>
      </c>
      <c r="E2015" s="1523">
        <v>0</v>
      </c>
      <c r="F2015" s="1524">
        <v>0</v>
      </c>
      <c r="G2015" s="1537" t="s">
        <v>5973</v>
      </c>
      <c r="H2015" s="1521">
        <v>0</v>
      </c>
      <c r="I2015" s="1521">
        <v>0</v>
      </c>
      <c r="J2015" s="1538">
        <v>0</v>
      </c>
      <c r="K2015" s="1525"/>
      <c r="L2015" s="1519">
        <v>13233010100</v>
      </c>
      <c r="M2015" s="1520">
        <v>0</v>
      </c>
      <c r="N2015" s="1520">
        <v>0</v>
      </c>
      <c r="O2015" s="1521">
        <v>0</v>
      </c>
    </row>
    <row r="2016" spans="3:15" ht="13.5">
      <c r="C2016" s="1526" t="s">
        <v>5974</v>
      </c>
      <c r="D2016" s="1523">
        <v>0</v>
      </c>
      <c r="E2016" s="1523">
        <v>0</v>
      </c>
      <c r="F2016" s="1524">
        <v>0</v>
      </c>
      <c r="G2016" s="1537" t="s">
        <v>5974</v>
      </c>
      <c r="H2016" s="1521">
        <v>0</v>
      </c>
      <c r="I2016" s="1521">
        <v>1</v>
      </c>
      <c r="J2016" s="1538">
        <v>1</v>
      </c>
      <c r="K2016" s="1525"/>
      <c r="L2016" s="1519">
        <v>13233010200</v>
      </c>
      <c r="M2016" s="1520">
        <v>0</v>
      </c>
      <c r="N2016" s="1520">
        <v>1</v>
      </c>
      <c r="O2016" s="1521">
        <v>1</v>
      </c>
    </row>
    <row r="2017" spans="3:15" ht="13.5">
      <c r="C2017" s="1526" t="s">
        <v>5975</v>
      </c>
      <c r="D2017" s="1523">
        <v>0</v>
      </c>
      <c r="E2017" s="1523">
        <v>0</v>
      </c>
      <c r="F2017" s="1524">
        <v>0</v>
      </c>
      <c r="G2017" s="1537" t="s">
        <v>5975</v>
      </c>
      <c r="H2017" s="1521">
        <v>0</v>
      </c>
      <c r="I2017" s="1521">
        <v>0</v>
      </c>
      <c r="J2017" s="1538">
        <v>0</v>
      </c>
      <c r="K2017" s="1525"/>
      <c r="L2017" s="1519">
        <v>13233010300</v>
      </c>
      <c r="M2017" s="1520">
        <v>0</v>
      </c>
      <c r="N2017" s="1520">
        <v>0</v>
      </c>
      <c r="O2017" s="1521">
        <v>0</v>
      </c>
    </row>
    <row r="2018" spans="3:15" ht="13.5">
      <c r="C2018" s="1526" t="s">
        <v>5976</v>
      </c>
      <c r="D2018" s="1523">
        <v>0</v>
      </c>
      <c r="E2018" s="1523">
        <v>0</v>
      </c>
      <c r="F2018" s="1524">
        <v>0</v>
      </c>
      <c r="G2018" s="1537" t="s">
        <v>5976</v>
      </c>
      <c r="H2018" s="1521">
        <v>0</v>
      </c>
      <c r="I2018" s="1521">
        <v>0</v>
      </c>
      <c r="J2018" s="1538">
        <v>0</v>
      </c>
      <c r="K2018" s="1525"/>
      <c r="L2018" s="1519">
        <v>13233010400</v>
      </c>
      <c r="M2018" s="1520">
        <v>0</v>
      </c>
      <c r="N2018" s="1520">
        <v>0</v>
      </c>
      <c r="O2018" s="1521">
        <v>0</v>
      </c>
    </row>
    <row r="2019" spans="3:15" ht="13.5">
      <c r="C2019" s="1526" t="s">
        <v>5977</v>
      </c>
      <c r="D2019" s="1523">
        <v>0</v>
      </c>
      <c r="E2019" s="1523">
        <v>0</v>
      </c>
      <c r="F2019" s="1524">
        <v>0</v>
      </c>
      <c r="G2019" s="1537" t="s">
        <v>5977</v>
      </c>
      <c r="H2019" s="1521">
        <v>0</v>
      </c>
      <c r="I2019" s="1521">
        <v>0</v>
      </c>
      <c r="J2019" s="1538">
        <v>0</v>
      </c>
      <c r="K2019" s="1525"/>
      <c r="L2019" s="1519">
        <v>13233010500</v>
      </c>
      <c r="M2019" s="1520">
        <v>0</v>
      </c>
      <c r="N2019" s="1520">
        <v>0</v>
      </c>
      <c r="O2019" s="1521">
        <v>0</v>
      </c>
    </row>
    <row r="2020" spans="3:15" ht="13.5">
      <c r="C2020" s="1526" t="s">
        <v>5978</v>
      </c>
      <c r="D2020" s="1523">
        <v>0</v>
      </c>
      <c r="E2020" s="1523">
        <v>0</v>
      </c>
      <c r="F2020" s="1524">
        <v>0</v>
      </c>
      <c r="G2020" s="1537" t="s">
        <v>5978</v>
      </c>
      <c r="H2020" s="1521">
        <v>0</v>
      </c>
      <c r="I2020" s="1521">
        <v>1</v>
      </c>
      <c r="J2020" s="1538">
        <v>1</v>
      </c>
      <c r="K2020" s="1525"/>
      <c r="L2020" s="1519">
        <v>13233010600</v>
      </c>
      <c r="M2020" s="1520">
        <v>0</v>
      </c>
      <c r="N2020" s="1520">
        <v>1</v>
      </c>
      <c r="O2020" s="1521">
        <v>1</v>
      </c>
    </row>
    <row r="2021" spans="3:15" ht="13.5">
      <c r="C2021" s="1526" t="s">
        <v>5979</v>
      </c>
      <c r="D2021" s="1523">
        <v>0</v>
      </c>
      <c r="E2021" s="1523">
        <v>0</v>
      </c>
      <c r="F2021" s="1524">
        <v>0</v>
      </c>
      <c r="G2021" s="1537" t="s">
        <v>5979</v>
      </c>
      <c r="H2021" s="1521">
        <v>0</v>
      </c>
      <c r="I2021" s="1521">
        <v>0</v>
      </c>
      <c r="J2021" s="1538">
        <v>0</v>
      </c>
      <c r="K2021" s="1525"/>
      <c r="L2021" s="1519">
        <v>13233010700</v>
      </c>
      <c r="M2021" s="1520">
        <v>0</v>
      </c>
      <c r="N2021" s="1520">
        <v>0</v>
      </c>
      <c r="O2021" s="1521">
        <v>0</v>
      </c>
    </row>
    <row r="2022" spans="3:15" ht="13.5">
      <c r="C2022" s="1526" t="s">
        <v>5980</v>
      </c>
      <c r="D2022" s="1523">
        <v>0</v>
      </c>
      <c r="E2022" s="1523">
        <v>0</v>
      </c>
      <c r="F2022" s="1524">
        <v>0</v>
      </c>
      <c r="G2022" s="1537" t="s">
        <v>5980</v>
      </c>
      <c r="H2022" s="1521">
        <v>0</v>
      </c>
      <c r="I2022" s="1521">
        <v>0</v>
      </c>
      <c r="J2022" s="1538">
        <v>0</v>
      </c>
      <c r="K2022" s="1525"/>
      <c r="L2022" s="1519">
        <v>13235950100</v>
      </c>
      <c r="M2022" s="1520">
        <v>0</v>
      </c>
      <c r="N2022" s="1520">
        <v>0</v>
      </c>
      <c r="O2022" s="1521">
        <v>0</v>
      </c>
    </row>
    <row r="2023" spans="3:15" ht="13.5">
      <c r="C2023" s="1526" t="s">
        <v>5981</v>
      </c>
      <c r="D2023" s="1523">
        <v>0</v>
      </c>
      <c r="E2023" s="1523">
        <v>0</v>
      </c>
      <c r="F2023" s="1524">
        <v>0</v>
      </c>
      <c r="G2023" s="1537" t="s">
        <v>5981</v>
      </c>
      <c r="H2023" s="1521">
        <v>0</v>
      </c>
      <c r="I2023" s="1521">
        <v>1</v>
      </c>
      <c r="J2023" s="1538">
        <v>1</v>
      </c>
      <c r="K2023" s="1525"/>
      <c r="L2023" s="1519">
        <v>13235950200</v>
      </c>
      <c r="M2023" s="1520">
        <v>0</v>
      </c>
      <c r="N2023" s="1520">
        <v>1</v>
      </c>
      <c r="O2023" s="1521">
        <v>1</v>
      </c>
    </row>
    <row r="2024" spans="3:15" ht="13.5">
      <c r="C2024" s="1526" t="s">
        <v>5982</v>
      </c>
      <c r="D2024" s="1523">
        <v>0</v>
      </c>
      <c r="E2024" s="1523">
        <v>0</v>
      </c>
      <c r="F2024" s="1524">
        <v>0</v>
      </c>
      <c r="G2024" s="1537" t="s">
        <v>5982</v>
      </c>
      <c r="H2024" s="1521">
        <v>0</v>
      </c>
      <c r="I2024" s="1521">
        <v>0</v>
      </c>
      <c r="J2024" s="1538">
        <v>0</v>
      </c>
      <c r="K2024" s="1525"/>
      <c r="L2024" s="1519">
        <v>13235950300</v>
      </c>
      <c r="M2024" s="1520">
        <v>0</v>
      </c>
      <c r="N2024" s="1520">
        <v>0</v>
      </c>
      <c r="O2024" s="1521">
        <v>0</v>
      </c>
    </row>
    <row r="2025" spans="3:15" ht="13.5">
      <c r="C2025" s="1526" t="s">
        <v>5983</v>
      </c>
      <c r="D2025" s="1523">
        <v>0</v>
      </c>
      <c r="E2025" s="1523">
        <v>0</v>
      </c>
      <c r="F2025" s="1524">
        <v>0</v>
      </c>
      <c r="G2025" s="1537" t="s">
        <v>5983</v>
      </c>
      <c r="H2025" s="1521">
        <v>0</v>
      </c>
      <c r="I2025" s="1521">
        <v>1</v>
      </c>
      <c r="J2025" s="1538">
        <v>1</v>
      </c>
      <c r="K2025" s="1525"/>
      <c r="L2025" s="1519">
        <v>13237960101</v>
      </c>
      <c r="M2025" s="1520">
        <v>0</v>
      </c>
      <c r="N2025" s="1520">
        <v>1</v>
      </c>
      <c r="O2025" s="1521">
        <v>1</v>
      </c>
    </row>
    <row r="2026" spans="3:15" ht="13.5">
      <c r="C2026" s="1526" t="s">
        <v>5984</v>
      </c>
      <c r="D2026" s="1523">
        <v>1</v>
      </c>
      <c r="E2026" s="1523">
        <v>1</v>
      </c>
      <c r="F2026" s="1524">
        <v>2</v>
      </c>
      <c r="G2026" s="1537" t="s">
        <v>5984</v>
      </c>
      <c r="H2026" s="1521">
        <v>1</v>
      </c>
      <c r="I2026" s="1521" t="s">
        <v>4096</v>
      </c>
      <c r="J2026" s="1538">
        <v>1</v>
      </c>
      <c r="K2026" s="1525"/>
      <c r="L2026" s="1519">
        <v>13237960102</v>
      </c>
      <c r="M2026" s="1520">
        <v>1</v>
      </c>
      <c r="N2026" s="1520">
        <v>1</v>
      </c>
      <c r="O2026" s="1521">
        <v>2</v>
      </c>
    </row>
    <row r="2027" spans="3:15" ht="13.5">
      <c r="C2027" s="1526" t="s">
        <v>5985</v>
      </c>
      <c r="D2027" s="1523">
        <v>0</v>
      </c>
      <c r="E2027" s="1523">
        <v>0</v>
      </c>
      <c r="F2027" s="1524">
        <v>0</v>
      </c>
      <c r="G2027" s="1537" t="s">
        <v>5985</v>
      </c>
      <c r="H2027" s="1521">
        <v>0</v>
      </c>
      <c r="I2027" s="1521" t="s">
        <v>4096</v>
      </c>
      <c r="J2027" s="1538">
        <v>0</v>
      </c>
      <c r="K2027" s="1525"/>
      <c r="L2027" s="1519">
        <v>13237960201</v>
      </c>
      <c r="M2027" s="1520">
        <v>0</v>
      </c>
      <c r="N2027" s="1520">
        <v>0</v>
      </c>
      <c r="O2027" s="1521">
        <v>0</v>
      </c>
    </row>
    <row r="2028" spans="3:15" ht="13.5">
      <c r="C2028" s="1526" t="s">
        <v>5986</v>
      </c>
      <c r="D2028" s="1523">
        <v>0</v>
      </c>
      <c r="E2028" s="1523">
        <v>0</v>
      </c>
      <c r="F2028" s="1524">
        <v>0</v>
      </c>
      <c r="G2028" s="1537" t="s">
        <v>5986</v>
      </c>
      <c r="H2028" s="1521">
        <v>0</v>
      </c>
      <c r="I2028" s="1521">
        <v>0</v>
      </c>
      <c r="J2028" s="1538">
        <v>0</v>
      </c>
      <c r="K2028" s="1525"/>
      <c r="L2028" s="1519">
        <v>13237960202</v>
      </c>
      <c r="M2028" s="1520">
        <v>0</v>
      </c>
      <c r="N2028" s="1520">
        <v>0</v>
      </c>
      <c r="O2028" s="1521">
        <v>0</v>
      </c>
    </row>
    <row r="2029" spans="3:15" ht="13.5">
      <c r="C2029" s="1526" t="s">
        <v>5987</v>
      </c>
      <c r="D2029" s="1523">
        <v>0</v>
      </c>
      <c r="E2029" s="1523">
        <v>1</v>
      </c>
      <c r="F2029" s="1524">
        <v>1</v>
      </c>
      <c r="G2029" s="1537" t="s">
        <v>5987</v>
      </c>
      <c r="H2029" s="1521">
        <v>0</v>
      </c>
      <c r="I2029" s="1521">
        <v>0</v>
      </c>
      <c r="J2029" s="1538">
        <v>0</v>
      </c>
      <c r="K2029" s="1525"/>
      <c r="L2029" s="1519">
        <v>13237960300</v>
      </c>
      <c r="M2029" s="1520">
        <v>0</v>
      </c>
      <c r="N2029" s="1520">
        <v>1</v>
      </c>
      <c r="O2029" s="1521">
        <v>1</v>
      </c>
    </row>
    <row r="2030" spans="3:15" ht="13.5">
      <c r="C2030" s="1526" t="s">
        <v>5988</v>
      </c>
      <c r="D2030" s="1523">
        <v>0</v>
      </c>
      <c r="E2030" s="1523">
        <v>0</v>
      </c>
      <c r="F2030" s="1524">
        <v>0</v>
      </c>
      <c r="G2030" s="1537" t="s">
        <v>5988</v>
      </c>
      <c r="H2030" s="1521">
        <v>0</v>
      </c>
      <c r="I2030" s="1521">
        <v>0</v>
      </c>
      <c r="J2030" s="1538">
        <v>0</v>
      </c>
      <c r="K2030" s="1525"/>
      <c r="L2030" s="1519">
        <v>13239960300</v>
      </c>
      <c r="M2030" s="1520">
        <v>0</v>
      </c>
      <c r="N2030" s="1520">
        <v>0</v>
      </c>
      <c r="O2030" s="1521">
        <v>0</v>
      </c>
    </row>
    <row r="2031" spans="3:15" ht="13.5">
      <c r="C2031" s="1526" t="s">
        <v>5989</v>
      </c>
      <c r="D2031" s="1523">
        <v>0</v>
      </c>
      <c r="E2031" s="1523">
        <v>0</v>
      </c>
      <c r="F2031" s="1524">
        <v>0</v>
      </c>
      <c r="G2031" s="1537" t="s">
        <v>5989</v>
      </c>
      <c r="H2031" s="1521">
        <v>0</v>
      </c>
      <c r="I2031" s="1521">
        <v>1</v>
      </c>
      <c r="J2031" s="1538">
        <v>1</v>
      </c>
      <c r="K2031" s="1525"/>
      <c r="L2031" s="1519">
        <v>13241970100</v>
      </c>
      <c r="M2031" s="1520">
        <v>0</v>
      </c>
      <c r="N2031" s="1520">
        <v>1</v>
      </c>
      <c r="O2031" s="1521">
        <v>1</v>
      </c>
    </row>
    <row r="2032" spans="3:15" ht="13.5">
      <c r="C2032" s="1526" t="s">
        <v>5990</v>
      </c>
      <c r="D2032" s="1523">
        <v>0</v>
      </c>
      <c r="E2032" s="1523">
        <v>0</v>
      </c>
      <c r="F2032" s="1524">
        <v>0</v>
      </c>
      <c r="G2032" s="1537" t="s">
        <v>5990</v>
      </c>
      <c r="H2032" s="1521">
        <v>0</v>
      </c>
      <c r="I2032" s="1521">
        <v>0</v>
      </c>
      <c r="J2032" s="1538">
        <v>0</v>
      </c>
      <c r="K2032" s="1525"/>
      <c r="L2032" s="1519">
        <v>13241970201</v>
      </c>
      <c r="M2032" s="1520">
        <v>0</v>
      </c>
      <c r="N2032" s="1520">
        <v>0</v>
      </c>
      <c r="O2032" s="1521">
        <v>0</v>
      </c>
    </row>
    <row r="2033" spans="3:15" ht="13.5">
      <c r="C2033" s="1526" t="s">
        <v>5991</v>
      </c>
      <c r="D2033" s="1523">
        <v>0</v>
      </c>
      <c r="E2033" s="1523">
        <v>0</v>
      </c>
      <c r="F2033" s="1524">
        <v>0</v>
      </c>
      <c r="G2033" s="1537" t="s">
        <v>5991</v>
      </c>
      <c r="H2033" s="1521">
        <v>0</v>
      </c>
      <c r="I2033" s="1521">
        <v>0</v>
      </c>
      <c r="J2033" s="1538">
        <v>0</v>
      </c>
      <c r="K2033" s="1525"/>
      <c r="L2033" s="1519">
        <v>13241970202</v>
      </c>
      <c r="M2033" s="1520">
        <v>0</v>
      </c>
      <c r="N2033" s="1520">
        <v>0</v>
      </c>
      <c r="O2033" s="1521">
        <v>0</v>
      </c>
    </row>
    <row r="2034" spans="3:15" ht="13.5">
      <c r="C2034" s="1526" t="s">
        <v>5992</v>
      </c>
      <c r="D2034" s="1523">
        <v>0</v>
      </c>
      <c r="E2034" s="1523">
        <v>0</v>
      </c>
      <c r="F2034" s="1524">
        <v>0</v>
      </c>
      <c r="G2034" s="1537" t="s">
        <v>5992</v>
      </c>
      <c r="H2034" s="1521">
        <v>0</v>
      </c>
      <c r="I2034" s="1521">
        <v>1</v>
      </c>
      <c r="J2034" s="1538">
        <v>1</v>
      </c>
      <c r="K2034" s="1525"/>
      <c r="L2034" s="1519">
        <v>13241970301</v>
      </c>
      <c r="M2034" s="1520">
        <v>0</v>
      </c>
      <c r="N2034" s="1520">
        <v>1</v>
      </c>
      <c r="O2034" s="1521">
        <v>1</v>
      </c>
    </row>
    <row r="2035" spans="3:15" ht="13.5">
      <c r="C2035" s="1526" t="s">
        <v>5993</v>
      </c>
      <c r="D2035" s="1523">
        <v>0</v>
      </c>
      <c r="E2035" s="1523">
        <v>0</v>
      </c>
      <c r="F2035" s="1524">
        <v>0</v>
      </c>
      <c r="G2035" s="1537" t="s">
        <v>5993</v>
      </c>
      <c r="H2035" s="1521">
        <v>0</v>
      </c>
      <c r="I2035" s="1521">
        <v>0</v>
      </c>
      <c r="J2035" s="1538">
        <v>0</v>
      </c>
      <c r="K2035" s="1525"/>
      <c r="L2035" s="1519">
        <v>13241970302</v>
      </c>
      <c r="M2035" s="1520">
        <v>0</v>
      </c>
      <c r="N2035" s="1520">
        <v>0</v>
      </c>
      <c r="O2035" s="1521">
        <v>0</v>
      </c>
    </row>
    <row r="2036" spans="3:15" ht="13.5">
      <c r="C2036" s="1526" t="s">
        <v>5994</v>
      </c>
      <c r="D2036" s="1523">
        <v>0</v>
      </c>
      <c r="E2036" s="1523">
        <v>0</v>
      </c>
      <c r="F2036" s="1524">
        <v>0</v>
      </c>
      <c r="G2036" s="1537" t="s">
        <v>5994</v>
      </c>
      <c r="H2036" s="1521">
        <v>0</v>
      </c>
      <c r="I2036" s="1521">
        <v>0</v>
      </c>
      <c r="J2036" s="1538">
        <v>0</v>
      </c>
      <c r="K2036" s="1525"/>
      <c r="L2036" s="1519">
        <v>13243790100</v>
      </c>
      <c r="M2036" s="1520">
        <v>0</v>
      </c>
      <c r="N2036" s="1520">
        <v>0</v>
      </c>
      <c r="O2036" s="1521">
        <v>0</v>
      </c>
    </row>
    <row r="2037" spans="3:15" ht="13.5">
      <c r="C2037" s="1526" t="s">
        <v>5995</v>
      </c>
      <c r="D2037" s="1523">
        <v>0</v>
      </c>
      <c r="E2037" s="1523">
        <v>0</v>
      </c>
      <c r="F2037" s="1524">
        <v>0</v>
      </c>
      <c r="G2037" s="1537" t="s">
        <v>5995</v>
      </c>
      <c r="H2037" s="1521">
        <v>0</v>
      </c>
      <c r="I2037" s="1521">
        <v>0</v>
      </c>
      <c r="J2037" s="1538">
        <v>0</v>
      </c>
      <c r="K2037" s="1525"/>
      <c r="L2037" s="1519">
        <v>13243790200</v>
      </c>
      <c r="M2037" s="1520">
        <v>0</v>
      </c>
      <c r="N2037" s="1520">
        <v>0</v>
      </c>
      <c r="O2037" s="1521">
        <v>0</v>
      </c>
    </row>
    <row r="2038" spans="3:15" ht="13.5">
      <c r="C2038" s="1526" t="s">
        <v>5996</v>
      </c>
      <c r="D2038" s="1523">
        <v>0</v>
      </c>
      <c r="E2038" s="1523">
        <v>0</v>
      </c>
      <c r="F2038" s="1524">
        <v>0</v>
      </c>
      <c r="G2038" s="1537" t="s">
        <v>5996</v>
      </c>
      <c r="H2038" s="1521">
        <v>0</v>
      </c>
      <c r="I2038" s="1521">
        <v>0</v>
      </c>
      <c r="J2038" s="1538">
        <v>0</v>
      </c>
      <c r="K2038" s="1525"/>
      <c r="L2038" s="1519">
        <v>13245000100</v>
      </c>
      <c r="M2038" s="1520">
        <v>0</v>
      </c>
      <c r="N2038" s="1520">
        <v>0</v>
      </c>
      <c r="O2038" s="1521">
        <v>0</v>
      </c>
    </row>
    <row r="2039" spans="3:15" ht="13.5">
      <c r="C2039" s="1526" t="s">
        <v>5997</v>
      </c>
      <c r="D2039" s="1523">
        <v>0</v>
      </c>
      <c r="E2039" s="1523">
        <v>0</v>
      </c>
      <c r="F2039" s="1524">
        <v>0</v>
      </c>
      <c r="G2039" s="1537" t="s">
        <v>5997</v>
      </c>
      <c r="H2039" s="1521">
        <v>0</v>
      </c>
      <c r="I2039" s="1521">
        <v>0</v>
      </c>
      <c r="J2039" s="1538">
        <v>0</v>
      </c>
      <c r="K2039" s="1525"/>
      <c r="L2039" s="1519">
        <v>13245000200</v>
      </c>
      <c r="M2039" s="1520">
        <v>0</v>
      </c>
      <c r="N2039" s="1520">
        <v>0</v>
      </c>
      <c r="O2039" s="1521">
        <v>0</v>
      </c>
    </row>
    <row r="2040" spans="3:15" ht="13.5">
      <c r="C2040" s="1526" t="s">
        <v>5998</v>
      </c>
      <c r="D2040" s="1523">
        <v>0</v>
      </c>
      <c r="E2040" s="1523">
        <v>0</v>
      </c>
      <c r="F2040" s="1524">
        <v>0</v>
      </c>
      <c r="G2040" s="1537" t="s">
        <v>5998</v>
      </c>
      <c r="H2040" s="1521">
        <v>0</v>
      </c>
      <c r="I2040" s="1521">
        <v>0</v>
      </c>
      <c r="J2040" s="1538">
        <v>0</v>
      </c>
      <c r="K2040" s="1525"/>
      <c r="L2040" s="1519">
        <v>13245000300</v>
      </c>
      <c r="M2040" s="1520">
        <v>0</v>
      </c>
      <c r="N2040" s="1520">
        <v>0</v>
      </c>
      <c r="O2040" s="1521">
        <v>0</v>
      </c>
    </row>
    <row r="2041" spans="3:15" ht="13.5">
      <c r="C2041" s="1526" t="s">
        <v>5999</v>
      </c>
      <c r="D2041" s="1523">
        <v>0</v>
      </c>
      <c r="E2041" s="1523">
        <v>0</v>
      </c>
      <c r="F2041" s="1524">
        <v>0</v>
      </c>
      <c r="G2041" s="1537" t="s">
        <v>5999</v>
      </c>
      <c r="H2041" s="1521">
        <v>0</v>
      </c>
      <c r="I2041" s="1521" t="s">
        <v>4096</v>
      </c>
      <c r="J2041" s="1538">
        <v>0</v>
      </c>
      <c r="K2041" s="1525"/>
      <c r="L2041" s="1519">
        <v>13245000600</v>
      </c>
      <c r="M2041" s="1520">
        <v>0</v>
      </c>
      <c r="N2041" s="1520">
        <v>0</v>
      </c>
      <c r="O2041" s="1521">
        <v>0</v>
      </c>
    </row>
    <row r="2042" spans="3:15" ht="13.5">
      <c r="C2042" s="1526" t="s">
        <v>6000</v>
      </c>
      <c r="D2042" s="1523">
        <v>0</v>
      </c>
      <c r="E2042" s="1523">
        <v>0</v>
      </c>
      <c r="F2042" s="1524">
        <v>0</v>
      </c>
      <c r="G2042" s="1537" t="s">
        <v>6000</v>
      </c>
      <c r="H2042" s="1521">
        <v>0</v>
      </c>
      <c r="I2042" s="1521">
        <v>0</v>
      </c>
      <c r="J2042" s="1538">
        <v>0</v>
      </c>
      <c r="K2042" s="1525"/>
      <c r="L2042" s="1519">
        <v>13245000700</v>
      </c>
      <c r="M2042" s="1520">
        <v>0</v>
      </c>
      <c r="N2042" s="1520">
        <v>0</v>
      </c>
      <c r="O2042" s="1521">
        <v>0</v>
      </c>
    </row>
    <row r="2043" spans="3:15" ht="13.5">
      <c r="C2043" s="1526" t="s">
        <v>6001</v>
      </c>
      <c r="D2043" s="1523">
        <v>0</v>
      </c>
      <c r="E2043" s="1523">
        <v>0</v>
      </c>
      <c r="F2043" s="1524">
        <v>0</v>
      </c>
      <c r="G2043" s="1537" t="s">
        <v>6001</v>
      </c>
      <c r="H2043" s="1521">
        <v>0</v>
      </c>
      <c r="I2043" s="1521">
        <v>0</v>
      </c>
      <c r="J2043" s="1538">
        <v>0</v>
      </c>
      <c r="K2043" s="1525"/>
      <c r="L2043" s="1519">
        <v>13245000900</v>
      </c>
      <c r="M2043" s="1520">
        <v>0</v>
      </c>
      <c r="N2043" s="1520">
        <v>0</v>
      </c>
      <c r="O2043" s="1521">
        <v>0</v>
      </c>
    </row>
    <row r="2044" spans="3:15" ht="13.5">
      <c r="C2044" s="1526" t="s">
        <v>6002</v>
      </c>
      <c r="D2044" s="1523">
        <v>0</v>
      </c>
      <c r="E2044" s="1523">
        <v>0</v>
      </c>
      <c r="F2044" s="1524">
        <v>0</v>
      </c>
      <c r="G2044" s="1537" t="s">
        <v>6002</v>
      </c>
      <c r="H2044" s="1521">
        <v>0</v>
      </c>
      <c r="I2044" s="1521">
        <v>0</v>
      </c>
      <c r="J2044" s="1538">
        <v>0</v>
      </c>
      <c r="K2044" s="1525"/>
      <c r="L2044" s="1519">
        <v>13245001000</v>
      </c>
      <c r="M2044" s="1520">
        <v>0</v>
      </c>
      <c r="N2044" s="1520">
        <v>0</v>
      </c>
      <c r="O2044" s="1521">
        <v>0</v>
      </c>
    </row>
    <row r="2045" spans="3:15" ht="13.5">
      <c r="C2045" s="1526" t="s">
        <v>6003</v>
      </c>
      <c r="D2045" s="1523">
        <v>1</v>
      </c>
      <c r="E2045" s="1523">
        <v>1</v>
      </c>
      <c r="F2045" s="1524">
        <v>2</v>
      </c>
      <c r="G2045" s="1537" t="s">
        <v>6003</v>
      </c>
      <c r="H2045" s="1521">
        <v>1</v>
      </c>
      <c r="I2045" s="1521" t="s">
        <v>4096</v>
      </c>
      <c r="J2045" s="1538">
        <v>1</v>
      </c>
      <c r="K2045" s="1525"/>
      <c r="L2045" s="1519">
        <v>13245001100</v>
      </c>
      <c r="M2045" s="1520">
        <v>1</v>
      </c>
      <c r="N2045" s="1520">
        <v>1</v>
      </c>
      <c r="O2045" s="1521">
        <v>2</v>
      </c>
    </row>
    <row r="2046" spans="3:15" ht="13.5">
      <c r="C2046" s="1526" t="s">
        <v>6004</v>
      </c>
      <c r="D2046" s="1523">
        <v>0</v>
      </c>
      <c r="E2046" s="1523">
        <v>0</v>
      </c>
      <c r="F2046" s="1524">
        <v>0</v>
      </c>
      <c r="G2046" s="1537" t="s">
        <v>6004</v>
      </c>
      <c r="H2046" s="1521">
        <v>0</v>
      </c>
      <c r="I2046" s="1521">
        <v>0</v>
      </c>
      <c r="J2046" s="1538">
        <v>0</v>
      </c>
      <c r="K2046" s="1525"/>
      <c r="L2046" s="1519">
        <v>13245001200</v>
      </c>
      <c r="M2046" s="1520">
        <v>0</v>
      </c>
      <c r="N2046" s="1520">
        <v>0</v>
      </c>
      <c r="O2046" s="1521">
        <v>0</v>
      </c>
    </row>
    <row r="2047" spans="3:15" ht="13.5">
      <c r="C2047" s="1526" t="s">
        <v>6005</v>
      </c>
      <c r="D2047" s="1523">
        <v>0</v>
      </c>
      <c r="E2047" s="1523">
        <v>0</v>
      </c>
      <c r="F2047" s="1524">
        <v>0</v>
      </c>
      <c r="G2047" s="1537" t="s">
        <v>6005</v>
      </c>
      <c r="H2047" s="1521">
        <v>0</v>
      </c>
      <c r="I2047" s="1521">
        <v>0</v>
      </c>
      <c r="J2047" s="1538">
        <v>0</v>
      </c>
      <c r="K2047" s="1525"/>
      <c r="L2047" s="1519">
        <v>13245001300</v>
      </c>
      <c r="M2047" s="1520">
        <v>0</v>
      </c>
      <c r="N2047" s="1520">
        <v>0</v>
      </c>
      <c r="O2047" s="1521">
        <v>0</v>
      </c>
    </row>
    <row r="2048" spans="3:15" ht="13.5">
      <c r="C2048" s="1526" t="s">
        <v>6006</v>
      </c>
      <c r="D2048" s="1523">
        <v>0</v>
      </c>
      <c r="E2048" s="1523">
        <v>0</v>
      </c>
      <c r="F2048" s="1524">
        <v>0</v>
      </c>
      <c r="G2048" s="1537" t="s">
        <v>6006</v>
      </c>
      <c r="H2048" s="1521">
        <v>0</v>
      </c>
      <c r="I2048" s="1521">
        <v>0</v>
      </c>
      <c r="J2048" s="1538">
        <v>0</v>
      </c>
      <c r="K2048" s="1525"/>
      <c r="L2048" s="1519">
        <v>13245001400</v>
      </c>
      <c r="M2048" s="1520">
        <v>0</v>
      </c>
      <c r="N2048" s="1520">
        <v>0</v>
      </c>
      <c r="O2048" s="1521">
        <v>0</v>
      </c>
    </row>
    <row r="2049" spans="3:15" ht="13.5">
      <c r="C2049" s="1526" t="s">
        <v>6007</v>
      </c>
      <c r="D2049" s="1523">
        <v>0</v>
      </c>
      <c r="E2049" s="1523">
        <v>0</v>
      </c>
      <c r="F2049" s="1524">
        <v>0</v>
      </c>
      <c r="G2049" s="1537" t="s">
        <v>6007</v>
      </c>
      <c r="H2049" s="1521">
        <v>0</v>
      </c>
      <c r="I2049" s="1521" t="s">
        <v>4096</v>
      </c>
      <c r="J2049" s="1538">
        <v>0</v>
      </c>
      <c r="K2049" s="1525"/>
      <c r="L2049" s="1519">
        <v>13245001500</v>
      </c>
      <c r="M2049" s="1520">
        <v>0</v>
      </c>
      <c r="N2049" s="1520">
        <v>0</v>
      </c>
      <c r="O2049" s="1521">
        <v>0</v>
      </c>
    </row>
    <row r="2050" spans="3:15" ht="13.5">
      <c r="C2050" s="1526" t="s">
        <v>6008</v>
      </c>
      <c r="D2050" s="1523">
        <v>0</v>
      </c>
      <c r="E2050" s="1523">
        <v>0</v>
      </c>
      <c r="F2050" s="1524">
        <v>0</v>
      </c>
      <c r="G2050" s="1537" t="s">
        <v>6008</v>
      </c>
      <c r="H2050" s="1521">
        <v>0</v>
      </c>
      <c r="I2050" s="1521">
        <v>0</v>
      </c>
      <c r="J2050" s="1538">
        <v>0</v>
      </c>
      <c r="K2050" s="1525"/>
      <c r="L2050" s="1519">
        <v>13245001601</v>
      </c>
      <c r="M2050" s="1520">
        <v>0</v>
      </c>
      <c r="N2050" s="1520">
        <v>0</v>
      </c>
      <c r="O2050" s="1521">
        <v>0</v>
      </c>
    </row>
    <row r="2051" spans="3:15" ht="13.5">
      <c r="C2051" s="1526" t="s">
        <v>6009</v>
      </c>
      <c r="D2051" s="1523">
        <v>1</v>
      </c>
      <c r="E2051" s="1523">
        <v>1</v>
      </c>
      <c r="F2051" s="1524">
        <v>2</v>
      </c>
      <c r="G2051" s="1537" t="s">
        <v>6009</v>
      </c>
      <c r="H2051" s="1521">
        <v>1</v>
      </c>
      <c r="I2051" s="1521">
        <v>1</v>
      </c>
      <c r="J2051" s="1538">
        <v>2</v>
      </c>
      <c r="K2051" s="1525"/>
      <c r="L2051" s="1519">
        <v>13245001602</v>
      </c>
      <c r="M2051" s="1520">
        <v>1</v>
      </c>
      <c r="N2051" s="1520">
        <v>1</v>
      </c>
      <c r="O2051" s="1521">
        <v>2</v>
      </c>
    </row>
    <row r="2052" spans="3:15" ht="13.5">
      <c r="C2052" s="1526" t="s">
        <v>6010</v>
      </c>
      <c r="D2052" s="1523">
        <v>0</v>
      </c>
      <c r="E2052" s="1523">
        <v>0</v>
      </c>
      <c r="F2052" s="1524">
        <v>0</v>
      </c>
      <c r="G2052" s="1537" t="s">
        <v>6010</v>
      </c>
      <c r="H2052" s="1521">
        <v>1</v>
      </c>
      <c r="I2052" s="1521">
        <v>0</v>
      </c>
      <c r="J2052" s="1538">
        <v>1</v>
      </c>
      <c r="K2052" s="1525"/>
      <c r="L2052" s="1519">
        <v>13245010101</v>
      </c>
      <c r="M2052" s="1520">
        <v>1</v>
      </c>
      <c r="N2052" s="1520">
        <v>0</v>
      </c>
      <c r="O2052" s="1521">
        <v>1</v>
      </c>
    </row>
    <row r="2053" spans="3:15" ht="13.5">
      <c r="C2053" s="1526" t="s">
        <v>6011</v>
      </c>
      <c r="D2053" s="1523">
        <v>1</v>
      </c>
      <c r="E2053" s="1523">
        <v>1</v>
      </c>
      <c r="F2053" s="1524">
        <v>2</v>
      </c>
      <c r="G2053" s="1537" t="s">
        <v>6011</v>
      </c>
      <c r="H2053" s="1521">
        <v>1</v>
      </c>
      <c r="I2053" s="1521">
        <v>0</v>
      </c>
      <c r="J2053" s="1538">
        <v>1</v>
      </c>
      <c r="K2053" s="1525"/>
      <c r="L2053" s="1519">
        <v>13245010104</v>
      </c>
      <c r="M2053" s="1520">
        <v>1</v>
      </c>
      <c r="N2053" s="1520">
        <v>1</v>
      </c>
      <c r="O2053" s="1521">
        <v>2</v>
      </c>
    </row>
    <row r="2054" spans="3:15" ht="13.5">
      <c r="C2054" s="1526" t="s">
        <v>6012</v>
      </c>
      <c r="D2054" s="1523">
        <v>0</v>
      </c>
      <c r="E2054" s="1523">
        <v>0</v>
      </c>
      <c r="F2054" s="1524">
        <v>0</v>
      </c>
      <c r="G2054" s="1537" t="s">
        <v>6012</v>
      </c>
      <c r="H2054" s="1521">
        <v>0</v>
      </c>
      <c r="I2054" s="1521">
        <v>0</v>
      </c>
      <c r="J2054" s="1538">
        <v>0</v>
      </c>
      <c r="K2054" s="1525"/>
      <c r="L2054" s="1519">
        <v>13245010105</v>
      </c>
      <c r="M2054" s="1520">
        <v>0</v>
      </c>
      <c r="N2054" s="1520">
        <v>0</v>
      </c>
      <c r="O2054" s="1521">
        <v>0</v>
      </c>
    </row>
    <row r="2055" spans="3:15" ht="13.5">
      <c r="C2055" s="1526" t="s">
        <v>6013</v>
      </c>
      <c r="D2055" s="1523">
        <v>1</v>
      </c>
      <c r="E2055" s="1523">
        <v>0</v>
      </c>
      <c r="F2055" s="1524">
        <v>1</v>
      </c>
      <c r="G2055" s="1537" t="s">
        <v>6013</v>
      </c>
      <c r="H2055" s="1521">
        <v>1</v>
      </c>
      <c r="I2055" s="1521">
        <v>1</v>
      </c>
      <c r="J2055" s="1538">
        <v>2</v>
      </c>
      <c r="K2055" s="1525"/>
      <c r="L2055" s="1519">
        <v>13245010106</v>
      </c>
      <c r="M2055" s="1520">
        <v>1</v>
      </c>
      <c r="N2055" s="1520">
        <v>1</v>
      </c>
      <c r="O2055" s="1521">
        <v>2</v>
      </c>
    </row>
    <row r="2056" spans="3:15" ht="13.5">
      <c r="C2056" s="1526" t="s">
        <v>6014</v>
      </c>
      <c r="D2056" s="1523">
        <v>1</v>
      </c>
      <c r="E2056" s="1523">
        <v>0</v>
      </c>
      <c r="F2056" s="1524">
        <v>1</v>
      </c>
      <c r="G2056" s="1537" t="s">
        <v>6014</v>
      </c>
      <c r="H2056" s="1521">
        <v>1</v>
      </c>
      <c r="I2056" s="1521">
        <v>1</v>
      </c>
      <c r="J2056" s="1538">
        <v>2</v>
      </c>
      <c r="K2056" s="1525"/>
      <c r="L2056" s="1519">
        <v>13245010107</v>
      </c>
      <c r="M2056" s="1520">
        <v>1</v>
      </c>
      <c r="N2056" s="1520">
        <v>1</v>
      </c>
      <c r="O2056" s="1521">
        <v>2</v>
      </c>
    </row>
    <row r="2057" spans="3:15" ht="13.5">
      <c r="C2057" s="1526" t="s">
        <v>6015</v>
      </c>
      <c r="D2057" s="1523">
        <v>1</v>
      </c>
      <c r="E2057" s="1523">
        <v>1</v>
      </c>
      <c r="F2057" s="1524">
        <v>2</v>
      </c>
      <c r="G2057" s="1537" t="s">
        <v>6015</v>
      </c>
      <c r="H2057" s="1521">
        <v>1</v>
      </c>
      <c r="I2057" s="1521">
        <v>1</v>
      </c>
      <c r="J2057" s="1538">
        <v>2</v>
      </c>
      <c r="K2057" s="1525"/>
      <c r="L2057" s="1519">
        <v>13245010201</v>
      </c>
      <c r="M2057" s="1520">
        <v>1</v>
      </c>
      <c r="N2057" s="1520">
        <v>1</v>
      </c>
      <c r="O2057" s="1521">
        <v>2</v>
      </c>
    </row>
    <row r="2058" spans="3:15" ht="13.5">
      <c r="C2058" s="1526" t="s">
        <v>6016</v>
      </c>
      <c r="D2058" s="1523">
        <v>0</v>
      </c>
      <c r="E2058" s="1523">
        <v>0</v>
      </c>
      <c r="F2058" s="1524">
        <v>0</v>
      </c>
      <c r="G2058" s="1537" t="s">
        <v>6016</v>
      </c>
      <c r="H2058" s="1521">
        <v>0</v>
      </c>
      <c r="I2058" s="1521">
        <v>0</v>
      </c>
      <c r="J2058" s="1538">
        <v>0</v>
      </c>
      <c r="K2058" s="1525"/>
      <c r="L2058" s="1519">
        <v>13245010203</v>
      </c>
      <c r="M2058" s="1520">
        <v>0</v>
      </c>
      <c r="N2058" s="1520">
        <v>0</v>
      </c>
      <c r="O2058" s="1521">
        <v>0</v>
      </c>
    </row>
    <row r="2059" spans="3:15" ht="13.5">
      <c r="C2059" s="1526" t="s">
        <v>6017</v>
      </c>
      <c r="D2059" s="1523">
        <v>0</v>
      </c>
      <c r="E2059" s="1523">
        <v>0</v>
      </c>
      <c r="F2059" s="1524">
        <v>0</v>
      </c>
      <c r="G2059" s="1537" t="s">
        <v>6017</v>
      </c>
      <c r="H2059" s="1521">
        <v>0</v>
      </c>
      <c r="I2059" s="1521">
        <v>0</v>
      </c>
      <c r="J2059" s="1538">
        <v>0</v>
      </c>
      <c r="K2059" s="1525"/>
      <c r="L2059" s="1519">
        <v>13245010204</v>
      </c>
      <c r="M2059" s="1520">
        <v>0</v>
      </c>
      <c r="N2059" s="1520">
        <v>0</v>
      </c>
      <c r="O2059" s="1521">
        <v>0</v>
      </c>
    </row>
    <row r="2060" spans="3:15" ht="13.5">
      <c r="C2060" s="1526" t="s">
        <v>6018</v>
      </c>
      <c r="D2060" s="1523">
        <v>0</v>
      </c>
      <c r="E2060" s="1523">
        <v>0</v>
      </c>
      <c r="F2060" s="1524">
        <v>0</v>
      </c>
      <c r="G2060" s="1537" t="s">
        <v>6018</v>
      </c>
      <c r="H2060" s="1521">
        <v>0</v>
      </c>
      <c r="I2060" s="1521">
        <v>0</v>
      </c>
      <c r="J2060" s="1538">
        <v>0</v>
      </c>
      <c r="K2060" s="1525"/>
      <c r="L2060" s="1519">
        <v>13245010300</v>
      </c>
      <c r="M2060" s="1520">
        <v>0</v>
      </c>
      <c r="N2060" s="1520">
        <v>0</v>
      </c>
      <c r="O2060" s="1521">
        <v>0</v>
      </c>
    </row>
    <row r="2061" spans="3:15" ht="13.5">
      <c r="C2061" s="1526" t="s">
        <v>6019</v>
      </c>
      <c r="D2061" s="1523">
        <v>0</v>
      </c>
      <c r="E2061" s="1523">
        <v>0</v>
      </c>
      <c r="F2061" s="1524">
        <v>0</v>
      </c>
      <c r="G2061" s="1537" t="s">
        <v>6019</v>
      </c>
      <c r="H2061" s="1521">
        <v>0</v>
      </c>
      <c r="I2061" s="1521">
        <v>0</v>
      </c>
      <c r="J2061" s="1538">
        <v>0</v>
      </c>
      <c r="K2061" s="1525"/>
      <c r="L2061" s="1519">
        <v>13245010400</v>
      </c>
      <c r="M2061" s="1520">
        <v>0</v>
      </c>
      <c r="N2061" s="1520">
        <v>0</v>
      </c>
      <c r="O2061" s="1521">
        <v>0</v>
      </c>
    </row>
    <row r="2062" spans="3:15" ht="13.5">
      <c r="C2062" s="1526" t="s">
        <v>6020</v>
      </c>
      <c r="D2062" s="1523">
        <v>0</v>
      </c>
      <c r="E2062" s="1523">
        <v>0</v>
      </c>
      <c r="F2062" s="1524">
        <v>0</v>
      </c>
      <c r="G2062" s="1537" t="s">
        <v>6020</v>
      </c>
      <c r="H2062" s="1521">
        <v>0</v>
      </c>
      <c r="I2062" s="1521">
        <v>0</v>
      </c>
      <c r="J2062" s="1538">
        <v>0</v>
      </c>
      <c r="K2062" s="1525"/>
      <c r="L2062" s="1519">
        <v>13245010504</v>
      </c>
      <c r="M2062" s="1520">
        <v>0</v>
      </c>
      <c r="N2062" s="1520">
        <v>0</v>
      </c>
      <c r="O2062" s="1521">
        <v>0</v>
      </c>
    </row>
    <row r="2063" spans="3:15" ht="13.5">
      <c r="C2063" s="1526" t="s">
        <v>6021</v>
      </c>
      <c r="D2063" s="1523">
        <v>0</v>
      </c>
      <c r="E2063" s="1523">
        <v>0</v>
      </c>
      <c r="F2063" s="1524">
        <v>0</v>
      </c>
      <c r="G2063" s="1537" t="s">
        <v>6021</v>
      </c>
      <c r="H2063" s="1521">
        <v>0</v>
      </c>
      <c r="I2063" s="1521">
        <v>1</v>
      </c>
      <c r="J2063" s="1538">
        <v>1</v>
      </c>
      <c r="K2063" s="1525"/>
      <c r="L2063" s="1519">
        <v>13245010506</v>
      </c>
      <c r="M2063" s="1520">
        <v>0</v>
      </c>
      <c r="N2063" s="1520">
        <v>1</v>
      </c>
      <c r="O2063" s="1521">
        <v>1</v>
      </c>
    </row>
    <row r="2064" spans="3:15" ht="13.5">
      <c r="C2064" s="1526" t="s">
        <v>6022</v>
      </c>
      <c r="D2064" s="1523">
        <v>0</v>
      </c>
      <c r="E2064" s="1523">
        <v>0</v>
      </c>
      <c r="F2064" s="1524">
        <v>0</v>
      </c>
      <c r="G2064" s="1537" t="s">
        <v>6022</v>
      </c>
      <c r="H2064" s="1521">
        <v>0</v>
      </c>
      <c r="I2064" s="1521">
        <v>0</v>
      </c>
      <c r="J2064" s="1538">
        <v>0</v>
      </c>
      <c r="K2064" s="1525"/>
      <c r="L2064" s="1519">
        <v>13245010507</v>
      </c>
      <c r="M2064" s="1520">
        <v>0</v>
      </c>
      <c r="N2064" s="1520">
        <v>0</v>
      </c>
      <c r="O2064" s="1521">
        <v>0</v>
      </c>
    </row>
    <row r="2065" spans="3:15" ht="13.5">
      <c r="C2065" s="1526" t="s">
        <v>6023</v>
      </c>
      <c r="D2065" s="1523">
        <v>0</v>
      </c>
      <c r="E2065" s="1523">
        <v>0</v>
      </c>
      <c r="F2065" s="1524">
        <v>0</v>
      </c>
      <c r="G2065" s="1537" t="s">
        <v>6023</v>
      </c>
      <c r="H2065" s="1521">
        <v>0</v>
      </c>
      <c r="I2065" s="1521">
        <v>0</v>
      </c>
      <c r="J2065" s="1538">
        <v>0</v>
      </c>
      <c r="K2065" s="1525"/>
      <c r="L2065" s="1519">
        <v>13245010508</v>
      </c>
      <c r="M2065" s="1520">
        <v>0</v>
      </c>
      <c r="N2065" s="1520">
        <v>0</v>
      </c>
      <c r="O2065" s="1521">
        <v>0</v>
      </c>
    </row>
    <row r="2066" spans="3:15" ht="13.5">
      <c r="C2066" s="1526" t="s">
        <v>6024</v>
      </c>
      <c r="D2066" s="1523">
        <v>0</v>
      </c>
      <c r="E2066" s="1523">
        <v>0</v>
      </c>
      <c r="F2066" s="1524">
        <v>0</v>
      </c>
      <c r="G2066" s="1537" t="s">
        <v>6024</v>
      </c>
      <c r="H2066" s="1521">
        <v>0</v>
      </c>
      <c r="I2066" s="1521">
        <v>0</v>
      </c>
      <c r="J2066" s="1538">
        <v>0</v>
      </c>
      <c r="K2066" s="1525"/>
      <c r="L2066" s="1519">
        <v>13245010509</v>
      </c>
      <c r="M2066" s="1520">
        <v>0</v>
      </c>
      <c r="N2066" s="1520">
        <v>0</v>
      </c>
      <c r="O2066" s="1521">
        <v>0</v>
      </c>
    </row>
    <row r="2067" spans="3:15" ht="13.5">
      <c r="C2067" s="1526" t="s">
        <v>6025</v>
      </c>
      <c r="D2067" s="1523">
        <v>0</v>
      </c>
      <c r="E2067" s="1523">
        <v>0</v>
      </c>
      <c r="F2067" s="1524">
        <v>0</v>
      </c>
      <c r="G2067" s="1537" t="s">
        <v>6025</v>
      </c>
      <c r="H2067" s="1521">
        <v>0</v>
      </c>
      <c r="I2067" s="1521">
        <v>0</v>
      </c>
      <c r="J2067" s="1538">
        <v>0</v>
      </c>
      <c r="K2067" s="1525"/>
      <c r="L2067" s="1519">
        <v>13245010510</v>
      </c>
      <c r="M2067" s="1520">
        <v>0</v>
      </c>
      <c r="N2067" s="1520">
        <v>0</v>
      </c>
      <c r="O2067" s="1521">
        <v>0</v>
      </c>
    </row>
    <row r="2068" spans="3:15" ht="13.5">
      <c r="C2068" s="1526" t="s">
        <v>6026</v>
      </c>
      <c r="D2068" s="1523">
        <v>0</v>
      </c>
      <c r="E2068" s="1523">
        <v>0</v>
      </c>
      <c r="F2068" s="1524">
        <v>0</v>
      </c>
      <c r="G2068" s="1537" t="s">
        <v>6026</v>
      </c>
      <c r="H2068" s="1521">
        <v>0</v>
      </c>
      <c r="I2068" s="1521">
        <v>0</v>
      </c>
      <c r="J2068" s="1538">
        <v>0</v>
      </c>
      <c r="K2068" s="1525"/>
      <c r="L2068" s="1519">
        <v>13245010511</v>
      </c>
      <c r="M2068" s="1520">
        <v>0</v>
      </c>
      <c r="N2068" s="1520">
        <v>0</v>
      </c>
      <c r="O2068" s="1521">
        <v>0</v>
      </c>
    </row>
    <row r="2069" spans="3:15" ht="13.5">
      <c r="C2069" s="1526" t="s">
        <v>6027</v>
      </c>
      <c r="D2069" s="1523">
        <v>0</v>
      </c>
      <c r="E2069" s="1523">
        <v>0</v>
      </c>
      <c r="F2069" s="1524">
        <v>0</v>
      </c>
      <c r="G2069" s="1537" t="s">
        <v>6027</v>
      </c>
      <c r="H2069" s="1521">
        <v>0</v>
      </c>
      <c r="I2069" s="1521">
        <v>0</v>
      </c>
      <c r="J2069" s="1538">
        <v>0</v>
      </c>
      <c r="K2069" s="1525"/>
      <c r="L2069" s="1519">
        <v>13245010512</v>
      </c>
      <c r="M2069" s="1520">
        <v>0</v>
      </c>
      <c r="N2069" s="1520">
        <v>0</v>
      </c>
      <c r="O2069" s="1521">
        <v>0</v>
      </c>
    </row>
    <row r="2070" spans="3:15" ht="13.5">
      <c r="C2070" s="1526" t="s">
        <v>6028</v>
      </c>
      <c r="D2070" s="1523">
        <v>0</v>
      </c>
      <c r="E2070" s="1523">
        <v>0</v>
      </c>
      <c r="F2070" s="1524">
        <v>0</v>
      </c>
      <c r="G2070" s="1537" t="s">
        <v>6028</v>
      </c>
      <c r="H2070" s="1521">
        <v>0</v>
      </c>
      <c r="I2070" s="1521" t="s">
        <v>4096</v>
      </c>
      <c r="J2070" s="1538">
        <v>0</v>
      </c>
      <c r="K2070" s="1525"/>
      <c r="L2070" s="1519">
        <v>13245010513</v>
      </c>
      <c r="M2070" s="1520">
        <v>0</v>
      </c>
      <c r="N2070" s="1520">
        <v>0</v>
      </c>
      <c r="O2070" s="1521">
        <v>0</v>
      </c>
    </row>
    <row r="2071" spans="3:15" ht="13.5">
      <c r="C2071" s="1526" t="s">
        <v>6029</v>
      </c>
      <c r="D2071" s="1523">
        <v>0</v>
      </c>
      <c r="E2071" s="1523">
        <v>0</v>
      </c>
      <c r="F2071" s="1524">
        <v>0</v>
      </c>
      <c r="G2071" s="1537" t="s">
        <v>6029</v>
      </c>
      <c r="H2071" s="1521">
        <v>0</v>
      </c>
      <c r="I2071" s="1521">
        <v>0</v>
      </c>
      <c r="J2071" s="1538">
        <v>0</v>
      </c>
      <c r="K2071" s="1525"/>
      <c r="L2071" s="1519">
        <v>13245010600</v>
      </c>
      <c r="M2071" s="1520">
        <v>0</v>
      </c>
      <c r="N2071" s="1520">
        <v>0</v>
      </c>
      <c r="O2071" s="1521">
        <v>0</v>
      </c>
    </row>
    <row r="2072" spans="3:15" ht="13.5">
      <c r="C2072" s="1526" t="s">
        <v>6030</v>
      </c>
      <c r="D2072" s="1523">
        <v>0</v>
      </c>
      <c r="E2072" s="1523">
        <v>0</v>
      </c>
      <c r="F2072" s="1524">
        <v>0</v>
      </c>
      <c r="G2072" s="1537" t="s">
        <v>6030</v>
      </c>
      <c r="H2072" s="1521">
        <v>0</v>
      </c>
      <c r="I2072" s="1521">
        <v>0</v>
      </c>
      <c r="J2072" s="1538">
        <v>0</v>
      </c>
      <c r="K2072" s="1525"/>
      <c r="L2072" s="1519">
        <v>13245010706</v>
      </c>
      <c r="M2072" s="1520">
        <v>0</v>
      </c>
      <c r="N2072" s="1520">
        <v>0</v>
      </c>
      <c r="O2072" s="1521">
        <v>0</v>
      </c>
    </row>
    <row r="2073" spans="3:15" ht="13.5">
      <c r="C2073" s="1526" t="s">
        <v>6031</v>
      </c>
      <c r="D2073" s="1523">
        <v>0</v>
      </c>
      <c r="E2073" s="1523">
        <v>0</v>
      </c>
      <c r="F2073" s="1524">
        <v>0</v>
      </c>
      <c r="G2073" s="1537" t="s">
        <v>6031</v>
      </c>
      <c r="H2073" s="1521">
        <v>0</v>
      </c>
      <c r="I2073" s="1521">
        <v>0</v>
      </c>
      <c r="J2073" s="1538">
        <v>0</v>
      </c>
      <c r="K2073" s="1525"/>
      <c r="L2073" s="1519">
        <v>13245010707</v>
      </c>
      <c r="M2073" s="1520">
        <v>0</v>
      </c>
      <c r="N2073" s="1520">
        <v>0</v>
      </c>
      <c r="O2073" s="1521">
        <v>0</v>
      </c>
    </row>
    <row r="2074" spans="3:15" ht="13.5">
      <c r="C2074" s="1526" t="s">
        <v>6032</v>
      </c>
      <c r="D2074" s="1523">
        <v>0</v>
      </c>
      <c r="E2074" s="1523">
        <v>0</v>
      </c>
      <c r="F2074" s="1524">
        <v>0</v>
      </c>
      <c r="G2074" s="1537" t="s">
        <v>6032</v>
      </c>
      <c r="H2074" s="1521">
        <v>0</v>
      </c>
      <c r="I2074" s="1521">
        <v>1</v>
      </c>
      <c r="J2074" s="1538">
        <v>1</v>
      </c>
      <c r="K2074" s="1525"/>
      <c r="L2074" s="1519">
        <v>13245010708</v>
      </c>
      <c r="M2074" s="1520">
        <v>0</v>
      </c>
      <c r="N2074" s="1520">
        <v>1</v>
      </c>
      <c r="O2074" s="1521">
        <v>1</v>
      </c>
    </row>
    <row r="2075" spans="3:15" ht="13.5">
      <c r="C2075" s="1526" t="s">
        <v>6033</v>
      </c>
      <c r="D2075" s="1523">
        <v>1</v>
      </c>
      <c r="E2075" s="1523">
        <v>0</v>
      </c>
      <c r="F2075" s="1524">
        <v>1</v>
      </c>
      <c r="G2075" s="1537" t="s">
        <v>6033</v>
      </c>
      <c r="H2075" s="1521">
        <v>1</v>
      </c>
      <c r="I2075" s="1521">
        <v>1</v>
      </c>
      <c r="J2075" s="1538">
        <v>2</v>
      </c>
      <c r="K2075" s="1525"/>
      <c r="L2075" s="1519">
        <v>13245010709</v>
      </c>
      <c r="M2075" s="1520">
        <v>1</v>
      </c>
      <c r="N2075" s="1520">
        <v>1</v>
      </c>
      <c r="O2075" s="1521">
        <v>2</v>
      </c>
    </row>
    <row r="2076" spans="3:15" ht="13.5">
      <c r="C2076" s="1526" t="s">
        <v>6034</v>
      </c>
      <c r="D2076" s="1523">
        <v>0</v>
      </c>
      <c r="E2076" s="1523">
        <v>0</v>
      </c>
      <c r="F2076" s="1524">
        <v>0</v>
      </c>
      <c r="G2076" s="1537" t="s">
        <v>6034</v>
      </c>
      <c r="H2076" s="1521">
        <v>0</v>
      </c>
      <c r="I2076" s="1521" t="s">
        <v>4096</v>
      </c>
      <c r="J2076" s="1538">
        <v>0</v>
      </c>
      <c r="K2076" s="1525"/>
      <c r="L2076" s="1519">
        <v>13245010710</v>
      </c>
      <c r="M2076" s="1520">
        <v>0</v>
      </c>
      <c r="N2076" s="1520">
        <v>0</v>
      </c>
      <c r="O2076" s="1521">
        <v>0</v>
      </c>
    </row>
    <row r="2077" spans="3:15" ht="13.5">
      <c r="C2077" s="1526" t="s">
        <v>6035</v>
      </c>
      <c r="D2077" s="1523">
        <v>0</v>
      </c>
      <c r="E2077" s="1523">
        <v>0</v>
      </c>
      <c r="F2077" s="1524">
        <v>0</v>
      </c>
      <c r="G2077" s="1537" t="s">
        <v>6035</v>
      </c>
      <c r="H2077" s="1521">
        <v>0</v>
      </c>
      <c r="I2077" s="1521">
        <v>0</v>
      </c>
      <c r="J2077" s="1538">
        <v>0</v>
      </c>
      <c r="K2077" s="1525"/>
      <c r="L2077" s="1519">
        <v>13245010711</v>
      </c>
      <c r="M2077" s="1520">
        <v>0</v>
      </c>
      <c r="N2077" s="1520">
        <v>0</v>
      </c>
      <c r="O2077" s="1521">
        <v>0</v>
      </c>
    </row>
    <row r="2078" spans="3:15" ht="13.5">
      <c r="C2078" s="1526" t="s">
        <v>6036</v>
      </c>
      <c r="D2078" s="1523">
        <v>0</v>
      </c>
      <c r="E2078" s="1523">
        <v>0</v>
      </c>
      <c r="F2078" s="1524">
        <v>0</v>
      </c>
      <c r="G2078" s="1537" t="s">
        <v>6036</v>
      </c>
      <c r="H2078" s="1521">
        <v>0</v>
      </c>
      <c r="I2078" s="1521">
        <v>0</v>
      </c>
      <c r="J2078" s="1538">
        <v>0</v>
      </c>
      <c r="K2078" s="1525"/>
      <c r="L2078" s="1519">
        <v>13245010712</v>
      </c>
      <c r="M2078" s="1520">
        <v>0</v>
      </c>
      <c r="N2078" s="1520">
        <v>0</v>
      </c>
      <c r="O2078" s="1521">
        <v>0</v>
      </c>
    </row>
    <row r="2079" spans="3:15" ht="13.5">
      <c r="C2079" s="1526" t="s">
        <v>6037</v>
      </c>
      <c r="D2079" s="1523">
        <v>0</v>
      </c>
      <c r="E2079" s="1523">
        <v>1</v>
      </c>
      <c r="F2079" s="1524">
        <v>1</v>
      </c>
      <c r="G2079" s="1537" t="s">
        <v>6037</v>
      </c>
      <c r="H2079" s="1521">
        <v>0</v>
      </c>
      <c r="I2079" s="1521" t="s">
        <v>4096</v>
      </c>
      <c r="J2079" s="1538">
        <v>0</v>
      </c>
      <c r="K2079" s="1525"/>
      <c r="L2079" s="1519">
        <v>13245010800</v>
      </c>
      <c r="M2079" s="1520">
        <v>0</v>
      </c>
      <c r="N2079" s="1520">
        <v>1</v>
      </c>
      <c r="O2079" s="1521">
        <v>1</v>
      </c>
    </row>
    <row r="2080" spans="3:15" ht="13.5">
      <c r="C2080" s="1526" t="s">
        <v>6038</v>
      </c>
      <c r="D2080" s="1523">
        <v>0</v>
      </c>
      <c r="E2080" s="1523">
        <v>0</v>
      </c>
      <c r="F2080" s="1524">
        <v>0</v>
      </c>
      <c r="G2080" s="1537" t="s">
        <v>6038</v>
      </c>
      <c r="H2080" s="1521">
        <v>0</v>
      </c>
      <c r="I2080" s="1521">
        <v>0</v>
      </c>
      <c r="J2080" s="1538">
        <v>0</v>
      </c>
      <c r="K2080" s="1525"/>
      <c r="L2080" s="1519">
        <v>13245010903</v>
      </c>
      <c r="M2080" s="1520">
        <v>0</v>
      </c>
      <c r="N2080" s="1520">
        <v>0</v>
      </c>
      <c r="O2080" s="1521">
        <v>0</v>
      </c>
    </row>
    <row r="2081" spans="3:15" ht="13.5">
      <c r="C2081" s="1526" t="s">
        <v>6039</v>
      </c>
      <c r="D2081" s="1523">
        <v>0</v>
      </c>
      <c r="E2081" s="1523">
        <v>0</v>
      </c>
      <c r="F2081" s="1524">
        <v>0</v>
      </c>
      <c r="G2081" s="1537" t="s">
        <v>6039</v>
      </c>
      <c r="H2081" s="1521">
        <v>0</v>
      </c>
      <c r="I2081" s="1521">
        <v>0</v>
      </c>
      <c r="J2081" s="1538">
        <v>0</v>
      </c>
      <c r="K2081" s="1525"/>
      <c r="L2081" s="1519">
        <v>13245010904</v>
      </c>
      <c r="M2081" s="1520">
        <v>0</v>
      </c>
      <c r="N2081" s="1520">
        <v>0</v>
      </c>
      <c r="O2081" s="1521">
        <v>0</v>
      </c>
    </row>
    <row r="2082" spans="3:15" ht="13.5">
      <c r="C2082" s="1526" t="s">
        <v>6040</v>
      </c>
      <c r="D2082" s="1523">
        <v>0</v>
      </c>
      <c r="E2082" s="1523">
        <v>0</v>
      </c>
      <c r="F2082" s="1524">
        <v>0</v>
      </c>
      <c r="G2082" s="1537" t="s">
        <v>6040</v>
      </c>
      <c r="H2082" s="1521">
        <v>0</v>
      </c>
      <c r="I2082" s="1521">
        <v>0</v>
      </c>
      <c r="J2082" s="1538">
        <v>0</v>
      </c>
      <c r="K2082" s="1525"/>
      <c r="L2082" s="1519">
        <v>13245010905</v>
      </c>
      <c r="M2082" s="1520">
        <v>0</v>
      </c>
      <c r="N2082" s="1520">
        <v>0</v>
      </c>
      <c r="O2082" s="1521">
        <v>0</v>
      </c>
    </row>
    <row r="2083" spans="3:15" ht="13.5">
      <c r="C2083" s="1526" t="s">
        <v>6041</v>
      </c>
      <c r="D2083" s="1523">
        <v>0</v>
      </c>
      <c r="E2083" s="1523">
        <v>1</v>
      </c>
      <c r="F2083" s="1524">
        <v>1</v>
      </c>
      <c r="G2083" s="1537" t="s">
        <v>6041</v>
      </c>
      <c r="H2083" s="1521">
        <v>0</v>
      </c>
      <c r="I2083" s="1521">
        <v>1</v>
      </c>
      <c r="J2083" s="1538">
        <v>1</v>
      </c>
      <c r="K2083" s="1525"/>
      <c r="L2083" s="1519">
        <v>13245010906</v>
      </c>
      <c r="M2083" s="1520">
        <v>0</v>
      </c>
      <c r="N2083" s="1520">
        <v>1</v>
      </c>
      <c r="O2083" s="1521">
        <v>1</v>
      </c>
    </row>
    <row r="2084" spans="3:15" ht="13.5">
      <c r="C2084" s="1526" t="s">
        <v>6042</v>
      </c>
      <c r="D2084" s="1523">
        <v>0</v>
      </c>
      <c r="E2084" s="1523">
        <v>0</v>
      </c>
      <c r="F2084" s="1524">
        <v>0</v>
      </c>
      <c r="G2084" s="1537" t="s">
        <v>6042</v>
      </c>
      <c r="H2084" s="1521">
        <v>0</v>
      </c>
      <c r="I2084" s="1521">
        <v>0</v>
      </c>
      <c r="J2084" s="1538">
        <v>0</v>
      </c>
      <c r="K2084" s="1525"/>
      <c r="L2084" s="1519">
        <v>13245011000</v>
      </c>
      <c r="M2084" s="1520">
        <v>0</v>
      </c>
      <c r="N2084" s="1520">
        <v>0</v>
      </c>
      <c r="O2084" s="1521">
        <v>0</v>
      </c>
    </row>
    <row r="2085" spans="3:15" ht="13.5">
      <c r="C2085" s="1526" t="s">
        <v>6043</v>
      </c>
      <c r="D2085" s="1523">
        <v>0</v>
      </c>
      <c r="E2085" s="1523">
        <v>1</v>
      </c>
      <c r="F2085" s="1524">
        <v>1</v>
      </c>
      <c r="G2085" s="1537" t="s">
        <v>6043</v>
      </c>
      <c r="H2085" s="1521">
        <v>1</v>
      </c>
      <c r="I2085" s="1521">
        <v>1</v>
      </c>
      <c r="J2085" s="1538">
        <v>2</v>
      </c>
      <c r="K2085" s="1525"/>
      <c r="L2085" s="1519">
        <v>13247060101</v>
      </c>
      <c r="M2085" s="1520">
        <v>1</v>
      </c>
      <c r="N2085" s="1520">
        <v>1</v>
      </c>
      <c r="O2085" s="1521">
        <v>2</v>
      </c>
    </row>
    <row r="2086" spans="3:15" ht="13.5">
      <c r="C2086" s="1526" t="s">
        <v>6044</v>
      </c>
      <c r="D2086" s="1523">
        <v>0</v>
      </c>
      <c r="E2086" s="1523">
        <v>1</v>
      </c>
      <c r="F2086" s="1524">
        <v>1</v>
      </c>
      <c r="G2086" s="1537" t="s">
        <v>6044</v>
      </c>
      <c r="H2086" s="1521">
        <v>1</v>
      </c>
      <c r="I2086" s="1521">
        <v>1</v>
      </c>
      <c r="J2086" s="1538">
        <v>2</v>
      </c>
      <c r="K2086" s="1525"/>
      <c r="L2086" s="1519">
        <v>13247060102</v>
      </c>
      <c r="M2086" s="1520">
        <v>1</v>
      </c>
      <c r="N2086" s="1520">
        <v>1</v>
      </c>
      <c r="O2086" s="1521">
        <v>2</v>
      </c>
    </row>
    <row r="2087" spans="3:15" ht="13.5">
      <c r="C2087" s="1526" t="s">
        <v>6045</v>
      </c>
      <c r="D2087" s="1523">
        <v>0</v>
      </c>
      <c r="E2087" s="1523">
        <v>0</v>
      </c>
      <c r="F2087" s="1524">
        <v>0</v>
      </c>
      <c r="G2087" s="1537" t="s">
        <v>6045</v>
      </c>
      <c r="H2087" s="1521">
        <v>0</v>
      </c>
      <c r="I2087" s="1521">
        <v>0</v>
      </c>
      <c r="J2087" s="1538">
        <v>0</v>
      </c>
      <c r="K2087" s="1525"/>
      <c r="L2087" s="1519">
        <v>13247060201</v>
      </c>
      <c r="M2087" s="1520">
        <v>0</v>
      </c>
      <c r="N2087" s="1520">
        <v>0</v>
      </c>
      <c r="O2087" s="1521">
        <v>0</v>
      </c>
    </row>
    <row r="2088" spans="3:15" ht="13.5">
      <c r="C2088" s="1526" t="s">
        <v>6046</v>
      </c>
      <c r="D2088" s="1523">
        <v>1</v>
      </c>
      <c r="E2088" s="1523">
        <v>1</v>
      </c>
      <c r="F2088" s="1524">
        <v>2</v>
      </c>
      <c r="G2088" s="1537" t="s">
        <v>6046</v>
      </c>
      <c r="H2088" s="1521">
        <v>1</v>
      </c>
      <c r="I2088" s="1521">
        <v>1</v>
      </c>
      <c r="J2088" s="1538">
        <v>2</v>
      </c>
      <c r="K2088" s="1525"/>
      <c r="L2088" s="1519">
        <v>13247060202</v>
      </c>
      <c r="M2088" s="1520">
        <v>1</v>
      </c>
      <c r="N2088" s="1520">
        <v>1</v>
      </c>
      <c r="O2088" s="1521">
        <v>2</v>
      </c>
    </row>
    <row r="2089" spans="3:15" ht="13.5">
      <c r="C2089" s="1526" t="s">
        <v>6047</v>
      </c>
      <c r="D2089" s="1523">
        <v>0</v>
      </c>
      <c r="E2089" s="1523">
        <v>0</v>
      </c>
      <c r="F2089" s="1524">
        <v>0</v>
      </c>
      <c r="G2089" s="1537" t="s">
        <v>6047</v>
      </c>
      <c r="H2089" s="1521">
        <v>0</v>
      </c>
      <c r="I2089" s="1521">
        <v>0</v>
      </c>
      <c r="J2089" s="1538">
        <v>0</v>
      </c>
      <c r="K2089" s="1525"/>
      <c r="L2089" s="1519">
        <v>13247060304</v>
      </c>
      <c r="M2089" s="1520">
        <v>0</v>
      </c>
      <c r="N2089" s="1520">
        <v>0</v>
      </c>
      <c r="O2089" s="1521">
        <v>0</v>
      </c>
    </row>
    <row r="2090" spans="3:15" ht="13.5">
      <c r="C2090" s="1526" t="s">
        <v>6048</v>
      </c>
      <c r="D2090" s="1523">
        <v>0</v>
      </c>
      <c r="E2090" s="1523">
        <v>0</v>
      </c>
      <c r="F2090" s="1524">
        <v>0</v>
      </c>
      <c r="G2090" s="1537" t="s">
        <v>6048</v>
      </c>
      <c r="H2090" s="1521">
        <v>0</v>
      </c>
      <c r="I2090" s="1521">
        <v>0</v>
      </c>
      <c r="J2090" s="1538">
        <v>0</v>
      </c>
      <c r="K2090" s="1525"/>
      <c r="L2090" s="1519">
        <v>13247060305</v>
      </c>
      <c r="M2090" s="1520">
        <v>0</v>
      </c>
      <c r="N2090" s="1520">
        <v>0</v>
      </c>
      <c r="O2090" s="1521">
        <v>0</v>
      </c>
    </row>
    <row r="2091" spans="3:15" ht="13.5">
      <c r="C2091" s="1526" t="s">
        <v>6049</v>
      </c>
      <c r="D2091" s="1523">
        <v>1</v>
      </c>
      <c r="E2091" s="1523">
        <v>1</v>
      </c>
      <c r="F2091" s="1524">
        <v>2</v>
      </c>
      <c r="G2091" s="1537" t="s">
        <v>6049</v>
      </c>
      <c r="H2091" s="1521">
        <v>1</v>
      </c>
      <c r="I2091" s="1521">
        <v>1</v>
      </c>
      <c r="J2091" s="1538">
        <v>2</v>
      </c>
      <c r="K2091" s="1525"/>
      <c r="L2091" s="1519">
        <v>13247060306</v>
      </c>
      <c r="M2091" s="1520">
        <v>1</v>
      </c>
      <c r="N2091" s="1520">
        <v>1</v>
      </c>
      <c r="O2091" s="1521">
        <v>2</v>
      </c>
    </row>
    <row r="2092" spans="3:15" ht="13.5">
      <c r="C2092" s="1526" t="s">
        <v>6050</v>
      </c>
      <c r="D2092" s="1523">
        <v>0</v>
      </c>
      <c r="E2092" s="1523">
        <v>1</v>
      </c>
      <c r="F2092" s="1524">
        <v>1</v>
      </c>
      <c r="G2092" s="1537" t="s">
        <v>6050</v>
      </c>
      <c r="H2092" s="1521">
        <v>0</v>
      </c>
      <c r="I2092" s="1521">
        <v>1</v>
      </c>
      <c r="J2092" s="1538">
        <v>1</v>
      </c>
      <c r="K2092" s="1525"/>
      <c r="L2092" s="1519">
        <v>13247060307</v>
      </c>
      <c r="M2092" s="1520">
        <v>0</v>
      </c>
      <c r="N2092" s="1520">
        <v>1</v>
      </c>
      <c r="O2092" s="1521">
        <v>1</v>
      </c>
    </row>
    <row r="2093" spans="3:15" ht="13.5">
      <c r="C2093" s="1526" t="s">
        <v>6051</v>
      </c>
      <c r="D2093" s="1523">
        <v>0</v>
      </c>
      <c r="E2093" s="1523">
        <v>0</v>
      </c>
      <c r="F2093" s="1524">
        <v>0</v>
      </c>
      <c r="G2093" s="1537" t="s">
        <v>6051</v>
      </c>
      <c r="H2093" s="1521">
        <v>0</v>
      </c>
      <c r="I2093" s="1521">
        <v>0</v>
      </c>
      <c r="J2093" s="1538">
        <v>0</v>
      </c>
      <c r="K2093" s="1525"/>
      <c r="L2093" s="1519">
        <v>13247060308</v>
      </c>
      <c r="M2093" s="1520">
        <v>0</v>
      </c>
      <c r="N2093" s="1520">
        <v>0</v>
      </c>
      <c r="O2093" s="1521">
        <v>0</v>
      </c>
    </row>
    <row r="2094" spans="3:15" ht="13.5">
      <c r="C2094" s="1526" t="s">
        <v>6052</v>
      </c>
      <c r="D2094" s="1523">
        <v>0</v>
      </c>
      <c r="E2094" s="1523">
        <v>0</v>
      </c>
      <c r="F2094" s="1524">
        <v>0</v>
      </c>
      <c r="G2094" s="1537" t="s">
        <v>6052</v>
      </c>
      <c r="H2094" s="1521">
        <v>0</v>
      </c>
      <c r="I2094" s="1521">
        <v>0</v>
      </c>
      <c r="J2094" s="1538">
        <v>0</v>
      </c>
      <c r="K2094" s="1525"/>
      <c r="L2094" s="1519">
        <v>13247060309</v>
      </c>
      <c r="M2094" s="1520">
        <v>0</v>
      </c>
      <c r="N2094" s="1520">
        <v>0</v>
      </c>
      <c r="O2094" s="1521">
        <v>0</v>
      </c>
    </row>
    <row r="2095" spans="3:15" ht="13.5">
      <c r="C2095" s="1526" t="s">
        <v>6053</v>
      </c>
      <c r="D2095" s="1523">
        <v>1</v>
      </c>
      <c r="E2095" s="1523">
        <v>1</v>
      </c>
      <c r="F2095" s="1524">
        <v>2</v>
      </c>
      <c r="G2095" s="1537" t="s">
        <v>6053</v>
      </c>
      <c r="H2095" s="1521">
        <v>1</v>
      </c>
      <c r="I2095" s="1521">
        <v>0</v>
      </c>
      <c r="J2095" s="1538">
        <v>1</v>
      </c>
      <c r="K2095" s="1525"/>
      <c r="L2095" s="1519">
        <v>13247060403</v>
      </c>
      <c r="M2095" s="1520">
        <v>1</v>
      </c>
      <c r="N2095" s="1520">
        <v>1</v>
      </c>
      <c r="O2095" s="1521">
        <v>2</v>
      </c>
    </row>
    <row r="2096" spans="3:15" ht="13.5">
      <c r="C2096" s="1526" t="s">
        <v>6054</v>
      </c>
      <c r="D2096" s="1523">
        <v>1</v>
      </c>
      <c r="E2096" s="1523">
        <v>1</v>
      </c>
      <c r="F2096" s="1524">
        <v>2</v>
      </c>
      <c r="G2096" s="1537" t="s">
        <v>6054</v>
      </c>
      <c r="H2096" s="1521">
        <v>1</v>
      </c>
      <c r="I2096" s="1521">
        <v>1</v>
      </c>
      <c r="J2096" s="1538">
        <v>2</v>
      </c>
      <c r="K2096" s="1525"/>
      <c r="L2096" s="1519">
        <v>13247060404</v>
      </c>
      <c r="M2096" s="1520">
        <v>1</v>
      </c>
      <c r="N2096" s="1520">
        <v>1</v>
      </c>
      <c r="O2096" s="1521">
        <v>2</v>
      </c>
    </row>
    <row r="2097" spans="3:15" ht="13.5">
      <c r="C2097" s="1526" t="s">
        <v>6055</v>
      </c>
      <c r="D2097" s="1523">
        <v>1</v>
      </c>
      <c r="E2097" s="1523">
        <v>1</v>
      </c>
      <c r="F2097" s="1524">
        <v>2</v>
      </c>
      <c r="G2097" s="1537" t="s">
        <v>6055</v>
      </c>
      <c r="H2097" s="1521">
        <v>0</v>
      </c>
      <c r="I2097" s="1521">
        <v>1</v>
      </c>
      <c r="J2097" s="1538">
        <v>1</v>
      </c>
      <c r="K2097" s="1525"/>
      <c r="L2097" s="1519">
        <v>13247060405</v>
      </c>
      <c r="M2097" s="1520">
        <v>1</v>
      </c>
      <c r="N2097" s="1520">
        <v>1</v>
      </c>
      <c r="O2097" s="1521">
        <v>2</v>
      </c>
    </row>
    <row r="2098" spans="3:15" ht="13.5">
      <c r="C2098" s="1526" t="s">
        <v>6056</v>
      </c>
      <c r="D2098" s="1523">
        <v>1</v>
      </c>
      <c r="E2098" s="1523">
        <v>1</v>
      </c>
      <c r="F2098" s="1524">
        <v>2</v>
      </c>
      <c r="G2098" s="1537" t="s">
        <v>6056</v>
      </c>
      <c r="H2098" s="1521">
        <v>1</v>
      </c>
      <c r="I2098" s="1521">
        <v>1</v>
      </c>
      <c r="J2098" s="1538">
        <v>2</v>
      </c>
      <c r="K2098" s="1525"/>
      <c r="L2098" s="1519">
        <v>13247060406</v>
      </c>
      <c r="M2098" s="1520">
        <v>1</v>
      </c>
      <c r="N2098" s="1520">
        <v>1</v>
      </c>
      <c r="O2098" s="1521">
        <v>2</v>
      </c>
    </row>
    <row r="2099" spans="3:15" ht="13.5">
      <c r="C2099" s="1526" t="s">
        <v>6057</v>
      </c>
      <c r="D2099" s="1523">
        <v>0</v>
      </c>
      <c r="E2099" s="1523">
        <v>1</v>
      </c>
      <c r="F2099" s="1524">
        <v>1</v>
      </c>
      <c r="G2099" s="1537" t="s">
        <v>6057</v>
      </c>
      <c r="H2099" s="1521">
        <v>0</v>
      </c>
      <c r="I2099" s="1521">
        <v>1</v>
      </c>
      <c r="J2099" s="1538">
        <v>1</v>
      </c>
      <c r="K2099" s="1525"/>
      <c r="L2099" s="1519">
        <v>13247060407</v>
      </c>
      <c r="M2099" s="1520">
        <v>0</v>
      </c>
      <c r="N2099" s="1520">
        <v>1</v>
      </c>
      <c r="O2099" s="1521">
        <v>1</v>
      </c>
    </row>
    <row r="2100" spans="3:15" ht="13.5">
      <c r="C2100" s="1526" t="s">
        <v>6058</v>
      </c>
      <c r="D2100" s="1523">
        <v>0</v>
      </c>
      <c r="E2100" s="1523">
        <v>0</v>
      </c>
      <c r="F2100" s="1524">
        <v>0</v>
      </c>
      <c r="G2100" s="1537" t="s">
        <v>6058</v>
      </c>
      <c r="H2100" s="1521">
        <v>0</v>
      </c>
      <c r="I2100" s="1521">
        <v>1</v>
      </c>
      <c r="J2100" s="1538">
        <v>1</v>
      </c>
      <c r="K2100" s="1525"/>
      <c r="L2100" s="1519">
        <v>13249960100</v>
      </c>
      <c r="M2100" s="1520">
        <v>0</v>
      </c>
      <c r="N2100" s="1520">
        <v>1</v>
      </c>
      <c r="O2100" s="1521">
        <v>1</v>
      </c>
    </row>
    <row r="2101" spans="3:15" ht="13.5">
      <c r="C2101" s="1526" t="s">
        <v>6059</v>
      </c>
      <c r="D2101" s="1523">
        <v>0</v>
      </c>
      <c r="E2101" s="1523">
        <v>0</v>
      </c>
      <c r="F2101" s="1524">
        <v>0</v>
      </c>
      <c r="G2101" s="1537" t="s">
        <v>6059</v>
      </c>
      <c r="H2101" s="1521">
        <v>0</v>
      </c>
      <c r="I2101" s="1521">
        <v>0</v>
      </c>
      <c r="J2101" s="1538">
        <v>0</v>
      </c>
      <c r="K2101" s="1525"/>
      <c r="L2101" s="1519">
        <v>13249960200</v>
      </c>
      <c r="M2101" s="1520">
        <v>0</v>
      </c>
      <c r="N2101" s="1520">
        <v>0</v>
      </c>
      <c r="O2101" s="1521">
        <v>0</v>
      </c>
    </row>
    <row r="2102" spans="3:15" ht="13.5">
      <c r="C2102" s="1526" t="s">
        <v>6060</v>
      </c>
      <c r="D2102" s="1523">
        <v>0</v>
      </c>
      <c r="E2102" s="1523">
        <v>0</v>
      </c>
      <c r="F2102" s="1524">
        <v>0</v>
      </c>
      <c r="G2102" s="1537" t="s">
        <v>6060</v>
      </c>
      <c r="H2102" s="1521">
        <v>0</v>
      </c>
      <c r="I2102" s="1521">
        <v>0</v>
      </c>
      <c r="J2102" s="1538">
        <v>0</v>
      </c>
      <c r="K2102" s="1525"/>
      <c r="L2102" s="1519">
        <v>13251970200</v>
      </c>
      <c r="M2102" s="1520">
        <v>0</v>
      </c>
      <c r="N2102" s="1520">
        <v>0</v>
      </c>
      <c r="O2102" s="1521">
        <v>0</v>
      </c>
    </row>
    <row r="2103" spans="3:15" ht="13.5">
      <c r="C2103" s="1526" t="s">
        <v>6061</v>
      </c>
      <c r="D2103" s="1523">
        <v>0</v>
      </c>
      <c r="E2103" s="1523">
        <v>0</v>
      </c>
      <c r="F2103" s="1524">
        <v>0</v>
      </c>
      <c r="G2103" s="1537" t="s">
        <v>6061</v>
      </c>
      <c r="H2103" s="1521">
        <v>0</v>
      </c>
      <c r="I2103" s="1521">
        <v>0</v>
      </c>
      <c r="J2103" s="1538">
        <v>0</v>
      </c>
      <c r="K2103" s="1525"/>
      <c r="L2103" s="1519">
        <v>13251970300</v>
      </c>
      <c r="M2103" s="1520">
        <v>0</v>
      </c>
      <c r="N2103" s="1520">
        <v>0</v>
      </c>
      <c r="O2103" s="1521">
        <v>0</v>
      </c>
    </row>
    <row r="2104" spans="3:15" ht="13.5">
      <c r="C2104" s="1526" t="s">
        <v>6062</v>
      </c>
      <c r="D2104" s="1523">
        <v>0</v>
      </c>
      <c r="E2104" s="1523">
        <v>0</v>
      </c>
      <c r="F2104" s="1524">
        <v>0</v>
      </c>
      <c r="G2104" s="1537" t="s">
        <v>6062</v>
      </c>
      <c r="H2104" s="1521">
        <v>0</v>
      </c>
      <c r="I2104" s="1521">
        <v>0</v>
      </c>
      <c r="J2104" s="1538">
        <v>0</v>
      </c>
      <c r="K2104" s="1525"/>
      <c r="L2104" s="1519">
        <v>13251970400</v>
      </c>
      <c r="M2104" s="1520">
        <v>0</v>
      </c>
      <c r="N2104" s="1520">
        <v>0</v>
      </c>
      <c r="O2104" s="1521">
        <v>0</v>
      </c>
    </row>
    <row r="2105" spans="3:15" ht="13.5">
      <c r="C2105" s="1526" t="s">
        <v>6063</v>
      </c>
      <c r="D2105" s="1523">
        <v>0</v>
      </c>
      <c r="E2105" s="1523">
        <v>0</v>
      </c>
      <c r="F2105" s="1524">
        <v>0</v>
      </c>
      <c r="G2105" s="1537" t="s">
        <v>6063</v>
      </c>
      <c r="H2105" s="1521">
        <v>0</v>
      </c>
      <c r="I2105" s="1521">
        <v>0</v>
      </c>
      <c r="J2105" s="1538">
        <v>0</v>
      </c>
      <c r="K2105" s="1525"/>
      <c r="L2105" s="1519">
        <v>13251970500</v>
      </c>
      <c r="M2105" s="1520">
        <v>0</v>
      </c>
      <c r="N2105" s="1520">
        <v>0</v>
      </c>
      <c r="O2105" s="1521">
        <v>0</v>
      </c>
    </row>
    <row r="2106" spans="3:15" ht="13.5">
      <c r="C2106" s="1526" t="s">
        <v>6064</v>
      </c>
      <c r="D2106" s="1523">
        <v>0</v>
      </c>
      <c r="E2106" s="1523">
        <v>0</v>
      </c>
      <c r="F2106" s="1524">
        <v>0</v>
      </c>
      <c r="G2106" s="1537" t="s">
        <v>6064</v>
      </c>
      <c r="H2106" s="1521">
        <v>0</v>
      </c>
      <c r="I2106" s="1521">
        <v>0</v>
      </c>
      <c r="J2106" s="1538">
        <v>0</v>
      </c>
      <c r="K2106" s="1525"/>
      <c r="L2106" s="1519">
        <v>13251970600</v>
      </c>
      <c r="M2106" s="1520">
        <v>0</v>
      </c>
      <c r="N2106" s="1520">
        <v>0</v>
      </c>
      <c r="O2106" s="1521">
        <v>0</v>
      </c>
    </row>
    <row r="2107" spans="3:15" ht="13.5">
      <c r="C2107" s="1526" t="s">
        <v>6065</v>
      </c>
      <c r="D2107" s="1523">
        <v>0</v>
      </c>
      <c r="E2107" s="1523">
        <v>0</v>
      </c>
      <c r="F2107" s="1524">
        <v>0</v>
      </c>
      <c r="G2107" s="1537" t="s">
        <v>6065</v>
      </c>
      <c r="H2107" s="1521">
        <v>0</v>
      </c>
      <c r="I2107" s="1521">
        <v>0</v>
      </c>
      <c r="J2107" s="1538">
        <v>0</v>
      </c>
      <c r="K2107" s="1525"/>
      <c r="L2107" s="1519">
        <v>13253200100</v>
      </c>
      <c r="M2107" s="1520">
        <v>0</v>
      </c>
      <c r="N2107" s="1520">
        <v>0</v>
      </c>
      <c r="O2107" s="1521">
        <v>0</v>
      </c>
    </row>
    <row r="2108" spans="3:15" ht="13.5">
      <c r="C2108" s="1526" t="s">
        <v>6066</v>
      </c>
      <c r="D2108" s="1523">
        <v>0</v>
      </c>
      <c r="E2108" s="1523">
        <v>0</v>
      </c>
      <c r="F2108" s="1524">
        <v>0</v>
      </c>
      <c r="G2108" s="1537" t="s">
        <v>6066</v>
      </c>
      <c r="H2108" s="1521">
        <v>0</v>
      </c>
      <c r="I2108" s="1521">
        <v>0</v>
      </c>
      <c r="J2108" s="1538">
        <v>0</v>
      </c>
      <c r="K2108" s="1525"/>
      <c r="L2108" s="1519">
        <v>13253200200</v>
      </c>
      <c r="M2108" s="1520">
        <v>0</v>
      </c>
      <c r="N2108" s="1520">
        <v>0</v>
      </c>
      <c r="O2108" s="1521">
        <v>0</v>
      </c>
    </row>
    <row r="2109" spans="3:15" ht="13.5">
      <c r="C2109" s="1526" t="s">
        <v>6067</v>
      </c>
      <c r="D2109" s="1523">
        <v>0</v>
      </c>
      <c r="E2109" s="1523">
        <v>0</v>
      </c>
      <c r="F2109" s="1524">
        <v>0</v>
      </c>
      <c r="G2109" s="1537" t="s">
        <v>6067</v>
      </c>
      <c r="H2109" s="1521">
        <v>0</v>
      </c>
      <c r="I2109" s="1521">
        <v>0</v>
      </c>
      <c r="J2109" s="1538">
        <v>0</v>
      </c>
      <c r="K2109" s="1525"/>
      <c r="L2109" s="1519">
        <v>13253200300</v>
      </c>
      <c r="M2109" s="1520">
        <v>0</v>
      </c>
      <c r="N2109" s="1520">
        <v>0</v>
      </c>
      <c r="O2109" s="1521">
        <v>0</v>
      </c>
    </row>
    <row r="2110" spans="3:15" ht="13.5">
      <c r="C2110" s="1526" t="s">
        <v>6068</v>
      </c>
      <c r="D2110" s="1523">
        <v>0</v>
      </c>
      <c r="E2110" s="1523">
        <v>1</v>
      </c>
      <c r="F2110" s="1524">
        <v>1</v>
      </c>
      <c r="G2110" s="1537" t="s">
        <v>6068</v>
      </c>
      <c r="H2110" s="1521">
        <v>0</v>
      </c>
      <c r="I2110" s="1521">
        <v>0</v>
      </c>
      <c r="J2110" s="1538">
        <v>0</v>
      </c>
      <c r="K2110" s="1525"/>
      <c r="L2110" s="1519">
        <v>13255160100</v>
      </c>
      <c r="M2110" s="1520">
        <v>0</v>
      </c>
      <c r="N2110" s="1520">
        <v>1</v>
      </c>
      <c r="O2110" s="1521">
        <v>1</v>
      </c>
    </row>
    <row r="2111" spans="3:15" ht="13.5">
      <c r="C2111" s="1526" t="s">
        <v>6069</v>
      </c>
      <c r="D2111" s="1523">
        <v>0</v>
      </c>
      <c r="E2111" s="1523">
        <v>0</v>
      </c>
      <c r="F2111" s="1524">
        <v>0</v>
      </c>
      <c r="G2111" s="1537" t="s">
        <v>6069</v>
      </c>
      <c r="H2111" s="1521">
        <v>0</v>
      </c>
      <c r="I2111" s="1521">
        <v>0</v>
      </c>
      <c r="J2111" s="1538">
        <v>0</v>
      </c>
      <c r="K2111" s="1525"/>
      <c r="L2111" s="1519">
        <v>13255160200</v>
      </c>
      <c r="M2111" s="1520">
        <v>0</v>
      </c>
      <c r="N2111" s="1520">
        <v>0</v>
      </c>
      <c r="O2111" s="1521">
        <v>0</v>
      </c>
    </row>
    <row r="2112" spans="3:15" ht="13.5">
      <c r="C2112" s="1526" t="s">
        <v>6070</v>
      </c>
      <c r="D2112" s="1523">
        <v>0</v>
      </c>
      <c r="E2112" s="1523">
        <v>0</v>
      </c>
      <c r="F2112" s="1524">
        <v>0</v>
      </c>
      <c r="G2112" s="1537" t="s">
        <v>6070</v>
      </c>
      <c r="H2112" s="1521">
        <v>0</v>
      </c>
      <c r="I2112" s="1521">
        <v>0</v>
      </c>
      <c r="J2112" s="1538">
        <v>0</v>
      </c>
      <c r="K2112" s="1525"/>
      <c r="L2112" s="1519">
        <v>13255160300</v>
      </c>
      <c r="M2112" s="1520">
        <v>0</v>
      </c>
      <c r="N2112" s="1520">
        <v>0</v>
      </c>
      <c r="O2112" s="1521">
        <v>0</v>
      </c>
    </row>
    <row r="2113" spans="3:15" ht="13.5">
      <c r="C2113" s="1526" t="s">
        <v>6071</v>
      </c>
      <c r="D2113" s="1523">
        <v>0</v>
      </c>
      <c r="E2113" s="1523">
        <v>0</v>
      </c>
      <c r="F2113" s="1524">
        <v>0</v>
      </c>
      <c r="G2113" s="1537" t="s">
        <v>6071</v>
      </c>
      <c r="H2113" s="1521">
        <v>0</v>
      </c>
      <c r="I2113" s="1521">
        <v>0</v>
      </c>
      <c r="J2113" s="1538">
        <v>0</v>
      </c>
      <c r="K2113" s="1525"/>
      <c r="L2113" s="1519">
        <v>13255160400</v>
      </c>
      <c r="M2113" s="1520">
        <v>0</v>
      </c>
      <c r="N2113" s="1520">
        <v>0</v>
      </c>
      <c r="O2113" s="1521">
        <v>0</v>
      </c>
    </row>
    <row r="2114" spans="3:15" ht="13.5">
      <c r="C2114" s="1526" t="s">
        <v>6072</v>
      </c>
      <c r="D2114" s="1523">
        <v>0</v>
      </c>
      <c r="E2114" s="1523">
        <v>0</v>
      </c>
      <c r="F2114" s="1524">
        <v>0</v>
      </c>
      <c r="G2114" s="1537" t="s">
        <v>6072</v>
      </c>
      <c r="H2114" s="1521">
        <v>0</v>
      </c>
      <c r="I2114" s="1521">
        <v>0</v>
      </c>
      <c r="J2114" s="1538">
        <v>0</v>
      </c>
      <c r="K2114" s="1525"/>
      <c r="L2114" s="1519">
        <v>13255160500</v>
      </c>
      <c r="M2114" s="1520">
        <v>0</v>
      </c>
      <c r="N2114" s="1520">
        <v>0</v>
      </c>
      <c r="O2114" s="1521">
        <v>0</v>
      </c>
    </row>
    <row r="2115" spans="3:15" ht="13.5">
      <c r="C2115" s="1526" t="s">
        <v>6073</v>
      </c>
      <c r="D2115" s="1523">
        <v>1</v>
      </c>
      <c r="E2115" s="1523">
        <v>1</v>
      </c>
      <c r="F2115" s="1524">
        <v>2</v>
      </c>
      <c r="G2115" s="1537" t="s">
        <v>6073</v>
      </c>
      <c r="H2115" s="1521">
        <v>0</v>
      </c>
      <c r="I2115" s="1521">
        <v>0</v>
      </c>
      <c r="J2115" s="1538">
        <v>0</v>
      </c>
      <c r="K2115" s="1525"/>
      <c r="L2115" s="1519">
        <v>13255160600</v>
      </c>
      <c r="M2115" s="1520">
        <v>1</v>
      </c>
      <c r="N2115" s="1520">
        <v>1</v>
      </c>
      <c r="O2115" s="1521">
        <v>2</v>
      </c>
    </row>
    <row r="2116" spans="3:15" ht="13.5">
      <c r="C2116" s="1526" t="s">
        <v>6074</v>
      </c>
      <c r="D2116" s="1523">
        <v>0</v>
      </c>
      <c r="E2116" s="1523">
        <v>0</v>
      </c>
      <c r="F2116" s="1524">
        <v>0</v>
      </c>
      <c r="G2116" s="1537" t="s">
        <v>6074</v>
      </c>
      <c r="H2116" s="1521">
        <v>0</v>
      </c>
      <c r="I2116" s="1521">
        <v>0</v>
      </c>
      <c r="J2116" s="1538">
        <v>0</v>
      </c>
      <c r="K2116" s="1525"/>
      <c r="L2116" s="1519">
        <v>13255160700</v>
      </c>
      <c r="M2116" s="1520">
        <v>0</v>
      </c>
      <c r="N2116" s="1520">
        <v>0</v>
      </c>
      <c r="O2116" s="1521">
        <v>0</v>
      </c>
    </row>
    <row r="2117" spans="3:15" ht="13.5">
      <c r="C2117" s="1526" t="s">
        <v>6075</v>
      </c>
      <c r="D2117" s="1523">
        <v>0</v>
      </c>
      <c r="E2117" s="1523">
        <v>0</v>
      </c>
      <c r="F2117" s="1524">
        <v>0</v>
      </c>
      <c r="G2117" s="1537" t="s">
        <v>6075</v>
      </c>
      <c r="H2117" s="1521">
        <v>0</v>
      </c>
      <c r="I2117" s="1521">
        <v>0</v>
      </c>
      <c r="J2117" s="1538">
        <v>0</v>
      </c>
      <c r="K2117" s="1525"/>
      <c r="L2117" s="1519">
        <v>13255160800</v>
      </c>
      <c r="M2117" s="1520">
        <v>0</v>
      </c>
      <c r="N2117" s="1520">
        <v>0</v>
      </c>
      <c r="O2117" s="1521">
        <v>0</v>
      </c>
    </row>
    <row r="2118" spans="3:15" ht="13.5">
      <c r="C2118" s="1526" t="s">
        <v>6076</v>
      </c>
      <c r="D2118" s="1523">
        <v>0</v>
      </c>
      <c r="E2118" s="1523">
        <v>0</v>
      </c>
      <c r="F2118" s="1524">
        <v>0</v>
      </c>
      <c r="G2118" s="1537" t="s">
        <v>6076</v>
      </c>
      <c r="H2118" s="1521">
        <v>0</v>
      </c>
      <c r="I2118" s="1521">
        <v>0</v>
      </c>
      <c r="J2118" s="1538">
        <v>0</v>
      </c>
      <c r="K2118" s="1525"/>
      <c r="L2118" s="1519">
        <v>13255160900</v>
      </c>
      <c r="M2118" s="1520">
        <v>0</v>
      </c>
      <c r="N2118" s="1520">
        <v>0</v>
      </c>
      <c r="O2118" s="1521">
        <v>0</v>
      </c>
    </row>
    <row r="2119" spans="3:15" ht="13.5">
      <c r="C2119" s="1526" t="s">
        <v>6077</v>
      </c>
      <c r="D2119" s="1523">
        <v>0</v>
      </c>
      <c r="E2119" s="1523">
        <v>1</v>
      </c>
      <c r="F2119" s="1524">
        <v>1</v>
      </c>
      <c r="G2119" s="1537" t="s">
        <v>6077</v>
      </c>
      <c r="H2119" s="1521">
        <v>0</v>
      </c>
      <c r="I2119" s="1521">
        <v>0</v>
      </c>
      <c r="J2119" s="1538">
        <v>0</v>
      </c>
      <c r="K2119" s="1525"/>
      <c r="L2119" s="1519">
        <v>13255161000</v>
      </c>
      <c r="M2119" s="1520">
        <v>0</v>
      </c>
      <c r="N2119" s="1520">
        <v>1</v>
      </c>
      <c r="O2119" s="1521">
        <v>1</v>
      </c>
    </row>
    <row r="2120" spans="3:15" ht="13.5">
      <c r="C2120" s="1526" t="s">
        <v>6078</v>
      </c>
      <c r="D2120" s="1523">
        <v>1</v>
      </c>
      <c r="E2120" s="1523">
        <v>1</v>
      </c>
      <c r="F2120" s="1524">
        <v>2</v>
      </c>
      <c r="G2120" s="1537" t="s">
        <v>6078</v>
      </c>
      <c r="H2120" s="1521">
        <v>1</v>
      </c>
      <c r="I2120" s="1521">
        <v>1</v>
      </c>
      <c r="J2120" s="1538">
        <v>2</v>
      </c>
      <c r="K2120" s="1525"/>
      <c r="L2120" s="1519">
        <v>13255161100</v>
      </c>
      <c r="M2120" s="1520">
        <v>1</v>
      </c>
      <c r="N2120" s="1520">
        <v>1</v>
      </c>
      <c r="O2120" s="1521">
        <v>2</v>
      </c>
    </row>
    <row r="2121" spans="3:15" ht="13.5">
      <c r="C2121" s="1526" t="s">
        <v>6079</v>
      </c>
      <c r="D2121" s="1523">
        <v>0</v>
      </c>
      <c r="E2121" s="1523">
        <v>0</v>
      </c>
      <c r="F2121" s="1524">
        <v>0</v>
      </c>
      <c r="G2121" s="1537" t="s">
        <v>6079</v>
      </c>
      <c r="H2121" s="1521">
        <v>0</v>
      </c>
      <c r="I2121" s="1521">
        <v>1</v>
      </c>
      <c r="J2121" s="1538">
        <v>1</v>
      </c>
      <c r="K2121" s="1525"/>
      <c r="L2121" s="1519">
        <v>13255161200</v>
      </c>
      <c r="M2121" s="1520">
        <v>0</v>
      </c>
      <c r="N2121" s="1520">
        <v>1</v>
      </c>
      <c r="O2121" s="1521">
        <v>1</v>
      </c>
    </row>
    <row r="2122" spans="3:15" ht="13.5">
      <c r="C2122" s="1526" t="s">
        <v>6080</v>
      </c>
      <c r="D2122" s="1523">
        <v>0</v>
      </c>
      <c r="E2122" s="1523">
        <v>0</v>
      </c>
      <c r="F2122" s="1524">
        <v>0</v>
      </c>
      <c r="G2122" s="1537" t="s">
        <v>6080</v>
      </c>
      <c r="H2122" s="1521">
        <v>0</v>
      </c>
      <c r="I2122" s="1521">
        <v>0</v>
      </c>
      <c r="J2122" s="1538">
        <v>0</v>
      </c>
      <c r="K2122" s="1525"/>
      <c r="L2122" s="1519">
        <v>13257970100</v>
      </c>
      <c r="M2122" s="1520">
        <v>0</v>
      </c>
      <c r="N2122" s="1520">
        <v>0</v>
      </c>
      <c r="O2122" s="1521">
        <v>0</v>
      </c>
    </row>
    <row r="2123" spans="3:15" ht="13.5">
      <c r="C2123" s="1526" t="s">
        <v>6081</v>
      </c>
      <c r="D2123" s="1523">
        <v>0</v>
      </c>
      <c r="E2123" s="1523">
        <v>0</v>
      </c>
      <c r="F2123" s="1524">
        <v>0</v>
      </c>
      <c r="G2123" s="1537" t="s">
        <v>6081</v>
      </c>
      <c r="H2123" s="1521">
        <v>0</v>
      </c>
      <c r="I2123" s="1521">
        <v>0</v>
      </c>
      <c r="J2123" s="1538">
        <v>0</v>
      </c>
      <c r="K2123" s="1525"/>
      <c r="L2123" s="1519">
        <v>13257970200</v>
      </c>
      <c r="M2123" s="1520">
        <v>0</v>
      </c>
      <c r="N2123" s="1520">
        <v>0</v>
      </c>
      <c r="O2123" s="1521">
        <v>0</v>
      </c>
    </row>
    <row r="2124" spans="3:15" ht="13.5">
      <c r="C2124" s="1526" t="s">
        <v>6082</v>
      </c>
      <c r="D2124" s="1523">
        <v>0</v>
      </c>
      <c r="E2124" s="1523">
        <v>0</v>
      </c>
      <c r="F2124" s="1524">
        <v>0</v>
      </c>
      <c r="G2124" s="1537" t="s">
        <v>6082</v>
      </c>
      <c r="H2124" s="1521">
        <v>0</v>
      </c>
      <c r="I2124" s="1521">
        <v>0</v>
      </c>
      <c r="J2124" s="1538">
        <v>0</v>
      </c>
      <c r="K2124" s="1525"/>
      <c r="L2124" s="1519">
        <v>13257970301</v>
      </c>
      <c r="M2124" s="1520">
        <v>0</v>
      </c>
      <c r="N2124" s="1520">
        <v>0</v>
      </c>
      <c r="O2124" s="1521">
        <v>0</v>
      </c>
    </row>
    <row r="2125" spans="3:15" ht="13.5">
      <c r="C2125" s="1526" t="s">
        <v>6083</v>
      </c>
      <c r="D2125" s="1523">
        <v>0</v>
      </c>
      <c r="E2125" s="1523">
        <v>0</v>
      </c>
      <c r="F2125" s="1524">
        <v>0</v>
      </c>
      <c r="G2125" s="1537" t="s">
        <v>6083</v>
      </c>
      <c r="H2125" s="1521">
        <v>0</v>
      </c>
      <c r="I2125" s="1521">
        <v>0</v>
      </c>
      <c r="J2125" s="1538">
        <v>0</v>
      </c>
      <c r="K2125" s="1525"/>
      <c r="L2125" s="1519">
        <v>13257970302</v>
      </c>
      <c r="M2125" s="1520">
        <v>0</v>
      </c>
      <c r="N2125" s="1520">
        <v>0</v>
      </c>
      <c r="O2125" s="1521">
        <v>0</v>
      </c>
    </row>
    <row r="2126" spans="3:15" ht="13.5">
      <c r="C2126" s="1526" t="s">
        <v>6084</v>
      </c>
      <c r="D2126" s="1523">
        <v>0</v>
      </c>
      <c r="E2126" s="1523">
        <v>0</v>
      </c>
      <c r="F2126" s="1524">
        <v>0</v>
      </c>
      <c r="G2126" s="1537" t="s">
        <v>6084</v>
      </c>
      <c r="H2126" s="1521">
        <v>0</v>
      </c>
      <c r="I2126" s="1521">
        <v>0</v>
      </c>
      <c r="J2126" s="1538">
        <v>0</v>
      </c>
      <c r="K2126" s="1525"/>
      <c r="L2126" s="1519">
        <v>13257970400</v>
      </c>
      <c r="M2126" s="1520">
        <v>0</v>
      </c>
      <c r="N2126" s="1520">
        <v>0</v>
      </c>
      <c r="O2126" s="1521">
        <v>0</v>
      </c>
    </row>
    <row r="2127" spans="3:15" ht="13.5">
      <c r="C2127" s="1526" t="s">
        <v>6085</v>
      </c>
      <c r="D2127" s="1523">
        <v>0</v>
      </c>
      <c r="E2127" s="1523">
        <v>0</v>
      </c>
      <c r="F2127" s="1524">
        <v>0</v>
      </c>
      <c r="G2127" s="1537" t="s">
        <v>6085</v>
      </c>
      <c r="H2127" s="1521">
        <v>0</v>
      </c>
      <c r="I2127" s="1521">
        <v>0</v>
      </c>
      <c r="J2127" s="1538">
        <v>0</v>
      </c>
      <c r="K2127" s="1525"/>
      <c r="L2127" s="1519">
        <v>13259950100</v>
      </c>
      <c r="M2127" s="1520">
        <v>0</v>
      </c>
      <c r="N2127" s="1520">
        <v>0</v>
      </c>
      <c r="O2127" s="1521">
        <v>0</v>
      </c>
    </row>
    <row r="2128" spans="3:15" ht="13.5">
      <c r="C2128" s="1526" t="s">
        <v>6086</v>
      </c>
      <c r="D2128" s="1523">
        <v>0</v>
      </c>
      <c r="E2128" s="1523">
        <v>0</v>
      </c>
      <c r="F2128" s="1524">
        <v>0</v>
      </c>
      <c r="G2128" s="1537" t="s">
        <v>6086</v>
      </c>
      <c r="H2128" s="1521">
        <v>0</v>
      </c>
      <c r="I2128" s="1521">
        <v>0</v>
      </c>
      <c r="J2128" s="1538">
        <v>0</v>
      </c>
      <c r="K2128" s="1525"/>
      <c r="L2128" s="1519">
        <v>13259950400</v>
      </c>
      <c r="M2128" s="1520">
        <v>0</v>
      </c>
      <c r="N2128" s="1520">
        <v>0</v>
      </c>
      <c r="O2128" s="1521">
        <v>0</v>
      </c>
    </row>
    <row r="2129" spans="3:15" ht="13.5">
      <c r="C2129" s="1526" t="s">
        <v>6087</v>
      </c>
      <c r="D2129" s="1523">
        <v>0</v>
      </c>
      <c r="E2129" s="1523">
        <v>0</v>
      </c>
      <c r="F2129" s="1524">
        <v>0</v>
      </c>
      <c r="G2129" s="1537" t="s">
        <v>6087</v>
      </c>
      <c r="H2129" s="1521">
        <v>0</v>
      </c>
      <c r="I2129" s="1521">
        <v>0</v>
      </c>
      <c r="J2129" s="1538">
        <v>0</v>
      </c>
      <c r="K2129" s="1525"/>
      <c r="L2129" s="1519">
        <v>13261950100</v>
      </c>
      <c r="M2129" s="1520">
        <v>0</v>
      </c>
      <c r="N2129" s="1520">
        <v>0</v>
      </c>
      <c r="O2129" s="1521">
        <v>0</v>
      </c>
    </row>
    <row r="2130" spans="3:15" ht="13.5">
      <c r="C2130" s="1526" t="s">
        <v>6088</v>
      </c>
      <c r="D2130" s="1523">
        <v>0</v>
      </c>
      <c r="E2130" s="1523">
        <v>0</v>
      </c>
      <c r="F2130" s="1524">
        <v>0</v>
      </c>
      <c r="G2130" s="1537" t="s">
        <v>6088</v>
      </c>
      <c r="H2130" s="1521">
        <v>0</v>
      </c>
      <c r="I2130" s="1521">
        <v>0</v>
      </c>
      <c r="J2130" s="1538">
        <v>0</v>
      </c>
      <c r="K2130" s="1525"/>
      <c r="L2130" s="1519">
        <v>13261950200</v>
      </c>
      <c r="M2130" s="1520">
        <v>0</v>
      </c>
      <c r="N2130" s="1520">
        <v>0</v>
      </c>
      <c r="O2130" s="1521">
        <v>0</v>
      </c>
    </row>
    <row r="2131" spans="3:15" ht="13.5">
      <c r="C2131" s="1526" t="s">
        <v>6089</v>
      </c>
      <c r="D2131" s="1523">
        <v>0</v>
      </c>
      <c r="E2131" s="1523">
        <v>0</v>
      </c>
      <c r="F2131" s="1524">
        <v>0</v>
      </c>
      <c r="G2131" s="1537" t="s">
        <v>6089</v>
      </c>
      <c r="H2131" s="1521">
        <v>0</v>
      </c>
      <c r="I2131" s="1521">
        <v>1</v>
      </c>
      <c r="J2131" s="1538">
        <v>1</v>
      </c>
      <c r="K2131" s="1525"/>
      <c r="L2131" s="1519">
        <v>13261950300</v>
      </c>
      <c r="M2131" s="1520">
        <v>0</v>
      </c>
      <c r="N2131" s="1520">
        <v>1</v>
      </c>
      <c r="O2131" s="1521">
        <v>1</v>
      </c>
    </row>
    <row r="2132" spans="3:15" ht="13.5">
      <c r="C2132" s="1526" t="s">
        <v>6090</v>
      </c>
      <c r="D2132" s="1523">
        <v>0</v>
      </c>
      <c r="E2132" s="1523">
        <v>0</v>
      </c>
      <c r="F2132" s="1524">
        <v>0</v>
      </c>
      <c r="G2132" s="1537" t="s">
        <v>6090</v>
      </c>
      <c r="H2132" s="1521">
        <v>0</v>
      </c>
      <c r="I2132" s="1521">
        <v>0</v>
      </c>
      <c r="J2132" s="1538">
        <v>0</v>
      </c>
      <c r="K2132" s="1525"/>
      <c r="L2132" s="1519">
        <v>13261950400</v>
      </c>
      <c r="M2132" s="1520">
        <v>0</v>
      </c>
      <c r="N2132" s="1520">
        <v>0</v>
      </c>
      <c r="O2132" s="1521">
        <v>0</v>
      </c>
    </row>
    <row r="2133" spans="3:15" ht="13.5">
      <c r="C2133" s="1526" t="s">
        <v>6091</v>
      </c>
      <c r="D2133" s="1523">
        <v>0</v>
      </c>
      <c r="E2133" s="1523">
        <v>0</v>
      </c>
      <c r="F2133" s="1524">
        <v>0</v>
      </c>
      <c r="G2133" s="1537" t="s">
        <v>6091</v>
      </c>
      <c r="H2133" s="1521">
        <v>0</v>
      </c>
      <c r="I2133" s="1521">
        <v>0</v>
      </c>
      <c r="J2133" s="1538">
        <v>0</v>
      </c>
      <c r="K2133" s="1525"/>
      <c r="L2133" s="1519">
        <v>13261950500</v>
      </c>
      <c r="M2133" s="1520">
        <v>0</v>
      </c>
      <c r="N2133" s="1520">
        <v>0</v>
      </c>
      <c r="O2133" s="1521">
        <v>0</v>
      </c>
    </row>
    <row r="2134" spans="3:15" ht="13.5">
      <c r="C2134" s="1526" t="s">
        <v>6092</v>
      </c>
      <c r="D2134" s="1523">
        <v>0</v>
      </c>
      <c r="E2134" s="1523">
        <v>0</v>
      </c>
      <c r="F2134" s="1524">
        <v>0</v>
      </c>
      <c r="G2134" s="1537" t="s">
        <v>6092</v>
      </c>
      <c r="H2134" s="1521">
        <v>0</v>
      </c>
      <c r="I2134" s="1521">
        <v>0</v>
      </c>
      <c r="J2134" s="1538">
        <v>0</v>
      </c>
      <c r="K2134" s="1525"/>
      <c r="L2134" s="1519">
        <v>13261950600</v>
      </c>
      <c r="M2134" s="1520">
        <v>0</v>
      </c>
      <c r="N2134" s="1520">
        <v>0</v>
      </c>
      <c r="O2134" s="1521">
        <v>0</v>
      </c>
    </row>
    <row r="2135" spans="3:15" ht="13.5">
      <c r="C2135" s="1526" t="s">
        <v>6093</v>
      </c>
      <c r="D2135" s="1523">
        <v>0</v>
      </c>
      <c r="E2135" s="1523">
        <v>0</v>
      </c>
      <c r="F2135" s="1524">
        <v>0</v>
      </c>
      <c r="G2135" s="1537" t="s">
        <v>6093</v>
      </c>
      <c r="H2135" s="1521">
        <v>0</v>
      </c>
      <c r="I2135" s="1521">
        <v>1</v>
      </c>
      <c r="J2135" s="1538">
        <v>1</v>
      </c>
      <c r="K2135" s="1525"/>
      <c r="L2135" s="1519">
        <v>13261950700</v>
      </c>
      <c r="M2135" s="1520">
        <v>0</v>
      </c>
      <c r="N2135" s="1520">
        <v>1</v>
      </c>
      <c r="O2135" s="1521">
        <v>1</v>
      </c>
    </row>
    <row r="2136" spans="3:15" ht="13.5">
      <c r="C2136" s="1526" t="s">
        <v>6094</v>
      </c>
      <c r="D2136" s="1523">
        <v>0</v>
      </c>
      <c r="E2136" s="1523">
        <v>0</v>
      </c>
      <c r="F2136" s="1524">
        <v>0</v>
      </c>
      <c r="G2136" s="1537" t="s">
        <v>6094</v>
      </c>
      <c r="H2136" s="1521">
        <v>0</v>
      </c>
      <c r="I2136" s="1521">
        <v>1</v>
      </c>
      <c r="J2136" s="1538">
        <v>1</v>
      </c>
      <c r="K2136" s="1525"/>
      <c r="L2136" s="1519">
        <v>13261950800</v>
      </c>
      <c r="M2136" s="1520">
        <v>0</v>
      </c>
      <c r="N2136" s="1520">
        <v>1</v>
      </c>
      <c r="O2136" s="1521">
        <v>1</v>
      </c>
    </row>
    <row r="2137" spans="3:15" ht="13.5">
      <c r="C2137" s="1526" t="s">
        <v>6095</v>
      </c>
      <c r="D2137" s="1523">
        <v>1</v>
      </c>
      <c r="E2137" s="1523">
        <v>0</v>
      </c>
      <c r="F2137" s="1524">
        <v>1</v>
      </c>
      <c r="G2137" s="1537" t="s">
        <v>6095</v>
      </c>
      <c r="H2137" s="1521">
        <v>0</v>
      </c>
      <c r="I2137" s="1521" t="s">
        <v>4096</v>
      </c>
      <c r="J2137" s="1538">
        <v>0</v>
      </c>
      <c r="K2137" s="1525"/>
      <c r="L2137" s="1519">
        <v>13263960100</v>
      </c>
      <c r="M2137" s="1520">
        <v>1</v>
      </c>
      <c r="N2137" s="1520">
        <v>0</v>
      </c>
      <c r="O2137" s="1521">
        <v>1</v>
      </c>
    </row>
    <row r="2138" spans="3:15" ht="13.5">
      <c r="C2138" s="1526" t="s">
        <v>6096</v>
      </c>
      <c r="D2138" s="1523">
        <v>0</v>
      </c>
      <c r="E2138" s="1523">
        <v>0</v>
      </c>
      <c r="F2138" s="1524">
        <v>0</v>
      </c>
      <c r="G2138" s="1537" t="s">
        <v>6096</v>
      </c>
      <c r="H2138" s="1521">
        <v>0</v>
      </c>
      <c r="I2138" s="1521">
        <v>0</v>
      </c>
      <c r="J2138" s="1538">
        <v>0</v>
      </c>
      <c r="K2138" s="1525"/>
      <c r="L2138" s="1519">
        <v>13263960200</v>
      </c>
      <c r="M2138" s="1520">
        <v>0</v>
      </c>
      <c r="N2138" s="1520">
        <v>0</v>
      </c>
      <c r="O2138" s="1521">
        <v>0</v>
      </c>
    </row>
    <row r="2139" spans="3:15" ht="13.5">
      <c r="C2139" s="1526" t="s">
        <v>6097</v>
      </c>
      <c r="D2139" s="1523">
        <v>0</v>
      </c>
      <c r="E2139" s="1523">
        <v>0</v>
      </c>
      <c r="F2139" s="1524">
        <v>0</v>
      </c>
      <c r="G2139" s="1537" t="s">
        <v>6097</v>
      </c>
      <c r="H2139" s="1521">
        <v>0</v>
      </c>
      <c r="I2139" s="1521">
        <v>0</v>
      </c>
      <c r="J2139" s="1538">
        <v>0</v>
      </c>
      <c r="K2139" s="1525"/>
      <c r="L2139" s="1519">
        <v>13263960300</v>
      </c>
      <c r="M2139" s="1520">
        <v>0</v>
      </c>
      <c r="N2139" s="1520">
        <v>0</v>
      </c>
      <c r="O2139" s="1521">
        <v>0</v>
      </c>
    </row>
    <row r="2140" spans="3:15" ht="13.5">
      <c r="C2140" s="1526" t="s">
        <v>6098</v>
      </c>
      <c r="D2140" s="1523">
        <v>0</v>
      </c>
      <c r="E2140" s="1523">
        <v>0</v>
      </c>
      <c r="F2140" s="1524">
        <v>0</v>
      </c>
      <c r="G2140" s="1537" t="s">
        <v>6098</v>
      </c>
      <c r="H2140" s="1521">
        <v>0</v>
      </c>
      <c r="I2140" s="1521">
        <v>0</v>
      </c>
      <c r="J2140" s="1538">
        <v>0</v>
      </c>
      <c r="K2140" s="1525"/>
      <c r="L2140" s="1519">
        <v>13265010200</v>
      </c>
      <c r="M2140" s="1520">
        <v>0</v>
      </c>
      <c r="N2140" s="1520">
        <v>0</v>
      </c>
      <c r="O2140" s="1521">
        <v>0</v>
      </c>
    </row>
    <row r="2141" spans="3:15" ht="13.5">
      <c r="C2141" s="1526" t="s">
        <v>6099</v>
      </c>
      <c r="D2141" s="1523">
        <v>0</v>
      </c>
      <c r="E2141" s="1523">
        <v>0</v>
      </c>
      <c r="F2141" s="1524">
        <v>0</v>
      </c>
      <c r="G2141" s="1537" t="s">
        <v>6099</v>
      </c>
      <c r="H2141" s="1521">
        <v>0</v>
      </c>
      <c r="I2141" s="1521">
        <v>0</v>
      </c>
      <c r="J2141" s="1538">
        <v>0</v>
      </c>
      <c r="K2141" s="1525"/>
      <c r="L2141" s="1519">
        <v>13267950100</v>
      </c>
      <c r="M2141" s="1520">
        <v>0</v>
      </c>
      <c r="N2141" s="1520">
        <v>0</v>
      </c>
      <c r="O2141" s="1521">
        <v>0</v>
      </c>
    </row>
    <row r="2142" spans="3:15" ht="13.5">
      <c r="C2142" s="1526" t="s">
        <v>6100</v>
      </c>
      <c r="D2142" s="1523">
        <v>0</v>
      </c>
      <c r="E2142" s="1523">
        <v>0</v>
      </c>
      <c r="F2142" s="1524">
        <v>0</v>
      </c>
      <c r="G2142" s="1537" t="s">
        <v>6100</v>
      </c>
      <c r="H2142" s="1521">
        <v>0</v>
      </c>
      <c r="I2142" s="1521">
        <v>0</v>
      </c>
      <c r="J2142" s="1538">
        <v>0</v>
      </c>
      <c r="K2142" s="1525"/>
      <c r="L2142" s="1519">
        <v>13267950201</v>
      </c>
      <c r="M2142" s="1520">
        <v>0</v>
      </c>
      <c r="N2142" s="1520">
        <v>0</v>
      </c>
      <c r="O2142" s="1521">
        <v>0</v>
      </c>
    </row>
    <row r="2143" spans="3:15" ht="13.5">
      <c r="C2143" s="1526" t="s">
        <v>6101</v>
      </c>
      <c r="D2143" s="1523">
        <v>0</v>
      </c>
      <c r="E2143" s="1523">
        <v>0</v>
      </c>
      <c r="F2143" s="1524">
        <v>0</v>
      </c>
      <c r="G2143" s="1537" t="s">
        <v>6101</v>
      </c>
      <c r="H2143" s="1521">
        <v>0</v>
      </c>
      <c r="I2143" s="1521">
        <v>0</v>
      </c>
      <c r="J2143" s="1538">
        <v>0</v>
      </c>
      <c r="K2143" s="1525"/>
      <c r="L2143" s="1519">
        <v>13267950202</v>
      </c>
      <c r="M2143" s="1520">
        <v>0</v>
      </c>
      <c r="N2143" s="1520">
        <v>0</v>
      </c>
      <c r="O2143" s="1521">
        <v>0</v>
      </c>
    </row>
    <row r="2144" spans="3:15" ht="13.5">
      <c r="C2144" s="1526" t="s">
        <v>6102</v>
      </c>
      <c r="D2144" s="1523">
        <v>0</v>
      </c>
      <c r="E2144" s="1523">
        <v>0</v>
      </c>
      <c r="F2144" s="1524">
        <v>0</v>
      </c>
      <c r="G2144" s="1537" t="s">
        <v>6102</v>
      </c>
      <c r="H2144" s="1521">
        <v>0</v>
      </c>
      <c r="I2144" s="1521">
        <v>0</v>
      </c>
      <c r="J2144" s="1538">
        <v>0</v>
      </c>
      <c r="K2144" s="1525"/>
      <c r="L2144" s="1519">
        <v>13267950300</v>
      </c>
      <c r="M2144" s="1520">
        <v>0</v>
      </c>
      <c r="N2144" s="1520">
        <v>0</v>
      </c>
      <c r="O2144" s="1521">
        <v>0</v>
      </c>
    </row>
    <row r="2145" spans="3:15" ht="13.5">
      <c r="C2145" s="1526" t="s">
        <v>6103</v>
      </c>
      <c r="D2145" s="1523">
        <v>0</v>
      </c>
      <c r="E2145" s="1523">
        <v>0</v>
      </c>
      <c r="F2145" s="1524">
        <v>0</v>
      </c>
      <c r="G2145" s="1537" t="s">
        <v>6103</v>
      </c>
      <c r="H2145" s="1521">
        <v>0</v>
      </c>
      <c r="I2145" s="1521">
        <v>0</v>
      </c>
      <c r="J2145" s="1538">
        <v>0</v>
      </c>
      <c r="K2145" s="1525"/>
      <c r="L2145" s="1519">
        <v>13267950400</v>
      </c>
      <c r="M2145" s="1520">
        <v>0</v>
      </c>
      <c r="N2145" s="1520">
        <v>0</v>
      </c>
      <c r="O2145" s="1521">
        <v>0</v>
      </c>
    </row>
    <row r="2146" spans="3:15" ht="13.5">
      <c r="C2146" s="1526" t="s">
        <v>6104</v>
      </c>
      <c r="D2146" s="1523">
        <v>0</v>
      </c>
      <c r="E2146" s="1523">
        <v>0</v>
      </c>
      <c r="F2146" s="1524">
        <v>0</v>
      </c>
      <c r="G2146" s="1537" t="s">
        <v>6104</v>
      </c>
      <c r="H2146" s="1521">
        <v>0</v>
      </c>
      <c r="I2146" s="1521">
        <v>0</v>
      </c>
      <c r="J2146" s="1538">
        <v>0</v>
      </c>
      <c r="K2146" s="1525"/>
      <c r="L2146" s="1519">
        <v>13269950100</v>
      </c>
      <c r="M2146" s="1520">
        <v>0</v>
      </c>
      <c r="N2146" s="1520">
        <v>0</v>
      </c>
      <c r="O2146" s="1521">
        <v>0</v>
      </c>
    </row>
    <row r="2147" spans="3:15" ht="13.5">
      <c r="C2147" s="1526" t="s">
        <v>6105</v>
      </c>
      <c r="D2147" s="1523">
        <v>0</v>
      </c>
      <c r="E2147" s="1523">
        <v>0</v>
      </c>
      <c r="F2147" s="1524">
        <v>0</v>
      </c>
      <c r="G2147" s="1537" t="s">
        <v>6105</v>
      </c>
      <c r="H2147" s="1521">
        <v>0</v>
      </c>
      <c r="I2147" s="1521">
        <v>0</v>
      </c>
      <c r="J2147" s="1538">
        <v>0</v>
      </c>
      <c r="K2147" s="1525"/>
      <c r="L2147" s="1519">
        <v>13269950200</v>
      </c>
      <c r="M2147" s="1520">
        <v>0</v>
      </c>
      <c r="N2147" s="1520">
        <v>0</v>
      </c>
      <c r="O2147" s="1521">
        <v>0</v>
      </c>
    </row>
    <row r="2148" spans="3:15" ht="13.5">
      <c r="C2148" s="1526" t="s">
        <v>6106</v>
      </c>
      <c r="D2148" s="1523">
        <v>0</v>
      </c>
      <c r="E2148" s="1523">
        <v>0</v>
      </c>
      <c r="F2148" s="1524">
        <v>0</v>
      </c>
      <c r="G2148" s="1537" t="s">
        <v>6106</v>
      </c>
      <c r="H2148" s="1521">
        <v>0</v>
      </c>
      <c r="I2148" s="1521">
        <v>0</v>
      </c>
      <c r="J2148" s="1538">
        <v>0</v>
      </c>
      <c r="K2148" s="1525"/>
      <c r="L2148" s="1519">
        <v>13269950300</v>
      </c>
      <c r="M2148" s="1520">
        <v>0</v>
      </c>
      <c r="N2148" s="1520">
        <v>0</v>
      </c>
      <c r="O2148" s="1521">
        <v>0</v>
      </c>
    </row>
    <row r="2149" spans="3:15" ht="13.5">
      <c r="C2149" s="1526" t="s">
        <v>6107</v>
      </c>
      <c r="D2149" s="1523">
        <v>0</v>
      </c>
      <c r="E2149" s="1523">
        <v>0</v>
      </c>
      <c r="F2149" s="1524">
        <v>0</v>
      </c>
      <c r="G2149" s="1537" t="s">
        <v>6107</v>
      </c>
      <c r="H2149" s="1521">
        <v>0</v>
      </c>
      <c r="I2149" s="1521">
        <v>1</v>
      </c>
      <c r="J2149" s="1538">
        <v>1</v>
      </c>
      <c r="K2149" s="1525"/>
      <c r="L2149" s="1519">
        <v>13271950100</v>
      </c>
      <c r="M2149" s="1520">
        <v>0</v>
      </c>
      <c r="N2149" s="1520">
        <v>1</v>
      </c>
      <c r="O2149" s="1521">
        <v>1</v>
      </c>
    </row>
    <row r="2150" spans="3:15" ht="13.5">
      <c r="C2150" s="1526" t="s">
        <v>6108</v>
      </c>
      <c r="D2150" s="1523">
        <v>0</v>
      </c>
      <c r="E2150" s="1523">
        <v>0</v>
      </c>
      <c r="F2150" s="1524">
        <v>0</v>
      </c>
      <c r="G2150" s="1537" t="s">
        <v>6108</v>
      </c>
      <c r="H2150" s="1521">
        <v>0</v>
      </c>
      <c r="I2150" s="1521">
        <v>1</v>
      </c>
      <c r="J2150" s="1538">
        <v>1</v>
      </c>
      <c r="K2150" s="1525"/>
      <c r="L2150" s="1519">
        <v>13271950200</v>
      </c>
      <c r="M2150" s="1520">
        <v>0</v>
      </c>
      <c r="N2150" s="1520">
        <v>1</v>
      </c>
      <c r="O2150" s="1521">
        <v>1</v>
      </c>
    </row>
    <row r="2151" spans="3:15" ht="13.5">
      <c r="C2151" s="1526" t="s">
        <v>6109</v>
      </c>
      <c r="D2151" s="1523">
        <v>0</v>
      </c>
      <c r="E2151" s="1523">
        <v>0</v>
      </c>
      <c r="F2151" s="1524">
        <v>0</v>
      </c>
      <c r="G2151" s="1537" t="s">
        <v>6109</v>
      </c>
      <c r="H2151" s="1521">
        <v>0</v>
      </c>
      <c r="I2151" s="1521">
        <v>0</v>
      </c>
      <c r="J2151" s="1538">
        <v>0</v>
      </c>
      <c r="K2151" s="1525"/>
      <c r="L2151" s="1519">
        <v>13271950500</v>
      </c>
      <c r="M2151" s="1520">
        <v>0</v>
      </c>
      <c r="N2151" s="1520">
        <v>0</v>
      </c>
      <c r="O2151" s="1521">
        <v>0</v>
      </c>
    </row>
    <row r="2152" spans="3:15" ht="13.5">
      <c r="C2152" s="1526" t="s">
        <v>6110</v>
      </c>
      <c r="D2152" s="1523">
        <v>0</v>
      </c>
      <c r="E2152" s="1523">
        <v>0</v>
      </c>
      <c r="F2152" s="1524">
        <v>0</v>
      </c>
      <c r="G2152" s="1537" t="s">
        <v>6110</v>
      </c>
      <c r="H2152" s="1521">
        <v>0</v>
      </c>
      <c r="I2152" s="1521">
        <v>0</v>
      </c>
      <c r="J2152" s="1538">
        <v>0</v>
      </c>
      <c r="K2152" s="1525"/>
      <c r="L2152" s="1519">
        <v>13273120200</v>
      </c>
      <c r="M2152" s="1520">
        <v>0</v>
      </c>
      <c r="N2152" s="1520">
        <v>0</v>
      </c>
      <c r="O2152" s="1521">
        <v>0</v>
      </c>
    </row>
    <row r="2153" spans="3:15" ht="13.5">
      <c r="C2153" s="1526" t="s">
        <v>6111</v>
      </c>
      <c r="D2153" s="1523">
        <v>0</v>
      </c>
      <c r="E2153" s="1523">
        <v>0</v>
      </c>
      <c r="F2153" s="1524">
        <v>0</v>
      </c>
      <c r="G2153" s="1537" t="s">
        <v>6111</v>
      </c>
      <c r="H2153" s="1521">
        <v>0</v>
      </c>
      <c r="I2153" s="1521">
        <v>0</v>
      </c>
      <c r="J2153" s="1538">
        <v>0</v>
      </c>
      <c r="K2153" s="1525"/>
      <c r="L2153" s="1519">
        <v>13273120300</v>
      </c>
      <c r="M2153" s="1520">
        <v>0</v>
      </c>
      <c r="N2153" s="1520">
        <v>0</v>
      </c>
      <c r="O2153" s="1521">
        <v>0</v>
      </c>
    </row>
    <row r="2154" spans="3:15" ht="13.5">
      <c r="C2154" s="1526" t="s">
        <v>6112</v>
      </c>
      <c r="D2154" s="1523">
        <v>0</v>
      </c>
      <c r="E2154" s="1523">
        <v>0</v>
      </c>
      <c r="F2154" s="1524">
        <v>0</v>
      </c>
      <c r="G2154" s="1537" t="s">
        <v>6112</v>
      </c>
      <c r="H2154" s="1521">
        <v>0</v>
      </c>
      <c r="I2154" s="1521">
        <v>0</v>
      </c>
      <c r="J2154" s="1538">
        <v>0</v>
      </c>
      <c r="K2154" s="1525"/>
      <c r="L2154" s="1519">
        <v>13273120400</v>
      </c>
      <c r="M2154" s="1520">
        <v>0</v>
      </c>
      <c r="N2154" s="1520">
        <v>0</v>
      </c>
      <c r="O2154" s="1521">
        <v>0</v>
      </c>
    </row>
    <row r="2155" spans="3:15" ht="13.5">
      <c r="C2155" s="1526" t="s">
        <v>6113</v>
      </c>
      <c r="D2155" s="1523">
        <v>0</v>
      </c>
      <c r="E2155" s="1523">
        <v>0</v>
      </c>
      <c r="F2155" s="1524">
        <v>0</v>
      </c>
      <c r="G2155" s="1537" t="s">
        <v>6113</v>
      </c>
      <c r="H2155" s="1521">
        <v>0</v>
      </c>
      <c r="I2155" s="1521">
        <v>0</v>
      </c>
      <c r="J2155" s="1538">
        <v>0</v>
      </c>
      <c r="K2155" s="1525"/>
      <c r="L2155" s="1519">
        <v>13273120500</v>
      </c>
      <c r="M2155" s="1520">
        <v>0</v>
      </c>
      <c r="N2155" s="1520">
        <v>0</v>
      </c>
      <c r="O2155" s="1521">
        <v>0</v>
      </c>
    </row>
    <row r="2156" spans="3:15" ht="13.5">
      <c r="C2156" s="1526" t="s">
        <v>6114</v>
      </c>
      <c r="D2156" s="1523">
        <v>0</v>
      </c>
      <c r="E2156" s="1523">
        <v>0</v>
      </c>
      <c r="F2156" s="1524">
        <v>0</v>
      </c>
      <c r="G2156" s="1537" t="s">
        <v>6114</v>
      </c>
      <c r="H2156" s="1521">
        <v>0</v>
      </c>
      <c r="I2156" s="1521">
        <v>0</v>
      </c>
      <c r="J2156" s="1538">
        <v>0</v>
      </c>
      <c r="K2156" s="1525"/>
      <c r="L2156" s="1519">
        <v>13275960100</v>
      </c>
      <c r="M2156" s="1520">
        <v>0</v>
      </c>
      <c r="N2156" s="1520">
        <v>0</v>
      </c>
      <c r="O2156" s="1521">
        <v>0</v>
      </c>
    </row>
    <row r="2157" spans="3:15" ht="13.5">
      <c r="C2157" s="1526" t="s">
        <v>6115</v>
      </c>
      <c r="D2157" s="1523">
        <v>0</v>
      </c>
      <c r="E2157" s="1523">
        <v>0</v>
      </c>
      <c r="F2157" s="1524">
        <v>0</v>
      </c>
      <c r="G2157" s="1537" t="s">
        <v>6115</v>
      </c>
      <c r="H2157" s="1521">
        <v>0</v>
      </c>
      <c r="I2157" s="1521">
        <v>0</v>
      </c>
      <c r="J2157" s="1538">
        <v>0</v>
      </c>
      <c r="K2157" s="1525"/>
      <c r="L2157" s="1519">
        <v>13275960200</v>
      </c>
      <c r="M2157" s="1520">
        <v>0</v>
      </c>
      <c r="N2157" s="1520">
        <v>0</v>
      </c>
      <c r="O2157" s="1521">
        <v>0</v>
      </c>
    </row>
    <row r="2158" spans="3:15" ht="13.5">
      <c r="C2158" s="1526" t="s">
        <v>6116</v>
      </c>
      <c r="D2158" s="1523">
        <v>0</v>
      </c>
      <c r="E2158" s="1523">
        <v>0</v>
      </c>
      <c r="F2158" s="1524">
        <v>0</v>
      </c>
      <c r="G2158" s="1537" t="s">
        <v>6116</v>
      </c>
      <c r="H2158" s="1521">
        <v>0</v>
      </c>
      <c r="I2158" s="1521">
        <v>0</v>
      </c>
      <c r="J2158" s="1538">
        <v>0</v>
      </c>
      <c r="K2158" s="1525"/>
      <c r="L2158" s="1519">
        <v>13275960300</v>
      </c>
      <c r="M2158" s="1520">
        <v>0</v>
      </c>
      <c r="N2158" s="1520">
        <v>0</v>
      </c>
      <c r="O2158" s="1521">
        <v>0</v>
      </c>
    </row>
    <row r="2159" spans="3:15" ht="13.5">
      <c r="C2159" s="1526" t="s">
        <v>6117</v>
      </c>
      <c r="D2159" s="1523">
        <v>0</v>
      </c>
      <c r="E2159" s="1523">
        <v>0</v>
      </c>
      <c r="F2159" s="1524">
        <v>0</v>
      </c>
      <c r="G2159" s="1537" t="s">
        <v>6117</v>
      </c>
      <c r="H2159" s="1521">
        <v>0</v>
      </c>
      <c r="I2159" s="1521">
        <v>0</v>
      </c>
      <c r="J2159" s="1538">
        <v>0</v>
      </c>
      <c r="K2159" s="1525"/>
      <c r="L2159" s="1519">
        <v>13275960400</v>
      </c>
      <c r="M2159" s="1520">
        <v>0</v>
      </c>
      <c r="N2159" s="1520">
        <v>0</v>
      </c>
      <c r="O2159" s="1521">
        <v>0</v>
      </c>
    </row>
    <row r="2160" spans="3:15" ht="13.5">
      <c r="C2160" s="1526" t="s">
        <v>6118</v>
      </c>
      <c r="D2160" s="1523">
        <v>0</v>
      </c>
      <c r="E2160" s="1523">
        <v>0</v>
      </c>
      <c r="F2160" s="1524">
        <v>0</v>
      </c>
      <c r="G2160" s="1537" t="s">
        <v>6118</v>
      </c>
      <c r="H2160" s="1521">
        <v>0</v>
      </c>
      <c r="I2160" s="1521">
        <v>0</v>
      </c>
      <c r="J2160" s="1538">
        <v>0</v>
      </c>
      <c r="K2160" s="1525"/>
      <c r="L2160" s="1519">
        <v>13275960500</v>
      </c>
      <c r="M2160" s="1520">
        <v>0</v>
      </c>
      <c r="N2160" s="1520">
        <v>0</v>
      </c>
      <c r="O2160" s="1521">
        <v>0</v>
      </c>
    </row>
    <row r="2161" spans="3:15" ht="13.5">
      <c r="C2161" s="1526" t="s">
        <v>6119</v>
      </c>
      <c r="D2161" s="1523">
        <v>1</v>
      </c>
      <c r="E2161" s="1523">
        <v>0</v>
      </c>
      <c r="F2161" s="1524">
        <v>1</v>
      </c>
      <c r="G2161" s="1537" t="s">
        <v>6119</v>
      </c>
      <c r="H2161" s="1521">
        <v>0</v>
      </c>
      <c r="I2161" s="1521">
        <v>0</v>
      </c>
      <c r="J2161" s="1538">
        <v>0</v>
      </c>
      <c r="K2161" s="1525"/>
      <c r="L2161" s="1519">
        <v>13275960600</v>
      </c>
      <c r="M2161" s="1520">
        <v>1</v>
      </c>
      <c r="N2161" s="1520">
        <v>0</v>
      </c>
      <c r="O2161" s="1521">
        <v>1</v>
      </c>
    </row>
    <row r="2162" spans="3:15" ht="13.5">
      <c r="C2162" s="1526" t="s">
        <v>6120</v>
      </c>
      <c r="D2162" s="1523">
        <v>0</v>
      </c>
      <c r="E2162" s="1523">
        <v>0</v>
      </c>
      <c r="F2162" s="1524">
        <v>0</v>
      </c>
      <c r="G2162" s="1537" t="s">
        <v>6120</v>
      </c>
      <c r="H2162" s="1521">
        <v>0</v>
      </c>
      <c r="I2162" s="1521">
        <v>0</v>
      </c>
      <c r="J2162" s="1538">
        <v>0</v>
      </c>
      <c r="K2162" s="1525"/>
      <c r="L2162" s="1519">
        <v>13275960700</v>
      </c>
      <c r="M2162" s="1520">
        <v>0</v>
      </c>
      <c r="N2162" s="1520">
        <v>0</v>
      </c>
      <c r="O2162" s="1521">
        <v>0</v>
      </c>
    </row>
    <row r="2163" spans="3:15" ht="13.5">
      <c r="C2163" s="1526" t="s">
        <v>6121</v>
      </c>
      <c r="D2163" s="1523">
        <v>0</v>
      </c>
      <c r="E2163" s="1523">
        <v>0</v>
      </c>
      <c r="F2163" s="1524">
        <v>0</v>
      </c>
      <c r="G2163" s="1537" t="s">
        <v>6121</v>
      </c>
      <c r="H2163" s="1521">
        <v>0</v>
      </c>
      <c r="I2163" s="1521">
        <v>0</v>
      </c>
      <c r="J2163" s="1538">
        <v>0</v>
      </c>
      <c r="K2163" s="1525"/>
      <c r="L2163" s="1519">
        <v>13275960800</v>
      </c>
      <c r="M2163" s="1520">
        <v>0</v>
      </c>
      <c r="N2163" s="1520">
        <v>0</v>
      </c>
      <c r="O2163" s="1521">
        <v>0</v>
      </c>
    </row>
    <row r="2164" spans="3:15" ht="13.5">
      <c r="C2164" s="1526" t="s">
        <v>6122</v>
      </c>
      <c r="D2164" s="1523">
        <v>0</v>
      </c>
      <c r="E2164" s="1523">
        <v>0</v>
      </c>
      <c r="F2164" s="1524">
        <v>0</v>
      </c>
      <c r="G2164" s="1537" t="s">
        <v>6122</v>
      </c>
      <c r="H2164" s="1521">
        <v>0</v>
      </c>
      <c r="I2164" s="1521">
        <v>0</v>
      </c>
      <c r="J2164" s="1538">
        <v>0</v>
      </c>
      <c r="K2164" s="1525"/>
      <c r="L2164" s="1519">
        <v>13275960900</v>
      </c>
      <c r="M2164" s="1520">
        <v>0</v>
      </c>
      <c r="N2164" s="1520">
        <v>0</v>
      </c>
      <c r="O2164" s="1521">
        <v>0</v>
      </c>
    </row>
    <row r="2165" spans="3:15" ht="13.5">
      <c r="C2165" s="1526" t="s">
        <v>6123</v>
      </c>
      <c r="D2165" s="1523">
        <v>0</v>
      </c>
      <c r="E2165" s="1523">
        <v>0</v>
      </c>
      <c r="F2165" s="1524">
        <v>0</v>
      </c>
      <c r="G2165" s="1537" t="s">
        <v>6123</v>
      </c>
      <c r="H2165" s="1521">
        <v>1</v>
      </c>
      <c r="I2165" s="1521">
        <v>1</v>
      </c>
      <c r="J2165" s="1538">
        <v>2</v>
      </c>
      <c r="K2165" s="1525"/>
      <c r="L2165" s="1519">
        <v>13275961000</v>
      </c>
      <c r="M2165" s="1520">
        <v>1</v>
      </c>
      <c r="N2165" s="1520">
        <v>1</v>
      </c>
      <c r="O2165" s="1521">
        <v>2</v>
      </c>
    </row>
    <row r="2166" spans="3:15" ht="13.5">
      <c r="C2166" s="1526" t="s">
        <v>6124</v>
      </c>
      <c r="D2166" s="1523">
        <v>0</v>
      </c>
      <c r="E2166" s="1523">
        <v>0</v>
      </c>
      <c r="F2166" s="1524">
        <v>0</v>
      </c>
      <c r="G2166" s="1537" t="s">
        <v>6124</v>
      </c>
      <c r="H2166" s="1521">
        <v>0</v>
      </c>
      <c r="I2166" s="1521">
        <v>1</v>
      </c>
      <c r="J2166" s="1538">
        <v>1</v>
      </c>
      <c r="K2166" s="1525"/>
      <c r="L2166" s="1519">
        <v>13275961100</v>
      </c>
      <c r="M2166" s="1520">
        <v>0</v>
      </c>
      <c r="N2166" s="1520">
        <v>1</v>
      </c>
      <c r="O2166" s="1521">
        <v>1</v>
      </c>
    </row>
    <row r="2167" spans="3:15" ht="13.5">
      <c r="C2167" s="1526" t="s">
        <v>6125</v>
      </c>
      <c r="D2167" s="1523">
        <v>1</v>
      </c>
      <c r="E2167" s="1523">
        <v>1</v>
      </c>
      <c r="F2167" s="1524">
        <v>2</v>
      </c>
      <c r="G2167" s="1537" t="s">
        <v>6125</v>
      </c>
      <c r="H2167" s="1521">
        <v>1</v>
      </c>
      <c r="I2167" s="1521">
        <v>0</v>
      </c>
      <c r="J2167" s="1538">
        <v>1</v>
      </c>
      <c r="K2167" s="1525"/>
      <c r="L2167" s="1519">
        <v>13277960100</v>
      </c>
      <c r="M2167" s="1520">
        <v>1</v>
      </c>
      <c r="N2167" s="1520">
        <v>1</v>
      </c>
      <c r="O2167" s="1521">
        <v>2</v>
      </c>
    </row>
    <row r="2168" spans="3:15" ht="13.5">
      <c r="C2168" s="1526" t="s">
        <v>6126</v>
      </c>
      <c r="D2168" s="1523">
        <v>1</v>
      </c>
      <c r="E2168" s="1523">
        <v>0</v>
      </c>
      <c r="F2168" s="1524">
        <v>1</v>
      </c>
      <c r="G2168" s="1537" t="s">
        <v>6126</v>
      </c>
      <c r="H2168" s="1521">
        <v>0</v>
      </c>
      <c r="I2168" s="1521">
        <v>0</v>
      </c>
      <c r="J2168" s="1538">
        <v>0</v>
      </c>
      <c r="K2168" s="1525"/>
      <c r="L2168" s="1519">
        <v>13277960200</v>
      </c>
      <c r="M2168" s="1520">
        <v>1</v>
      </c>
      <c r="N2168" s="1520">
        <v>0</v>
      </c>
      <c r="O2168" s="1521">
        <v>1</v>
      </c>
    </row>
    <row r="2169" spans="3:15" ht="13.5">
      <c r="C2169" s="1526" t="s">
        <v>6127</v>
      </c>
      <c r="D2169" s="1523">
        <v>0</v>
      </c>
      <c r="E2169" s="1523">
        <v>0</v>
      </c>
      <c r="F2169" s="1524">
        <v>0</v>
      </c>
      <c r="G2169" s="1537" t="s">
        <v>6127</v>
      </c>
      <c r="H2169" s="1521">
        <v>1</v>
      </c>
      <c r="I2169" s="1521">
        <v>0</v>
      </c>
      <c r="J2169" s="1538">
        <v>1</v>
      </c>
      <c r="K2169" s="1525"/>
      <c r="L2169" s="1519">
        <v>13277960300</v>
      </c>
      <c r="M2169" s="1520">
        <v>1</v>
      </c>
      <c r="N2169" s="1520">
        <v>0</v>
      </c>
      <c r="O2169" s="1521">
        <v>1</v>
      </c>
    </row>
    <row r="2170" spans="3:15" ht="13.5">
      <c r="C2170" s="1526" t="s">
        <v>6128</v>
      </c>
      <c r="D2170" s="1523">
        <v>0</v>
      </c>
      <c r="E2170" s="1523">
        <v>0</v>
      </c>
      <c r="F2170" s="1524">
        <v>0</v>
      </c>
      <c r="G2170" s="1537" t="s">
        <v>6128</v>
      </c>
      <c r="H2170" s="1521">
        <v>0</v>
      </c>
      <c r="I2170" s="1521">
        <v>0</v>
      </c>
      <c r="J2170" s="1538">
        <v>0</v>
      </c>
      <c r="K2170" s="1525"/>
      <c r="L2170" s="1519">
        <v>13277960400</v>
      </c>
      <c r="M2170" s="1520">
        <v>0</v>
      </c>
      <c r="N2170" s="1520">
        <v>0</v>
      </c>
      <c r="O2170" s="1521">
        <v>0</v>
      </c>
    </row>
    <row r="2171" spans="3:15" ht="13.5">
      <c r="C2171" s="1526" t="s">
        <v>6129</v>
      </c>
      <c r="D2171" s="1523">
        <v>1</v>
      </c>
      <c r="E2171" s="1523">
        <v>0</v>
      </c>
      <c r="F2171" s="1524">
        <v>1</v>
      </c>
      <c r="G2171" s="1537" t="s">
        <v>6129</v>
      </c>
      <c r="H2171" s="1521">
        <v>1</v>
      </c>
      <c r="I2171" s="1521">
        <v>1</v>
      </c>
      <c r="J2171" s="1538">
        <v>2</v>
      </c>
      <c r="K2171" s="1525"/>
      <c r="L2171" s="1519">
        <v>13277960500</v>
      </c>
      <c r="M2171" s="1520">
        <v>1</v>
      </c>
      <c r="N2171" s="1520">
        <v>1</v>
      </c>
      <c r="O2171" s="1521">
        <v>2</v>
      </c>
    </row>
    <row r="2172" spans="3:15" ht="13.5">
      <c r="C2172" s="1526" t="s">
        <v>6130</v>
      </c>
      <c r="D2172" s="1523">
        <v>0</v>
      </c>
      <c r="E2172" s="1523">
        <v>0</v>
      </c>
      <c r="F2172" s="1524">
        <v>0</v>
      </c>
      <c r="G2172" s="1537" t="s">
        <v>6130</v>
      </c>
      <c r="H2172" s="1521">
        <v>0</v>
      </c>
      <c r="I2172" s="1521">
        <v>0</v>
      </c>
      <c r="J2172" s="1538">
        <v>0</v>
      </c>
      <c r="K2172" s="1525"/>
      <c r="L2172" s="1519">
        <v>13277960600</v>
      </c>
      <c r="M2172" s="1520">
        <v>0</v>
      </c>
      <c r="N2172" s="1520">
        <v>0</v>
      </c>
      <c r="O2172" s="1521">
        <v>0</v>
      </c>
    </row>
    <row r="2173" spans="3:15" ht="13.5">
      <c r="C2173" s="1526" t="s">
        <v>6131</v>
      </c>
      <c r="D2173" s="1523">
        <v>0</v>
      </c>
      <c r="E2173" s="1523">
        <v>0</v>
      </c>
      <c r="F2173" s="1524">
        <v>0</v>
      </c>
      <c r="G2173" s="1537" t="s">
        <v>6131</v>
      </c>
      <c r="H2173" s="1521">
        <v>0</v>
      </c>
      <c r="I2173" s="1521">
        <v>0</v>
      </c>
      <c r="J2173" s="1538">
        <v>0</v>
      </c>
      <c r="K2173" s="1525"/>
      <c r="L2173" s="1519">
        <v>13277960700</v>
      </c>
      <c r="M2173" s="1520">
        <v>0</v>
      </c>
      <c r="N2173" s="1520">
        <v>0</v>
      </c>
      <c r="O2173" s="1521">
        <v>0</v>
      </c>
    </row>
    <row r="2174" spans="3:15" ht="13.5">
      <c r="C2174" s="1526" t="s">
        <v>6132</v>
      </c>
      <c r="D2174" s="1523">
        <v>0</v>
      </c>
      <c r="E2174" s="1523">
        <v>0</v>
      </c>
      <c r="F2174" s="1524">
        <v>0</v>
      </c>
      <c r="G2174" s="1537" t="s">
        <v>6132</v>
      </c>
      <c r="H2174" s="1521">
        <v>0</v>
      </c>
      <c r="I2174" s="1521">
        <v>0</v>
      </c>
      <c r="J2174" s="1538">
        <v>0</v>
      </c>
      <c r="K2174" s="1525"/>
      <c r="L2174" s="1519">
        <v>13277960800</v>
      </c>
      <c r="M2174" s="1520">
        <v>0</v>
      </c>
      <c r="N2174" s="1520">
        <v>0</v>
      </c>
      <c r="O2174" s="1521">
        <v>0</v>
      </c>
    </row>
    <row r="2175" spans="3:15" ht="13.5">
      <c r="C2175" s="1526" t="s">
        <v>6133</v>
      </c>
      <c r="D2175" s="1523">
        <v>0</v>
      </c>
      <c r="E2175" s="1523">
        <v>0</v>
      </c>
      <c r="F2175" s="1524">
        <v>0</v>
      </c>
      <c r="G2175" s="1537" t="s">
        <v>6133</v>
      </c>
      <c r="H2175" s="1521">
        <v>0</v>
      </c>
      <c r="I2175" s="1521">
        <v>0</v>
      </c>
      <c r="J2175" s="1538">
        <v>0</v>
      </c>
      <c r="K2175" s="1525"/>
      <c r="L2175" s="1519">
        <v>13277960900</v>
      </c>
      <c r="M2175" s="1520">
        <v>0</v>
      </c>
      <c r="N2175" s="1520">
        <v>0</v>
      </c>
      <c r="O2175" s="1521">
        <v>0</v>
      </c>
    </row>
    <row r="2176" spans="3:15" ht="13.5">
      <c r="C2176" s="1526" t="s">
        <v>6134</v>
      </c>
      <c r="D2176" s="1523">
        <v>0</v>
      </c>
      <c r="E2176" s="1523">
        <v>0</v>
      </c>
      <c r="F2176" s="1524">
        <v>0</v>
      </c>
      <c r="G2176" s="1537" t="s">
        <v>6134</v>
      </c>
      <c r="H2176" s="1521">
        <v>0</v>
      </c>
      <c r="I2176" s="1521">
        <v>0</v>
      </c>
      <c r="J2176" s="1538">
        <v>0</v>
      </c>
      <c r="K2176" s="1525"/>
      <c r="L2176" s="1519">
        <v>13279970100</v>
      </c>
      <c r="M2176" s="1520">
        <v>0</v>
      </c>
      <c r="N2176" s="1520">
        <v>0</v>
      </c>
      <c r="O2176" s="1521">
        <v>0</v>
      </c>
    </row>
    <row r="2177" spans="3:15" ht="13.5">
      <c r="C2177" s="1526" t="s">
        <v>6135</v>
      </c>
      <c r="D2177" s="1523">
        <v>0</v>
      </c>
      <c r="E2177" s="1523">
        <v>0</v>
      </c>
      <c r="F2177" s="1524">
        <v>0</v>
      </c>
      <c r="G2177" s="1537" t="s">
        <v>6135</v>
      </c>
      <c r="H2177" s="1521">
        <v>0</v>
      </c>
      <c r="I2177" s="1521">
        <v>0</v>
      </c>
      <c r="J2177" s="1538">
        <v>0</v>
      </c>
      <c r="K2177" s="1525"/>
      <c r="L2177" s="1519">
        <v>13279970200</v>
      </c>
      <c r="M2177" s="1520">
        <v>0</v>
      </c>
      <c r="N2177" s="1520">
        <v>0</v>
      </c>
      <c r="O2177" s="1521">
        <v>0</v>
      </c>
    </row>
    <row r="2178" spans="3:15" ht="13.5">
      <c r="C2178" s="1526" t="s">
        <v>6136</v>
      </c>
      <c r="D2178" s="1523">
        <v>0</v>
      </c>
      <c r="E2178" s="1523">
        <v>0</v>
      </c>
      <c r="F2178" s="1524">
        <v>0</v>
      </c>
      <c r="G2178" s="1537" t="s">
        <v>6136</v>
      </c>
      <c r="H2178" s="1521">
        <v>0</v>
      </c>
      <c r="I2178" s="1521">
        <v>0</v>
      </c>
      <c r="J2178" s="1538">
        <v>0</v>
      </c>
      <c r="K2178" s="1525"/>
      <c r="L2178" s="1519">
        <v>13279970300</v>
      </c>
      <c r="M2178" s="1520">
        <v>0</v>
      </c>
      <c r="N2178" s="1520">
        <v>0</v>
      </c>
      <c r="O2178" s="1521">
        <v>0</v>
      </c>
    </row>
    <row r="2179" spans="3:15" ht="13.5">
      <c r="C2179" s="1526" t="s">
        <v>6137</v>
      </c>
      <c r="D2179" s="1523">
        <v>0</v>
      </c>
      <c r="E2179" s="1523">
        <v>0</v>
      </c>
      <c r="F2179" s="1524">
        <v>0</v>
      </c>
      <c r="G2179" s="1537" t="s">
        <v>6137</v>
      </c>
      <c r="H2179" s="1521">
        <v>0</v>
      </c>
      <c r="I2179" s="1521">
        <v>0</v>
      </c>
      <c r="J2179" s="1538">
        <v>0</v>
      </c>
      <c r="K2179" s="1525"/>
      <c r="L2179" s="1519">
        <v>13279970400</v>
      </c>
      <c r="M2179" s="1520">
        <v>0</v>
      </c>
      <c r="N2179" s="1520">
        <v>0</v>
      </c>
      <c r="O2179" s="1521">
        <v>0</v>
      </c>
    </row>
    <row r="2180" spans="3:15" ht="13.5">
      <c r="C2180" s="1526" t="s">
        <v>6138</v>
      </c>
      <c r="D2180" s="1523">
        <v>0</v>
      </c>
      <c r="E2180" s="1523">
        <v>0</v>
      </c>
      <c r="F2180" s="1524">
        <v>0</v>
      </c>
      <c r="G2180" s="1537" t="s">
        <v>6138</v>
      </c>
      <c r="H2180" s="1521">
        <v>0</v>
      </c>
      <c r="I2180" s="1521">
        <v>0</v>
      </c>
      <c r="J2180" s="1538">
        <v>0</v>
      </c>
      <c r="K2180" s="1525"/>
      <c r="L2180" s="1519">
        <v>13279970500</v>
      </c>
      <c r="M2180" s="1520">
        <v>0</v>
      </c>
      <c r="N2180" s="1520">
        <v>0</v>
      </c>
      <c r="O2180" s="1521">
        <v>0</v>
      </c>
    </row>
    <row r="2181" spans="3:15" ht="13.5">
      <c r="C2181" s="1526" t="s">
        <v>6139</v>
      </c>
      <c r="D2181" s="1523">
        <v>0</v>
      </c>
      <c r="E2181" s="1523">
        <v>0</v>
      </c>
      <c r="F2181" s="1524">
        <v>0</v>
      </c>
      <c r="G2181" s="1537" t="s">
        <v>6139</v>
      </c>
      <c r="H2181" s="1521">
        <v>0</v>
      </c>
      <c r="I2181" s="1521">
        <v>0</v>
      </c>
      <c r="J2181" s="1538">
        <v>0</v>
      </c>
      <c r="K2181" s="1525"/>
      <c r="L2181" s="1519">
        <v>13279970600</v>
      </c>
      <c r="M2181" s="1520">
        <v>0</v>
      </c>
      <c r="N2181" s="1520">
        <v>0</v>
      </c>
      <c r="O2181" s="1521">
        <v>0</v>
      </c>
    </row>
    <row r="2182" spans="3:15" ht="13.5">
      <c r="C2182" s="1526" t="s">
        <v>6140</v>
      </c>
      <c r="D2182" s="1523">
        <v>0</v>
      </c>
      <c r="E2182" s="1523">
        <v>0</v>
      </c>
      <c r="F2182" s="1524">
        <v>0</v>
      </c>
      <c r="G2182" s="1537" t="s">
        <v>6140</v>
      </c>
      <c r="H2182" s="1521">
        <v>0</v>
      </c>
      <c r="I2182" s="1521">
        <v>1</v>
      </c>
      <c r="J2182" s="1538">
        <v>1</v>
      </c>
      <c r="K2182" s="1525"/>
      <c r="L2182" s="1519">
        <v>13281960100</v>
      </c>
      <c r="M2182" s="1520">
        <v>0</v>
      </c>
      <c r="N2182" s="1520">
        <v>1</v>
      </c>
      <c r="O2182" s="1521">
        <v>1</v>
      </c>
    </row>
    <row r="2183" spans="3:15" ht="13.5">
      <c r="C2183" s="1526" t="s">
        <v>6141</v>
      </c>
      <c r="D2183" s="1523">
        <v>1</v>
      </c>
      <c r="E2183" s="1523">
        <v>1</v>
      </c>
      <c r="F2183" s="1524">
        <v>2</v>
      </c>
      <c r="G2183" s="1537" t="s">
        <v>6141</v>
      </c>
      <c r="H2183" s="1521">
        <v>0</v>
      </c>
      <c r="I2183" s="1521">
        <v>1</v>
      </c>
      <c r="J2183" s="1538">
        <v>1</v>
      </c>
      <c r="K2183" s="1525"/>
      <c r="L2183" s="1519">
        <v>13281960200</v>
      </c>
      <c r="M2183" s="1520">
        <v>1</v>
      </c>
      <c r="N2183" s="1520">
        <v>1</v>
      </c>
      <c r="O2183" s="1521">
        <v>2</v>
      </c>
    </row>
    <row r="2184" spans="3:15" ht="13.5">
      <c r="C2184" s="1526" t="s">
        <v>6142</v>
      </c>
      <c r="D2184" s="1523">
        <v>0</v>
      </c>
      <c r="E2184" s="1523">
        <v>0</v>
      </c>
      <c r="F2184" s="1524">
        <v>0</v>
      </c>
      <c r="G2184" s="1537" t="s">
        <v>6142</v>
      </c>
      <c r="H2184" s="1521">
        <v>0</v>
      </c>
      <c r="I2184" s="1521">
        <v>0</v>
      </c>
      <c r="J2184" s="1538">
        <v>0</v>
      </c>
      <c r="K2184" s="1525"/>
      <c r="L2184" s="1519">
        <v>13281960300</v>
      </c>
      <c r="M2184" s="1520">
        <v>0</v>
      </c>
      <c r="N2184" s="1520">
        <v>0</v>
      </c>
      <c r="O2184" s="1521">
        <v>0</v>
      </c>
    </row>
    <row r="2185" spans="3:15" ht="13.5">
      <c r="C2185" s="1526" t="s">
        <v>6143</v>
      </c>
      <c r="D2185" s="1523">
        <v>0</v>
      </c>
      <c r="E2185" s="1523">
        <v>0</v>
      </c>
      <c r="F2185" s="1524">
        <v>0</v>
      </c>
      <c r="G2185" s="1537" t="s">
        <v>6143</v>
      </c>
      <c r="H2185" s="1521">
        <v>0</v>
      </c>
      <c r="I2185" s="1521">
        <v>0</v>
      </c>
      <c r="J2185" s="1538">
        <v>0</v>
      </c>
      <c r="K2185" s="1525"/>
      <c r="L2185" s="1519">
        <v>13283960100</v>
      </c>
      <c r="M2185" s="1520">
        <v>0</v>
      </c>
      <c r="N2185" s="1520">
        <v>0</v>
      </c>
      <c r="O2185" s="1521">
        <v>0</v>
      </c>
    </row>
    <row r="2186" spans="3:15" ht="13.5">
      <c r="C2186" s="1526" t="s">
        <v>6144</v>
      </c>
      <c r="D2186" s="1523">
        <v>0</v>
      </c>
      <c r="E2186" s="1523">
        <v>0</v>
      </c>
      <c r="F2186" s="1524">
        <v>0</v>
      </c>
      <c r="G2186" s="1537" t="s">
        <v>6144</v>
      </c>
      <c r="H2186" s="1521">
        <v>0</v>
      </c>
      <c r="I2186" s="1521">
        <v>0</v>
      </c>
      <c r="J2186" s="1538">
        <v>0</v>
      </c>
      <c r="K2186" s="1525"/>
      <c r="L2186" s="1519">
        <v>13283960200</v>
      </c>
      <c r="M2186" s="1520">
        <v>0</v>
      </c>
      <c r="N2186" s="1520">
        <v>0</v>
      </c>
      <c r="O2186" s="1521">
        <v>0</v>
      </c>
    </row>
    <row r="2187" spans="3:15" ht="13.5">
      <c r="C2187" s="1526" t="s">
        <v>6145</v>
      </c>
      <c r="D2187" s="1523">
        <v>0</v>
      </c>
      <c r="E2187" s="1523">
        <v>0</v>
      </c>
      <c r="F2187" s="1524">
        <v>0</v>
      </c>
      <c r="G2187" s="1537" t="s">
        <v>6145</v>
      </c>
      <c r="H2187" s="1521">
        <v>0</v>
      </c>
      <c r="I2187" s="1521">
        <v>0</v>
      </c>
      <c r="J2187" s="1538">
        <v>0</v>
      </c>
      <c r="K2187" s="1525"/>
      <c r="L2187" s="1519">
        <v>13285960100</v>
      </c>
      <c r="M2187" s="1520">
        <v>0</v>
      </c>
      <c r="N2187" s="1520">
        <v>0</v>
      </c>
      <c r="O2187" s="1521">
        <v>0</v>
      </c>
    </row>
    <row r="2188" spans="3:15" ht="13.5">
      <c r="C2188" s="1526" t="s">
        <v>6146</v>
      </c>
      <c r="D2188" s="1523">
        <v>1</v>
      </c>
      <c r="E2188" s="1523">
        <v>1</v>
      </c>
      <c r="F2188" s="1524">
        <v>2</v>
      </c>
      <c r="G2188" s="1537" t="s">
        <v>6146</v>
      </c>
      <c r="H2188" s="1521">
        <v>1</v>
      </c>
      <c r="I2188" s="1521">
        <v>1</v>
      </c>
      <c r="J2188" s="1538">
        <v>2</v>
      </c>
      <c r="K2188" s="1525"/>
      <c r="L2188" s="1519">
        <v>13285960201</v>
      </c>
      <c r="M2188" s="1520">
        <v>1</v>
      </c>
      <c r="N2188" s="1520">
        <v>1</v>
      </c>
      <c r="O2188" s="1521">
        <v>2</v>
      </c>
    </row>
    <row r="2189" spans="3:15" ht="13.5">
      <c r="C2189" s="1526" t="s">
        <v>6147</v>
      </c>
      <c r="D2189" s="1523">
        <v>1</v>
      </c>
      <c r="E2189" s="1523">
        <v>1</v>
      </c>
      <c r="F2189" s="1524">
        <v>2</v>
      </c>
      <c r="G2189" s="1537" t="s">
        <v>6147</v>
      </c>
      <c r="H2189" s="1521">
        <v>1</v>
      </c>
      <c r="I2189" s="1521">
        <v>1</v>
      </c>
      <c r="J2189" s="1538">
        <v>2</v>
      </c>
      <c r="K2189" s="1525"/>
      <c r="L2189" s="1519">
        <v>13285960202</v>
      </c>
      <c r="M2189" s="1520">
        <v>1</v>
      </c>
      <c r="N2189" s="1520">
        <v>1</v>
      </c>
      <c r="O2189" s="1521">
        <v>2</v>
      </c>
    </row>
    <row r="2190" spans="3:15" ht="13.5">
      <c r="C2190" s="1526" t="s">
        <v>6148</v>
      </c>
      <c r="D2190" s="1523">
        <v>1</v>
      </c>
      <c r="E2190" s="1523">
        <v>1</v>
      </c>
      <c r="F2190" s="1524">
        <v>2</v>
      </c>
      <c r="G2190" s="1537" t="s">
        <v>6148</v>
      </c>
      <c r="H2190" s="1521">
        <v>1</v>
      </c>
      <c r="I2190" s="1521">
        <v>1</v>
      </c>
      <c r="J2190" s="1538">
        <v>2</v>
      </c>
      <c r="K2190" s="1525"/>
      <c r="L2190" s="1519">
        <v>13285960300</v>
      </c>
      <c r="M2190" s="1520">
        <v>1</v>
      </c>
      <c r="N2190" s="1520">
        <v>1</v>
      </c>
      <c r="O2190" s="1521">
        <v>2</v>
      </c>
    </row>
    <row r="2191" spans="3:15" ht="13.5">
      <c r="C2191" s="1526" t="s">
        <v>6149</v>
      </c>
      <c r="D2191" s="1523">
        <v>0</v>
      </c>
      <c r="E2191" s="1523">
        <v>0</v>
      </c>
      <c r="F2191" s="1524">
        <v>0</v>
      </c>
      <c r="G2191" s="1537" t="s">
        <v>6149</v>
      </c>
      <c r="H2191" s="1521">
        <v>0</v>
      </c>
      <c r="I2191" s="1521">
        <v>0</v>
      </c>
      <c r="J2191" s="1538">
        <v>0</v>
      </c>
      <c r="K2191" s="1525"/>
      <c r="L2191" s="1519">
        <v>13285960400</v>
      </c>
      <c r="M2191" s="1520">
        <v>0</v>
      </c>
      <c r="N2191" s="1520">
        <v>0</v>
      </c>
      <c r="O2191" s="1521">
        <v>0</v>
      </c>
    </row>
    <row r="2192" spans="3:15" ht="13.5">
      <c r="C2192" s="1526" t="s">
        <v>6150</v>
      </c>
      <c r="D2192" s="1523">
        <v>0</v>
      </c>
      <c r="E2192" s="1523">
        <v>0</v>
      </c>
      <c r="F2192" s="1524">
        <v>0</v>
      </c>
      <c r="G2192" s="1537" t="s">
        <v>6150</v>
      </c>
      <c r="H2192" s="1521">
        <v>0</v>
      </c>
      <c r="I2192" s="1521">
        <v>0</v>
      </c>
      <c r="J2192" s="1538">
        <v>0</v>
      </c>
      <c r="K2192" s="1525"/>
      <c r="L2192" s="1519">
        <v>13285960501</v>
      </c>
      <c r="M2192" s="1520">
        <v>0</v>
      </c>
      <c r="N2192" s="1520">
        <v>0</v>
      </c>
      <c r="O2192" s="1521">
        <v>0</v>
      </c>
    </row>
    <row r="2193" spans="3:15" ht="13.5">
      <c r="C2193" s="1526" t="s">
        <v>6151</v>
      </c>
      <c r="D2193" s="1523">
        <v>0</v>
      </c>
      <c r="E2193" s="1523">
        <v>0</v>
      </c>
      <c r="F2193" s="1524">
        <v>0</v>
      </c>
      <c r="G2193" s="1537" t="s">
        <v>6151</v>
      </c>
      <c r="H2193" s="1521">
        <v>0</v>
      </c>
      <c r="I2193" s="1521">
        <v>1</v>
      </c>
      <c r="J2193" s="1538">
        <v>1</v>
      </c>
      <c r="K2193" s="1525"/>
      <c r="L2193" s="1519">
        <v>13285960502</v>
      </c>
      <c r="M2193" s="1520">
        <v>0</v>
      </c>
      <c r="N2193" s="1520">
        <v>1</v>
      </c>
      <c r="O2193" s="1521">
        <v>1</v>
      </c>
    </row>
    <row r="2194" spans="3:15" ht="13.5">
      <c r="C2194" s="1526" t="s">
        <v>6152</v>
      </c>
      <c r="D2194" s="1523">
        <v>0</v>
      </c>
      <c r="E2194" s="1523">
        <v>0</v>
      </c>
      <c r="F2194" s="1524">
        <v>0</v>
      </c>
      <c r="G2194" s="1537" t="s">
        <v>6152</v>
      </c>
      <c r="H2194" s="1521">
        <v>0</v>
      </c>
      <c r="I2194" s="1521">
        <v>0</v>
      </c>
      <c r="J2194" s="1538">
        <v>0</v>
      </c>
      <c r="K2194" s="1525"/>
      <c r="L2194" s="1519">
        <v>13285960600</v>
      </c>
      <c r="M2194" s="1520">
        <v>0</v>
      </c>
      <c r="N2194" s="1520">
        <v>0</v>
      </c>
      <c r="O2194" s="1521">
        <v>0</v>
      </c>
    </row>
    <row r="2195" spans="3:15" ht="13.5">
      <c r="C2195" s="1526" t="s">
        <v>6153</v>
      </c>
      <c r="D2195" s="1523">
        <v>0</v>
      </c>
      <c r="E2195" s="1523">
        <v>0</v>
      </c>
      <c r="F2195" s="1524">
        <v>0</v>
      </c>
      <c r="G2195" s="1537" t="s">
        <v>6153</v>
      </c>
      <c r="H2195" s="1521">
        <v>0</v>
      </c>
      <c r="I2195" s="1521">
        <v>1</v>
      </c>
      <c r="J2195" s="1538">
        <v>1</v>
      </c>
      <c r="K2195" s="1525"/>
      <c r="L2195" s="1519">
        <v>13285960700</v>
      </c>
      <c r="M2195" s="1520">
        <v>0</v>
      </c>
      <c r="N2195" s="1520">
        <v>1</v>
      </c>
      <c r="O2195" s="1521">
        <v>1</v>
      </c>
    </row>
    <row r="2196" spans="3:15" ht="13.5">
      <c r="C2196" s="1526" t="s">
        <v>6154</v>
      </c>
      <c r="D2196" s="1523">
        <v>0</v>
      </c>
      <c r="E2196" s="1523">
        <v>0</v>
      </c>
      <c r="F2196" s="1524">
        <v>0</v>
      </c>
      <c r="G2196" s="1537" t="s">
        <v>6154</v>
      </c>
      <c r="H2196" s="1521">
        <v>0</v>
      </c>
      <c r="I2196" s="1521">
        <v>0</v>
      </c>
      <c r="J2196" s="1538">
        <v>0</v>
      </c>
      <c r="K2196" s="1525"/>
      <c r="L2196" s="1519">
        <v>13285960800</v>
      </c>
      <c r="M2196" s="1520">
        <v>0</v>
      </c>
      <c r="N2196" s="1520">
        <v>0</v>
      </c>
      <c r="O2196" s="1521">
        <v>0</v>
      </c>
    </row>
    <row r="2197" spans="3:15" ht="13.5">
      <c r="C2197" s="1526" t="s">
        <v>6155</v>
      </c>
      <c r="D2197" s="1523">
        <v>0</v>
      </c>
      <c r="E2197" s="1523">
        <v>0</v>
      </c>
      <c r="F2197" s="1524">
        <v>0</v>
      </c>
      <c r="G2197" s="1537" t="s">
        <v>6155</v>
      </c>
      <c r="H2197" s="1521">
        <v>0</v>
      </c>
      <c r="I2197" s="1521">
        <v>0</v>
      </c>
      <c r="J2197" s="1538">
        <v>0</v>
      </c>
      <c r="K2197" s="1525"/>
      <c r="L2197" s="1519">
        <v>13285960901</v>
      </c>
      <c r="M2197" s="1520">
        <v>0</v>
      </c>
      <c r="N2197" s="1520">
        <v>0</v>
      </c>
      <c r="O2197" s="1521">
        <v>0</v>
      </c>
    </row>
    <row r="2198" spans="3:15" ht="13.5">
      <c r="C2198" s="1526" t="s">
        <v>6156</v>
      </c>
      <c r="D2198" s="1523">
        <v>1</v>
      </c>
      <c r="E2198" s="1523">
        <v>1</v>
      </c>
      <c r="F2198" s="1524">
        <v>2</v>
      </c>
      <c r="G2198" s="1537" t="s">
        <v>6156</v>
      </c>
      <c r="H2198" s="1521">
        <v>0</v>
      </c>
      <c r="I2198" s="1521">
        <v>0</v>
      </c>
      <c r="J2198" s="1538">
        <v>0</v>
      </c>
      <c r="K2198" s="1525"/>
      <c r="L2198" s="1519">
        <v>13285960902</v>
      </c>
      <c r="M2198" s="1520">
        <v>1</v>
      </c>
      <c r="N2198" s="1520">
        <v>1</v>
      </c>
      <c r="O2198" s="1521">
        <v>2</v>
      </c>
    </row>
    <row r="2199" spans="3:15" ht="13.5">
      <c r="C2199" s="1526" t="s">
        <v>6157</v>
      </c>
      <c r="D2199" s="1523">
        <v>0</v>
      </c>
      <c r="E2199" s="1523">
        <v>0</v>
      </c>
      <c r="F2199" s="1524">
        <v>0</v>
      </c>
      <c r="G2199" s="1537" t="s">
        <v>6157</v>
      </c>
      <c r="H2199" s="1521">
        <v>0</v>
      </c>
      <c r="I2199" s="1521">
        <v>0</v>
      </c>
      <c r="J2199" s="1538">
        <v>0</v>
      </c>
      <c r="K2199" s="1525"/>
      <c r="L2199" s="1519">
        <v>13285961000</v>
      </c>
      <c r="M2199" s="1520">
        <v>0</v>
      </c>
      <c r="N2199" s="1520">
        <v>0</v>
      </c>
      <c r="O2199" s="1521">
        <v>0</v>
      </c>
    </row>
    <row r="2200" spans="3:15" ht="13.5">
      <c r="C2200" s="1526" t="s">
        <v>6158</v>
      </c>
      <c r="D2200" s="1523">
        <v>1</v>
      </c>
      <c r="E2200" s="1523">
        <v>0</v>
      </c>
      <c r="F2200" s="1524">
        <v>1</v>
      </c>
      <c r="G2200" s="1537" t="s">
        <v>6158</v>
      </c>
      <c r="H2200" s="1521">
        <v>0</v>
      </c>
      <c r="I2200" s="1521">
        <v>1</v>
      </c>
      <c r="J2200" s="1538">
        <v>1</v>
      </c>
      <c r="K2200" s="1525"/>
      <c r="L2200" s="1519">
        <v>13285961100</v>
      </c>
      <c r="M2200" s="1520">
        <v>1</v>
      </c>
      <c r="N2200" s="1520">
        <v>1</v>
      </c>
      <c r="O2200" s="1521">
        <v>1</v>
      </c>
    </row>
    <row r="2201" spans="3:15" ht="13.5">
      <c r="C2201" s="1526" t="s">
        <v>6159</v>
      </c>
      <c r="D2201" s="1523">
        <v>0</v>
      </c>
      <c r="E2201" s="1523">
        <v>0</v>
      </c>
      <c r="F2201" s="1524">
        <v>0</v>
      </c>
      <c r="G2201" s="1537" t="s">
        <v>6159</v>
      </c>
      <c r="H2201" s="1521">
        <v>0</v>
      </c>
      <c r="I2201" s="1521">
        <v>0</v>
      </c>
      <c r="J2201" s="1538">
        <v>0</v>
      </c>
      <c r="K2201" s="1525"/>
      <c r="L2201" s="1519">
        <v>13287970200</v>
      </c>
      <c r="M2201" s="1520">
        <v>0</v>
      </c>
      <c r="N2201" s="1520">
        <v>0</v>
      </c>
      <c r="O2201" s="1521">
        <v>0</v>
      </c>
    </row>
    <row r="2202" spans="3:15" ht="13.5">
      <c r="C2202" s="1526" t="s">
        <v>6160</v>
      </c>
      <c r="D2202" s="1523">
        <v>0</v>
      </c>
      <c r="E2202" s="1523">
        <v>1</v>
      </c>
      <c r="F2202" s="1524">
        <v>1</v>
      </c>
      <c r="G2202" s="1537" t="s">
        <v>6160</v>
      </c>
      <c r="H2202" s="1521">
        <v>0</v>
      </c>
      <c r="I2202" s="1521">
        <v>0</v>
      </c>
      <c r="J2202" s="1538">
        <v>0</v>
      </c>
      <c r="K2202" s="1525"/>
      <c r="L2202" s="1519">
        <v>13287970300</v>
      </c>
      <c r="M2202" s="1520">
        <v>0</v>
      </c>
      <c r="N2202" s="1520">
        <v>1</v>
      </c>
      <c r="O2202" s="1521">
        <v>1</v>
      </c>
    </row>
    <row r="2203" spans="3:15" ht="13.5">
      <c r="C2203" s="1526" t="s">
        <v>6161</v>
      </c>
      <c r="D2203" s="1523">
        <v>0</v>
      </c>
      <c r="E2203" s="1523">
        <v>0</v>
      </c>
      <c r="F2203" s="1524">
        <v>0</v>
      </c>
      <c r="G2203" s="1537" t="s">
        <v>6161</v>
      </c>
      <c r="H2203" s="1521">
        <v>0</v>
      </c>
      <c r="I2203" s="1521">
        <v>0</v>
      </c>
      <c r="J2203" s="1538">
        <v>0</v>
      </c>
      <c r="K2203" s="1525"/>
      <c r="L2203" s="1519">
        <v>13289060100</v>
      </c>
      <c r="M2203" s="1520">
        <v>0</v>
      </c>
      <c r="N2203" s="1520">
        <v>0</v>
      </c>
      <c r="O2203" s="1521">
        <v>0</v>
      </c>
    </row>
    <row r="2204" spans="3:15" ht="13.5">
      <c r="C2204" s="1526" t="s">
        <v>6162</v>
      </c>
      <c r="D2204" s="1523">
        <v>0</v>
      </c>
      <c r="E2204" s="1523">
        <v>0</v>
      </c>
      <c r="F2204" s="1524">
        <v>0</v>
      </c>
      <c r="G2204" s="1537" t="s">
        <v>6162</v>
      </c>
      <c r="H2204" s="1521">
        <v>0</v>
      </c>
      <c r="I2204" s="1521">
        <v>0</v>
      </c>
      <c r="J2204" s="1538">
        <v>0</v>
      </c>
      <c r="K2204" s="1525"/>
      <c r="L2204" s="1519">
        <v>13289060200</v>
      </c>
      <c r="M2204" s="1520">
        <v>0</v>
      </c>
      <c r="N2204" s="1520">
        <v>0</v>
      </c>
      <c r="O2204" s="1521">
        <v>0</v>
      </c>
    </row>
    <row r="2205" spans="3:15" ht="13.5">
      <c r="C2205" s="1526" t="s">
        <v>6163</v>
      </c>
      <c r="D2205" s="1523">
        <v>0</v>
      </c>
      <c r="E2205" s="1523">
        <v>0</v>
      </c>
      <c r="F2205" s="1524">
        <v>0</v>
      </c>
      <c r="G2205" s="1537" t="s">
        <v>6163</v>
      </c>
      <c r="H2205" s="1521">
        <v>0</v>
      </c>
      <c r="I2205" s="1521">
        <v>0</v>
      </c>
      <c r="J2205" s="1538">
        <v>0</v>
      </c>
      <c r="K2205" s="1525"/>
      <c r="L2205" s="1519">
        <v>13291000101</v>
      </c>
      <c r="M2205" s="1520">
        <v>0</v>
      </c>
      <c r="N2205" s="1520">
        <v>0</v>
      </c>
      <c r="O2205" s="1521">
        <v>0</v>
      </c>
    </row>
    <row r="2206" spans="3:15" ht="13.5">
      <c r="C2206" s="1526" t="s">
        <v>6164</v>
      </c>
      <c r="D2206" s="1523">
        <v>0</v>
      </c>
      <c r="E2206" s="1523">
        <v>1</v>
      </c>
      <c r="F2206" s="1524">
        <v>1</v>
      </c>
      <c r="G2206" s="1537" t="s">
        <v>6164</v>
      </c>
      <c r="H2206" s="1521">
        <v>0</v>
      </c>
      <c r="I2206" s="1521" t="s">
        <v>4096</v>
      </c>
      <c r="J2206" s="1538">
        <v>0</v>
      </c>
      <c r="K2206" s="1525"/>
      <c r="L2206" s="1519">
        <v>13291000102</v>
      </c>
      <c r="M2206" s="1520">
        <v>0</v>
      </c>
      <c r="N2206" s="1520">
        <v>1</v>
      </c>
      <c r="O2206" s="1521">
        <v>1</v>
      </c>
    </row>
    <row r="2207" spans="3:15" ht="13.5">
      <c r="C2207" s="1526" t="s">
        <v>6165</v>
      </c>
      <c r="D2207" s="1523">
        <v>1</v>
      </c>
      <c r="E2207" s="1523">
        <v>1</v>
      </c>
      <c r="F2207" s="1524">
        <v>2</v>
      </c>
      <c r="G2207" s="1537" t="s">
        <v>6165</v>
      </c>
      <c r="H2207" s="1521">
        <v>0</v>
      </c>
      <c r="I2207" s="1521">
        <v>1</v>
      </c>
      <c r="J2207" s="1538">
        <v>1</v>
      </c>
      <c r="K2207" s="1525"/>
      <c r="L2207" s="1519">
        <v>13291000201</v>
      </c>
      <c r="M2207" s="1520">
        <v>1</v>
      </c>
      <c r="N2207" s="1520">
        <v>1</v>
      </c>
      <c r="O2207" s="1521">
        <v>2</v>
      </c>
    </row>
    <row r="2208" spans="3:15" ht="13.5">
      <c r="C2208" s="1526" t="s">
        <v>6166</v>
      </c>
      <c r="D2208" s="1523">
        <v>0</v>
      </c>
      <c r="E2208" s="1523">
        <v>1</v>
      </c>
      <c r="F2208" s="1524">
        <v>1</v>
      </c>
      <c r="G2208" s="1537" t="s">
        <v>6166</v>
      </c>
      <c r="H2208" s="1521">
        <v>0</v>
      </c>
      <c r="I2208" s="1521" t="s">
        <v>4096</v>
      </c>
      <c r="J2208" s="1538">
        <v>0</v>
      </c>
      <c r="K2208" s="1525"/>
      <c r="L2208" s="1519">
        <v>13291000203</v>
      </c>
      <c r="M2208" s="1520">
        <v>0</v>
      </c>
      <c r="N2208" s="1520">
        <v>1</v>
      </c>
      <c r="O2208" s="1521">
        <v>1</v>
      </c>
    </row>
    <row r="2209" spans="3:15" ht="13.5">
      <c r="C2209" s="1526" t="s">
        <v>6167</v>
      </c>
      <c r="D2209" s="1523">
        <v>0</v>
      </c>
      <c r="E2209" s="1523">
        <v>0</v>
      </c>
      <c r="F2209" s="1524">
        <v>0</v>
      </c>
      <c r="G2209" s="1537" t="s">
        <v>6167</v>
      </c>
      <c r="H2209" s="1521">
        <v>1</v>
      </c>
      <c r="I2209" s="1521">
        <v>0</v>
      </c>
      <c r="J2209" s="1538">
        <v>1</v>
      </c>
      <c r="K2209" s="1525"/>
      <c r="L2209" s="1519">
        <v>13291000204</v>
      </c>
      <c r="M2209" s="1520">
        <v>1</v>
      </c>
      <c r="N2209" s="1520">
        <v>0</v>
      </c>
      <c r="O2209" s="1521">
        <v>1</v>
      </c>
    </row>
    <row r="2210" spans="3:15" ht="13.5">
      <c r="C2210" s="1526" t="s">
        <v>6168</v>
      </c>
      <c r="D2210" s="1523">
        <v>0</v>
      </c>
      <c r="E2210" s="1523">
        <v>0</v>
      </c>
      <c r="F2210" s="1524">
        <v>0</v>
      </c>
      <c r="G2210" s="1537" t="s">
        <v>6168</v>
      </c>
      <c r="H2210" s="1521">
        <v>1</v>
      </c>
      <c r="I2210" s="1521">
        <v>0</v>
      </c>
      <c r="J2210" s="1538">
        <v>1</v>
      </c>
      <c r="K2210" s="1525"/>
      <c r="L2210" s="1519">
        <v>13291000205</v>
      </c>
      <c r="M2210" s="1520">
        <v>1</v>
      </c>
      <c r="N2210" s="1520">
        <v>0</v>
      </c>
      <c r="O2210" s="1521">
        <v>1</v>
      </c>
    </row>
    <row r="2211" spans="3:15" ht="13.5">
      <c r="C2211" s="1526" t="s">
        <v>6169</v>
      </c>
      <c r="D2211" s="1523">
        <v>0</v>
      </c>
      <c r="E2211" s="1523">
        <v>0</v>
      </c>
      <c r="F2211" s="1524">
        <v>0</v>
      </c>
      <c r="G2211" s="1537" t="s">
        <v>6169</v>
      </c>
      <c r="H2211" s="1521">
        <v>0</v>
      </c>
      <c r="I2211" s="1521">
        <v>0</v>
      </c>
      <c r="J2211" s="1538">
        <v>0</v>
      </c>
      <c r="K2211" s="1525"/>
      <c r="L2211" s="1519">
        <v>13293010100</v>
      </c>
      <c r="M2211" s="1520">
        <v>0</v>
      </c>
      <c r="N2211" s="1520">
        <v>0</v>
      </c>
      <c r="O2211" s="1521">
        <v>0</v>
      </c>
    </row>
    <row r="2212" spans="3:15" ht="13.5">
      <c r="C2212" s="1526" t="s">
        <v>6170</v>
      </c>
      <c r="D2212" s="1523">
        <v>0</v>
      </c>
      <c r="E2212" s="1523">
        <v>0</v>
      </c>
      <c r="F2212" s="1524">
        <v>0</v>
      </c>
      <c r="G2212" s="1537" t="s">
        <v>6170</v>
      </c>
      <c r="H2212" s="1521">
        <v>0</v>
      </c>
      <c r="I2212" s="1521">
        <v>0</v>
      </c>
      <c r="J2212" s="1538">
        <v>0</v>
      </c>
      <c r="K2212" s="1525"/>
      <c r="L2212" s="1519">
        <v>13293010201</v>
      </c>
      <c r="M2212" s="1520">
        <v>0</v>
      </c>
      <c r="N2212" s="1520">
        <v>0</v>
      </c>
      <c r="O2212" s="1521">
        <v>0</v>
      </c>
    </row>
    <row r="2213" spans="3:15" ht="13.5">
      <c r="C2213" s="1526" t="s">
        <v>6171</v>
      </c>
      <c r="D2213" s="1523">
        <v>0</v>
      </c>
      <c r="E2213" s="1523">
        <v>0</v>
      </c>
      <c r="F2213" s="1524">
        <v>0</v>
      </c>
      <c r="G2213" s="1537" t="s">
        <v>6171</v>
      </c>
      <c r="H2213" s="1521">
        <v>0</v>
      </c>
      <c r="I2213" s="1521">
        <v>1</v>
      </c>
      <c r="J2213" s="1538">
        <v>1</v>
      </c>
      <c r="K2213" s="1525"/>
      <c r="L2213" s="1519">
        <v>13293010202</v>
      </c>
      <c r="M2213" s="1520">
        <v>0</v>
      </c>
      <c r="N2213" s="1520">
        <v>1</v>
      </c>
      <c r="O2213" s="1521">
        <v>1</v>
      </c>
    </row>
    <row r="2214" spans="3:15" ht="13.5">
      <c r="C2214" s="1526" t="s">
        <v>6172</v>
      </c>
      <c r="D2214" s="1523">
        <v>0</v>
      </c>
      <c r="E2214" s="1523">
        <v>1</v>
      </c>
      <c r="F2214" s="1524">
        <v>1</v>
      </c>
      <c r="G2214" s="1537" t="s">
        <v>6172</v>
      </c>
      <c r="H2214" s="1521">
        <v>0</v>
      </c>
      <c r="I2214" s="1521">
        <v>0</v>
      </c>
      <c r="J2214" s="1538">
        <v>0</v>
      </c>
      <c r="K2214" s="1525"/>
      <c r="L2214" s="1519">
        <v>13293010300</v>
      </c>
      <c r="M2214" s="1520">
        <v>0</v>
      </c>
      <c r="N2214" s="1520">
        <v>1</v>
      </c>
      <c r="O2214" s="1521">
        <v>1</v>
      </c>
    </row>
    <row r="2215" spans="3:15" ht="13.5">
      <c r="C2215" s="1526" t="s">
        <v>6173</v>
      </c>
      <c r="D2215" s="1523">
        <v>0</v>
      </c>
      <c r="E2215" s="1523">
        <v>0</v>
      </c>
      <c r="F2215" s="1524">
        <v>0</v>
      </c>
      <c r="G2215" s="1537" t="s">
        <v>6173</v>
      </c>
      <c r="H2215" s="1521">
        <v>0</v>
      </c>
      <c r="I2215" s="1521">
        <v>0</v>
      </c>
      <c r="J2215" s="1538">
        <v>0</v>
      </c>
      <c r="K2215" s="1525"/>
      <c r="L2215" s="1519">
        <v>13293010400</v>
      </c>
      <c r="M2215" s="1520">
        <v>0</v>
      </c>
      <c r="N2215" s="1520">
        <v>0</v>
      </c>
      <c r="O2215" s="1521">
        <v>0</v>
      </c>
    </row>
    <row r="2216" spans="3:15" ht="13.5">
      <c r="C2216" s="1526" t="s">
        <v>6174</v>
      </c>
      <c r="D2216" s="1523">
        <v>0</v>
      </c>
      <c r="E2216" s="1523">
        <v>0</v>
      </c>
      <c r="F2216" s="1524">
        <v>0</v>
      </c>
      <c r="G2216" s="1537" t="s">
        <v>6174</v>
      </c>
      <c r="H2216" s="1521">
        <v>0</v>
      </c>
      <c r="I2216" s="1521">
        <v>0</v>
      </c>
      <c r="J2216" s="1538">
        <v>0</v>
      </c>
      <c r="K2216" s="1525"/>
      <c r="L2216" s="1519">
        <v>13293010500</v>
      </c>
      <c r="M2216" s="1520">
        <v>0</v>
      </c>
      <c r="N2216" s="1520">
        <v>0</v>
      </c>
      <c r="O2216" s="1521">
        <v>0</v>
      </c>
    </row>
    <row r="2217" spans="3:15" ht="13.5">
      <c r="C2217" s="1526" t="s">
        <v>6175</v>
      </c>
      <c r="D2217" s="1523">
        <v>0</v>
      </c>
      <c r="E2217" s="1523">
        <v>0</v>
      </c>
      <c r="F2217" s="1524">
        <v>0</v>
      </c>
      <c r="G2217" s="1537" t="s">
        <v>6175</v>
      </c>
      <c r="H2217" s="1521">
        <v>0</v>
      </c>
      <c r="I2217" s="1521">
        <v>0</v>
      </c>
      <c r="J2217" s="1538">
        <v>0</v>
      </c>
      <c r="K2217" s="1525"/>
      <c r="L2217" s="1519">
        <v>13293010600</v>
      </c>
      <c r="M2217" s="1520">
        <v>0</v>
      </c>
      <c r="N2217" s="1520">
        <v>0</v>
      </c>
      <c r="O2217" s="1521">
        <v>0</v>
      </c>
    </row>
    <row r="2218" spans="3:15" ht="13.5">
      <c r="C2218" s="1526" t="s">
        <v>6176</v>
      </c>
      <c r="D2218" s="1523">
        <v>0</v>
      </c>
      <c r="E2218" s="1523">
        <v>0</v>
      </c>
      <c r="F2218" s="1524">
        <v>0</v>
      </c>
      <c r="G2218" s="1537" t="s">
        <v>6176</v>
      </c>
      <c r="H2218" s="1521">
        <v>0</v>
      </c>
      <c r="I2218" s="1521">
        <v>0</v>
      </c>
      <c r="J2218" s="1538">
        <v>0</v>
      </c>
      <c r="K2218" s="1525"/>
      <c r="L2218" s="1519">
        <v>13295020100</v>
      </c>
      <c r="M2218" s="1520">
        <v>0</v>
      </c>
      <c r="N2218" s="1520">
        <v>0</v>
      </c>
      <c r="O2218" s="1521">
        <v>0</v>
      </c>
    </row>
    <row r="2219" spans="3:15" ht="13.5">
      <c r="C2219" s="1526" t="s">
        <v>6177</v>
      </c>
      <c r="D2219" s="1523">
        <v>0</v>
      </c>
      <c r="E2219" s="1523">
        <v>0</v>
      </c>
      <c r="F2219" s="1524">
        <v>0</v>
      </c>
      <c r="G2219" s="1537" t="s">
        <v>6177</v>
      </c>
      <c r="H2219" s="1521">
        <v>0</v>
      </c>
      <c r="I2219" s="1521">
        <v>0</v>
      </c>
      <c r="J2219" s="1538">
        <v>0</v>
      </c>
      <c r="K2219" s="1525"/>
      <c r="L2219" s="1519">
        <v>13295020200</v>
      </c>
      <c r="M2219" s="1520">
        <v>0</v>
      </c>
      <c r="N2219" s="1520">
        <v>0</v>
      </c>
      <c r="O2219" s="1521">
        <v>0</v>
      </c>
    </row>
    <row r="2220" spans="3:15" ht="13.5">
      <c r="C2220" s="1526" t="s">
        <v>6178</v>
      </c>
      <c r="D2220" s="1523">
        <v>0</v>
      </c>
      <c r="E2220" s="1523">
        <v>0</v>
      </c>
      <c r="F2220" s="1524">
        <v>0</v>
      </c>
      <c r="G2220" s="1537" t="s">
        <v>6178</v>
      </c>
      <c r="H2220" s="1521">
        <v>0</v>
      </c>
      <c r="I2220" s="1521">
        <v>0</v>
      </c>
      <c r="J2220" s="1538">
        <v>0</v>
      </c>
      <c r="K2220" s="1525"/>
      <c r="L2220" s="1519">
        <v>13295020301</v>
      </c>
      <c r="M2220" s="1520">
        <v>0</v>
      </c>
      <c r="N2220" s="1520">
        <v>0</v>
      </c>
      <c r="O2220" s="1521">
        <v>0</v>
      </c>
    </row>
    <row r="2221" spans="3:15" ht="13.5">
      <c r="C2221" s="1526" t="s">
        <v>6179</v>
      </c>
      <c r="D2221" s="1523">
        <v>0</v>
      </c>
      <c r="E2221" s="1523">
        <v>0</v>
      </c>
      <c r="F2221" s="1524">
        <v>0</v>
      </c>
      <c r="G2221" s="1537" t="s">
        <v>6179</v>
      </c>
      <c r="H2221" s="1521">
        <v>0</v>
      </c>
      <c r="I2221" s="1521">
        <v>0</v>
      </c>
      <c r="J2221" s="1538">
        <v>0</v>
      </c>
      <c r="K2221" s="1525"/>
      <c r="L2221" s="1519">
        <v>13295020302</v>
      </c>
      <c r="M2221" s="1520">
        <v>0</v>
      </c>
      <c r="N2221" s="1520">
        <v>0</v>
      </c>
      <c r="O2221" s="1521">
        <v>0</v>
      </c>
    </row>
    <row r="2222" spans="3:15" ht="13.5">
      <c r="C2222" s="1526" t="s">
        <v>6180</v>
      </c>
      <c r="D2222" s="1523">
        <v>1</v>
      </c>
      <c r="E2222" s="1523">
        <v>1</v>
      </c>
      <c r="F2222" s="1524">
        <v>2</v>
      </c>
      <c r="G2222" s="1537" t="s">
        <v>6180</v>
      </c>
      <c r="H2222" s="1521">
        <v>1</v>
      </c>
      <c r="I2222" s="1521">
        <v>1</v>
      </c>
      <c r="J2222" s="1538">
        <v>2</v>
      </c>
      <c r="K2222" s="1525"/>
      <c r="L2222" s="1519">
        <v>13295020400</v>
      </c>
      <c r="M2222" s="1520">
        <v>1</v>
      </c>
      <c r="N2222" s="1520">
        <v>1</v>
      </c>
      <c r="O2222" s="1521">
        <v>2</v>
      </c>
    </row>
    <row r="2223" spans="3:15" ht="13.5">
      <c r="C2223" s="1526" t="s">
        <v>6181</v>
      </c>
      <c r="D2223" s="1523">
        <v>1</v>
      </c>
      <c r="E2223" s="1523">
        <v>0</v>
      </c>
      <c r="F2223" s="1524">
        <v>1</v>
      </c>
      <c r="G2223" s="1537" t="s">
        <v>6181</v>
      </c>
      <c r="H2223" s="1521">
        <v>0</v>
      </c>
      <c r="I2223" s="1521">
        <v>0</v>
      </c>
      <c r="J2223" s="1538">
        <v>0</v>
      </c>
      <c r="K2223" s="1525"/>
      <c r="L2223" s="1519">
        <v>13295020501</v>
      </c>
      <c r="M2223" s="1520">
        <v>1</v>
      </c>
      <c r="N2223" s="1520">
        <v>0</v>
      </c>
      <c r="O2223" s="1521">
        <v>1</v>
      </c>
    </row>
    <row r="2224" spans="3:15" ht="13.5">
      <c r="C2224" s="1526" t="s">
        <v>6182</v>
      </c>
      <c r="D2224" s="1523">
        <v>0</v>
      </c>
      <c r="E2224" s="1523">
        <v>1</v>
      </c>
      <c r="F2224" s="1524">
        <v>1</v>
      </c>
      <c r="G2224" s="1537" t="s">
        <v>6182</v>
      </c>
      <c r="H2224" s="1521">
        <v>1</v>
      </c>
      <c r="I2224" s="1521">
        <v>1</v>
      </c>
      <c r="J2224" s="1538">
        <v>2</v>
      </c>
      <c r="K2224" s="1525"/>
      <c r="L2224" s="1519">
        <v>13295020502</v>
      </c>
      <c r="M2224" s="1520">
        <v>1</v>
      </c>
      <c r="N2224" s="1520">
        <v>1</v>
      </c>
      <c r="O2224" s="1521">
        <v>2</v>
      </c>
    </row>
    <row r="2225" spans="3:15" ht="13.5">
      <c r="C2225" s="1526" t="s">
        <v>6183</v>
      </c>
      <c r="D2225" s="1523">
        <v>0</v>
      </c>
      <c r="E2225" s="1523">
        <v>1</v>
      </c>
      <c r="F2225" s="1524">
        <v>1</v>
      </c>
      <c r="G2225" s="1537" t="s">
        <v>6183</v>
      </c>
      <c r="H2225" s="1521">
        <v>0</v>
      </c>
      <c r="I2225" s="1521">
        <v>1</v>
      </c>
      <c r="J2225" s="1538">
        <v>1</v>
      </c>
      <c r="K2225" s="1525"/>
      <c r="L2225" s="1519">
        <v>13295020601</v>
      </c>
      <c r="M2225" s="1520">
        <v>0</v>
      </c>
      <c r="N2225" s="1520">
        <v>1</v>
      </c>
      <c r="O2225" s="1521">
        <v>1</v>
      </c>
    </row>
    <row r="2226" spans="3:15" ht="13.5">
      <c r="C2226" s="1526" t="s">
        <v>6184</v>
      </c>
      <c r="D2226" s="1523">
        <v>0</v>
      </c>
      <c r="E2226" s="1523">
        <v>0</v>
      </c>
      <c r="F2226" s="1524">
        <v>0</v>
      </c>
      <c r="G2226" s="1537" t="s">
        <v>6184</v>
      </c>
      <c r="H2226" s="1521">
        <v>0</v>
      </c>
      <c r="I2226" s="1521">
        <v>0</v>
      </c>
      <c r="J2226" s="1538">
        <v>0</v>
      </c>
      <c r="K2226" s="1525"/>
      <c r="L2226" s="1519">
        <v>13295020602</v>
      </c>
      <c r="M2226" s="1520">
        <v>0</v>
      </c>
      <c r="N2226" s="1520">
        <v>0</v>
      </c>
      <c r="O2226" s="1521">
        <v>0</v>
      </c>
    </row>
    <row r="2227" spans="3:15" ht="13.5">
      <c r="C2227" s="1526" t="s">
        <v>6185</v>
      </c>
      <c r="D2227" s="1523">
        <v>0</v>
      </c>
      <c r="E2227" s="1523">
        <v>0</v>
      </c>
      <c r="F2227" s="1524">
        <v>0</v>
      </c>
      <c r="G2227" s="1537" t="s">
        <v>6185</v>
      </c>
      <c r="H2227" s="1521">
        <v>0</v>
      </c>
      <c r="I2227" s="1521">
        <v>0</v>
      </c>
      <c r="J2227" s="1538">
        <v>0</v>
      </c>
      <c r="K2227" s="1525"/>
      <c r="L2227" s="1519">
        <v>13295020700</v>
      </c>
      <c r="M2227" s="1520">
        <v>0</v>
      </c>
      <c r="N2227" s="1520">
        <v>0</v>
      </c>
      <c r="O2227" s="1521">
        <v>0</v>
      </c>
    </row>
    <row r="2228" spans="3:15" ht="13.5">
      <c r="C2228" s="1526" t="s">
        <v>6186</v>
      </c>
      <c r="D2228" s="1523">
        <v>0</v>
      </c>
      <c r="E2228" s="1523">
        <v>0</v>
      </c>
      <c r="F2228" s="1524">
        <v>0</v>
      </c>
      <c r="G2228" s="1537" t="s">
        <v>6186</v>
      </c>
      <c r="H2228" s="1521">
        <v>0</v>
      </c>
      <c r="I2228" s="1521">
        <v>0</v>
      </c>
      <c r="J2228" s="1538">
        <v>0</v>
      </c>
      <c r="K2228" s="1525"/>
      <c r="L2228" s="1519">
        <v>13295020800</v>
      </c>
      <c r="M2228" s="1520">
        <v>0</v>
      </c>
      <c r="N2228" s="1520">
        <v>0</v>
      </c>
      <c r="O2228" s="1521">
        <v>0</v>
      </c>
    </row>
    <row r="2229" spans="3:15" ht="13.5">
      <c r="C2229" s="1526" t="s">
        <v>6187</v>
      </c>
      <c r="D2229" s="1523">
        <v>0</v>
      </c>
      <c r="E2229" s="1523">
        <v>0</v>
      </c>
      <c r="F2229" s="1524">
        <v>0</v>
      </c>
      <c r="G2229" s="1537" t="s">
        <v>6187</v>
      </c>
      <c r="H2229" s="1521">
        <v>1</v>
      </c>
      <c r="I2229" s="1521">
        <v>1</v>
      </c>
      <c r="J2229" s="1538">
        <v>2</v>
      </c>
      <c r="K2229" s="1525"/>
      <c r="L2229" s="1519">
        <v>13295020901</v>
      </c>
      <c r="M2229" s="1520">
        <v>1</v>
      </c>
      <c r="N2229" s="1520">
        <v>1</v>
      </c>
      <c r="O2229" s="1521">
        <v>2</v>
      </c>
    </row>
    <row r="2230" spans="3:15" ht="13.5">
      <c r="C2230" s="1526" t="s">
        <v>6188</v>
      </c>
      <c r="D2230" s="1523">
        <v>0</v>
      </c>
      <c r="E2230" s="1523">
        <v>0</v>
      </c>
      <c r="F2230" s="1524">
        <v>0</v>
      </c>
      <c r="G2230" s="1537" t="s">
        <v>6188</v>
      </c>
      <c r="H2230" s="1521">
        <v>0</v>
      </c>
      <c r="I2230" s="1521">
        <v>1</v>
      </c>
      <c r="J2230" s="1538">
        <v>1</v>
      </c>
      <c r="K2230" s="1525"/>
      <c r="L2230" s="1519">
        <v>13295020902</v>
      </c>
      <c r="M2230" s="1520">
        <v>0</v>
      </c>
      <c r="N2230" s="1520">
        <v>1</v>
      </c>
      <c r="O2230" s="1521">
        <v>1</v>
      </c>
    </row>
    <row r="2231" spans="3:15" ht="13.5">
      <c r="C2231" s="1526" t="s">
        <v>6189</v>
      </c>
      <c r="D2231" s="1523">
        <v>1</v>
      </c>
      <c r="E2231" s="1523">
        <v>1</v>
      </c>
      <c r="F2231" s="1524">
        <v>2</v>
      </c>
      <c r="G2231" s="1537" t="s">
        <v>6189</v>
      </c>
      <c r="H2231" s="1521">
        <v>1</v>
      </c>
      <c r="I2231" s="1521">
        <v>1</v>
      </c>
      <c r="J2231" s="1538">
        <v>2</v>
      </c>
      <c r="K2231" s="1525"/>
      <c r="L2231" s="1519">
        <v>13297110100</v>
      </c>
      <c r="M2231" s="1520">
        <v>1</v>
      </c>
      <c r="N2231" s="1520">
        <v>1</v>
      </c>
      <c r="O2231" s="1521">
        <v>2</v>
      </c>
    </row>
    <row r="2232" spans="3:15" ht="13.5">
      <c r="C2232" s="1526" t="s">
        <v>6190</v>
      </c>
      <c r="D2232" s="1523">
        <v>1</v>
      </c>
      <c r="E2232" s="1523">
        <v>1</v>
      </c>
      <c r="F2232" s="1524">
        <v>2</v>
      </c>
      <c r="G2232" s="1537" t="s">
        <v>6190</v>
      </c>
      <c r="H2232" s="1521">
        <v>1</v>
      </c>
      <c r="I2232" s="1521">
        <v>0</v>
      </c>
      <c r="J2232" s="1538">
        <v>1</v>
      </c>
      <c r="K2232" s="1525"/>
      <c r="L2232" s="1519">
        <v>13297110200</v>
      </c>
      <c r="M2232" s="1520">
        <v>1</v>
      </c>
      <c r="N2232" s="1520">
        <v>1</v>
      </c>
      <c r="O2232" s="1521">
        <v>2</v>
      </c>
    </row>
    <row r="2233" spans="3:15" ht="13.5">
      <c r="C2233" s="1526" t="s">
        <v>6191</v>
      </c>
      <c r="D2233" s="1523">
        <v>0</v>
      </c>
      <c r="E2233" s="1523">
        <v>0</v>
      </c>
      <c r="F2233" s="1524">
        <v>0</v>
      </c>
      <c r="G2233" s="1537" t="s">
        <v>6191</v>
      </c>
      <c r="H2233" s="1521">
        <v>0</v>
      </c>
      <c r="I2233" s="1521">
        <v>0</v>
      </c>
      <c r="J2233" s="1538">
        <v>0</v>
      </c>
      <c r="K2233" s="1525"/>
      <c r="L2233" s="1519">
        <v>13297110300</v>
      </c>
      <c r="M2233" s="1520">
        <v>0</v>
      </c>
      <c r="N2233" s="1520">
        <v>0</v>
      </c>
      <c r="O2233" s="1521">
        <v>0</v>
      </c>
    </row>
    <row r="2234" spans="3:15" ht="13.5">
      <c r="C2234" s="1526" t="s">
        <v>6192</v>
      </c>
      <c r="D2234" s="1523">
        <v>0</v>
      </c>
      <c r="E2234" s="1523">
        <v>0</v>
      </c>
      <c r="F2234" s="1524">
        <v>0</v>
      </c>
      <c r="G2234" s="1537" t="s">
        <v>6192</v>
      </c>
      <c r="H2234" s="1521">
        <v>0</v>
      </c>
      <c r="I2234" s="1521">
        <v>0</v>
      </c>
      <c r="J2234" s="1538">
        <v>0</v>
      </c>
      <c r="K2234" s="1525"/>
      <c r="L2234" s="1519">
        <v>13297110400</v>
      </c>
      <c r="M2234" s="1520">
        <v>0</v>
      </c>
      <c r="N2234" s="1520">
        <v>0</v>
      </c>
      <c r="O2234" s="1521">
        <v>0</v>
      </c>
    </row>
    <row r="2235" spans="3:15" ht="13.5">
      <c r="C2235" s="1526" t="s">
        <v>6193</v>
      </c>
      <c r="D2235" s="1523">
        <v>1</v>
      </c>
      <c r="E2235" s="1523">
        <v>1</v>
      </c>
      <c r="F2235" s="1524">
        <v>2</v>
      </c>
      <c r="G2235" s="1537" t="s">
        <v>6193</v>
      </c>
      <c r="H2235" s="1521">
        <v>1</v>
      </c>
      <c r="I2235" s="1521">
        <v>1</v>
      </c>
      <c r="J2235" s="1538">
        <v>2</v>
      </c>
      <c r="K2235" s="1525"/>
      <c r="L2235" s="1519">
        <v>13297110503</v>
      </c>
      <c r="M2235" s="1520">
        <v>1</v>
      </c>
      <c r="N2235" s="1520">
        <v>1</v>
      </c>
      <c r="O2235" s="1521">
        <v>2</v>
      </c>
    </row>
    <row r="2236" spans="3:15" ht="13.5">
      <c r="C2236" s="1526" t="s">
        <v>6194</v>
      </c>
      <c r="D2236" s="1523">
        <v>1</v>
      </c>
      <c r="E2236" s="1523">
        <v>1</v>
      </c>
      <c r="F2236" s="1524">
        <v>2</v>
      </c>
      <c r="G2236" s="1537" t="s">
        <v>6194</v>
      </c>
      <c r="H2236" s="1521">
        <v>1</v>
      </c>
      <c r="I2236" s="1521">
        <v>1</v>
      </c>
      <c r="J2236" s="1538">
        <v>2</v>
      </c>
      <c r="K2236" s="1525"/>
      <c r="L2236" s="1519">
        <v>13297110504</v>
      </c>
      <c r="M2236" s="1520">
        <v>1</v>
      </c>
      <c r="N2236" s="1520">
        <v>1</v>
      </c>
      <c r="O2236" s="1521">
        <v>2</v>
      </c>
    </row>
    <row r="2237" spans="3:15" ht="13.5">
      <c r="C2237" s="1526" t="s">
        <v>6195</v>
      </c>
      <c r="D2237" s="1523">
        <v>1</v>
      </c>
      <c r="E2237" s="1523">
        <v>1</v>
      </c>
      <c r="F2237" s="1524">
        <v>2</v>
      </c>
      <c r="G2237" s="1537" t="s">
        <v>6195</v>
      </c>
      <c r="H2237" s="1521">
        <v>1</v>
      </c>
      <c r="I2237" s="1521">
        <v>0</v>
      </c>
      <c r="J2237" s="1538">
        <v>1</v>
      </c>
      <c r="K2237" s="1525"/>
      <c r="L2237" s="1519">
        <v>13297110505</v>
      </c>
      <c r="M2237" s="1520">
        <v>1</v>
      </c>
      <c r="N2237" s="1520">
        <v>1</v>
      </c>
      <c r="O2237" s="1521">
        <v>2</v>
      </c>
    </row>
    <row r="2238" spans="3:15" ht="13.5">
      <c r="C2238" s="1526" t="s">
        <v>6196</v>
      </c>
      <c r="D2238" s="1523">
        <v>1</v>
      </c>
      <c r="E2238" s="1523">
        <v>1</v>
      </c>
      <c r="F2238" s="1524">
        <v>2</v>
      </c>
      <c r="G2238" s="1537" t="s">
        <v>6196</v>
      </c>
      <c r="H2238" s="1521">
        <v>1</v>
      </c>
      <c r="I2238" s="1521">
        <v>1</v>
      </c>
      <c r="J2238" s="1538">
        <v>2</v>
      </c>
      <c r="K2238" s="1525"/>
      <c r="L2238" s="1519">
        <v>13297110506</v>
      </c>
      <c r="M2238" s="1520">
        <v>1</v>
      </c>
      <c r="N2238" s="1520">
        <v>1</v>
      </c>
      <c r="O2238" s="1521">
        <v>2</v>
      </c>
    </row>
    <row r="2239" spans="3:15" ht="13.5">
      <c r="C2239" s="1526" t="s">
        <v>6197</v>
      </c>
      <c r="D2239" s="1523">
        <v>1</v>
      </c>
      <c r="E2239" s="1523">
        <v>1</v>
      </c>
      <c r="F2239" s="1524">
        <v>2</v>
      </c>
      <c r="G2239" s="1537" t="s">
        <v>6197</v>
      </c>
      <c r="H2239" s="1521">
        <v>1</v>
      </c>
      <c r="I2239" s="1521">
        <v>1</v>
      </c>
      <c r="J2239" s="1538">
        <v>2</v>
      </c>
      <c r="K2239" s="1525"/>
      <c r="L2239" s="1519">
        <v>13297110507</v>
      </c>
      <c r="M2239" s="1520">
        <v>1</v>
      </c>
      <c r="N2239" s="1520">
        <v>1</v>
      </c>
      <c r="O2239" s="1521">
        <v>2</v>
      </c>
    </row>
    <row r="2240" spans="3:15" ht="13.5">
      <c r="C2240" s="1526" t="s">
        <v>6198</v>
      </c>
      <c r="D2240" s="1523">
        <v>1</v>
      </c>
      <c r="E2240" s="1523">
        <v>1</v>
      </c>
      <c r="F2240" s="1524">
        <v>2</v>
      </c>
      <c r="G2240" s="1537" t="s">
        <v>6198</v>
      </c>
      <c r="H2240" s="1521">
        <v>0</v>
      </c>
      <c r="I2240" s="1521">
        <v>1</v>
      </c>
      <c r="J2240" s="1538">
        <v>1</v>
      </c>
      <c r="K2240" s="1525"/>
      <c r="L2240" s="1519">
        <v>13297110508</v>
      </c>
      <c r="M2240" s="1520">
        <v>1</v>
      </c>
      <c r="N2240" s="1520">
        <v>1</v>
      </c>
      <c r="O2240" s="1521">
        <v>2</v>
      </c>
    </row>
    <row r="2241" spans="3:15" ht="13.5">
      <c r="C2241" s="1526" t="s">
        <v>6199</v>
      </c>
      <c r="D2241" s="1523">
        <v>1</v>
      </c>
      <c r="E2241" s="1523">
        <v>1</v>
      </c>
      <c r="F2241" s="1524">
        <v>2</v>
      </c>
      <c r="G2241" s="1537" t="s">
        <v>6199</v>
      </c>
      <c r="H2241" s="1521">
        <v>1</v>
      </c>
      <c r="I2241" s="1521">
        <v>1</v>
      </c>
      <c r="J2241" s="1538">
        <v>2</v>
      </c>
      <c r="K2241" s="1525"/>
      <c r="L2241" s="1519">
        <v>13297110601</v>
      </c>
      <c r="M2241" s="1520">
        <v>1</v>
      </c>
      <c r="N2241" s="1520">
        <v>1</v>
      </c>
      <c r="O2241" s="1521">
        <v>2</v>
      </c>
    </row>
    <row r="2242" spans="3:15" ht="13.5">
      <c r="C2242" s="1526" t="s">
        <v>6200</v>
      </c>
      <c r="D2242" s="1523">
        <v>1</v>
      </c>
      <c r="E2242" s="1523">
        <v>1</v>
      </c>
      <c r="F2242" s="1524">
        <v>2</v>
      </c>
      <c r="G2242" s="1537" t="s">
        <v>6200</v>
      </c>
      <c r="H2242" s="1521">
        <v>1</v>
      </c>
      <c r="I2242" s="1521">
        <v>1</v>
      </c>
      <c r="J2242" s="1538">
        <v>2</v>
      </c>
      <c r="K2242" s="1525"/>
      <c r="L2242" s="1519">
        <v>13297110602</v>
      </c>
      <c r="M2242" s="1520">
        <v>1</v>
      </c>
      <c r="N2242" s="1520">
        <v>1</v>
      </c>
      <c r="O2242" s="1521">
        <v>2</v>
      </c>
    </row>
    <row r="2243" spans="3:15" ht="13.5">
      <c r="C2243" s="1526" t="s">
        <v>6201</v>
      </c>
      <c r="D2243" s="1523">
        <v>0</v>
      </c>
      <c r="E2243" s="1523">
        <v>1</v>
      </c>
      <c r="F2243" s="1524">
        <v>1</v>
      </c>
      <c r="G2243" s="1537" t="s">
        <v>6201</v>
      </c>
      <c r="H2243" s="1521">
        <v>0</v>
      </c>
      <c r="I2243" s="1521">
        <v>0</v>
      </c>
      <c r="J2243" s="1538">
        <v>0</v>
      </c>
      <c r="K2243" s="1525"/>
      <c r="L2243" s="1519">
        <v>13297110603</v>
      </c>
      <c r="M2243" s="1520">
        <v>0</v>
      </c>
      <c r="N2243" s="1520">
        <v>1</v>
      </c>
      <c r="O2243" s="1521">
        <v>1</v>
      </c>
    </row>
    <row r="2244" spans="3:15" ht="13.5">
      <c r="C2244" s="1526" t="s">
        <v>6202</v>
      </c>
      <c r="D2244" s="1523">
        <v>0</v>
      </c>
      <c r="E2244" s="1523">
        <v>0</v>
      </c>
      <c r="F2244" s="1524">
        <v>0</v>
      </c>
      <c r="G2244" s="1537" t="s">
        <v>6202</v>
      </c>
      <c r="H2244" s="1521">
        <v>0</v>
      </c>
      <c r="I2244" s="1521">
        <v>0</v>
      </c>
      <c r="J2244" s="1538">
        <v>0</v>
      </c>
      <c r="K2244" s="1525"/>
      <c r="L2244" s="1519">
        <v>13297110700</v>
      </c>
      <c r="M2244" s="1520">
        <v>0</v>
      </c>
      <c r="N2244" s="1520">
        <v>0</v>
      </c>
      <c r="O2244" s="1521">
        <v>0</v>
      </c>
    </row>
    <row r="2245" spans="3:15" ht="13.5">
      <c r="C2245" s="1526" t="s">
        <v>6203</v>
      </c>
      <c r="D2245" s="1523">
        <v>1</v>
      </c>
      <c r="E2245" s="1523">
        <v>0</v>
      </c>
      <c r="F2245" s="1524">
        <v>1</v>
      </c>
      <c r="G2245" s="1537" t="s">
        <v>6203</v>
      </c>
      <c r="H2245" s="1521">
        <v>1</v>
      </c>
      <c r="I2245" s="1521">
        <v>0</v>
      </c>
      <c r="J2245" s="1538">
        <v>1</v>
      </c>
      <c r="K2245" s="1525"/>
      <c r="L2245" s="1519">
        <v>13297110800</v>
      </c>
      <c r="M2245" s="1520">
        <v>1</v>
      </c>
      <c r="N2245" s="1520">
        <v>0</v>
      </c>
      <c r="O2245" s="1521">
        <v>1</v>
      </c>
    </row>
    <row r="2246" spans="3:15" ht="13.5">
      <c r="C2246" s="1526" t="s">
        <v>6204</v>
      </c>
      <c r="D2246" s="1523">
        <v>1</v>
      </c>
      <c r="E2246" s="1523">
        <v>0</v>
      </c>
      <c r="F2246" s="1524">
        <v>1</v>
      </c>
      <c r="G2246" s="1537" t="s">
        <v>6204</v>
      </c>
      <c r="H2246" s="1521">
        <v>0</v>
      </c>
      <c r="I2246" s="1521">
        <v>0</v>
      </c>
      <c r="J2246" s="1538">
        <v>0</v>
      </c>
      <c r="K2246" s="1525"/>
      <c r="L2246" s="1519">
        <v>13299950100</v>
      </c>
      <c r="M2246" s="1520">
        <v>1</v>
      </c>
      <c r="N2246" s="1520">
        <v>0</v>
      </c>
      <c r="O2246" s="1521">
        <v>1</v>
      </c>
    </row>
    <row r="2247" spans="3:15" ht="13.5">
      <c r="C2247" s="1526" t="s">
        <v>6205</v>
      </c>
      <c r="D2247" s="1523">
        <v>0</v>
      </c>
      <c r="E2247" s="1523">
        <v>0</v>
      </c>
      <c r="F2247" s="1524">
        <v>0</v>
      </c>
      <c r="G2247" s="1537" t="s">
        <v>6205</v>
      </c>
      <c r="H2247" s="1521">
        <v>0</v>
      </c>
      <c r="I2247" s="1521">
        <v>0</v>
      </c>
      <c r="J2247" s="1538">
        <v>0</v>
      </c>
      <c r="K2247" s="1525"/>
      <c r="L2247" s="1519">
        <v>13299950200</v>
      </c>
      <c r="M2247" s="1520">
        <v>0</v>
      </c>
      <c r="N2247" s="1520">
        <v>0</v>
      </c>
      <c r="O2247" s="1521">
        <v>0</v>
      </c>
    </row>
    <row r="2248" spans="3:15" ht="13.5">
      <c r="C2248" s="1526" t="s">
        <v>6206</v>
      </c>
      <c r="D2248" s="1523">
        <v>0</v>
      </c>
      <c r="E2248" s="1523">
        <v>0</v>
      </c>
      <c r="F2248" s="1524">
        <v>0</v>
      </c>
      <c r="G2248" s="1537" t="s">
        <v>6206</v>
      </c>
      <c r="H2248" s="1521">
        <v>0</v>
      </c>
      <c r="I2248" s="1521">
        <v>0</v>
      </c>
      <c r="J2248" s="1538">
        <v>0</v>
      </c>
      <c r="K2248" s="1525"/>
      <c r="L2248" s="1519">
        <v>13299950300</v>
      </c>
      <c r="M2248" s="1520">
        <v>0</v>
      </c>
      <c r="N2248" s="1520">
        <v>0</v>
      </c>
      <c r="O2248" s="1521">
        <v>0</v>
      </c>
    </row>
    <row r="2249" spans="3:15" ht="13.5">
      <c r="C2249" s="1526" t="s">
        <v>6207</v>
      </c>
      <c r="D2249" s="1523">
        <v>0</v>
      </c>
      <c r="E2249" s="1523">
        <v>0</v>
      </c>
      <c r="F2249" s="1524">
        <v>0</v>
      </c>
      <c r="G2249" s="1537" t="s">
        <v>6207</v>
      </c>
      <c r="H2249" s="1521">
        <v>0</v>
      </c>
      <c r="I2249" s="1521">
        <v>0</v>
      </c>
      <c r="J2249" s="1538">
        <v>0</v>
      </c>
      <c r="K2249" s="1525"/>
      <c r="L2249" s="1519">
        <v>13299950400</v>
      </c>
      <c r="M2249" s="1520">
        <v>0</v>
      </c>
      <c r="N2249" s="1520">
        <v>0</v>
      </c>
      <c r="O2249" s="1521">
        <v>0</v>
      </c>
    </row>
    <row r="2250" spans="3:15" ht="13.5">
      <c r="C2250" s="1526" t="s">
        <v>6208</v>
      </c>
      <c r="D2250" s="1523">
        <v>1</v>
      </c>
      <c r="E2250" s="1523">
        <v>0</v>
      </c>
      <c r="F2250" s="1524">
        <v>1</v>
      </c>
      <c r="G2250" s="1537" t="s">
        <v>6208</v>
      </c>
      <c r="H2250" s="1521">
        <v>1</v>
      </c>
      <c r="I2250" s="1521">
        <v>0</v>
      </c>
      <c r="J2250" s="1538">
        <v>1</v>
      </c>
      <c r="K2250" s="1525"/>
      <c r="L2250" s="1519">
        <v>13299950500</v>
      </c>
      <c r="M2250" s="1520">
        <v>1</v>
      </c>
      <c r="N2250" s="1520">
        <v>0</v>
      </c>
      <c r="O2250" s="1521">
        <v>1</v>
      </c>
    </row>
    <row r="2251" spans="3:15" ht="13.5">
      <c r="C2251" s="1526" t="s">
        <v>6209</v>
      </c>
      <c r="D2251" s="1523">
        <v>1</v>
      </c>
      <c r="E2251" s="1523">
        <v>0</v>
      </c>
      <c r="F2251" s="1524">
        <v>1</v>
      </c>
      <c r="G2251" s="1537" t="s">
        <v>6209</v>
      </c>
      <c r="H2251" s="1521">
        <v>1</v>
      </c>
      <c r="I2251" s="1521">
        <v>0</v>
      </c>
      <c r="J2251" s="1538">
        <v>1</v>
      </c>
      <c r="K2251" s="1525"/>
      <c r="L2251" s="1519">
        <v>13299950600</v>
      </c>
      <c r="M2251" s="1520">
        <v>1</v>
      </c>
      <c r="N2251" s="1520">
        <v>0</v>
      </c>
      <c r="O2251" s="1521">
        <v>1</v>
      </c>
    </row>
    <row r="2252" spans="3:15" ht="13.5">
      <c r="C2252" s="1526" t="s">
        <v>6210</v>
      </c>
      <c r="D2252" s="1523">
        <v>0</v>
      </c>
      <c r="E2252" s="1523">
        <v>0</v>
      </c>
      <c r="F2252" s="1524">
        <v>0</v>
      </c>
      <c r="G2252" s="1537" t="s">
        <v>6210</v>
      </c>
      <c r="H2252" s="1521">
        <v>0</v>
      </c>
      <c r="I2252" s="1521">
        <v>0</v>
      </c>
      <c r="J2252" s="1538">
        <v>0</v>
      </c>
      <c r="K2252" s="1525"/>
      <c r="L2252" s="1519">
        <v>13299950700</v>
      </c>
      <c r="M2252" s="1520">
        <v>0</v>
      </c>
      <c r="N2252" s="1520">
        <v>0</v>
      </c>
      <c r="O2252" s="1521">
        <v>0</v>
      </c>
    </row>
    <row r="2253" spans="3:15" ht="13.5">
      <c r="C2253" s="1526" t="s">
        <v>6211</v>
      </c>
      <c r="D2253" s="1523">
        <v>0</v>
      </c>
      <c r="E2253" s="1523">
        <v>0</v>
      </c>
      <c r="F2253" s="1524">
        <v>0</v>
      </c>
      <c r="G2253" s="1537" t="s">
        <v>6211</v>
      </c>
      <c r="H2253" s="1521">
        <v>0</v>
      </c>
      <c r="I2253" s="1521">
        <v>0</v>
      </c>
      <c r="J2253" s="1538">
        <v>0</v>
      </c>
      <c r="K2253" s="1525"/>
      <c r="L2253" s="1519">
        <v>13299950800</v>
      </c>
      <c r="M2253" s="1520">
        <v>0</v>
      </c>
      <c r="N2253" s="1520">
        <v>0</v>
      </c>
      <c r="O2253" s="1521">
        <v>0</v>
      </c>
    </row>
    <row r="2254" spans="3:15" ht="13.5">
      <c r="C2254" s="1526" t="s">
        <v>6212</v>
      </c>
      <c r="D2254" s="1523">
        <v>0</v>
      </c>
      <c r="E2254" s="1523">
        <v>0</v>
      </c>
      <c r="F2254" s="1524">
        <v>0</v>
      </c>
      <c r="G2254" s="1537" t="s">
        <v>6212</v>
      </c>
      <c r="H2254" s="1521">
        <v>0</v>
      </c>
      <c r="I2254" s="1521">
        <v>0</v>
      </c>
      <c r="J2254" s="1538">
        <v>0</v>
      </c>
      <c r="K2254" s="1525"/>
      <c r="L2254" s="1519">
        <v>13299950900</v>
      </c>
      <c r="M2254" s="1520">
        <v>0</v>
      </c>
      <c r="N2254" s="1520">
        <v>0</v>
      </c>
      <c r="O2254" s="1521">
        <v>0</v>
      </c>
    </row>
    <row r="2255" spans="3:15" ht="13.5">
      <c r="C2255" s="1526" t="s">
        <v>6213</v>
      </c>
      <c r="D2255" s="1523">
        <v>0</v>
      </c>
      <c r="E2255" s="1523">
        <v>0</v>
      </c>
      <c r="F2255" s="1524">
        <v>0</v>
      </c>
      <c r="G2255" s="1537" t="s">
        <v>6213</v>
      </c>
      <c r="H2255" s="1521">
        <v>0</v>
      </c>
      <c r="I2255" s="1521">
        <v>0</v>
      </c>
      <c r="J2255" s="1538">
        <v>0</v>
      </c>
      <c r="K2255" s="1525"/>
      <c r="L2255" s="1519">
        <v>13301970400</v>
      </c>
      <c r="M2255" s="1520">
        <v>0</v>
      </c>
      <c r="N2255" s="1520">
        <v>0</v>
      </c>
      <c r="O2255" s="1521">
        <v>0</v>
      </c>
    </row>
    <row r="2256" spans="3:15" ht="13.5">
      <c r="C2256" s="1526" t="s">
        <v>6214</v>
      </c>
      <c r="D2256" s="1523">
        <v>0</v>
      </c>
      <c r="E2256" s="1523">
        <v>0</v>
      </c>
      <c r="F2256" s="1524">
        <v>0</v>
      </c>
      <c r="G2256" s="1537" t="s">
        <v>6214</v>
      </c>
      <c r="H2256" s="1521">
        <v>0</v>
      </c>
      <c r="I2256" s="1521">
        <v>0</v>
      </c>
      <c r="J2256" s="1538">
        <v>0</v>
      </c>
      <c r="K2256" s="1525"/>
      <c r="L2256" s="1519">
        <v>13301970500</v>
      </c>
      <c r="M2256" s="1520">
        <v>0</v>
      </c>
      <c r="N2256" s="1520">
        <v>0</v>
      </c>
      <c r="O2256" s="1521">
        <v>0</v>
      </c>
    </row>
    <row r="2257" spans="3:15" ht="13.5">
      <c r="C2257" s="1526" t="s">
        <v>6215</v>
      </c>
      <c r="D2257" s="1523">
        <v>0</v>
      </c>
      <c r="E2257" s="1523">
        <v>0</v>
      </c>
      <c r="F2257" s="1524">
        <v>0</v>
      </c>
      <c r="G2257" s="1537" t="s">
        <v>6215</v>
      </c>
      <c r="H2257" s="1521">
        <v>0</v>
      </c>
      <c r="I2257" s="1521">
        <v>1</v>
      </c>
      <c r="J2257" s="1538">
        <v>1</v>
      </c>
      <c r="K2257" s="1525"/>
      <c r="L2257" s="1519">
        <v>13303950100</v>
      </c>
      <c r="M2257" s="1520">
        <v>0</v>
      </c>
      <c r="N2257" s="1520">
        <v>1</v>
      </c>
      <c r="O2257" s="1521">
        <v>1</v>
      </c>
    </row>
    <row r="2258" spans="3:15" ht="13.5">
      <c r="C2258" s="1526" t="s">
        <v>6216</v>
      </c>
      <c r="D2258" s="1523">
        <v>0</v>
      </c>
      <c r="E2258" s="1523">
        <v>0</v>
      </c>
      <c r="F2258" s="1524">
        <v>0</v>
      </c>
      <c r="G2258" s="1537" t="s">
        <v>6216</v>
      </c>
      <c r="H2258" s="1521">
        <v>0</v>
      </c>
      <c r="I2258" s="1521">
        <v>0</v>
      </c>
      <c r="J2258" s="1538">
        <v>0</v>
      </c>
      <c r="K2258" s="1525"/>
      <c r="L2258" s="1519">
        <v>13303950300</v>
      </c>
      <c r="M2258" s="1520">
        <v>0</v>
      </c>
      <c r="N2258" s="1520">
        <v>0</v>
      </c>
      <c r="O2258" s="1521">
        <v>0</v>
      </c>
    </row>
    <row r="2259" spans="3:15" ht="13.5">
      <c r="C2259" s="1526" t="s">
        <v>6217</v>
      </c>
      <c r="D2259" s="1523">
        <v>0</v>
      </c>
      <c r="E2259" s="1523">
        <v>0</v>
      </c>
      <c r="F2259" s="1524">
        <v>0</v>
      </c>
      <c r="G2259" s="1537" t="s">
        <v>6217</v>
      </c>
      <c r="H2259" s="1521">
        <v>0</v>
      </c>
      <c r="I2259" s="1521">
        <v>0</v>
      </c>
      <c r="J2259" s="1538">
        <v>0</v>
      </c>
      <c r="K2259" s="1525"/>
      <c r="L2259" s="1519">
        <v>13303950400</v>
      </c>
      <c r="M2259" s="1520">
        <v>0</v>
      </c>
      <c r="N2259" s="1520">
        <v>0</v>
      </c>
      <c r="O2259" s="1521">
        <v>0</v>
      </c>
    </row>
    <row r="2260" spans="3:15" ht="13.5">
      <c r="C2260" s="1526" t="s">
        <v>6218</v>
      </c>
      <c r="D2260" s="1523">
        <v>0</v>
      </c>
      <c r="E2260" s="1523">
        <v>0</v>
      </c>
      <c r="F2260" s="1524">
        <v>0</v>
      </c>
      <c r="G2260" s="1537" t="s">
        <v>6218</v>
      </c>
      <c r="H2260" s="1521">
        <v>0</v>
      </c>
      <c r="I2260" s="1521">
        <v>0</v>
      </c>
      <c r="J2260" s="1538">
        <v>0</v>
      </c>
      <c r="K2260" s="1525"/>
      <c r="L2260" s="1519">
        <v>13303950500</v>
      </c>
      <c r="M2260" s="1520">
        <v>0</v>
      </c>
      <c r="N2260" s="1520">
        <v>0</v>
      </c>
      <c r="O2260" s="1521">
        <v>0</v>
      </c>
    </row>
    <row r="2261" spans="3:15" ht="13.5">
      <c r="C2261" s="1526" t="s">
        <v>6219</v>
      </c>
      <c r="D2261" s="1523">
        <v>0</v>
      </c>
      <c r="E2261" s="1523">
        <v>0</v>
      </c>
      <c r="F2261" s="1524">
        <v>0</v>
      </c>
      <c r="G2261" s="1537" t="s">
        <v>6219</v>
      </c>
      <c r="H2261" s="1521">
        <v>0</v>
      </c>
      <c r="I2261" s="1521">
        <v>1</v>
      </c>
      <c r="J2261" s="1538">
        <v>1</v>
      </c>
      <c r="K2261" s="1525"/>
      <c r="L2261" s="1519">
        <v>13303950700</v>
      </c>
      <c r="M2261" s="1520">
        <v>0</v>
      </c>
      <c r="N2261" s="1520">
        <v>1</v>
      </c>
      <c r="O2261" s="1521">
        <v>1</v>
      </c>
    </row>
    <row r="2262" spans="3:15" ht="13.5">
      <c r="C2262" s="1526" t="s">
        <v>6220</v>
      </c>
      <c r="D2262" s="1523">
        <v>0</v>
      </c>
      <c r="E2262" s="1523">
        <v>0</v>
      </c>
      <c r="F2262" s="1524">
        <v>0</v>
      </c>
      <c r="G2262" s="1537" t="s">
        <v>6220</v>
      </c>
      <c r="H2262" s="1521">
        <v>0</v>
      </c>
      <c r="I2262" s="1521">
        <v>0</v>
      </c>
      <c r="J2262" s="1538">
        <v>0</v>
      </c>
      <c r="K2262" s="1525"/>
      <c r="L2262" s="1519">
        <v>13305970100</v>
      </c>
      <c r="M2262" s="1520">
        <v>0</v>
      </c>
      <c r="N2262" s="1520">
        <v>0</v>
      </c>
      <c r="O2262" s="1521">
        <v>0</v>
      </c>
    </row>
    <row r="2263" spans="3:15" ht="13.5">
      <c r="C2263" s="1526" t="s">
        <v>6221</v>
      </c>
      <c r="D2263" s="1523">
        <v>0</v>
      </c>
      <c r="E2263" s="1523">
        <v>0</v>
      </c>
      <c r="F2263" s="1524">
        <v>0</v>
      </c>
      <c r="G2263" s="1537" t="s">
        <v>6221</v>
      </c>
      <c r="H2263" s="1521">
        <v>0</v>
      </c>
      <c r="I2263" s="1521">
        <v>0</v>
      </c>
      <c r="J2263" s="1538">
        <v>0</v>
      </c>
      <c r="K2263" s="1525"/>
      <c r="L2263" s="1519">
        <v>13305970200</v>
      </c>
      <c r="M2263" s="1520">
        <v>0</v>
      </c>
      <c r="N2263" s="1520">
        <v>0</v>
      </c>
      <c r="O2263" s="1521">
        <v>0</v>
      </c>
    </row>
    <row r="2264" spans="3:15" ht="13.5">
      <c r="C2264" s="1526" t="s">
        <v>6222</v>
      </c>
      <c r="D2264" s="1523">
        <v>0</v>
      </c>
      <c r="E2264" s="1523">
        <v>0</v>
      </c>
      <c r="F2264" s="1524">
        <v>0</v>
      </c>
      <c r="G2264" s="1537" t="s">
        <v>6222</v>
      </c>
      <c r="H2264" s="1521">
        <v>0</v>
      </c>
      <c r="I2264" s="1521">
        <v>0</v>
      </c>
      <c r="J2264" s="1538">
        <v>0</v>
      </c>
      <c r="K2264" s="1525"/>
      <c r="L2264" s="1519">
        <v>13305970300</v>
      </c>
      <c r="M2264" s="1520">
        <v>0</v>
      </c>
      <c r="N2264" s="1520">
        <v>0</v>
      </c>
      <c r="O2264" s="1521">
        <v>0</v>
      </c>
    </row>
    <row r="2265" spans="3:15" ht="13.5">
      <c r="C2265" s="1526" t="s">
        <v>6223</v>
      </c>
      <c r="D2265" s="1523">
        <v>0</v>
      </c>
      <c r="E2265" s="1523">
        <v>0</v>
      </c>
      <c r="F2265" s="1524">
        <v>0</v>
      </c>
      <c r="G2265" s="1537" t="s">
        <v>6223</v>
      </c>
      <c r="H2265" s="1521">
        <v>0</v>
      </c>
      <c r="I2265" s="1521">
        <v>0</v>
      </c>
      <c r="J2265" s="1538">
        <v>0</v>
      </c>
      <c r="K2265" s="1525"/>
      <c r="L2265" s="1519">
        <v>13305970400</v>
      </c>
      <c r="M2265" s="1520">
        <v>0</v>
      </c>
      <c r="N2265" s="1520">
        <v>0</v>
      </c>
      <c r="O2265" s="1521">
        <v>0</v>
      </c>
    </row>
    <row r="2266" spans="3:15" ht="13.5">
      <c r="C2266" s="1526" t="s">
        <v>6224</v>
      </c>
      <c r="D2266" s="1523">
        <v>0</v>
      </c>
      <c r="E2266" s="1523">
        <v>0</v>
      </c>
      <c r="F2266" s="1524">
        <v>0</v>
      </c>
      <c r="G2266" s="1537" t="s">
        <v>6224</v>
      </c>
      <c r="H2266" s="1521">
        <v>0</v>
      </c>
      <c r="I2266" s="1521">
        <v>0</v>
      </c>
      <c r="J2266" s="1538">
        <v>0</v>
      </c>
      <c r="K2266" s="1525"/>
      <c r="L2266" s="1519">
        <v>13305970500</v>
      </c>
      <c r="M2266" s="1520">
        <v>0</v>
      </c>
      <c r="N2266" s="1520">
        <v>0</v>
      </c>
      <c r="O2266" s="1521">
        <v>0</v>
      </c>
    </row>
    <row r="2267" spans="3:15" ht="13.5">
      <c r="C2267" s="1526" t="s">
        <v>6225</v>
      </c>
      <c r="D2267" s="1523">
        <v>0</v>
      </c>
      <c r="E2267" s="1523">
        <v>0</v>
      </c>
      <c r="F2267" s="1524">
        <v>0</v>
      </c>
      <c r="G2267" s="1537" t="s">
        <v>6225</v>
      </c>
      <c r="H2267" s="1521">
        <v>0</v>
      </c>
      <c r="I2267" s="1521">
        <v>0</v>
      </c>
      <c r="J2267" s="1538">
        <v>0</v>
      </c>
      <c r="K2267" s="1525"/>
      <c r="L2267" s="1519">
        <v>13305970600</v>
      </c>
      <c r="M2267" s="1520">
        <v>0</v>
      </c>
      <c r="N2267" s="1520">
        <v>0</v>
      </c>
      <c r="O2267" s="1521">
        <v>0</v>
      </c>
    </row>
    <row r="2268" spans="3:15" ht="13.5">
      <c r="C2268" s="1526" t="s">
        <v>6226</v>
      </c>
      <c r="D2268" s="1523">
        <v>0</v>
      </c>
      <c r="E2268" s="1523">
        <v>0</v>
      </c>
      <c r="F2268" s="1524">
        <v>0</v>
      </c>
      <c r="G2268" s="1537" t="s">
        <v>6226</v>
      </c>
      <c r="H2268" s="1521">
        <v>0</v>
      </c>
      <c r="I2268" s="1521">
        <v>1</v>
      </c>
      <c r="J2268" s="1538">
        <v>1</v>
      </c>
      <c r="K2268" s="1525"/>
      <c r="L2268" s="1519">
        <v>13307960100</v>
      </c>
      <c r="M2268" s="1520">
        <v>0</v>
      </c>
      <c r="N2268" s="1520">
        <v>1</v>
      </c>
      <c r="O2268" s="1521">
        <v>1</v>
      </c>
    </row>
    <row r="2269" spans="3:15" ht="13.5">
      <c r="C2269" s="1526" t="s">
        <v>6227</v>
      </c>
      <c r="D2269" s="1523">
        <v>0</v>
      </c>
      <c r="E2269" s="1523">
        <v>0</v>
      </c>
      <c r="F2269" s="1524">
        <v>0</v>
      </c>
      <c r="G2269" s="1537" t="s">
        <v>6227</v>
      </c>
      <c r="H2269" s="1521">
        <v>0</v>
      </c>
      <c r="I2269" s="1521">
        <v>0</v>
      </c>
      <c r="J2269" s="1538">
        <v>0</v>
      </c>
      <c r="K2269" s="1525"/>
      <c r="L2269" s="1519">
        <v>13307960200</v>
      </c>
      <c r="M2269" s="1520">
        <v>0</v>
      </c>
      <c r="N2269" s="1520">
        <v>0</v>
      </c>
      <c r="O2269" s="1521">
        <v>0</v>
      </c>
    </row>
    <row r="2270" spans="3:15" ht="13.5">
      <c r="C2270" s="1526" t="s">
        <v>6228</v>
      </c>
      <c r="D2270" s="1523">
        <v>0</v>
      </c>
      <c r="E2270" s="1523">
        <v>0</v>
      </c>
      <c r="F2270" s="1524">
        <v>0</v>
      </c>
      <c r="G2270" s="1537" t="s">
        <v>6228</v>
      </c>
      <c r="H2270" s="1521">
        <v>0</v>
      </c>
      <c r="I2270" s="1521">
        <v>0</v>
      </c>
      <c r="J2270" s="1538">
        <v>0</v>
      </c>
      <c r="K2270" s="1525"/>
      <c r="L2270" s="1519">
        <v>13309780100</v>
      </c>
      <c r="M2270" s="1520">
        <v>0</v>
      </c>
      <c r="N2270" s="1520">
        <v>0</v>
      </c>
      <c r="O2270" s="1521">
        <v>0</v>
      </c>
    </row>
    <row r="2271" spans="3:15" ht="13.5">
      <c r="C2271" s="1526" t="s">
        <v>6229</v>
      </c>
      <c r="D2271" s="1523">
        <v>0</v>
      </c>
      <c r="E2271" s="1523">
        <v>0</v>
      </c>
      <c r="F2271" s="1524">
        <v>0</v>
      </c>
      <c r="G2271" s="1537" t="s">
        <v>6229</v>
      </c>
      <c r="H2271" s="1521">
        <v>0</v>
      </c>
      <c r="I2271" s="1521">
        <v>1</v>
      </c>
      <c r="J2271" s="1538">
        <v>1</v>
      </c>
      <c r="K2271" s="1525"/>
      <c r="L2271" s="1519">
        <v>13309780200</v>
      </c>
      <c r="M2271" s="1520">
        <v>0</v>
      </c>
      <c r="N2271" s="1520">
        <v>1</v>
      </c>
      <c r="O2271" s="1521">
        <v>1</v>
      </c>
    </row>
    <row r="2272" spans="3:15" ht="13.5">
      <c r="C2272" s="1526" t="s">
        <v>6230</v>
      </c>
      <c r="D2272" s="1523">
        <v>1</v>
      </c>
      <c r="E2272" s="1523">
        <v>0</v>
      </c>
      <c r="F2272" s="1524">
        <v>1</v>
      </c>
      <c r="G2272" s="1537" t="s">
        <v>6230</v>
      </c>
      <c r="H2272" s="1521">
        <v>1</v>
      </c>
      <c r="I2272" s="1521">
        <v>0</v>
      </c>
      <c r="J2272" s="1538">
        <v>1</v>
      </c>
      <c r="K2272" s="1525"/>
      <c r="L2272" s="1519">
        <v>13311950100</v>
      </c>
      <c r="M2272" s="1520">
        <v>1</v>
      </c>
      <c r="N2272" s="1520">
        <v>0</v>
      </c>
      <c r="O2272" s="1521">
        <v>1</v>
      </c>
    </row>
    <row r="2273" spans="3:15" ht="13.5">
      <c r="C2273" s="1526" t="s">
        <v>6231</v>
      </c>
      <c r="D2273" s="1523">
        <v>0</v>
      </c>
      <c r="E2273" s="1523">
        <v>0</v>
      </c>
      <c r="F2273" s="1524">
        <v>0</v>
      </c>
      <c r="G2273" s="1537" t="s">
        <v>6231</v>
      </c>
      <c r="H2273" s="1521">
        <v>0</v>
      </c>
      <c r="I2273" s="1521">
        <v>0</v>
      </c>
      <c r="J2273" s="1538">
        <v>0</v>
      </c>
      <c r="K2273" s="1525"/>
      <c r="L2273" s="1519">
        <v>13311950201</v>
      </c>
      <c r="M2273" s="1520">
        <v>0</v>
      </c>
      <c r="N2273" s="1520">
        <v>0</v>
      </c>
      <c r="O2273" s="1521">
        <v>0</v>
      </c>
    </row>
    <row r="2274" spans="3:15" ht="13.5">
      <c r="C2274" s="1526" t="s">
        <v>6232</v>
      </c>
      <c r="D2274" s="1523">
        <v>1</v>
      </c>
      <c r="E2274" s="1523">
        <v>1</v>
      </c>
      <c r="F2274" s="1524">
        <v>2</v>
      </c>
      <c r="G2274" s="1537" t="s">
        <v>6232</v>
      </c>
      <c r="H2274" s="1521">
        <v>0</v>
      </c>
      <c r="I2274" s="1521">
        <v>1</v>
      </c>
      <c r="J2274" s="1538">
        <v>1</v>
      </c>
      <c r="K2274" s="1525"/>
      <c r="L2274" s="1519">
        <v>13311950202</v>
      </c>
      <c r="M2274" s="1520">
        <v>1</v>
      </c>
      <c r="N2274" s="1520">
        <v>1</v>
      </c>
      <c r="O2274" s="1521">
        <v>2</v>
      </c>
    </row>
    <row r="2275" spans="3:15" ht="13.5">
      <c r="C2275" s="1526" t="s">
        <v>6233</v>
      </c>
      <c r="D2275" s="1523">
        <v>1</v>
      </c>
      <c r="E2275" s="1523">
        <v>0</v>
      </c>
      <c r="F2275" s="1524">
        <v>1</v>
      </c>
      <c r="G2275" s="1537" t="s">
        <v>6233</v>
      </c>
      <c r="H2275" s="1521">
        <v>0</v>
      </c>
      <c r="I2275" s="1521">
        <v>1</v>
      </c>
      <c r="J2275" s="1538">
        <v>1</v>
      </c>
      <c r="K2275" s="1525"/>
      <c r="L2275" s="1519">
        <v>13311950203</v>
      </c>
      <c r="M2275" s="1520">
        <v>1</v>
      </c>
      <c r="N2275" s="1520">
        <v>1</v>
      </c>
      <c r="O2275" s="1521">
        <v>1</v>
      </c>
    </row>
    <row r="2276" spans="3:15" ht="13.5">
      <c r="C2276" s="1526" t="s">
        <v>6234</v>
      </c>
      <c r="D2276" s="1523">
        <v>0</v>
      </c>
      <c r="E2276" s="1523">
        <v>1</v>
      </c>
      <c r="F2276" s="1524">
        <v>1</v>
      </c>
      <c r="G2276" s="1537" t="s">
        <v>6234</v>
      </c>
      <c r="H2276" s="1521">
        <v>0</v>
      </c>
      <c r="I2276" s="1521">
        <v>1</v>
      </c>
      <c r="J2276" s="1538">
        <v>1</v>
      </c>
      <c r="K2276" s="1525"/>
      <c r="L2276" s="1519">
        <v>13311950300</v>
      </c>
      <c r="M2276" s="1520">
        <v>0</v>
      </c>
      <c r="N2276" s="1520">
        <v>1</v>
      </c>
      <c r="O2276" s="1521">
        <v>1</v>
      </c>
    </row>
    <row r="2277" spans="3:15" ht="13.5">
      <c r="C2277" s="1526" t="s">
        <v>6235</v>
      </c>
      <c r="D2277" s="1523">
        <v>0</v>
      </c>
      <c r="E2277" s="1523">
        <v>0</v>
      </c>
      <c r="F2277" s="1524">
        <v>0</v>
      </c>
      <c r="G2277" s="1537" t="s">
        <v>6235</v>
      </c>
      <c r="H2277" s="1521">
        <v>0</v>
      </c>
      <c r="I2277" s="1521">
        <v>1</v>
      </c>
      <c r="J2277" s="1538">
        <v>1</v>
      </c>
      <c r="K2277" s="1525"/>
      <c r="L2277" s="1519">
        <v>13313000101</v>
      </c>
      <c r="M2277" s="1520">
        <v>0</v>
      </c>
      <c r="N2277" s="1520">
        <v>1</v>
      </c>
      <c r="O2277" s="1521">
        <v>1</v>
      </c>
    </row>
    <row r="2278" spans="3:15" ht="13.5">
      <c r="C2278" s="1526" t="s">
        <v>6236</v>
      </c>
      <c r="D2278" s="1523">
        <v>0</v>
      </c>
      <c r="E2278" s="1523">
        <v>1</v>
      </c>
      <c r="F2278" s="1524">
        <v>1</v>
      </c>
      <c r="G2278" s="1537" t="s">
        <v>6236</v>
      </c>
      <c r="H2278" s="1521">
        <v>0</v>
      </c>
      <c r="I2278" s="1521">
        <v>0</v>
      </c>
      <c r="J2278" s="1538">
        <v>0</v>
      </c>
      <c r="K2278" s="1525"/>
      <c r="L2278" s="1519">
        <v>13313000102</v>
      </c>
      <c r="M2278" s="1520">
        <v>0</v>
      </c>
      <c r="N2278" s="1520">
        <v>1</v>
      </c>
      <c r="O2278" s="1521">
        <v>1</v>
      </c>
    </row>
    <row r="2279" spans="3:15" ht="13.5">
      <c r="C2279" s="1526" t="s">
        <v>6237</v>
      </c>
      <c r="D2279" s="1523">
        <v>0</v>
      </c>
      <c r="E2279" s="1523">
        <v>1</v>
      </c>
      <c r="F2279" s="1524">
        <v>1</v>
      </c>
      <c r="G2279" s="1537" t="s">
        <v>6237</v>
      </c>
      <c r="H2279" s="1521">
        <v>0</v>
      </c>
      <c r="I2279" s="1521">
        <v>1</v>
      </c>
      <c r="J2279" s="1538">
        <v>1</v>
      </c>
      <c r="K2279" s="1525"/>
      <c r="L2279" s="1519">
        <v>13313000200</v>
      </c>
      <c r="M2279" s="1520">
        <v>0</v>
      </c>
      <c r="N2279" s="1520">
        <v>1</v>
      </c>
      <c r="O2279" s="1521">
        <v>1</v>
      </c>
    </row>
    <row r="2280" spans="3:15" ht="13.5">
      <c r="C2280" s="1526" t="s">
        <v>6238</v>
      </c>
      <c r="D2280" s="1523">
        <v>0</v>
      </c>
      <c r="E2280" s="1523">
        <v>0</v>
      </c>
      <c r="F2280" s="1524">
        <v>0</v>
      </c>
      <c r="G2280" s="1537" t="s">
        <v>6238</v>
      </c>
      <c r="H2280" s="1521">
        <v>0</v>
      </c>
      <c r="I2280" s="1521">
        <v>0</v>
      </c>
      <c r="J2280" s="1538">
        <v>0</v>
      </c>
      <c r="K2280" s="1525"/>
      <c r="L2280" s="1519">
        <v>13313000301</v>
      </c>
      <c r="M2280" s="1520">
        <v>0</v>
      </c>
      <c r="N2280" s="1520">
        <v>0</v>
      </c>
      <c r="O2280" s="1521">
        <v>0</v>
      </c>
    </row>
    <row r="2281" spans="3:15" ht="13.5">
      <c r="C2281" s="1526" t="s">
        <v>6239</v>
      </c>
      <c r="D2281" s="1523">
        <v>0</v>
      </c>
      <c r="E2281" s="1523">
        <v>1</v>
      </c>
      <c r="F2281" s="1524">
        <v>1</v>
      </c>
      <c r="G2281" s="1537" t="s">
        <v>6239</v>
      </c>
      <c r="H2281" s="1521">
        <v>1</v>
      </c>
      <c r="I2281" s="1521">
        <v>1</v>
      </c>
      <c r="J2281" s="1538">
        <v>2</v>
      </c>
      <c r="K2281" s="1525"/>
      <c r="L2281" s="1519">
        <v>13313000302</v>
      </c>
      <c r="M2281" s="1520">
        <v>1</v>
      </c>
      <c r="N2281" s="1520">
        <v>1</v>
      </c>
      <c r="O2281" s="1521">
        <v>2</v>
      </c>
    </row>
    <row r="2282" spans="3:15" ht="13.5">
      <c r="C2282" s="1526" t="s">
        <v>6240</v>
      </c>
      <c r="D2282" s="1523">
        <v>0</v>
      </c>
      <c r="E2282" s="1523">
        <v>0</v>
      </c>
      <c r="F2282" s="1524">
        <v>0</v>
      </c>
      <c r="G2282" s="1537" t="s">
        <v>6240</v>
      </c>
      <c r="H2282" s="1521">
        <v>0</v>
      </c>
      <c r="I2282" s="1521">
        <v>0</v>
      </c>
      <c r="J2282" s="1538">
        <v>0</v>
      </c>
      <c r="K2282" s="1525"/>
      <c r="L2282" s="1519">
        <v>13313000400</v>
      </c>
      <c r="M2282" s="1520">
        <v>0</v>
      </c>
      <c r="N2282" s="1520">
        <v>0</v>
      </c>
      <c r="O2282" s="1521">
        <v>0</v>
      </c>
    </row>
    <row r="2283" spans="3:15" ht="13.5">
      <c r="C2283" s="1526" t="s">
        <v>6241</v>
      </c>
      <c r="D2283" s="1523">
        <v>1</v>
      </c>
      <c r="E2283" s="1523">
        <v>0</v>
      </c>
      <c r="F2283" s="1524">
        <v>1</v>
      </c>
      <c r="G2283" s="1537" t="s">
        <v>6241</v>
      </c>
      <c r="H2283" s="1521">
        <v>1</v>
      </c>
      <c r="I2283" s="1521">
        <v>1</v>
      </c>
      <c r="J2283" s="1538">
        <v>2</v>
      </c>
      <c r="K2283" s="1525"/>
      <c r="L2283" s="1519">
        <v>13313000501</v>
      </c>
      <c r="M2283" s="1520">
        <v>1</v>
      </c>
      <c r="N2283" s="1520">
        <v>1</v>
      </c>
      <c r="O2283" s="1521">
        <v>2</v>
      </c>
    </row>
    <row r="2284" spans="3:15" ht="13.5">
      <c r="C2284" s="1526" t="s">
        <v>6242</v>
      </c>
      <c r="D2284" s="1523">
        <v>0</v>
      </c>
      <c r="E2284" s="1523">
        <v>0</v>
      </c>
      <c r="F2284" s="1524">
        <v>0</v>
      </c>
      <c r="G2284" s="1537" t="s">
        <v>6242</v>
      </c>
      <c r="H2284" s="1521">
        <v>0</v>
      </c>
      <c r="I2284" s="1521">
        <v>0</v>
      </c>
      <c r="J2284" s="1538">
        <v>0</v>
      </c>
      <c r="K2284" s="1525"/>
      <c r="L2284" s="1519">
        <v>13313000502</v>
      </c>
      <c r="M2284" s="1520">
        <v>0</v>
      </c>
      <c r="N2284" s="1520">
        <v>0</v>
      </c>
      <c r="O2284" s="1521">
        <v>0</v>
      </c>
    </row>
    <row r="2285" spans="3:15" ht="13.5">
      <c r="C2285" s="1526" t="s">
        <v>6243</v>
      </c>
      <c r="D2285" s="1523">
        <v>0</v>
      </c>
      <c r="E2285" s="1523">
        <v>1</v>
      </c>
      <c r="F2285" s="1524">
        <v>1</v>
      </c>
      <c r="G2285" s="1537" t="s">
        <v>6243</v>
      </c>
      <c r="H2285" s="1521">
        <v>0</v>
      </c>
      <c r="I2285" s="1521">
        <v>0</v>
      </c>
      <c r="J2285" s="1538">
        <v>0</v>
      </c>
      <c r="K2285" s="1525"/>
      <c r="L2285" s="1519">
        <v>13313000600</v>
      </c>
      <c r="M2285" s="1520">
        <v>0</v>
      </c>
      <c r="N2285" s="1520">
        <v>1</v>
      </c>
      <c r="O2285" s="1521">
        <v>1</v>
      </c>
    </row>
    <row r="2286" spans="3:15" ht="13.5">
      <c r="C2286" s="1526" t="s">
        <v>6244</v>
      </c>
      <c r="D2286" s="1523">
        <v>0</v>
      </c>
      <c r="E2286" s="1523">
        <v>1</v>
      </c>
      <c r="F2286" s="1524">
        <v>1</v>
      </c>
      <c r="G2286" s="1537" t="s">
        <v>6244</v>
      </c>
      <c r="H2286" s="1521">
        <v>0</v>
      </c>
      <c r="I2286" s="1521">
        <v>1</v>
      </c>
      <c r="J2286" s="1538">
        <v>1</v>
      </c>
      <c r="K2286" s="1525"/>
      <c r="L2286" s="1519">
        <v>13313000700</v>
      </c>
      <c r="M2286" s="1520">
        <v>0</v>
      </c>
      <c r="N2286" s="1520">
        <v>1</v>
      </c>
      <c r="O2286" s="1521">
        <v>1</v>
      </c>
    </row>
    <row r="2287" spans="3:15" ht="13.5">
      <c r="C2287" s="1526" t="s">
        <v>6245</v>
      </c>
      <c r="D2287" s="1523">
        <v>1</v>
      </c>
      <c r="E2287" s="1523">
        <v>0</v>
      </c>
      <c r="F2287" s="1524">
        <v>1</v>
      </c>
      <c r="G2287" s="1537" t="s">
        <v>6245</v>
      </c>
      <c r="H2287" s="1521">
        <v>1</v>
      </c>
      <c r="I2287" s="1521">
        <v>0</v>
      </c>
      <c r="J2287" s="1538">
        <v>1</v>
      </c>
      <c r="K2287" s="1525"/>
      <c r="L2287" s="1519">
        <v>13313000800</v>
      </c>
      <c r="M2287" s="1520">
        <v>1</v>
      </c>
      <c r="N2287" s="1520">
        <v>0</v>
      </c>
      <c r="O2287" s="1521">
        <v>1</v>
      </c>
    </row>
    <row r="2288" spans="3:15" ht="13.5">
      <c r="C2288" s="1526" t="s">
        <v>6246</v>
      </c>
      <c r="D2288" s="1523">
        <v>1</v>
      </c>
      <c r="E2288" s="1523">
        <v>1</v>
      </c>
      <c r="F2288" s="1524">
        <v>2</v>
      </c>
      <c r="G2288" s="1537" t="s">
        <v>6246</v>
      </c>
      <c r="H2288" s="1521">
        <v>1</v>
      </c>
      <c r="I2288" s="1521">
        <v>1</v>
      </c>
      <c r="J2288" s="1538">
        <v>2</v>
      </c>
      <c r="K2288" s="1525"/>
      <c r="L2288" s="1519">
        <v>13313000900</v>
      </c>
      <c r="M2288" s="1520">
        <v>1</v>
      </c>
      <c r="N2288" s="1520">
        <v>1</v>
      </c>
      <c r="O2288" s="1521">
        <v>2</v>
      </c>
    </row>
    <row r="2289" spans="3:15" ht="13.5">
      <c r="C2289" s="1526" t="s">
        <v>6247</v>
      </c>
      <c r="D2289" s="1523">
        <v>0</v>
      </c>
      <c r="E2289" s="1523">
        <v>0</v>
      </c>
      <c r="F2289" s="1524">
        <v>0</v>
      </c>
      <c r="G2289" s="1537" t="s">
        <v>6247</v>
      </c>
      <c r="H2289" s="1521">
        <v>1</v>
      </c>
      <c r="I2289" s="1521">
        <v>0</v>
      </c>
      <c r="J2289" s="1538">
        <v>0</v>
      </c>
      <c r="K2289" s="1525"/>
      <c r="L2289" s="1519">
        <v>13313001000</v>
      </c>
      <c r="M2289" s="1520">
        <v>1</v>
      </c>
      <c r="N2289" s="1520">
        <v>0</v>
      </c>
      <c r="O2289" s="1521">
        <v>0</v>
      </c>
    </row>
    <row r="2290" spans="3:15" ht="13.5">
      <c r="C2290" s="1526" t="s">
        <v>6248</v>
      </c>
      <c r="D2290" s="1523">
        <v>0</v>
      </c>
      <c r="E2290" s="1523">
        <v>0</v>
      </c>
      <c r="F2290" s="1524">
        <v>0</v>
      </c>
      <c r="G2290" s="1537" t="s">
        <v>6248</v>
      </c>
      <c r="H2290" s="1521">
        <v>0</v>
      </c>
      <c r="I2290" s="1521">
        <v>0</v>
      </c>
      <c r="J2290" s="1538">
        <v>0</v>
      </c>
      <c r="K2290" s="1525"/>
      <c r="L2290" s="1519">
        <v>13313001100</v>
      </c>
      <c r="M2290" s="1520">
        <v>0</v>
      </c>
      <c r="N2290" s="1520">
        <v>0</v>
      </c>
      <c r="O2290" s="1521">
        <v>0</v>
      </c>
    </row>
    <row r="2291" spans="3:15" ht="13.5">
      <c r="C2291" s="1526" t="s">
        <v>6249</v>
      </c>
      <c r="D2291" s="1523">
        <v>0</v>
      </c>
      <c r="E2291" s="1523">
        <v>0</v>
      </c>
      <c r="F2291" s="1524">
        <v>0</v>
      </c>
      <c r="G2291" s="1537" t="s">
        <v>6249</v>
      </c>
      <c r="H2291" s="1521">
        <v>0</v>
      </c>
      <c r="I2291" s="1521">
        <v>0</v>
      </c>
      <c r="J2291" s="1538">
        <v>0</v>
      </c>
      <c r="K2291" s="1525"/>
      <c r="L2291" s="1519">
        <v>13313001200</v>
      </c>
      <c r="M2291" s="1520">
        <v>0</v>
      </c>
      <c r="N2291" s="1520">
        <v>0</v>
      </c>
      <c r="O2291" s="1521">
        <v>0</v>
      </c>
    </row>
    <row r="2292" spans="3:15" ht="13.5">
      <c r="C2292" s="1526" t="s">
        <v>6250</v>
      </c>
      <c r="D2292" s="1523">
        <v>0</v>
      </c>
      <c r="E2292" s="1523">
        <v>0</v>
      </c>
      <c r="F2292" s="1524">
        <v>0</v>
      </c>
      <c r="G2292" s="1537" t="s">
        <v>6250</v>
      </c>
      <c r="H2292" s="1521">
        <v>0</v>
      </c>
      <c r="I2292" s="1521">
        <v>0</v>
      </c>
      <c r="J2292" s="1538">
        <v>0</v>
      </c>
      <c r="K2292" s="1525"/>
      <c r="L2292" s="1519">
        <v>13313001300</v>
      </c>
      <c r="M2292" s="1520">
        <v>0</v>
      </c>
      <c r="N2292" s="1520">
        <v>0</v>
      </c>
      <c r="O2292" s="1521">
        <v>0</v>
      </c>
    </row>
    <row r="2293" spans="3:15" ht="13.5">
      <c r="C2293" s="1526" t="s">
        <v>6251</v>
      </c>
      <c r="D2293" s="1523">
        <v>0</v>
      </c>
      <c r="E2293" s="1523">
        <v>0</v>
      </c>
      <c r="F2293" s="1524">
        <v>0</v>
      </c>
      <c r="G2293" s="1537" t="s">
        <v>6251</v>
      </c>
      <c r="H2293" s="1521">
        <v>0</v>
      </c>
      <c r="I2293" s="1521">
        <v>0</v>
      </c>
      <c r="J2293" s="1538">
        <v>0</v>
      </c>
      <c r="K2293" s="1525"/>
      <c r="L2293" s="1519">
        <v>13313001400</v>
      </c>
      <c r="M2293" s="1520">
        <v>0</v>
      </c>
      <c r="N2293" s="1520">
        <v>0</v>
      </c>
      <c r="O2293" s="1521">
        <v>0</v>
      </c>
    </row>
    <row r="2294" spans="3:15" ht="13.5">
      <c r="C2294" s="1526" t="s">
        <v>6252</v>
      </c>
      <c r="D2294" s="1523">
        <v>1</v>
      </c>
      <c r="E2294" s="1523">
        <v>0</v>
      </c>
      <c r="F2294" s="1524">
        <v>1</v>
      </c>
      <c r="G2294" s="1537" t="s">
        <v>6252</v>
      </c>
      <c r="H2294" s="1521">
        <v>0</v>
      </c>
      <c r="I2294" s="1521">
        <v>0</v>
      </c>
      <c r="J2294" s="1538">
        <v>0</v>
      </c>
      <c r="K2294" s="1525"/>
      <c r="L2294" s="1519">
        <v>13313001500</v>
      </c>
      <c r="M2294" s="1520">
        <v>1</v>
      </c>
      <c r="N2294" s="1520">
        <v>0</v>
      </c>
      <c r="O2294" s="1521">
        <v>1</v>
      </c>
    </row>
    <row r="2295" spans="3:15" ht="13.5">
      <c r="C2295" s="1526" t="s">
        <v>6253</v>
      </c>
      <c r="D2295" s="1523">
        <v>0</v>
      </c>
      <c r="E2295" s="1523">
        <v>0</v>
      </c>
      <c r="F2295" s="1524">
        <v>0</v>
      </c>
      <c r="G2295" s="1537" t="s">
        <v>6253</v>
      </c>
      <c r="H2295" s="1521">
        <v>0</v>
      </c>
      <c r="I2295" s="1521">
        <v>0</v>
      </c>
      <c r="J2295" s="1538">
        <v>0</v>
      </c>
      <c r="K2295" s="1525"/>
      <c r="L2295" s="1519">
        <v>13315960100</v>
      </c>
      <c r="M2295" s="1520">
        <v>0</v>
      </c>
      <c r="N2295" s="1520">
        <v>0</v>
      </c>
      <c r="O2295" s="1521">
        <v>0</v>
      </c>
    </row>
    <row r="2296" spans="3:15" ht="13.5">
      <c r="C2296" s="1526" t="s">
        <v>6254</v>
      </c>
      <c r="D2296" s="1523">
        <v>0</v>
      </c>
      <c r="E2296" s="1523">
        <v>0</v>
      </c>
      <c r="F2296" s="1524">
        <v>0</v>
      </c>
      <c r="G2296" s="1537" t="s">
        <v>6254</v>
      </c>
      <c r="H2296" s="1521">
        <v>0</v>
      </c>
      <c r="I2296" s="1521">
        <v>0</v>
      </c>
      <c r="J2296" s="1538">
        <v>0</v>
      </c>
      <c r="K2296" s="1525"/>
      <c r="L2296" s="1519">
        <v>13315960200</v>
      </c>
      <c r="M2296" s="1520">
        <v>0</v>
      </c>
      <c r="N2296" s="1520">
        <v>0</v>
      </c>
      <c r="O2296" s="1521">
        <v>0</v>
      </c>
    </row>
    <row r="2297" spans="3:15" ht="13.5">
      <c r="C2297" s="1526" t="s">
        <v>6255</v>
      </c>
      <c r="D2297" s="1523">
        <v>0</v>
      </c>
      <c r="E2297" s="1523">
        <v>0</v>
      </c>
      <c r="F2297" s="1524">
        <v>0</v>
      </c>
      <c r="G2297" s="1537" t="s">
        <v>6255</v>
      </c>
      <c r="H2297" s="1521">
        <v>0</v>
      </c>
      <c r="I2297" s="1521">
        <v>0</v>
      </c>
      <c r="J2297" s="1538">
        <v>0</v>
      </c>
      <c r="K2297" s="1525"/>
      <c r="L2297" s="1519">
        <v>13315960300</v>
      </c>
      <c r="M2297" s="1520">
        <v>0</v>
      </c>
      <c r="N2297" s="1520">
        <v>0</v>
      </c>
      <c r="O2297" s="1521">
        <v>0</v>
      </c>
    </row>
    <row r="2298" spans="3:15" ht="13.5">
      <c r="C2298" s="1526" t="s">
        <v>6256</v>
      </c>
      <c r="D2298" s="1523">
        <v>0</v>
      </c>
      <c r="E2298" s="1523">
        <v>0</v>
      </c>
      <c r="F2298" s="1524">
        <v>0</v>
      </c>
      <c r="G2298" s="1537" t="s">
        <v>6256</v>
      </c>
      <c r="H2298" s="1521">
        <v>0</v>
      </c>
      <c r="I2298" s="1521">
        <v>0</v>
      </c>
      <c r="J2298" s="1538">
        <v>0</v>
      </c>
      <c r="K2298" s="1525"/>
      <c r="L2298" s="1519">
        <v>13315960400</v>
      </c>
      <c r="M2298" s="1520">
        <v>0</v>
      </c>
      <c r="N2298" s="1520">
        <v>0</v>
      </c>
      <c r="O2298" s="1521">
        <v>0</v>
      </c>
    </row>
    <row r="2299" spans="3:15" ht="13.5">
      <c r="C2299" s="1526" t="s">
        <v>6257</v>
      </c>
      <c r="D2299" s="1523">
        <v>0</v>
      </c>
      <c r="E2299" s="1523">
        <v>0</v>
      </c>
      <c r="F2299" s="1524">
        <v>0</v>
      </c>
      <c r="G2299" s="1537" t="s">
        <v>6257</v>
      </c>
      <c r="H2299" s="1521">
        <v>0</v>
      </c>
      <c r="I2299" s="1521">
        <v>1</v>
      </c>
      <c r="J2299" s="1538">
        <v>1</v>
      </c>
      <c r="K2299" s="1525"/>
      <c r="L2299" s="1519">
        <v>13317010101</v>
      </c>
      <c r="M2299" s="1520">
        <v>0</v>
      </c>
      <c r="N2299" s="1520">
        <v>1</v>
      </c>
      <c r="O2299" s="1521">
        <v>1</v>
      </c>
    </row>
    <row r="2300" spans="3:15" ht="13.5">
      <c r="C2300" s="1526" t="s">
        <v>6258</v>
      </c>
      <c r="D2300" s="1523">
        <v>0</v>
      </c>
      <c r="E2300" s="1523">
        <v>0</v>
      </c>
      <c r="F2300" s="1524">
        <v>0</v>
      </c>
      <c r="G2300" s="1537" t="s">
        <v>6258</v>
      </c>
      <c r="H2300" s="1521">
        <v>0</v>
      </c>
      <c r="I2300" s="1521">
        <v>0</v>
      </c>
      <c r="J2300" s="1538">
        <v>0</v>
      </c>
      <c r="K2300" s="1525"/>
      <c r="L2300" s="1519">
        <v>13317010102</v>
      </c>
      <c r="M2300" s="1520">
        <v>0</v>
      </c>
      <c r="N2300" s="1520">
        <v>0</v>
      </c>
      <c r="O2300" s="1521">
        <v>0</v>
      </c>
    </row>
    <row r="2301" spans="3:15" ht="13.5">
      <c r="C2301" s="1526" t="s">
        <v>6259</v>
      </c>
      <c r="D2301" s="1523">
        <v>1</v>
      </c>
      <c r="E2301" s="1523">
        <v>0</v>
      </c>
      <c r="F2301" s="1524">
        <v>1</v>
      </c>
      <c r="G2301" s="1537" t="s">
        <v>6259</v>
      </c>
      <c r="H2301" s="1521">
        <v>0</v>
      </c>
      <c r="I2301" s="1521">
        <v>0</v>
      </c>
      <c r="J2301" s="1538">
        <v>0</v>
      </c>
      <c r="K2301" s="1525"/>
      <c r="L2301" s="1519">
        <v>13317010301</v>
      </c>
      <c r="M2301" s="1520">
        <v>1</v>
      </c>
      <c r="N2301" s="1520">
        <v>0</v>
      </c>
      <c r="O2301" s="1521">
        <v>1</v>
      </c>
    </row>
    <row r="2302" spans="3:15" ht="13.5">
      <c r="C2302" s="1526" t="s">
        <v>6260</v>
      </c>
      <c r="D2302" s="1523">
        <v>0</v>
      </c>
      <c r="E2302" s="1523">
        <v>0</v>
      </c>
      <c r="F2302" s="1524">
        <v>0</v>
      </c>
      <c r="G2302" s="1537" t="s">
        <v>6260</v>
      </c>
      <c r="H2302" s="1521">
        <v>0</v>
      </c>
      <c r="I2302" s="1521">
        <v>0</v>
      </c>
      <c r="J2302" s="1538">
        <v>0</v>
      </c>
      <c r="K2302" s="1525"/>
      <c r="L2302" s="1519">
        <v>13317010302</v>
      </c>
      <c r="M2302" s="1520">
        <v>0</v>
      </c>
      <c r="N2302" s="1520">
        <v>0</v>
      </c>
      <c r="O2302" s="1521">
        <v>0</v>
      </c>
    </row>
    <row r="2303" spans="3:15" ht="13.5">
      <c r="C2303" s="1526" t="s">
        <v>6261</v>
      </c>
      <c r="D2303" s="1523">
        <v>0</v>
      </c>
      <c r="E2303" s="1523">
        <v>0</v>
      </c>
      <c r="F2303" s="1524">
        <v>0</v>
      </c>
      <c r="G2303" s="1537" t="s">
        <v>6261</v>
      </c>
      <c r="H2303" s="1521">
        <v>0</v>
      </c>
      <c r="I2303" s="1521">
        <v>0</v>
      </c>
      <c r="J2303" s="1538">
        <v>0</v>
      </c>
      <c r="K2303" s="1525"/>
      <c r="L2303" s="1519">
        <v>13319960200</v>
      </c>
      <c r="M2303" s="1520">
        <v>0</v>
      </c>
      <c r="N2303" s="1520">
        <v>0</v>
      </c>
      <c r="O2303" s="1521">
        <v>0</v>
      </c>
    </row>
    <row r="2304" spans="3:15" ht="13.5">
      <c r="C2304" s="1526" t="s">
        <v>6262</v>
      </c>
      <c r="D2304" s="1523">
        <v>0</v>
      </c>
      <c r="E2304" s="1523">
        <v>0</v>
      </c>
      <c r="F2304" s="1524">
        <v>0</v>
      </c>
      <c r="G2304" s="1537" t="s">
        <v>6262</v>
      </c>
      <c r="H2304" s="1521">
        <v>0</v>
      </c>
      <c r="I2304" s="1521">
        <v>1</v>
      </c>
      <c r="J2304" s="1538">
        <v>1</v>
      </c>
      <c r="K2304" s="1525"/>
      <c r="L2304" s="1519">
        <v>13319960300</v>
      </c>
      <c r="M2304" s="1520">
        <v>0</v>
      </c>
      <c r="N2304" s="1520">
        <v>1</v>
      </c>
      <c r="O2304" s="1521">
        <v>1</v>
      </c>
    </row>
    <row r="2305" spans="3:15" ht="13.5">
      <c r="C2305" s="1526" t="s">
        <v>6263</v>
      </c>
      <c r="D2305" s="1523">
        <v>0</v>
      </c>
      <c r="E2305" s="1523">
        <v>0</v>
      </c>
      <c r="F2305" s="1524">
        <v>0</v>
      </c>
      <c r="G2305" s="1537" t="s">
        <v>6263</v>
      </c>
      <c r="H2305" s="1521">
        <v>0</v>
      </c>
      <c r="I2305" s="1521">
        <v>0</v>
      </c>
      <c r="J2305" s="1538">
        <v>0</v>
      </c>
      <c r="K2305" s="1525"/>
      <c r="L2305" s="1519">
        <v>13319960400</v>
      </c>
      <c r="M2305" s="1520">
        <v>0</v>
      </c>
      <c r="N2305" s="1520">
        <v>0</v>
      </c>
      <c r="O2305" s="1521">
        <v>0</v>
      </c>
    </row>
    <row r="2306" spans="3:15" ht="13.5">
      <c r="C2306" s="1526" t="s">
        <v>6264</v>
      </c>
      <c r="D2306" s="1523">
        <v>0</v>
      </c>
      <c r="E2306" s="1523">
        <v>0</v>
      </c>
      <c r="F2306" s="1524">
        <v>0</v>
      </c>
      <c r="G2306" s="1537" t="s">
        <v>6264</v>
      </c>
      <c r="H2306" s="1521">
        <v>0</v>
      </c>
      <c r="I2306" s="1521">
        <v>0</v>
      </c>
      <c r="J2306" s="1538">
        <v>0</v>
      </c>
      <c r="K2306" s="1525"/>
      <c r="L2306" s="1519">
        <v>13321950100</v>
      </c>
      <c r="M2306" s="1520">
        <v>0</v>
      </c>
      <c r="N2306" s="1520">
        <v>0</v>
      </c>
      <c r="O2306" s="1521">
        <v>0</v>
      </c>
    </row>
    <row r="2307" spans="3:15" ht="13.5">
      <c r="C2307" s="1526" t="s">
        <v>6265</v>
      </c>
      <c r="D2307" s="1523">
        <v>0</v>
      </c>
      <c r="E2307" s="1523">
        <v>0</v>
      </c>
      <c r="F2307" s="1524">
        <v>0</v>
      </c>
      <c r="G2307" s="1537" t="s">
        <v>6265</v>
      </c>
      <c r="H2307" s="1521">
        <v>0</v>
      </c>
      <c r="I2307" s="1521">
        <v>0</v>
      </c>
      <c r="J2307" s="1538">
        <v>0</v>
      </c>
      <c r="K2307" s="1525"/>
      <c r="L2307" s="1519">
        <v>13321950200</v>
      </c>
      <c r="M2307" s="1520">
        <v>0</v>
      </c>
      <c r="N2307" s="1520">
        <v>0</v>
      </c>
      <c r="O2307" s="1521">
        <v>0</v>
      </c>
    </row>
    <row r="2308" spans="3:15" ht="13.5">
      <c r="C2308" s="1526" t="s">
        <v>6266</v>
      </c>
      <c r="D2308" s="1523">
        <v>0</v>
      </c>
      <c r="E2308" s="1523">
        <v>0</v>
      </c>
      <c r="F2308" s="1524">
        <v>0</v>
      </c>
      <c r="G2308" s="1537" t="s">
        <v>6266</v>
      </c>
      <c r="H2308" s="1521">
        <v>0</v>
      </c>
      <c r="I2308" s="1521">
        <v>0</v>
      </c>
      <c r="J2308" s="1538">
        <v>0</v>
      </c>
      <c r="K2308" s="1525"/>
      <c r="L2308" s="1519">
        <v>13321950400</v>
      </c>
      <c r="M2308" s="1520">
        <v>0</v>
      </c>
      <c r="N2308" s="1520">
        <v>0</v>
      </c>
      <c r="O2308" s="1521">
        <v>0</v>
      </c>
    </row>
    <row r="2309" spans="3:15" ht="13.5">
      <c r="C2309" s="1526" t="s">
        <v>6267</v>
      </c>
      <c r="D2309" s="1523">
        <v>0</v>
      </c>
      <c r="E2309" s="1523">
        <v>0</v>
      </c>
      <c r="F2309" s="1524">
        <v>0</v>
      </c>
      <c r="G2309" s="1537" t="s">
        <v>6267</v>
      </c>
      <c r="H2309" s="1521">
        <v>0</v>
      </c>
      <c r="I2309" s="1521">
        <v>0</v>
      </c>
      <c r="J2309" s="1538">
        <v>0</v>
      </c>
      <c r="K2309" s="1525"/>
      <c r="L2309" s="1519">
        <v>13321950500</v>
      </c>
      <c r="M2309" s="1520">
        <v>0</v>
      </c>
      <c r="N2309" s="1520">
        <v>0</v>
      </c>
      <c r="O2309" s="1521">
        <v>0</v>
      </c>
    </row>
    <row r="2310" spans="3:15" ht="13.5">
      <c r="C2310" s="1527" t="s">
        <v>6268</v>
      </c>
      <c r="D2310" s="1528">
        <v>0</v>
      </c>
      <c r="E2310" s="1528">
        <v>0</v>
      </c>
      <c r="F2310" s="1529">
        <v>0</v>
      </c>
      <c r="G2310" s="1539" t="s">
        <v>6268</v>
      </c>
      <c r="H2310" s="1540">
        <v>1</v>
      </c>
      <c r="I2310" s="1540">
        <v>0</v>
      </c>
      <c r="J2310" s="1541">
        <v>1</v>
      </c>
      <c r="K2310" s="1525"/>
      <c r="L2310" s="1519">
        <v>13321950600</v>
      </c>
      <c r="M2310" s="1520">
        <v>1</v>
      </c>
      <c r="N2310" s="1520">
        <v>0</v>
      </c>
      <c r="O2310" s="1521">
        <v>1</v>
      </c>
    </row>
  </sheetData>
  <sheetProtection algorithmName="SHA-512" hashValue="Q4tE6Aprxd0HIE4TPB9h0+Oj1mp2J3lZOUFm0JXcdeCH/aM6MNkZmwsufN/XmJSp7FTBzePOUZZ6iqmxc6oCGg==" saltValue="s46DKiWb7PHzf3jrU2uIUw==" spinCount="100000" sheet="1" objects="1" scenarios="1" selectLockedCells="1" selectUnlockedCells="1"/>
  <sortState xmlns:xlrd2="http://schemas.microsoft.com/office/spreadsheetml/2017/richdata2" ref="I342:L2311">
    <sortCondition ref="I342:I2311"/>
  </sortState>
  <mergeCells count="81">
    <mergeCell ref="Q12:R12"/>
    <mergeCell ref="C170:C172"/>
    <mergeCell ref="Q94:R94"/>
    <mergeCell ref="A2:R2"/>
    <mergeCell ref="F20:J20"/>
    <mergeCell ref="N20:R20"/>
    <mergeCell ref="Q88:R88"/>
    <mergeCell ref="Q89:R89"/>
    <mergeCell ref="Q90:R90"/>
    <mergeCell ref="Q82:R82"/>
    <mergeCell ref="Q83:R83"/>
    <mergeCell ref="Q93:R93"/>
    <mergeCell ref="Q92:R92"/>
    <mergeCell ref="Q84:R84"/>
    <mergeCell ref="Q85:R85"/>
    <mergeCell ref="Q86:R86"/>
    <mergeCell ref="Q87:R87"/>
    <mergeCell ref="Q122:R122"/>
    <mergeCell ref="Q95:R95"/>
    <mergeCell ref="Q96:R96"/>
    <mergeCell ref="Q103:R103"/>
    <mergeCell ref="Q115:R115"/>
    <mergeCell ref="Q116:R116"/>
    <mergeCell ref="Q117:R117"/>
    <mergeCell ref="Q118:R118"/>
    <mergeCell ref="Q119:R119"/>
    <mergeCell ref="Q120:R120"/>
    <mergeCell ref="Q121:R121"/>
    <mergeCell ref="Q100:R100"/>
    <mergeCell ref="Q110:R110"/>
    <mergeCell ref="Q156:R156"/>
    <mergeCell ref="Q157:R157"/>
    <mergeCell ref="Q155:R155"/>
    <mergeCell ref="Q128:R128"/>
    <mergeCell ref="Q136:R136"/>
    <mergeCell ref="Q137:R137"/>
    <mergeCell ref="Q138:R138"/>
    <mergeCell ref="Q139:R139"/>
    <mergeCell ref="Q140:R140"/>
    <mergeCell ref="Q141:R141"/>
    <mergeCell ref="Q143:R143"/>
    <mergeCell ref="Q145:R145"/>
    <mergeCell ref="Q151:R151"/>
    <mergeCell ref="Q153:R153"/>
    <mergeCell ref="Q144:R144"/>
    <mergeCell ref="Q148:R148"/>
    <mergeCell ref="Q147:R147"/>
    <mergeCell ref="Q91:R91"/>
    <mergeCell ref="Q97:R97"/>
    <mergeCell ref="Q98:R98"/>
    <mergeCell ref="Q99:R99"/>
    <mergeCell ref="Q102:R102"/>
    <mergeCell ref="Q109:R109"/>
    <mergeCell ref="Q108:R108"/>
    <mergeCell ref="Q107:R107"/>
    <mergeCell ref="Q106:R106"/>
    <mergeCell ref="Q105:R105"/>
    <mergeCell ref="Q113:R113"/>
    <mergeCell ref="Q112:R112"/>
    <mergeCell ref="Q146:R146"/>
    <mergeCell ref="Q101:R101"/>
    <mergeCell ref="C335:F335"/>
    <mergeCell ref="G335:J335"/>
    <mergeCell ref="L335:O335"/>
    <mergeCell ref="C336:C341"/>
    <mergeCell ref="D336:D341"/>
    <mergeCell ref="E336:E341"/>
    <mergeCell ref="F336:F341"/>
    <mergeCell ref="G336:G341"/>
    <mergeCell ref="H336:H341"/>
    <mergeCell ref="M336:M341"/>
    <mergeCell ref="N336:N341"/>
    <mergeCell ref="O336:O341"/>
    <mergeCell ref="L336:L341"/>
    <mergeCell ref="J336:J341"/>
    <mergeCell ref="I336:I341"/>
    <mergeCell ref="Q152:R152"/>
    <mergeCell ref="J151:K151"/>
    <mergeCell ref="J152:K152"/>
    <mergeCell ref="J153:K153"/>
    <mergeCell ref="Q150:R150"/>
  </mergeCells>
  <printOptions horizontalCentered="1"/>
  <pageMargins left="0.25" right="0.25" top="0.25" bottom="0.25" header="0.05" footer="0.05"/>
  <pageSetup scale="70"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42"/>
  <sheetViews>
    <sheetView showGridLines="0" tabSelected="1" topLeftCell="A2" zoomScaleNormal="100" workbookViewId="0">
      <selection activeCell="L9" sqref="L9"/>
    </sheetView>
  </sheetViews>
  <sheetFormatPr defaultColWidth="9.140625" defaultRowHeight="12.75"/>
  <cols>
    <col min="1" max="1" width="2.85546875" style="307" customWidth="1"/>
    <col min="2" max="4" width="1.85546875" style="307" customWidth="1"/>
    <col min="5" max="5" width="14.85546875" style="307" customWidth="1"/>
    <col min="6" max="6" width="6.140625" style="307" customWidth="1"/>
    <col min="7" max="7" width="2.85546875" style="307" customWidth="1"/>
    <col min="8" max="8" width="8" style="307" customWidth="1"/>
    <col min="9" max="9" width="6.140625" style="307" customWidth="1"/>
    <col min="10" max="10" width="8.140625" style="307" customWidth="1"/>
    <col min="11" max="11" width="9.85546875" style="307" customWidth="1"/>
    <col min="12" max="13" width="8.85546875" style="307" customWidth="1"/>
    <col min="14" max="14" width="9.42578125" style="307" customWidth="1"/>
    <col min="15" max="15" width="9.85546875" style="307" customWidth="1"/>
    <col min="16" max="19" width="6.140625" style="307" customWidth="1"/>
    <col min="20" max="24" width="11.5703125" style="307" customWidth="1"/>
    <col min="25" max="25" width="9.140625" style="307"/>
    <col min="26" max="26" width="9.140625" style="1774"/>
    <col min="27" max="16384" width="9.140625" style="307"/>
  </cols>
  <sheetData>
    <row r="1" spans="1:27" s="1809" customFormat="1" ht="13.5" hidden="1" customHeight="1">
      <c r="A1" s="2673"/>
      <c r="D1" s="1809" t="s">
        <v>6628</v>
      </c>
      <c r="E1" s="1809" t="s">
        <v>6618</v>
      </c>
      <c r="F1" s="1809" t="s">
        <v>6629</v>
      </c>
      <c r="H1" s="1809" t="s">
        <v>6630</v>
      </c>
      <c r="J1" s="1809" t="s">
        <v>6631</v>
      </c>
      <c r="K1" s="1809" t="s">
        <v>6632</v>
      </c>
      <c r="L1" s="1809" t="s">
        <v>6633</v>
      </c>
      <c r="M1" s="1809" t="s">
        <v>6634</v>
      </c>
      <c r="O1" s="1809" t="s">
        <v>6635</v>
      </c>
      <c r="Q1" s="1809" t="s">
        <v>6636</v>
      </c>
      <c r="Z1" s="1773">
        <v>1</v>
      </c>
    </row>
    <row r="2" spans="1:27" s="289" customFormat="1" ht="14.1" customHeight="1">
      <c r="A2" s="3454" t="str">
        <f>CONCATENATE("PART TWO - DEVELOPMENT TEAM INFORMATION","  -  ",'Part I-Project Information'!$O$7," ",'Part I-Project Information'!$F$35,", ",'Part I-Project Information'!F39,", ",'Part I-Project Information'!J40," County")</f>
        <v>PART TWO - DEVELOPMENT TEAM INFORMATION  -  2021-067 West Point Village Phase II, West Point, Troup County</v>
      </c>
      <c r="B2" s="3455"/>
      <c r="C2" s="3455"/>
      <c r="D2" s="3455"/>
      <c r="E2" s="3455"/>
      <c r="F2" s="3455"/>
      <c r="G2" s="3455"/>
      <c r="H2" s="3455"/>
      <c r="I2" s="3455"/>
      <c r="J2" s="3455"/>
      <c r="K2" s="3455"/>
      <c r="L2" s="3455"/>
      <c r="M2" s="3455"/>
      <c r="N2" s="3455"/>
      <c r="O2" s="3455"/>
      <c r="P2" s="3455"/>
      <c r="Q2" s="3455"/>
      <c r="R2" s="3455"/>
      <c r="S2" s="3456"/>
      <c r="Z2" s="1773">
        <v>2</v>
      </c>
    </row>
    <row r="3" spans="1:27" ht="12" customHeight="1" thickBot="1">
      <c r="A3" s="831" t="s">
        <v>3810</v>
      </c>
      <c r="B3" s="832"/>
      <c r="C3" s="832"/>
      <c r="D3" s="832"/>
      <c r="E3" s="832"/>
      <c r="F3" s="832"/>
      <c r="G3" s="832"/>
      <c r="H3" s="832"/>
      <c r="I3" s="832"/>
      <c r="J3" s="832"/>
      <c r="K3" s="832"/>
      <c r="L3" s="832"/>
      <c r="M3" s="832"/>
      <c r="N3" s="832"/>
      <c r="O3" s="832"/>
      <c r="P3" s="832"/>
      <c r="Q3" s="832"/>
      <c r="R3" s="832"/>
      <c r="S3" s="832"/>
      <c r="Z3" s="1773">
        <v>3</v>
      </c>
    </row>
    <row r="4" spans="1:27" s="289" customFormat="1" ht="13.35" customHeight="1" thickBot="1">
      <c r="A4" s="291" t="s">
        <v>586</v>
      </c>
      <c r="B4" s="294" t="s">
        <v>1771</v>
      </c>
      <c r="C4" s="294"/>
      <c r="E4" s="294"/>
      <c r="F4" s="294"/>
      <c r="G4" s="294"/>
      <c r="H4" s="1053" t="s">
        <v>3612</v>
      </c>
      <c r="O4" s="3457" t="str">
        <f>'Part I-Project Information'!$B$7</f>
        <v>2021 Core App
May 10 Rev</v>
      </c>
      <c r="P4" s="3458"/>
      <c r="Q4" s="3458"/>
      <c r="R4" s="3458"/>
      <c r="S4" s="3459"/>
      <c r="Z4" s="1773">
        <v>4</v>
      </c>
    </row>
    <row r="5" spans="1:27" s="289" customFormat="1" ht="8.4499999999999993" customHeight="1">
      <c r="A5" s="291"/>
      <c r="B5" s="291"/>
      <c r="C5" s="291"/>
      <c r="D5" s="294"/>
      <c r="E5" s="294"/>
      <c r="F5" s="294"/>
      <c r="G5" s="294"/>
      <c r="H5" s="294"/>
      <c r="I5" s="294"/>
      <c r="J5" s="294"/>
      <c r="Z5" s="1773">
        <v>5</v>
      </c>
    </row>
    <row r="6" spans="1:27" s="289" customFormat="1" ht="11.25" customHeight="1">
      <c r="B6" s="291" t="s">
        <v>1892</v>
      </c>
      <c r="C6" s="294" t="s">
        <v>1767</v>
      </c>
      <c r="H6" s="3136" t="s">
        <v>6885</v>
      </c>
      <c r="I6" s="3272"/>
      <c r="J6" s="3272"/>
      <c r="K6" s="3272"/>
      <c r="L6" s="3272"/>
      <c r="M6" s="3272"/>
      <c r="N6" s="3452"/>
      <c r="O6" s="2620" t="s">
        <v>1898</v>
      </c>
      <c r="P6" s="2620"/>
      <c r="Q6" s="3382" t="s">
        <v>6886</v>
      </c>
      <c r="R6" s="3385"/>
      <c r="S6" s="3386"/>
      <c r="Y6" s="922"/>
      <c r="Z6" s="1773">
        <v>6</v>
      </c>
      <c r="AA6" s="2628"/>
    </row>
    <row r="7" spans="1:27" s="289" customFormat="1" ht="11.25" customHeight="1">
      <c r="D7" s="326"/>
      <c r="E7" s="2621" t="s">
        <v>982</v>
      </c>
      <c r="F7" s="301"/>
      <c r="H7" s="3290" t="s">
        <v>6858</v>
      </c>
      <c r="I7" s="3448"/>
      <c r="J7" s="3448"/>
      <c r="K7" s="3449"/>
      <c r="L7" s="3448"/>
      <c r="M7" s="3448"/>
      <c r="N7" s="3450"/>
      <c r="O7" s="2620" t="s">
        <v>1668</v>
      </c>
      <c r="Q7" s="3153" t="s">
        <v>6887</v>
      </c>
      <c r="R7" s="3267"/>
      <c r="S7" s="3268"/>
      <c r="V7" s="922"/>
      <c r="W7" s="922"/>
      <c r="X7" s="922"/>
      <c r="Y7" s="922"/>
      <c r="Z7" s="1773">
        <v>7</v>
      </c>
      <c r="AA7" s="2628"/>
    </row>
    <row r="8" spans="1:27" s="289" customFormat="1" ht="11.25" customHeight="1">
      <c r="D8" s="326"/>
      <c r="E8" s="2621" t="s">
        <v>588</v>
      </c>
      <c r="H8" s="3290" t="s">
        <v>1195</v>
      </c>
      <c r="I8" s="3449"/>
      <c r="J8" s="3283"/>
      <c r="K8" s="2752" t="s">
        <v>732</v>
      </c>
      <c r="L8" s="3186"/>
      <c r="M8" s="3448"/>
      <c r="N8" s="3450"/>
      <c r="O8" s="2620" t="s">
        <v>1644</v>
      </c>
      <c r="Q8" s="3139">
        <v>2673868668</v>
      </c>
      <c r="R8" s="3140"/>
      <c r="S8" s="3141"/>
      <c r="Z8" s="1773">
        <v>8</v>
      </c>
    </row>
    <row r="9" spans="1:27" s="289" customFormat="1" ht="11.25" customHeight="1">
      <c r="D9" s="326"/>
      <c r="E9" s="2621" t="s">
        <v>1717</v>
      </c>
      <c r="H9" s="2694" t="s">
        <v>1305</v>
      </c>
      <c r="I9" s="916" t="s">
        <v>2127</v>
      </c>
      <c r="J9" s="3460">
        <v>187043535</v>
      </c>
      <c r="K9" s="3461"/>
      <c r="L9" s="289" t="s">
        <v>3322</v>
      </c>
      <c r="M9" s="3462" t="s">
        <v>6888</v>
      </c>
      <c r="N9" s="3463"/>
      <c r="O9" s="2620" t="s">
        <v>1888</v>
      </c>
      <c r="Q9" s="3139"/>
      <c r="R9" s="3140"/>
      <c r="S9" s="3141"/>
      <c r="Z9" s="1773">
        <v>9</v>
      </c>
    </row>
    <row r="10" spans="1:27" s="289" customFormat="1" ht="11.25" customHeight="1">
      <c r="D10" s="326"/>
      <c r="E10" s="2621" t="s">
        <v>3613</v>
      </c>
      <c r="H10" s="3445">
        <v>2673868600</v>
      </c>
      <c r="I10" s="3446"/>
      <c r="J10" s="2753"/>
      <c r="K10" s="2629" t="s">
        <v>1893</v>
      </c>
      <c r="L10" s="3279" t="s">
        <v>6859</v>
      </c>
      <c r="M10" s="3280"/>
      <c r="N10" s="3280"/>
      <c r="O10" s="3345"/>
      <c r="P10" s="3345"/>
      <c r="Q10" s="3280"/>
      <c r="R10" s="3280"/>
      <c r="S10" s="3281"/>
      <c r="Z10" s="1773">
        <v>10</v>
      </c>
    </row>
    <row r="11" spans="1:27" s="289" customFormat="1" ht="11.25" customHeight="1">
      <c r="D11" s="326"/>
      <c r="E11" s="1053" t="s">
        <v>3612</v>
      </c>
      <c r="H11" s="322"/>
      <c r="K11" s="265"/>
      <c r="N11" s="356" t="s">
        <v>3257</v>
      </c>
      <c r="Q11" s="2629"/>
      <c r="Z11" s="1773">
        <v>11</v>
      </c>
    </row>
    <row r="12" spans="1:27" s="289" customFormat="1" ht="4.3499999999999996" customHeight="1">
      <c r="D12" s="327"/>
      <c r="E12" s="2621"/>
      <c r="F12" s="294"/>
      <c r="G12" s="294"/>
      <c r="H12" s="294"/>
      <c r="I12" s="294"/>
      <c r="J12" s="294"/>
      <c r="N12" s="294"/>
      <c r="O12" s="294"/>
      <c r="P12" s="294"/>
      <c r="Q12" s="294"/>
      <c r="R12" s="294"/>
      <c r="S12" s="294"/>
      <c r="T12" s="294"/>
      <c r="Z12" s="1773">
        <v>12</v>
      </c>
    </row>
    <row r="13" spans="1:27" s="289" customFormat="1" ht="11.25" customHeight="1">
      <c r="B13" s="325" t="s">
        <v>1894</v>
      </c>
      <c r="C13" s="294" t="s">
        <v>1768</v>
      </c>
      <c r="F13" s="294"/>
      <c r="G13" s="294"/>
      <c r="H13" s="294"/>
      <c r="I13" s="294"/>
      <c r="N13" s="2754" t="s">
        <v>1236</v>
      </c>
      <c r="W13" s="2754"/>
      <c r="X13" s="2754"/>
      <c r="Y13" s="2754"/>
      <c r="Z13" s="1773">
        <v>13</v>
      </c>
    </row>
    <row r="14" spans="1:27" s="289" customFormat="1" ht="11.25" customHeight="1">
      <c r="C14" s="328" t="s">
        <v>1895</v>
      </c>
      <c r="D14" s="325" t="s">
        <v>1896</v>
      </c>
      <c r="H14" s="2628"/>
      <c r="I14" s="2628"/>
      <c r="J14" s="2628"/>
      <c r="N14" s="926"/>
      <c r="W14" s="2755"/>
      <c r="X14" s="2755"/>
      <c r="Y14" s="2755"/>
      <c r="Z14" s="1773">
        <v>14</v>
      </c>
    </row>
    <row r="15" spans="1:27" s="289" customFormat="1" ht="11.25" customHeight="1">
      <c r="D15" s="291" t="s">
        <v>2021</v>
      </c>
      <c r="E15" s="289" t="s">
        <v>1769</v>
      </c>
      <c r="H15" s="3382" t="s">
        <v>6889</v>
      </c>
      <c r="I15" s="3385"/>
      <c r="J15" s="3385"/>
      <c r="K15" s="3385"/>
      <c r="L15" s="3385"/>
      <c r="M15" s="3385"/>
      <c r="N15" s="3386"/>
      <c r="O15" s="2620" t="s">
        <v>1898</v>
      </c>
      <c r="P15" s="2620"/>
      <c r="Q15" s="3382" t="s">
        <v>6890</v>
      </c>
      <c r="R15" s="3385"/>
      <c r="S15" s="3386"/>
      <c r="Z15" s="1773">
        <v>15</v>
      </c>
    </row>
    <row r="16" spans="1:27" s="289" customFormat="1" ht="11.25" customHeight="1">
      <c r="D16" s="326"/>
      <c r="E16" s="2621" t="s">
        <v>982</v>
      </c>
      <c r="F16" s="301"/>
      <c r="H16" s="3290" t="s">
        <v>6858</v>
      </c>
      <c r="I16" s="3448"/>
      <c r="J16" s="3448"/>
      <c r="K16" s="3449"/>
      <c r="L16" s="3448"/>
      <c r="M16" s="3448"/>
      <c r="N16" s="3450"/>
      <c r="O16" s="2620" t="s">
        <v>1668</v>
      </c>
      <c r="Q16" s="3153" t="s">
        <v>6891</v>
      </c>
      <c r="R16" s="3267"/>
      <c r="S16" s="3268"/>
      <c r="Z16" s="1773">
        <v>16</v>
      </c>
    </row>
    <row r="17" spans="4:26" s="289" customFormat="1" ht="11.25" customHeight="1">
      <c r="D17" s="326"/>
      <c r="E17" s="2621" t="s">
        <v>588</v>
      </c>
      <c r="H17" s="3290" t="s">
        <v>1195</v>
      </c>
      <c r="I17" s="3449"/>
      <c r="J17" s="3283"/>
      <c r="K17" s="2623" t="s">
        <v>2552</v>
      </c>
      <c r="L17" s="3290" t="s">
        <v>6892</v>
      </c>
      <c r="M17" s="3448"/>
      <c r="N17" s="3283"/>
      <c r="O17" s="2620" t="s">
        <v>1644</v>
      </c>
      <c r="Q17" s="3139">
        <v>2673868680</v>
      </c>
      <c r="R17" s="3140"/>
      <c r="S17" s="3141"/>
      <c r="Z17" s="1773">
        <v>17</v>
      </c>
    </row>
    <row r="18" spans="4:26" s="289" customFormat="1" ht="11.25" customHeight="1">
      <c r="D18" s="291"/>
      <c r="E18" s="2621" t="s">
        <v>1717</v>
      </c>
      <c r="H18" s="2694" t="s">
        <v>1305</v>
      </c>
      <c r="K18" s="916" t="s">
        <v>2127</v>
      </c>
      <c r="L18" s="3328">
        <v>187043535</v>
      </c>
      <c r="M18" s="3451"/>
      <c r="O18" s="2620" t="s">
        <v>1888</v>
      </c>
      <c r="Q18" s="3139"/>
      <c r="R18" s="3140"/>
      <c r="S18" s="3141"/>
      <c r="Z18" s="1773">
        <v>18</v>
      </c>
    </row>
    <row r="19" spans="4:26" s="289" customFormat="1" ht="11.25" customHeight="1">
      <c r="D19" s="326"/>
      <c r="E19" s="2621" t="s">
        <v>3613</v>
      </c>
      <c r="H19" s="3445">
        <v>2673868680</v>
      </c>
      <c r="I19" s="3446"/>
      <c r="J19" s="2756"/>
      <c r="K19" s="2629" t="s">
        <v>1893</v>
      </c>
      <c r="L19" s="3447" t="s">
        <v>6893</v>
      </c>
      <c r="M19" s="3280"/>
      <c r="N19" s="3345"/>
      <c r="O19" s="3345"/>
      <c r="P19" s="3345"/>
      <c r="Q19" s="3280"/>
      <c r="R19" s="3280"/>
      <c r="S19" s="3281"/>
      <c r="Z19" s="1773">
        <v>19</v>
      </c>
    </row>
    <row r="20" spans="4:26" ht="4.3499999999999996" customHeight="1">
      <c r="D20" s="315"/>
      <c r="H20" s="2757"/>
      <c r="I20" s="2757"/>
      <c r="J20" s="2757"/>
      <c r="K20" s="2629"/>
      <c r="L20" s="2757"/>
      <c r="M20" s="2757"/>
      <c r="N20" s="2618"/>
      <c r="O20" s="2758"/>
      <c r="P20" s="2758"/>
      <c r="Q20" s="2629"/>
      <c r="R20" s="2758"/>
      <c r="S20" s="2758"/>
      <c r="Z20" s="1773">
        <v>20</v>
      </c>
    </row>
    <row r="21" spans="4:26" s="289" customFormat="1" ht="11.25" customHeight="1">
      <c r="D21" s="291" t="s">
        <v>2022</v>
      </c>
      <c r="E21" s="289" t="s">
        <v>1770</v>
      </c>
      <c r="F21" s="2628"/>
      <c r="H21" s="3382" t="s">
        <v>6906</v>
      </c>
      <c r="I21" s="3385"/>
      <c r="J21" s="3385"/>
      <c r="K21" s="3385"/>
      <c r="L21" s="3385"/>
      <c r="M21" s="3385"/>
      <c r="N21" s="3386"/>
      <c r="O21" s="2620" t="s">
        <v>1898</v>
      </c>
      <c r="P21" s="2620"/>
      <c r="Q21" s="3382" t="s">
        <v>6905</v>
      </c>
      <c r="R21" s="3385"/>
      <c r="S21" s="3386"/>
      <c r="Z21" s="1773">
        <v>21</v>
      </c>
    </row>
    <row r="22" spans="4:26" s="289" customFormat="1" ht="11.25" customHeight="1">
      <c r="D22" s="326"/>
      <c r="E22" s="2621" t="s">
        <v>982</v>
      </c>
      <c r="F22" s="301"/>
      <c r="H22" s="3290" t="s">
        <v>7021</v>
      </c>
      <c r="I22" s="3448"/>
      <c r="J22" s="3448"/>
      <c r="K22" s="3449"/>
      <c r="L22" s="3448"/>
      <c r="M22" s="3448"/>
      <c r="N22" s="3450"/>
      <c r="O22" s="2620" t="s">
        <v>1668</v>
      </c>
      <c r="Q22" s="3153" t="s">
        <v>6857</v>
      </c>
      <c r="R22" s="3267"/>
      <c r="S22" s="3268"/>
      <c r="Z22" s="1773">
        <v>22</v>
      </c>
    </row>
    <row r="23" spans="4:26" s="289" customFormat="1" ht="11.25" customHeight="1">
      <c r="D23" s="326"/>
      <c r="E23" s="2621" t="s">
        <v>588</v>
      </c>
      <c r="H23" s="3290" t="s">
        <v>188</v>
      </c>
      <c r="I23" s="3449"/>
      <c r="J23" s="3283"/>
      <c r="K23" s="2623" t="s">
        <v>2552</v>
      </c>
      <c r="L23" s="3290" t="s">
        <v>6907</v>
      </c>
      <c r="M23" s="3448"/>
      <c r="N23" s="3283"/>
      <c r="O23" s="2620" t="s">
        <v>1644</v>
      </c>
      <c r="Q23" s="3139">
        <v>4049976786</v>
      </c>
      <c r="R23" s="3140"/>
      <c r="S23" s="3141"/>
      <c r="Z23" s="1773">
        <v>23</v>
      </c>
    </row>
    <row r="24" spans="4:26" s="289" customFormat="1" ht="11.25" customHeight="1">
      <c r="E24" s="2621" t="s">
        <v>1717</v>
      </c>
      <c r="H24" s="2694" t="s">
        <v>815</v>
      </c>
      <c r="K24" s="916" t="s">
        <v>2127</v>
      </c>
      <c r="L24" s="3328">
        <v>300312616</v>
      </c>
      <c r="M24" s="3451"/>
      <c r="O24" s="2620" t="s">
        <v>1888</v>
      </c>
      <c r="Q24" s="3139"/>
      <c r="R24" s="3140"/>
      <c r="S24" s="3141"/>
      <c r="Z24" s="1773">
        <v>24</v>
      </c>
    </row>
    <row r="25" spans="4:26" s="289" customFormat="1" ht="11.25" customHeight="1">
      <c r="D25" s="326"/>
      <c r="E25" s="2621" t="s">
        <v>3613</v>
      </c>
      <c r="H25" s="3445">
        <v>4049976786</v>
      </c>
      <c r="I25" s="3446"/>
      <c r="J25" s="2756"/>
      <c r="K25" s="2629" t="s">
        <v>1893</v>
      </c>
      <c r="L25" s="3447" t="s">
        <v>6908</v>
      </c>
      <c r="M25" s="3280"/>
      <c r="N25" s="3345"/>
      <c r="O25" s="3345"/>
      <c r="P25" s="3345"/>
      <c r="Q25" s="3280"/>
      <c r="R25" s="3280"/>
      <c r="S25" s="3281"/>
      <c r="Z25" s="1773">
        <v>25</v>
      </c>
    </row>
    <row r="26" spans="4:26" s="289" customFormat="1" ht="4.3499999999999996" customHeight="1">
      <c r="D26" s="326"/>
      <c r="E26" s="2628"/>
      <c r="F26" s="2628"/>
      <c r="G26" s="2620"/>
      <c r="H26" s="2757"/>
      <c r="I26" s="2757"/>
      <c r="J26" s="2757"/>
      <c r="K26" s="2629"/>
      <c r="L26" s="2757"/>
      <c r="M26" s="2757"/>
      <c r="N26" s="2618"/>
      <c r="O26" s="2758"/>
      <c r="P26" s="2758"/>
      <c r="Q26" s="2629"/>
      <c r="R26" s="2758"/>
      <c r="S26" s="2758"/>
      <c r="Z26" s="1773">
        <v>26</v>
      </c>
    </row>
    <row r="27" spans="4:26" s="289" customFormat="1" ht="11.25" customHeight="1">
      <c r="D27" s="291" t="s">
        <v>1655</v>
      </c>
      <c r="E27" s="289" t="s">
        <v>1770</v>
      </c>
      <c r="F27" s="2628"/>
      <c r="H27" s="3382" t="s">
        <v>531</v>
      </c>
      <c r="I27" s="3385"/>
      <c r="J27" s="3385"/>
      <c r="K27" s="3385"/>
      <c r="L27" s="3385"/>
      <c r="M27" s="3385"/>
      <c r="N27" s="3386"/>
      <c r="O27" s="2620" t="s">
        <v>1898</v>
      </c>
      <c r="P27" s="2620"/>
      <c r="Q27" s="3382" t="s">
        <v>6880</v>
      </c>
      <c r="R27" s="3385"/>
      <c r="S27" s="3386"/>
      <c r="Z27" s="1773">
        <v>27</v>
      </c>
    </row>
    <row r="28" spans="4:26" s="289" customFormat="1" ht="11.25" customHeight="1">
      <c r="D28" s="326"/>
      <c r="E28" s="2621" t="s">
        <v>982</v>
      </c>
      <c r="F28" s="301"/>
      <c r="H28" s="3290" t="s">
        <v>6909</v>
      </c>
      <c r="I28" s="3448"/>
      <c r="J28" s="3448"/>
      <c r="K28" s="3449"/>
      <c r="L28" s="3448"/>
      <c r="M28" s="3448"/>
      <c r="N28" s="3450"/>
      <c r="O28" s="2620" t="s">
        <v>1668</v>
      </c>
      <c r="Q28" s="3153" t="s">
        <v>6882</v>
      </c>
      <c r="R28" s="3267"/>
      <c r="S28" s="3268"/>
      <c r="Z28" s="1773">
        <v>28</v>
      </c>
    </row>
    <row r="29" spans="4:26" s="289" customFormat="1" ht="11.25" customHeight="1">
      <c r="D29" s="326"/>
      <c r="E29" s="2621" t="s">
        <v>588</v>
      </c>
      <c r="H29" s="3290" t="s">
        <v>287</v>
      </c>
      <c r="I29" s="3449"/>
      <c r="J29" s="3283"/>
      <c r="K29" s="2623" t="s">
        <v>2552</v>
      </c>
      <c r="L29" s="3290" t="s">
        <v>6910</v>
      </c>
      <c r="M29" s="3448"/>
      <c r="N29" s="3283"/>
      <c r="O29" s="2620" t="s">
        <v>1644</v>
      </c>
      <c r="Q29" s="3139">
        <v>7702277657</v>
      </c>
      <c r="R29" s="3140"/>
      <c r="S29" s="3141"/>
      <c r="Z29" s="1773">
        <v>29</v>
      </c>
    </row>
    <row r="30" spans="4:26" s="289" customFormat="1" ht="11.25" customHeight="1">
      <c r="E30" s="2621" t="s">
        <v>1717</v>
      </c>
      <c r="H30" s="2694" t="s">
        <v>815</v>
      </c>
      <c r="K30" s="916" t="s">
        <v>2127</v>
      </c>
      <c r="L30" s="3328">
        <v>318331747</v>
      </c>
      <c r="M30" s="3451"/>
      <c r="O30" s="2620" t="s">
        <v>1888</v>
      </c>
      <c r="Q30" s="3139"/>
      <c r="R30" s="3140"/>
      <c r="S30" s="3141"/>
      <c r="Z30" s="1773">
        <v>30</v>
      </c>
    </row>
    <row r="31" spans="4:26" s="289" customFormat="1" ht="11.25" customHeight="1">
      <c r="D31" s="326"/>
      <c r="E31" s="2621" t="s">
        <v>3613</v>
      </c>
      <c r="H31" s="3445">
        <v>7066451202</v>
      </c>
      <c r="I31" s="3446"/>
      <c r="J31" s="2756"/>
      <c r="K31" s="2629" t="s">
        <v>1893</v>
      </c>
      <c r="L31" s="3447" t="s">
        <v>6881</v>
      </c>
      <c r="M31" s="3280"/>
      <c r="N31" s="3345"/>
      <c r="O31" s="3345"/>
      <c r="P31" s="3345"/>
      <c r="Q31" s="3280"/>
      <c r="R31" s="3280"/>
      <c r="S31" s="3281"/>
      <c r="Z31" s="1773">
        <v>31</v>
      </c>
    </row>
    <row r="32" spans="4:26" ht="4.3499999999999996" customHeight="1">
      <c r="Z32" s="1773">
        <v>32</v>
      </c>
    </row>
    <row r="33" spans="3:26" s="289" customFormat="1" ht="11.25" customHeight="1">
      <c r="C33" s="328" t="s">
        <v>1897</v>
      </c>
      <c r="D33" s="325" t="s">
        <v>1772</v>
      </c>
      <c r="H33" s="2628"/>
      <c r="I33" s="2628"/>
      <c r="J33" s="2628"/>
      <c r="K33" s="1053" t="s">
        <v>3612</v>
      </c>
      <c r="L33" s="2628"/>
      <c r="M33" s="2628"/>
      <c r="Z33" s="1773">
        <v>33</v>
      </c>
    </row>
    <row r="34" spans="3:26" s="289" customFormat="1" ht="11.25" customHeight="1">
      <c r="D34" s="291" t="s">
        <v>2021</v>
      </c>
      <c r="E34" s="289" t="s">
        <v>720</v>
      </c>
      <c r="H34" s="3382" t="s">
        <v>6896</v>
      </c>
      <c r="I34" s="3385"/>
      <c r="J34" s="3385"/>
      <c r="K34" s="3385"/>
      <c r="L34" s="3385"/>
      <c r="M34" s="3385"/>
      <c r="N34" s="3386"/>
      <c r="O34" s="2620" t="s">
        <v>1898</v>
      </c>
      <c r="P34" s="2620"/>
      <c r="Q34" s="3382" t="s">
        <v>6900</v>
      </c>
      <c r="R34" s="3385"/>
      <c r="S34" s="3386"/>
      <c r="Z34" s="1773">
        <v>34</v>
      </c>
    </row>
    <row r="35" spans="3:26" s="289" customFormat="1" ht="11.25" customHeight="1">
      <c r="D35" s="326"/>
      <c r="E35" s="2621" t="s">
        <v>982</v>
      </c>
      <c r="F35" s="301"/>
      <c r="H35" s="3290" t="s">
        <v>6898</v>
      </c>
      <c r="I35" s="3448"/>
      <c r="J35" s="3448"/>
      <c r="K35" s="3449"/>
      <c r="L35" s="3448"/>
      <c r="M35" s="3448"/>
      <c r="N35" s="3450"/>
      <c r="O35" s="2620" t="s">
        <v>1668</v>
      </c>
      <c r="Q35" s="3153" t="s">
        <v>6901</v>
      </c>
      <c r="R35" s="3267"/>
      <c r="S35" s="3268"/>
      <c r="Z35" s="1773">
        <v>35</v>
      </c>
    </row>
    <row r="36" spans="3:26" s="289" customFormat="1" ht="11.25" customHeight="1">
      <c r="D36" s="326"/>
      <c r="E36" s="2621" t="s">
        <v>588</v>
      </c>
      <c r="H36" s="3290" t="s">
        <v>6899</v>
      </c>
      <c r="I36" s="3449"/>
      <c r="J36" s="3283"/>
      <c r="K36" s="2623" t="s">
        <v>2552</v>
      </c>
      <c r="L36" s="3290" t="s">
        <v>6902</v>
      </c>
      <c r="M36" s="3448"/>
      <c r="N36" s="3283"/>
      <c r="O36" s="2620" t="s">
        <v>1644</v>
      </c>
      <c r="Q36" s="3139">
        <v>2122184448</v>
      </c>
      <c r="R36" s="3140"/>
      <c r="S36" s="3141"/>
      <c r="Z36" s="1773">
        <v>36</v>
      </c>
    </row>
    <row r="37" spans="3:26" s="289" customFormat="1" ht="11.25" customHeight="1">
      <c r="E37" s="2621" t="s">
        <v>1717</v>
      </c>
      <c r="H37" s="2694" t="s">
        <v>1299</v>
      </c>
      <c r="K37" s="916" t="s">
        <v>2127</v>
      </c>
      <c r="L37" s="3328">
        <v>101110213</v>
      </c>
      <c r="M37" s="3451"/>
      <c r="O37" s="2620" t="s">
        <v>1888</v>
      </c>
      <c r="Q37" s="3139"/>
      <c r="R37" s="3140"/>
      <c r="S37" s="3141"/>
      <c r="Z37" s="1773">
        <v>37</v>
      </c>
    </row>
    <row r="38" spans="3:26" s="289" customFormat="1" ht="11.25" customHeight="1">
      <c r="D38" s="326"/>
      <c r="E38" s="2621" t="s">
        <v>3613</v>
      </c>
      <c r="H38" s="3445">
        <v>2122184488</v>
      </c>
      <c r="I38" s="3446"/>
      <c r="J38" s="2756"/>
      <c r="K38" s="2629" t="s">
        <v>1893</v>
      </c>
      <c r="L38" s="3447" t="s">
        <v>6903</v>
      </c>
      <c r="M38" s="3280"/>
      <c r="N38" s="3345"/>
      <c r="O38" s="3345"/>
      <c r="P38" s="3345"/>
      <c r="Q38" s="3280"/>
      <c r="R38" s="3280"/>
      <c r="S38" s="3281"/>
      <c r="Z38" s="1773">
        <v>38</v>
      </c>
    </row>
    <row r="39" spans="3:26" ht="4.3499999999999996" customHeight="1">
      <c r="H39" s="2757"/>
      <c r="I39" s="2757"/>
      <c r="J39" s="2757"/>
      <c r="K39" s="2629"/>
      <c r="L39" s="2757"/>
      <c r="M39" s="2757"/>
      <c r="N39" s="2618"/>
      <c r="O39" s="2758"/>
      <c r="P39" s="2758"/>
      <c r="Q39" s="2629"/>
      <c r="R39" s="2758"/>
      <c r="S39" s="2758"/>
      <c r="Z39" s="1773">
        <v>39</v>
      </c>
    </row>
    <row r="40" spans="3:26" s="289" customFormat="1" ht="11.25" customHeight="1">
      <c r="D40" s="291" t="s">
        <v>2022</v>
      </c>
      <c r="E40" s="289" t="s">
        <v>721</v>
      </c>
      <c r="F40" s="291"/>
      <c r="H40" s="3382" t="s">
        <v>6897</v>
      </c>
      <c r="I40" s="3385"/>
      <c r="J40" s="3385"/>
      <c r="K40" s="3385"/>
      <c r="L40" s="3385"/>
      <c r="M40" s="3385"/>
      <c r="N40" s="3386"/>
      <c r="O40" s="2620" t="s">
        <v>1898</v>
      </c>
      <c r="P40" s="2620"/>
      <c r="Q40" s="3382"/>
      <c r="R40" s="3385"/>
      <c r="S40" s="3386"/>
      <c r="Z40" s="1773">
        <v>40</v>
      </c>
    </row>
    <row r="41" spans="3:26" s="289" customFormat="1" ht="11.25" customHeight="1">
      <c r="D41" s="326"/>
      <c r="E41" s="2621" t="s">
        <v>982</v>
      </c>
      <c r="F41" s="301"/>
      <c r="H41" s="3290"/>
      <c r="I41" s="3448"/>
      <c r="J41" s="3448"/>
      <c r="K41" s="3449"/>
      <c r="L41" s="3448"/>
      <c r="M41" s="3448"/>
      <c r="N41" s="3450"/>
      <c r="O41" s="2620" t="s">
        <v>1668</v>
      </c>
      <c r="Q41" s="3153"/>
      <c r="R41" s="3267"/>
      <c r="S41" s="3268"/>
      <c r="Z41" s="1773">
        <v>41</v>
      </c>
    </row>
    <row r="42" spans="3:26" s="289" customFormat="1" ht="11.25" customHeight="1">
      <c r="D42" s="326"/>
      <c r="E42" s="2621" t="s">
        <v>588</v>
      </c>
      <c r="H42" s="3290"/>
      <c r="I42" s="3449"/>
      <c r="J42" s="3283"/>
      <c r="K42" s="2623" t="s">
        <v>2552</v>
      </c>
      <c r="L42" s="3290"/>
      <c r="M42" s="3448"/>
      <c r="N42" s="3283"/>
      <c r="O42" s="2620" t="s">
        <v>1644</v>
      </c>
      <c r="Q42" s="3139"/>
      <c r="R42" s="3140"/>
      <c r="S42" s="3141"/>
      <c r="Z42" s="1773">
        <v>42</v>
      </c>
    </row>
    <row r="43" spans="3:26" s="289" customFormat="1" ht="11.25" customHeight="1">
      <c r="D43" s="291"/>
      <c r="E43" s="2621" t="s">
        <v>1717</v>
      </c>
      <c r="H43" s="2694"/>
      <c r="K43" s="916" t="s">
        <v>2127</v>
      </c>
      <c r="L43" s="3328"/>
      <c r="M43" s="3451"/>
      <c r="O43" s="2620" t="s">
        <v>1888</v>
      </c>
      <c r="Q43" s="3139"/>
      <c r="R43" s="3140"/>
      <c r="S43" s="3141"/>
      <c r="Z43" s="1773">
        <v>43</v>
      </c>
    </row>
    <row r="44" spans="3:26" s="289" customFormat="1" ht="11.25" customHeight="1">
      <c r="D44" s="326"/>
      <c r="E44" s="2621" t="s">
        <v>3613</v>
      </c>
      <c r="H44" s="3445"/>
      <c r="I44" s="3446"/>
      <c r="J44" s="2756"/>
      <c r="K44" s="2629" t="s">
        <v>1893</v>
      </c>
      <c r="L44" s="3447"/>
      <c r="M44" s="3280"/>
      <c r="N44" s="3345"/>
      <c r="O44" s="3345"/>
      <c r="P44" s="3345"/>
      <c r="Q44" s="3280"/>
      <c r="R44" s="3280"/>
      <c r="S44" s="3281"/>
      <c r="Z44" s="1773">
        <v>44</v>
      </c>
    </row>
    <row r="45" spans="3:26" s="289" customFormat="1" ht="4.3499999999999996" customHeight="1">
      <c r="D45" s="326"/>
      <c r="E45" s="2621"/>
      <c r="F45" s="291"/>
      <c r="H45" s="322"/>
      <c r="I45" s="322"/>
      <c r="J45" s="2759"/>
      <c r="K45" s="2629"/>
      <c r="L45" s="322"/>
      <c r="M45" s="322"/>
      <c r="N45" s="2629"/>
      <c r="O45" s="322"/>
      <c r="P45" s="322"/>
      <c r="Q45" s="2629"/>
      <c r="R45" s="322"/>
      <c r="S45" s="322"/>
      <c r="Z45" s="1773">
        <v>45</v>
      </c>
    </row>
    <row r="46" spans="3:26" s="289" customFormat="1" ht="11.25" customHeight="1">
      <c r="C46" s="329" t="s">
        <v>2415</v>
      </c>
      <c r="D46" s="325" t="s">
        <v>621</v>
      </c>
      <c r="H46" s="2628"/>
      <c r="I46" s="2628"/>
      <c r="J46" s="2628"/>
      <c r="K46" s="1053" t="s">
        <v>3612</v>
      </c>
      <c r="L46" s="2628"/>
      <c r="M46" s="2628"/>
      <c r="Z46" s="1773">
        <v>46</v>
      </c>
    </row>
    <row r="47" spans="3:26" s="289" customFormat="1" ht="11.25" customHeight="1">
      <c r="E47" s="289" t="s">
        <v>87</v>
      </c>
      <c r="H47" s="3382"/>
      <c r="I47" s="3385"/>
      <c r="J47" s="3385"/>
      <c r="K47" s="3385"/>
      <c r="L47" s="3385"/>
      <c r="M47" s="3385"/>
      <c r="N47" s="3386"/>
      <c r="O47" s="2620" t="s">
        <v>1898</v>
      </c>
      <c r="P47" s="2620"/>
      <c r="Q47" s="3382"/>
      <c r="R47" s="3385"/>
      <c r="S47" s="3386"/>
      <c r="Z47" s="1773">
        <v>47</v>
      </c>
    </row>
    <row r="48" spans="3:26" s="289" customFormat="1" ht="11.25" customHeight="1">
      <c r="D48" s="326"/>
      <c r="E48" s="2621" t="s">
        <v>982</v>
      </c>
      <c r="F48" s="301"/>
      <c r="H48" s="3290"/>
      <c r="I48" s="3448"/>
      <c r="J48" s="3448"/>
      <c r="K48" s="3449"/>
      <c r="L48" s="3448"/>
      <c r="M48" s="3448"/>
      <c r="N48" s="3450"/>
      <c r="O48" s="2620" t="s">
        <v>1668</v>
      </c>
      <c r="Q48" s="3153"/>
      <c r="R48" s="3267"/>
      <c r="S48" s="3268"/>
      <c r="Z48" s="1773">
        <v>48</v>
      </c>
    </row>
    <row r="49" spans="1:26" s="289" customFormat="1" ht="11.25" customHeight="1">
      <c r="D49" s="326"/>
      <c r="E49" s="2621" t="s">
        <v>588</v>
      </c>
      <c r="H49" s="3290"/>
      <c r="I49" s="3449"/>
      <c r="J49" s="3283"/>
      <c r="K49" s="2623" t="s">
        <v>2552</v>
      </c>
      <c r="L49" s="3290"/>
      <c r="M49" s="3448"/>
      <c r="N49" s="3283"/>
      <c r="O49" s="2620" t="s">
        <v>1644</v>
      </c>
      <c r="Q49" s="3139"/>
      <c r="R49" s="3140"/>
      <c r="S49" s="3141"/>
      <c r="Z49" s="1773">
        <v>49</v>
      </c>
    </row>
    <row r="50" spans="1:26" s="289" customFormat="1" ht="11.25" customHeight="1">
      <c r="E50" s="2621" t="s">
        <v>1717</v>
      </c>
      <c r="H50" s="2694"/>
      <c r="K50" s="916" t="s">
        <v>2127</v>
      </c>
      <c r="L50" s="3328"/>
      <c r="M50" s="3451"/>
      <c r="O50" s="2620" t="s">
        <v>1888</v>
      </c>
      <c r="Q50" s="3139"/>
      <c r="R50" s="3140"/>
      <c r="S50" s="3141"/>
      <c r="Z50" s="1773">
        <v>50</v>
      </c>
    </row>
    <row r="51" spans="1:26" s="289" customFormat="1" ht="11.25" customHeight="1">
      <c r="D51" s="326"/>
      <c r="E51" s="2621" t="s">
        <v>3613</v>
      </c>
      <c r="H51" s="3445"/>
      <c r="I51" s="3446"/>
      <c r="J51" s="2756"/>
      <c r="K51" s="2629" t="s">
        <v>1893</v>
      </c>
      <c r="L51" s="3447"/>
      <c r="M51" s="3280"/>
      <c r="N51" s="3345"/>
      <c r="O51" s="3345"/>
      <c r="P51" s="3345"/>
      <c r="Q51" s="3280"/>
      <c r="R51" s="3280"/>
      <c r="S51" s="3281"/>
      <c r="Z51" s="1773">
        <v>51</v>
      </c>
    </row>
    <row r="52" spans="1:26" ht="6.75" customHeight="1">
      <c r="Z52" s="1773">
        <v>52</v>
      </c>
    </row>
    <row r="53" spans="1:26" s="289" customFormat="1" ht="13.35" customHeight="1">
      <c r="A53" s="291" t="s">
        <v>710</v>
      </c>
      <c r="B53" s="291" t="s">
        <v>622</v>
      </c>
      <c r="F53" s="291"/>
      <c r="G53" s="2629"/>
      <c r="H53" s="2629"/>
      <c r="I53" s="2629"/>
      <c r="J53" s="2628"/>
      <c r="K53" s="1053" t="s">
        <v>3612</v>
      </c>
      <c r="L53" s="2628"/>
      <c r="M53" s="2628"/>
      <c r="N53" s="2628"/>
      <c r="O53" s="2628"/>
      <c r="P53" s="2628"/>
      <c r="Q53" s="2628"/>
      <c r="R53" s="2628"/>
      <c r="S53" s="2628"/>
      <c r="Z53" s="1773">
        <v>53</v>
      </c>
    </row>
    <row r="54" spans="1:26" s="289" customFormat="1" ht="3" customHeight="1">
      <c r="A54" s="291"/>
      <c r="B54" s="291"/>
      <c r="F54" s="291"/>
      <c r="G54" s="2629"/>
      <c r="H54" s="2760"/>
      <c r="I54" s="2760"/>
      <c r="J54" s="2760"/>
      <c r="K54" s="2618"/>
      <c r="L54" s="2760"/>
      <c r="M54" s="2760"/>
      <c r="N54" s="2618"/>
      <c r="O54" s="2758"/>
      <c r="P54" s="2758"/>
      <c r="Q54" s="2629"/>
      <c r="R54" s="2758"/>
      <c r="S54" s="2758"/>
      <c r="Z54" s="1773">
        <v>54</v>
      </c>
    </row>
    <row r="55" spans="1:26" s="289" customFormat="1" ht="11.25" customHeight="1">
      <c r="B55" s="291" t="s">
        <v>1892</v>
      </c>
      <c r="C55" s="291" t="s">
        <v>271</v>
      </c>
      <c r="H55" s="3382" t="s">
        <v>6854</v>
      </c>
      <c r="I55" s="3385"/>
      <c r="J55" s="3385"/>
      <c r="K55" s="3385"/>
      <c r="L55" s="3385"/>
      <c r="M55" s="3385"/>
      <c r="N55" s="3386"/>
      <c r="O55" s="2620" t="s">
        <v>1898</v>
      </c>
      <c r="P55" s="2620"/>
      <c r="Q55" s="3382" t="s">
        <v>6895</v>
      </c>
      <c r="R55" s="3385"/>
      <c r="S55" s="3386"/>
      <c r="Z55" s="1773">
        <v>55</v>
      </c>
    </row>
    <row r="56" spans="1:26" s="289" customFormat="1" ht="11.25" customHeight="1">
      <c r="D56" s="326"/>
      <c r="E56" s="2621" t="s">
        <v>982</v>
      </c>
      <c r="F56" s="301"/>
      <c r="H56" s="3290" t="s">
        <v>6894</v>
      </c>
      <c r="I56" s="3448"/>
      <c r="J56" s="3448"/>
      <c r="K56" s="3449"/>
      <c r="L56" s="3448"/>
      <c r="M56" s="3448"/>
      <c r="N56" s="3450"/>
      <c r="O56" s="2620" t="s">
        <v>1668</v>
      </c>
      <c r="Q56" s="3153" t="s">
        <v>6857</v>
      </c>
      <c r="R56" s="3267"/>
      <c r="S56" s="3268"/>
      <c r="Z56" s="1773">
        <v>56</v>
      </c>
    </row>
    <row r="57" spans="1:26" s="289" customFormat="1" ht="11.25" customHeight="1">
      <c r="D57" s="326"/>
      <c r="E57" s="2621" t="s">
        <v>588</v>
      </c>
      <c r="H57" s="3290" t="s">
        <v>6904</v>
      </c>
      <c r="I57" s="3449"/>
      <c r="J57" s="3283"/>
      <c r="K57" s="2623" t="s">
        <v>2552</v>
      </c>
      <c r="L57" s="3290" t="s">
        <v>6892</v>
      </c>
      <c r="M57" s="3448"/>
      <c r="N57" s="3283"/>
      <c r="O57" s="2620" t="s">
        <v>1644</v>
      </c>
      <c r="Q57" s="3139">
        <v>2673868668</v>
      </c>
      <c r="R57" s="3140"/>
      <c r="S57" s="3141"/>
      <c r="Z57" s="1773">
        <v>57</v>
      </c>
    </row>
    <row r="58" spans="1:26" s="289" customFormat="1" ht="11.25" customHeight="1">
      <c r="E58" s="2621" t="s">
        <v>1717</v>
      </c>
      <c r="H58" s="2694" t="s">
        <v>1305</v>
      </c>
      <c r="K58" s="916" t="s">
        <v>2127</v>
      </c>
      <c r="L58" s="3328">
        <v>191214495</v>
      </c>
      <c r="M58" s="3451"/>
      <c r="O58" s="2620" t="s">
        <v>1888</v>
      </c>
      <c r="Q58" s="3139"/>
      <c r="R58" s="3140"/>
      <c r="S58" s="3141"/>
      <c r="Z58" s="1773">
        <v>58</v>
      </c>
    </row>
    <row r="59" spans="1:26" s="289" customFormat="1" ht="11.25" customHeight="1">
      <c r="D59" s="326"/>
      <c r="E59" s="2621" t="s">
        <v>3613</v>
      </c>
      <c r="H59" s="3445">
        <v>2673868600</v>
      </c>
      <c r="I59" s="3446"/>
      <c r="J59" s="2756"/>
      <c r="K59" s="2629" t="s">
        <v>1893</v>
      </c>
      <c r="L59" s="3447" t="s">
        <v>6859</v>
      </c>
      <c r="M59" s="3280"/>
      <c r="N59" s="3345"/>
      <c r="O59" s="3345"/>
      <c r="P59" s="3345"/>
      <c r="Q59" s="3280"/>
      <c r="R59" s="3280"/>
      <c r="S59" s="3281"/>
      <c r="Z59" s="1773">
        <v>59</v>
      </c>
    </row>
    <row r="60" spans="1:26" s="289" customFormat="1" ht="6.6" customHeight="1">
      <c r="D60" s="326"/>
      <c r="E60" s="2628"/>
      <c r="F60" s="2628"/>
      <c r="G60" s="2620"/>
      <c r="H60" s="2757"/>
      <c r="I60" s="2757"/>
      <c r="J60" s="2757"/>
      <c r="K60" s="2629"/>
      <c r="L60" s="2757"/>
      <c r="M60" s="2757"/>
      <c r="N60" s="2618"/>
      <c r="O60" s="2758"/>
      <c r="P60" s="2758"/>
      <c r="Q60" s="2629"/>
      <c r="R60" s="2758"/>
      <c r="S60" s="2758"/>
      <c r="Z60" s="1773">
        <v>60</v>
      </c>
    </row>
    <row r="61" spans="1:26" s="289" customFormat="1" ht="11.25" customHeight="1">
      <c r="B61" s="291" t="s">
        <v>1894</v>
      </c>
      <c r="C61" s="291" t="s">
        <v>272</v>
      </c>
      <c r="H61" s="3382" t="s">
        <v>6906</v>
      </c>
      <c r="I61" s="3385"/>
      <c r="J61" s="3385"/>
      <c r="K61" s="3385"/>
      <c r="L61" s="3385"/>
      <c r="M61" s="3385"/>
      <c r="N61" s="3386"/>
      <c r="O61" s="2620" t="s">
        <v>1898</v>
      </c>
      <c r="P61" s="2620"/>
      <c r="Q61" s="3382" t="s">
        <v>6905</v>
      </c>
      <c r="R61" s="3385"/>
      <c r="S61" s="3386"/>
      <c r="Z61" s="1773">
        <v>61</v>
      </c>
    </row>
    <row r="62" spans="1:26" s="289" customFormat="1" ht="11.25" customHeight="1">
      <c r="D62" s="326"/>
      <c r="E62" s="2621" t="s">
        <v>982</v>
      </c>
      <c r="F62" s="301"/>
      <c r="H62" s="3290" t="s">
        <v>7021</v>
      </c>
      <c r="I62" s="3448"/>
      <c r="J62" s="3448"/>
      <c r="K62" s="3449"/>
      <c r="L62" s="3448"/>
      <c r="M62" s="3448"/>
      <c r="N62" s="3450"/>
      <c r="O62" s="2620" t="s">
        <v>1668</v>
      </c>
      <c r="Q62" s="3153" t="s">
        <v>6857</v>
      </c>
      <c r="R62" s="3267"/>
      <c r="S62" s="3268"/>
      <c r="Z62" s="1773">
        <v>62</v>
      </c>
    </row>
    <row r="63" spans="1:26" s="289" customFormat="1" ht="11.25" customHeight="1">
      <c r="D63" s="326"/>
      <c r="E63" s="2621" t="s">
        <v>588</v>
      </c>
      <c r="H63" s="3290" t="s">
        <v>188</v>
      </c>
      <c r="I63" s="3449"/>
      <c r="J63" s="3283"/>
      <c r="K63" s="2623" t="s">
        <v>2552</v>
      </c>
      <c r="L63" s="3290" t="s">
        <v>6907</v>
      </c>
      <c r="M63" s="3448"/>
      <c r="N63" s="3283"/>
      <c r="O63" s="2620" t="s">
        <v>1644</v>
      </c>
      <c r="Q63" s="3139">
        <v>4049976786</v>
      </c>
      <c r="R63" s="3140"/>
      <c r="S63" s="3141"/>
      <c r="Z63" s="1773">
        <v>63</v>
      </c>
    </row>
    <row r="64" spans="1:26" s="289" customFormat="1" ht="11.25" customHeight="1">
      <c r="E64" s="2621" t="s">
        <v>1717</v>
      </c>
      <c r="H64" s="2694" t="s">
        <v>815</v>
      </c>
      <c r="K64" s="916" t="s">
        <v>2127</v>
      </c>
      <c r="L64" s="3328">
        <v>300312616</v>
      </c>
      <c r="M64" s="3451"/>
      <c r="O64" s="2620" t="s">
        <v>1888</v>
      </c>
      <c r="Q64" s="3139"/>
      <c r="R64" s="3140"/>
      <c r="S64" s="3141"/>
      <c r="Z64" s="1773">
        <v>64</v>
      </c>
    </row>
    <row r="65" spans="1:26" s="289" customFormat="1" ht="11.25" customHeight="1">
      <c r="D65" s="326"/>
      <c r="E65" s="2621" t="s">
        <v>3613</v>
      </c>
      <c r="H65" s="3445">
        <v>4049976786</v>
      </c>
      <c r="I65" s="3446"/>
      <c r="J65" s="2756"/>
      <c r="K65" s="2629" t="s">
        <v>1893</v>
      </c>
      <c r="L65" s="3447" t="s">
        <v>6908</v>
      </c>
      <c r="M65" s="3280"/>
      <c r="N65" s="3345"/>
      <c r="O65" s="3345"/>
      <c r="P65" s="3345"/>
      <c r="Q65" s="3280"/>
      <c r="R65" s="3280"/>
      <c r="S65" s="3281"/>
      <c r="Z65" s="1773">
        <v>65</v>
      </c>
    </row>
    <row r="66" spans="1:26" s="289" customFormat="1" ht="6.6" customHeight="1">
      <c r="D66" s="326"/>
      <c r="E66" s="2628"/>
      <c r="F66" s="2628"/>
      <c r="G66" s="2620"/>
      <c r="H66" s="2757"/>
      <c r="I66" s="2757"/>
      <c r="J66" s="2757"/>
      <c r="K66" s="2629"/>
      <c r="L66" s="2757"/>
      <c r="M66" s="2757"/>
      <c r="N66" s="2618"/>
      <c r="O66" s="2758"/>
      <c r="P66" s="2758"/>
      <c r="Q66" s="2629"/>
      <c r="R66" s="2758"/>
      <c r="S66" s="2758"/>
      <c r="Z66" s="1773">
        <v>66</v>
      </c>
    </row>
    <row r="67" spans="1:26" s="289" customFormat="1" ht="11.25" customHeight="1">
      <c r="B67" s="291" t="s">
        <v>719</v>
      </c>
      <c r="C67" s="291" t="s">
        <v>1467</v>
      </c>
      <c r="H67" s="3382" t="s">
        <v>531</v>
      </c>
      <c r="I67" s="3385"/>
      <c r="J67" s="3385"/>
      <c r="K67" s="3385"/>
      <c r="L67" s="3385"/>
      <c r="M67" s="3385"/>
      <c r="N67" s="3386"/>
      <c r="O67" s="2620" t="s">
        <v>1898</v>
      </c>
      <c r="P67" s="2620"/>
      <c r="Q67" s="3382" t="s">
        <v>6880</v>
      </c>
      <c r="R67" s="3385"/>
      <c r="S67" s="3386"/>
      <c r="Z67" s="1773">
        <v>67</v>
      </c>
    </row>
    <row r="68" spans="1:26" s="289" customFormat="1" ht="11.25" customHeight="1">
      <c r="D68" s="326"/>
      <c r="E68" s="2621" t="s">
        <v>982</v>
      </c>
      <c r="F68" s="301"/>
      <c r="H68" s="3290" t="s">
        <v>6909</v>
      </c>
      <c r="I68" s="3448"/>
      <c r="J68" s="3448"/>
      <c r="K68" s="3449"/>
      <c r="L68" s="3448"/>
      <c r="M68" s="3448"/>
      <c r="N68" s="3450"/>
      <c r="O68" s="2620" t="s">
        <v>1668</v>
      </c>
      <c r="Q68" s="3153" t="s">
        <v>6882</v>
      </c>
      <c r="R68" s="3267"/>
      <c r="S68" s="3268"/>
      <c r="Z68" s="1773">
        <v>68</v>
      </c>
    </row>
    <row r="69" spans="1:26" s="289" customFormat="1" ht="11.25" customHeight="1">
      <c r="D69" s="326"/>
      <c r="E69" s="2621" t="s">
        <v>588</v>
      </c>
      <c r="H69" s="3290" t="s">
        <v>287</v>
      </c>
      <c r="I69" s="3449"/>
      <c r="J69" s="3283"/>
      <c r="K69" s="2623" t="s">
        <v>2552</v>
      </c>
      <c r="L69" s="3290" t="s">
        <v>6910</v>
      </c>
      <c r="M69" s="3448"/>
      <c r="N69" s="3283"/>
      <c r="O69" s="2620" t="s">
        <v>1644</v>
      </c>
      <c r="Q69" s="3139">
        <v>7702277657</v>
      </c>
      <c r="R69" s="3140"/>
      <c r="S69" s="3141"/>
      <c r="Z69" s="1773">
        <v>69</v>
      </c>
    </row>
    <row r="70" spans="1:26" s="289" customFormat="1" ht="11.25" customHeight="1">
      <c r="E70" s="2621" t="s">
        <v>1717</v>
      </c>
      <c r="H70" s="2694" t="s">
        <v>815</v>
      </c>
      <c r="K70" s="916" t="s">
        <v>2127</v>
      </c>
      <c r="L70" s="3328">
        <v>318331747</v>
      </c>
      <c r="M70" s="3451"/>
      <c r="O70" s="2620" t="s">
        <v>1888</v>
      </c>
      <c r="Q70" s="3139"/>
      <c r="R70" s="3140"/>
      <c r="S70" s="3141"/>
      <c r="Z70" s="1773">
        <v>70</v>
      </c>
    </row>
    <row r="71" spans="1:26" s="289" customFormat="1" ht="11.25" customHeight="1">
      <c r="D71" s="326"/>
      <c r="E71" s="2621" t="s">
        <v>3613</v>
      </c>
      <c r="H71" s="3445">
        <v>7066451202</v>
      </c>
      <c r="I71" s="3446"/>
      <c r="J71" s="2756"/>
      <c r="K71" s="2629" t="s">
        <v>1893</v>
      </c>
      <c r="L71" s="3447" t="s">
        <v>6881</v>
      </c>
      <c r="M71" s="3280"/>
      <c r="N71" s="3345"/>
      <c r="O71" s="3345"/>
      <c r="P71" s="3345"/>
      <c r="Q71" s="3280"/>
      <c r="R71" s="3280"/>
      <c r="S71" s="3281"/>
      <c r="Z71" s="1773">
        <v>71</v>
      </c>
    </row>
    <row r="72" spans="1:26" ht="6.6" customHeight="1">
      <c r="H72" s="2757"/>
      <c r="I72" s="2757"/>
      <c r="J72" s="2757"/>
      <c r="K72" s="2629"/>
      <c r="L72" s="2757"/>
      <c r="M72" s="2757"/>
      <c r="N72" s="2618"/>
      <c r="O72" s="2758"/>
      <c r="P72" s="2758"/>
      <c r="Q72" s="2629"/>
      <c r="R72" s="2758"/>
      <c r="S72" s="2758"/>
      <c r="Z72" s="1773">
        <v>72</v>
      </c>
    </row>
    <row r="73" spans="1:26" s="289" customFormat="1" ht="11.25" customHeight="1">
      <c r="B73" s="291" t="s">
        <v>2020</v>
      </c>
      <c r="C73" s="291" t="s">
        <v>273</v>
      </c>
      <c r="H73" s="3382"/>
      <c r="I73" s="3385"/>
      <c r="J73" s="3385"/>
      <c r="K73" s="3385"/>
      <c r="L73" s="3385"/>
      <c r="M73" s="3385"/>
      <c r="N73" s="3386"/>
      <c r="O73" s="2620" t="s">
        <v>1898</v>
      </c>
      <c r="P73" s="2620"/>
      <c r="Q73" s="3382"/>
      <c r="R73" s="3385"/>
      <c r="S73" s="3386"/>
      <c r="Z73" s="1773">
        <v>73</v>
      </c>
    </row>
    <row r="74" spans="1:26" s="289" customFormat="1" ht="11.25" customHeight="1">
      <c r="D74" s="326"/>
      <c r="E74" s="2621" t="s">
        <v>982</v>
      </c>
      <c r="F74" s="301"/>
      <c r="H74" s="3290"/>
      <c r="I74" s="3448"/>
      <c r="J74" s="3448"/>
      <c r="K74" s="3449"/>
      <c r="L74" s="3448"/>
      <c r="M74" s="3448"/>
      <c r="N74" s="3450"/>
      <c r="O74" s="2620" t="s">
        <v>1668</v>
      </c>
      <c r="Q74" s="3153"/>
      <c r="R74" s="3267"/>
      <c r="S74" s="3268"/>
      <c r="Z74" s="1773">
        <v>74</v>
      </c>
    </row>
    <row r="75" spans="1:26" s="289" customFormat="1" ht="11.25" customHeight="1">
      <c r="D75" s="326"/>
      <c r="E75" s="2621" t="s">
        <v>588</v>
      </c>
      <c r="H75" s="3290"/>
      <c r="I75" s="3449"/>
      <c r="J75" s="3283"/>
      <c r="K75" s="2623" t="s">
        <v>2552</v>
      </c>
      <c r="L75" s="3290"/>
      <c r="M75" s="3448"/>
      <c r="N75" s="3283"/>
      <c r="O75" s="2620" t="s">
        <v>1644</v>
      </c>
      <c r="Q75" s="3139"/>
      <c r="R75" s="3140"/>
      <c r="S75" s="3141"/>
      <c r="Z75" s="1773">
        <v>75</v>
      </c>
    </row>
    <row r="76" spans="1:26" s="289" customFormat="1" ht="11.25" customHeight="1">
      <c r="E76" s="2621" t="s">
        <v>1717</v>
      </c>
      <c r="H76" s="2694"/>
      <c r="K76" s="916" t="s">
        <v>2127</v>
      </c>
      <c r="L76" s="3328"/>
      <c r="M76" s="3451"/>
      <c r="O76" s="2620" t="s">
        <v>1888</v>
      </c>
      <c r="Q76" s="3139"/>
      <c r="R76" s="3140"/>
      <c r="S76" s="3141"/>
      <c r="Z76" s="1773">
        <v>76</v>
      </c>
    </row>
    <row r="77" spans="1:26" s="289" customFormat="1" ht="11.25" customHeight="1">
      <c r="D77" s="326"/>
      <c r="E77" s="2621" t="s">
        <v>3613</v>
      </c>
      <c r="H77" s="3445"/>
      <c r="I77" s="3446"/>
      <c r="J77" s="2756"/>
      <c r="K77" s="2629" t="s">
        <v>1893</v>
      </c>
      <c r="L77" s="3447"/>
      <c r="M77" s="3280"/>
      <c r="N77" s="3345"/>
      <c r="O77" s="3345"/>
      <c r="P77" s="3345"/>
      <c r="Q77" s="3280"/>
      <c r="R77" s="3280"/>
      <c r="S77" s="3281"/>
      <c r="Z77" s="1773">
        <v>77</v>
      </c>
    </row>
    <row r="78" spans="1:26" ht="6.75" customHeight="1">
      <c r="Z78" s="1773">
        <v>78</v>
      </c>
    </row>
    <row r="79" spans="1:26" s="2621" customFormat="1" ht="13.35" customHeight="1">
      <c r="A79" s="294" t="s">
        <v>712</v>
      </c>
      <c r="B79" s="294" t="s">
        <v>274</v>
      </c>
      <c r="D79" s="294"/>
      <c r="E79" s="2620"/>
      <c r="F79" s="1662"/>
      <c r="G79" s="1662"/>
      <c r="H79" s="1662"/>
      <c r="I79" s="1662"/>
      <c r="J79" s="1662"/>
      <c r="K79" s="1053" t="s">
        <v>3612</v>
      </c>
      <c r="L79" s="1662"/>
      <c r="M79" s="1662"/>
      <c r="Z79" s="1773">
        <v>79</v>
      </c>
    </row>
    <row r="80" spans="1:26" s="2621" customFormat="1" ht="3" customHeight="1">
      <c r="A80" s="294"/>
      <c r="B80" s="294"/>
      <c r="D80" s="294"/>
      <c r="E80" s="2620"/>
      <c r="F80" s="1662"/>
      <c r="G80" s="1662"/>
      <c r="H80" s="2760"/>
      <c r="I80" s="2760"/>
      <c r="J80" s="2760"/>
      <c r="K80" s="2618"/>
      <c r="L80" s="2760"/>
      <c r="M80" s="2760"/>
      <c r="N80" s="2618"/>
      <c r="O80" s="2758"/>
      <c r="P80" s="2758"/>
      <c r="Q80" s="2629"/>
      <c r="R80" s="2758"/>
      <c r="S80" s="2758"/>
      <c r="Z80" s="1773">
        <v>80</v>
      </c>
    </row>
    <row r="81" spans="2:26" s="289" customFormat="1" ht="11.25" customHeight="1">
      <c r="B81" s="291" t="s">
        <v>1892</v>
      </c>
      <c r="C81" s="291" t="s">
        <v>275</v>
      </c>
      <c r="H81" s="3382"/>
      <c r="I81" s="3385"/>
      <c r="J81" s="3385"/>
      <c r="K81" s="3385"/>
      <c r="L81" s="3385"/>
      <c r="M81" s="3385"/>
      <c r="N81" s="3386"/>
      <c r="O81" s="2620" t="s">
        <v>1898</v>
      </c>
      <c r="P81" s="2620"/>
      <c r="Q81" s="3382"/>
      <c r="R81" s="3385"/>
      <c r="S81" s="3386"/>
      <c r="Z81" s="1773">
        <v>81</v>
      </c>
    </row>
    <row r="82" spans="2:26" s="289" customFormat="1" ht="11.25" customHeight="1">
      <c r="D82" s="326"/>
      <c r="E82" s="2621" t="s">
        <v>982</v>
      </c>
      <c r="F82" s="301"/>
      <c r="H82" s="3290"/>
      <c r="I82" s="3448"/>
      <c r="J82" s="3448"/>
      <c r="K82" s="3449"/>
      <c r="L82" s="3448"/>
      <c r="M82" s="3448"/>
      <c r="N82" s="3450"/>
      <c r="O82" s="2620" t="s">
        <v>1668</v>
      </c>
      <c r="Q82" s="3153"/>
      <c r="R82" s="3267"/>
      <c r="S82" s="3268"/>
      <c r="Z82" s="1773">
        <v>82</v>
      </c>
    </row>
    <row r="83" spans="2:26" s="289" customFormat="1" ht="11.25" customHeight="1">
      <c r="D83" s="326"/>
      <c r="E83" s="2621" t="s">
        <v>588</v>
      </c>
      <c r="H83" s="3290"/>
      <c r="I83" s="3449"/>
      <c r="J83" s="3283"/>
      <c r="K83" s="2623" t="s">
        <v>2552</v>
      </c>
      <c r="L83" s="3290"/>
      <c r="M83" s="3448"/>
      <c r="N83" s="3283"/>
      <c r="O83" s="2620" t="s">
        <v>1644</v>
      </c>
      <c r="Q83" s="3139"/>
      <c r="R83" s="3140"/>
      <c r="S83" s="3141"/>
      <c r="Z83" s="1773">
        <v>83</v>
      </c>
    </row>
    <row r="84" spans="2:26" s="289" customFormat="1" ht="11.25" customHeight="1">
      <c r="E84" s="2621" t="s">
        <v>1717</v>
      </c>
      <c r="H84" s="2694"/>
      <c r="K84" s="916" t="s">
        <v>2127</v>
      </c>
      <c r="L84" s="3328"/>
      <c r="M84" s="3451"/>
      <c r="O84" s="2620" t="s">
        <v>1888</v>
      </c>
      <c r="Q84" s="3139"/>
      <c r="R84" s="3140"/>
      <c r="S84" s="3141"/>
      <c r="Z84" s="1773">
        <v>84</v>
      </c>
    </row>
    <row r="85" spans="2:26" s="289" customFormat="1" ht="11.25" customHeight="1">
      <c r="D85" s="326"/>
      <c r="E85" s="2621" t="s">
        <v>3613</v>
      </c>
      <c r="H85" s="3445"/>
      <c r="I85" s="3446"/>
      <c r="J85" s="2756"/>
      <c r="K85" s="2629" t="s">
        <v>1893</v>
      </c>
      <c r="L85" s="3447"/>
      <c r="M85" s="3280"/>
      <c r="N85" s="3345"/>
      <c r="O85" s="3345"/>
      <c r="P85" s="3345"/>
      <c r="Q85" s="3280"/>
      <c r="R85" s="3280"/>
      <c r="S85" s="3281"/>
      <c r="Z85" s="1773">
        <v>85</v>
      </c>
    </row>
    <row r="86" spans="2:26" ht="6.6" customHeight="1">
      <c r="H86" s="2757"/>
      <c r="I86" s="2757"/>
      <c r="J86" s="2757"/>
      <c r="K86" s="2629"/>
      <c r="L86" s="2757"/>
      <c r="M86" s="2757"/>
      <c r="N86" s="2618"/>
      <c r="O86" s="2758"/>
      <c r="P86" s="2758"/>
      <c r="Q86" s="2629"/>
      <c r="R86" s="2758"/>
      <c r="S86" s="2758"/>
      <c r="Z86" s="1773">
        <v>86</v>
      </c>
    </row>
    <row r="87" spans="2:26" s="289" customFormat="1" ht="11.25" customHeight="1">
      <c r="B87" s="291" t="s">
        <v>1894</v>
      </c>
      <c r="C87" s="291" t="s">
        <v>276</v>
      </c>
      <c r="H87" s="3382" t="s">
        <v>6911</v>
      </c>
      <c r="I87" s="3385"/>
      <c r="J87" s="3385"/>
      <c r="K87" s="3385"/>
      <c r="L87" s="3385"/>
      <c r="M87" s="3385"/>
      <c r="N87" s="3386"/>
      <c r="O87" s="2620" t="s">
        <v>1898</v>
      </c>
      <c r="P87" s="2620"/>
      <c r="Q87" s="3382" t="s">
        <v>6916</v>
      </c>
      <c r="R87" s="3385"/>
      <c r="S87" s="3386"/>
      <c r="Z87" s="1773">
        <v>87</v>
      </c>
    </row>
    <row r="88" spans="2:26" s="289" customFormat="1" ht="11.25" customHeight="1">
      <c r="D88" s="326"/>
      <c r="E88" s="2621" t="s">
        <v>982</v>
      </c>
      <c r="F88" s="301"/>
      <c r="H88" s="3290" t="s">
        <v>6912</v>
      </c>
      <c r="I88" s="3448"/>
      <c r="J88" s="3448"/>
      <c r="K88" s="3449"/>
      <c r="L88" s="3448"/>
      <c r="M88" s="3448"/>
      <c r="N88" s="3450"/>
      <c r="O88" s="2620" t="s">
        <v>1668</v>
      </c>
      <c r="Q88" s="3153" t="s">
        <v>6917</v>
      </c>
      <c r="R88" s="3267"/>
      <c r="S88" s="3268"/>
      <c r="Z88" s="1773">
        <v>88</v>
      </c>
    </row>
    <row r="89" spans="2:26" s="289" customFormat="1" ht="11.25" customHeight="1">
      <c r="D89" s="326"/>
      <c r="E89" s="2621" t="s">
        <v>588</v>
      </c>
      <c r="H89" s="3290" t="s">
        <v>6913</v>
      </c>
      <c r="I89" s="3449"/>
      <c r="J89" s="3283"/>
      <c r="K89" s="2623" t="s">
        <v>2552</v>
      </c>
      <c r="L89" s="3290" t="s">
        <v>6914</v>
      </c>
      <c r="M89" s="3448"/>
      <c r="N89" s="3283"/>
      <c r="O89" s="2620" t="s">
        <v>1644</v>
      </c>
      <c r="Q89" s="3139">
        <v>2053805671</v>
      </c>
      <c r="R89" s="3140"/>
      <c r="S89" s="3141"/>
      <c r="Z89" s="1773">
        <v>89</v>
      </c>
    </row>
    <row r="90" spans="2:26" s="289" customFormat="1" ht="11.25" customHeight="1">
      <c r="E90" s="2621" t="s">
        <v>1717</v>
      </c>
      <c r="H90" s="2694" t="s">
        <v>805</v>
      </c>
      <c r="K90" s="916" t="s">
        <v>2127</v>
      </c>
      <c r="L90" s="3328">
        <v>352098314</v>
      </c>
      <c r="M90" s="3451"/>
      <c r="O90" s="2620" t="s">
        <v>1888</v>
      </c>
      <c r="Q90" s="3139"/>
      <c r="R90" s="3140"/>
      <c r="S90" s="3141"/>
      <c r="Z90" s="1773">
        <v>90</v>
      </c>
    </row>
    <row r="91" spans="2:26" s="289" customFormat="1" ht="11.25" customHeight="1">
      <c r="D91" s="326"/>
      <c r="E91" s="2621" t="s">
        <v>3613</v>
      </c>
      <c r="H91" s="3445">
        <v>2053805671</v>
      </c>
      <c r="I91" s="3446"/>
      <c r="J91" s="2756"/>
      <c r="K91" s="2629" t="s">
        <v>1893</v>
      </c>
      <c r="L91" s="3447" t="s">
        <v>6915</v>
      </c>
      <c r="M91" s="3280"/>
      <c r="N91" s="3345"/>
      <c r="O91" s="3345"/>
      <c r="P91" s="3345"/>
      <c r="Q91" s="3280"/>
      <c r="R91" s="3280"/>
      <c r="S91" s="3281"/>
      <c r="Z91" s="1773">
        <v>91</v>
      </c>
    </row>
    <row r="92" spans="2:26" ht="6.6" customHeight="1">
      <c r="H92" s="2757"/>
      <c r="I92" s="2757"/>
      <c r="J92" s="2757"/>
      <c r="K92" s="2629"/>
      <c r="L92" s="2757"/>
      <c r="M92" s="2757"/>
      <c r="N92" s="2618"/>
      <c r="O92" s="2758"/>
      <c r="P92" s="2758"/>
      <c r="Q92" s="2629"/>
      <c r="R92" s="2758"/>
      <c r="S92" s="2758"/>
      <c r="Z92" s="1773">
        <v>92</v>
      </c>
    </row>
    <row r="93" spans="2:26" s="289" customFormat="1" ht="11.25" customHeight="1">
      <c r="B93" s="291" t="s">
        <v>719</v>
      </c>
      <c r="C93" s="291" t="s">
        <v>277</v>
      </c>
      <c r="F93" s="307"/>
      <c r="H93" s="3382" t="s">
        <v>6918</v>
      </c>
      <c r="I93" s="3385"/>
      <c r="J93" s="3385"/>
      <c r="K93" s="3385"/>
      <c r="L93" s="3385"/>
      <c r="M93" s="3385"/>
      <c r="N93" s="3386"/>
      <c r="O93" s="2620" t="s">
        <v>1898</v>
      </c>
      <c r="P93" s="2620"/>
      <c r="Q93" s="3382" t="s">
        <v>6920</v>
      </c>
      <c r="R93" s="3385"/>
      <c r="S93" s="3386"/>
      <c r="Z93" s="1773">
        <v>93</v>
      </c>
    </row>
    <row r="94" spans="2:26" s="289" customFormat="1" ht="11.25" customHeight="1">
      <c r="D94" s="326"/>
      <c r="E94" s="2621" t="s">
        <v>982</v>
      </c>
      <c r="F94" s="301"/>
      <c r="H94" s="3290" t="s">
        <v>6919</v>
      </c>
      <c r="I94" s="3448"/>
      <c r="J94" s="3448"/>
      <c r="K94" s="3449"/>
      <c r="L94" s="3448"/>
      <c r="M94" s="3448"/>
      <c r="N94" s="3450"/>
      <c r="O94" s="2620" t="s">
        <v>1668</v>
      </c>
      <c r="Q94" s="3153" t="s">
        <v>6901</v>
      </c>
      <c r="R94" s="3267"/>
      <c r="S94" s="3268"/>
      <c r="Z94" s="1773">
        <v>94</v>
      </c>
    </row>
    <row r="95" spans="2:26" s="289" customFormat="1" ht="11.25" customHeight="1">
      <c r="D95" s="326"/>
      <c r="E95" s="2621" t="s">
        <v>588</v>
      </c>
      <c r="H95" s="3290" t="s">
        <v>6904</v>
      </c>
      <c r="I95" s="3449"/>
      <c r="J95" s="3283"/>
      <c r="K95" s="2623" t="s">
        <v>2552</v>
      </c>
      <c r="L95" s="3290" t="s">
        <v>6892</v>
      </c>
      <c r="M95" s="3448"/>
      <c r="N95" s="3283"/>
      <c r="O95" s="2620" t="s">
        <v>1644</v>
      </c>
      <c r="Q95" s="3139"/>
      <c r="R95" s="3140"/>
      <c r="S95" s="3141"/>
      <c r="Z95" s="1773">
        <v>95</v>
      </c>
    </row>
    <row r="96" spans="2:26" s="289" customFormat="1" ht="11.25" customHeight="1">
      <c r="D96" s="326"/>
      <c r="E96" s="2621" t="s">
        <v>1717</v>
      </c>
      <c r="H96" s="2694" t="s">
        <v>1305</v>
      </c>
      <c r="K96" s="916" t="s">
        <v>2127</v>
      </c>
      <c r="L96" s="3328">
        <v>191214495</v>
      </c>
      <c r="M96" s="3451"/>
      <c r="O96" s="2620" t="s">
        <v>1888</v>
      </c>
      <c r="Q96" s="3139"/>
      <c r="R96" s="3140"/>
      <c r="S96" s="3141"/>
      <c r="Z96" s="1773">
        <v>96</v>
      </c>
    </row>
    <row r="97" spans="2:26" s="289" customFormat="1" ht="11.25" customHeight="1">
      <c r="D97" s="326"/>
      <c r="E97" s="2621" t="s">
        <v>3613</v>
      </c>
      <c r="H97" s="3445">
        <v>2673868600</v>
      </c>
      <c r="I97" s="3446"/>
      <c r="J97" s="2756"/>
      <c r="K97" s="2629" t="s">
        <v>1893</v>
      </c>
      <c r="L97" s="3447" t="s">
        <v>6921</v>
      </c>
      <c r="M97" s="3280"/>
      <c r="N97" s="3345"/>
      <c r="O97" s="3345"/>
      <c r="P97" s="3345"/>
      <c r="Q97" s="3280"/>
      <c r="R97" s="3280"/>
      <c r="S97" s="3281"/>
      <c r="Z97" s="1773">
        <v>97</v>
      </c>
    </row>
    <row r="98" spans="2:26" ht="6.6" customHeight="1">
      <c r="H98" s="2757"/>
      <c r="I98" s="2757"/>
      <c r="J98" s="2757"/>
      <c r="K98" s="2629"/>
      <c r="L98" s="2757"/>
      <c r="M98" s="2757"/>
      <c r="N98" s="2618"/>
      <c r="O98" s="2758"/>
      <c r="P98" s="2758"/>
      <c r="Q98" s="2629"/>
      <c r="R98" s="2758"/>
      <c r="S98" s="2758"/>
      <c r="Z98" s="1773">
        <v>98</v>
      </c>
    </row>
    <row r="99" spans="2:26" s="289" customFormat="1" ht="11.25" customHeight="1">
      <c r="B99" s="291" t="s">
        <v>2020</v>
      </c>
      <c r="C99" s="291" t="s">
        <v>278</v>
      </c>
      <c r="H99" s="3136" t="s">
        <v>6922</v>
      </c>
      <c r="I99" s="3272"/>
      <c r="J99" s="3272"/>
      <c r="K99" s="3272"/>
      <c r="L99" s="3272"/>
      <c r="M99" s="3272"/>
      <c r="N99" s="3452"/>
      <c r="O99" s="2620" t="s">
        <v>1898</v>
      </c>
      <c r="P99" s="2620"/>
      <c r="Q99" s="3382" t="s">
        <v>6926</v>
      </c>
      <c r="R99" s="3385"/>
      <c r="S99" s="3386"/>
      <c r="Z99" s="1773">
        <v>99</v>
      </c>
    </row>
    <row r="100" spans="2:26" s="289" customFormat="1" ht="11.25" customHeight="1">
      <c r="D100" s="326"/>
      <c r="E100" s="2621" t="s">
        <v>982</v>
      </c>
      <c r="F100" s="301"/>
      <c r="H100" s="3290" t="s">
        <v>6923</v>
      </c>
      <c r="I100" s="3448"/>
      <c r="J100" s="3448"/>
      <c r="K100" s="3449"/>
      <c r="L100" s="3448"/>
      <c r="M100" s="3448"/>
      <c r="N100" s="3450"/>
      <c r="O100" s="2620" t="s">
        <v>1668</v>
      </c>
      <c r="Q100" s="3153" t="s">
        <v>2361</v>
      </c>
      <c r="R100" s="3267"/>
      <c r="S100" s="3268"/>
      <c r="Z100" s="1773">
        <v>100</v>
      </c>
    </row>
    <row r="101" spans="2:26" s="289" customFormat="1" ht="11.25" customHeight="1">
      <c r="D101" s="326"/>
      <c r="E101" s="2621" t="s">
        <v>588</v>
      </c>
      <c r="H101" s="3290" t="s">
        <v>6904</v>
      </c>
      <c r="I101" s="3449"/>
      <c r="J101" s="3283"/>
      <c r="K101" s="2623" t="s">
        <v>2552</v>
      </c>
      <c r="L101" s="3290" t="s">
        <v>6924</v>
      </c>
      <c r="M101" s="3448"/>
      <c r="N101" s="3283"/>
      <c r="O101" s="2620" t="s">
        <v>1644</v>
      </c>
      <c r="Q101" s="3139">
        <v>2158259740</v>
      </c>
      <c r="R101" s="3140"/>
      <c r="S101" s="3141"/>
      <c r="Z101" s="1773">
        <v>101</v>
      </c>
    </row>
    <row r="102" spans="2:26" s="289" customFormat="1" ht="11.25" customHeight="1">
      <c r="D102" s="326"/>
      <c r="E102" s="2621" t="s">
        <v>1717</v>
      </c>
      <c r="H102" s="2694" t="s">
        <v>1305</v>
      </c>
      <c r="K102" s="916" t="s">
        <v>2127</v>
      </c>
      <c r="L102" s="3328">
        <v>191042590</v>
      </c>
      <c r="M102" s="3451"/>
      <c r="O102" s="2620" t="s">
        <v>1888</v>
      </c>
      <c r="Q102" s="3139"/>
      <c r="R102" s="3140"/>
      <c r="S102" s="3141"/>
      <c r="Z102" s="1773">
        <v>102</v>
      </c>
    </row>
    <row r="103" spans="2:26" ht="11.25" customHeight="1">
      <c r="E103" s="2621" t="s">
        <v>3613</v>
      </c>
      <c r="F103" s="289"/>
      <c r="G103" s="289"/>
      <c r="H103" s="3445">
        <v>9014357700</v>
      </c>
      <c r="I103" s="3446"/>
      <c r="J103" s="2756"/>
      <c r="K103" s="2629" t="s">
        <v>1893</v>
      </c>
      <c r="L103" s="3447" t="s">
        <v>6925</v>
      </c>
      <c r="M103" s="3280"/>
      <c r="N103" s="3345"/>
      <c r="O103" s="3345"/>
      <c r="P103" s="3345"/>
      <c r="Q103" s="3280"/>
      <c r="R103" s="3280"/>
      <c r="S103" s="3281"/>
      <c r="Z103" s="1773">
        <v>103</v>
      </c>
    </row>
    <row r="104" spans="2:26" ht="6" customHeight="1">
      <c r="E104" s="2621"/>
      <c r="F104" s="289"/>
      <c r="G104" s="2628"/>
      <c r="H104" s="2757"/>
      <c r="I104" s="2757"/>
      <c r="J104" s="2757"/>
      <c r="K104" s="2629"/>
      <c r="L104" s="2757"/>
      <c r="M104" s="2757"/>
      <c r="N104" s="2618"/>
      <c r="O104" s="2758"/>
      <c r="P104" s="2758"/>
      <c r="Q104" s="2629"/>
      <c r="R104" s="2758"/>
      <c r="S104" s="2758"/>
      <c r="Z104" s="1773">
        <v>104</v>
      </c>
    </row>
    <row r="105" spans="2:26" s="289" customFormat="1" ht="11.25" customHeight="1">
      <c r="B105" s="291" t="s">
        <v>1656</v>
      </c>
      <c r="C105" s="291" t="s">
        <v>279</v>
      </c>
      <c r="H105" s="3382" t="s">
        <v>6927</v>
      </c>
      <c r="I105" s="3385"/>
      <c r="J105" s="3385"/>
      <c r="K105" s="3385"/>
      <c r="L105" s="3385"/>
      <c r="M105" s="3385"/>
      <c r="N105" s="3386"/>
      <c r="O105" s="2620" t="s">
        <v>1898</v>
      </c>
      <c r="P105" s="2620"/>
      <c r="Q105" s="3382" t="s">
        <v>6932</v>
      </c>
      <c r="R105" s="3385"/>
      <c r="S105" s="3386"/>
      <c r="Z105" s="1773">
        <v>105</v>
      </c>
    </row>
    <row r="106" spans="2:26" s="289" customFormat="1" ht="11.25" customHeight="1">
      <c r="D106" s="326"/>
      <c r="E106" s="2621" t="s">
        <v>982</v>
      </c>
      <c r="F106" s="301"/>
      <c r="H106" s="3290" t="s">
        <v>6928</v>
      </c>
      <c r="I106" s="3448"/>
      <c r="J106" s="3448"/>
      <c r="K106" s="3449"/>
      <c r="L106" s="3448"/>
      <c r="M106" s="3448"/>
      <c r="N106" s="3450"/>
      <c r="O106" s="2620" t="s">
        <v>1668</v>
      </c>
      <c r="Q106" s="3153" t="s">
        <v>2361</v>
      </c>
      <c r="R106" s="3267"/>
      <c r="S106" s="3268"/>
      <c r="Z106" s="1773">
        <v>106</v>
      </c>
    </row>
    <row r="107" spans="2:26" s="289" customFormat="1" ht="11.25" customHeight="1">
      <c r="D107" s="326"/>
      <c r="E107" s="2621" t="s">
        <v>588</v>
      </c>
      <c r="H107" s="3290" t="s">
        <v>6929</v>
      </c>
      <c r="I107" s="3449"/>
      <c r="J107" s="3283"/>
      <c r="K107" s="2623" t="s">
        <v>2552</v>
      </c>
      <c r="L107" s="3290" t="s">
        <v>6930</v>
      </c>
      <c r="M107" s="3448"/>
      <c r="N107" s="3283"/>
      <c r="O107" s="2620" t="s">
        <v>1644</v>
      </c>
      <c r="Q107" s="3139">
        <v>2158259740</v>
      </c>
      <c r="R107" s="3140"/>
      <c r="S107" s="3141"/>
      <c r="Z107" s="1773">
        <v>107</v>
      </c>
    </row>
    <row r="108" spans="2:26" s="289" customFormat="1" ht="11.25" customHeight="1">
      <c r="D108" s="326"/>
      <c r="E108" s="2621" t="s">
        <v>1717</v>
      </c>
      <c r="H108" s="2694" t="s">
        <v>825</v>
      </c>
      <c r="K108" s="916" t="s">
        <v>2127</v>
      </c>
      <c r="L108" s="3328">
        <v>212023100</v>
      </c>
      <c r="M108" s="3451"/>
      <c r="O108" s="2620" t="s">
        <v>1888</v>
      </c>
      <c r="Q108" s="3139"/>
      <c r="R108" s="3140"/>
      <c r="S108" s="3141"/>
      <c r="Z108" s="1773">
        <v>108</v>
      </c>
    </row>
    <row r="109" spans="2:26" ht="11.25" customHeight="1">
      <c r="E109" s="2621" t="s">
        <v>3613</v>
      </c>
      <c r="F109" s="289"/>
      <c r="G109" s="289"/>
      <c r="H109" s="3445">
        <v>4107834900</v>
      </c>
      <c r="I109" s="3446"/>
      <c r="J109" s="2756"/>
      <c r="K109" s="2629" t="s">
        <v>1893</v>
      </c>
      <c r="L109" s="3447" t="s">
        <v>6931</v>
      </c>
      <c r="M109" s="3280"/>
      <c r="N109" s="3345"/>
      <c r="O109" s="3345"/>
      <c r="P109" s="3345"/>
      <c r="Q109" s="3280"/>
      <c r="R109" s="3280"/>
      <c r="S109" s="3281"/>
      <c r="Z109" s="1773">
        <v>109</v>
      </c>
    </row>
    <row r="110" spans="2:26" ht="6.6" customHeight="1">
      <c r="E110" s="2621"/>
      <c r="F110" s="289"/>
      <c r="G110" s="2628"/>
      <c r="H110" s="2757"/>
      <c r="I110" s="2757"/>
      <c r="J110" s="2757"/>
      <c r="K110" s="2629"/>
      <c r="L110" s="2757"/>
      <c r="M110" s="2757"/>
      <c r="N110" s="2618"/>
      <c r="O110" s="2758"/>
      <c r="P110" s="2758"/>
      <c r="Q110" s="2629"/>
      <c r="R110" s="2758"/>
      <c r="S110" s="2758"/>
      <c r="Z110" s="1773">
        <v>110</v>
      </c>
    </row>
    <row r="111" spans="2:26" s="289" customFormat="1" ht="11.25" customHeight="1">
      <c r="B111" s="291" t="s">
        <v>1657</v>
      </c>
      <c r="C111" s="291" t="s">
        <v>280</v>
      </c>
      <c r="H111" s="3382" t="s">
        <v>6933</v>
      </c>
      <c r="I111" s="3385"/>
      <c r="J111" s="3385"/>
      <c r="K111" s="3385"/>
      <c r="L111" s="3385"/>
      <c r="M111" s="3385"/>
      <c r="N111" s="3386"/>
      <c r="O111" s="2620" t="s">
        <v>1898</v>
      </c>
      <c r="P111" s="2620"/>
      <c r="Q111" s="3382" t="s">
        <v>6938</v>
      </c>
      <c r="R111" s="3385"/>
      <c r="S111" s="3386"/>
      <c r="Z111" s="1773">
        <v>111</v>
      </c>
    </row>
    <row r="112" spans="2:26" s="289" customFormat="1" ht="11.25" customHeight="1">
      <c r="D112" s="326"/>
      <c r="E112" s="2621" t="s">
        <v>982</v>
      </c>
      <c r="F112" s="301"/>
      <c r="H112" s="3290" t="s">
        <v>6934</v>
      </c>
      <c r="I112" s="3448"/>
      <c r="J112" s="3448"/>
      <c r="K112" s="3449"/>
      <c r="L112" s="3448"/>
      <c r="M112" s="3448"/>
      <c r="N112" s="3450"/>
      <c r="O112" s="2620" t="s">
        <v>1668</v>
      </c>
      <c r="Q112" s="3153" t="s">
        <v>2361</v>
      </c>
      <c r="R112" s="3267"/>
      <c r="S112" s="3268"/>
      <c r="Z112" s="1773">
        <v>112</v>
      </c>
    </row>
    <row r="113" spans="1:26" s="289" customFormat="1" ht="11.25" customHeight="1">
      <c r="D113" s="326"/>
      <c r="E113" s="2621" t="s">
        <v>588</v>
      </c>
      <c r="H113" s="3290" t="s">
        <v>6935</v>
      </c>
      <c r="I113" s="3449"/>
      <c r="J113" s="3283"/>
      <c r="K113" s="2623" t="s">
        <v>2552</v>
      </c>
      <c r="L113" s="3290" t="s">
        <v>6936</v>
      </c>
      <c r="M113" s="3448"/>
      <c r="N113" s="3283"/>
      <c r="O113" s="2620" t="s">
        <v>1644</v>
      </c>
      <c r="Q113" s="3139">
        <v>8565592063</v>
      </c>
      <c r="R113" s="3140"/>
      <c r="S113" s="3141"/>
      <c r="Z113" s="1773">
        <v>113</v>
      </c>
    </row>
    <row r="114" spans="1:26" s="289" customFormat="1" ht="11.25" customHeight="1">
      <c r="D114" s="330"/>
      <c r="E114" s="2621" t="s">
        <v>1717</v>
      </c>
      <c r="H114" s="2694" t="s">
        <v>1297</v>
      </c>
      <c r="K114" s="916" t="s">
        <v>2127</v>
      </c>
      <c r="L114" s="3328">
        <v>81083712</v>
      </c>
      <c r="M114" s="3451"/>
      <c r="O114" s="2620" t="s">
        <v>1888</v>
      </c>
      <c r="Q114" s="3139"/>
      <c r="R114" s="3140"/>
      <c r="S114" s="3141"/>
      <c r="Z114" s="1773">
        <v>114</v>
      </c>
    </row>
    <row r="115" spans="1:26" s="289" customFormat="1" ht="11.25" customHeight="1">
      <c r="D115" s="330"/>
      <c r="E115" s="2621" t="s">
        <v>3613</v>
      </c>
      <c r="H115" s="3445">
        <v>8568541880</v>
      </c>
      <c r="I115" s="3446"/>
      <c r="J115" s="2756"/>
      <c r="K115" s="2629" t="s">
        <v>1893</v>
      </c>
      <c r="L115" s="3447" t="s">
        <v>6937</v>
      </c>
      <c r="M115" s="3280"/>
      <c r="N115" s="3345"/>
      <c r="O115" s="3345"/>
      <c r="P115" s="3345"/>
      <c r="Q115" s="3280"/>
      <c r="R115" s="3280"/>
      <c r="S115" s="3281"/>
      <c r="Z115" s="1773">
        <v>115</v>
      </c>
    </row>
    <row r="116" spans="1:26" ht="3" customHeight="1">
      <c r="Z116" s="1773">
        <v>116</v>
      </c>
    </row>
    <row r="117" spans="1:26" s="289" customFormat="1" ht="12" customHeight="1">
      <c r="A117" s="291" t="s">
        <v>1711</v>
      </c>
      <c r="B117" s="291" t="s">
        <v>2482</v>
      </c>
      <c r="F117" s="291"/>
      <c r="G117" s="2629"/>
      <c r="H117" s="2629"/>
      <c r="I117" s="2629"/>
      <c r="J117" s="2629"/>
      <c r="K117" s="2629"/>
      <c r="L117" s="2629"/>
      <c r="M117" s="2629"/>
      <c r="N117" s="2629"/>
      <c r="O117" s="2629"/>
      <c r="P117" s="2629"/>
      <c r="Q117" s="2623"/>
      <c r="Z117" s="1773">
        <v>117</v>
      </c>
    </row>
    <row r="118" spans="1:26" s="289" customFormat="1" ht="12" customHeight="1">
      <c r="A118" s="291"/>
      <c r="B118" s="291" t="s">
        <v>1892</v>
      </c>
      <c r="C118" s="291" t="s">
        <v>6485</v>
      </c>
      <c r="F118" s="291"/>
      <c r="G118" s="2629"/>
      <c r="H118" s="2629"/>
      <c r="I118" s="2629"/>
      <c r="J118" s="2629"/>
      <c r="K118" s="2629"/>
      <c r="L118" s="2629"/>
      <c r="M118" s="2629"/>
      <c r="N118" s="2629"/>
      <c r="O118" s="2629"/>
      <c r="P118" s="2629"/>
      <c r="Q118" s="2623"/>
      <c r="Z118" s="1773">
        <v>118</v>
      </c>
    </row>
    <row r="119" spans="1:26" ht="2.25" customHeight="1">
      <c r="Z119" s="1773">
        <v>119</v>
      </c>
    </row>
    <row r="120" spans="1:26" s="289" customFormat="1" ht="11.25" customHeight="1">
      <c r="C120" s="1750" t="s">
        <v>1895</v>
      </c>
      <c r="D120" s="291" t="s">
        <v>6780</v>
      </c>
      <c r="H120" s="3382"/>
      <c r="I120" s="3383"/>
      <c r="J120" s="3384"/>
      <c r="K120" s="2629" t="s">
        <v>1716</v>
      </c>
      <c r="L120" s="3382"/>
      <c r="M120" s="3385"/>
      <c r="N120" s="3386"/>
      <c r="O120" s="2621" t="s">
        <v>3261</v>
      </c>
      <c r="Q120" s="3387"/>
      <c r="R120" s="3388"/>
      <c r="S120" s="3389"/>
      <c r="Z120" s="1773">
        <v>120</v>
      </c>
    </row>
    <row r="121" spans="1:26" s="289" customFormat="1" ht="11.25" customHeight="1">
      <c r="C121" s="291"/>
      <c r="D121" s="326"/>
      <c r="E121" s="2621" t="s">
        <v>6486</v>
      </c>
      <c r="F121" s="301"/>
      <c r="H121" s="3269"/>
      <c r="I121" s="3378"/>
      <c r="J121" s="3379"/>
      <c r="K121" s="3270"/>
      <c r="L121" s="3378"/>
      <c r="M121" s="3378"/>
      <c r="N121" s="3380"/>
      <c r="O121" s="2621" t="s">
        <v>588</v>
      </c>
      <c r="Q121" s="3381"/>
      <c r="R121" s="3273"/>
      <c r="S121" s="3274"/>
      <c r="Z121" s="1773">
        <v>121</v>
      </c>
    </row>
    <row r="122" spans="1:26" s="289" customFormat="1" ht="11.25" customHeight="1">
      <c r="C122" s="291"/>
      <c r="D122" s="326"/>
      <c r="E122" s="2621" t="s">
        <v>1717</v>
      </c>
      <c r="H122" s="2761"/>
      <c r="I122" s="916" t="s">
        <v>2127</v>
      </c>
      <c r="J122" s="3282"/>
      <c r="K122" s="3283"/>
      <c r="L122" s="2629" t="s">
        <v>1893</v>
      </c>
      <c r="M122" s="3279"/>
      <c r="N122" s="3345"/>
      <c r="O122" s="3345"/>
      <c r="P122" s="3345"/>
      <c r="Q122" s="3280"/>
      <c r="R122" s="3280"/>
      <c r="S122" s="3281"/>
      <c r="Z122" s="1773">
        <v>122</v>
      </c>
    </row>
    <row r="123" spans="1:26" ht="2.25" customHeight="1">
      <c r="C123" s="315"/>
      <c r="Z123" s="1773">
        <v>123</v>
      </c>
    </row>
    <row r="124" spans="1:26" s="289" customFormat="1" ht="11.25" hidden="1" customHeight="1">
      <c r="C124" s="1750"/>
      <c r="D124" s="289" t="s">
        <v>6781</v>
      </c>
      <c r="H124" s="3382"/>
      <c r="I124" s="3383"/>
      <c r="J124" s="3384"/>
      <c r="K124" s="2629" t="s">
        <v>1716</v>
      </c>
      <c r="L124" s="3382"/>
      <c r="M124" s="3385"/>
      <c r="N124" s="3386"/>
      <c r="O124" s="2621" t="s">
        <v>3261</v>
      </c>
      <c r="Q124" s="3387"/>
      <c r="R124" s="3388"/>
      <c r="S124" s="3389"/>
      <c r="Z124" s="1773">
        <v>124</v>
      </c>
    </row>
    <row r="125" spans="1:26" s="289" customFormat="1" ht="11.25" hidden="1" customHeight="1">
      <c r="C125" s="291"/>
      <c r="D125" s="326"/>
      <c r="E125" s="2621" t="s">
        <v>6486</v>
      </c>
      <c r="F125" s="301"/>
      <c r="H125" s="3269"/>
      <c r="I125" s="3378"/>
      <c r="J125" s="3379"/>
      <c r="K125" s="3270"/>
      <c r="L125" s="3378"/>
      <c r="M125" s="3378"/>
      <c r="N125" s="3380"/>
      <c r="O125" s="2621" t="s">
        <v>588</v>
      </c>
      <c r="Q125" s="3381"/>
      <c r="R125" s="3273"/>
      <c r="S125" s="3274"/>
      <c r="Z125" s="1773">
        <v>125</v>
      </c>
    </row>
    <row r="126" spans="1:26" s="289" customFormat="1" ht="11.25" hidden="1" customHeight="1">
      <c r="C126" s="291"/>
      <c r="D126" s="326"/>
      <c r="E126" s="2621" t="s">
        <v>1717</v>
      </c>
      <c r="H126" s="2761"/>
      <c r="I126" s="916" t="s">
        <v>2127</v>
      </c>
      <c r="J126" s="3282"/>
      <c r="K126" s="3283"/>
      <c r="L126" s="2629" t="s">
        <v>1893</v>
      </c>
      <c r="M126" s="3279"/>
      <c r="N126" s="3345"/>
      <c r="O126" s="3345"/>
      <c r="P126" s="3345"/>
      <c r="Q126" s="3280"/>
      <c r="R126" s="3280"/>
      <c r="S126" s="3281"/>
      <c r="Z126" s="1773">
        <v>126</v>
      </c>
    </row>
    <row r="127" spans="1:26" ht="2.25" hidden="1" customHeight="1">
      <c r="C127" s="315"/>
      <c r="Z127" s="1773">
        <v>127</v>
      </c>
    </row>
    <row r="128" spans="1:26" s="289" customFormat="1" ht="11.25" hidden="1" customHeight="1">
      <c r="C128" s="1750"/>
      <c r="D128" s="289" t="s">
        <v>6613</v>
      </c>
      <c r="H128" s="3382"/>
      <c r="I128" s="3383"/>
      <c r="J128" s="3384"/>
      <c r="K128" s="2629" t="s">
        <v>1716</v>
      </c>
      <c r="L128" s="3382"/>
      <c r="M128" s="3385"/>
      <c r="N128" s="3386"/>
      <c r="O128" s="2621" t="s">
        <v>3261</v>
      </c>
      <c r="Q128" s="3387"/>
      <c r="R128" s="3388"/>
      <c r="S128" s="3389"/>
      <c r="Z128" s="1773">
        <v>128</v>
      </c>
    </row>
    <row r="129" spans="3:26" s="289" customFormat="1" ht="11.25" hidden="1" customHeight="1">
      <c r="C129" s="291"/>
      <c r="D129" s="326"/>
      <c r="E129" s="2621" t="s">
        <v>6486</v>
      </c>
      <c r="F129" s="301"/>
      <c r="H129" s="3269"/>
      <c r="I129" s="3378"/>
      <c r="J129" s="3379"/>
      <c r="K129" s="3270"/>
      <c r="L129" s="3378"/>
      <c r="M129" s="3378"/>
      <c r="N129" s="3380"/>
      <c r="O129" s="2621" t="s">
        <v>588</v>
      </c>
      <c r="Q129" s="3381"/>
      <c r="R129" s="3273"/>
      <c r="S129" s="3274"/>
      <c r="Z129" s="1773">
        <v>129</v>
      </c>
    </row>
    <row r="130" spans="3:26" s="289" customFormat="1" ht="11.25" hidden="1" customHeight="1">
      <c r="C130" s="291"/>
      <c r="D130" s="326"/>
      <c r="E130" s="2621" t="s">
        <v>1717</v>
      </c>
      <c r="H130" s="2761"/>
      <c r="I130" s="916" t="s">
        <v>2127</v>
      </c>
      <c r="J130" s="3282"/>
      <c r="K130" s="3283"/>
      <c r="L130" s="2629" t="s">
        <v>1893</v>
      </c>
      <c r="M130" s="3279"/>
      <c r="N130" s="3345"/>
      <c r="O130" s="3345"/>
      <c r="P130" s="3345"/>
      <c r="Q130" s="3280"/>
      <c r="R130" s="3280"/>
      <c r="S130" s="3281"/>
      <c r="Z130" s="1773">
        <v>130</v>
      </c>
    </row>
    <row r="131" spans="3:26" ht="2.25" hidden="1" customHeight="1">
      <c r="C131" s="315"/>
      <c r="Z131" s="1773">
        <v>131</v>
      </c>
    </row>
    <row r="132" spans="3:26" s="289" customFormat="1" ht="11.25" hidden="1" customHeight="1">
      <c r="C132" s="1750"/>
      <c r="D132" s="289" t="s">
        <v>6791</v>
      </c>
      <c r="H132" s="3382"/>
      <c r="I132" s="3383"/>
      <c r="J132" s="3384"/>
      <c r="K132" s="2629" t="s">
        <v>1716</v>
      </c>
      <c r="L132" s="3382"/>
      <c r="M132" s="3385"/>
      <c r="N132" s="3386"/>
      <c r="O132" s="2621" t="s">
        <v>3261</v>
      </c>
      <c r="Q132" s="3387"/>
      <c r="R132" s="3388"/>
      <c r="S132" s="3389"/>
      <c r="Z132" s="1773">
        <v>132</v>
      </c>
    </row>
    <row r="133" spans="3:26" s="289" customFormat="1" ht="11.25" hidden="1" customHeight="1">
      <c r="C133" s="291"/>
      <c r="D133" s="326"/>
      <c r="E133" s="2621" t="s">
        <v>6486</v>
      </c>
      <c r="F133" s="301"/>
      <c r="H133" s="3269"/>
      <c r="I133" s="3378"/>
      <c r="J133" s="3379"/>
      <c r="K133" s="3270"/>
      <c r="L133" s="3378"/>
      <c r="M133" s="3378"/>
      <c r="N133" s="3380"/>
      <c r="O133" s="2621" t="s">
        <v>588</v>
      </c>
      <c r="Q133" s="3381"/>
      <c r="R133" s="3273"/>
      <c r="S133" s="3274"/>
      <c r="Z133" s="1773">
        <v>133</v>
      </c>
    </row>
    <row r="134" spans="3:26" s="289" customFormat="1" ht="11.25" hidden="1" customHeight="1">
      <c r="C134" s="291"/>
      <c r="D134" s="326"/>
      <c r="E134" s="2621" t="s">
        <v>1717</v>
      </c>
      <c r="H134" s="2761"/>
      <c r="I134" s="916" t="s">
        <v>2127</v>
      </c>
      <c r="J134" s="3282"/>
      <c r="K134" s="3283"/>
      <c r="L134" s="2629" t="s">
        <v>1893</v>
      </c>
      <c r="M134" s="3279"/>
      <c r="N134" s="3345"/>
      <c r="O134" s="3345"/>
      <c r="P134" s="3345"/>
      <c r="Q134" s="3280"/>
      <c r="R134" s="3280"/>
      <c r="S134" s="3281"/>
      <c r="Z134" s="1773">
        <v>134</v>
      </c>
    </row>
    <row r="135" spans="3:26" ht="2.25" hidden="1" customHeight="1">
      <c r="C135" s="315"/>
      <c r="Z135" s="1773">
        <v>135</v>
      </c>
    </row>
    <row r="136" spans="3:26" s="289" customFormat="1" ht="11.25" hidden="1" customHeight="1">
      <c r="C136" s="1750"/>
      <c r="D136" s="289" t="s">
        <v>6792</v>
      </c>
      <c r="H136" s="3382"/>
      <c r="I136" s="3383"/>
      <c r="J136" s="3384"/>
      <c r="K136" s="2629" t="s">
        <v>1716</v>
      </c>
      <c r="L136" s="3382"/>
      <c r="M136" s="3385"/>
      <c r="N136" s="3386"/>
      <c r="O136" s="2621" t="s">
        <v>3261</v>
      </c>
      <c r="Q136" s="3387"/>
      <c r="R136" s="3388"/>
      <c r="S136" s="3389"/>
      <c r="Z136" s="1773">
        <v>136</v>
      </c>
    </row>
    <row r="137" spans="3:26" s="289" customFormat="1" ht="11.25" hidden="1" customHeight="1">
      <c r="C137" s="291"/>
      <c r="D137" s="326"/>
      <c r="E137" s="2621" t="s">
        <v>6486</v>
      </c>
      <c r="F137" s="301"/>
      <c r="H137" s="3269"/>
      <c r="I137" s="3378"/>
      <c r="J137" s="3379"/>
      <c r="K137" s="3270"/>
      <c r="L137" s="3378"/>
      <c r="M137" s="3378"/>
      <c r="N137" s="3380"/>
      <c r="O137" s="2621" t="s">
        <v>588</v>
      </c>
      <c r="Q137" s="3381"/>
      <c r="R137" s="3273"/>
      <c r="S137" s="3274"/>
      <c r="Z137" s="1773">
        <v>137</v>
      </c>
    </row>
    <row r="138" spans="3:26" s="289" customFormat="1" ht="11.25" hidden="1" customHeight="1">
      <c r="C138" s="291"/>
      <c r="D138" s="326"/>
      <c r="E138" s="2621" t="s">
        <v>1717</v>
      </c>
      <c r="H138" s="2761"/>
      <c r="I138" s="916" t="s">
        <v>2127</v>
      </c>
      <c r="J138" s="3282"/>
      <c r="K138" s="3283"/>
      <c r="L138" s="2629" t="s">
        <v>1893</v>
      </c>
      <c r="M138" s="3279"/>
      <c r="N138" s="3345"/>
      <c r="O138" s="3345"/>
      <c r="P138" s="3345"/>
      <c r="Q138" s="3280"/>
      <c r="R138" s="3280"/>
      <c r="S138" s="3281"/>
      <c r="Z138" s="1773">
        <v>138</v>
      </c>
    </row>
    <row r="139" spans="3:26" ht="2.25" hidden="1" customHeight="1">
      <c r="C139" s="315"/>
      <c r="Z139" s="1773">
        <v>139</v>
      </c>
    </row>
    <row r="140" spans="3:26" s="289" customFormat="1" ht="11.25" hidden="1" customHeight="1">
      <c r="C140" s="1750"/>
      <c r="D140" s="289" t="s">
        <v>6793</v>
      </c>
      <c r="H140" s="3382"/>
      <c r="I140" s="3383"/>
      <c r="J140" s="3384"/>
      <c r="K140" s="2629" t="s">
        <v>1716</v>
      </c>
      <c r="L140" s="3382"/>
      <c r="M140" s="3385"/>
      <c r="N140" s="3386"/>
      <c r="O140" s="2621" t="s">
        <v>3261</v>
      </c>
      <c r="Q140" s="3387"/>
      <c r="R140" s="3388"/>
      <c r="S140" s="3389"/>
      <c r="Z140" s="1773">
        <v>140</v>
      </c>
    </row>
    <row r="141" spans="3:26" s="289" customFormat="1" ht="11.25" hidden="1" customHeight="1">
      <c r="C141" s="291"/>
      <c r="D141" s="326"/>
      <c r="E141" s="2621" t="s">
        <v>6486</v>
      </c>
      <c r="F141" s="301"/>
      <c r="H141" s="3269"/>
      <c r="I141" s="3378"/>
      <c r="J141" s="3379"/>
      <c r="K141" s="3270"/>
      <c r="L141" s="3378"/>
      <c r="M141" s="3378"/>
      <c r="N141" s="3380"/>
      <c r="O141" s="2621" t="s">
        <v>588</v>
      </c>
      <c r="Q141" s="3381"/>
      <c r="R141" s="3273"/>
      <c r="S141" s="3274"/>
      <c r="Z141" s="1773">
        <v>141</v>
      </c>
    </row>
    <row r="142" spans="3:26" s="289" customFormat="1" ht="11.25" hidden="1" customHeight="1">
      <c r="C142" s="291"/>
      <c r="D142" s="326"/>
      <c r="E142" s="2621" t="s">
        <v>1717</v>
      </c>
      <c r="H142" s="2761"/>
      <c r="I142" s="916" t="s">
        <v>2127</v>
      </c>
      <c r="J142" s="3282"/>
      <c r="K142" s="3283"/>
      <c r="L142" s="2629" t="s">
        <v>1893</v>
      </c>
      <c r="M142" s="3279"/>
      <c r="N142" s="3345"/>
      <c r="O142" s="3345"/>
      <c r="P142" s="3345"/>
      <c r="Q142" s="3280"/>
      <c r="R142" s="3280"/>
      <c r="S142" s="3281"/>
      <c r="Z142" s="1773">
        <v>142</v>
      </c>
    </row>
    <row r="143" spans="3:26" ht="2.25" hidden="1" customHeight="1">
      <c r="C143" s="315"/>
      <c r="Z143" s="1773">
        <v>143</v>
      </c>
    </row>
    <row r="144" spans="3:26" s="289" customFormat="1" ht="11.25" customHeight="1">
      <c r="C144" s="1750" t="s">
        <v>1897</v>
      </c>
      <c r="D144" s="289" t="s">
        <v>6778</v>
      </c>
      <c r="H144" s="3382" t="s">
        <v>531</v>
      </c>
      <c r="I144" s="3383"/>
      <c r="J144" s="3384"/>
      <c r="K144" s="2629" t="s">
        <v>1716</v>
      </c>
      <c r="L144" s="3382" t="s">
        <v>6880</v>
      </c>
      <c r="M144" s="3385"/>
      <c r="N144" s="3386"/>
      <c r="O144" s="2621" t="s">
        <v>3261</v>
      </c>
      <c r="Q144" s="3387">
        <v>7702277657</v>
      </c>
      <c r="R144" s="3388"/>
      <c r="S144" s="3389"/>
      <c r="Z144" s="1773">
        <v>144</v>
      </c>
    </row>
    <row r="145" spans="1:26" s="289" customFormat="1" ht="11.25" customHeight="1">
      <c r="C145" s="291"/>
      <c r="D145" s="326"/>
      <c r="E145" s="2621" t="s">
        <v>6486</v>
      </c>
      <c r="F145" s="301"/>
      <c r="H145" s="3269" t="s">
        <v>6909</v>
      </c>
      <c r="I145" s="3378"/>
      <c r="J145" s="3379"/>
      <c r="K145" s="3270"/>
      <c r="L145" s="3378"/>
      <c r="M145" s="3378"/>
      <c r="N145" s="3380"/>
      <c r="O145" s="2621" t="s">
        <v>588</v>
      </c>
      <c r="Q145" s="3381" t="s">
        <v>287</v>
      </c>
      <c r="R145" s="3273"/>
      <c r="S145" s="3274"/>
      <c r="Z145" s="1773">
        <v>145</v>
      </c>
    </row>
    <row r="146" spans="1:26" s="289" customFormat="1" ht="11.25" customHeight="1">
      <c r="C146" s="291"/>
      <c r="D146" s="326"/>
      <c r="E146" s="2621" t="s">
        <v>1717</v>
      </c>
      <c r="H146" s="2761" t="s">
        <v>815</v>
      </c>
      <c r="I146" s="916" t="s">
        <v>2127</v>
      </c>
      <c r="J146" s="3282">
        <v>318331747</v>
      </c>
      <c r="K146" s="3283"/>
      <c r="L146" s="2629" t="s">
        <v>1893</v>
      </c>
      <c r="M146" s="3279" t="s">
        <v>6881</v>
      </c>
      <c r="N146" s="3345"/>
      <c r="O146" s="3345"/>
      <c r="P146" s="3345"/>
      <c r="Q146" s="3280"/>
      <c r="R146" s="3280"/>
      <c r="S146" s="3281"/>
      <c r="Z146" s="1773">
        <v>146</v>
      </c>
    </row>
    <row r="147" spans="1:26" ht="2.25" customHeight="1">
      <c r="C147" s="315"/>
      <c r="Z147" s="1773">
        <v>147</v>
      </c>
    </row>
    <row r="148" spans="1:26" s="289" customFormat="1" ht="11.25" customHeight="1">
      <c r="C148" s="1750" t="s">
        <v>2415</v>
      </c>
      <c r="D148" s="289" t="s">
        <v>6779</v>
      </c>
      <c r="H148" s="3382"/>
      <c r="I148" s="3383"/>
      <c r="J148" s="3384"/>
      <c r="K148" s="2629" t="s">
        <v>1716</v>
      </c>
      <c r="L148" s="3382"/>
      <c r="M148" s="3385"/>
      <c r="N148" s="3386"/>
      <c r="O148" s="2621" t="s">
        <v>3261</v>
      </c>
      <c r="Q148" s="3387"/>
      <c r="R148" s="3388"/>
      <c r="S148" s="3389"/>
      <c r="Z148" s="1773">
        <v>148</v>
      </c>
    </row>
    <row r="149" spans="1:26" s="289" customFormat="1" ht="11.25" customHeight="1">
      <c r="D149" s="326"/>
      <c r="E149" s="2621" t="s">
        <v>6486</v>
      </c>
      <c r="F149" s="301"/>
      <c r="H149" s="3269"/>
      <c r="I149" s="3378"/>
      <c r="J149" s="3379"/>
      <c r="K149" s="3270"/>
      <c r="L149" s="3378"/>
      <c r="M149" s="3378"/>
      <c r="N149" s="3380"/>
      <c r="O149" s="2621" t="s">
        <v>588</v>
      </c>
      <c r="Q149" s="3381"/>
      <c r="R149" s="3273"/>
      <c r="S149" s="3274"/>
      <c r="Z149" s="1773">
        <v>149</v>
      </c>
    </row>
    <row r="150" spans="1:26" s="289" customFormat="1" ht="11.25" customHeight="1">
      <c r="D150" s="326"/>
      <c r="E150" s="2621" t="s">
        <v>1717</v>
      </c>
      <c r="H150" s="2761"/>
      <c r="I150" s="916" t="s">
        <v>2127</v>
      </c>
      <c r="J150" s="3282"/>
      <c r="K150" s="3283"/>
      <c r="L150" s="2629" t="s">
        <v>1893</v>
      </c>
      <c r="M150" s="3279"/>
      <c r="N150" s="3345"/>
      <c r="O150" s="3345"/>
      <c r="P150" s="3345"/>
      <c r="Q150" s="3280"/>
      <c r="R150" s="3280"/>
      <c r="S150" s="3281"/>
      <c r="Z150" s="1773">
        <v>150</v>
      </c>
    </row>
    <row r="151" spans="1:26" ht="6" customHeight="1">
      <c r="Z151" s="1773">
        <v>151</v>
      </c>
    </row>
    <row r="152" spans="1:26" ht="12" customHeight="1">
      <c r="B152" s="291" t="s">
        <v>1894</v>
      </c>
      <c r="C152" s="291" t="s">
        <v>4061</v>
      </c>
      <c r="H152" s="1296"/>
      <c r="I152" s="1296"/>
      <c r="J152" s="1296"/>
      <c r="K152" s="1296"/>
      <c r="L152" s="1296"/>
      <c r="M152" s="1296"/>
      <c r="N152" s="1296"/>
      <c r="O152" s="1296"/>
      <c r="P152" s="1296"/>
      <c r="Q152" s="1296"/>
      <c r="R152" s="1296"/>
      <c r="S152" s="1296"/>
      <c r="Z152" s="1773">
        <v>152</v>
      </c>
    </row>
    <row r="153" spans="1:26" ht="13.5" thickBot="1">
      <c r="A153" s="3390" t="s">
        <v>3435</v>
      </c>
      <c r="B153" s="3390"/>
      <c r="C153" s="3390"/>
      <c r="D153" s="3390"/>
      <c r="E153" s="3390"/>
      <c r="H153" s="2762" t="s">
        <v>2391</v>
      </c>
      <c r="I153" s="3372" t="s">
        <v>6795</v>
      </c>
      <c r="J153" s="3373"/>
      <c r="K153" s="3373"/>
      <c r="L153" s="3373"/>
      <c r="M153" s="3373"/>
      <c r="N153" s="3373"/>
      <c r="O153" s="3373"/>
      <c r="P153" s="3373"/>
      <c r="Q153" s="3373"/>
      <c r="R153" s="3373"/>
      <c r="S153" s="3374"/>
      <c r="Z153" s="1773">
        <v>153</v>
      </c>
    </row>
    <row r="154" spans="1:26" s="289" customFormat="1" ht="15" customHeight="1" thickBot="1">
      <c r="B154" s="1751" t="s">
        <v>1895</v>
      </c>
      <c r="C154" s="320" t="s">
        <v>2630</v>
      </c>
      <c r="E154" s="320"/>
      <c r="H154" s="2763" t="s">
        <v>2771</v>
      </c>
      <c r="I154" s="3466"/>
      <c r="J154" s="3395"/>
      <c r="K154" s="3395"/>
      <c r="L154" s="3395"/>
      <c r="M154" s="3395"/>
      <c r="N154" s="3395"/>
      <c r="O154" s="3395"/>
      <c r="P154" s="3395"/>
      <c r="Q154" s="3395"/>
      <c r="R154" s="3395"/>
      <c r="S154" s="3397"/>
      <c r="U154" s="3453" t="s">
        <v>1939</v>
      </c>
      <c r="V154" s="3453"/>
      <c r="Z154" s="1773">
        <v>154</v>
      </c>
    </row>
    <row r="155" spans="1:26" s="289" customFormat="1" ht="15" customHeight="1" thickBot="1">
      <c r="B155" s="550" t="s">
        <v>1897</v>
      </c>
      <c r="C155" s="469" t="s">
        <v>6484</v>
      </c>
      <c r="E155" s="320"/>
      <c r="H155" s="2763" t="s">
        <v>2771</v>
      </c>
      <c r="I155" s="3465" t="s">
        <v>6939</v>
      </c>
      <c r="J155" s="3402"/>
      <c r="K155" s="3402"/>
      <c r="L155" s="3402"/>
      <c r="M155" s="3402"/>
      <c r="N155" s="3402"/>
      <c r="O155" s="3402"/>
      <c r="P155" s="3402"/>
      <c r="Q155" s="3402"/>
      <c r="R155" s="3402"/>
      <c r="S155" s="3404"/>
      <c r="U155" s="3453"/>
      <c r="V155" s="3453"/>
      <c r="Z155" s="1773">
        <v>155</v>
      </c>
    </row>
    <row r="156" spans="1:26" s="289" customFormat="1" ht="15" customHeight="1" thickBot="1">
      <c r="B156" s="550" t="s">
        <v>2415</v>
      </c>
      <c r="C156" s="469" t="s">
        <v>2669</v>
      </c>
      <c r="E156" s="320"/>
      <c r="H156" s="2763" t="s">
        <v>2771</v>
      </c>
      <c r="I156" s="3465"/>
      <c r="J156" s="3402"/>
      <c r="K156" s="3402"/>
      <c r="L156" s="3402"/>
      <c r="M156" s="3402"/>
      <c r="N156" s="3402"/>
      <c r="O156" s="3402"/>
      <c r="P156" s="3402"/>
      <c r="Q156" s="3402"/>
      <c r="R156" s="3402"/>
      <c r="S156" s="3404"/>
      <c r="U156" s="3453"/>
      <c r="V156" s="3453"/>
      <c r="Z156" s="1773">
        <v>156</v>
      </c>
    </row>
    <row r="157" spans="1:26" s="289" customFormat="1" ht="15" customHeight="1" thickBot="1">
      <c r="B157" s="550" t="s">
        <v>1178</v>
      </c>
      <c r="C157" s="469" t="s">
        <v>2631</v>
      </c>
      <c r="E157" s="320"/>
      <c r="H157" s="2763" t="s">
        <v>2771</v>
      </c>
      <c r="I157" s="3465"/>
      <c r="J157" s="3402"/>
      <c r="K157" s="3402"/>
      <c r="L157" s="3402"/>
      <c r="M157" s="3402"/>
      <c r="N157" s="3402"/>
      <c r="O157" s="3402"/>
      <c r="P157" s="3402"/>
      <c r="Q157" s="3402"/>
      <c r="R157" s="3402"/>
      <c r="S157" s="3404"/>
      <c r="U157" s="3453"/>
      <c r="V157" s="3453"/>
      <c r="Z157" s="1773">
        <v>157</v>
      </c>
    </row>
    <row r="158" spans="1:26" s="289" customFormat="1" ht="15" customHeight="1" thickBot="1">
      <c r="B158" s="550" t="s">
        <v>1179</v>
      </c>
      <c r="C158" s="469" t="s">
        <v>3194</v>
      </c>
      <c r="E158" s="320"/>
      <c r="H158" s="2763" t="s">
        <v>2771</v>
      </c>
      <c r="I158" s="3465"/>
      <c r="J158" s="3402"/>
      <c r="K158" s="3402"/>
      <c r="L158" s="3402"/>
      <c r="M158" s="3402"/>
      <c r="N158" s="3402"/>
      <c r="O158" s="3402"/>
      <c r="P158" s="3402"/>
      <c r="Q158" s="3402"/>
      <c r="R158" s="3402"/>
      <c r="S158" s="3404"/>
      <c r="U158" s="3453"/>
      <c r="V158" s="3453"/>
      <c r="Z158" s="1773">
        <v>158</v>
      </c>
    </row>
    <row r="159" spans="1:26" s="289" customFormat="1" ht="15" customHeight="1" thickBot="1">
      <c r="B159" s="550" t="s">
        <v>1791</v>
      </c>
      <c r="C159" s="469" t="s">
        <v>3195</v>
      </c>
      <c r="E159" s="320"/>
      <c r="H159" s="2763" t="s">
        <v>2771</v>
      </c>
      <c r="I159" s="3465"/>
      <c r="J159" s="3402"/>
      <c r="K159" s="3402"/>
      <c r="L159" s="3402"/>
      <c r="M159" s="3402"/>
      <c r="N159" s="3402"/>
      <c r="O159" s="3402"/>
      <c r="P159" s="3402"/>
      <c r="Q159" s="3402"/>
      <c r="R159" s="3402"/>
      <c r="S159" s="3404"/>
      <c r="U159" s="3453"/>
      <c r="V159" s="3453"/>
      <c r="Z159" s="1773">
        <v>159</v>
      </c>
    </row>
    <row r="160" spans="1:26" s="289" customFormat="1" ht="15" customHeight="1" thickBot="1">
      <c r="B160" s="550" t="s">
        <v>481</v>
      </c>
      <c r="C160" s="469" t="s">
        <v>2632</v>
      </c>
      <c r="E160" s="320"/>
      <c r="H160" s="2763" t="s">
        <v>2771</v>
      </c>
      <c r="I160" s="3465"/>
      <c r="J160" s="3402"/>
      <c r="K160" s="3402"/>
      <c r="L160" s="3402"/>
      <c r="M160" s="3402"/>
      <c r="N160" s="3402"/>
      <c r="O160" s="3402"/>
      <c r="P160" s="3402"/>
      <c r="Q160" s="3402"/>
      <c r="R160" s="3402"/>
      <c r="S160" s="3404"/>
      <c r="Z160" s="1773">
        <v>160</v>
      </c>
    </row>
    <row r="161" spans="1:26" s="289" customFormat="1" ht="15" customHeight="1" thickBot="1">
      <c r="B161" s="550" t="s">
        <v>482</v>
      </c>
      <c r="C161" s="469" t="s">
        <v>4073</v>
      </c>
      <c r="E161" s="320"/>
      <c r="H161" s="2763" t="s">
        <v>2771</v>
      </c>
      <c r="I161" s="3465"/>
      <c r="J161" s="3402"/>
      <c r="K161" s="3402"/>
      <c r="L161" s="3402"/>
      <c r="M161" s="3402"/>
      <c r="N161" s="3402"/>
      <c r="O161" s="3402"/>
      <c r="P161" s="3402"/>
      <c r="Q161" s="3402"/>
      <c r="R161" s="3402"/>
      <c r="S161" s="3404"/>
      <c r="Z161" s="1773">
        <v>161</v>
      </c>
    </row>
    <row r="162" spans="1:26" s="289" customFormat="1" ht="81" customHeight="1" thickBot="1">
      <c r="B162" s="550" t="s">
        <v>4072</v>
      </c>
      <c r="C162" s="3375" t="s">
        <v>6794</v>
      </c>
      <c r="D162" s="3376"/>
      <c r="E162" s="3376"/>
      <c r="F162" s="3376"/>
      <c r="G162" s="3377"/>
      <c r="H162" s="2763" t="s">
        <v>2768</v>
      </c>
      <c r="I162" s="3464" t="s">
        <v>6943</v>
      </c>
      <c r="J162" s="3439"/>
      <c r="K162" s="3439"/>
      <c r="L162" s="3439"/>
      <c r="M162" s="3439"/>
      <c r="N162" s="3439"/>
      <c r="O162" s="3439"/>
      <c r="P162" s="3439"/>
      <c r="Q162" s="3439"/>
      <c r="R162" s="3439"/>
      <c r="S162" s="3441"/>
      <c r="Z162" s="1773">
        <v>162</v>
      </c>
    </row>
    <row r="163" spans="1:26" s="289" customFormat="1" ht="13.35" customHeight="1">
      <c r="A163" s="291" t="s">
        <v>1711</v>
      </c>
      <c r="B163" s="291" t="s">
        <v>2638</v>
      </c>
      <c r="F163" s="291"/>
      <c r="G163" s="2629"/>
      <c r="H163" s="2629"/>
      <c r="I163" s="2629"/>
      <c r="J163" s="2629"/>
      <c r="K163" s="2629"/>
      <c r="L163" s="2629"/>
      <c r="M163" s="2629"/>
      <c r="N163" s="2629"/>
      <c r="O163" s="2629"/>
      <c r="P163" s="2629"/>
      <c r="Q163" s="2623"/>
      <c r="Z163" s="1773">
        <v>163</v>
      </c>
    </row>
    <row r="164" spans="1:26" s="289" customFormat="1" ht="2.25" customHeight="1">
      <c r="A164" s="291"/>
      <c r="B164" s="291"/>
      <c r="F164" s="291"/>
      <c r="G164" s="2629"/>
      <c r="H164" s="2629"/>
      <c r="I164" s="2629"/>
      <c r="J164" s="2629"/>
      <c r="K164" s="2629"/>
      <c r="L164" s="2629"/>
      <c r="M164" s="2629"/>
      <c r="N164" s="2629"/>
      <c r="O164" s="2629"/>
      <c r="P164" s="2629"/>
      <c r="Q164" s="2623"/>
      <c r="Z164" s="1773">
        <v>164</v>
      </c>
    </row>
    <row r="165" spans="1:26" ht="13.35" customHeight="1">
      <c r="B165" s="291" t="s">
        <v>719</v>
      </c>
      <c r="C165" s="291" t="s">
        <v>4062</v>
      </c>
      <c r="Z165" s="1773">
        <v>165</v>
      </c>
    </row>
    <row r="166" spans="1:26" s="289" customFormat="1" ht="12.75" customHeight="1">
      <c r="A166" s="3405" t="s">
        <v>610</v>
      </c>
      <c r="B166" s="3406"/>
      <c r="C166" s="3406"/>
      <c r="D166" s="3406"/>
      <c r="E166" s="3410" t="s">
        <v>3183</v>
      </c>
      <c r="F166" s="3411"/>
      <c r="G166" s="3411"/>
      <c r="H166" s="3411"/>
      <c r="I166" s="3412"/>
      <c r="J166" s="3416" t="s">
        <v>3184</v>
      </c>
      <c r="K166" s="3419" t="s">
        <v>2694</v>
      </c>
      <c r="L166" s="3419" t="s">
        <v>2695</v>
      </c>
      <c r="M166" s="3422" t="s">
        <v>6796</v>
      </c>
      <c r="N166" s="3423"/>
      <c r="O166" s="3423"/>
      <c r="P166" s="3423"/>
      <c r="Q166" s="3423"/>
      <c r="R166" s="3423"/>
      <c r="S166" s="3424"/>
      <c r="Z166" s="1773">
        <v>166</v>
      </c>
    </row>
    <row r="167" spans="1:26" s="289" customFormat="1" ht="12.75" customHeight="1">
      <c r="A167" s="3407"/>
      <c r="B167" s="3163"/>
      <c r="C167" s="3163"/>
      <c r="D167" s="3163"/>
      <c r="E167" s="3413"/>
      <c r="F167" s="3414"/>
      <c r="G167" s="3414"/>
      <c r="H167" s="3414"/>
      <c r="I167" s="3415"/>
      <c r="J167" s="3417"/>
      <c r="K167" s="3420"/>
      <c r="L167" s="3420"/>
      <c r="M167" s="3425"/>
      <c r="N167" s="3426"/>
      <c r="O167" s="3426"/>
      <c r="P167" s="3426"/>
      <c r="Q167" s="3426"/>
      <c r="R167" s="3426"/>
      <c r="S167" s="3427"/>
      <c r="Z167" s="1773">
        <v>167</v>
      </c>
    </row>
    <row r="168" spans="1:26" s="289" customFormat="1" ht="12.75" customHeight="1">
      <c r="A168" s="3407"/>
      <c r="B168" s="3163"/>
      <c r="C168" s="3163"/>
      <c r="D168" s="3163"/>
      <c r="E168" s="3413"/>
      <c r="F168" s="3414"/>
      <c r="G168" s="3414"/>
      <c r="H168" s="3414"/>
      <c r="I168" s="3415"/>
      <c r="J168" s="3417"/>
      <c r="K168" s="3420"/>
      <c r="L168" s="3420"/>
      <c r="M168" s="3425"/>
      <c r="N168" s="3426"/>
      <c r="O168" s="3426"/>
      <c r="P168" s="3426"/>
      <c r="Q168" s="3426"/>
      <c r="R168" s="3426"/>
      <c r="S168" s="3427"/>
      <c r="Z168" s="1773">
        <v>168</v>
      </c>
    </row>
    <row r="169" spans="1:26" s="289" customFormat="1" ht="12.75" customHeight="1">
      <c r="A169" s="3407"/>
      <c r="B169" s="3163"/>
      <c r="C169" s="3163"/>
      <c r="D169" s="3163"/>
      <c r="E169" s="3428" t="s">
        <v>3348</v>
      </c>
      <c r="F169" s="3429"/>
      <c r="G169" s="3429"/>
      <c r="H169" s="3430"/>
      <c r="I169" s="551"/>
      <c r="J169" s="3417"/>
      <c r="K169" s="3420"/>
      <c r="L169" s="3420"/>
      <c r="M169" s="3425"/>
      <c r="N169" s="3426"/>
      <c r="O169" s="3426"/>
      <c r="P169" s="3426"/>
      <c r="Q169" s="3426"/>
      <c r="R169" s="3426"/>
      <c r="S169" s="3427"/>
      <c r="Z169" s="1773">
        <v>169</v>
      </c>
    </row>
    <row r="170" spans="1:26" s="289" customFormat="1" ht="13.5" customHeight="1">
      <c r="A170" s="3408"/>
      <c r="B170" s="3409"/>
      <c r="C170" s="3409"/>
      <c r="D170" s="3409"/>
      <c r="E170" s="3431"/>
      <c r="F170" s="3432"/>
      <c r="G170" s="3432"/>
      <c r="H170" s="3433"/>
      <c r="I170" s="1300" t="s">
        <v>2391</v>
      </c>
      <c r="J170" s="3418"/>
      <c r="K170" s="3421"/>
      <c r="L170" s="3420"/>
      <c r="M170" s="1301" t="s">
        <v>2391</v>
      </c>
      <c r="N170" s="3341" t="s">
        <v>2693</v>
      </c>
      <c r="O170" s="3341"/>
      <c r="P170" s="3341"/>
      <c r="Q170" s="3341"/>
      <c r="R170" s="3341"/>
      <c r="S170" s="3434"/>
      <c r="Z170" s="1773">
        <v>170</v>
      </c>
    </row>
    <row r="171" spans="1:26" s="289" customFormat="1" ht="23.25" customHeight="1">
      <c r="A171" s="3391" t="s">
        <v>3178</v>
      </c>
      <c r="B171" s="3392"/>
      <c r="C171" s="3392"/>
      <c r="D171" s="3393"/>
      <c r="E171" s="3394" t="s">
        <v>6940</v>
      </c>
      <c r="F171" s="3395"/>
      <c r="G171" s="3395"/>
      <c r="H171" s="3395"/>
      <c r="I171" s="2764" t="s">
        <v>2771</v>
      </c>
      <c r="J171" s="2765" t="s">
        <v>2771</v>
      </c>
      <c r="K171" s="2766" t="s">
        <v>6888</v>
      </c>
      <c r="L171" s="2767">
        <v>6.3999999999999997E-5</v>
      </c>
      <c r="M171" s="2768" t="s">
        <v>2771</v>
      </c>
      <c r="N171" s="3396"/>
      <c r="O171" s="3395"/>
      <c r="P171" s="3395"/>
      <c r="Q171" s="3395"/>
      <c r="R171" s="3395"/>
      <c r="S171" s="3397"/>
      <c r="Z171" s="1773">
        <v>171</v>
      </c>
    </row>
    <row r="172" spans="1:26" s="289" customFormat="1" ht="23.25" customHeight="1">
      <c r="A172" s="3398" t="s">
        <v>3179</v>
      </c>
      <c r="B172" s="3399"/>
      <c r="C172" s="3399"/>
      <c r="D172" s="3400"/>
      <c r="E172" s="3401" t="s">
        <v>7022</v>
      </c>
      <c r="F172" s="3402"/>
      <c r="G172" s="3402"/>
      <c r="H172" s="3402"/>
      <c r="I172" s="2769" t="s">
        <v>2771</v>
      </c>
      <c r="J172" s="2770" t="s">
        <v>2771</v>
      </c>
      <c r="K172" s="2771" t="s">
        <v>6888</v>
      </c>
      <c r="L172" s="2772">
        <v>2.0999999999999999E-5</v>
      </c>
      <c r="M172" s="2773" t="s">
        <v>2771</v>
      </c>
      <c r="N172" s="3403"/>
      <c r="O172" s="3402"/>
      <c r="P172" s="3402"/>
      <c r="Q172" s="3402"/>
      <c r="R172" s="3402"/>
      <c r="S172" s="3404"/>
      <c r="U172" s="3453" t="s">
        <v>1939</v>
      </c>
      <c r="V172" s="3453"/>
      <c r="Z172" s="1773">
        <v>172</v>
      </c>
    </row>
    <row r="173" spans="1:26" s="289" customFormat="1" ht="23.25" customHeight="1">
      <c r="A173" s="3398" t="s">
        <v>3180</v>
      </c>
      <c r="B173" s="3399"/>
      <c r="C173" s="3399"/>
      <c r="D173" s="3400"/>
      <c r="E173" s="3401" t="s">
        <v>6941</v>
      </c>
      <c r="F173" s="3402"/>
      <c r="G173" s="3402"/>
      <c r="H173" s="3402"/>
      <c r="I173" s="2769" t="s">
        <v>2771</v>
      </c>
      <c r="J173" s="2770" t="s">
        <v>2771</v>
      </c>
      <c r="K173" s="2771" t="s">
        <v>2479</v>
      </c>
      <c r="L173" s="2772">
        <v>1.5E-5</v>
      </c>
      <c r="M173" s="2773" t="s">
        <v>2771</v>
      </c>
      <c r="N173" s="3403"/>
      <c r="O173" s="3402"/>
      <c r="P173" s="3402"/>
      <c r="Q173" s="3402"/>
      <c r="R173" s="3402"/>
      <c r="S173" s="3404"/>
      <c r="U173" s="3453"/>
      <c r="V173" s="3453"/>
      <c r="Z173" s="1773">
        <v>173</v>
      </c>
    </row>
    <row r="174" spans="1:26" s="289" customFormat="1" ht="23.25" customHeight="1">
      <c r="A174" s="3398" t="s">
        <v>3181</v>
      </c>
      <c r="B174" s="3399"/>
      <c r="C174" s="3399"/>
      <c r="D174" s="3400"/>
      <c r="E174" s="3401" t="s">
        <v>6942</v>
      </c>
      <c r="F174" s="3402"/>
      <c r="G174" s="3402"/>
      <c r="H174" s="3402"/>
      <c r="I174" s="2769" t="s">
        <v>2771</v>
      </c>
      <c r="J174" s="2770" t="s">
        <v>2771</v>
      </c>
      <c r="K174" s="2771" t="s">
        <v>6888</v>
      </c>
      <c r="L174" s="2772">
        <v>0.9899</v>
      </c>
      <c r="M174" s="2773" t="s">
        <v>2771</v>
      </c>
      <c r="N174" s="3403"/>
      <c r="O174" s="3402"/>
      <c r="P174" s="3402"/>
      <c r="Q174" s="3402"/>
      <c r="R174" s="3402"/>
      <c r="S174" s="3404"/>
      <c r="U174" s="3453"/>
      <c r="V174" s="3453"/>
      <c r="Z174" s="1773">
        <v>174</v>
      </c>
    </row>
    <row r="175" spans="1:26" s="289" customFormat="1" ht="23.25" customHeight="1">
      <c r="A175" s="3398" t="s">
        <v>3182</v>
      </c>
      <c r="B175" s="3399"/>
      <c r="C175" s="3399"/>
      <c r="D175" s="3400"/>
      <c r="E175" s="3401" t="s">
        <v>6942</v>
      </c>
      <c r="F175" s="3402"/>
      <c r="G175" s="3402"/>
      <c r="H175" s="3402"/>
      <c r="I175" s="2769" t="s">
        <v>2771</v>
      </c>
      <c r="J175" s="2770" t="s">
        <v>2771</v>
      </c>
      <c r="K175" s="2771" t="s">
        <v>6888</v>
      </c>
      <c r="L175" s="2772">
        <v>0.01</v>
      </c>
      <c r="M175" s="2773" t="s">
        <v>2771</v>
      </c>
      <c r="N175" s="3403"/>
      <c r="O175" s="3402"/>
      <c r="P175" s="3402"/>
      <c r="Q175" s="3402"/>
      <c r="R175" s="3402"/>
      <c r="S175" s="3404"/>
      <c r="U175" s="3453"/>
      <c r="V175" s="3453"/>
      <c r="Z175" s="1773">
        <v>175</v>
      </c>
    </row>
    <row r="176" spans="1:26" s="289" customFormat="1" ht="23.25" customHeight="1">
      <c r="A176" s="3398" t="s">
        <v>2683</v>
      </c>
      <c r="B176" s="3399"/>
      <c r="C176" s="3399"/>
      <c r="D176" s="3400"/>
      <c r="E176" s="3401"/>
      <c r="F176" s="3402"/>
      <c r="G176" s="3402"/>
      <c r="H176" s="3402"/>
      <c r="I176" s="2769" t="s">
        <v>4014</v>
      </c>
      <c r="J176" s="2770" t="s">
        <v>4014</v>
      </c>
      <c r="K176" s="2771"/>
      <c r="L176" s="2772"/>
      <c r="M176" s="2773" t="s">
        <v>4014</v>
      </c>
      <c r="N176" s="3403"/>
      <c r="O176" s="3402"/>
      <c r="P176" s="3402"/>
      <c r="Q176" s="3402"/>
      <c r="R176" s="3402"/>
      <c r="S176" s="3404"/>
      <c r="U176" s="3453"/>
      <c r="V176" s="3453"/>
      <c r="Z176" s="1773">
        <v>176</v>
      </c>
    </row>
    <row r="177" spans="1:26" s="289" customFormat="1" ht="23.25" customHeight="1">
      <c r="A177" s="3398" t="s">
        <v>623</v>
      </c>
      <c r="B177" s="3399"/>
      <c r="C177" s="3399"/>
      <c r="D177" s="3400"/>
      <c r="E177" s="3401" t="s">
        <v>6854</v>
      </c>
      <c r="F177" s="3402"/>
      <c r="G177" s="3402"/>
      <c r="H177" s="3402"/>
      <c r="I177" s="2769" t="s">
        <v>2771</v>
      </c>
      <c r="J177" s="2770" t="s">
        <v>2771</v>
      </c>
      <c r="K177" s="2771" t="s">
        <v>6888</v>
      </c>
      <c r="L177" s="2772">
        <v>0</v>
      </c>
      <c r="M177" s="2773" t="s">
        <v>2771</v>
      </c>
      <c r="N177" s="3403"/>
      <c r="O177" s="3402"/>
      <c r="P177" s="3402"/>
      <c r="Q177" s="3402"/>
      <c r="R177" s="3402"/>
      <c r="S177" s="3404"/>
      <c r="U177" s="3453"/>
      <c r="V177" s="3453"/>
      <c r="Z177" s="1773">
        <v>177</v>
      </c>
    </row>
    <row r="178" spans="1:26" s="289" customFormat="1" ht="23.25" customHeight="1">
      <c r="A178" s="3398" t="s">
        <v>2684</v>
      </c>
      <c r="B178" s="3399"/>
      <c r="C178" s="3399"/>
      <c r="D178" s="3400"/>
      <c r="E178" s="3401" t="s">
        <v>6906</v>
      </c>
      <c r="F178" s="3402"/>
      <c r="G178" s="3402"/>
      <c r="H178" s="3402"/>
      <c r="I178" s="2769" t="s">
        <v>2771</v>
      </c>
      <c r="J178" s="2770" t="s">
        <v>2771</v>
      </c>
      <c r="K178" s="2771" t="s">
        <v>6888</v>
      </c>
      <c r="L178" s="2772">
        <v>0</v>
      </c>
      <c r="M178" s="2773" t="s">
        <v>2771</v>
      </c>
      <c r="N178" s="3403"/>
      <c r="O178" s="3402"/>
      <c r="P178" s="3402"/>
      <c r="Q178" s="3402"/>
      <c r="R178" s="3402"/>
      <c r="S178" s="3404"/>
      <c r="Z178" s="1773">
        <v>178</v>
      </c>
    </row>
    <row r="179" spans="1:26" s="289" customFormat="1" ht="23.25" customHeight="1">
      <c r="A179" s="3398" t="s">
        <v>2685</v>
      </c>
      <c r="B179" s="3399"/>
      <c r="C179" s="3399"/>
      <c r="D179" s="3400"/>
      <c r="E179" s="3401" t="s">
        <v>6941</v>
      </c>
      <c r="F179" s="3402"/>
      <c r="G179" s="3402"/>
      <c r="H179" s="3402"/>
      <c r="I179" s="2769" t="s">
        <v>2771</v>
      </c>
      <c r="J179" s="2770" t="s">
        <v>2771</v>
      </c>
      <c r="K179" s="2771" t="s">
        <v>2479</v>
      </c>
      <c r="L179" s="2772">
        <v>0</v>
      </c>
      <c r="M179" s="2773" t="s">
        <v>2771</v>
      </c>
      <c r="N179" s="3403"/>
      <c r="O179" s="3402"/>
      <c r="P179" s="3402"/>
      <c r="Q179" s="3402"/>
      <c r="R179" s="3402"/>
      <c r="S179" s="3404"/>
      <c r="Z179" s="1773">
        <v>179</v>
      </c>
    </row>
    <row r="180" spans="1:26" s="289" customFormat="1" ht="23.25" customHeight="1">
      <c r="A180" s="3398" t="s">
        <v>2687</v>
      </c>
      <c r="B180" s="3399"/>
      <c r="C180" s="3399"/>
      <c r="D180" s="3400"/>
      <c r="E180" s="3401"/>
      <c r="F180" s="3402"/>
      <c r="G180" s="3402"/>
      <c r="H180" s="3402"/>
      <c r="I180" s="2769" t="s">
        <v>4014</v>
      </c>
      <c r="J180" s="2770" t="s">
        <v>4014</v>
      </c>
      <c r="K180" s="2771"/>
      <c r="L180" s="2772"/>
      <c r="M180" s="2773" t="s">
        <v>4014</v>
      </c>
      <c r="N180" s="3403"/>
      <c r="O180" s="3402"/>
      <c r="P180" s="3402"/>
      <c r="Q180" s="3402"/>
      <c r="R180" s="3402"/>
      <c r="S180" s="3404"/>
      <c r="Z180" s="1773">
        <v>180</v>
      </c>
    </row>
    <row r="181" spans="1:26" s="289" customFormat="1" ht="23.25" customHeight="1">
      <c r="A181" s="3398" t="s">
        <v>2686</v>
      </c>
      <c r="B181" s="3399"/>
      <c r="C181" s="3399"/>
      <c r="D181" s="3400"/>
      <c r="E181" s="3401"/>
      <c r="F181" s="3402"/>
      <c r="G181" s="3402"/>
      <c r="H181" s="3402"/>
      <c r="I181" s="2769" t="s">
        <v>4014</v>
      </c>
      <c r="J181" s="2770" t="s">
        <v>4014</v>
      </c>
      <c r="K181" s="2771"/>
      <c r="L181" s="2772"/>
      <c r="M181" s="2773" t="s">
        <v>4014</v>
      </c>
      <c r="N181" s="3403"/>
      <c r="O181" s="3402"/>
      <c r="P181" s="3402"/>
      <c r="Q181" s="3402"/>
      <c r="R181" s="3402"/>
      <c r="S181" s="3404"/>
      <c r="Z181" s="1773">
        <v>181</v>
      </c>
    </row>
    <row r="182" spans="1:26" s="289" customFormat="1" ht="23.25" customHeight="1">
      <c r="A182" s="3398" t="s">
        <v>1468</v>
      </c>
      <c r="B182" s="3399"/>
      <c r="C182" s="3399"/>
      <c r="D182" s="3400"/>
      <c r="E182" s="3401" t="s">
        <v>6911</v>
      </c>
      <c r="F182" s="3402"/>
      <c r="G182" s="3402"/>
      <c r="H182" s="3402"/>
      <c r="I182" s="2769" t="s">
        <v>2771</v>
      </c>
      <c r="J182" s="2770" t="s">
        <v>2771</v>
      </c>
      <c r="K182" s="2771" t="s">
        <v>6888</v>
      </c>
      <c r="L182" s="2772">
        <v>0</v>
      </c>
      <c r="M182" s="2773" t="s">
        <v>2771</v>
      </c>
      <c r="N182" s="3403"/>
      <c r="O182" s="3402"/>
      <c r="P182" s="3402"/>
      <c r="Q182" s="3402"/>
      <c r="R182" s="3402"/>
      <c r="S182" s="3404"/>
      <c r="Z182" s="1773">
        <v>182</v>
      </c>
    </row>
    <row r="183" spans="1:26" s="289" customFormat="1" ht="23.25" customHeight="1">
      <c r="A183" s="3435" t="s">
        <v>2688</v>
      </c>
      <c r="B183" s="3436"/>
      <c r="C183" s="3436"/>
      <c r="D183" s="3437"/>
      <c r="E183" s="3438" t="s">
        <v>6918</v>
      </c>
      <c r="F183" s="3439"/>
      <c r="G183" s="3439"/>
      <c r="H183" s="3439"/>
      <c r="I183" s="2774" t="s">
        <v>2771</v>
      </c>
      <c r="J183" s="2775" t="s">
        <v>2771</v>
      </c>
      <c r="K183" s="2776" t="s">
        <v>6888</v>
      </c>
      <c r="L183" s="2777">
        <v>0</v>
      </c>
      <c r="M183" s="2778" t="s">
        <v>2771</v>
      </c>
      <c r="N183" s="3440"/>
      <c r="O183" s="3439"/>
      <c r="P183" s="3439"/>
      <c r="Q183" s="3439"/>
      <c r="R183" s="3439"/>
      <c r="S183" s="3441"/>
      <c r="Z183" s="1773">
        <v>183</v>
      </c>
    </row>
    <row r="184" spans="1:26" s="2628" customFormat="1" ht="12" customHeight="1">
      <c r="G184" s="299"/>
      <c r="H184" s="299"/>
      <c r="I184" s="299"/>
      <c r="J184" s="2629"/>
      <c r="K184" s="314" t="s">
        <v>513</v>
      </c>
      <c r="L184" s="496">
        <f>SUM(L171:L183)</f>
        <v>1</v>
      </c>
      <c r="M184" s="2629"/>
      <c r="P184" s="297"/>
      <c r="Z184" s="1773">
        <v>184</v>
      </c>
    </row>
    <row r="185" spans="1:26" ht="11.25" customHeight="1">
      <c r="A185" s="315" t="s">
        <v>505</v>
      </c>
      <c r="B185" s="325"/>
      <c r="C185" s="315" t="s">
        <v>543</v>
      </c>
      <c r="N185" s="315" t="s">
        <v>505</v>
      </c>
      <c r="O185" s="315" t="s">
        <v>74</v>
      </c>
      <c r="Z185" s="1773">
        <v>185</v>
      </c>
    </row>
    <row r="186" spans="1:26" ht="187.5" customHeight="1">
      <c r="A186" s="3196" t="s">
        <v>7023</v>
      </c>
      <c r="B186" s="3197"/>
      <c r="C186" s="3197"/>
      <c r="D186" s="3197"/>
      <c r="E186" s="3197"/>
      <c r="F186" s="3197"/>
      <c r="G186" s="3197"/>
      <c r="H186" s="3197"/>
      <c r="I186" s="3197"/>
      <c r="J186" s="3197"/>
      <c r="K186" s="3197"/>
      <c r="L186" s="3197"/>
      <c r="M186" s="3198"/>
      <c r="N186" s="3442"/>
      <c r="O186" s="3443"/>
      <c r="P186" s="3443"/>
      <c r="Q186" s="3443"/>
      <c r="R186" s="3443"/>
      <c r="S186" s="3444"/>
      <c r="T186" s="3132" t="s">
        <v>2541</v>
      </c>
      <c r="U186" s="3132"/>
      <c r="V186" s="3132"/>
      <c r="W186" s="3132"/>
      <c r="X186" s="3132"/>
      <c r="Z186" s="1773">
        <v>186</v>
      </c>
    </row>
    <row r="187" spans="1:26" s="289" customFormat="1" ht="12" customHeight="1">
      <c r="A187" s="294"/>
      <c r="B187" s="307"/>
      <c r="C187" s="307"/>
      <c r="D187" s="307"/>
      <c r="E187" s="307"/>
      <c r="F187" s="307"/>
      <c r="G187" s="307"/>
      <c r="H187" s="307"/>
      <c r="I187" s="307"/>
      <c r="J187" s="307"/>
      <c r="K187" s="307"/>
      <c r="L187" s="307"/>
      <c r="M187" s="307"/>
      <c r="N187" s="307"/>
      <c r="O187" s="307"/>
      <c r="T187" s="3132"/>
      <c r="U187" s="3132"/>
      <c r="V187" s="3132"/>
      <c r="W187" s="3132"/>
      <c r="X187" s="3132"/>
      <c r="Z187" s="1773"/>
    </row>
    <row r="188" spans="1:26" s="289" customFormat="1" ht="12" customHeight="1">
      <c r="A188" s="1711"/>
      <c r="B188" s="307"/>
      <c r="C188" s="307"/>
      <c r="D188" s="307"/>
      <c r="E188" s="307"/>
      <c r="F188" s="307"/>
      <c r="G188" s="307"/>
      <c r="H188" s="307"/>
      <c r="I188" s="307"/>
      <c r="J188" s="307"/>
      <c r="K188" s="307"/>
      <c r="L188" s="307"/>
      <c r="M188" s="307"/>
      <c r="N188" s="307"/>
      <c r="O188" s="307"/>
      <c r="Z188" s="1773"/>
    </row>
    <row r="189" spans="1:26" s="289" customFormat="1" ht="12" customHeight="1">
      <c r="A189" s="294"/>
      <c r="B189" s="307"/>
      <c r="C189" s="307"/>
      <c r="D189" s="307"/>
      <c r="E189" s="307"/>
      <c r="F189" s="307"/>
      <c r="G189" s="307"/>
      <c r="H189" s="307"/>
      <c r="I189" s="307"/>
      <c r="J189" s="307"/>
      <c r="K189" s="307"/>
      <c r="L189" s="307"/>
      <c r="M189" s="307"/>
      <c r="N189" s="307"/>
      <c r="O189" s="307"/>
      <c r="Z189" s="1773"/>
    </row>
    <row r="190" spans="1:26" s="289" customFormat="1" ht="12" customHeight="1">
      <c r="A190" s="294"/>
      <c r="B190" s="307"/>
      <c r="C190" s="307"/>
      <c r="D190" s="307"/>
      <c r="E190" s="307"/>
      <c r="F190" s="307"/>
      <c r="G190" s="307"/>
      <c r="H190" s="307"/>
      <c r="I190" s="307"/>
      <c r="J190" s="307"/>
      <c r="K190" s="307"/>
      <c r="L190" s="307"/>
      <c r="M190" s="307"/>
      <c r="N190" s="307"/>
      <c r="O190" s="307"/>
      <c r="Z190" s="1773"/>
    </row>
    <row r="191" spans="1:26" s="289" customFormat="1" ht="12" customHeight="1">
      <c r="B191" s="307"/>
      <c r="C191" s="307"/>
      <c r="D191" s="307"/>
      <c r="E191" s="307"/>
      <c r="F191" s="307"/>
      <c r="G191" s="307"/>
      <c r="H191" s="307"/>
      <c r="I191" s="307"/>
      <c r="J191" s="307"/>
      <c r="K191" s="307"/>
      <c r="L191" s="307"/>
      <c r="M191" s="307"/>
      <c r="N191" s="307"/>
      <c r="O191" s="307"/>
      <c r="P191" s="2779" t="s">
        <v>1717</v>
      </c>
      <c r="Z191" s="1773"/>
    </row>
    <row r="192" spans="1:26" s="289" customFormat="1" ht="12" customHeight="1">
      <c r="A192" s="326"/>
      <c r="B192" s="307"/>
      <c r="C192" s="307"/>
      <c r="D192" s="307"/>
      <c r="E192" s="307"/>
      <c r="F192" s="307"/>
      <c r="G192" s="307"/>
      <c r="H192" s="307"/>
      <c r="I192" s="307"/>
      <c r="J192" s="307"/>
      <c r="K192" s="307"/>
      <c r="L192" s="307"/>
      <c r="M192" s="307"/>
      <c r="N192" s="307"/>
      <c r="O192" s="307"/>
      <c r="P192" s="2780" t="s">
        <v>805</v>
      </c>
      <c r="Z192" s="1773"/>
    </row>
    <row r="193" spans="1:26" s="289" customFormat="1" ht="12" customHeight="1">
      <c r="A193" s="326"/>
      <c r="B193" s="307"/>
      <c r="C193" s="307"/>
      <c r="D193" s="307"/>
      <c r="E193" s="307"/>
      <c r="F193" s="307"/>
      <c r="G193" s="307"/>
      <c r="H193" s="307"/>
      <c r="I193" s="307"/>
      <c r="J193" s="307"/>
      <c r="K193" s="307"/>
      <c r="L193" s="307"/>
      <c r="M193" s="307"/>
      <c r="N193" s="307"/>
      <c r="O193" s="307"/>
      <c r="P193" s="2780" t="s">
        <v>806</v>
      </c>
      <c r="Z193" s="1773"/>
    </row>
    <row r="194" spans="1:26" s="289" customFormat="1" ht="12" customHeight="1">
      <c r="A194" s="326"/>
      <c r="B194" s="307"/>
      <c r="C194" s="307"/>
      <c r="D194" s="307"/>
      <c r="E194" s="307"/>
      <c r="F194" s="307"/>
      <c r="G194" s="307"/>
      <c r="H194" s="307"/>
      <c r="I194" s="307"/>
      <c r="J194" s="307"/>
      <c r="K194" s="307"/>
      <c r="L194" s="307"/>
      <c r="M194" s="307"/>
      <c r="N194" s="307"/>
      <c r="O194" s="307"/>
      <c r="P194" s="2780" t="s">
        <v>807</v>
      </c>
      <c r="Z194" s="1773"/>
    </row>
    <row r="195" spans="1:26" s="289" customFormat="1" ht="12" customHeight="1">
      <c r="A195" s="1711"/>
      <c r="B195" s="307"/>
      <c r="C195" s="307"/>
      <c r="D195" s="307"/>
      <c r="E195" s="307"/>
      <c r="F195" s="307"/>
      <c r="G195" s="307"/>
      <c r="H195" s="307"/>
      <c r="I195" s="307"/>
      <c r="J195" s="307"/>
      <c r="K195" s="307"/>
      <c r="L195" s="307"/>
      <c r="M195" s="307"/>
      <c r="N195" s="307"/>
      <c r="O195" s="307"/>
      <c r="P195" s="2780" t="s">
        <v>808</v>
      </c>
      <c r="Z195" s="1773"/>
    </row>
    <row r="196" spans="1:26" s="289" customFormat="1" ht="12" customHeight="1">
      <c r="B196" s="307"/>
      <c r="C196" s="307"/>
      <c r="D196" s="307"/>
      <c r="E196" s="307"/>
      <c r="F196" s="307"/>
      <c r="G196" s="307"/>
      <c r="H196" s="307"/>
      <c r="I196" s="307"/>
      <c r="J196" s="307"/>
      <c r="K196" s="307"/>
      <c r="L196" s="307"/>
      <c r="M196" s="307"/>
      <c r="N196" s="307"/>
      <c r="O196" s="307"/>
      <c r="P196" s="2780" t="s">
        <v>809</v>
      </c>
      <c r="Z196" s="1773"/>
    </row>
    <row r="197" spans="1:26" s="289" customFormat="1" ht="12" customHeight="1">
      <c r="B197" s="307"/>
      <c r="C197" s="307"/>
      <c r="D197" s="307"/>
      <c r="E197" s="307"/>
      <c r="F197" s="307"/>
      <c r="G197" s="307"/>
      <c r="H197" s="307"/>
      <c r="I197" s="307"/>
      <c r="J197" s="307"/>
      <c r="K197" s="307"/>
      <c r="L197" s="307"/>
      <c r="M197" s="307"/>
      <c r="N197" s="307"/>
      <c r="O197" s="307"/>
      <c r="P197" s="2780" t="s">
        <v>810</v>
      </c>
      <c r="Z197" s="1773"/>
    </row>
    <row r="198" spans="1:26" s="289" customFormat="1" ht="12" customHeight="1">
      <c r="B198" s="307"/>
      <c r="C198" s="307"/>
      <c r="D198" s="307"/>
      <c r="E198" s="307"/>
      <c r="F198" s="307"/>
      <c r="G198" s="307"/>
      <c r="H198" s="307"/>
      <c r="I198" s="307"/>
      <c r="J198" s="307"/>
      <c r="K198" s="307"/>
      <c r="L198" s="307"/>
      <c r="M198" s="307"/>
      <c r="N198" s="307"/>
      <c r="O198" s="307"/>
      <c r="P198" s="2780" t="s">
        <v>811</v>
      </c>
      <c r="Z198" s="1773"/>
    </row>
    <row r="199" spans="1:26" s="289" customFormat="1" ht="12" customHeight="1">
      <c r="B199" s="307"/>
      <c r="C199" s="307"/>
      <c r="D199" s="307"/>
      <c r="E199" s="307"/>
      <c r="F199" s="307"/>
      <c r="G199" s="307"/>
      <c r="H199" s="307"/>
      <c r="I199" s="307"/>
      <c r="J199" s="307"/>
      <c r="K199" s="307"/>
      <c r="L199" s="307"/>
      <c r="M199" s="307"/>
      <c r="N199" s="307"/>
      <c r="O199" s="307"/>
      <c r="P199" s="2780" t="s">
        <v>812</v>
      </c>
      <c r="Z199" s="1773"/>
    </row>
    <row r="200" spans="1:26" ht="12" customHeight="1">
      <c r="P200" s="2780" t="s">
        <v>813</v>
      </c>
    </row>
    <row r="201" spans="1:26" ht="12" customHeight="1">
      <c r="A201" s="315"/>
      <c r="P201" s="2780" t="s">
        <v>814</v>
      </c>
    </row>
    <row r="202" spans="1:26" ht="12" customHeight="1">
      <c r="P202" s="2780" t="s">
        <v>815</v>
      </c>
    </row>
    <row r="203" spans="1:26" ht="12" customHeight="1">
      <c r="P203" s="2780" t="s">
        <v>816</v>
      </c>
    </row>
    <row r="204" spans="1:26" ht="12" customHeight="1">
      <c r="P204" s="2780" t="s">
        <v>817</v>
      </c>
    </row>
    <row r="205" spans="1:26" ht="12" customHeight="1">
      <c r="P205" s="2780" t="s">
        <v>818</v>
      </c>
    </row>
    <row r="206" spans="1:26" ht="12" customHeight="1">
      <c r="P206" s="2780" t="s">
        <v>819</v>
      </c>
    </row>
    <row r="207" spans="1:26" ht="12" customHeight="1">
      <c r="P207" s="2780" t="s">
        <v>820</v>
      </c>
    </row>
    <row r="208" spans="1:26" ht="12" customHeight="1">
      <c r="P208" s="2780" t="s">
        <v>821</v>
      </c>
    </row>
    <row r="209" spans="16:16" ht="12" customHeight="1">
      <c r="P209" s="2780" t="s">
        <v>822</v>
      </c>
    </row>
    <row r="210" spans="16:16" ht="12" customHeight="1">
      <c r="P210" s="2780" t="s">
        <v>823</v>
      </c>
    </row>
    <row r="211" spans="16:16" ht="12" customHeight="1">
      <c r="P211" s="2780" t="s">
        <v>824</v>
      </c>
    </row>
    <row r="212" spans="16:16" ht="12" customHeight="1">
      <c r="P212" s="2780" t="s">
        <v>825</v>
      </c>
    </row>
    <row r="213" spans="16:16" ht="12" customHeight="1">
      <c r="P213" s="2780" t="s">
        <v>826</v>
      </c>
    </row>
    <row r="214" spans="16:16" ht="12" customHeight="1">
      <c r="P214" s="2780" t="s">
        <v>827</v>
      </c>
    </row>
    <row r="215" spans="16:16" ht="12" customHeight="1">
      <c r="P215" s="2780" t="s">
        <v>828</v>
      </c>
    </row>
    <row r="216" spans="16:16" ht="12" customHeight="1">
      <c r="P216" s="2780" t="s">
        <v>829</v>
      </c>
    </row>
    <row r="217" spans="16:16" ht="12" customHeight="1">
      <c r="P217" s="2780" t="s">
        <v>1292</v>
      </c>
    </row>
    <row r="218" spans="16:16" ht="12" customHeight="1">
      <c r="P218" s="2780" t="s">
        <v>1293</v>
      </c>
    </row>
    <row r="219" spans="16:16" ht="12" customHeight="1">
      <c r="P219" s="2780" t="s">
        <v>1294</v>
      </c>
    </row>
    <row r="220" spans="16:16" ht="12" customHeight="1">
      <c r="P220" s="2780" t="s">
        <v>1295</v>
      </c>
    </row>
    <row r="221" spans="16:16" ht="12" customHeight="1">
      <c r="P221" s="2780" t="s">
        <v>1296</v>
      </c>
    </row>
    <row r="222" spans="16:16" ht="13.5">
      <c r="P222" s="2780" t="s">
        <v>1297</v>
      </c>
    </row>
    <row r="223" spans="16:16" ht="12" customHeight="1">
      <c r="P223" s="2780" t="s">
        <v>1298</v>
      </c>
    </row>
    <row r="224" spans="16:16" ht="12" customHeight="1">
      <c r="P224" s="2780" t="s">
        <v>1299</v>
      </c>
    </row>
    <row r="225" spans="16:16" ht="12" customHeight="1">
      <c r="P225" s="2780" t="s">
        <v>1300</v>
      </c>
    </row>
    <row r="226" spans="16:16" ht="12" customHeight="1">
      <c r="P226" s="2780" t="s">
        <v>1301</v>
      </c>
    </row>
    <row r="227" spans="16:16" ht="12" customHeight="1">
      <c r="P227" s="2780" t="s">
        <v>1302</v>
      </c>
    </row>
    <row r="228" spans="16:16" ht="12" customHeight="1">
      <c r="P228" s="2780" t="s">
        <v>1303</v>
      </c>
    </row>
    <row r="229" spans="16:16" ht="12" customHeight="1">
      <c r="P229" s="2780" t="s">
        <v>1304</v>
      </c>
    </row>
    <row r="230" spans="16:16" ht="12" customHeight="1">
      <c r="P230" s="2780" t="s">
        <v>1305</v>
      </c>
    </row>
    <row r="231" spans="16:16" ht="12" customHeight="1">
      <c r="P231" s="2780" t="s">
        <v>1306</v>
      </c>
    </row>
    <row r="232" spans="16:16" ht="12" customHeight="1">
      <c r="P232" s="2780" t="s">
        <v>1307</v>
      </c>
    </row>
    <row r="233" spans="16:16" ht="12" customHeight="1">
      <c r="P233" s="2780" t="s">
        <v>1308</v>
      </c>
    </row>
    <row r="234" spans="16:16" ht="12" customHeight="1">
      <c r="P234" s="2780" t="s">
        <v>1309</v>
      </c>
    </row>
    <row r="235" spans="16:16" ht="12" customHeight="1">
      <c r="P235" s="2780" t="s">
        <v>1310</v>
      </c>
    </row>
    <row r="236" spans="16:16" ht="12" customHeight="1">
      <c r="P236" s="2780" t="s">
        <v>1311</v>
      </c>
    </row>
    <row r="237" spans="16:16" ht="12" customHeight="1">
      <c r="P237" s="2780" t="s">
        <v>1312</v>
      </c>
    </row>
    <row r="238" spans="16:16" ht="12" customHeight="1">
      <c r="P238" s="2780" t="s">
        <v>1313</v>
      </c>
    </row>
    <row r="239" spans="16:16" ht="12" customHeight="1">
      <c r="P239" s="2780" t="s">
        <v>1314</v>
      </c>
    </row>
    <row r="240" spans="16:16" ht="12" customHeight="1">
      <c r="P240" s="2780" t="s">
        <v>1315</v>
      </c>
    </row>
    <row r="241" spans="16:16" ht="12" customHeight="1">
      <c r="P241" s="2780" t="s">
        <v>1316</v>
      </c>
    </row>
    <row r="242" spans="16:16" ht="12" customHeight="1">
      <c r="P242" s="2780" t="s">
        <v>1317</v>
      </c>
    </row>
  </sheetData>
  <sheetProtection algorithmName="SHA-512" hashValue="9dnx+DWBV2uk0rLBNhtaXooyY5r51ZoX6CZr73ttuoQDVxDmsISD4F88IVzayysOB+jJLhc30ImQbH2vfBstJw==" saltValue="2GDsE4Dwq/uJCPRfvpZFGQ==" spinCount="100000" sheet="1" objects="1" scenarios="1" selectLockedCells="1" selectUnlockedCells="1"/>
  <mergeCells count="310">
    <mergeCell ref="I162:S162"/>
    <mergeCell ref="I155:S155"/>
    <mergeCell ref="I154:S154"/>
    <mergeCell ref="I156:S156"/>
    <mergeCell ref="I157:S157"/>
    <mergeCell ref="I158:S158"/>
    <mergeCell ref="I159:S159"/>
    <mergeCell ref="I160:S160"/>
    <mergeCell ref="I161:S161"/>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H35:N35"/>
    <mergeCell ref="Q35:S35"/>
    <mergeCell ref="L30:M30"/>
    <mergeCell ref="Q30:S30"/>
    <mergeCell ref="H31:I31"/>
    <mergeCell ref="L31:S31"/>
    <mergeCell ref="H34:N34"/>
    <mergeCell ref="H38:I38"/>
    <mergeCell ref="L38:S38"/>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2021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37" zoomScaleNormal="100" workbookViewId="0">
      <selection activeCell="A37" sqref="A1:XFD1048576"/>
    </sheetView>
  </sheetViews>
  <sheetFormatPr defaultColWidth="9.140625" defaultRowHeight="13.5"/>
  <cols>
    <col min="1" max="1" width="4.140625" style="331" customWidth="1"/>
    <col min="2" max="17" width="8.140625" style="331" customWidth="1"/>
    <col min="18" max="18" width="3.140625" style="331" customWidth="1"/>
    <col min="19" max="19" width="13.5703125" style="331" customWidth="1"/>
    <col min="20" max="20" width="98.85546875" style="331" customWidth="1"/>
    <col min="21" max="24" width="9.140625" style="331"/>
    <col min="25" max="25" width="16.5703125" style="1806" bestFit="1" customWidth="1"/>
    <col min="26" max="26" width="9.140625" style="1806"/>
    <col min="27" max="51" width="9.140625" style="331"/>
    <col min="52" max="52" width="9.140625" style="2786"/>
    <col min="53" max="16384" width="9.140625" style="331"/>
  </cols>
  <sheetData>
    <row r="1" spans="1:52" s="1806" customFormat="1" ht="12" hidden="1" customHeight="1">
      <c r="A1" s="1809"/>
      <c r="B1" s="1809" t="s">
        <v>6618</v>
      </c>
      <c r="C1" s="1809"/>
      <c r="D1" s="1809"/>
      <c r="E1" s="1809" t="s">
        <v>6637</v>
      </c>
      <c r="F1" s="1809"/>
      <c r="G1" s="2781"/>
      <c r="H1" s="2781" t="s">
        <v>6638</v>
      </c>
      <c r="I1" s="2781" t="s">
        <v>6639</v>
      </c>
      <c r="J1" s="2781"/>
      <c r="K1" s="2781" t="s">
        <v>6640</v>
      </c>
      <c r="L1" s="2781" t="s">
        <v>6641</v>
      </c>
      <c r="M1" s="1806" t="s">
        <v>6642</v>
      </c>
      <c r="N1" s="1806" t="s">
        <v>6643</v>
      </c>
      <c r="P1" s="1806" t="s">
        <v>6644</v>
      </c>
      <c r="Z1" s="1773">
        <v>1</v>
      </c>
    </row>
    <row r="2" spans="1:52" s="265" customFormat="1" ht="14.1" customHeight="1">
      <c r="A2" s="3454" t="str">
        <f>CONCATENATE("PART THREE - SOURCES OF FUNDS (Proposed)","  -  ",'Part I-Project Information'!$O$7," ",'Part I-Project Information'!$F$35,", ",'Part I-Project Information'!$F$39,", ",'Part I-Project Information'!$J$40," County")</f>
        <v>PART THREE - SOURCES OF FUNDS (Proposed)  -  2021-067 West Point Village Phase II, West Point, Troup County</v>
      </c>
      <c r="B2" s="3455"/>
      <c r="C2" s="3455"/>
      <c r="D2" s="3455"/>
      <c r="E2" s="3455"/>
      <c r="F2" s="3455"/>
      <c r="G2" s="3455"/>
      <c r="H2" s="3455"/>
      <c r="I2" s="3455"/>
      <c r="J2" s="3455"/>
      <c r="K2" s="3455"/>
      <c r="L2" s="3455"/>
      <c r="M2" s="3455"/>
      <c r="N2" s="3455"/>
      <c r="O2" s="3455"/>
      <c r="P2" s="3455"/>
      <c r="Q2" s="3456"/>
      <c r="S2" s="3569" t="str">
        <f>$A$2</f>
        <v>PART THREE - SOURCES OF FUNDS (Proposed)  -  2021-067 West Point Village Phase II, West Point, Troup County</v>
      </c>
      <c r="T2" s="3569"/>
      <c r="Y2" s="1807"/>
      <c r="Z2" s="1773">
        <v>2</v>
      </c>
      <c r="AZ2" s="2782"/>
    </row>
    <row r="3" spans="1:52" ht="17.45" customHeight="1">
      <c r="A3" s="307"/>
      <c r="B3" s="307"/>
      <c r="C3" s="307"/>
      <c r="D3" s="307"/>
      <c r="E3" s="307"/>
      <c r="F3" s="307"/>
      <c r="G3" s="1068"/>
      <c r="H3" s="1068"/>
      <c r="I3" s="1068"/>
      <c r="J3" s="1068"/>
      <c r="K3" s="1068"/>
      <c r="L3" s="1068"/>
      <c r="Y3" s="1807"/>
      <c r="Z3" s="1773">
        <v>3</v>
      </c>
      <c r="AZ3" s="2782"/>
    </row>
    <row r="4" spans="1:52" s="265" customFormat="1" ht="13.35" customHeight="1">
      <c r="A4" s="291" t="s">
        <v>586</v>
      </c>
      <c r="B4" s="299" t="s">
        <v>2377</v>
      </c>
      <c r="C4" s="289"/>
      <c r="D4" s="2628"/>
      <c r="E4" s="2628"/>
      <c r="F4" s="2628"/>
      <c r="G4" s="2628"/>
      <c r="L4" s="3581" t="str">
        <f>'Part I-Project Information'!$B$7</f>
        <v>2021 Core App
May 10 Rev</v>
      </c>
      <c r="M4" s="3582"/>
      <c r="N4" s="3582"/>
      <c r="O4" s="3582"/>
      <c r="P4" s="3583"/>
      <c r="S4" s="332" t="str">
        <f>B4</f>
        <v>GOVERNMENT FUNDING SOURCES  (check all that apply)</v>
      </c>
      <c r="Y4" s="1807"/>
      <c r="Z4" s="1773">
        <v>4</v>
      </c>
      <c r="AZ4" s="2782"/>
    </row>
    <row r="5" spans="1:52" s="265" customFormat="1" ht="15.75" customHeight="1">
      <c r="A5" s="315"/>
      <c r="B5" s="1711"/>
      <c r="C5" s="310"/>
      <c r="D5" s="2628"/>
      <c r="E5" s="2628"/>
      <c r="F5" s="2628"/>
      <c r="G5" s="2628"/>
      <c r="S5" s="3530" t="s">
        <v>2536</v>
      </c>
      <c r="T5" s="3530"/>
      <c r="Y5" s="1807"/>
      <c r="Z5" s="1773">
        <v>5</v>
      </c>
      <c r="AZ5" s="2782"/>
    </row>
    <row r="6" spans="1:52" s="265" customFormat="1" ht="16.5" customHeight="1">
      <c r="A6" s="1711"/>
      <c r="B6" s="2692" t="s">
        <v>2768</v>
      </c>
      <c r="C6" s="266" t="s">
        <v>2299</v>
      </c>
      <c r="D6" s="289"/>
      <c r="E6" s="2692" t="s">
        <v>2771</v>
      </c>
      <c r="F6" s="266" t="s">
        <v>6289</v>
      </c>
      <c r="G6" s="289"/>
      <c r="I6" s="3573"/>
      <c r="J6" s="3574"/>
      <c r="L6" s="2692" t="s">
        <v>2771</v>
      </c>
      <c r="M6" s="266" t="s">
        <v>1475</v>
      </c>
      <c r="Q6" s="1692"/>
      <c r="S6" s="3519"/>
      <c r="T6" s="3520"/>
      <c r="Y6" s="1807"/>
      <c r="Z6" s="1773">
        <v>6</v>
      </c>
      <c r="AZ6" s="2782"/>
    </row>
    <row r="7" spans="1:52" s="265" customFormat="1" ht="16.5" customHeight="1">
      <c r="A7" s="1711"/>
      <c r="B7" s="2680" t="s">
        <v>2771</v>
      </c>
      <c r="C7" s="266" t="s">
        <v>4057</v>
      </c>
      <c r="D7" s="289"/>
      <c r="E7" s="2693" t="s">
        <v>2771</v>
      </c>
      <c r="F7" s="266" t="s">
        <v>6290</v>
      </c>
      <c r="I7" s="3575"/>
      <c r="J7" s="3576"/>
      <c r="L7" s="2680" t="s">
        <v>2771</v>
      </c>
      <c r="M7" s="266" t="s">
        <v>523</v>
      </c>
      <c r="P7" s="1692"/>
      <c r="Q7" s="1692"/>
      <c r="S7" s="3476"/>
      <c r="T7" s="3477"/>
      <c r="Y7" s="1807"/>
      <c r="Z7" s="1773">
        <v>7</v>
      </c>
      <c r="AZ7" s="2782"/>
    </row>
    <row r="8" spans="1:52" s="265" customFormat="1" ht="16.5" customHeight="1">
      <c r="A8" s="289"/>
      <c r="B8" s="2680" t="s">
        <v>2771</v>
      </c>
      <c r="C8" s="266" t="s">
        <v>524</v>
      </c>
      <c r="F8" s="265" t="s">
        <v>6291</v>
      </c>
      <c r="H8" s="3570" t="s">
        <v>3185</v>
      </c>
      <c r="I8" s="3571"/>
      <c r="J8" s="3572"/>
      <c r="L8" s="2680" t="s">
        <v>2771</v>
      </c>
      <c r="M8" s="284" t="s">
        <v>3275</v>
      </c>
      <c r="P8" s="1692"/>
      <c r="Q8" s="1692"/>
      <c r="S8" s="3476"/>
      <c r="T8" s="3477"/>
      <c r="Y8" s="1807"/>
      <c r="Z8" s="1773">
        <v>8</v>
      </c>
      <c r="AZ8" s="2782"/>
    </row>
    <row r="9" spans="1:52" s="265" customFormat="1" ht="16.5" customHeight="1">
      <c r="A9" s="1711"/>
      <c r="B9" s="2680" t="s">
        <v>2771</v>
      </c>
      <c r="C9" s="265" t="s">
        <v>3439</v>
      </c>
      <c r="E9" s="2783" t="s">
        <v>2771</v>
      </c>
      <c r="F9" s="3577" t="s">
        <v>3922</v>
      </c>
      <c r="G9" s="3168"/>
      <c r="H9" s="3168"/>
      <c r="I9" s="3168"/>
      <c r="J9" s="3169"/>
      <c r="L9" s="2680" t="s">
        <v>2771</v>
      </c>
      <c r="M9" s="284" t="s">
        <v>4058</v>
      </c>
      <c r="Q9" s="1692"/>
      <c r="S9" s="3478"/>
      <c r="T9" s="3479"/>
      <c r="Y9" s="1807"/>
      <c r="Z9" s="1773">
        <v>9</v>
      </c>
      <c r="AZ9" s="2782"/>
    </row>
    <row r="10" spans="1:52" s="265" customFormat="1" ht="16.5" customHeight="1">
      <c r="A10" s="1711"/>
      <c r="B10" s="2680" t="s">
        <v>2771</v>
      </c>
      <c r="C10" s="266" t="s">
        <v>2480</v>
      </c>
      <c r="F10" s="3578" t="s">
        <v>3924</v>
      </c>
      <c r="G10" s="3579"/>
      <c r="H10" s="3579"/>
      <c r="I10" s="3579"/>
      <c r="J10" s="3580"/>
      <c r="L10" s="2680" t="s">
        <v>2771</v>
      </c>
      <c r="M10" s="266" t="s">
        <v>3318</v>
      </c>
      <c r="P10" s="1692"/>
      <c r="Q10" s="1692"/>
      <c r="S10" s="3519"/>
      <c r="T10" s="3520"/>
      <c r="Y10" s="1807"/>
      <c r="Z10" s="1773">
        <v>10</v>
      </c>
      <c r="AZ10" s="2782"/>
    </row>
    <row r="11" spans="1:52" s="265" customFormat="1" ht="16.5" customHeight="1">
      <c r="A11" s="1711"/>
      <c r="B11" s="2680" t="s">
        <v>2771</v>
      </c>
      <c r="C11" s="266" t="s">
        <v>2481</v>
      </c>
      <c r="E11" s="2783" t="s">
        <v>2771</v>
      </c>
      <c r="F11" s="3577" t="s">
        <v>3923</v>
      </c>
      <c r="G11" s="3168"/>
      <c r="H11" s="3168"/>
      <c r="I11" s="3168"/>
      <c r="J11" s="3169"/>
      <c r="L11" s="2680" t="s">
        <v>2771</v>
      </c>
      <c r="M11" s="265" t="s">
        <v>2485</v>
      </c>
      <c r="S11" s="3476"/>
      <c r="T11" s="3477"/>
      <c r="Y11" s="1807"/>
      <c r="Z11" s="1773">
        <v>11</v>
      </c>
      <c r="AZ11" s="2782"/>
    </row>
    <row r="12" spans="1:52" s="265" customFormat="1" ht="16.5" customHeight="1">
      <c r="A12" s="1711"/>
      <c r="B12" s="2680" t="s">
        <v>2771</v>
      </c>
      <c r="C12" s="284" t="s">
        <v>3321</v>
      </c>
      <c r="F12" s="3578" t="s">
        <v>3925</v>
      </c>
      <c r="G12" s="3579"/>
      <c r="H12" s="3579"/>
      <c r="I12" s="3579"/>
      <c r="J12" s="3580"/>
      <c r="L12" s="2680" t="s">
        <v>2771</v>
      </c>
      <c r="M12" s="265" t="s">
        <v>3351</v>
      </c>
      <c r="S12" s="3476"/>
      <c r="T12" s="3477"/>
      <c r="Y12" s="1807"/>
      <c r="Z12" s="1773">
        <v>12</v>
      </c>
      <c r="AZ12" s="2782"/>
    </row>
    <row r="13" spans="1:52" s="265" customFormat="1" ht="16.5" customHeight="1">
      <c r="A13" s="1711"/>
      <c r="B13" s="2680" t="s">
        <v>2768</v>
      </c>
      <c r="C13" s="284" t="s">
        <v>2484</v>
      </c>
      <c r="E13" s="2692" t="s">
        <v>2768</v>
      </c>
      <c r="F13" s="284" t="s">
        <v>3350</v>
      </c>
      <c r="H13" s="3570" t="s">
        <v>6944</v>
      </c>
      <c r="I13" s="3571"/>
      <c r="J13" s="3572"/>
      <c r="L13" s="2680" t="s">
        <v>2771</v>
      </c>
      <c r="M13" s="265" t="s">
        <v>6288</v>
      </c>
      <c r="S13" s="3476"/>
      <c r="T13" s="3477"/>
      <c r="Y13" s="1807"/>
      <c r="Z13" s="1773">
        <v>13</v>
      </c>
      <c r="AZ13" s="2782"/>
    </row>
    <row r="14" spans="1:52" s="265" customFormat="1" ht="16.5" customHeight="1">
      <c r="A14" s="1711"/>
      <c r="B14" s="2680" t="s">
        <v>2771</v>
      </c>
      <c r="C14" s="265" t="s">
        <v>2483</v>
      </c>
      <c r="E14" s="2680" t="s">
        <v>2771</v>
      </c>
      <c r="F14" s="284" t="s">
        <v>3438</v>
      </c>
      <c r="L14" s="2680" t="s">
        <v>2768</v>
      </c>
      <c r="M14" s="265" t="s">
        <v>6535</v>
      </c>
      <c r="S14" s="3478"/>
      <c r="T14" s="3479"/>
      <c r="Y14" s="1807"/>
      <c r="Z14" s="1773">
        <v>14</v>
      </c>
      <c r="AZ14" s="2782"/>
    </row>
    <row r="15" spans="1:52" s="265" customFormat="1" ht="16.5" customHeight="1">
      <c r="A15" s="1711"/>
      <c r="B15" s="2680" t="s">
        <v>2771</v>
      </c>
      <c r="C15" s="265" t="s">
        <v>3349</v>
      </c>
      <c r="E15" s="2680" t="s">
        <v>2771</v>
      </c>
      <c r="F15" s="284" t="s">
        <v>6292</v>
      </c>
      <c r="L15" s="2680" t="s">
        <v>2771</v>
      </c>
      <c r="M15" s="1693" t="s">
        <v>6293</v>
      </c>
      <c r="Y15" s="1807"/>
      <c r="Z15" s="1773">
        <v>15</v>
      </c>
      <c r="AZ15" s="2782"/>
    </row>
    <row r="16" spans="1:52" s="265" customFormat="1" ht="16.5" customHeight="1">
      <c r="A16" s="1711"/>
      <c r="B16" s="2693" t="s">
        <v>2771</v>
      </c>
      <c r="C16" s="266" t="s">
        <v>1720</v>
      </c>
      <c r="E16" s="2693" t="s">
        <v>2771</v>
      </c>
      <c r="F16" s="266" t="s">
        <v>6835</v>
      </c>
      <c r="I16" s="3584"/>
      <c r="J16" s="3585"/>
      <c r="L16" s="2693" t="s">
        <v>2771</v>
      </c>
      <c r="M16" s="1693" t="s">
        <v>6287</v>
      </c>
      <c r="Y16" s="1807"/>
      <c r="Z16" s="1773">
        <v>16</v>
      </c>
      <c r="AZ16" s="2782"/>
    </row>
    <row r="17" spans="1:52" s="265" customFormat="1" ht="17.100000000000001" customHeight="1">
      <c r="A17" s="1711"/>
      <c r="B17" s="265" t="s">
        <v>4059</v>
      </c>
      <c r="C17" s="289"/>
      <c r="D17" s="289"/>
      <c r="E17" s="289"/>
      <c r="F17" s="289"/>
      <c r="G17" s="289"/>
      <c r="H17" s="289"/>
      <c r="I17" s="289"/>
      <c r="J17" s="289"/>
      <c r="K17" s="289"/>
      <c r="L17" s="289"/>
      <c r="M17" s="1581"/>
      <c r="N17" s="289"/>
      <c r="O17" s="289"/>
      <c r="P17" s="289"/>
      <c r="Q17" s="289"/>
      <c r="Y17" s="1807"/>
      <c r="Z17" s="1773">
        <v>17</v>
      </c>
      <c r="AZ17" s="2782"/>
    </row>
    <row r="18" spans="1:52" s="265" customFormat="1" ht="12" customHeight="1">
      <c r="A18" s="1711"/>
      <c r="L18" s="289"/>
      <c r="M18" s="312"/>
      <c r="N18" s="289"/>
      <c r="O18" s="289"/>
      <c r="P18" s="289"/>
      <c r="Q18" s="289"/>
      <c r="Y18" s="2784"/>
      <c r="Z18" s="1773">
        <v>18</v>
      </c>
      <c r="AZ18" s="2785"/>
    </row>
    <row r="19" spans="1:52" s="332" customFormat="1" ht="15" customHeight="1">
      <c r="A19" s="291" t="s">
        <v>710</v>
      </c>
      <c r="B19" s="1662" t="s">
        <v>2240</v>
      </c>
      <c r="C19" s="289"/>
      <c r="D19" s="2628"/>
      <c r="E19" s="289"/>
      <c r="F19" s="289"/>
      <c r="G19" s="289"/>
      <c r="L19" s="289"/>
      <c r="M19" s="2628"/>
      <c r="N19" s="3586"/>
      <c r="O19" s="3586"/>
      <c r="P19" s="289"/>
      <c r="Q19" s="289"/>
      <c r="S19" s="332" t="str">
        <f>B19</f>
        <v>CONSTRUCTION FINANCING</v>
      </c>
      <c r="Y19" s="2784"/>
      <c r="Z19" s="1773">
        <v>19</v>
      </c>
      <c r="AZ19" s="2785"/>
    </row>
    <row r="20" spans="1:52" s="332" customFormat="1" ht="5.25" customHeight="1">
      <c r="A20" s="291"/>
      <c r="B20" s="1662"/>
      <c r="C20" s="289"/>
      <c r="K20" s="289"/>
      <c r="L20" s="289"/>
      <c r="M20" s="2628"/>
      <c r="N20" s="2623"/>
      <c r="O20" s="2623"/>
      <c r="P20" s="289"/>
      <c r="Q20" s="289"/>
      <c r="Y20" s="2784"/>
      <c r="Z20" s="1773">
        <v>20</v>
      </c>
      <c r="AZ20" s="2782"/>
    </row>
    <row r="21" spans="1:52" s="265" customFormat="1" ht="17.100000000000001" customHeight="1">
      <c r="A21" s="289"/>
      <c r="B21" s="2620" t="s">
        <v>1783</v>
      </c>
      <c r="C21" s="289"/>
      <c r="D21" s="289"/>
      <c r="E21" s="289"/>
      <c r="F21" s="289"/>
      <c r="G21" s="289"/>
      <c r="H21" s="3587" t="s">
        <v>1249</v>
      </c>
      <c r="I21" s="3587"/>
      <c r="J21" s="3587"/>
      <c r="K21" s="3587"/>
      <c r="L21" s="3342" t="s">
        <v>4022</v>
      </c>
      <c r="M21" s="3342"/>
      <c r="N21" s="3342" t="s">
        <v>1446</v>
      </c>
      <c r="O21" s="3342"/>
      <c r="P21" s="3342" t="s">
        <v>1564</v>
      </c>
      <c r="Q21" s="3342"/>
      <c r="S21" s="3530" t="s">
        <v>2536</v>
      </c>
      <c r="T21" s="3530"/>
      <c r="Y21" s="1807"/>
      <c r="Z21" s="1773">
        <v>21</v>
      </c>
      <c r="AZ21" s="2782" t="s">
        <v>6652</v>
      </c>
    </row>
    <row r="22" spans="1:52" s="265" customFormat="1" ht="15.75" customHeight="1">
      <c r="A22" s="289"/>
      <c r="B22" s="3533" t="s">
        <v>1525</v>
      </c>
      <c r="C22" s="3534"/>
      <c r="D22" s="3534"/>
      <c r="E22" s="2626"/>
      <c r="F22" s="2626"/>
      <c r="G22" s="2626"/>
      <c r="H22" s="3507" t="s">
        <v>6947</v>
      </c>
      <c r="I22" s="3508"/>
      <c r="J22" s="3508"/>
      <c r="K22" s="3509"/>
      <c r="L22" s="3554">
        <v>2692610</v>
      </c>
      <c r="M22" s="3555"/>
      <c r="N22" s="3556">
        <v>2.9499999999999998E-2</v>
      </c>
      <c r="O22" s="3557"/>
      <c r="P22" s="3558">
        <v>24</v>
      </c>
      <c r="Q22" s="3559"/>
      <c r="S22" s="3519"/>
      <c r="T22" s="3520"/>
      <c r="Y22" s="1807" t="s">
        <v>6652</v>
      </c>
      <c r="Z22" s="1773">
        <v>22</v>
      </c>
      <c r="AZ22" s="2782" t="s">
        <v>6653</v>
      </c>
    </row>
    <row r="23" spans="1:52" s="265" customFormat="1" ht="15.75" customHeight="1">
      <c r="A23" s="289"/>
      <c r="B23" s="3521" t="s">
        <v>1526</v>
      </c>
      <c r="C23" s="3522"/>
      <c r="D23" s="3522"/>
      <c r="E23" s="2628"/>
      <c r="F23" s="2628"/>
      <c r="G23" s="2628"/>
      <c r="H23" s="3492"/>
      <c r="I23" s="3493"/>
      <c r="J23" s="3493"/>
      <c r="K23" s="3494"/>
      <c r="L23" s="3542"/>
      <c r="M23" s="3543"/>
      <c r="N23" s="3563"/>
      <c r="O23" s="3564"/>
      <c r="P23" s="3565"/>
      <c r="Q23" s="3566"/>
      <c r="S23" s="3476"/>
      <c r="T23" s="3477"/>
      <c r="Y23" s="1807" t="s">
        <v>6653</v>
      </c>
      <c r="Z23" s="1773">
        <v>23</v>
      </c>
      <c r="AZ23" s="2782" t="s">
        <v>6654</v>
      </c>
    </row>
    <row r="24" spans="1:52" s="265" customFormat="1" ht="15.75" customHeight="1">
      <c r="A24" s="289"/>
      <c r="B24" s="3567" t="s">
        <v>1527</v>
      </c>
      <c r="C24" s="3568"/>
      <c r="D24" s="3568"/>
      <c r="E24" s="2631"/>
      <c r="F24" s="2631"/>
      <c r="G24" s="2631"/>
      <c r="H24" s="3481"/>
      <c r="I24" s="3482"/>
      <c r="J24" s="3482"/>
      <c r="K24" s="3483"/>
      <c r="L24" s="3546"/>
      <c r="M24" s="3547"/>
      <c r="N24" s="3588"/>
      <c r="O24" s="3589"/>
      <c r="P24" s="3590"/>
      <c r="Q24" s="3591"/>
      <c r="S24" s="3476"/>
      <c r="T24" s="3477"/>
      <c r="Y24" s="1807" t="s">
        <v>6654</v>
      </c>
      <c r="Z24" s="1773">
        <v>24</v>
      </c>
      <c r="AZ24" s="2782" t="s">
        <v>6655</v>
      </c>
    </row>
    <row r="25" spans="1:52" s="265" customFormat="1" ht="15.75" customHeight="1">
      <c r="A25" s="289"/>
      <c r="B25" s="3533" t="s">
        <v>2113</v>
      </c>
      <c r="C25" s="3534"/>
      <c r="D25" s="3534"/>
      <c r="E25" s="2628"/>
      <c r="F25" s="2628"/>
      <c r="G25" s="2628"/>
      <c r="H25" s="3560"/>
      <c r="I25" s="3561"/>
      <c r="J25" s="3561"/>
      <c r="K25" s="3562"/>
      <c r="L25" s="3554"/>
      <c r="M25" s="3555"/>
      <c r="N25" s="3544"/>
      <c r="O25" s="3545"/>
      <c r="P25" s="3528"/>
      <c r="Q25" s="3528"/>
      <c r="S25" s="3476"/>
      <c r="T25" s="3477"/>
      <c r="Y25" s="1807" t="s">
        <v>6655</v>
      </c>
      <c r="Z25" s="1773">
        <v>25</v>
      </c>
      <c r="AZ25" s="2782" t="s">
        <v>6656</v>
      </c>
    </row>
    <row r="26" spans="1:52" s="265" customFormat="1" ht="15.75" customHeight="1">
      <c r="A26" s="289"/>
      <c r="B26" s="3521" t="s">
        <v>768</v>
      </c>
      <c r="C26" s="3522"/>
      <c r="D26" s="3522"/>
      <c r="E26" s="2628"/>
      <c r="H26" s="3492"/>
      <c r="I26" s="3493"/>
      <c r="J26" s="3493"/>
      <c r="K26" s="3494"/>
      <c r="L26" s="3542"/>
      <c r="M26" s="3543"/>
      <c r="N26" s="3544"/>
      <c r="O26" s="3545"/>
      <c r="P26" s="3528"/>
      <c r="Q26" s="3528"/>
      <c r="S26" s="3476"/>
      <c r="T26" s="3477"/>
      <c r="Y26" s="1807" t="s">
        <v>6656</v>
      </c>
      <c r="Z26" s="1773">
        <v>26</v>
      </c>
      <c r="AZ26" s="2782" t="s">
        <v>6657</v>
      </c>
    </row>
    <row r="27" spans="1:52" s="265" customFormat="1" ht="15.75" customHeight="1">
      <c r="A27" s="289"/>
      <c r="B27" s="3521" t="s">
        <v>611</v>
      </c>
      <c r="C27" s="3522"/>
      <c r="D27" s="3522"/>
      <c r="E27" s="2628"/>
      <c r="H27" s="3492"/>
      <c r="I27" s="3493"/>
      <c r="J27" s="3493"/>
      <c r="K27" s="3494"/>
      <c r="L27" s="3542"/>
      <c r="M27" s="3543"/>
      <c r="N27" s="3544"/>
      <c r="O27" s="3545"/>
      <c r="P27" s="3528"/>
      <c r="Q27" s="3528"/>
      <c r="S27" s="3476"/>
      <c r="T27" s="3477"/>
      <c r="Y27" s="1807" t="s">
        <v>6657</v>
      </c>
      <c r="Z27" s="1773">
        <v>27</v>
      </c>
      <c r="AZ27" s="2782" t="s">
        <v>6658</v>
      </c>
    </row>
    <row r="28" spans="1:52" s="265" customFormat="1" ht="15.75" customHeight="1">
      <c r="A28" s="289"/>
      <c r="B28" s="3521" t="s">
        <v>769</v>
      </c>
      <c r="C28" s="3522"/>
      <c r="D28" s="3522"/>
      <c r="E28" s="2628"/>
      <c r="H28" s="3492" t="s">
        <v>6945</v>
      </c>
      <c r="I28" s="3493"/>
      <c r="J28" s="3493"/>
      <c r="K28" s="3494"/>
      <c r="L28" s="3542">
        <v>6815461.5</v>
      </c>
      <c r="M28" s="3543"/>
      <c r="N28" s="289"/>
      <c r="Q28" s="289"/>
      <c r="S28" s="3478"/>
      <c r="T28" s="3479"/>
      <c r="Y28" s="1807" t="s">
        <v>6658</v>
      </c>
      <c r="Z28" s="1773">
        <v>28</v>
      </c>
      <c r="AZ28" s="2782" t="s">
        <v>6659</v>
      </c>
    </row>
    <row r="29" spans="1:52" s="265" customFormat="1" ht="15.75" customHeight="1">
      <c r="A29" s="289"/>
      <c r="B29" s="3521" t="s">
        <v>770</v>
      </c>
      <c r="C29" s="3522"/>
      <c r="D29" s="3522"/>
      <c r="E29" s="2628"/>
      <c r="H29" s="3492" t="s">
        <v>6945</v>
      </c>
      <c r="I29" s="3493"/>
      <c r="J29" s="3493"/>
      <c r="K29" s="3494"/>
      <c r="L29" s="3542">
        <v>4766380.1999999993</v>
      </c>
      <c r="M29" s="3543"/>
      <c r="N29" s="289"/>
      <c r="Q29" s="289"/>
      <c r="S29" s="3519"/>
      <c r="T29" s="3520"/>
      <c r="Y29" s="1807" t="s">
        <v>6659</v>
      </c>
      <c r="Z29" s="1773">
        <v>29</v>
      </c>
      <c r="AZ29" s="2782" t="s">
        <v>6660</v>
      </c>
    </row>
    <row r="30" spans="1:52" s="265" customFormat="1" ht="15.75" customHeight="1">
      <c r="A30" s="289"/>
      <c r="B30" s="2627" t="s">
        <v>231</v>
      </c>
      <c r="C30" s="2628"/>
      <c r="D30" s="3491"/>
      <c r="E30" s="3491"/>
      <c r="F30" s="3491"/>
      <c r="G30" s="3491"/>
      <c r="H30" s="3492"/>
      <c r="I30" s="3493"/>
      <c r="J30" s="3493"/>
      <c r="K30" s="3494"/>
      <c r="L30" s="3542"/>
      <c r="M30" s="3543"/>
      <c r="N30" s="289"/>
      <c r="Q30" s="289"/>
      <c r="S30" s="3476"/>
      <c r="T30" s="3477"/>
      <c r="Y30" s="1807" t="s">
        <v>6660</v>
      </c>
      <c r="Z30" s="1773">
        <v>30</v>
      </c>
      <c r="AZ30" s="2782" t="s">
        <v>6661</v>
      </c>
    </row>
    <row r="31" spans="1:52" s="265" customFormat="1" ht="15.75" customHeight="1">
      <c r="A31" s="289"/>
      <c r="B31" s="2627" t="s">
        <v>231</v>
      </c>
      <c r="C31" s="2628"/>
      <c r="D31" s="3497"/>
      <c r="E31" s="3497"/>
      <c r="F31" s="3497"/>
      <c r="G31" s="3497"/>
      <c r="H31" s="3492"/>
      <c r="I31" s="3493"/>
      <c r="J31" s="3493"/>
      <c r="K31" s="3494"/>
      <c r="L31" s="3542"/>
      <c r="M31" s="3543"/>
      <c r="N31" s="289"/>
      <c r="S31" s="3476"/>
      <c r="T31" s="3477"/>
      <c r="Y31" s="1807" t="s">
        <v>6661</v>
      </c>
      <c r="Z31" s="1773">
        <v>31</v>
      </c>
      <c r="AZ31" s="2782" t="s">
        <v>6662</v>
      </c>
    </row>
    <row r="32" spans="1:52" s="265" customFormat="1" ht="15.75" customHeight="1">
      <c r="A32" s="289"/>
      <c r="B32" s="2630" t="s">
        <v>231</v>
      </c>
      <c r="C32" s="2631"/>
      <c r="D32" s="3480"/>
      <c r="E32" s="3480"/>
      <c r="F32" s="3480"/>
      <c r="G32" s="3480"/>
      <c r="H32" s="3481"/>
      <c r="I32" s="3482"/>
      <c r="J32" s="3482"/>
      <c r="K32" s="3483"/>
      <c r="L32" s="3546"/>
      <c r="M32" s="3547"/>
      <c r="N32" s="289"/>
      <c r="S32" s="3476"/>
      <c r="T32" s="3477"/>
      <c r="Y32" s="1807" t="s">
        <v>6662</v>
      </c>
      <c r="Z32" s="1773">
        <v>32</v>
      </c>
      <c r="AZ32" s="2782"/>
    </row>
    <row r="33" spans="1:52" s="265" customFormat="1" ht="16.5" customHeight="1">
      <c r="A33" s="289"/>
      <c r="B33" s="1662" t="s">
        <v>1250</v>
      </c>
      <c r="C33" s="289"/>
      <c r="D33" s="289"/>
      <c r="E33" s="289"/>
      <c r="F33" s="289"/>
      <c r="G33" s="289"/>
      <c r="H33" s="289"/>
      <c r="I33" s="289"/>
      <c r="L33" s="3548">
        <f>SUM(L22:L32)</f>
        <v>14274451.699999999</v>
      </c>
      <c r="M33" s="3549"/>
      <c r="N33" s="307"/>
      <c r="S33" s="3476"/>
      <c r="T33" s="3477"/>
      <c r="Y33" s="1807"/>
      <c r="Z33" s="1773">
        <v>33</v>
      </c>
      <c r="AZ33" s="2782"/>
    </row>
    <row r="34" spans="1:52" s="265" customFormat="1" ht="16.5" customHeight="1">
      <c r="A34" s="289"/>
      <c r="B34" s="2620" t="s">
        <v>1251</v>
      </c>
      <c r="C34" s="289"/>
      <c r="D34" s="289"/>
      <c r="E34" s="289"/>
      <c r="F34" s="289"/>
      <c r="G34" s="289"/>
      <c r="H34" s="289"/>
      <c r="I34" s="289"/>
      <c r="L34" s="3552">
        <f>L33</f>
        <v>14274451.699999999</v>
      </c>
      <c r="M34" s="3553"/>
      <c r="N34" s="752"/>
      <c r="S34" s="3476"/>
      <c r="T34" s="3477"/>
      <c r="Y34" s="1807"/>
      <c r="Z34" s="1773">
        <v>34</v>
      </c>
      <c r="AZ34" s="2782"/>
    </row>
    <row r="35" spans="1:52" s="265" customFormat="1" ht="16.5" customHeight="1">
      <c r="A35" s="289"/>
      <c r="B35" s="2621" t="s">
        <v>2062</v>
      </c>
      <c r="C35" s="289"/>
      <c r="D35" s="289"/>
      <c r="E35" s="289"/>
      <c r="F35" s="289"/>
      <c r="G35" s="289"/>
      <c r="H35" s="289"/>
      <c r="I35" s="289"/>
      <c r="L35" s="3550">
        <f>L33-L34</f>
        <v>0</v>
      </c>
      <c r="M35" s="3551"/>
      <c r="N35" s="752"/>
      <c r="S35" s="3478"/>
      <c r="T35" s="3479"/>
      <c r="Y35" s="1807"/>
      <c r="Z35" s="1773">
        <v>35</v>
      </c>
      <c r="AZ35" s="2786"/>
    </row>
    <row r="36" spans="1:52" ht="9.6" customHeight="1">
      <c r="A36" s="315"/>
      <c r="B36" s="1662"/>
      <c r="C36" s="307"/>
      <c r="D36" s="307"/>
      <c r="E36" s="307"/>
      <c r="F36" s="307"/>
      <c r="G36" s="307"/>
      <c r="H36" s="307"/>
      <c r="I36" s="307"/>
      <c r="J36" s="307"/>
      <c r="K36" s="307"/>
      <c r="L36" s="307"/>
      <c r="M36" s="2629"/>
      <c r="N36" s="2629"/>
      <c r="Z36" s="1773">
        <v>36</v>
      </c>
    </row>
    <row r="37" spans="1:52" ht="9.6" customHeight="1">
      <c r="A37" s="291" t="s">
        <v>712</v>
      </c>
      <c r="B37" s="1662" t="s">
        <v>767</v>
      </c>
      <c r="C37" s="307"/>
      <c r="D37" s="307"/>
      <c r="E37" s="307"/>
      <c r="F37" s="307"/>
      <c r="G37" s="307"/>
      <c r="H37" s="307"/>
      <c r="I37" s="307"/>
      <c r="J37" s="307"/>
      <c r="K37" s="307"/>
      <c r="L37" s="307"/>
      <c r="M37" s="2629"/>
      <c r="N37" s="2629"/>
      <c r="O37" s="307"/>
      <c r="S37" s="332" t="str">
        <f>B37</f>
        <v>PERMANENT FINANCING</v>
      </c>
      <c r="Z37" s="1773">
        <v>37</v>
      </c>
      <c r="AZ37" s="2782"/>
    </row>
    <row r="38" spans="1:52" s="265" customFormat="1" ht="13.35" customHeight="1">
      <c r="A38" s="289"/>
      <c r="B38" s="289"/>
      <c r="C38" s="289"/>
      <c r="D38" s="289"/>
      <c r="E38" s="289"/>
      <c r="F38" s="2629"/>
      <c r="G38" s="2629"/>
      <c r="H38" s="3528"/>
      <c r="I38" s="3528"/>
      <c r="K38" s="357" t="s">
        <v>2006</v>
      </c>
      <c r="L38" s="2629" t="s">
        <v>1247</v>
      </c>
      <c r="M38" s="2629" t="s">
        <v>1252</v>
      </c>
      <c r="P38" s="3529" t="s">
        <v>31</v>
      </c>
      <c r="Q38" s="3529"/>
      <c r="S38" s="332"/>
      <c r="Y38" s="1807"/>
      <c r="Z38" s="1773">
        <v>38</v>
      </c>
      <c r="AZ38" s="2782"/>
    </row>
    <row r="39" spans="1:52" s="265" customFormat="1" ht="13.35" customHeight="1">
      <c r="A39" s="289"/>
      <c r="B39" s="2624" t="s">
        <v>1783</v>
      </c>
      <c r="C39" s="2631"/>
      <c r="D39" s="2631"/>
      <c r="E39" s="3159" t="s">
        <v>1249</v>
      </c>
      <c r="F39" s="3159"/>
      <c r="G39" s="3159"/>
      <c r="H39" s="3159"/>
      <c r="I39" s="3342" t="s">
        <v>4021</v>
      </c>
      <c r="J39" s="3342"/>
      <c r="K39" s="2618" t="s">
        <v>1722</v>
      </c>
      <c r="L39" s="2618" t="s">
        <v>2112</v>
      </c>
      <c r="M39" s="2618" t="s">
        <v>2112</v>
      </c>
      <c r="N39" s="3342" t="s">
        <v>69</v>
      </c>
      <c r="O39" s="3342"/>
      <c r="P39" s="3233"/>
      <c r="Q39" s="3233"/>
      <c r="S39" s="3530" t="s">
        <v>2536</v>
      </c>
      <c r="T39" s="3530"/>
      <c r="Y39" s="1807"/>
      <c r="Z39" s="1773">
        <v>39</v>
      </c>
      <c r="AZ39" s="2782" t="s">
        <v>6663</v>
      </c>
    </row>
    <row r="40" spans="1:52" s="265" customFormat="1" ht="15.75" customHeight="1">
      <c r="A40" s="289"/>
      <c r="B40" s="3533" t="s">
        <v>2489</v>
      </c>
      <c r="C40" s="3534"/>
      <c r="D40" s="3534"/>
      <c r="E40" s="3507" t="s">
        <v>6946</v>
      </c>
      <c r="F40" s="3508"/>
      <c r="G40" s="3508"/>
      <c r="H40" s="3509"/>
      <c r="I40" s="3502">
        <v>2013092</v>
      </c>
      <c r="J40" s="3503"/>
      <c r="K40" s="2787">
        <v>5.2499999999999998E-2</v>
      </c>
      <c r="L40" s="2691">
        <v>35</v>
      </c>
      <c r="M40" s="2691">
        <v>35</v>
      </c>
      <c r="N40" s="3535" t="s">
        <v>6948</v>
      </c>
      <c r="O40" s="3535"/>
      <c r="P40" s="3501">
        <f>IF(OR(I40&lt;=0,I40=""),"",IF(N40="Cash Flow",0,IF(N40="Amortizing",-PMT(K40/12,M40*12,I40,0,0)*12,"")))</f>
        <v>125796.43867670429</v>
      </c>
      <c r="Q40" s="3501"/>
      <c r="S40" s="3519"/>
      <c r="T40" s="3520"/>
      <c r="Y40" s="1807" t="s">
        <v>6663</v>
      </c>
      <c r="Z40" s="1773">
        <v>40</v>
      </c>
      <c r="AZ40" s="2782" t="s">
        <v>6664</v>
      </c>
    </row>
    <row r="41" spans="1:52" s="265" customFormat="1" ht="15.75" customHeight="1">
      <c r="A41" s="289"/>
      <c r="B41" s="3521" t="s">
        <v>2490</v>
      </c>
      <c r="C41" s="3522"/>
      <c r="D41" s="3522"/>
      <c r="E41" s="3492"/>
      <c r="F41" s="3493"/>
      <c r="G41" s="3493"/>
      <c r="H41" s="3494"/>
      <c r="I41" s="3498"/>
      <c r="J41" s="3516"/>
      <c r="K41" s="2788"/>
      <c r="L41" s="2680"/>
      <c r="M41" s="2680"/>
      <c r="N41" s="3531"/>
      <c r="O41" s="3531"/>
      <c r="P41" s="3532" t="str">
        <f>IF(OR(I41&lt;=0,I41=""),"",IF(N41="Cash Flow",0,IF(N41="Amortizing",-PMT(K41/12,M41*12,I41,0,0)*12,"")))</f>
        <v/>
      </c>
      <c r="Q41" s="3532"/>
      <c r="S41" s="3476"/>
      <c r="T41" s="3477"/>
      <c r="Y41" s="1807" t="s">
        <v>6664</v>
      </c>
      <c r="Z41" s="1773">
        <v>41</v>
      </c>
      <c r="AZ41" s="2782" t="s">
        <v>6665</v>
      </c>
    </row>
    <row r="42" spans="1:52" s="265" customFormat="1" ht="15.75" customHeight="1">
      <c r="A42" s="289"/>
      <c r="B42" s="3521" t="s">
        <v>2491</v>
      </c>
      <c r="C42" s="3522"/>
      <c r="D42" s="3522"/>
      <c r="E42" s="3492"/>
      <c r="F42" s="3493"/>
      <c r="G42" s="3493"/>
      <c r="H42" s="3494"/>
      <c r="I42" s="3498"/>
      <c r="J42" s="3516"/>
      <c r="K42" s="2788"/>
      <c r="L42" s="2680"/>
      <c r="M42" s="2680"/>
      <c r="N42" s="3531"/>
      <c r="O42" s="3531"/>
      <c r="P42" s="3532" t="str">
        <f>IF(OR(I42&lt;=0,I42=""),"",IF(N42="Cash Flow",0,IF(N42="Amortizing",-PMT(K42/12,M42*12,I42,0,0)*12,"")))</f>
        <v/>
      </c>
      <c r="Q42" s="3532"/>
      <c r="S42" s="3476"/>
      <c r="T42" s="3477"/>
      <c r="Y42" s="1807" t="s">
        <v>6665</v>
      </c>
      <c r="Z42" s="1773">
        <v>42</v>
      </c>
      <c r="AZ42" s="2782" t="s">
        <v>6666</v>
      </c>
    </row>
    <row r="43" spans="1:52" s="265" customFormat="1" ht="15.75" customHeight="1">
      <c r="A43" s="289"/>
      <c r="B43" s="2627" t="s">
        <v>711</v>
      </c>
      <c r="C43" s="3512"/>
      <c r="D43" s="3513"/>
      <c r="E43" s="3492"/>
      <c r="F43" s="3493"/>
      <c r="G43" s="3493"/>
      <c r="H43" s="3494"/>
      <c r="I43" s="3495"/>
      <c r="J43" s="3496"/>
      <c r="K43" s="2789"/>
      <c r="L43" s="2693"/>
      <c r="M43" s="2693"/>
      <c r="N43" s="3515"/>
      <c r="O43" s="3515"/>
      <c r="P43" s="3514" t="str">
        <f>IF(OR(I43&lt;=0,I43=""),"",IF(N43="Cash Flow",0,IF(N43="Amortizing",-PMT(K43/12,M43*12,I43,0,0)*12,"")))</f>
        <v/>
      </c>
      <c r="Q43" s="3514"/>
      <c r="S43" s="3476"/>
      <c r="T43" s="3477"/>
      <c r="Y43" s="1807" t="s">
        <v>6666</v>
      </c>
      <c r="Z43" s="1773">
        <v>43</v>
      </c>
      <c r="AZ43" s="2782" t="s">
        <v>6667</v>
      </c>
    </row>
    <row r="44" spans="1:52" s="265" customFormat="1" ht="15.75" customHeight="1">
      <c r="A44" s="289"/>
      <c r="B44" s="2627" t="s">
        <v>4144</v>
      </c>
      <c r="C44" s="2628"/>
      <c r="D44" s="2633"/>
      <c r="E44" s="3492"/>
      <c r="F44" s="3493"/>
      <c r="G44" s="3493"/>
      <c r="H44" s="3494"/>
      <c r="I44" s="3498"/>
      <c r="J44" s="3516"/>
      <c r="K44" s="437"/>
      <c r="L44" s="2636"/>
      <c r="M44" s="2636"/>
      <c r="N44" s="3518"/>
      <c r="O44" s="3518"/>
      <c r="P44" s="3517"/>
      <c r="Q44" s="3517"/>
      <c r="S44" s="3476"/>
      <c r="T44" s="3477"/>
      <c r="Y44" s="1807" t="s">
        <v>6667</v>
      </c>
      <c r="Z44" s="1773">
        <v>44</v>
      </c>
      <c r="AZ44" s="2782" t="s">
        <v>6668</v>
      </c>
    </row>
    <row r="45" spans="1:52" s="265" customFormat="1" ht="15.75" customHeight="1">
      <c r="A45" s="289"/>
      <c r="B45" s="2630" t="s">
        <v>219</v>
      </c>
      <c r="C45" s="2631"/>
      <c r="D45" s="358">
        <f>IF(OR(I45="",I45=0,'Part IV-A-Uses of Funds'!$G$127="",'Part IV-A-Uses of Funds'!$G$127=0),"",I45/'Part IV-A-Uses of Funds'!$G$127)</f>
        <v>0.21139242857142818</v>
      </c>
      <c r="E45" s="3481"/>
      <c r="F45" s="3482"/>
      <c r="G45" s="3482"/>
      <c r="H45" s="3483"/>
      <c r="I45" s="3536">
        <v>355139.27999999933</v>
      </c>
      <c r="J45" s="3537"/>
      <c r="K45" s="2790">
        <v>0</v>
      </c>
      <c r="L45" s="2679">
        <v>15</v>
      </c>
      <c r="M45" s="2679">
        <v>15</v>
      </c>
      <c r="N45" s="3540" t="s">
        <v>1122</v>
      </c>
      <c r="O45" s="3541"/>
      <c r="P45" s="3538">
        <f>IF(OR(I45&lt;=0,I45=""),"",IF(N45="Cash Flow",0,IF(N45="Amortizing",-PMT(K45/12,M45*12,I45,0,0)*12,"")))</f>
        <v>0</v>
      </c>
      <c r="Q45" s="3539"/>
      <c r="S45" s="3476"/>
      <c r="T45" s="3477"/>
      <c r="Y45" s="1807" t="s">
        <v>6668</v>
      </c>
      <c r="Z45" s="1773">
        <v>45</v>
      </c>
      <c r="AZ45" s="2782"/>
    </row>
    <row r="46" spans="1:52" s="265" customFormat="1" ht="3" customHeight="1">
      <c r="A46" s="289"/>
      <c r="B46" s="289"/>
      <c r="C46" s="289"/>
      <c r="D46" s="289"/>
      <c r="E46" s="289"/>
      <c r="F46" s="289"/>
      <c r="G46" s="289"/>
      <c r="H46" s="289"/>
      <c r="I46" s="2791"/>
      <c r="J46" s="2792"/>
      <c r="K46" s="2793"/>
      <c r="L46" s="2629"/>
      <c r="M46" s="2629"/>
      <c r="N46" s="2794"/>
      <c r="O46" s="2794"/>
      <c r="P46" s="2629"/>
      <c r="Q46" s="2629"/>
      <c r="S46" s="3476"/>
      <c r="T46" s="3477"/>
      <c r="Y46" s="1807"/>
      <c r="Z46" s="1773">
        <v>46</v>
      </c>
      <c r="AZ46" s="2782"/>
    </row>
    <row r="47" spans="1:52" s="265" customFormat="1" ht="14.25" customHeight="1">
      <c r="A47" s="289"/>
      <c r="B47" s="926" t="s">
        <v>3557</v>
      </c>
      <c r="C47" s="2628"/>
      <c r="E47" s="265" t="s">
        <v>3510</v>
      </c>
      <c r="F47" s="3470">
        <f>IF(OR($I$45="",$I$45=0,'Part VII-Pro Forma'!$S$35=0,'Part VII-Pro Forma'!$S$35=""),"",VLOOKUP($L$45,'Part VII-Pro Forma'!$Q$21:$S$40,3))</f>
        <v>616130.23032215552</v>
      </c>
      <c r="G47" s="3471"/>
      <c r="H47" s="552" t="s">
        <v>3556</v>
      </c>
      <c r="I47" s="3470">
        <f>IF(OR($I$45="",$I$45=0,'Part VII-Pro Forma'!$R$35=0,'Part VII-Pro Forma'!$R$35=""),"",VLOOKUP($L$45,'Part VII-Pro Forma'!$Q$21:$S$35,2))</f>
        <v>355139.27999999939</v>
      </c>
      <c r="J47" s="3471"/>
      <c r="K47" s="552" t="s">
        <v>3558</v>
      </c>
      <c r="L47" s="3499">
        <f>IF(OR($F$47 = 0,$F$47 =""),"",$I$47/$F$47)</f>
        <v>0.57640294619906574</v>
      </c>
      <c r="M47" s="3500"/>
      <c r="N47" s="3474" t="s">
        <v>4028</v>
      </c>
      <c r="O47" s="3475"/>
      <c r="P47" s="3472">
        <f>IF(OR($I$62=0,$I$60&gt;$I$61),0,ABS($I$60-$I$61))</f>
        <v>0</v>
      </c>
      <c r="Q47" s="3473"/>
      <c r="S47" s="3476"/>
      <c r="T47" s="3477"/>
      <c r="Y47" s="1807"/>
      <c r="Z47" s="1773">
        <v>47</v>
      </c>
      <c r="AZ47" s="2782"/>
    </row>
    <row r="48" spans="1:52" s="265" customFormat="1" ht="3" customHeight="1">
      <c r="A48" s="289"/>
      <c r="B48" s="289"/>
      <c r="C48" s="289"/>
      <c r="D48" s="289"/>
      <c r="E48" s="289"/>
      <c r="F48" s="289"/>
      <c r="G48" s="289"/>
      <c r="H48" s="289"/>
      <c r="I48" s="2795"/>
      <c r="J48" s="2796"/>
      <c r="K48" s="2793"/>
      <c r="L48" s="2629"/>
      <c r="M48" s="2629"/>
      <c r="N48" s="2794"/>
      <c r="O48" s="2794"/>
      <c r="P48" s="2629"/>
      <c r="Q48" s="2629"/>
      <c r="S48" s="3478"/>
      <c r="T48" s="3479"/>
      <c r="Y48" s="1807"/>
      <c r="Z48" s="1773">
        <v>48</v>
      </c>
      <c r="AZ48" s="2782" t="s">
        <v>6669</v>
      </c>
    </row>
    <row r="49" spans="1:52" s="265" customFormat="1" ht="15.75" customHeight="1">
      <c r="A49" s="289"/>
      <c r="B49" s="3504" t="s">
        <v>2113</v>
      </c>
      <c r="C49" s="3505"/>
      <c r="D49" s="3506"/>
      <c r="E49" s="3507"/>
      <c r="F49" s="3508"/>
      <c r="G49" s="3508"/>
      <c r="H49" s="3509"/>
      <c r="I49" s="3510"/>
      <c r="J49" s="3511"/>
      <c r="K49" s="359"/>
      <c r="L49" s="359"/>
      <c r="M49" s="359"/>
      <c r="N49" s="359"/>
      <c r="O49" s="359"/>
      <c r="P49" s="389" t="s">
        <v>491</v>
      </c>
      <c r="Q49" s="359"/>
      <c r="S49" s="3519"/>
      <c r="T49" s="3520"/>
      <c r="Y49" s="1807" t="s">
        <v>6669</v>
      </c>
      <c r="Z49" s="1773">
        <v>49</v>
      </c>
      <c r="AZ49" s="2782" t="s">
        <v>6670</v>
      </c>
    </row>
    <row r="50" spans="1:52" s="265" customFormat="1" ht="15.75" customHeight="1">
      <c r="A50" s="289"/>
      <c r="B50" s="3521" t="s">
        <v>768</v>
      </c>
      <c r="C50" s="3522"/>
      <c r="D50" s="3523"/>
      <c r="E50" s="3492"/>
      <c r="F50" s="3493"/>
      <c r="G50" s="3493"/>
      <c r="H50" s="3494"/>
      <c r="I50" s="3498"/>
      <c r="J50" s="3516"/>
      <c r="L50" s="3524" t="s">
        <v>492</v>
      </c>
      <c r="M50" s="3524"/>
      <c r="N50" s="3525" t="s">
        <v>493</v>
      </c>
      <c r="O50" s="3525"/>
      <c r="P50" s="390" t="s">
        <v>2440</v>
      </c>
      <c r="Q50" s="359"/>
      <c r="S50" s="3476"/>
      <c r="T50" s="3477"/>
      <c r="Y50" s="1807" t="s">
        <v>6670</v>
      </c>
      <c r="Z50" s="1773">
        <v>50</v>
      </c>
      <c r="AZ50" s="2782" t="s">
        <v>6671</v>
      </c>
    </row>
    <row r="51" spans="1:52" s="265" customFormat="1" ht="15.75" customHeight="1">
      <c r="A51" s="289"/>
      <c r="B51" s="3521" t="s">
        <v>769</v>
      </c>
      <c r="C51" s="3522"/>
      <c r="D51" s="3523"/>
      <c r="E51" s="3492" t="s">
        <v>6945</v>
      </c>
      <c r="F51" s="3493"/>
      <c r="G51" s="3493"/>
      <c r="H51" s="3494"/>
      <c r="I51" s="3495">
        <v>7572735</v>
      </c>
      <c r="J51" s="3496"/>
      <c r="L51" s="3526">
        <f>'Part IV-A-Uses of Funds'!$J$197*10*'Part IV-A-Uses of Funds'!$N$188</f>
        <v>7650000</v>
      </c>
      <c r="M51" s="3526"/>
      <c r="N51" s="3527">
        <f>I51-L51</f>
        <v>-77265</v>
      </c>
      <c r="O51" s="3527"/>
      <c r="P51" s="391">
        <f>I51/I61</f>
        <v>0.49695629767341348</v>
      </c>
      <c r="Q51" s="359"/>
      <c r="S51" s="3476"/>
      <c r="T51" s="3477"/>
      <c r="Y51" s="1807" t="s">
        <v>6671</v>
      </c>
      <c r="Z51" s="1773">
        <v>51</v>
      </c>
      <c r="AZ51" s="2782" t="s">
        <v>6672</v>
      </c>
    </row>
    <row r="52" spans="1:52" s="265" customFormat="1" ht="15.75" customHeight="1">
      <c r="A52" s="289"/>
      <c r="B52" s="3521" t="s">
        <v>770</v>
      </c>
      <c r="C52" s="3522"/>
      <c r="D52" s="3523"/>
      <c r="E52" s="3492" t="s">
        <v>6945</v>
      </c>
      <c r="F52" s="3493"/>
      <c r="G52" s="3493"/>
      <c r="H52" s="3494"/>
      <c r="I52" s="3495">
        <v>5295977.9999999991</v>
      </c>
      <c r="J52" s="3496"/>
      <c r="L52" s="3526">
        <f>'Part IV-A-Uses of Funds'!$J$197*10*'Part IV-A-Uses of Funds'!$Q$188</f>
        <v>5220000</v>
      </c>
      <c r="M52" s="3526"/>
      <c r="N52" s="3527">
        <f>I52-L52</f>
        <v>75977.999999999069</v>
      </c>
      <c r="O52" s="3527"/>
      <c r="P52" s="391">
        <f>I52/I61</f>
        <v>0.3475454534510779</v>
      </c>
      <c r="Q52" s="359"/>
      <c r="S52" s="3476"/>
      <c r="T52" s="3477"/>
      <c r="Y52" s="1807" t="s">
        <v>6672</v>
      </c>
      <c r="Z52" s="1773">
        <v>52</v>
      </c>
      <c r="AZ52" s="2782" t="s">
        <v>6673</v>
      </c>
    </row>
    <row r="53" spans="1:52" s="265" customFormat="1" ht="15.75" customHeight="1">
      <c r="A53" s="289"/>
      <c r="B53" s="3521" t="s">
        <v>1360</v>
      </c>
      <c r="C53" s="3522"/>
      <c r="D53" s="3523"/>
      <c r="E53" s="3492"/>
      <c r="F53" s="3493"/>
      <c r="G53" s="3493"/>
      <c r="H53" s="3494"/>
      <c r="I53" s="3495"/>
      <c r="J53" s="3496"/>
      <c r="P53" s="392">
        <f>SUM(P51:P52)</f>
        <v>0.84450175112449144</v>
      </c>
      <c r="Q53" s="359"/>
      <c r="S53" s="3478"/>
      <c r="T53" s="3479"/>
      <c r="Y53" s="1807" t="s">
        <v>6673</v>
      </c>
      <c r="Z53" s="1773">
        <v>53</v>
      </c>
      <c r="AZ53" s="2782"/>
    </row>
    <row r="54" spans="1:52" s="265" customFormat="1" ht="15.75" customHeight="1">
      <c r="A54" s="289"/>
      <c r="B54" s="2627" t="s">
        <v>506</v>
      </c>
      <c r="C54" s="2628"/>
      <c r="D54" s="2633"/>
      <c r="E54" s="3492"/>
      <c r="F54" s="3493"/>
      <c r="G54" s="3493"/>
      <c r="H54" s="3494"/>
      <c r="I54" s="3495"/>
      <c r="J54" s="3496"/>
      <c r="K54" s="289"/>
      <c r="Q54" s="359"/>
      <c r="S54" s="3476"/>
      <c r="T54" s="3477"/>
      <c r="Y54" s="1807"/>
      <c r="Z54" s="1773">
        <v>54</v>
      </c>
      <c r="AZ54" s="2782"/>
    </row>
    <row r="55" spans="1:52" s="265" customFormat="1" ht="15.75" customHeight="1">
      <c r="A55" s="289"/>
      <c r="B55" s="2627" t="s">
        <v>1781</v>
      </c>
      <c r="C55" s="2628"/>
      <c r="D55" s="2633"/>
      <c r="E55" s="3492"/>
      <c r="F55" s="3493"/>
      <c r="G55" s="3493"/>
      <c r="H55" s="3494"/>
      <c r="I55" s="3495"/>
      <c r="J55" s="3496"/>
      <c r="N55" s="360"/>
      <c r="O55" s="360"/>
      <c r="P55" s="360"/>
      <c r="Q55" s="359"/>
      <c r="S55" s="3476"/>
      <c r="T55" s="3477"/>
      <c r="Y55" s="1807"/>
      <c r="Z55" s="1773">
        <v>55</v>
      </c>
      <c r="AZ55" s="2782"/>
    </row>
    <row r="56" spans="1:52" s="265" customFormat="1" ht="15.75" customHeight="1">
      <c r="A56" s="289"/>
      <c r="B56" s="2627" t="s">
        <v>1782</v>
      </c>
      <c r="C56" s="2628"/>
      <c r="D56" s="2633"/>
      <c r="E56" s="3492"/>
      <c r="F56" s="3493"/>
      <c r="G56" s="3493"/>
      <c r="H56" s="3494"/>
      <c r="I56" s="3495"/>
      <c r="J56" s="3496"/>
      <c r="M56" s="360"/>
      <c r="N56" s="360"/>
      <c r="O56" s="360"/>
      <c r="P56" s="360"/>
      <c r="Q56" s="359"/>
      <c r="S56" s="3476"/>
      <c r="T56" s="3477"/>
      <c r="Y56" s="1807"/>
      <c r="Z56" s="1773">
        <v>56</v>
      </c>
      <c r="AZ56" s="2782" t="s">
        <v>6674</v>
      </c>
    </row>
    <row r="57" spans="1:52" s="265" customFormat="1" ht="15.75" customHeight="1">
      <c r="A57" s="289"/>
      <c r="B57" s="2627" t="s">
        <v>711</v>
      </c>
      <c r="C57" s="3491"/>
      <c r="D57" s="3491"/>
      <c r="E57" s="3492" t="s">
        <v>7026</v>
      </c>
      <c r="F57" s="3493"/>
      <c r="G57" s="3493"/>
      <c r="H57" s="3494"/>
      <c r="I57" s="3495">
        <v>1287</v>
      </c>
      <c r="J57" s="3496"/>
      <c r="M57" s="360"/>
      <c r="N57" s="360"/>
      <c r="O57" s="360"/>
      <c r="P57" s="360"/>
      <c r="Q57" s="359"/>
      <c r="S57" s="3476"/>
      <c r="T57" s="3477"/>
      <c r="Y57" s="1807" t="s">
        <v>6674</v>
      </c>
      <c r="Z57" s="1773">
        <v>57</v>
      </c>
      <c r="AZ57" s="2782" t="s">
        <v>6675</v>
      </c>
    </row>
    <row r="58" spans="1:52" s="265" customFormat="1" ht="15.75" customHeight="1">
      <c r="A58" s="289"/>
      <c r="B58" s="2627" t="s">
        <v>711</v>
      </c>
      <c r="C58" s="3497"/>
      <c r="D58" s="3497"/>
      <c r="E58" s="3492"/>
      <c r="F58" s="3493"/>
      <c r="G58" s="3493"/>
      <c r="H58" s="3494"/>
      <c r="I58" s="3498"/>
      <c r="J58" s="3498"/>
      <c r="K58" s="289"/>
      <c r="L58" s="361"/>
      <c r="M58" s="360"/>
      <c r="N58" s="360"/>
      <c r="O58" s="360"/>
      <c r="P58" s="360"/>
      <c r="Q58" s="359"/>
      <c r="S58" s="3476"/>
      <c r="T58" s="3477"/>
      <c r="Y58" s="1807" t="s">
        <v>6675</v>
      </c>
      <c r="Z58" s="1773">
        <v>58</v>
      </c>
      <c r="AZ58" s="2782" t="s">
        <v>6676</v>
      </c>
    </row>
    <row r="59" spans="1:52" s="265" customFormat="1" ht="15.75" customHeight="1">
      <c r="A59" s="289"/>
      <c r="B59" s="2630" t="s">
        <v>711</v>
      </c>
      <c r="C59" s="3480"/>
      <c r="D59" s="3480"/>
      <c r="E59" s="3481"/>
      <c r="F59" s="3482"/>
      <c r="G59" s="3482"/>
      <c r="H59" s="3483"/>
      <c r="I59" s="3484"/>
      <c r="J59" s="3484"/>
      <c r="K59" s="289"/>
      <c r="L59" s="361"/>
      <c r="M59" s="360"/>
      <c r="N59" s="360"/>
      <c r="O59" s="360"/>
      <c r="P59" s="360"/>
      <c r="Q59" s="359"/>
      <c r="S59" s="3476"/>
      <c r="T59" s="3477"/>
      <c r="Y59" s="1807" t="s">
        <v>6676</v>
      </c>
      <c r="Z59" s="1773">
        <v>59</v>
      </c>
      <c r="AZ59" s="2782"/>
    </row>
    <row r="60" spans="1:52" s="265" customFormat="1" ht="14.25" customHeight="1">
      <c r="A60" s="289"/>
      <c r="B60" s="2620" t="s">
        <v>2114</v>
      </c>
      <c r="C60" s="289"/>
      <c r="D60" s="289"/>
      <c r="E60" s="289"/>
      <c r="F60" s="289"/>
      <c r="G60" s="289"/>
      <c r="I60" s="3485">
        <f>SUM(I40:J45)+SUM(I49:J59)</f>
        <v>15238231.279999999</v>
      </c>
      <c r="J60" s="3486"/>
      <c r="K60" s="289"/>
      <c r="L60" s="361"/>
      <c r="M60" s="360"/>
      <c r="N60" s="360"/>
      <c r="O60" s="360"/>
      <c r="P60" s="360"/>
      <c r="Q60" s="359"/>
      <c r="S60" s="3476"/>
      <c r="T60" s="3477"/>
      <c r="Y60" s="1807"/>
      <c r="Z60" s="1773">
        <v>60</v>
      </c>
      <c r="AZ60" s="2782"/>
    </row>
    <row r="61" spans="1:52" s="265" customFormat="1" ht="14.25" customHeight="1" thickBot="1">
      <c r="A61" s="289"/>
      <c r="B61" s="2620" t="s">
        <v>2115</v>
      </c>
      <c r="C61" s="289"/>
      <c r="D61" s="289"/>
      <c r="E61" s="289"/>
      <c r="F61" s="289"/>
      <c r="G61" s="289"/>
      <c r="I61" s="3487">
        <f>'Part IV-A-Uses of Funds'!$G$146</f>
        <v>15238231.279999999</v>
      </c>
      <c r="J61" s="3488"/>
      <c r="K61" s="289"/>
      <c r="L61" s="361"/>
      <c r="M61" s="360"/>
      <c r="N61" s="360"/>
      <c r="O61" s="360"/>
      <c r="P61" s="360"/>
      <c r="Q61" s="359"/>
      <c r="S61" s="3476"/>
      <c r="T61" s="3477"/>
      <c r="Y61" s="1807"/>
      <c r="Z61" s="1773">
        <v>61</v>
      </c>
      <c r="AZ61" s="2782"/>
    </row>
    <row r="62" spans="1:52" s="265" customFormat="1" ht="14.25" customHeight="1" thickBot="1">
      <c r="A62" s="289"/>
      <c r="B62" s="2621" t="s">
        <v>1464</v>
      </c>
      <c r="C62" s="289"/>
      <c r="D62" s="289"/>
      <c r="E62" s="289"/>
      <c r="F62" s="289"/>
      <c r="G62" s="289"/>
      <c r="I62" s="3489">
        <f>I60-I61</f>
        <v>0</v>
      </c>
      <c r="J62" s="3490"/>
      <c r="K62" s="289"/>
      <c r="L62" s="361"/>
      <c r="M62" s="360"/>
      <c r="N62" s="360"/>
      <c r="O62" s="360"/>
      <c r="P62" s="360"/>
      <c r="Q62" s="359"/>
      <c r="S62" s="3478"/>
      <c r="T62" s="3479"/>
      <c r="Y62" s="1807"/>
      <c r="Z62" s="1773">
        <v>62</v>
      </c>
      <c r="AZ62" s="2782"/>
    </row>
    <row r="63" spans="1:52" s="265" customFormat="1" ht="13.35" customHeight="1">
      <c r="A63" s="289" t="s">
        <v>4145</v>
      </c>
      <c r="B63" s="2621"/>
      <c r="C63" s="289"/>
      <c r="D63" s="289"/>
      <c r="E63" s="289"/>
      <c r="F63" s="289"/>
      <c r="G63" s="289"/>
      <c r="H63" s="354"/>
      <c r="I63" s="354"/>
      <c r="J63" s="307"/>
      <c r="K63" s="289"/>
      <c r="L63" s="361"/>
      <c r="M63" s="360"/>
      <c r="N63" s="360"/>
      <c r="O63" s="360"/>
      <c r="P63" s="360"/>
      <c r="Q63" s="359"/>
      <c r="R63" s="359"/>
      <c r="S63" s="359"/>
      <c r="T63" s="359"/>
      <c r="Y63" s="1807"/>
      <c r="Z63" s="1773">
        <v>63</v>
      </c>
      <c r="AZ63" s="2786"/>
    </row>
    <row r="64" spans="1:52" ht="6" customHeight="1">
      <c r="A64" s="307"/>
      <c r="B64" s="307"/>
      <c r="C64" s="307"/>
      <c r="D64" s="307"/>
      <c r="E64" s="307"/>
      <c r="F64" s="307"/>
      <c r="G64" s="307"/>
      <c r="H64" s="307"/>
      <c r="I64" s="307"/>
      <c r="J64" s="307"/>
      <c r="K64" s="307"/>
      <c r="L64" s="307"/>
      <c r="M64" s="307"/>
      <c r="N64" s="307"/>
      <c r="O64" s="307"/>
      <c r="P64" s="307"/>
      <c r="Q64" s="307"/>
      <c r="Z64" s="1773">
        <v>64</v>
      </c>
    </row>
    <row r="65" spans="1:52" ht="12" customHeight="1">
      <c r="A65" s="291" t="s">
        <v>1711</v>
      </c>
      <c r="B65" s="291" t="s">
        <v>543</v>
      </c>
      <c r="C65" s="307"/>
      <c r="D65" s="307"/>
      <c r="E65" s="307"/>
      <c r="F65" s="307"/>
      <c r="G65" s="307"/>
      <c r="H65" s="307"/>
      <c r="I65" s="307"/>
      <c r="J65" s="307"/>
      <c r="M65" s="291" t="s">
        <v>1711</v>
      </c>
      <c r="N65" s="291" t="s">
        <v>74</v>
      </c>
      <c r="O65" s="307"/>
      <c r="P65" s="307"/>
      <c r="Q65" s="307"/>
      <c r="Z65" s="1773">
        <v>65</v>
      </c>
      <c r="AZ65" s="2797"/>
    </row>
    <row r="66" spans="1:52" ht="111.75" customHeight="1">
      <c r="A66" s="3469" t="s">
        <v>7017</v>
      </c>
      <c r="B66" s="3469"/>
      <c r="C66" s="3469"/>
      <c r="D66" s="3469"/>
      <c r="E66" s="3469"/>
      <c r="F66" s="3469"/>
      <c r="G66" s="3469"/>
      <c r="H66" s="3469"/>
      <c r="I66" s="3469"/>
      <c r="J66" s="3469"/>
      <c r="K66" s="3469"/>
      <c r="L66" s="3469"/>
      <c r="M66" s="3468"/>
      <c r="N66" s="3468"/>
      <c r="O66" s="3468"/>
      <c r="P66" s="3468"/>
      <c r="Q66" s="3468"/>
      <c r="S66" s="3467" t="s">
        <v>2541</v>
      </c>
      <c r="T66" s="3467"/>
      <c r="U66" s="446"/>
      <c r="V66" s="446"/>
      <c r="W66" s="446"/>
      <c r="Y66" s="2798"/>
      <c r="Z66" s="1773">
        <v>66</v>
      </c>
      <c r="AZ66" s="2797"/>
    </row>
    <row r="67" spans="1:52" ht="11.25" customHeight="1">
      <c r="S67" s="446"/>
      <c r="T67" s="446"/>
      <c r="U67" s="446"/>
      <c r="V67" s="446"/>
      <c r="W67" s="446"/>
      <c r="Y67" s="2798"/>
    </row>
    <row r="68" spans="1:52" ht="12" customHeight="1"/>
    <row r="69" spans="1:52" ht="12" customHeight="1">
      <c r="B69" s="334"/>
    </row>
    <row r="70" spans="1:52" ht="14.45" customHeight="1">
      <c r="AZ70" s="2782"/>
    </row>
    <row r="71" spans="1:52" s="265" customFormat="1" ht="14.45" customHeight="1">
      <c r="Y71" s="1807"/>
      <c r="Z71" s="1807"/>
      <c r="AZ71" s="2782"/>
    </row>
    <row r="72" spans="1:52" s="265" customFormat="1" ht="14.45" customHeight="1">
      <c r="Y72" s="1807"/>
      <c r="Z72" s="1807"/>
      <c r="AZ72" s="2782"/>
    </row>
    <row r="73" spans="1:52" s="265" customFormat="1" ht="14.45" customHeight="1">
      <c r="Y73" s="1807"/>
      <c r="Z73" s="1807"/>
      <c r="AZ73" s="2786"/>
    </row>
    <row r="74" spans="1:52" ht="14.45" customHeight="1">
      <c r="AZ74" s="2782"/>
    </row>
    <row r="75" spans="1:52" s="265" customFormat="1" ht="14.45" customHeight="1">
      <c r="A75" s="335"/>
      <c r="Y75" s="1807"/>
      <c r="Z75" s="1807"/>
      <c r="AZ75" s="2782"/>
    </row>
    <row r="76" spans="1:52" s="265" customFormat="1" ht="14.45" customHeight="1">
      <c r="A76" s="335"/>
      <c r="Y76" s="1807"/>
      <c r="Z76" s="1807"/>
      <c r="AZ76" s="2782"/>
    </row>
    <row r="77" spans="1:52" s="265" customFormat="1" ht="14.45" customHeight="1">
      <c r="Y77" s="1807"/>
      <c r="Z77" s="1807"/>
      <c r="AZ77" s="2782"/>
    </row>
    <row r="78" spans="1:52" s="265" customFormat="1" ht="14.45" customHeight="1">
      <c r="A78" s="335"/>
      <c r="Y78" s="1807"/>
      <c r="Z78" s="1807"/>
      <c r="AZ78" s="2782"/>
    </row>
    <row r="79" spans="1:52" s="265" customFormat="1" ht="14.45" customHeight="1">
      <c r="A79" s="333"/>
      <c r="Y79" s="1807"/>
      <c r="Z79" s="1807"/>
      <c r="AZ79" s="2782"/>
    </row>
    <row r="80" spans="1:52" s="265" customFormat="1" ht="14.45" customHeight="1">
      <c r="A80" s="333"/>
      <c r="Y80" s="1807"/>
      <c r="Z80" s="1807"/>
      <c r="AZ80" s="2782"/>
    </row>
    <row r="81" spans="1:52" s="265" customFormat="1" ht="14.45" customHeight="1">
      <c r="A81" s="336"/>
      <c r="Y81" s="1807"/>
      <c r="Z81" s="1807"/>
      <c r="AZ81" s="2782"/>
    </row>
    <row r="82" spans="1:52" s="265" customFormat="1" ht="14.45" customHeight="1">
      <c r="A82" s="335"/>
      <c r="Y82" s="1807"/>
      <c r="Z82" s="1807"/>
      <c r="AZ82" s="2782"/>
    </row>
    <row r="83" spans="1:52" s="265" customFormat="1" ht="14.45" customHeight="1">
      <c r="A83" s="333"/>
      <c r="Y83" s="1807"/>
      <c r="Z83" s="1807"/>
      <c r="AZ83" s="2782"/>
    </row>
    <row r="84" spans="1:52" s="265" customFormat="1" ht="14.45" customHeight="1">
      <c r="A84" s="333"/>
      <c r="Y84" s="1807"/>
      <c r="Z84" s="1807"/>
      <c r="AZ84" s="2782"/>
    </row>
    <row r="85" spans="1:52" s="265" customFormat="1" ht="14.45" customHeight="1">
      <c r="A85" s="336"/>
      <c r="Y85" s="1807"/>
      <c r="Z85" s="1807"/>
      <c r="AZ85" s="2782"/>
    </row>
    <row r="86" spans="1:52" s="265" customFormat="1" ht="14.45" customHeight="1">
      <c r="A86" s="335"/>
      <c r="Y86" s="1807"/>
      <c r="Z86" s="1807"/>
      <c r="AZ86" s="2782"/>
    </row>
    <row r="87" spans="1:52" s="265" customFormat="1" ht="14.45" customHeight="1">
      <c r="A87" s="333"/>
      <c r="Y87" s="1807"/>
      <c r="Z87" s="1807"/>
      <c r="AZ87" s="2782"/>
    </row>
    <row r="88" spans="1:52" s="265" customFormat="1" ht="14.45" customHeight="1">
      <c r="A88" s="333"/>
      <c r="Y88" s="1807"/>
      <c r="Z88" s="1807"/>
      <c r="AZ88" s="2782"/>
    </row>
    <row r="89" spans="1:52" s="265" customFormat="1" ht="14.45" customHeight="1">
      <c r="A89" s="336"/>
      <c r="Y89" s="1807"/>
      <c r="Z89" s="1807"/>
      <c r="AZ89" s="2782"/>
    </row>
    <row r="90" spans="1:52" s="265" customFormat="1" ht="14.45" customHeight="1">
      <c r="A90" s="336"/>
      <c r="Y90" s="1807"/>
      <c r="Z90" s="1807"/>
      <c r="AZ90" s="2782"/>
    </row>
    <row r="91" spans="1:52" s="265" customFormat="1" ht="14.45" customHeight="1">
      <c r="A91" s="336"/>
      <c r="Y91" s="1807"/>
      <c r="Z91" s="1807"/>
      <c r="AZ91" s="2782"/>
    </row>
    <row r="92" spans="1:52" s="265" customFormat="1" ht="14.45" customHeight="1">
      <c r="A92" s="336"/>
      <c r="Y92" s="1807"/>
      <c r="Z92" s="1807"/>
      <c r="AZ92" s="2782"/>
    </row>
    <row r="93" spans="1:52" s="265" customFormat="1" ht="14.45" customHeight="1">
      <c r="Y93" s="1807"/>
      <c r="Z93" s="1807"/>
      <c r="AZ93" s="2782"/>
    </row>
    <row r="94" spans="1:52" s="265" customFormat="1" ht="14.45" customHeight="1">
      <c r="Y94" s="1807"/>
      <c r="Z94" s="1807"/>
      <c r="AZ94" s="2786"/>
    </row>
    <row r="95" spans="1:52" ht="14.45" customHeight="1"/>
    <row r="96" spans="1:52" ht="14.45" customHeight="1"/>
    <row r="97" spans="11:14" ht="14.45" customHeight="1"/>
    <row r="98" spans="11:14" ht="14.45" customHeight="1"/>
    <row r="99" spans="11:14" ht="14.45" customHeight="1"/>
    <row r="100" spans="11:14" ht="14.45" customHeight="1"/>
    <row r="101" spans="11:14" ht="14.45" customHeight="1">
      <c r="K101" s="289"/>
      <c r="L101" s="265"/>
      <c r="M101" s="265"/>
      <c r="N101" s="265"/>
    </row>
    <row r="102" spans="11:14" ht="14.45" customHeight="1"/>
    <row r="103" spans="11:14" ht="14.45" customHeight="1"/>
    <row r="104" spans="11:14" ht="14.45" customHeight="1"/>
    <row r="105" spans="11:14" ht="14.45" customHeight="1"/>
    <row r="106" spans="11:14" ht="14.45" customHeight="1"/>
    <row r="107" spans="11:14" ht="14.45" customHeight="1"/>
    <row r="108" spans="11:14" ht="14.45" customHeight="1"/>
    <row r="109" spans="11:14" ht="14.45" customHeight="1"/>
  </sheetData>
  <sheetProtection algorithmName="SHA-512" hashValue="hRivmEhHcypoGyq0KOHDfvslc9lombjnv6cuP6ORiunGQhPGMb/qtVcO0S0DRf9qcYfi+5iK8IpWBK8ln6fnUQ==" saltValue="IuyHG/8ufb8Ix63/BbMbww==" spinCount="100000" sheet="1" objects="1" scenarios="1" selectLockedCells="1" selectUnlockedCells="1"/>
  <mergeCells count="156">
    <mergeCell ref="I16:J16"/>
    <mergeCell ref="N19:O19"/>
    <mergeCell ref="H21:K21"/>
    <mergeCell ref="L21:M21"/>
    <mergeCell ref="N21:O21"/>
    <mergeCell ref="P21:Q21"/>
    <mergeCell ref="H24:K24"/>
    <mergeCell ref="L24:M24"/>
    <mergeCell ref="N24:O24"/>
    <mergeCell ref="P24:Q24"/>
    <mergeCell ref="A2:Q2"/>
    <mergeCell ref="S2:T2"/>
    <mergeCell ref="S5:T5"/>
    <mergeCell ref="S6:T9"/>
    <mergeCell ref="S10:T14"/>
    <mergeCell ref="H13:J13"/>
    <mergeCell ref="I6:J6"/>
    <mergeCell ref="I7:J7"/>
    <mergeCell ref="F11:J11"/>
    <mergeCell ref="F9:J9"/>
    <mergeCell ref="F10:J10"/>
    <mergeCell ref="L4:P4"/>
    <mergeCell ref="H8:J8"/>
    <mergeCell ref="F12:J12"/>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5:M35"/>
    <mergeCell ref="B29:D29"/>
    <mergeCell ref="H29:K29"/>
    <mergeCell ref="L29:M29"/>
    <mergeCell ref="L34:M34"/>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E55:H55"/>
    <mergeCell ref="I55:J55"/>
    <mergeCell ref="E56:H56"/>
    <mergeCell ref="I56:J56"/>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 ref="L47:M47"/>
    <mergeCell ref="F47:G47"/>
    <mergeCell ref="E54:H54"/>
    <mergeCell ref="I54:J54"/>
  </mergeCells>
  <conditionalFormatting sqref="B40:D42">
    <cfRule type="cellIs" dxfId="95" priority="6" stopIfTrue="1" operator="equal">
      <formula>"Make a selection FIRST --&gt;"</formula>
    </cfRule>
  </conditionalFormatting>
  <conditionalFormatting sqref="J48">
    <cfRule type="cellIs" dxfId="94" priority="5" operator="equal">
      <formula>"No"</formula>
    </cfRule>
  </conditionalFormatting>
  <conditionalFormatting sqref="J46">
    <cfRule type="cellIs" dxfId="93" priority="4" operator="equal">
      <formula>"No"</formula>
    </cfRule>
  </conditionalFormatting>
  <conditionalFormatting sqref="D45">
    <cfRule type="cellIs" dxfId="92" priority="3" operator="greaterThan">
      <formula>50.000001%</formula>
    </cfRule>
  </conditionalFormatting>
  <conditionalFormatting sqref="P47:Q47">
    <cfRule type="cellIs" dxfId="91"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2021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27" customWidth="1"/>
    <col min="2" max="5" width="16.85546875" style="27" customWidth="1"/>
    <col min="6" max="6" width="4.85546875" style="27" bestFit="1" customWidth="1"/>
    <col min="7" max="7" width="11.140625" style="27" customWidth="1"/>
    <col min="8" max="8" width="12.140625" style="27" bestFit="1" customWidth="1"/>
    <col min="9" max="9" width="12.42578125" style="27" bestFit="1" customWidth="1"/>
    <col min="10" max="10" width="11.85546875" style="27" bestFit="1" customWidth="1"/>
    <col min="11" max="11" width="15.140625" style="27" bestFit="1" customWidth="1"/>
    <col min="12" max="16384" width="8.85546875" style="27"/>
  </cols>
  <sheetData>
    <row r="1" spans="1:17" s="162" customFormat="1" ht="16.350000000000001" customHeight="1">
      <c r="A1" s="3592" t="e">
        <f>CONCATENATE("PART III B: USD 538 LOAN","  -  ",#REF!," ",#REF!,", ",#REF!,", ",#REF!," County")</f>
        <v>#REF!</v>
      </c>
      <c r="B1" s="3593"/>
      <c r="C1" s="3593"/>
      <c r="D1" s="3593"/>
      <c r="E1" s="3593"/>
      <c r="F1" s="3594"/>
      <c r="G1" s="160"/>
      <c r="H1" s="160"/>
      <c r="I1" s="160"/>
      <c r="J1" s="160"/>
      <c r="K1" s="160"/>
      <c r="L1" s="160"/>
      <c r="M1" s="160"/>
      <c r="N1" s="160"/>
      <c r="O1" s="160"/>
      <c r="P1" s="160"/>
      <c r="Q1" s="160"/>
    </row>
    <row r="2" spans="1:17" ht="11.1" customHeight="1">
      <c r="A2" s="191"/>
      <c r="B2" s="191"/>
      <c r="C2" s="191"/>
      <c r="D2" s="191"/>
      <c r="E2" s="191"/>
      <c r="F2" s="191"/>
      <c r="G2" s="191"/>
      <c r="H2" s="191"/>
    </row>
    <row r="3" spans="1:17" ht="14.45" customHeight="1">
      <c r="A3" s="3601" t="s">
        <v>209</v>
      </c>
      <c r="B3" s="3601"/>
      <c r="C3" s="3601"/>
      <c r="D3" s="3601"/>
      <c r="E3" s="3601"/>
      <c r="F3" s="3601"/>
      <c r="G3" s="191"/>
      <c r="H3" s="191"/>
    </row>
    <row r="4" spans="1:17" s="179" customFormat="1" ht="6" customHeight="1"/>
    <row r="5" spans="1:17">
      <c r="A5" s="33" t="s">
        <v>2151</v>
      </c>
      <c r="B5" s="33"/>
      <c r="C5" s="255"/>
      <c r="D5" s="256">
        <f>IF(C5&gt;1500000,1500000,0)</f>
        <v>0</v>
      </c>
      <c r="E5" s="257">
        <f>IF(C5&gt;1500000,C5-1500000,0)</f>
        <v>0</v>
      </c>
    </row>
    <row r="6" spans="1:17">
      <c r="A6" s="33" t="s">
        <v>2350</v>
      </c>
      <c r="B6" s="212" t="s">
        <v>483</v>
      </c>
      <c r="C6" s="258">
        <v>0</v>
      </c>
      <c r="D6" s="116" t="s">
        <v>484</v>
      </c>
      <c r="E6" s="33"/>
    </row>
    <row r="7" spans="1:17">
      <c r="A7" s="33"/>
      <c r="B7" s="212" t="s">
        <v>2366</v>
      </c>
      <c r="C7" s="259"/>
      <c r="D7" s="116" t="s">
        <v>1590</v>
      </c>
      <c r="E7" s="33"/>
    </row>
    <row r="8" spans="1:17" ht="13.35" customHeight="1">
      <c r="A8" s="33" t="s">
        <v>2354</v>
      </c>
      <c r="B8" s="33"/>
      <c r="C8" s="258">
        <v>0</v>
      </c>
      <c r="D8" s="116" t="s">
        <v>1591</v>
      </c>
      <c r="E8" s="33"/>
    </row>
    <row r="9" spans="1:17">
      <c r="A9" s="33" t="s">
        <v>1336</v>
      </c>
      <c r="B9" s="33"/>
      <c r="C9" s="260"/>
      <c r="D9" s="33"/>
      <c r="E9" s="33"/>
    </row>
    <row r="10" spans="1:17">
      <c r="A10" s="33" t="s">
        <v>1337</v>
      </c>
      <c r="B10" s="33"/>
      <c r="C10" s="260"/>
      <c r="D10" s="33"/>
      <c r="E10" s="33"/>
    </row>
    <row r="11" spans="1:17">
      <c r="A11" s="33" t="s">
        <v>1334</v>
      </c>
      <c r="B11" s="33"/>
      <c r="C11" s="261" t="e">
        <f>PMT(C7/12,C10*12,-C5,0,0)*12</f>
        <v>#NUM!</v>
      </c>
      <c r="D11" s="256" t="e">
        <f>PMT($C$7/12,$C$10*12,-D5,0,0)*12</f>
        <v>#NUM!</v>
      </c>
      <c r="E11" s="256" t="e">
        <f>PMT($C$7/12,$C$10*12,-E5,0,0)*12</f>
        <v>#NUM!</v>
      </c>
    </row>
    <row r="12" spans="1:17">
      <c r="A12" s="33" t="s">
        <v>1335</v>
      </c>
      <c r="B12" s="33"/>
      <c r="C12" s="262" t="e">
        <f>C11/12</f>
        <v>#NUM!</v>
      </c>
      <c r="D12" s="256" t="e">
        <f>D11/12</f>
        <v>#NUM!</v>
      </c>
      <c r="E12" s="256" t="e">
        <f>E11/12</f>
        <v>#NUM!</v>
      </c>
    </row>
    <row r="13" spans="1:17" ht="11.1" customHeight="1">
      <c r="A13" s="191"/>
      <c r="B13" s="191"/>
      <c r="C13" s="191"/>
      <c r="D13" s="191"/>
      <c r="E13" s="191"/>
      <c r="F13" s="191"/>
      <c r="G13" s="191"/>
      <c r="H13" s="191"/>
    </row>
    <row r="14" spans="1:17" ht="12.6" customHeight="1">
      <c r="A14" s="3602" t="s">
        <v>121</v>
      </c>
      <c r="B14" s="3602"/>
      <c r="C14" s="3602"/>
      <c r="D14" s="3602"/>
      <c r="E14" s="3602"/>
      <c r="F14" s="3602"/>
      <c r="G14" s="191"/>
      <c r="H14" s="191"/>
    </row>
    <row r="15" spans="1:17" ht="5.45" customHeight="1">
      <c r="A15" s="28"/>
      <c r="E15" s="202"/>
      <c r="F15" s="191"/>
      <c r="G15" s="191"/>
      <c r="H15" s="191"/>
    </row>
    <row r="16" spans="1:17" ht="13.35" customHeight="1">
      <c r="A16" s="204" t="s">
        <v>2367</v>
      </c>
      <c r="B16" s="205" t="s">
        <v>2364</v>
      </c>
      <c r="C16" s="205" t="s">
        <v>2365</v>
      </c>
      <c r="D16" s="3598" t="s">
        <v>2150</v>
      </c>
      <c r="E16" s="3598"/>
      <c r="F16" s="191"/>
      <c r="G16" s="191"/>
      <c r="H16" s="191"/>
    </row>
    <row r="17" spans="1:8" ht="12.6" customHeight="1">
      <c r="A17" s="80">
        <v>1</v>
      </c>
      <c r="B17" s="180">
        <f>IF(A17&gt;$C$9,0,SUM(C64:C75)*($C$6/$C$7))</f>
        <v>0</v>
      </c>
      <c r="C17" s="203">
        <f>IF(A17&gt;C9,0,(E63+K63)*$C$8)</f>
        <v>0</v>
      </c>
      <c r="D17" s="3603">
        <f t="shared" ref="D17:D56" si="0">IF(A17&gt;$C$9,0,$C$11+C17)</f>
        <v>0</v>
      </c>
      <c r="E17" s="3603"/>
      <c r="F17" s="191"/>
      <c r="G17" s="191"/>
      <c r="H17" s="191"/>
    </row>
    <row r="18" spans="1:8" ht="12.6" customHeight="1">
      <c r="A18" s="80">
        <v>2</v>
      </c>
      <c r="B18" s="180">
        <f>IF(A18&gt;C9,0,SUM(C76:C87)*($C$6/$C$7))</f>
        <v>0</v>
      </c>
      <c r="C18" s="210">
        <f>IF(A18&gt;C9,0,(E75+K75)*$C$8)</f>
        <v>0</v>
      </c>
      <c r="D18" s="3595">
        <f t="shared" si="0"/>
        <v>0</v>
      </c>
      <c r="E18" s="3595"/>
      <c r="F18" s="191"/>
      <c r="G18" s="191"/>
      <c r="H18" s="191"/>
    </row>
    <row r="19" spans="1:8" ht="12.6" customHeight="1">
      <c r="A19" s="80">
        <v>3</v>
      </c>
      <c r="B19" s="180">
        <f>IF(A19&gt;C9,0,SUM(C88:C99)*($C$6/$C$7))</f>
        <v>0</v>
      </c>
      <c r="C19" s="203">
        <f>IF(A19&gt;C9,0,(E87+K87)*$C$8)</f>
        <v>0</v>
      </c>
      <c r="D19" s="3595">
        <f t="shared" si="0"/>
        <v>0</v>
      </c>
      <c r="E19" s="3595"/>
      <c r="F19" s="191"/>
      <c r="G19" s="191"/>
      <c r="H19" s="191"/>
    </row>
    <row r="20" spans="1:8" ht="12.6" customHeight="1">
      <c r="A20" s="80">
        <v>4</v>
      </c>
      <c r="B20" s="180">
        <f>IF(A20&gt;C9,0,SUM(C100:C111)*($C$6/$C$7))</f>
        <v>0</v>
      </c>
      <c r="C20" s="203">
        <f>IF(A20&gt;C9,0,(E99+K99)*$C$8)</f>
        <v>0</v>
      </c>
      <c r="D20" s="3595">
        <f t="shared" si="0"/>
        <v>0</v>
      </c>
      <c r="E20" s="3595"/>
      <c r="F20" s="191"/>
      <c r="G20" s="191"/>
      <c r="H20" s="191"/>
    </row>
    <row r="21" spans="1:8" ht="12.6" customHeight="1">
      <c r="A21" s="80">
        <v>5</v>
      </c>
      <c r="B21" s="180">
        <f>IF(A21&gt;C9,0,SUM(C112:C123)*($C$6/$C$7))</f>
        <v>0</v>
      </c>
      <c r="C21" s="203">
        <f>IF(A21&gt;C9,0,(E111+K111)*$C$8)</f>
        <v>0</v>
      </c>
      <c r="D21" s="3596">
        <f t="shared" si="0"/>
        <v>0</v>
      </c>
      <c r="E21" s="3596"/>
      <c r="F21" s="191"/>
      <c r="G21" s="191"/>
      <c r="H21" s="191"/>
    </row>
    <row r="22" spans="1:8" ht="12.6" customHeight="1">
      <c r="A22" s="181">
        <v>6</v>
      </c>
      <c r="B22" s="182">
        <f>IF(A22&gt;C9,0,SUM(C124:C135)*($C$6/$C$7))</f>
        <v>0</v>
      </c>
      <c r="C22" s="207">
        <f>IF(A22&gt;C9,0,(E123+K123)*$C$8)</f>
        <v>0</v>
      </c>
      <c r="D22" s="3595">
        <f t="shared" si="0"/>
        <v>0</v>
      </c>
      <c r="E22" s="3595"/>
      <c r="F22" s="191"/>
      <c r="G22" s="191"/>
      <c r="H22" s="191"/>
    </row>
    <row r="23" spans="1:8" ht="12.6" customHeight="1">
      <c r="A23" s="183">
        <v>7</v>
      </c>
      <c r="B23" s="184">
        <f>IF(A23&gt;C9,0,SUM(C136:C147)*($C$6/$C$7))</f>
        <v>0</v>
      </c>
      <c r="C23" s="185">
        <f>IF(A23&gt;C9,0,(E135+K135)*$C$8)</f>
        <v>0</v>
      </c>
      <c r="D23" s="3595">
        <f t="shared" si="0"/>
        <v>0</v>
      </c>
      <c r="E23" s="3595"/>
      <c r="F23" s="191"/>
      <c r="G23" s="191"/>
      <c r="H23" s="191"/>
    </row>
    <row r="24" spans="1:8" ht="12.6" customHeight="1">
      <c r="A24" s="183">
        <v>8</v>
      </c>
      <c r="B24" s="184">
        <f>IF(A24&gt;C9,0,SUM(C148:C159)*($C$6/$C$7))</f>
        <v>0</v>
      </c>
      <c r="C24" s="185">
        <f>IF(A24&gt;C9,0,(E147+K147)*$C$8)</f>
        <v>0</v>
      </c>
      <c r="D24" s="3595">
        <f t="shared" si="0"/>
        <v>0</v>
      </c>
      <c r="E24" s="3595"/>
      <c r="F24" s="191"/>
      <c r="G24" s="191"/>
      <c r="H24" s="191"/>
    </row>
    <row r="25" spans="1:8" ht="12.6" customHeight="1">
      <c r="A25" s="183">
        <v>9</v>
      </c>
      <c r="B25" s="184">
        <f>IF(A25&gt;C9,0,SUM(C160:C171)*($C$6/$C$7))</f>
        <v>0</v>
      </c>
      <c r="C25" s="185">
        <f>IF(A25&gt;C9,0,(E159+K159)*$C$8)</f>
        <v>0</v>
      </c>
      <c r="D25" s="3595">
        <f t="shared" si="0"/>
        <v>0</v>
      </c>
      <c r="E25" s="3595"/>
      <c r="F25" s="191"/>
      <c r="G25" s="191"/>
      <c r="H25" s="191"/>
    </row>
    <row r="26" spans="1:8" ht="12.6" customHeight="1">
      <c r="A26" s="186">
        <v>10</v>
      </c>
      <c r="B26" s="187">
        <f>IF(A26&gt;C9,0,SUM(C172:C183)*($C$6/$C$7))</f>
        <v>0</v>
      </c>
      <c r="C26" s="206">
        <f>IF(A26&gt;C9,0,(E171+K171)*$C$8)</f>
        <v>0</v>
      </c>
      <c r="D26" s="3596">
        <f t="shared" si="0"/>
        <v>0</v>
      </c>
      <c r="E26" s="3596"/>
      <c r="F26" s="191"/>
      <c r="G26" s="191"/>
      <c r="H26" s="191"/>
    </row>
    <row r="27" spans="1:8" ht="12.6" customHeight="1">
      <c r="A27" s="188">
        <v>11</v>
      </c>
      <c r="B27" s="180">
        <f>IF(A27&gt;C9,0,SUM(C184:C195)*($C$6/$C$7))</f>
        <v>0</v>
      </c>
      <c r="C27" s="203">
        <f>IF(A27&gt;C9,0,(E183+K183)*$C$8)</f>
        <v>0</v>
      </c>
      <c r="D27" s="3595">
        <f t="shared" si="0"/>
        <v>0</v>
      </c>
      <c r="E27" s="3595"/>
      <c r="F27" s="191"/>
      <c r="G27" s="191"/>
      <c r="H27" s="191"/>
    </row>
    <row r="28" spans="1:8" ht="12.6" customHeight="1">
      <c r="A28" s="188">
        <v>12</v>
      </c>
      <c r="B28" s="180">
        <f>IF(A28&gt;C9,0,SUM(C196:C207)*($C$6/$C$7))</f>
        <v>0</v>
      </c>
      <c r="C28" s="203">
        <f>IF(A28&gt;C9,0,(E195+K195)*$C$8)</f>
        <v>0</v>
      </c>
      <c r="D28" s="3595">
        <f t="shared" si="0"/>
        <v>0</v>
      </c>
      <c r="E28" s="3595"/>
      <c r="F28" s="191"/>
      <c r="G28" s="191"/>
      <c r="H28" s="191"/>
    </row>
    <row r="29" spans="1:8" ht="12.6" customHeight="1">
      <c r="A29" s="188">
        <v>13</v>
      </c>
      <c r="B29" s="180">
        <f>IF(A29&gt;C9,0,SUM(C208:C219)*($C$6/$C$7))</f>
        <v>0</v>
      </c>
      <c r="C29" s="203">
        <f>IF(A29&gt;C9,0,(E207+K207)*$C$8)</f>
        <v>0</v>
      </c>
      <c r="D29" s="3595">
        <f t="shared" si="0"/>
        <v>0</v>
      </c>
      <c r="E29" s="3595"/>
      <c r="F29" s="191"/>
      <c r="G29" s="191"/>
      <c r="H29" s="191"/>
    </row>
    <row r="30" spans="1:8" ht="12.6" customHeight="1">
      <c r="A30" s="188">
        <v>14</v>
      </c>
      <c r="B30" s="180">
        <f>IF(A30&gt;C9,0,SUM(C220:C231)*($C$6/$C$7))</f>
        <v>0</v>
      </c>
      <c r="C30" s="203">
        <f>IF(A30&gt;C9,0,(E219+K219)*$C$8)</f>
        <v>0</v>
      </c>
      <c r="D30" s="3595">
        <f t="shared" si="0"/>
        <v>0</v>
      </c>
      <c r="E30" s="3595"/>
      <c r="F30" s="191"/>
      <c r="G30" s="191"/>
      <c r="H30" s="191"/>
    </row>
    <row r="31" spans="1:8" ht="12.6" customHeight="1">
      <c r="A31" s="188">
        <v>15</v>
      </c>
      <c r="B31" s="180">
        <f>IF(A31&gt;C9,0,SUM(C232:C243)*($C$6/$C$7))</f>
        <v>0</v>
      </c>
      <c r="C31" s="203">
        <f>IF(A31&gt;C9,0,(E231+K231)*$C$8)</f>
        <v>0</v>
      </c>
      <c r="D31" s="3596">
        <f t="shared" si="0"/>
        <v>0</v>
      </c>
      <c r="E31" s="3596"/>
      <c r="F31" s="191"/>
      <c r="G31" s="191"/>
      <c r="H31" s="191"/>
    </row>
    <row r="32" spans="1:8" ht="12.6" customHeight="1">
      <c r="A32" s="190">
        <v>16</v>
      </c>
      <c r="B32" s="182">
        <f>IF(A32&gt;C9,0,SUM(C244:C255)*($C$6/$C$7))</f>
        <v>0</v>
      </c>
      <c r="C32" s="207">
        <f>IF(A32&gt;C9,0,(E243+K243)*$C$8)</f>
        <v>0</v>
      </c>
      <c r="D32" s="3595">
        <f t="shared" si="0"/>
        <v>0</v>
      </c>
      <c r="E32" s="3595"/>
      <c r="F32" s="191"/>
      <c r="G32" s="191"/>
      <c r="H32" s="191"/>
    </row>
    <row r="33" spans="1:8" ht="12.6" customHeight="1">
      <c r="A33" s="183">
        <v>17</v>
      </c>
      <c r="B33" s="184">
        <f>IF(A33&gt;C9,0,SUM(C256:C267)*($C$6/$C$7))</f>
        <v>0</v>
      </c>
      <c r="C33" s="185">
        <f>IF(A33&gt;C9,0,(E255+K255)*$C$8)</f>
        <v>0</v>
      </c>
      <c r="D33" s="3595">
        <f t="shared" si="0"/>
        <v>0</v>
      </c>
      <c r="E33" s="3595"/>
      <c r="F33" s="191"/>
      <c r="G33" s="191"/>
      <c r="H33" s="191"/>
    </row>
    <row r="34" spans="1:8" ht="12.6" customHeight="1">
      <c r="A34" s="183">
        <v>18</v>
      </c>
      <c r="B34" s="184">
        <f>IF(A34&gt;C9,0,SUM(C268:C279)*($C$6/$C$7))</f>
        <v>0</v>
      </c>
      <c r="C34" s="185">
        <f>IF(A34&gt;C9,0,(E267+K267)*$C$8)</f>
        <v>0</v>
      </c>
      <c r="D34" s="3595">
        <f t="shared" si="0"/>
        <v>0</v>
      </c>
      <c r="E34" s="3595"/>
      <c r="F34" s="191"/>
      <c r="G34" s="191"/>
      <c r="H34" s="191"/>
    </row>
    <row r="35" spans="1:8" ht="12.6" customHeight="1">
      <c r="A35" s="183">
        <v>19</v>
      </c>
      <c r="B35" s="184">
        <f>IF(A35&gt;C9,0,SUM(C280:C291)*($C$6/$C$7))</f>
        <v>0</v>
      </c>
      <c r="C35" s="185">
        <f>IF(A35&gt;C9,0,(E279+K279)*$C$8)</f>
        <v>0</v>
      </c>
      <c r="D35" s="3595">
        <f t="shared" si="0"/>
        <v>0</v>
      </c>
      <c r="E35" s="3595"/>
      <c r="F35" s="191"/>
      <c r="G35" s="191"/>
      <c r="H35" s="191"/>
    </row>
    <row r="36" spans="1:8" ht="12.6" customHeight="1">
      <c r="A36" s="186">
        <v>20</v>
      </c>
      <c r="B36" s="187">
        <f>IF(A36&gt;C9,0,SUM(C292:C303)*($C$6/$C$7))</f>
        <v>0</v>
      </c>
      <c r="C36" s="206">
        <f>IF(A36&gt;C9,0,(E291+K291)*$C$8)</f>
        <v>0</v>
      </c>
      <c r="D36" s="3596">
        <f t="shared" si="0"/>
        <v>0</v>
      </c>
      <c r="E36" s="3596"/>
      <c r="F36" s="191"/>
      <c r="G36" s="191"/>
      <c r="H36" s="191"/>
    </row>
    <row r="37" spans="1:8" ht="12.6" customHeight="1">
      <c r="A37" s="80">
        <v>21</v>
      </c>
      <c r="B37" s="182">
        <f>IF(A37&gt;C9,0,SUM(C293:C304)*($C$6/$C$7))</f>
        <v>0</v>
      </c>
      <c r="C37" s="207">
        <f>IF(A37&gt;C9,0,(E303+K303)*$C$8)</f>
        <v>0</v>
      </c>
      <c r="D37" s="3597">
        <f t="shared" si="0"/>
        <v>0</v>
      </c>
      <c r="E37" s="3597"/>
      <c r="F37" s="191"/>
      <c r="G37" s="191"/>
      <c r="H37" s="191"/>
    </row>
    <row r="38" spans="1:8" ht="12.6" customHeight="1">
      <c r="A38" s="80">
        <v>22</v>
      </c>
      <c r="B38" s="184">
        <f>IF(A38&gt;C9,0,SUM(C294:C305)*($C$6/$C$7))</f>
        <v>0</v>
      </c>
      <c r="C38" s="185">
        <f>IF(A38&gt;C9,0,(E315+K315)*$C$8)</f>
        <v>0</v>
      </c>
      <c r="D38" s="3595">
        <f t="shared" si="0"/>
        <v>0</v>
      </c>
      <c r="E38" s="3595"/>
      <c r="F38" s="191"/>
      <c r="G38" s="191"/>
      <c r="H38" s="191"/>
    </row>
    <row r="39" spans="1:8" ht="12.6" customHeight="1">
      <c r="A39" s="80">
        <v>23</v>
      </c>
      <c r="B39" s="184">
        <f>IF(A39&gt;C9,0,SUM(C295:C306)*($C$6/$C$7))</f>
        <v>0</v>
      </c>
      <c r="C39" s="185">
        <f>IF(A39&gt;C9,0,(E327+K327)*$C$8)</f>
        <v>0</v>
      </c>
      <c r="D39" s="3595">
        <f t="shared" si="0"/>
        <v>0</v>
      </c>
      <c r="E39" s="3595"/>
      <c r="F39" s="191"/>
      <c r="G39" s="191"/>
      <c r="H39" s="191"/>
    </row>
    <row r="40" spans="1:8" ht="12.6" customHeight="1">
      <c r="A40" s="80">
        <v>24</v>
      </c>
      <c r="B40" s="184">
        <f>IF(A40&gt;C9,0,SUM(C296:C307)*($C$6/$C$7))</f>
        <v>0</v>
      </c>
      <c r="C40" s="185">
        <f>IF(A40&gt;C9,0,(E339+K339)*$C$8)</f>
        <v>0</v>
      </c>
      <c r="D40" s="3595">
        <f t="shared" si="0"/>
        <v>0</v>
      </c>
      <c r="E40" s="3595"/>
      <c r="F40" s="191"/>
      <c r="G40" s="191"/>
      <c r="H40" s="191"/>
    </row>
    <row r="41" spans="1:8" ht="12.6" customHeight="1">
      <c r="A41" s="80">
        <v>25</v>
      </c>
      <c r="B41" s="187">
        <f>IF(A41&gt;C9,0,SUM(C297:C308)*($C$6/$C$7))</f>
        <v>0</v>
      </c>
      <c r="C41" s="206">
        <f>IF(A41&gt;C9,0,(E351+K351)*$C$8)</f>
        <v>0</v>
      </c>
      <c r="D41" s="3596">
        <f t="shared" si="0"/>
        <v>0</v>
      </c>
      <c r="E41" s="3596"/>
      <c r="F41" s="191"/>
      <c r="G41" s="191"/>
      <c r="H41" s="191"/>
    </row>
    <row r="42" spans="1:8" ht="12.6" customHeight="1">
      <c r="A42" s="181">
        <v>26</v>
      </c>
      <c r="B42" s="182">
        <f>IF(A42&gt;C9,0,SUM(C298:C309)*($C$6/$C$7))</f>
        <v>0</v>
      </c>
      <c r="C42" s="207">
        <f>IF(A42&gt;C9,0,(E363+K363)*$C$8)</f>
        <v>0</v>
      </c>
      <c r="D42" s="3597">
        <f t="shared" si="0"/>
        <v>0</v>
      </c>
      <c r="E42" s="3597"/>
      <c r="F42" s="191"/>
      <c r="G42" s="191"/>
      <c r="H42" s="191"/>
    </row>
    <row r="43" spans="1:8" ht="12.6" customHeight="1">
      <c r="A43" s="183">
        <v>27</v>
      </c>
      <c r="B43" s="184">
        <f>IF(A43&gt;C9,0,SUM(C299:C310)*($C$6/$C$7))</f>
        <v>0</v>
      </c>
      <c r="C43" s="185">
        <f>IF(A43&gt;C9,0,(E375+K375)*$C$8)</f>
        <v>0</v>
      </c>
      <c r="D43" s="3595">
        <f t="shared" si="0"/>
        <v>0</v>
      </c>
      <c r="E43" s="3595"/>
      <c r="F43" s="191"/>
      <c r="G43" s="191"/>
      <c r="H43" s="191"/>
    </row>
    <row r="44" spans="1:8" ht="12.6" customHeight="1">
      <c r="A44" s="183">
        <v>28</v>
      </c>
      <c r="B44" s="184">
        <f>IF(A44&gt;C9,0,SUM(C300:C311)*($C$6/$C$7))</f>
        <v>0</v>
      </c>
      <c r="C44" s="185">
        <f>IF(A44&gt;C9,0,(E387+K387)*$C$8)</f>
        <v>0</v>
      </c>
      <c r="D44" s="3595">
        <f t="shared" si="0"/>
        <v>0</v>
      </c>
      <c r="E44" s="3595"/>
      <c r="F44" s="191"/>
      <c r="G44" s="191"/>
      <c r="H44" s="191"/>
    </row>
    <row r="45" spans="1:8" ht="12.6" customHeight="1">
      <c r="A45" s="183">
        <v>29</v>
      </c>
      <c r="B45" s="184">
        <f>IF(A45&gt;C9,0,SUM(C301:C312)*($C$6/$C$7))</f>
        <v>0</v>
      </c>
      <c r="C45" s="185">
        <f>IF(A45&gt;C9,0,(E411+K411)*$C$8)</f>
        <v>0</v>
      </c>
      <c r="D45" s="3595">
        <f t="shared" si="0"/>
        <v>0</v>
      </c>
      <c r="E45" s="3595"/>
      <c r="F45" s="191"/>
      <c r="G45" s="191"/>
      <c r="H45" s="191"/>
    </row>
    <row r="46" spans="1:8" ht="12.6" customHeight="1">
      <c r="A46" s="186">
        <v>30</v>
      </c>
      <c r="B46" s="187">
        <f>IF(A46&gt;C9,0,SUM(C302:C313)*($C$6/$C$7))</f>
        <v>0</v>
      </c>
      <c r="C46" s="206">
        <f>IF(A46&gt;C9,0,(E423+K423)*$C$8)</f>
        <v>0</v>
      </c>
      <c r="D46" s="3596">
        <f t="shared" si="0"/>
        <v>0</v>
      </c>
      <c r="E46" s="3596"/>
      <c r="F46" s="191"/>
      <c r="G46" s="191"/>
      <c r="H46" s="191"/>
    </row>
    <row r="47" spans="1:8" ht="12.6" customHeight="1">
      <c r="A47" s="190">
        <v>31</v>
      </c>
      <c r="B47" s="182">
        <f>IF(A47&gt;C9,0,SUM(C303:C314)*($C$6/$C$7))</f>
        <v>0</v>
      </c>
      <c r="C47" s="207">
        <f>IF(A47&gt;C9,0,(E435+K435)*$C$8)</f>
        <v>0</v>
      </c>
      <c r="D47" s="3597">
        <f t="shared" si="0"/>
        <v>0</v>
      </c>
      <c r="E47" s="3597"/>
      <c r="F47" s="191"/>
      <c r="G47" s="191"/>
      <c r="H47" s="191"/>
    </row>
    <row r="48" spans="1:8" ht="12.6" customHeight="1">
      <c r="A48" s="183">
        <v>32</v>
      </c>
      <c r="B48" s="184">
        <f>IF(A48&gt;C9,0,SUM(C304:C315)*($C$6/$C$7))</f>
        <v>0</v>
      </c>
      <c r="C48" s="185">
        <f>IF(A48&gt;C9,0,(E447+K447)*$C$8)</f>
        <v>0</v>
      </c>
      <c r="D48" s="3595">
        <f t="shared" si="0"/>
        <v>0</v>
      </c>
      <c r="E48" s="3595"/>
      <c r="F48" s="191"/>
      <c r="G48" s="191"/>
      <c r="H48" s="191"/>
    </row>
    <row r="49" spans="1:12" ht="12.6" customHeight="1">
      <c r="A49" s="183">
        <v>33</v>
      </c>
      <c r="B49" s="184">
        <f>IF(A49&gt;C9,0,SUM(C305:C316)*($C$6/$C$7))</f>
        <v>0</v>
      </c>
      <c r="C49" s="185">
        <f>IF(A49&gt;C9,0,(E459+K459)*$C$8)</f>
        <v>0</v>
      </c>
      <c r="D49" s="3595">
        <f t="shared" si="0"/>
        <v>0</v>
      </c>
      <c r="E49" s="3595"/>
      <c r="F49" s="191"/>
      <c r="G49" s="191"/>
      <c r="H49" s="191"/>
    </row>
    <row r="50" spans="1:12" ht="12.6" customHeight="1">
      <c r="A50" s="183">
        <v>34</v>
      </c>
      <c r="B50" s="184">
        <f>IF(A50&gt;C9,0,SUM(C306:C317)*($C$6/$C$7))</f>
        <v>0</v>
      </c>
      <c r="C50" s="185">
        <f>IF(A50&gt;C9,0,(E471+K471)*$C$8)</f>
        <v>0</v>
      </c>
      <c r="D50" s="3595">
        <f t="shared" si="0"/>
        <v>0</v>
      </c>
      <c r="E50" s="3595"/>
      <c r="F50" s="191"/>
      <c r="G50" s="191"/>
      <c r="H50" s="191"/>
    </row>
    <row r="51" spans="1:12" ht="12.6" customHeight="1">
      <c r="A51" s="186">
        <v>35</v>
      </c>
      <c r="B51" s="187">
        <f>IF(A51&gt;C9,0,SUM(C307:C318)*($C$6/$C$7))</f>
        <v>0</v>
      </c>
      <c r="C51" s="206">
        <f>IF(A51&gt;C9,0,(E483+K483)*$C$8)</f>
        <v>0</v>
      </c>
      <c r="D51" s="3596">
        <f t="shared" si="0"/>
        <v>0</v>
      </c>
      <c r="E51" s="3596"/>
      <c r="F51" s="191"/>
      <c r="G51" s="191"/>
      <c r="H51" s="191"/>
    </row>
    <row r="52" spans="1:12" ht="12.6" customHeight="1">
      <c r="A52" s="190">
        <v>36</v>
      </c>
      <c r="B52" s="182">
        <f>IF(A52&gt;C9,0,SUM(C308:C319)*($C$6/$C$7))</f>
        <v>0</v>
      </c>
      <c r="C52" s="207">
        <f>IF(A52&gt;C9,0,(E495+K495)*$C$8)</f>
        <v>0</v>
      </c>
      <c r="D52" s="3597">
        <f t="shared" si="0"/>
        <v>0</v>
      </c>
      <c r="E52" s="3597"/>
      <c r="F52" s="191"/>
      <c r="G52" s="191"/>
      <c r="H52" s="191"/>
    </row>
    <row r="53" spans="1:12" ht="12.6" customHeight="1">
      <c r="A53" s="183">
        <v>37</v>
      </c>
      <c r="B53" s="184">
        <f>IF(A53&gt;C9,0,SUM(C309:C320)*($C$6/$C$7))</f>
        <v>0</v>
      </c>
      <c r="C53" s="185">
        <f>IF(A53&gt;C9,0,(E507+K507)*$C$8)</f>
        <v>0</v>
      </c>
      <c r="D53" s="3595">
        <f t="shared" si="0"/>
        <v>0</v>
      </c>
      <c r="E53" s="3595"/>
      <c r="F53" s="191"/>
      <c r="G53" s="191"/>
      <c r="H53" s="191"/>
    </row>
    <row r="54" spans="1:12" ht="12.6" customHeight="1">
      <c r="A54" s="183">
        <v>38</v>
      </c>
      <c r="B54" s="184">
        <f>IF(A54&gt;C9,0,SUM(C310:C321)*($C$6/$C$7))</f>
        <v>0</v>
      </c>
      <c r="C54" s="185">
        <f>IF(A54&gt;C9,0,(E519+K519)*$C$8)</f>
        <v>0</v>
      </c>
      <c r="D54" s="3595">
        <f t="shared" si="0"/>
        <v>0</v>
      </c>
      <c r="E54" s="3595"/>
      <c r="F54" s="191"/>
      <c r="G54" s="191"/>
      <c r="H54" s="191"/>
    </row>
    <row r="55" spans="1:12" ht="12.6" customHeight="1">
      <c r="A55" s="183">
        <v>39</v>
      </c>
      <c r="B55" s="184">
        <f>IF(A55&gt;C9,0,SUM(C311:C322)*($C$6/$C$7))</f>
        <v>0</v>
      </c>
      <c r="C55" s="185">
        <f>IF(A55&gt;C9,0,(E531+K531)*$C$8)</f>
        <v>0</v>
      </c>
      <c r="D55" s="3595">
        <f t="shared" si="0"/>
        <v>0</v>
      </c>
      <c r="E55" s="3595"/>
      <c r="F55" s="191"/>
      <c r="G55" s="191"/>
      <c r="H55" s="191"/>
    </row>
    <row r="56" spans="1:12" ht="12.6" customHeight="1">
      <c r="A56" s="186">
        <v>40</v>
      </c>
      <c r="B56" s="187">
        <f>IF(A56&gt;C9,0,SUM(C312:C323)*($C$6/$C$7))</f>
        <v>0</v>
      </c>
      <c r="C56" s="206">
        <f>IF(A56&gt;C9,0,(E543+K543)*$C$8)</f>
        <v>0</v>
      </c>
      <c r="D56" s="3596">
        <f t="shared" si="0"/>
        <v>0</v>
      </c>
      <c r="E56" s="3596"/>
      <c r="F56" s="191"/>
      <c r="G56" s="191"/>
      <c r="H56" s="191"/>
    </row>
    <row r="57" spans="1:12" ht="3" customHeight="1">
      <c r="A57" s="191"/>
      <c r="B57" s="191"/>
      <c r="C57" s="191"/>
      <c r="D57" s="191"/>
      <c r="E57" s="191"/>
      <c r="F57" s="191"/>
      <c r="G57" s="191"/>
      <c r="H57" s="191"/>
    </row>
    <row r="58" spans="1:12" ht="13.35" customHeight="1">
      <c r="A58" s="3599" t="e">
        <f>CONCATENATE(#REF!," ",#REF!,", ",#REF!,", ",#REF!," County")</f>
        <v>#REF!</v>
      </c>
      <c r="B58" s="3599"/>
      <c r="C58" s="3599"/>
      <c r="D58" s="3599"/>
      <c r="E58" s="3599"/>
      <c r="F58" s="3599"/>
      <c r="G58" s="3599" t="e">
        <f>CONCATENATE(#REF!," ",#REF!,", ",#REF!,", ",#REF!," County")</f>
        <v>#REF!</v>
      </c>
      <c r="H58" s="3599"/>
      <c r="I58" s="3599"/>
      <c r="J58" s="3599"/>
      <c r="K58" s="3599"/>
      <c r="L58" s="3599"/>
    </row>
    <row r="59" spans="1:12" ht="15">
      <c r="A59" s="3600" t="s">
        <v>2358</v>
      </c>
      <c r="B59" s="3600"/>
      <c r="C59" s="3600"/>
      <c r="D59" s="3600"/>
      <c r="E59" s="3600"/>
      <c r="F59" s="3600"/>
      <c r="G59" s="3600" t="s">
        <v>2358</v>
      </c>
      <c r="H59" s="3600"/>
      <c r="I59" s="3600"/>
      <c r="J59" s="3600"/>
      <c r="K59" s="3600"/>
      <c r="L59" s="3600"/>
    </row>
    <row r="60" spans="1:12" ht="6" customHeight="1">
      <c r="C60" s="189"/>
      <c r="D60" s="189"/>
      <c r="I60" s="189"/>
      <c r="J60" s="189"/>
    </row>
    <row r="61" spans="1:12">
      <c r="A61" s="192" t="s">
        <v>2359</v>
      </c>
      <c r="B61" s="193" t="s">
        <v>2360</v>
      </c>
      <c r="C61" s="193" t="s">
        <v>1246</v>
      </c>
      <c r="D61" s="193" t="s">
        <v>2361</v>
      </c>
      <c r="E61" s="192" t="s">
        <v>2362</v>
      </c>
      <c r="F61" s="219" t="s">
        <v>2367</v>
      </c>
      <c r="G61" s="192" t="s">
        <v>2359</v>
      </c>
      <c r="H61" s="193" t="s">
        <v>2360</v>
      </c>
      <c r="I61" s="193" t="s">
        <v>1246</v>
      </c>
      <c r="J61" s="193" t="s">
        <v>2361</v>
      </c>
      <c r="K61" s="192" t="s">
        <v>2362</v>
      </c>
      <c r="L61" s="219" t="s">
        <v>2367</v>
      </c>
    </row>
    <row r="62" spans="1:12" ht="3.6" customHeight="1">
      <c r="A62" s="195"/>
      <c r="B62" s="115"/>
      <c r="C62" s="115"/>
      <c r="D62" s="115"/>
      <c r="E62" s="115"/>
      <c r="F62" s="80"/>
      <c r="G62" s="195"/>
      <c r="H62" s="115"/>
      <c r="I62" s="115"/>
      <c r="J62" s="115"/>
      <c r="K62" s="115"/>
      <c r="L62" s="80"/>
    </row>
    <row r="63" spans="1:12">
      <c r="A63" s="196" t="s">
        <v>2363</v>
      </c>
      <c r="B63" s="197"/>
      <c r="C63" s="197"/>
      <c r="D63" s="197"/>
      <c r="E63" s="198">
        <f>IF($C$5&gt;1500000,$D$5,$C$5)</f>
        <v>0</v>
      </c>
      <c r="F63" s="80"/>
      <c r="G63" s="196" t="s">
        <v>2363</v>
      </c>
      <c r="H63" s="197"/>
      <c r="I63" s="197"/>
      <c r="J63" s="197"/>
      <c r="K63" s="198">
        <f>IF($C$5&gt;1500000,$E$5,0)</f>
        <v>0</v>
      </c>
      <c r="L63" s="80"/>
    </row>
    <row r="64" spans="1:12">
      <c r="A64" s="199">
        <v>1</v>
      </c>
      <c r="B64" s="200">
        <f t="shared" ref="B64:B127" si="1">IF(A64&gt;12*$C$9,0,IF($C$5&gt;1500000,$D$12,$C$12))</f>
        <v>0</v>
      </c>
      <c r="C64" s="200">
        <f t="shared" ref="C64:C127" si="2">IF(A64&gt;12*$C$9,0,E63*$C$7/12)</f>
        <v>0</v>
      </c>
      <c r="D64" s="200">
        <f t="shared" ref="D64:D127" si="3">IF(A64&gt;12*$C$9,0,B64-C64)</f>
        <v>0</v>
      </c>
      <c r="E64" s="200">
        <f t="shared" ref="E64:E127" si="4">IF(A64&gt;12*$C$9,0,E63-D64)</f>
        <v>0</v>
      </c>
      <c r="F64" s="199"/>
      <c r="G64" s="199">
        <v>1</v>
      </c>
      <c r="H64" s="200">
        <f t="shared" ref="H64:H127" si="5">IF(G64&gt;12*$C$9,0,IF($C$5&gt;1500000,$E$12,0))</f>
        <v>0</v>
      </c>
      <c r="I64" s="200">
        <f t="shared" ref="I64:I127" si="6">IF(G64&gt;12*$C$9,0,K63*$C$7/12)</f>
        <v>0</v>
      </c>
      <c r="J64" s="200">
        <f t="shared" ref="J64:J127" si="7">IF(G64&gt;12*$C$9,0,H64-I64)</f>
        <v>0</v>
      </c>
      <c r="K64" s="200">
        <f t="shared" ref="K64:K127" si="8">IF(G64&gt;12*$C$9,0,K63-J64)</f>
        <v>0</v>
      </c>
      <c r="L64" s="199"/>
    </row>
    <row r="65" spans="1:12">
      <c r="A65" s="199">
        <v>2</v>
      </c>
      <c r="B65" s="200">
        <f t="shared" si="1"/>
        <v>0</v>
      </c>
      <c r="C65" s="200">
        <f t="shared" si="2"/>
        <v>0</v>
      </c>
      <c r="D65" s="200">
        <f t="shared" si="3"/>
        <v>0</v>
      </c>
      <c r="E65" s="200">
        <f t="shared" si="4"/>
        <v>0</v>
      </c>
      <c r="F65" s="199"/>
      <c r="G65" s="199">
        <v>2</v>
      </c>
      <c r="H65" s="200">
        <f t="shared" si="5"/>
        <v>0</v>
      </c>
      <c r="I65" s="200">
        <f t="shared" si="6"/>
        <v>0</v>
      </c>
      <c r="J65" s="200">
        <f t="shared" si="7"/>
        <v>0</v>
      </c>
      <c r="K65" s="200">
        <f t="shared" si="8"/>
        <v>0</v>
      </c>
      <c r="L65" s="199"/>
    </row>
    <row r="66" spans="1:12">
      <c r="A66" s="199">
        <v>3</v>
      </c>
      <c r="B66" s="200">
        <f t="shared" si="1"/>
        <v>0</v>
      </c>
      <c r="C66" s="200">
        <f t="shared" si="2"/>
        <v>0</v>
      </c>
      <c r="D66" s="200">
        <f t="shared" si="3"/>
        <v>0</v>
      </c>
      <c r="E66" s="200">
        <f t="shared" si="4"/>
        <v>0</v>
      </c>
      <c r="F66" s="199"/>
      <c r="G66" s="199">
        <v>3</v>
      </c>
      <c r="H66" s="200">
        <f t="shared" si="5"/>
        <v>0</v>
      </c>
      <c r="I66" s="200">
        <f t="shared" si="6"/>
        <v>0</v>
      </c>
      <c r="J66" s="200">
        <f t="shared" si="7"/>
        <v>0</v>
      </c>
      <c r="K66" s="200">
        <f t="shared" si="8"/>
        <v>0</v>
      </c>
      <c r="L66" s="199"/>
    </row>
    <row r="67" spans="1:12">
      <c r="A67" s="199">
        <v>4</v>
      </c>
      <c r="B67" s="200">
        <f t="shared" si="1"/>
        <v>0</v>
      </c>
      <c r="C67" s="200">
        <f t="shared" si="2"/>
        <v>0</v>
      </c>
      <c r="D67" s="200">
        <f t="shared" si="3"/>
        <v>0</v>
      </c>
      <c r="E67" s="200">
        <f t="shared" si="4"/>
        <v>0</v>
      </c>
      <c r="F67" s="199"/>
      <c r="G67" s="199">
        <v>4</v>
      </c>
      <c r="H67" s="200">
        <f t="shared" si="5"/>
        <v>0</v>
      </c>
      <c r="I67" s="200">
        <f t="shared" si="6"/>
        <v>0</v>
      </c>
      <c r="J67" s="200">
        <f t="shared" si="7"/>
        <v>0</v>
      </c>
      <c r="K67" s="200">
        <f t="shared" si="8"/>
        <v>0</v>
      </c>
      <c r="L67" s="199"/>
    </row>
    <row r="68" spans="1:12">
      <c r="A68" s="199">
        <v>5</v>
      </c>
      <c r="B68" s="200">
        <f t="shared" si="1"/>
        <v>0</v>
      </c>
      <c r="C68" s="200">
        <f t="shared" si="2"/>
        <v>0</v>
      </c>
      <c r="D68" s="200">
        <f t="shared" si="3"/>
        <v>0</v>
      </c>
      <c r="E68" s="200">
        <f t="shared" si="4"/>
        <v>0</v>
      </c>
      <c r="F68" s="199"/>
      <c r="G68" s="199">
        <v>5</v>
      </c>
      <c r="H68" s="200">
        <f t="shared" si="5"/>
        <v>0</v>
      </c>
      <c r="I68" s="200">
        <f t="shared" si="6"/>
        <v>0</v>
      </c>
      <c r="J68" s="200">
        <f t="shared" si="7"/>
        <v>0</v>
      </c>
      <c r="K68" s="200">
        <f t="shared" si="8"/>
        <v>0</v>
      </c>
      <c r="L68" s="199"/>
    </row>
    <row r="69" spans="1:12">
      <c r="A69" s="199">
        <v>6</v>
      </c>
      <c r="B69" s="200">
        <f t="shared" si="1"/>
        <v>0</v>
      </c>
      <c r="C69" s="200">
        <f t="shared" si="2"/>
        <v>0</v>
      </c>
      <c r="D69" s="200">
        <f t="shared" si="3"/>
        <v>0</v>
      </c>
      <c r="E69" s="200">
        <f t="shared" si="4"/>
        <v>0</v>
      </c>
      <c r="F69" s="199"/>
      <c r="G69" s="199">
        <v>6</v>
      </c>
      <c r="H69" s="200">
        <f t="shared" si="5"/>
        <v>0</v>
      </c>
      <c r="I69" s="200">
        <f t="shared" si="6"/>
        <v>0</v>
      </c>
      <c r="J69" s="200">
        <f t="shared" si="7"/>
        <v>0</v>
      </c>
      <c r="K69" s="200">
        <f t="shared" si="8"/>
        <v>0</v>
      </c>
      <c r="L69" s="199"/>
    </row>
    <row r="70" spans="1:12">
      <c r="A70" s="199">
        <v>7</v>
      </c>
      <c r="B70" s="200">
        <f t="shared" si="1"/>
        <v>0</v>
      </c>
      <c r="C70" s="200">
        <f t="shared" si="2"/>
        <v>0</v>
      </c>
      <c r="D70" s="200">
        <f t="shared" si="3"/>
        <v>0</v>
      </c>
      <c r="E70" s="200">
        <f t="shared" si="4"/>
        <v>0</v>
      </c>
      <c r="F70" s="199"/>
      <c r="G70" s="199">
        <v>7</v>
      </c>
      <c r="H70" s="200">
        <f t="shared" si="5"/>
        <v>0</v>
      </c>
      <c r="I70" s="200">
        <f t="shared" si="6"/>
        <v>0</v>
      </c>
      <c r="J70" s="200">
        <f t="shared" si="7"/>
        <v>0</v>
      </c>
      <c r="K70" s="200">
        <f t="shared" si="8"/>
        <v>0</v>
      </c>
      <c r="L70" s="199"/>
    </row>
    <row r="71" spans="1:12">
      <c r="A71" s="199">
        <v>8</v>
      </c>
      <c r="B71" s="200">
        <f t="shared" si="1"/>
        <v>0</v>
      </c>
      <c r="C71" s="200">
        <f t="shared" si="2"/>
        <v>0</v>
      </c>
      <c r="D71" s="200">
        <f t="shared" si="3"/>
        <v>0</v>
      </c>
      <c r="E71" s="200">
        <f t="shared" si="4"/>
        <v>0</v>
      </c>
      <c r="F71" s="199"/>
      <c r="G71" s="199">
        <v>8</v>
      </c>
      <c r="H71" s="200">
        <f t="shared" si="5"/>
        <v>0</v>
      </c>
      <c r="I71" s="200">
        <f t="shared" si="6"/>
        <v>0</v>
      </c>
      <c r="J71" s="200">
        <f t="shared" si="7"/>
        <v>0</v>
      </c>
      <c r="K71" s="200">
        <f t="shared" si="8"/>
        <v>0</v>
      </c>
      <c r="L71" s="199"/>
    </row>
    <row r="72" spans="1:12">
      <c r="A72" s="199">
        <v>9</v>
      </c>
      <c r="B72" s="200">
        <f t="shared" si="1"/>
        <v>0</v>
      </c>
      <c r="C72" s="200">
        <f t="shared" si="2"/>
        <v>0</v>
      </c>
      <c r="D72" s="200">
        <f t="shared" si="3"/>
        <v>0</v>
      </c>
      <c r="E72" s="200">
        <f t="shared" si="4"/>
        <v>0</v>
      </c>
      <c r="F72" s="199"/>
      <c r="G72" s="199">
        <v>9</v>
      </c>
      <c r="H72" s="200">
        <f t="shared" si="5"/>
        <v>0</v>
      </c>
      <c r="I72" s="200">
        <f t="shared" si="6"/>
        <v>0</v>
      </c>
      <c r="J72" s="200">
        <f t="shared" si="7"/>
        <v>0</v>
      </c>
      <c r="K72" s="200">
        <f t="shared" si="8"/>
        <v>0</v>
      </c>
      <c r="L72" s="199"/>
    </row>
    <row r="73" spans="1:12">
      <c r="A73" s="199">
        <v>10</v>
      </c>
      <c r="B73" s="200">
        <f t="shared" si="1"/>
        <v>0</v>
      </c>
      <c r="C73" s="200">
        <f t="shared" si="2"/>
        <v>0</v>
      </c>
      <c r="D73" s="200">
        <f t="shared" si="3"/>
        <v>0</v>
      </c>
      <c r="E73" s="200">
        <f t="shared" si="4"/>
        <v>0</v>
      </c>
      <c r="F73" s="199"/>
      <c r="G73" s="199">
        <v>10</v>
      </c>
      <c r="H73" s="200">
        <f t="shared" si="5"/>
        <v>0</v>
      </c>
      <c r="I73" s="200">
        <f t="shared" si="6"/>
        <v>0</v>
      </c>
      <c r="J73" s="200">
        <f t="shared" si="7"/>
        <v>0</v>
      </c>
      <c r="K73" s="200">
        <f t="shared" si="8"/>
        <v>0</v>
      </c>
      <c r="L73" s="199"/>
    </row>
    <row r="74" spans="1:12">
      <c r="A74" s="199">
        <v>11</v>
      </c>
      <c r="B74" s="200">
        <f t="shared" si="1"/>
        <v>0</v>
      </c>
      <c r="C74" s="200">
        <f t="shared" si="2"/>
        <v>0</v>
      </c>
      <c r="D74" s="200">
        <f t="shared" si="3"/>
        <v>0</v>
      </c>
      <c r="E74" s="200">
        <f t="shared" si="4"/>
        <v>0</v>
      </c>
      <c r="F74" s="199"/>
      <c r="G74" s="199">
        <v>11</v>
      </c>
      <c r="H74" s="200">
        <f t="shared" si="5"/>
        <v>0</v>
      </c>
      <c r="I74" s="200">
        <f t="shared" si="6"/>
        <v>0</v>
      </c>
      <c r="J74" s="200">
        <f t="shared" si="7"/>
        <v>0</v>
      </c>
      <c r="K74" s="200">
        <f t="shared" si="8"/>
        <v>0</v>
      </c>
      <c r="L74" s="199"/>
    </row>
    <row r="75" spans="1:12">
      <c r="A75" s="199">
        <v>12</v>
      </c>
      <c r="B75" s="200">
        <f t="shared" si="1"/>
        <v>0</v>
      </c>
      <c r="C75" s="200">
        <f t="shared" si="2"/>
        <v>0</v>
      </c>
      <c r="D75" s="200">
        <f t="shared" si="3"/>
        <v>0</v>
      </c>
      <c r="E75" s="200">
        <f t="shared" si="4"/>
        <v>0</v>
      </c>
      <c r="F75" s="199">
        <v>1</v>
      </c>
      <c r="G75" s="199">
        <v>12</v>
      </c>
      <c r="H75" s="200">
        <f t="shared" si="5"/>
        <v>0</v>
      </c>
      <c r="I75" s="200">
        <f t="shared" si="6"/>
        <v>0</v>
      </c>
      <c r="J75" s="200">
        <f t="shared" si="7"/>
        <v>0</v>
      </c>
      <c r="K75" s="200">
        <f t="shared" si="8"/>
        <v>0</v>
      </c>
      <c r="L75" s="199">
        <v>1</v>
      </c>
    </row>
    <row r="76" spans="1:12">
      <c r="A76" s="199">
        <v>13</v>
      </c>
      <c r="B76" s="200">
        <f t="shared" si="1"/>
        <v>0</v>
      </c>
      <c r="C76" s="200">
        <f t="shared" si="2"/>
        <v>0</v>
      </c>
      <c r="D76" s="200">
        <f t="shared" si="3"/>
        <v>0</v>
      </c>
      <c r="E76" s="200">
        <f t="shared" si="4"/>
        <v>0</v>
      </c>
      <c r="F76" s="199"/>
      <c r="G76" s="199">
        <v>13</v>
      </c>
      <c r="H76" s="200">
        <f t="shared" si="5"/>
        <v>0</v>
      </c>
      <c r="I76" s="200">
        <f t="shared" si="6"/>
        <v>0</v>
      </c>
      <c r="J76" s="200">
        <f t="shared" si="7"/>
        <v>0</v>
      </c>
      <c r="K76" s="200">
        <f t="shared" si="8"/>
        <v>0</v>
      </c>
      <c r="L76" s="199"/>
    </row>
    <row r="77" spans="1:12">
      <c r="A77" s="199">
        <v>14</v>
      </c>
      <c r="B77" s="200">
        <f t="shared" si="1"/>
        <v>0</v>
      </c>
      <c r="C77" s="200">
        <f t="shared" si="2"/>
        <v>0</v>
      </c>
      <c r="D77" s="200">
        <f t="shared" si="3"/>
        <v>0</v>
      </c>
      <c r="E77" s="200">
        <f t="shared" si="4"/>
        <v>0</v>
      </c>
      <c r="F77" s="199"/>
      <c r="G77" s="199">
        <v>14</v>
      </c>
      <c r="H77" s="200">
        <f t="shared" si="5"/>
        <v>0</v>
      </c>
      <c r="I77" s="200">
        <f t="shared" si="6"/>
        <v>0</v>
      </c>
      <c r="J77" s="200">
        <f t="shared" si="7"/>
        <v>0</v>
      </c>
      <c r="K77" s="200">
        <f t="shared" si="8"/>
        <v>0</v>
      </c>
      <c r="L77" s="199"/>
    </row>
    <row r="78" spans="1:12">
      <c r="A78" s="199">
        <v>15</v>
      </c>
      <c r="B78" s="200">
        <f t="shared" si="1"/>
        <v>0</v>
      </c>
      <c r="C78" s="200">
        <f t="shared" si="2"/>
        <v>0</v>
      </c>
      <c r="D78" s="200">
        <f t="shared" si="3"/>
        <v>0</v>
      </c>
      <c r="E78" s="200">
        <f t="shared" si="4"/>
        <v>0</v>
      </c>
      <c r="F78" s="199"/>
      <c r="G78" s="199">
        <v>15</v>
      </c>
      <c r="H78" s="200">
        <f t="shared" si="5"/>
        <v>0</v>
      </c>
      <c r="I78" s="200">
        <f t="shared" si="6"/>
        <v>0</v>
      </c>
      <c r="J78" s="200">
        <f t="shared" si="7"/>
        <v>0</v>
      </c>
      <c r="K78" s="200">
        <f t="shared" si="8"/>
        <v>0</v>
      </c>
      <c r="L78" s="199"/>
    </row>
    <row r="79" spans="1:12">
      <c r="A79" s="199">
        <v>16</v>
      </c>
      <c r="B79" s="200">
        <f t="shared" si="1"/>
        <v>0</v>
      </c>
      <c r="C79" s="200">
        <f t="shared" si="2"/>
        <v>0</v>
      </c>
      <c r="D79" s="200">
        <f t="shared" si="3"/>
        <v>0</v>
      </c>
      <c r="E79" s="200">
        <f t="shared" si="4"/>
        <v>0</v>
      </c>
      <c r="F79" s="199"/>
      <c r="G79" s="199">
        <v>16</v>
      </c>
      <c r="H79" s="200">
        <f t="shared" si="5"/>
        <v>0</v>
      </c>
      <c r="I79" s="200">
        <f t="shared" si="6"/>
        <v>0</v>
      </c>
      <c r="J79" s="200">
        <f t="shared" si="7"/>
        <v>0</v>
      </c>
      <c r="K79" s="200">
        <f t="shared" si="8"/>
        <v>0</v>
      </c>
      <c r="L79" s="199"/>
    </row>
    <row r="80" spans="1:12">
      <c r="A80" s="199">
        <v>17</v>
      </c>
      <c r="B80" s="200">
        <f t="shared" si="1"/>
        <v>0</v>
      </c>
      <c r="C80" s="200">
        <f t="shared" si="2"/>
        <v>0</v>
      </c>
      <c r="D80" s="200">
        <f t="shared" si="3"/>
        <v>0</v>
      </c>
      <c r="E80" s="200">
        <f t="shared" si="4"/>
        <v>0</v>
      </c>
      <c r="F80" s="199"/>
      <c r="G80" s="199">
        <v>17</v>
      </c>
      <c r="H80" s="200">
        <f t="shared" si="5"/>
        <v>0</v>
      </c>
      <c r="I80" s="200">
        <f t="shared" si="6"/>
        <v>0</v>
      </c>
      <c r="J80" s="200">
        <f t="shared" si="7"/>
        <v>0</v>
      </c>
      <c r="K80" s="200">
        <f t="shared" si="8"/>
        <v>0</v>
      </c>
      <c r="L80" s="199"/>
    </row>
    <row r="81" spans="1:12">
      <c r="A81" s="199">
        <v>18</v>
      </c>
      <c r="B81" s="200">
        <f t="shared" si="1"/>
        <v>0</v>
      </c>
      <c r="C81" s="200">
        <f t="shared" si="2"/>
        <v>0</v>
      </c>
      <c r="D81" s="200">
        <f t="shared" si="3"/>
        <v>0</v>
      </c>
      <c r="E81" s="200">
        <f t="shared" si="4"/>
        <v>0</v>
      </c>
      <c r="F81" s="199"/>
      <c r="G81" s="199">
        <v>18</v>
      </c>
      <c r="H81" s="200">
        <f t="shared" si="5"/>
        <v>0</v>
      </c>
      <c r="I81" s="200">
        <f t="shared" si="6"/>
        <v>0</v>
      </c>
      <c r="J81" s="200">
        <f t="shared" si="7"/>
        <v>0</v>
      </c>
      <c r="K81" s="200">
        <f t="shared" si="8"/>
        <v>0</v>
      </c>
      <c r="L81" s="199"/>
    </row>
    <row r="82" spans="1:12">
      <c r="A82" s="199">
        <v>19</v>
      </c>
      <c r="B82" s="200">
        <f t="shared" si="1"/>
        <v>0</v>
      </c>
      <c r="C82" s="200">
        <f t="shared" si="2"/>
        <v>0</v>
      </c>
      <c r="D82" s="200">
        <f t="shared" si="3"/>
        <v>0</v>
      </c>
      <c r="E82" s="200">
        <f t="shared" si="4"/>
        <v>0</v>
      </c>
      <c r="F82" s="199"/>
      <c r="G82" s="199">
        <v>19</v>
      </c>
      <c r="H82" s="200">
        <f t="shared" si="5"/>
        <v>0</v>
      </c>
      <c r="I82" s="200">
        <f t="shared" si="6"/>
        <v>0</v>
      </c>
      <c r="J82" s="200">
        <f t="shared" si="7"/>
        <v>0</v>
      </c>
      <c r="K82" s="200">
        <f t="shared" si="8"/>
        <v>0</v>
      </c>
      <c r="L82" s="199"/>
    </row>
    <row r="83" spans="1:12">
      <c r="A83" s="199">
        <v>20</v>
      </c>
      <c r="B83" s="200">
        <f t="shared" si="1"/>
        <v>0</v>
      </c>
      <c r="C83" s="200">
        <f t="shared" si="2"/>
        <v>0</v>
      </c>
      <c r="D83" s="200">
        <f t="shared" si="3"/>
        <v>0</v>
      </c>
      <c r="E83" s="200">
        <f t="shared" si="4"/>
        <v>0</v>
      </c>
      <c r="F83" s="199"/>
      <c r="G83" s="199">
        <v>20</v>
      </c>
      <c r="H83" s="200">
        <f t="shared" si="5"/>
        <v>0</v>
      </c>
      <c r="I83" s="200">
        <f t="shared" si="6"/>
        <v>0</v>
      </c>
      <c r="J83" s="200">
        <f t="shared" si="7"/>
        <v>0</v>
      </c>
      <c r="K83" s="200">
        <f t="shared" si="8"/>
        <v>0</v>
      </c>
      <c r="L83" s="199"/>
    </row>
    <row r="84" spans="1:12">
      <c r="A84" s="199">
        <v>21</v>
      </c>
      <c r="B84" s="200">
        <f t="shared" si="1"/>
        <v>0</v>
      </c>
      <c r="C84" s="200">
        <f t="shared" si="2"/>
        <v>0</v>
      </c>
      <c r="D84" s="200">
        <f t="shared" si="3"/>
        <v>0</v>
      </c>
      <c r="E84" s="200">
        <f t="shared" si="4"/>
        <v>0</v>
      </c>
      <c r="F84" s="199"/>
      <c r="G84" s="199">
        <v>21</v>
      </c>
      <c r="H84" s="200">
        <f t="shared" si="5"/>
        <v>0</v>
      </c>
      <c r="I84" s="200">
        <f t="shared" si="6"/>
        <v>0</v>
      </c>
      <c r="J84" s="200">
        <f t="shared" si="7"/>
        <v>0</v>
      </c>
      <c r="K84" s="200">
        <f t="shared" si="8"/>
        <v>0</v>
      </c>
      <c r="L84" s="199"/>
    </row>
    <row r="85" spans="1:12">
      <c r="A85" s="199">
        <v>22</v>
      </c>
      <c r="B85" s="200">
        <f t="shared" si="1"/>
        <v>0</v>
      </c>
      <c r="C85" s="200">
        <f t="shared" si="2"/>
        <v>0</v>
      </c>
      <c r="D85" s="200">
        <f t="shared" si="3"/>
        <v>0</v>
      </c>
      <c r="E85" s="200">
        <f t="shared" si="4"/>
        <v>0</v>
      </c>
      <c r="F85" s="199"/>
      <c r="G85" s="199">
        <v>22</v>
      </c>
      <c r="H85" s="200">
        <f t="shared" si="5"/>
        <v>0</v>
      </c>
      <c r="I85" s="200">
        <f t="shared" si="6"/>
        <v>0</v>
      </c>
      <c r="J85" s="200">
        <f t="shared" si="7"/>
        <v>0</v>
      </c>
      <c r="K85" s="200">
        <f t="shared" si="8"/>
        <v>0</v>
      </c>
      <c r="L85" s="199"/>
    </row>
    <row r="86" spans="1:12">
      <c r="A86" s="199">
        <v>23</v>
      </c>
      <c r="B86" s="200">
        <f t="shared" si="1"/>
        <v>0</v>
      </c>
      <c r="C86" s="200">
        <f t="shared" si="2"/>
        <v>0</v>
      </c>
      <c r="D86" s="200">
        <f t="shared" si="3"/>
        <v>0</v>
      </c>
      <c r="E86" s="200">
        <f t="shared" si="4"/>
        <v>0</v>
      </c>
      <c r="F86" s="199"/>
      <c r="G86" s="199">
        <v>23</v>
      </c>
      <c r="H86" s="200">
        <f t="shared" si="5"/>
        <v>0</v>
      </c>
      <c r="I86" s="200">
        <f t="shared" si="6"/>
        <v>0</v>
      </c>
      <c r="J86" s="200">
        <f t="shared" si="7"/>
        <v>0</v>
      </c>
      <c r="K86" s="200">
        <f t="shared" si="8"/>
        <v>0</v>
      </c>
      <c r="L86" s="199"/>
    </row>
    <row r="87" spans="1:12">
      <c r="A87" s="199">
        <v>24</v>
      </c>
      <c r="B87" s="200">
        <f t="shared" si="1"/>
        <v>0</v>
      </c>
      <c r="C87" s="200">
        <f t="shared" si="2"/>
        <v>0</v>
      </c>
      <c r="D87" s="200">
        <f t="shared" si="3"/>
        <v>0</v>
      </c>
      <c r="E87" s="200">
        <f t="shared" si="4"/>
        <v>0</v>
      </c>
      <c r="F87" s="199">
        <v>2</v>
      </c>
      <c r="G87" s="199">
        <v>24</v>
      </c>
      <c r="H87" s="200">
        <f t="shared" si="5"/>
        <v>0</v>
      </c>
      <c r="I87" s="200">
        <f t="shared" si="6"/>
        <v>0</v>
      </c>
      <c r="J87" s="200">
        <f t="shared" si="7"/>
        <v>0</v>
      </c>
      <c r="K87" s="200">
        <f t="shared" si="8"/>
        <v>0</v>
      </c>
      <c r="L87" s="199">
        <v>2</v>
      </c>
    </row>
    <row r="88" spans="1:12">
      <c r="A88" s="199">
        <v>25</v>
      </c>
      <c r="B88" s="200">
        <f t="shared" si="1"/>
        <v>0</v>
      </c>
      <c r="C88" s="200">
        <f t="shared" si="2"/>
        <v>0</v>
      </c>
      <c r="D88" s="200">
        <f t="shared" si="3"/>
        <v>0</v>
      </c>
      <c r="E88" s="200">
        <f t="shared" si="4"/>
        <v>0</v>
      </c>
      <c r="F88" s="199"/>
      <c r="G88" s="199">
        <v>25</v>
      </c>
      <c r="H88" s="200">
        <f t="shared" si="5"/>
        <v>0</v>
      </c>
      <c r="I88" s="200">
        <f t="shared" si="6"/>
        <v>0</v>
      </c>
      <c r="J88" s="200">
        <f t="shared" si="7"/>
        <v>0</v>
      </c>
      <c r="K88" s="200">
        <f t="shared" si="8"/>
        <v>0</v>
      </c>
      <c r="L88" s="199"/>
    </row>
    <row r="89" spans="1:12">
      <c r="A89" s="199">
        <v>26</v>
      </c>
      <c r="B89" s="200">
        <f t="shared" si="1"/>
        <v>0</v>
      </c>
      <c r="C89" s="200">
        <f t="shared" si="2"/>
        <v>0</v>
      </c>
      <c r="D89" s="200">
        <f t="shared" si="3"/>
        <v>0</v>
      </c>
      <c r="E89" s="200">
        <f t="shared" si="4"/>
        <v>0</v>
      </c>
      <c r="F89" s="199"/>
      <c r="G89" s="199">
        <v>26</v>
      </c>
      <c r="H89" s="200">
        <f t="shared" si="5"/>
        <v>0</v>
      </c>
      <c r="I89" s="200">
        <f t="shared" si="6"/>
        <v>0</v>
      </c>
      <c r="J89" s="200">
        <f t="shared" si="7"/>
        <v>0</v>
      </c>
      <c r="K89" s="200">
        <f t="shared" si="8"/>
        <v>0</v>
      </c>
      <c r="L89" s="199"/>
    </row>
    <row r="90" spans="1:12">
      <c r="A90" s="199">
        <v>27</v>
      </c>
      <c r="B90" s="200">
        <f t="shared" si="1"/>
        <v>0</v>
      </c>
      <c r="C90" s="200">
        <f t="shared" si="2"/>
        <v>0</v>
      </c>
      <c r="D90" s="200">
        <f t="shared" si="3"/>
        <v>0</v>
      </c>
      <c r="E90" s="200">
        <f t="shared" si="4"/>
        <v>0</v>
      </c>
      <c r="F90" s="199"/>
      <c r="G90" s="199">
        <v>27</v>
      </c>
      <c r="H90" s="200">
        <f t="shared" si="5"/>
        <v>0</v>
      </c>
      <c r="I90" s="200">
        <f t="shared" si="6"/>
        <v>0</v>
      </c>
      <c r="J90" s="200">
        <f t="shared" si="7"/>
        <v>0</v>
      </c>
      <c r="K90" s="200">
        <f t="shared" si="8"/>
        <v>0</v>
      </c>
      <c r="L90" s="199"/>
    </row>
    <row r="91" spans="1:12">
      <c r="A91" s="199">
        <v>28</v>
      </c>
      <c r="B91" s="200">
        <f t="shared" si="1"/>
        <v>0</v>
      </c>
      <c r="C91" s="200">
        <f t="shared" si="2"/>
        <v>0</v>
      </c>
      <c r="D91" s="200">
        <f t="shared" si="3"/>
        <v>0</v>
      </c>
      <c r="E91" s="200">
        <f t="shared" si="4"/>
        <v>0</v>
      </c>
      <c r="F91" s="199"/>
      <c r="G91" s="199">
        <v>28</v>
      </c>
      <c r="H91" s="200">
        <f t="shared" si="5"/>
        <v>0</v>
      </c>
      <c r="I91" s="200">
        <f t="shared" si="6"/>
        <v>0</v>
      </c>
      <c r="J91" s="200">
        <f t="shared" si="7"/>
        <v>0</v>
      </c>
      <c r="K91" s="200">
        <f t="shared" si="8"/>
        <v>0</v>
      </c>
      <c r="L91" s="199"/>
    </row>
    <row r="92" spans="1:12">
      <c r="A92" s="199">
        <v>29</v>
      </c>
      <c r="B92" s="200">
        <f t="shared" si="1"/>
        <v>0</v>
      </c>
      <c r="C92" s="200">
        <f t="shared" si="2"/>
        <v>0</v>
      </c>
      <c r="D92" s="200">
        <f t="shared" si="3"/>
        <v>0</v>
      </c>
      <c r="E92" s="200">
        <f t="shared" si="4"/>
        <v>0</v>
      </c>
      <c r="F92" s="199"/>
      <c r="G92" s="199">
        <v>29</v>
      </c>
      <c r="H92" s="200">
        <f t="shared" si="5"/>
        <v>0</v>
      </c>
      <c r="I92" s="200">
        <f t="shared" si="6"/>
        <v>0</v>
      </c>
      <c r="J92" s="200">
        <f t="shared" si="7"/>
        <v>0</v>
      </c>
      <c r="K92" s="200">
        <f t="shared" si="8"/>
        <v>0</v>
      </c>
      <c r="L92" s="199"/>
    </row>
    <row r="93" spans="1:12">
      <c r="A93" s="199">
        <v>30</v>
      </c>
      <c r="B93" s="200">
        <f t="shared" si="1"/>
        <v>0</v>
      </c>
      <c r="C93" s="200">
        <f t="shared" si="2"/>
        <v>0</v>
      </c>
      <c r="D93" s="200">
        <f t="shared" si="3"/>
        <v>0</v>
      </c>
      <c r="E93" s="200">
        <f t="shared" si="4"/>
        <v>0</v>
      </c>
      <c r="F93" s="199"/>
      <c r="G93" s="199">
        <v>30</v>
      </c>
      <c r="H93" s="200">
        <f t="shared" si="5"/>
        <v>0</v>
      </c>
      <c r="I93" s="200">
        <f t="shared" si="6"/>
        <v>0</v>
      </c>
      <c r="J93" s="200">
        <f t="shared" si="7"/>
        <v>0</v>
      </c>
      <c r="K93" s="200">
        <f t="shared" si="8"/>
        <v>0</v>
      </c>
      <c r="L93" s="199"/>
    </row>
    <row r="94" spans="1:12">
      <c r="A94" s="199">
        <v>31</v>
      </c>
      <c r="B94" s="200">
        <f t="shared" si="1"/>
        <v>0</v>
      </c>
      <c r="C94" s="200">
        <f t="shared" si="2"/>
        <v>0</v>
      </c>
      <c r="D94" s="200">
        <f t="shared" si="3"/>
        <v>0</v>
      </c>
      <c r="E94" s="200">
        <f t="shared" si="4"/>
        <v>0</v>
      </c>
      <c r="F94" s="199"/>
      <c r="G94" s="199">
        <v>31</v>
      </c>
      <c r="H94" s="200">
        <f t="shared" si="5"/>
        <v>0</v>
      </c>
      <c r="I94" s="200">
        <f t="shared" si="6"/>
        <v>0</v>
      </c>
      <c r="J94" s="200">
        <f t="shared" si="7"/>
        <v>0</v>
      </c>
      <c r="K94" s="200">
        <f t="shared" si="8"/>
        <v>0</v>
      </c>
      <c r="L94" s="199"/>
    </row>
    <row r="95" spans="1:12">
      <c r="A95" s="199">
        <v>32</v>
      </c>
      <c r="B95" s="200">
        <f t="shared" si="1"/>
        <v>0</v>
      </c>
      <c r="C95" s="200">
        <f t="shared" si="2"/>
        <v>0</v>
      </c>
      <c r="D95" s="200">
        <f t="shared" si="3"/>
        <v>0</v>
      </c>
      <c r="E95" s="200">
        <f t="shared" si="4"/>
        <v>0</v>
      </c>
      <c r="F95" s="199"/>
      <c r="G95" s="199">
        <v>32</v>
      </c>
      <c r="H95" s="200">
        <f t="shared" si="5"/>
        <v>0</v>
      </c>
      <c r="I95" s="200">
        <f t="shared" si="6"/>
        <v>0</v>
      </c>
      <c r="J95" s="200">
        <f t="shared" si="7"/>
        <v>0</v>
      </c>
      <c r="K95" s="200">
        <f t="shared" si="8"/>
        <v>0</v>
      </c>
      <c r="L95" s="199"/>
    </row>
    <row r="96" spans="1:12">
      <c r="A96" s="199">
        <v>33</v>
      </c>
      <c r="B96" s="200">
        <f t="shared" si="1"/>
        <v>0</v>
      </c>
      <c r="C96" s="200">
        <f t="shared" si="2"/>
        <v>0</v>
      </c>
      <c r="D96" s="200">
        <f t="shared" si="3"/>
        <v>0</v>
      </c>
      <c r="E96" s="200">
        <f t="shared" si="4"/>
        <v>0</v>
      </c>
      <c r="F96" s="199"/>
      <c r="G96" s="199">
        <v>33</v>
      </c>
      <c r="H96" s="200">
        <f t="shared" si="5"/>
        <v>0</v>
      </c>
      <c r="I96" s="200">
        <f t="shared" si="6"/>
        <v>0</v>
      </c>
      <c r="J96" s="200">
        <f t="shared" si="7"/>
        <v>0</v>
      </c>
      <c r="K96" s="200">
        <f t="shared" si="8"/>
        <v>0</v>
      </c>
      <c r="L96" s="199"/>
    </row>
    <row r="97" spans="1:12">
      <c r="A97" s="199">
        <v>34</v>
      </c>
      <c r="B97" s="200">
        <f t="shared" si="1"/>
        <v>0</v>
      </c>
      <c r="C97" s="200">
        <f t="shared" si="2"/>
        <v>0</v>
      </c>
      <c r="D97" s="200">
        <f t="shared" si="3"/>
        <v>0</v>
      </c>
      <c r="E97" s="200">
        <f t="shared" si="4"/>
        <v>0</v>
      </c>
      <c r="F97" s="199"/>
      <c r="G97" s="199">
        <v>34</v>
      </c>
      <c r="H97" s="200">
        <f t="shared" si="5"/>
        <v>0</v>
      </c>
      <c r="I97" s="200">
        <f t="shared" si="6"/>
        <v>0</v>
      </c>
      <c r="J97" s="200">
        <f t="shared" si="7"/>
        <v>0</v>
      </c>
      <c r="K97" s="200">
        <f t="shared" si="8"/>
        <v>0</v>
      </c>
      <c r="L97" s="199"/>
    </row>
    <row r="98" spans="1:12">
      <c r="A98" s="199">
        <v>35</v>
      </c>
      <c r="B98" s="200">
        <f t="shared" si="1"/>
        <v>0</v>
      </c>
      <c r="C98" s="200">
        <f t="shared" si="2"/>
        <v>0</v>
      </c>
      <c r="D98" s="200">
        <f t="shared" si="3"/>
        <v>0</v>
      </c>
      <c r="E98" s="200">
        <f t="shared" si="4"/>
        <v>0</v>
      </c>
      <c r="F98" s="199"/>
      <c r="G98" s="199">
        <v>35</v>
      </c>
      <c r="H98" s="200">
        <f t="shared" si="5"/>
        <v>0</v>
      </c>
      <c r="I98" s="200">
        <f t="shared" si="6"/>
        <v>0</v>
      </c>
      <c r="J98" s="200">
        <f t="shared" si="7"/>
        <v>0</v>
      </c>
      <c r="K98" s="200">
        <f t="shared" si="8"/>
        <v>0</v>
      </c>
      <c r="L98" s="199"/>
    </row>
    <row r="99" spans="1:12">
      <c r="A99" s="199">
        <v>36</v>
      </c>
      <c r="B99" s="200">
        <f t="shared" si="1"/>
        <v>0</v>
      </c>
      <c r="C99" s="200">
        <f t="shared" si="2"/>
        <v>0</v>
      </c>
      <c r="D99" s="200">
        <f t="shared" si="3"/>
        <v>0</v>
      </c>
      <c r="E99" s="200">
        <f t="shared" si="4"/>
        <v>0</v>
      </c>
      <c r="F99" s="199">
        <v>3</v>
      </c>
      <c r="G99" s="199">
        <v>36</v>
      </c>
      <c r="H99" s="200">
        <f t="shared" si="5"/>
        <v>0</v>
      </c>
      <c r="I99" s="200">
        <f t="shared" si="6"/>
        <v>0</v>
      </c>
      <c r="J99" s="200">
        <f t="shared" si="7"/>
        <v>0</v>
      </c>
      <c r="K99" s="200">
        <f t="shared" si="8"/>
        <v>0</v>
      </c>
      <c r="L99" s="199">
        <v>3</v>
      </c>
    </row>
    <row r="100" spans="1:12">
      <c r="A100" s="199">
        <v>37</v>
      </c>
      <c r="B100" s="200">
        <f t="shared" si="1"/>
        <v>0</v>
      </c>
      <c r="C100" s="200">
        <f t="shared" si="2"/>
        <v>0</v>
      </c>
      <c r="D100" s="200">
        <f t="shared" si="3"/>
        <v>0</v>
      </c>
      <c r="E100" s="200">
        <f t="shared" si="4"/>
        <v>0</v>
      </c>
      <c r="F100" s="199"/>
      <c r="G100" s="199">
        <v>37</v>
      </c>
      <c r="H100" s="200">
        <f t="shared" si="5"/>
        <v>0</v>
      </c>
      <c r="I100" s="200">
        <f t="shared" si="6"/>
        <v>0</v>
      </c>
      <c r="J100" s="200">
        <f t="shared" si="7"/>
        <v>0</v>
      </c>
      <c r="K100" s="200">
        <f t="shared" si="8"/>
        <v>0</v>
      </c>
      <c r="L100" s="199"/>
    </row>
    <row r="101" spans="1:12">
      <c r="A101" s="199">
        <v>38</v>
      </c>
      <c r="B101" s="200">
        <f t="shared" si="1"/>
        <v>0</v>
      </c>
      <c r="C101" s="200">
        <f t="shared" si="2"/>
        <v>0</v>
      </c>
      <c r="D101" s="200">
        <f t="shared" si="3"/>
        <v>0</v>
      </c>
      <c r="E101" s="200">
        <f t="shared" si="4"/>
        <v>0</v>
      </c>
      <c r="F101" s="199"/>
      <c r="G101" s="199">
        <v>38</v>
      </c>
      <c r="H101" s="200">
        <f t="shared" si="5"/>
        <v>0</v>
      </c>
      <c r="I101" s="200">
        <f t="shared" si="6"/>
        <v>0</v>
      </c>
      <c r="J101" s="200">
        <f t="shared" si="7"/>
        <v>0</v>
      </c>
      <c r="K101" s="200">
        <f t="shared" si="8"/>
        <v>0</v>
      </c>
      <c r="L101" s="199"/>
    </row>
    <row r="102" spans="1:12">
      <c r="A102" s="199">
        <v>39</v>
      </c>
      <c r="B102" s="200">
        <f t="shared" si="1"/>
        <v>0</v>
      </c>
      <c r="C102" s="200">
        <f t="shared" si="2"/>
        <v>0</v>
      </c>
      <c r="D102" s="200">
        <f t="shared" si="3"/>
        <v>0</v>
      </c>
      <c r="E102" s="200">
        <f t="shared" si="4"/>
        <v>0</v>
      </c>
      <c r="F102" s="199"/>
      <c r="G102" s="199">
        <v>39</v>
      </c>
      <c r="H102" s="200">
        <f t="shared" si="5"/>
        <v>0</v>
      </c>
      <c r="I102" s="200">
        <f t="shared" si="6"/>
        <v>0</v>
      </c>
      <c r="J102" s="200">
        <f t="shared" si="7"/>
        <v>0</v>
      </c>
      <c r="K102" s="200">
        <f t="shared" si="8"/>
        <v>0</v>
      </c>
      <c r="L102" s="199"/>
    </row>
    <row r="103" spans="1:12">
      <c r="A103" s="199">
        <v>40</v>
      </c>
      <c r="B103" s="200">
        <f t="shared" si="1"/>
        <v>0</v>
      </c>
      <c r="C103" s="200">
        <f t="shared" si="2"/>
        <v>0</v>
      </c>
      <c r="D103" s="200">
        <f t="shared" si="3"/>
        <v>0</v>
      </c>
      <c r="E103" s="200">
        <f t="shared" si="4"/>
        <v>0</v>
      </c>
      <c r="F103" s="199"/>
      <c r="G103" s="199">
        <v>40</v>
      </c>
      <c r="H103" s="200">
        <f t="shared" si="5"/>
        <v>0</v>
      </c>
      <c r="I103" s="200">
        <f t="shared" si="6"/>
        <v>0</v>
      </c>
      <c r="J103" s="200">
        <f t="shared" si="7"/>
        <v>0</v>
      </c>
      <c r="K103" s="200">
        <f t="shared" si="8"/>
        <v>0</v>
      </c>
      <c r="L103" s="199"/>
    </row>
    <row r="104" spans="1:12">
      <c r="A104" s="199">
        <v>41</v>
      </c>
      <c r="B104" s="200">
        <f t="shared" si="1"/>
        <v>0</v>
      </c>
      <c r="C104" s="200">
        <f t="shared" si="2"/>
        <v>0</v>
      </c>
      <c r="D104" s="200">
        <f t="shared" si="3"/>
        <v>0</v>
      </c>
      <c r="E104" s="200">
        <f t="shared" si="4"/>
        <v>0</v>
      </c>
      <c r="F104" s="199"/>
      <c r="G104" s="199">
        <v>41</v>
      </c>
      <c r="H104" s="200">
        <f t="shared" si="5"/>
        <v>0</v>
      </c>
      <c r="I104" s="200">
        <f t="shared" si="6"/>
        <v>0</v>
      </c>
      <c r="J104" s="200">
        <f t="shared" si="7"/>
        <v>0</v>
      </c>
      <c r="K104" s="200">
        <f t="shared" si="8"/>
        <v>0</v>
      </c>
      <c r="L104" s="199"/>
    </row>
    <row r="105" spans="1:12">
      <c r="A105" s="199">
        <v>42</v>
      </c>
      <c r="B105" s="200">
        <f t="shared" si="1"/>
        <v>0</v>
      </c>
      <c r="C105" s="200">
        <f t="shared" si="2"/>
        <v>0</v>
      </c>
      <c r="D105" s="200">
        <f t="shared" si="3"/>
        <v>0</v>
      </c>
      <c r="E105" s="200">
        <f t="shared" si="4"/>
        <v>0</v>
      </c>
      <c r="F105" s="199"/>
      <c r="G105" s="199">
        <v>42</v>
      </c>
      <c r="H105" s="200">
        <f t="shared" si="5"/>
        <v>0</v>
      </c>
      <c r="I105" s="200">
        <f t="shared" si="6"/>
        <v>0</v>
      </c>
      <c r="J105" s="200">
        <f t="shared" si="7"/>
        <v>0</v>
      </c>
      <c r="K105" s="200">
        <f t="shared" si="8"/>
        <v>0</v>
      </c>
      <c r="L105" s="199"/>
    </row>
    <row r="106" spans="1:12">
      <c r="A106" s="199">
        <v>43</v>
      </c>
      <c r="B106" s="200">
        <f t="shared" si="1"/>
        <v>0</v>
      </c>
      <c r="C106" s="200">
        <f t="shared" si="2"/>
        <v>0</v>
      </c>
      <c r="D106" s="200">
        <f t="shared" si="3"/>
        <v>0</v>
      </c>
      <c r="E106" s="200">
        <f t="shared" si="4"/>
        <v>0</v>
      </c>
      <c r="F106" s="199"/>
      <c r="G106" s="199">
        <v>43</v>
      </c>
      <c r="H106" s="200">
        <f t="shared" si="5"/>
        <v>0</v>
      </c>
      <c r="I106" s="200">
        <f t="shared" si="6"/>
        <v>0</v>
      </c>
      <c r="J106" s="200">
        <f t="shared" si="7"/>
        <v>0</v>
      </c>
      <c r="K106" s="200">
        <f t="shared" si="8"/>
        <v>0</v>
      </c>
      <c r="L106" s="199"/>
    </row>
    <row r="107" spans="1:12">
      <c r="A107" s="199">
        <v>44</v>
      </c>
      <c r="B107" s="200">
        <f t="shared" si="1"/>
        <v>0</v>
      </c>
      <c r="C107" s="200">
        <f t="shared" si="2"/>
        <v>0</v>
      </c>
      <c r="D107" s="200">
        <f t="shared" si="3"/>
        <v>0</v>
      </c>
      <c r="E107" s="200">
        <f t="shared" si="4"/>
        <v>0</v>
      </c>
      <c r="F107" s="199"/>
      <c r="G107" s="199">
        <v>44</v>
      </c>
      <c r="H107" s="200">
        <f t="shared" si="5"/>
        <v>0</v>
      </c>
      <c r="I107" s="200">
        <f t="shared" si="6"/>
        <v>0</v>
      </c>
      <c r="J107" s="200">
        <f t="shared" si="7"/>
        <v>0</v>
      </c>
      <c r="K107" s="200">
        <f t="shared" si="8"/>
        <v>0</v>
      </c>
      <c r="L107" s="199"/>
    </row>
    <row r="108" spans="1:12">
      <c r="A108" s="199">
        <v>45</v>
      </c>
      <c r="B108" s="200">
        <f t="shared" si="1"/>
        <v>0</v>
      </c>
      <c r="C108" s="200">
        <f t="shared" si="2"/>
        <v>0</v>
      </c>
      <c r="D108" s="200">
        <f t="shared" si="3"/>
        <v>0</v>
      </c>
      <c r="E108" s="200">
        <f t="shared" si="4"/>
        <v>0</v>
      </c>
      <c r="F108" s="199"/>
      <c r="G108" s="199">
        <v>45</v>
      </c>
      <c r="H108" s="200">
        <f t="shared" si="5"/>
        <v>0</v>
      </c>
      <c r="I108" s="200">
        <f t="shared" si="6"/>
        <v>0</v>
      </c>
      <c r="J108" s="200">
        <f t="shared" si="7"/>
        <v>0</v>
      </c>
      <c r="K108" s="200">
        <f t="shared" si="8"/>
        <v>0</v>
      </c>
      <c r="L108" s="199"/>
    </row>
    <row r="109" spans="1:12">
      <c r="A109" s="199">
        <v>46</v>
      </c>
      <c r="B109" s="200">
        <f t="shared" si="1"/>
        <v>0</v>
      </c>
      <c r="C109" s="200">
        <f t="shared" si="2"/>
        <v>0</v>
      </c>
      <c r="D109" s="200">
        <f t="shared" si="3"/>
        <v>0</v>
      </c>
      <c r="E109" s="200">
        <f t="shared" si="4"/>
        <v>0</v>
      </c>
      <c r="F109" s="199"/>
      <c r="G109" s="199">
        <v>46</v>
      </c>
      <c r="H109" s="200">
        <f t="shared" si="5"/>
        <v>0</v>
      </c>
      <c r="I109" s="200">
        <f t="shared" si="6"/>
        <v>0</v>
      </c>
      <c r="J109" s="200">
        <f t="shared" si="7"/>
        <v>0</v>
      </c>
      <c r="K109" s="200">
        <f t="shared" si="8"/>
        <v>0</v>
      </c>
      <c r="L109" s="199"/>
    </row>
    <row r="110" spans="1:12">
      <c r="A110" s="199">
        <v>47</v>
      </c>
      <c r="B110" s="200">
        <f t="shared" si="1"/>
        <v>0</v>
      </c>
      <c r="C110" s="200">
        <f t="shared" si="2"/>
        <v>0</v>
      </c>
      <c r="D110" s="200">
        <f t="shared" si="3"/>
        <v>0</v>
      </c>
      <c r="E110" s="200">
        <f t="shared" si="4"/>
        <v>0</v>
      </c>
      <c r="F110" s="199"/>
      <c r="G110" s="199">
        <v>47</v>
      </c>
      <c r="H110" s="200">
        <f t="shared" si="5"/>
        <v>0</v>
      </c>
      <c r="I110" s="200">
        <f t="shared" si="6"/>
        <v>0</v>
      </c>
      <c r="J110" s="200">
        <f t="shared" si="7"/>
        <v>0</v>
      </c>
      <c r="K110" s="200">
        <f t="shared" si="8"/>
        <v>0</v>
      </c>
      <c r="L110" s="199"/>
    </row>
    <row r="111" spans="1:12">
      <c r="A111" s="199">
        <v>48</v>
      </c>
      <c r="B111" s="200">
        <f t="shared" si="1"/>
        <v>0</v>
      </c>
      <c r="C111" s="200">
        <f t="shared" si="2"/>
        <v>0</v>
      </c>
      <c r="D111" s="200">
        <f t="shared" si="3"/>
        <v>0</v>
      </c>
      <c r="E111" s="200">
        <f t="shared" si="4"/>
        <v>0</v>
      </c>
      <c r="F111" s="199">
        <v>4</v>
      </c>
      <c r="G111" s="199">
        <v>48</v>
      </c>
      <c r="H111" s="200">
        <f t="shared" si="5"/>
        <v>0</v>
      </c>
      <c r="I111" s="200">
        <f t="shared" si="6"/>
        <v>0</v>
      </c>
      <c r="J111" s="200">
        <f t="shared" si="7"/>
        <v>0</v>
      </c>
      <c r="K111" s="200">
        <f t="shared" si="8"/>
        <v>0</v>
      </c>
      <c r="L111" s="199">
        <v>4</v>
      </c>
    </row>
    <row r="112" spans="1:12">
      <c r="A112" s="199">
        <v>49</v>
      </c>
      <c r="B112" s="200">
        <f t="shared" si="1"/>
        <v>0</v>
      </c>
      <c r="C112" s="200">
        <f t="shared" si="2"/>
        <v>0</v>
      </c>
      <c r="D112" s="200">
        <f t="shared" si="3"/>
        <v>0</v>
      </c>
      <c r="E112" s="200">
        <f t="shared" si="4"/>
        <v>0</v>
      </c>
      <c r="F112" s="199"/>
      <c r="G112" s="199">
        <v>49</v>
      </c>
      <c r="H112" s="200">
        <f t="shared" si="5"/>
        <v>0</v>
      </c>
      <c r="I112" s="200">
        <f t="shared" si="6"/>
        <v>0</v>
      </c>
      <c r="J112" s="200">
        <f t="shared" si="7"/>
        <v>0</v>
      </c>
      <c r="K112" s="200">
        <f t="shared" si="8"/>
        <v>0</v>
      </c>
      <c r="L112" s="199"/>
    </row>
    <row r="113" spans="1:12">
      <c r="A113" s="199">
        <v>50</v>
      </c>
      <c r="B113" s="200">
        <f t="shared" si="1"/>
        <v>0</v>
      </c>
      <c r="C113" s="200">
        <f t="shared" si="2"/>
        <v>0</v>
      </c>
      <c r="D113" s="200">
        <f t="shared" si="3"/>
        <v>0</v>
      </c>
      <c r="E113" s="200">
        <f t="shared" si="4"/>
        <v>0</v>
      </c>
      <c r="F113" s="199"/>
      <c r="G113" s="199">
        <v>50</v>
      </c>
      <c r="H113" s="200">
        <f t="shared" si="5"/>
        <v>0</v>
      </c>
      <c r="I113" s="200">
        <f t="shared" si="6"/>
        <v>0</v>
      </c>
      <c r="J113" s="200">
        <f t="shared" si="7"/>
        <v>0</v>
      </c>
      <c r="K113" s="200">
        <f t="shared" si="8"/>
        <v>0</v>
      </c>
      <c r="L113" s="199"/>
    </row>
    <row r="114" spans="1:12">
      <c r="A114" s="199">
        <v>51</v>
      </c>
      <c r="B114" s="200">
        <f t="shared" si="1"/>
        <v>0</v>
      </c>
      <c r="C114" s="200">
        <f t="shared" si="2"/>
        <v>0</v>
      </c>
      <c r="D114" s="200">
        <f t="shared" si="3"/>
        <v>0</v>
      </c>
      <c r="E114" s="200">
        <f t="shared" si="4"/>
        <v>0</v>
      </c>
      <c r="F114" s="199"/>
      <c r="G114" s="199">
        <v>51</v>
      </c>
      <c r="H114" s="200">
        <f t="shared" si="5"/>
        <v>0</v>
      </c>
      <c r="I114" s="200">
        <f t="shared" si="6"/>
        <v>0</v>
      </c>
      <c r="J114" s="200">
        <f t="shared" si="7"/>
        <v>0</v>
      </c>
      <c r="K114" s="200">
        <f t="shared" si="8"/>
        <v>0</v>
      </c>
      <c r="L114" s="199"/>
    </row>
    <row r="115" spans="1:12">
      <c r="A115" s="199">
        <v>52</v>
      </c>
      <c r="B115" s="200">
        <f t="shared" si="1"/>
        <v>0</v>
      </c>
      <c r="C115" s="200">
        <f t="shared" si="2"/>
        <v>0</v>
      </c>
      <c r="D115" s="200">
        <f t="shared" si="3"/>
        <v>0</v>
      </c>
      <c r="E115" s="200">
        <f t="shared" si="4"/>
        <v>0</v>
      </c>
      <c r="F115" s="199"/>
      <c r="G115" s="199">
        <v>52</v>
      </c>
      <c r="H115" s="200">
        <f t="shared" si="5"/>
        <v>0</v>
      </c>
      <c r="I115" s="200">
        <f t="shared" si="6"/>
        <v>0</v>
      </c>
      <c r="J115" s="200">
        <f t="shared" si="7"/>
        <v>0</v>
      </c>
      <c r="K115" s="200">
        <f t="shared" si="8"/>
        <v>0</v>
      </c>
      <c r="L115" s="199"/>
    </row>
    <row r="116" spans="1:12">
      <c r="A116" s="199">
        <v>53</v>
      </c>
      <c r="B116" s="200">
        <f t="shared" si="1"/>
        <v>0</v>
      </c>
      <c r="C116" s="200">
        <f t="shared" si="2"/>
        <v>0</v>
      </c>
      <c r="D116" s="200">
        <f t="shared" si="3"/>
        <v>0</v>
      </c>
      <c r="E116" s="200">
        <f t="shared" si="4"/>
        <v>0</v>
      </c>
      <c r="F116" s="199"/>
      <c r="G116" s="199">
        <v>53</v>
      </c>
      <c r="H116" s="200">
        <f t="shared" si="5"/>
        <v>0</v>
      </c>
      <c r="I116" s="200">
        <f t="shared" si="6"/>
        <v>0</v>
      </c>
      <c r="J116" s="200">
        <f t="shared" si="7"/>
        <v>0</v>
      </c>
      <c r="K116" s="200">
        <f t="shared" si="8"/>
        <v>0</v>
      </c>
      <c r="L116" s="199"/>
    </row>
    <row r="117" spans="1:12">
      <c r="A117" s="199">
        <v>54</v>
      </c>
      <c r="B117" s="200">
        <f t="shared" si="1"/>
        <v>0</v>
      </c>
      <c r="C117" s="200">
        <f t="shared" si="2"/>
        <v>0</v>
      </c>
      <c r="D117" s="200">
        <f t="shared" si="3"/>
        <v>0</v>
      </c>
      <c r="E117" s="200">
        <f t="shared" si="4"/>
        <v>0</v>
      </c>
      <c r="F117" s="199"/>
      <c r="G117" s="199">
        <v>54</v>
      </c>
      <c r="H117" s="200">
        <f t="shared" si="5"/>
        <v>0</v>
      </c>
      <c r="I117" s="200">
        <f t="shared" si="6"/>
        <v>0</v>
      </c>
      <c r="J117" s="200">
        <f t="shared" si="7"/>
        <v>0</v>
      </c>
      <c r="K117" s="200">
        <f t="shared" si="8"/>
        <v>0</v>
      </c>
      <c r="L117" s="199"/>
    </row>
    <row r="118" spans="1:12">
      <c r="A118" s="199">
        <v>55</v>
      </c>
      <c r="B118" s="200">
        <f t="shared" si="1"/>
        <v>0</v>
      </c>
      <c r="C118" s="200">
        <f t="shared" si="2"/>
        <v>0</v>
      </c>
      <c r="D118" s="200">
        <f t="shared" si="3"/>
        <v>0</v>
      </c>
      <c r="E118" s="200">
        <f t="shared" si="4"/>
        <v>0</v>
      </c>
      <c r="F118" s="199"/>
      <c r="G118" s="199">
        <v>55</v>
      </c>
      <c r="H118" s="200">
        <f t="shared" si="5"/>
        <v>0</v>
      </c>
      <c r="I118" s="200">
        <f t="shared" si="6"/>
        <v>0</v>
      </c>
      <c r="J118" s="200">
        <f t="shared" si="7"/>
        <v>0</v>
      </c>
      <c r="K118" s="200">
        <f t="shared" si="8"/>
        <v>0</v>
      </c>
      <c r="L118" s="199"/>
    </row>
    <row r="119" spans="1:12">
      <c r="A119" s="199">
        <v>56</v>
      </c>
      <c r="B119" s="200">
        <f t="shared" si="1"/>
        <v>0</v>
      </c>
      <c r="C119" s="200">
        <f t="shared" si="2"/>
        <v>0</v>
      </c>
      <c r="D119" s="200">
        <f t="shared" si="3"/>
        <v>0</v>
      </c>
      <c r="E119" s="200">
        <f t="shared" si="4"/>
        <v>0</v>
      </c>
      <c r="F119" s="199"/>
      <c r="G119" s="199">
        <v>56</v>
      </c>
      <c r="H119" s="200">
        <f t="shared" si="5"/>
        <v>0</v>
      </c>
      <c r="I119" s="200">
        <f t="shared" si="6"/>
        <v>0</v>
      </c>
      <c r="J119" s="200">
        <f t="shared" si="7"/>
        <v>0</v>
      </c>
      <c r="K119" s="200">
        <f t="shared" si="8"/>
        <v>0</v>
      </c>
      <c r="L119" s="199"/>
    </row>
    <row r="120" spans="1:12">
      <c r="A120" s="199">
        <v>57</v>
      </c>
      <c r="B120" s="200">
        <f t="shared" si="1"/>
        <v>0</v>
      </c>
      <c r="C120" s="200">
        <f t="shared" si="2"/>
        <v>0</v>
      </c>
      <c r="D120" s="200">
        <f t="shared" si="3"/>
        <v>0</v>
      </c>
      <c r="E120" s="200">
        <f t="shared" si="4"/>
        <v>0</v>
      </c>
      <c r="F120" s="199"/>
      <c r="G120" s="199">
        <v>57</v>
      </c>
      <c r="H120" s="200">
        <f t="shared" si="5"/>
        <v>0</v>
      </c>
      <c r="I120" s="200">
        <f t="shared" si="6"/>
        <v>0</v>
      </c>
      <c r="J120" s="200">
        <f t="shared" si="7"/>
        <v>0</v>
      </c>
      <c r="K120" s="200">
        <f t="shared" si="8"/>
        <v>0</v>
      </c>
      <c r="L120" s="199"/>
    </row>
    <row r="121" spans="1:12">
      <c r="A121" s="199">
        <v>58</v>
      </c>
      <c r="B121" s="200">
        <f t="shared" si="1"/>
        <v>0</v>
      </c>
      <c r="C121" s="200">
        <f t="shared" si="2"/>
        <v>0</v>
      </c>
      <c r="D121" s="200">
        <f t="shared" si="3"/>
        <v>0</v>
      </c>
      <c r="E121" s="200">
        <f t="shared" si="4"/>
        <v>0</v>
      </c>
      <c r="F121" s="199"/>
      <c r="G121" s="199">
        <v>58</v>
      </c>
      <c r="H121" s="200">
        <f t="shared" si="5"/>
        <v>0</v>
      </c>
      <c r="I121" s="200">
        <f t="shared" si="6"/>
        <v>0</v>
      </c>
      <c r="J121" s="200">
        <f t="shared" si="7"/>
        <v>0</v>
      </c>
      <c r="K121" s="200">
        <f t="shared" si="8"/>
        <v>0</v>
      </c>
      <c r="L121" s="199"/>
    </row>
    <row r="122" spans="1:12">
      <c r="A122" s="199">
        <v>59</v>
      </c>
      <c r="B122" s="200">
        <f t="shared" si="1"/>
        <v>0</v>
      </c>
      <c r="C122" s="200">
        <f t="shared" si="2"/>
        <v>0</v>
      </c>
      <c r="D122" s="200">
        <f t="shared" si="3"/>
        <v>0</v>
      </c>
      <c r="E122" s="200">
        <f t="shared" si="4"/>
        <v>0</v>
      </c>
      <c r="F122" s="199"/>
      <c r="G122" s="199">
        <v>59</v>
      </c>
      <c r="H122" s="200">
        <f t="shared" si="5"/>
        <v>0</v>
      </c>
      <c r="I122" s="200">
        <f t="shared" si="6"/>
        <v>0</v>
      </c>
      <c r="J122" s="200">
        <f t="shared" si="7"/>
        <v>0</v>
      </c>
      <c r="K122" s="200">
        <f t="shared" si="8"/>
        <v>0</v>
      </c>
      <c r="L122" s="199"/>
    </row>
    <row r="123" spans="1:12">
      <c r="A123" s="199">
        <v>60</v>
      </c>
      <c r="B123" s="200">
        <f t="shared" si="1"/>
        <v>0</v>
      </c>
      <c r="C123" s="200">
        <f t="shared" si="2"/>
        <v>0</v>
      </c>
      <c r="D123" s="200">
        <f t="shared" si="3"/>
        <v>0</v>
      </c>
      <c r="E123" s="200">
        <f t="shared" si="4"/>
        <v>0</v>
      </c>
      <c r="F123" s="199"/>
      <c r="G123" s="199">
        <v>60</v>
      </c>
      <c r="H123" s="200">
        <f t="shared" si="5"/>
        <v>0</v>
      </c>
      <c r="I123" s="200">
        <f t="shared" si="6"/>
        <v>0</v>
      </c>
      <c r="J123" s="200">
        <f t="shared" si="7"/>
        <v>0</v>
      </c>
      <c r="K123" s="200">
        <f t="shared" si="8"/>
        <v>0</v>
      </c>
      <c r="L123" s="199"/>
    </row>
    <row r="124" spans="1:12">
      <c r="A124" s="199">
        <v>61</v>
      </c>
      <c r="B124" s="200">
        <f t="shared" si="1"/>
        <v>0</v>
      </c>
      <c r="C124" s="200">
        <f t="shared" si="2"/>
        <v>0</v>
      </c>
      <c r="D124" s="200">
        <f t="shared" si="3"/>
        <v>0</v>
      </c>
      <c r="E124" s="200">
        <f t="shared" si="4"/>
        <v>0</v>
      </c>
      <c r="F124" s="199"/>
      <c r="G124" s="199">
        <v>61</v>
      </c>
      <c r="H124" s="200">
        <f t="shared" si="5"/>
        <v>0</v>
      </c>
      <c r="I124" s="200">
        <f t="shared" si="6"/>
        <v>0</v>
      </c>
      <c r="J124" s="200">
        <f t="shared" si="7"/>
        <v>0</v>
      </c>
      <c r="K124" s="200">
        <f t="shared" si="8"/>
        <v>0</v>
      </c>
      <c r="L124" s="199"/>
    </row>
    <row r="125" spans="1:12">
      <c r="A125" s="199">
        <v>62</v>
      </c>
      <c r="B125" s="200">
        <f t="shared" si="1"/>
        <v>0</v>
      </c>
      <c r="C125" s="200">
        <f t="shared" si="2"/>
        <v>0</v>
      </c>
      <c r="D125" s="200">
        <f t="shared" si="3"/>
        <v>0</v>
      </c>
      <c r="E125" s="200">
        <f t="shared" si="4"/>
        <v>0</v>
      </c>
      <c r="F125" s="199">
        <v>5</v>
      </c>
      <c r="G125" s="199">
        <v>62</v>
      </c>
      <c r="H125" s="200">
        <f t="shared" si="5"/>
        <v>0</v>
      </c>
      <c r="I125" s="200">
        <f t="shared" si="6"/>
        <v>0</v>
      </c>
      <c r="J125" s="200">
        <f t="shared" si="7"/>
        <v>0</v>
      </c>
      <c r="K125" s="200">
        <f t="shared" si="8"/>
        <v>0</v>
      </c>
      <c r="L125" s="199">
        <v>5</v>
      </c>
    </row>
    <row r="126" spans="1:12">
      <c r="A126" s="199">
        <v>63</v>
      </c>
      <c r="B126" s="200">
        <f t="shared" si="1"/>
        <v>0</v>
      </c>
      <c r="C126" s="200">
        <f t="shared" si="2"/>
        <v>0</v>
      </c>
      <c r="D126" s="200">
        <f t="shared" si="3"/>
        <v>0</v>
      </c>
      <c r="E126" s="200">
        <f t="shared" si="4"/>
        <v>0</v>
      </c>
      <c r="F126" s="199"/>
      <c r="G126" s="199">
        <v>63</v>
      </c>
      <c r="H126" s="200">
        <f t="shared" si="5"/>
        <v>0</v>
      </c>
      <c r="I126" s="200">
        <f t="shared" si="6"/>
        <v>0</v>
      </c>
      <c r="J126" s="200">
        <f t="shared" si="7"/>
        <v>0</v>
      </c>
      <c r="K126" s="200">
        <f t="shared" si="8"/>
        <v>0</v>
      </c>
      <c r="L126" s="199"/>
    </row>
    <row r="127" spans="1:12">
      <c r="A127" s="199">
        <v>64</v>
      </c>
      <c r="B127" s="200">
        <f t="shared" si="1"/>
        <v>0</v>
      </c>
      <c r="C127" s="200">
        <f t="shared" si="2"/>
        <v>0</v>
      </c>
      <c r="D127" s="200">
        <f t="shared" si="3"/>
        <v>0</v>
      </c>
      <c r="E127" s="200">
        <f t="shared" si="4"/>
        <v>0</v>
      </c>
      <c r="F127" s="199"/>
      <c r="G127" s="199">
        <v>64</v>
      </c>
      <c r="H127" s="200">
        <f t="shared" si="5"/>
        <v>0</v>
      </c>
      <c r="I127" s="200">
        <f t="shared" si="6"/>
        <v>0</v>
      </c>
      <c r="J127" s="200">
        <f t="shared" si="7"/>
        <v>0</v>
      </c>
      <c r="K127" s="200">
        <f t="shared" si="8"/>
        <v>0</v>
      </c>
      <c r="L127" s="199"/>
    </row>
    <row r="128" spans="1:12">
      <c r="A128" s="199">
        <v>65</v>
      </c>
      <c r="B128" s="200">
        <f t="shared" ref="B128:B191" si="9">IF(A128&gt;12*$C$9,0,IF($C$5&gt;1500000,$D$12,$C$12))</f>
        <v>0</v>
      </c>
      <c r="C128" s="200">
        <f t="shared" ref="C128:C191" si="10">IF(A128&gt;12*$C$9,0,E127*$C$7/12)</f>
        <v>0</v>
      </c>
      <c r="D128" s="200">
        <f t="shared" ref="D128:D191" si="11">IF(A128&gt;12*$C$9,0,B128-C128)</f>
        <v>0</v>
      </c>
      <c r="E128" s="200">
        <f t="shared" ref="E128:E191" si="12">IF(A128&gt;12*$C$9,0,E127-D128)</f>
        <v>0</v>
      </c>
      <c r="F128" s="199"/>
      <c r="G128" s="199">
        <v>65</v>
      </c>
      <c r="H128" s="200">
        <f t="shared" ref="H128:H191" si="13">IF(G128&gt;12*$C$9,0,IF($C$5&gt;1500000,$E$12,0))</f>
        <v>0</v>
      </c>
      <c r="I128" s="200">
        <f t="shared" ref="I128:I191" si="14">IF(G128&gt;12*$C$9,0,K127*$C$7/12)</f>
        <v>0</v>
      </c>
      <c r="J128" s="200">
        <f t="shared" ref="J128:J191" si="15">IF(G128&gt;12*$C$9,0,H128-I128)</f>
        <v>0</v>
      </c>
      <c r="K128" s="200">
        <f t="shared" ref="K128:K191" si="16">IF(G128&gt;12*$C$9,0,K127-J128)</f>
        <v>0</v>
      </c>
      <c r="L128" s="199"/>
    </row>
    <row r="129" spans="1:12">
      <c r="A129" s="199">
        <v>66</v>
      </c>
      <c r="B129" s="200">
        <f t="shared" si="9"/>
        <v>0</v>
      </c>
      <c r="C129" s="200">
        <f t="shared" si="10"/>
        <v>0</v>
      </c>
      <c r="D129" s="200">
        <f t="shared" si="11"/>
        <v>0</v>
      </c>
      <c r="E129" s="200">
        <f t="shared" si="12"/>
        <v>0</v>
      </c>
      <c r="F129" s="199"/>
      <c r="G129" s="199">
        <v>66</v>
      </c>
      <c r="H129" s="200">
        <f t="shared" si="13"/>
        <v>0</v>
      </c>
      <c r="I129" s="200">
        <f t="shared" si="14"/>
        <v>0</v>
      </c>
      <c r="J129" s="200">
        <f t="shared" si="15"/>
        <v>0</v>
      </c>
      <c r="K129" s="200">
        <f t="shared" si="16"/>
        <v>0</v>
      </c>
      <c r="L129" s="199"/>
    </row>
    <row r="130" spans="1:12">
      <c r="A130" s="199">
        <v>67</v>
      </c>
      <c r="B130" s="200">
        <f t="shared" si="9"/>
        <v>0</v>
      </c>
      <c r="C130" s="200">
        <f t="shared" si="10"/>
        <v>0</v>
      </c>
      <c r="D130" s="200">
        <f t="shared" si="11"/>
        <v>0</v>
      </c>
      <c r="E130" s="200">
        <f t="shared" si="12"/>
        <v>0</v>
      </c>
      <c r="F130" s="199"/>
      <c r="G130" s="199">
        <v>67</v>
      </c>
      <c r="H130" s="200">
        <f t="shared" si="13"/>
        <v>0</v>
      </c>
      <c r="I130" s="200">
        <f t="shared" si="14"/>
        <v>0</v>
      </c>
      <c r="J130" s="200">
        <f t="shared" si="15"/>
        <v>0</v>
      </c>
      <c r="K130" s="200">
        <f t="shared" si="16"/>
        <v>0</v>
      </c>
      <c r="L130" s="199"/>
    </row>
    <row r="131" spans="1:12">
      <c r="A131" s="199">
        <v>68</v>
      </c>
      <c r="B131" s="200">
        <f t="shared" si="9"/>
        <v>0</v>
      </c>
      <c r="C131" s="200">
        <f t="shared" si="10"/>
        <v>0</v>
      </c>
      <c r="D131" s="200">
        <f t="shared" si="11"/>
        <v>0</v>
      </c>
      <c r="E131" s="200">
        <f t="shared" si="12"/>
        <v>0</v>
      </c>
      <c r="F131" s="199"/>
      <c r="G131" s="199">
        <v>68</v>
      </c>
      <c r="H131" s="200">
        <f t="shared" si="13"/>
        <v>0</v>
      </c>
      <c r="I131" s="200">
        <f t="shared" si="14"/>
        <v>0</v>
      </c>
      <c r="J131" s="200">
        <f t="shared" si="15"/>
        <v>0</v>
      </c>
      <c r="K131" s="200">
        <f t="shared" si="16"/>
        <v>0</v>
      </c>
      <c r="L131" s="199"/>
    </row>
    <row r="132" spans="1:12">
      <c r="A132" s="199">
        <v>69</v>
      </c>
      <c r="B132" s="200">
        <f t="shared" si="9"/>
        <v>0</v>
      </c>
      <c r="C132" s="200">
        <f t="shared" si="10"/>
        <v>0</v>
      </c>
      <c r="D132" s="200">
        <f t="shared" si="11"/>
        <v>0</v>
      </c>
      <c r="E132" s="200">
        <f t="shared" si="12"/>
        <v>0</v>
      </c>
      <c r="F132" s="199"/>
      <c r="G132" s="199">
        <v>69</v>
      </c>
      <c r="H132" s="200">
        <f t="shared" si="13"/>
        <v>0</v>
      </c>
      <c r="I132" s="200">
        <f t="shared" si="14"/>
        <v>0</v>
      </c>
      <c r="J132" s="200">
        <f t="shared" si="15"/>
        <v>0</v>
      </c>
      <c r="K132" s="200">
        <f t="shared" si="16"/>
        <v>0</v>
      </c>
      <c r="L132" s="199"/>
    </row>
    <row r="133" spans="1:12">
      <c r="A133" s="199">
        <v>70</v>
      </c>
      <c r="B133" s="200">
        <f t="shared" si="9"/>
        <v>0</v>
      </c>
      <c r="C133" s="200">
        <f t="shared" si="10"/>
        <v>0</v>
      </c>
      <c r="D133" s="200">
        <f t="shared" si="11"/>
        <v>0</v>
      </c>
      <c r="E133" s="200">
        <f t="shared" si="12"/>
        <v>0</v>
      </c>
      <c r="F133" s="199"/>
      <c r="G133" s="199">
        <v>70</v>
      </c>
      <c r="H133" s="200">
        <f t="shared" si="13"/>
        <v>0</v>
      </c>
      <c r="I133" s="200">
        <f t="shared" si="14"/>
        <v>0</v>
      </c>
      <c r="J133" s="200">
        <f t="shared" si="15"/>
        <v>0</v>
      </c>
      <c r="K133" s="200">
        <f t="shared" si="16"/>
        <v>0</v>
      </c>
      <c r="L133" s="199"/>
    </row>
    <row r="134" spans="1:12">
      <c r="A134" s="199">
        <v>71</v>
      </c>
      <c r="B134" s="200">
        <f t="shared" si="9"/>
        <v>0</v>
      </c>
      <c r="C134" s="200">
        <f t="shared" si="10"/>
        <v>0</v>
      </c>
      <c r="D134" s="200">
        <f t="shared" si="11"/>
        <v>0</v>
      </c>
      <c r="E134" s="200">
        <f t="shared" si="12"/>
        <v>0</v>
      </c>
      <c r="F134" s="199"/>
      <c r="G134" s="199">
        <v>71</v>
      </c>
      <c r="H134" s="200">
        <f t="shared" si="13"/>
        <v>0</v>
      </c>
      <c r="I134" s="200">
        <f t="shared" si="14"/>
        <v>0</v>
      </c>
      <c r="J134" s="200">
        <f t="shared" si="15"/>
        <v>0</v>
      </c>
      <c r="K134" s="200">
        <f t="shared" si="16"/>
        <v>0</v>
      </c>
      <c r="L134" s="199"/>
    </row>
    <row r="135" spans="1:12">
      <c r="A135" s="199">
        <v>72</v>
      </c>
      <c r="B135" s="200">
        <f t="shared" si="9"/>
        <v>0</v>
      </c>
      <c r="C135" s="200">
        <f t="shared" si="10"/>
        <v>0</v>
      </c>
      <c r="D135" s="200">
        <f t="shared" si="11"/>
        <v>0</v>
      </c>
      <c r="E135" s="200">
        <f t="shared" si="12"/>
        <v>0</v>
      </c>
      <c r="F135" s="199"/>
      <c r="G135" s="199">
        <v>72</v>
      </c>
      <c r="H135" s="200">
        <f t="shared" si="13"/>
        <v>0</v>
      </c>
      <c r="I135" s="200">
        <f t="shared" si="14"/>
        <v>0</v>
      </c>
      <c r="J135" s="200">
        <f t="shared" si="15"/>
        <v>0</v>
      </c>
      <c r="K135" s="200">
        <f t="shared" si="16"/>
        <v>0</v>
      </c>
      <c r="L135" s="199"/>
    </row>
    <row r="136" spans="1:12">
      <c r="A136" s="199">
        <v>73</v>
      </c>
      <c r="B136" s="200">
        <f t="shared" si="9"/>
        <v>0</v>
      </c>
      <c r="C136" s="200">
        <f t="shared" si="10"/>
        <v>0</v>
      </c>
      <c r="D136" s="200">
        <f t="shared" si="11"/>
        <v>0</v>
      </c>
      <c r="E136" s="200">
        <f t="shared" si="12"/>
        <v>0</v>
      </c>
      <c r="F136" s="199"/>
      <c r="G136" s="199">
        <v>73</v>
      </c>
      <c r="H136" s="200">
        <f t="shared" si="13"/>
        <v>0</v>
      </c>
      <c r="I136" s="200">
        <f t="shared" si="14"/>
        <v>0</v>
      </c>
      <c r="J136" s="200">
        <f t="shared" si="15"/>
        <v>0</v>
      </c>
      <c r="K136" s="200">
        <f t="shared" si="16"/>
        <v>0</v>
      </c>
      <c r="L136" s="199"/>
    </row>
    <row r="137" spans="1:12">
      <c r="A137" s="199">
        <v>74</v>
      </c>
      <c r="B137" s="200">
        <f t="shared" si="9"/>
        <v>0</v>
      </c>
      <c r="C137" s="200">
        <f t="shared" si="10"/>
        <v>0</v>
      </c>
      <c r="D137" s="200">
        <f t="shared" si="11"/>
        <v>0</v>
      </c>
      <c r="E137" s="200">
        <f t="shared" si="12"/>
        <v>0</v>
      </c>
      <c r="F137" s="199">
        <v>6</v>
      </c>
      <c r="G137" s="199">
        <v>74</v>
      </c>
      <c r="H137" s="200">
        <f t="shared" si="13"/>
        <v>0</v>
      </c>
      <c r="I137" s="200">
        <f t="shared" si="14"/>
        <v>0</v>
      </c>
      <c r="J137" s="200">
        <f t="shared" si="15"/>
        <v>0</v>
      </c>
      <c r="K137" s="200">
        <f t="shared" si="16"/>
        <v>0</v>
      </c>
      <c r="L137" s="199">
        <v>6</v>
      </c>
    </row>
    <row r="138" spans="1:12">
      <c r="A138" s="199">
        <v>75</v>
      </c>
      <c r="B138" s="200">
        <f t="shared" si="9"/>
        <v>0</v>
      </c>
      <c r="C138" s="200">
        <f t="shared" si="10"/>
        <v>0</v>
      </c>
      <c r="D138" s="200">
        <f t="shared" si="11"/>
        <v>0</v>
      </c>
      <c r="E138" s="200">
        <f t="shared" si="12"/>
        <v>0</v>
      </c>
      <c r="F138" s="199"/>
      <c r="G138" s="199">
        <v>75</v>
      </c>
      <c r="H138" s="200">
        <f t="shared" si="13"/>
        <v>0</v>
      </c>
      <c r="I138" s="200">
        <f t="shared" si="14"/>
        <v>0</v>
      </c>
      <c r="J138" s="200">
        <f t="shared" si="15"/>
        <v>0</v>
      </c>
      <c r="K138" s="200">
        <f t="shared" si="16"/>
        <v>0</v>
      </c>
      <c r="L138" s="199"/>
    </row>
    <row r="139" spans="1:12">
      <c r="A139" s="199">
        <v>76</v>
      </c>
      <c r="B139" s="200">
        <f t="shared" si="9"/>
        <v>0</v>
      </c>
      <c r="C139" s="200">
        <f t="shared" si="10"/>
        <v>0</v>
      </c>
      <c r="D139" s="200">
        <f t="shared" si="11"/>
        <v>0</v>
      </c>
      <c r="E139" s="200">
        <f t="shared" si="12"/>
        <v>0</v>
      </c>
      <c r="F139" s="199"/>
      <c r="G139" s="199">
        <v>76</v>
      </c>
      <c r="H139" s="200">
        <f t="shared" si="13"/>
        <v>0</v>
      </c>
      <c r="I139" s="200">
        <f t="shared" si="14"/>
        <v>0</v>
      </c>
      <c r="J139" s="200">
        <f t="shared" si="15"/>
        <v>0</v>
      </c>
      <c r="K139" s="200">
        <f t="shared" si="16"/>
        <v>0</v>
      </c>
      <c r="L139" s="199"/>
    </row>
    <row r="140" spans="1:12">
      <c r="A140" s="199">
        <v>77</v>
      </c>
      <c r="B140" s="200">
        <f t="shared" si="9"/>
        <v>0</v>
      </c>
      <c r="C140" s="200">
        <f t="shared" si="10"/>
        <v>0</v>
      </c>
      <c r="D140" s="200">
        <f t="shared" si="11"/>
        <v>0</v>
      </c>
      <c r="E140" s="200">
        <f t="shared" si="12"/>
        <v>0</v>
      </c>
      <c r="F140" s="199"/>
      <c r="G140" s="199">
        <v>77</v>
      </c>
      <c r="H140" s="200">
        <f t="shared" si="13"/>
        <v>0</v>
      </c>
      <c r="I140" s="200">
        <f t="shared" si="14"/>
        <v>0</v>
      </c>
      <c r="J140" s="200">
        <f t="shared" si="15"/>
        <v>0</v>
      </c>
      <c r="K140" s="200">
        <f t="shared" si="16"/>
        <v>0</v>
      </c>
      <c r="L140" s="199"/>
    </row>
    <row r="141" spans="1:12">
      <c r="A141" s="199">
        <v>78</v>
      </c>
      <c r="B141" s="200">
        <f t="shared" si="9"/>
        <v>0</v>
      </c>
      <c r="C141" s="200">
        <f t="shared" si="10"/>
        <v>0</v>
      </c>
      <c r="D141" s="200">
        <f t="shared" si="11"/>
        <v>0</v>
      </c>
      <c r="E141" s="200">
        <f t="shared" si="12"/>
        <v>0</v>
      </c>
      <c r="F141" s="199"/>
      <c r="G141" s="199">
        <v>78</v>
      </c>
      <c r="H141" s="200">
        <f t="shared" si="13"/>
        <v>0</v>
      </c>
      <c r="I141" s="200">
        <f t="shared" si="14"/>
        <v>0</v>
      </c>
      <c r="J141" s="200">
        <f t="shared" si="15"/>
        <v>0</v>
      </c>
      <c r="K141" s="200">
        <f t="shared" si="16"/>
        <v>0</v>
      </c>
      <c r="L141" s="199"/>
    </row>
    <row r="142" spans="1:12">
      <c r="A142" s="199">
        <v>79</v>
      </c>
      <c r="B142" s="200">
        <f t="shared" si="9"/>
        <v>0</v>
      </c>
      <c r="C142" s="200">
        <f t="shared" si="10"/>
        <v>0</v>
      </c>
      <c r="D142" s="200">
        <f t="shared" si="11"/>
        <v>0</v>
      </c>
      <c r="E142" s="200">
        <f t="shared" si="12"/>
        <v>0</v>
      </c>
      <c r="F142" s="199"/>
      <c r="G142" s="199">
        <v>79</v>
      </c>
      <c r="H142" s="200">
        <f t="shared" si="13"/>
        <v>0</v>
      </c>
      <c r="I142" s="200">
        <f t="shared" si="14"/>
        <v>0</v>
      </c>
      <c r="J142" s="200">
        <f t="shared" si="15"/>
        <v>0</v>
      </c>
      <c r="K142" s="200">
        <f t="shared" si="16"/>
        <v>0</v>
      </c>
      <c r="L142" s="199"/>
    </row>
    <row r="143" spans="1:12">
      <c r="A143" s="199">
        <v>80</v>
      </c>
      <c r="B143" s="200">
        <f t="shared" si="9"/>
        <v>0</v>
      </c>
      <c r="C143" s="200">
        <f t="shared" si="10"/>
        <v>0</v>
      </c>
      <c r="D143" s="200">
        <f t="shared" si="11"/>
        <v>0</v>
      </c>
      <c r="E143" s="200">
        <f t="shared" si="12"/>
        <v>0</v>
      </c>
      <c r="F143" s="199"/>
      <c r="G143" s="199">
        <v>80</v>
      </c>
      <c r="H143" s="200">
        <f t="shared" si="13"/>
        <v>0</v>
      </c>
      <c r="I143" s="200">
        <f t="shared" si="14"/>
        <v>0</v>
      </c>
      <c r="J143" s="200">
        <f t="shared" si="15"/>
        <v>0</v>
      </c>
      <c r="K143" s="200">
        <f t="shared" si="16"/>
        <v>0</v>
      </c>
      <c r="L143" s="199"/>
    </row>
    <row r="144" spans="1:12">
      <c r="A144" s="199">
        <v>81</v>
      </c>
      <c r="B144" s="200">
        <f t="shared" si="9"/>
        <v>0</v>
      </c>
      <c r="C144" s="200">
        <f t="shared" si="10"/>
        <v>0</v>
      </c>
      <c r="D144" s="200">
        <f t="shared" si="11"/>
        <v>0</v>
      </c>
      <c r="E144" s="200">
        <f t="shared" si="12"/>
        <v>0</v>
      </c>
      <c r="F144" s="199"/>
      <c r="G144" s="199">
        <v>81</v>
      </c>
      <c r="H144" s="200">
        <f t="shared" si="13"/>
        <v>0</v>
      </c>
      <c r="I144" s="200">
        <f t="shared" si="14"/>
        <v>0</v>
      </c>
      <c r="J144" s="200">
        <f t="shared" si="15"/>
        <v>0</v>
      </c>
      <c r="K144" s="200">
        <f t="shared" si="16"/>
        <v>0</v>
      </c>
      <c r="L144" s="199"/>
    </row>
    <row r="145" spans="1:12">
      <c r="A145" s="199">
        <v>82</v>
      </c>
      <c r="B145" s="200">
        <f t="shared" si="9"/>
        <v>0</v>
      </c>
      <c r="C145" s="200">
        <f t="shared" si="10"/>
        <v>0</v>
      </c>
      <c r="D145" s="200">
        <f t="shared" si="11"/>
        <v>0</v>
      </c>
      <c r="E145" s="200">
        <f t="shared" si="12"/>
        <v>0</v>
      </c>
      <c r="F145" s="199"/>
      <c r="G145" s="199">
        <v>82</v>
      </c>
      <c r="H145" s="200">
        <f t="shared" si="13"/>
        <v>0</v>
      </c>
      <c r="I145" s="200">
        <f t="shared" si="14"/>
        <v>0</v>
      </c>
      <c r="J145" s="200">
        <f t="shared" si="15"/>
        <v>0</v>
      </c>
      <c r="K145" s="200">
        <f t="shared" si="16"/>
        <v>0</v>
      </c>
      <c r="L145" s="199"/>
    </row>
    <row r="146" spans="1:12">
      <c r="A146" s="199">
        <v>83</v>
      </c>
      <c r="B146" s="200">
        <f t="shared" si="9"/>
        <v>0</v>
      </c>
      <c r="C146" s="200">
        <f t="shared" si="10"/>
        <v>0</v>
      </c>
      <c r="D146" s="200">
        <f t="shared" si="11"/>
        <v>0</v>
      </c>
      <c r="E146" s="200">
        <f t="shared" si="12"/>
        <v>0</v>
      </c>
      <c r="F146" s="199"/>
      <c r="G146" s="199">
        <v>83</v>
      </c>
      <c r="H146" s="200">
        <f t="shared" si="13"/>
        <v>0</v>
      </c>
      <c r="I146" s="200">
        <f t="shared" si="14"/>
        <v>0</v>
      </c>
      <c r="J146" s="200">
        <f t="shared" si="15"/>
        <v>0</v>
      </c>
      <c r="K146" s="200">
        <f t="shared" si="16"/>
        <v>0</v>
      </c>
      <c r="L146" s="199"/>
    </row>
    <row r="147" spans="1:12">
      <c r="A147" s="199">
        <v>84</v>
      </c>
      <c r="B147" s="200">
        <f t="shared" si="9"/>
        <v>0</v>
      </c>
      <c r="C147" s="200">
        <f t="shared" si="10"/>
        <v>0</v>
      </c>
      <c r="D147" s="200">
        <f t="shared" si="11"/>
        <v>0</v>
      </c>
      <c r="E147" s="200">
        <f t="shared" si="12"/>
        <v>0</v>
      </c>
      <c r="F147" s="199">
        <v>7</v>
      </c>
      <c r="G147" s="199">
        <v>84</v>
      </c>
      <c r="H147" s="200">
        <f t="shared" si="13"/>
        <v>0</v>
      </c>
      <c r="I147" s="200">
        <f t="shared" si="14"/>
        <v>0</v>
      </c>
      <c r="J147" s="200">
        <f t="shared" si="15"/>
        <v>0</v>
      </c>
      <c r="K147" s="200">
        <f t="shared" si="16"/>
        <v>0</v>
      </c>
      <c r="L147" s="199">
        <v>7</v>
      </c>
    </row>
    <row r="148" spans="1:12">
      <c r="A148" s="199">
        <v>85</v>
      </c>
      <c r="B148" s="200">
        <f t="shared" si="9"/>
        <v>0</v>
      </c>
      <c r="C148" s="200">
        <f t="shared" si="10"/>
        <v>0</v>
      </c>
      <c r="D148" s="200">
        <f t="shared" si="11"/>
        <v>0</v>
      </c>
      <c r="E148" s="200">
        <f t="shared" si="12"/>
        <v>0</v>
      </c>
      <c r="F148" s="199"/>
      <c r="G148" s="199">
        <v>85</v>
      </c>
      <c r="H148" s="200">
        <f t="shared" si="13"/>
        <v>0</v>
      </c>
      <c r="I148" s="200">
        <f t="shared" si="14"/>
        <v>0</v>
      </c>
      <c r="J148" s="200">
        <f t="shared" si="15"/>
        <v>0</v>
      </c>
      <c r="K148" s="200">
        <f t="shared" si="16"/>
        <v>0</v>
      </c>
      <c r="L148" s="199"/>
    </row>
    <row r="149" spans="1:12">
      <c r="A149" s="199">
        <v>86</v>
      </c>
      <c r="B149" s="200">
        <f t="shared" si="9"/>
        <v>0</v>
      </c>
      <c r="C149" s="200">
        <f t="shared" si="10"/>
        <v>0</v>
      </c>
      <c r="D149" s="200">
        <f t="shared" si="11"/>
        <v>0</v>
      </c>
      <c r="E149" s="200">
        <f t="shared" si="12"/>
        <v>0</v>
      </c>
      <c r="F149" s="199"/>
      <c r="G149" s="199">
        <v>86</v>
      </c>
      <c r="H149" s="200">
        <f t="shared" si="13"/>
        <v>0</v>
      </c>
      <c r="I149" s="200">
        <f t="shared" si="14"/>
        <v>0</v>
      </c>
      <c r="J149" s="200">
        <f t="shared" si="15"/>
        <v>0</v>
      </c>
      <c r="K149" s="200">
        <f t="shared" si="16"/>
        <v>0</v>
      </c>
      <c r="L149" s="199"/>
    </row>
    <row r="150" spans="1:12">
      <c r="A150" s="199">
        <v>87</v>
      </c>
      <c r="B150" s="200">
        <f t="shared" si="9"/>
        <v>0</v>
      </c>
      <c r="C150" s="200">
        <f t="shared" si="10"/>
        <v>0</v>
      </c>
      <c r="D150" s="200">
        <f t="shared" si="11"/>
        <v>0</v>
      </c>
      <c r="E150" s="200">
        <f t="shared" si="12"/>
        <v>0</v>
      </c>
      <c r="F150" s="199"/>
      <c r="G150" s="199">
        <v>87</v>
      </c>
      <c r="H150" s="200">
        <f t="shared" si="13"/>
        <v>0</v>
      </c>
      <c r="I150" s="200">
        <f t="shared" si="14"/>
        <v>0</v>
      </c>
      <c r="J150" s="200">
        <f t="shared" si="15"/>
        <v>0</v>
      </c>
      <c r="K150" s="200">
        <f t="shared" si="16"/>
        <v>0</v>
      </c>
      <c r="L150" s="199"/>
    </row>
    <row r="151" spans="1:12">
      <c r="A151" s="199">
        <v>88</v>
      </c>
      <c r="B151" s="200">
        <f t="shared" si="9"/>
        <v>0</v>
      </c>
      <c r="C151" s="200">
        <f t="shared" si="10"/>
        <v>0</v>
      </c>
      <c r="D151" s="200">
        <f t="shared" si="11"/>
        <v>0</v>
      </c>
      <c r="E151" s="200">
        <f t="shared" si="12"/>
        <v>0</v>
      </c>
      <c r="F151" s="199"/>
      <c r="G151" s="199">
        <v>88</v>
      </c>
      <c r="H151" s="200">
        <f t="shared" si="13"/>
        <v>0</v>
      </c>
      <c r="I151" s="200">
        <f t="shared" si="14"/>
        <v>0</v>
      </c>
      <c r="J151" s="200">
        <f t="shared" si="15"/>
        <v>0</v>
      </c>
      <c r="K151" s="200">
        <f t="shared" si="16"/>
        <v>0</v>
      </c>
      <c r="L151" s="199"/>
    </row>
    <row r="152" spans="1:12">
      <c r="A152" s="199">
        <v>89</v>
      </c>
      <c r="B152" s="200">
        <f t="shared" si="9"/>
        <v>0</v>
      </c>
      <c r="C152" s="200">
        <f t="shared" si="10"/>
        <v>0</v>
      </c>
      <c r="D152" s="200">
        <f t="shared" si="11"/>
        <v>0</v>
      </c>
      <c r="E152" s="200">
        <f t="shared" si="12"/>
        <v>0</v>
      </c>
      <c r="F152" s="199"/>
      <c r="G152" s="199">
        <v>89</v>
      </c>
      <c r="H152" s="200">
        <f t="shared" si="13"/>
        <v>0</v>
      </c>
      <c r="I152" s="200">
        <f t="shared" si="14"/>
        <v>0</v>
      </c>
      <c r="J152" s="200">
        <f t="shared" si="15"/>
        <v>0</v>
      </c>
      <c r="K152" s="200">
        <f t="shared" si="16"/>
        <v>0</v>
      </c>
      <c r="L152" s="199"/>
    </row>
    <row r="153" spans="1:12">
      <c r="A153" s="199">
        <v>90</v>
      </c>
      <c r="B153" s="200">
        <f t="shared" si="9"/>
        <v>0</v>
      </c>
      <c r="C153" s="200">
        <f t="shared" si="10"/>
        <v>0</v>
      </c>
      <c r="D153" s="200">
        <f t="shared" si="11"/>
        <v>0</v>
      </c>
      <c r="E153" s="200">
        <f t="shared" si="12"/>
        <v>0</v>
      </c>
      <c r="F153" s="199"/>
      <c r="G153" s="199">
        <v>90</v>
      </c>
      <c r="H153" s="200">
        <f t="shared" si="13"/>
        <v>0</v>
      </c>
      <c r="I153" s="200">
        <f t="shared" si="14"/>
        <v>0</v>
      </c>
      <c r="J153" s="200">
        <f t="shared" si="15"/>
        <v>0</v>
      </c>
      <c r="K153" s="200">
        <f t="shared" si="16"/>
        <v>0</v>
      </c>
      <c r="L153" s="199"/>
    </row>
    <row r="154" spans="1:12">
      <c r="A154" s="199">
        <v>91</v>
      </c>
      <c r="B154" s="200">
        <f t="shared" si="9"/>
        <v>0</v>
      </c>
      <c r="C154" s="200">
        <f t="shared" si="10"/>
        <v>0</v>
      </c>
      <c r="D154" s="200">
        <f t="shared" si="11"/>
        <v>0</v>
      </c>
      <c r="E154" s="200">
        <f t="shared" si="12"/>
        <v>0</v>
      </c>
      <c r="F154" s="199"/>
      <c r="G154" s="199">
        <v>91</v>
      </c>
      <c r="H154" s="200">
        <f t="shared" si="13"/>
        <v>0</v>
      </c>
      <c r="I154" s="200">
        <f t="shared" si="14"/>
        <v>0</v>
      </c>
      <c r="J154" s="200">
        <f t="shared" si="15"/>
        <v>0</v>
      </c>
      <c r="K154" s="200">
        <f t="shared" si="16"/>
        <v>0</v>
      </c>
      <c r="L154" s="199"/>
    </row>
    <row r="155" spans="1:12">
      <c r="A155" s="199">
        <v>92</v>
      </c>
      <c r="B155" s="200">
        <f t="shared" si="9"/>
        <v>0</v>
      </c>
      <c r="C155" s="200">
        <f t="shared" si="10"/>
        <v>0</v>
      </c>
      <c r="D155" s="200">
        <f t="shared" si="11"/>
        <v>0</v>
      </c>
      <c r="E155" s="200">
        <f t="shared" si="12"/>
        <v>0</v>
      </c>
      <c r="F155" s="199"/>
      <c r="G155" s="199">
        <v>92</v>
      </c>
      <c r="H155" s="200">
        <f t="shared" si="13"/>
        <v>0</v>
      </c>
      <c r="I155" s="200">
        <f t="shared" si="14"/>
        <v>0</v>
      </c>
      <c r="J155" s="200">
        <f t="shared" si="15"/>
        <v>0</v>
      </c>
      <c r="K155" s="200">
        <f t="shared" si="16"/>
        <v>0</v>
      </c>
      <c r="L155" s="199"/>
    </row>
    <row r="156" spans="1:12">
      <c r="A156" s="199">
        <v>93</v>
      </c>
      <c r="B156" s="200">
        <f t="shared" si="9"/>
        <v>0</v>
      </c>
      <c r="C156" s="200">
        <f t="shared" si="10"/>
        <v>0</v>
      </c>
      <c r="D156" s="200">
        <f t="shared" si="11"/>
        <v>0</v>
      </c>
      <c r="E156" s="200">
        <f t="shared" si="12"/>
        <v>0</v>
      </c>
      <c r="F156" s="199"/>
      <c r="G156" s="199">
        <v>93</v>
      </c>
      <c r="H156" s="200">
        <f t="shared" si="13"/>
        <v>0</v>
      </c>
      <c r="I156" s="200">
        <f t="shared" si="14"/>
        <v>0</v>
      </c>
      <c r="J156" s="200">
        <f t="shared" si="15"/>
        <v>0</v>
      </c>
      <c r="K156" s="200">
        <f t="shared" si="16"/>
        <v>0</v>
      </c>
      <c r="L156" s="199"/>
    </row>
    <row r="157" spans="1:12">
      <c r="A157" s="199">
        <v>94</v>
      </c>
      <c r="B157" s="200">
        <f t="shared" si="9"/>
        <v>0</v>
      </c>
      <c r="C157" s="200">
        <f t="shared" si="10"/>
        <v>0</v>
      </c>
      <c r="D157" s="200">
        <f t="shared" si="11"/>
        <v>0</v>
      </c>
      <c r="E157" s="200">
        <f t="shared" si="12"/>
        <v>0</v>
      </c>
      <c r="F157" s="199"/>
      <c r="G157" s="199">
        <v>94</v>
      </c>
      <c r="H157" s="200">
        <f t="shared" si="13"/>
        <v>0</v>
      </c>
      <c r="I157" s="200">
        <f t="shared" si="14"/>
        <v>0</v>
      </c>
      <c r="J157" s="200">
        <f t="shared" si="15"/>
        <v>0</v>
      </c>
      <c r="K157" s="200">
        <f t="shared" si="16"/>
        <v>0</v>
      </c>
      <c r="L157" s="199"/>
    </row>
    <row r="158" spans="1:12">
      <c r="A158" s="199">
        <v>95</v>
      </c>
      <c r="B158" s="200">
        <f t="shared" si="9"/>
        <v>0</v>
      </c>
      <c r="C158" s="200">
        <f t="shared" si="10"/>
        <v>0</v>
      </c>
      <c r="D158" s="200">
        <f t="shared" si="11"/>
        <v>0</v>
      </c>
      <c r="E158" s="200">
        <f t="shared" si="12"/>
        <v>0</v>
      </c>
      <c r="F158" s="199"/>
      <c r="G158" s="199">
        <v>95</v>
      </c>
      <c r="H158" s="200">
        <f t="shared" si="13"/>
        <v>0</v>
      </c>
      <c r="I158" s="200">
        <f t="shared" si="14"/>
        <v>0</v>
      </c>
      <c r="J158" s="200">
        <f t="shared" si="15"/>
        <v>0</v>
      </c>
      <c r="K158" s="200">
        <f t="shared" si="16"/>
        <v>0</v>
      </c>
      <c r="L158" s="199"/>
    </row>
    <row r="159" spans="1:12">
      <c r="A159" s="199">
        <v>96</v>
      </c>
      <c r="B159" s="200">
        <f t="shared" si="9"/>
        <v>0</v>
      </c>
      <c r="C159" s="200">
        <f t="shared" si="10"/>
        <v>0</v>
      </c>
      <c r="D159" s="200">
        <f t="shared" si="11"/>
        <v>0</v>
      </c>
      <c r="E159" s="200">
        <f t="shared" si="12"/>
        <v>0</v>
      </c>
      <c r="F159" s="199">
        <v>8</v>
      </c>
      <c r="G159" s="199">
        <v>96</v>
      </c>
      <c r="H159" s="200">
        <f t="shared" si="13"/>
        <v>0</v>
      </c>
      <c r="I159" s="200">
        <f t="shared" si="14"/>
        <v>0</v>
      </c>
      <c r="J159" s="200">
        <f t="shared" si="15"/>
        <v>0</v>
      </c>
      <c r="K159" s="200">
        <f t="shared" si="16"/>
        <v>0</v>
      </c>
      <c r="L159" s="199">
        <v>8</v>
      </c>
    </row>
    <row r="160" spans="1:12">
      <c r="A160" s="199">
        <v>97</v>
      </c>
      <c r="B160" s="200">
        <f t="shared" si="9"/>
        <v>0</v>
      </c>
      <c r="C160" s="200">
        <f t="shared" si="10"/>
        <v>0</v>
      </c>
      <c r="D160" s="200">
        <f t="shared" si="11"/>
        <v>0</v>
      </c>
      <c r="E160" s="200">
        <f t="shared" si="12"/>
        <v>0</v>
      </c>
      <c r="F160" s="199"/>
      <c r="G160" s="199">
        <v>97</v>
      </c>
      <c r="H160" s="200">
        <f t="shared" si="13"/>
        <v>0</v>
      </c>
      <c r="I160" s="200">
        <f t="shared" si="14"/>
        <v>0</v>
      </c>
      <c r="J160" s="200">
        <f t="shared" si="15"/>
        <v>0</v>
      </c>
      <c r="K160" s="200">
        <f t="shared" si="16"/>
        <v>0</v>
      </c>
      <c r="L160" s="199"/>
    </row>
    <row r="161" spans="1:12">
      <c r="A161" s="199">
        <v>98</v>
      </c>
      <c r="B161" s="200">
        <f t="shared" si="9"/>
        <v>0</v>
      </c>
      <c r="C161" s="200">
        <f t="shared" si="10"/>
        <v>0</v>
      </c>
      <c r="D161" s="200">
        <f t="shared" si="11"/>
        <v>0</v>
      </c>
      <c r="E161" s="200">
        <f t="shared" si="12"/>
        <v>0</v>
      </c>
      <c r="F161" s="199"/>
      <c r="G161" s="199">
        <v>98</v>
      </c>
      <c r="H161" s="200">
        <f t="shared" si="13"/>
        <v>0</v>
      </c>
      <c r="I161" s="200">
        <f t="shared" si="14"/>
        <v>0</v>
      </c>
      <c r="J161" s="200">
        <f t="shared" si="15"/>
        <v>0</v>
      </c>
      <c r="K161" s="200">
        <f t="shared" si="16"/>
        <v>0</v>
      </c>
      <c r="L161" s="199"/>
    </row>
    <row r="162" spans="1:12">
      <c r="A162" s="199">
        <v>99</v>
      </c>
      <c r="B162" s="200">
        <f t="shared" si="9"/>
        <v>0</v>
      </c>
      <c r="C162" s="200">
        <f t="shared" si="10"/>
        <v>0</v>
      </c>
      <c r="D162" s="200">
        <f t="shared" si="11"/>
        <v>0</v>
      </c>
      <c r="E162" s="200">
        <f t="shared" si="12"/>
        <v>0</v>
      </c>
      <c r="F162" s="199"/>
      <c r="G162" s="199">
        <v>99</v>
      </c>
      <c r="H162" s="200">
        <f t="shared" si="13"/>
        <v>0</v>
      </c>
      <c r="I162" s="200">
        <f t="shared" si="14"/>
        <v>0</v>
      </c>
      <c r="J162" s="200">
        <f t="shared" si="15"/>
        <v>0</v>
      </c>
      <c r="K162" s="200">
        <f t="shared" si="16"/>
        <v>0</v>
      </c>
      <c r="L162" s="199"/>
    </row>
    <row r="163" spans="1:12">
      <c r="A163" s="199">
        <v>100</v>
      </c>
      <c r="B163" s="200">
        <f t="shared" si="9"/>
        <v>0</v>
      </c>
      <c r="C163" s="200">
        <f t="shared" si="10"/>
        <v>0</v>
      </c>
      <c r="D163" s="200">
        <f t="shared" si="11"/>
        <v>0</v>
      </c>
      <c r="E163" s="200">
        <f t="shared" si="12"/>
        <v>0</v>
      </c>
      <c r="F163" s="199"/>
      <c r="G163" s="199">
        <v>100</v>
      </c>
      <c r="H163" s="200">
        <f t="shared" si="13"/>
        <v>0</v>
      </c>
      <c r="I163" s="200">
        <f t="shared" si="14"/>
        <v>0</v>
      </c>
      <c r="J163" s="200">
        <f t="shared" si="15"/>
        <v>0</v>
      </c>
      <c r="K163" s="200">
        <f t="shared" si="16"/>
        <v>0</v>
      </c>
      <c r="L163" s="199"/>
    </row>
    <row r="164" spans="1:12">
      <c r="A164" s="199">
        <v>101</v>
      </c>
      <c r="B164" s="200">
        <f t="shared" si="9"/>
        <v>0</v>
      </c>
      <c r="C164" s="200">
        <f t="shared" si="10"/>
        <v>0</v>
      </c>
      <c r="D164" s="200">
        <f t="shared" si="11"/>
        <v>0</v>
      </c>
      <c r="E164" s="200">
        <f t="shared" si="12"/>
        <v>0</v>
      </c>
      <c r="F164" s="199"/>
      <c r="G164" s="199">
        <v>101</v>
      </c>
      <c r="H164" s="200">
        <f t="shared" si="13"/>
        <v>0</v>
      </c>
      <c r="I164" s="200">
        <f t="shared" si="14"/>
        <v>0</v>
      </c>
      <c r="J164" s="200">
        <f t="shared" si="15"/>
        <v>0</v>
      </c>
      <c r="K164" s="200">
        <f t="shared" si="16"/>
        <v>0</v>
      </c>
      <c r="L164" s="199"/>
    </row>
    <row r="165" spans="1:12">
      <c r="A165" s="199">
        <v>102</v>
      </c>
      <c r="B165" s="200">
        <f t="shared" si="9"/>
        <v>0</v>
      </c>
      <c r="C165" s="200">
        <f t="shared" si="10"/>
        <v>0</v>
      </c>
      <c r="D165" s="200">
        <f t="shared" si="11"/>
        <v>0</v>
      </c>
      <c r="E165" s="200">
        <f t="shared" si="12"/>
        <v>0</v>
      </c>
      <c r="F165" s="199"/>
      <c r="G165" s="199">
        <v>102</v>
      </c>
      <c r="H165" s="200">
        <f t="shared" si="13"/>
        <v>0</v>
      </c>
      <c r="I165" s="200">
        <f t="shared" si="14"/>
        <v>0</v>
      </c>
      <c r="J165" s="200">
        <f t="shared" si="15"/>
        <v>0</v>
      </c>
      <c r="K165" s="200">
        <f t="shared" si="16"/>
        <v>0</v>
      </c>
      <c r="L165" s="199"/>
    </row>
    <row r="166" spans="1:12">
      <c r="A166" s="199">
        <v>103</v>
      </c>
      <c r="B166" s="200">
        <f t="shared" si="9"/>
        <v>0</v>
      </c>
      <c r="C166" s="200">
        <f t="shared" si="10"/>
        <v>0</v>
      </c>
      <c r="D166" s="200">
        <f t="shared" si="11"/>
        <v>0</v>
      </c>
      <c r="E166" s="200">
        <f t="shared" si="12"/>
        <v>0</v>
      </c>
      <c r="F166" s="199"/>
      <c r="G166" s="199">
        <v>103</v>
      </c>
      <c r="H166" s="200">
        <f t="shared" si="13"/>
        <v>0</v>
      </c>
      <c r="I166" s="200">
        <f t="shared" si="14"/>
        <v>0</v>
      </c>
      <c r="J166" s="200">
        <f t="shared" si="15"/>
        <v>0</v>
      </c>
      <c r="K166" s="200">
        <f t="shared" si="16"/>
        <v>0</v>
      </c>
      <c r="L166" s="199"/>
    </row>
    <row r="167" spans="1:12">
      <c r="A167" s="199">
        <v>104</v>
      </c>
      <c r="B167" s="200">
        <f t="shared" si="9"/>
        <v>0</v>
      </c>
      <c r="C167" s="200">
        <f t="shared" si="10"/>
        <v>0</v>
      </c>
      <c r="D167" s="200">
        <f t="shared" si="11"/>
        <v>0</v>
      </c>
      <c r="E167" s="200">
        <f t="shared" si="12"/>
        <v>0</v>
      </c>
      <c r="F167" s="199"/>
      <c r="G167" s="199">
        <v>104</v>
      </c>
      <c r="H167" s="200">
        <f t="shared" si="13"/>
        <v>0</v>
      </c>
      <c r="I167" s="200">
        <f t="shared" si="14"/>
        <v>0</v>
      </c>
      <c r="J167" s="200">
        <f t="shared" si="15"/>
        <v>0</v>
      </c>
      <c r="K167" s="200">
        <f t="shared" si="16"/>
        <v>0</v>
      </c>
      <c r="L167" s="199"/>
    </row>
    <row r="168" spans="1:12">
      <c r="A168" s="199">
        <v>105</v>
      </c>
      <c r="B168" s="200">
        <f t="shared" si="9"/>
        <v>0</v>
      </c>
      <c r="C168" s="200">
        <f t="shared" si="10"/>
        <v>0</v>
      </c>
      <c r="D168" s="200">
        <f t="shared" si="11"/>
        <v>0</v>
      </c>
      <c r="E168" s="200">
        <f t="shared" si="12"/>
        <v>0</v>
      </c>
      <c r="F168" s="199"/>
      <c r="G168" s="199">
        <v>105</v>
      </c>
      <c r="H168" s="200">
        <f t="shared" si="13"/>
        <v>0</v>
      </c>
      <c r="I168" s="200">
        <f t="shared" si="14"/>
        <v>0</v>
      </c>
      <c r="J168" s="200">
        <f t="shared" si="15"/>
        <v>0</v>
      </c>
      <c r="K168" s="200">
        <f t="shared" si="16"/>
        <v>0</v>
      </c>
      <c r="L168" s="199"/>
    </row>
    <row r="169" spans="1:12">
      <c r="A169" s="199">
        <v>106</v>
      </c>
      <c r="B169" s="200">
        <f t="shared" si="9"/>
        <v>0</v>
      </c>
      <c r="C169" s="200">
        <f t="shared" si="10"/>
        <v>0</v>
      </c>
      <c r="D169" s="200">
        <f t="shared" si="11"/>
        <v>0</v>
      </c>
      <c r="E169" s="200">
        <f t="shared" si="12"/>
        <v>0</v>
      </c>
      <c r="F169" s="199"/>
      <c r="G169" s="199">
        <v>106</v>
      </c>
      <c r="H169" s="200">
        <f t="shared" si="13"/>
        <v>0</v>
      </c>
      <c r="I169" s="200">
        <f t="shared" si="14"/>
        <v>0</v>
      </c>
      <c r="J169" s="200">
        <f t="shared" si="15"/>
        <v>0</v>
      </c>
      <c r="K169" s="200">
        <f t="shared" si="16"/>
        <v>0</v>
      </c>
      <c r="L169" s="199"/>
    </row>
    <row r="170" spans="1:12">
      <c r="A170" s="199">
        <v>107</v>
      </c>
      <c r="B170" s="200">
        <f t="shared" si="9"/>
        <v>0</v>
      </c>
      <c r="C170" s="200">
        <f t="shared" si="10"/>
        <v>0</v>
      </c>
      <c r="D170" s="200">
        <f t="shared" si="11"/>
        <v>0</v>
      </c>
      <c r="E170" s="200">
        <f t="shared" si="12"/>
        <v>0</v>
      </c>
      <c r="F170" s="199"/>
      <c r="G170" s="199">
        <v>107</v>
      </c>
      <c r="H170" s="200">
        <f t="shared" si="13"/>
        <v>0</v>
      </c>
      <c r="I170" s="200">
        <f t="shared" si="14"/>
        <v>0</v>
      </c>
      <c r="J170" s="200">
        <f t="shared" si="15"/>
        <v>0</v>
      </c>
      <c r="K170" s="200">
        <f t="shared" si="16"/>
        <v>0</v>
      </c>
      <c r="L170" s="199"/>
    </row>
    <row r="171" spans="1:12">
      <c r="A171" s="199">
        <v>108</v>
      </c>
      <c r="B171" s="200">
        <f t="shared" si="9"/>
        <v>0</v>
      </c>
      <c r="C171" s="200">
        <f t="shared" si="10"/>
        <v>0</v>
      </c>
      <c r="D171" s="200">
        <f t="shared" si="11"/>
        <v>0</v>
      </c>
      <c r="E171" s="200">
        <f t="shared" si="12"/>
        <v>0</v>
      </c>
      <c r="F171" s="199">
        <v>9</v>
      </c>
      <c r="G171" s="199">
        <v>108</v>
      </c>
      <c r="H171" s="200">
        <f t="shared" si="13"/>
        <v>0</v>
      </c>
      <c r="I171" s="200">
        <f t="shared" si="14"/>
        <v>0</v>
      </c>
      <c r="J171" s="200">
        <f t="shared" si="15"/>
        <v>0</v>
      </c>
      <c r="K171" s="200">
        <f t="shared" si="16"/>
        <v>0</v>
      </c>
      <c r="L171" s="199">
        <v>9</v>
      </c>
    </row>
    <row r="172" spans="1:12">
      <c r="A172" s="199">
        <v>109</v>
      </c>
      <c r="B172" s="200">
        <f t="shared" si="9"/>
        <v>0</v>
      </c>
      <c r="C172" s="200">
        <f t="shared" si="10"/>
        <v>0</v>
      </c>
      <c r="D172" s="200">
        <f t="shared" si="11"/>
        <v>0</v>
      </c>
      <c r="E172" s="200">
        <f t="shared" si="12"/>
        <v>0</v>
      </c>
      <c r="F172" s="199"/>
      <c r="G172" s="199">
        <v>109</v>
      </c>
      <c r="H172" s="200">
        <f t="shared" si="13"/>
        <v>0</v>
      </c>
      <c r="I172" s="200">
        <f t="shared" si="14"/>
        <v>0</v>
      </c>
      <c r="J172" s="200">
        <f t="shared" si="15"/>
        <v>0</v>
      </c>
      <c r="K172" s="200">
        <f t="shared" si="16"/>
        <v>0</v>
      </c>
      <c r="L172" s="199"/>
    </row>
    <row r="173" spans="1:12">
      <c r="A173" s="199">
        <v>110</v>
      </c>
      <c r="B173" s="200">
        <f t="shared" si="9"/>
        <v>0</v>
      </c>
      <c r="C173" s="200">
        <f t="shared" si="10"/>
        <v>0</v>
      </c>
      <c r="D173" s="200">
        <f t="shared" si="11"/>
        <v>0</v>
      </c>
      <c r="E173" s="200">
        <f t="shared" si="12"/>
        <v>0</v>
      </c>
      <c r="F173" s="199"/>
      <c r="G173" s="199">
        <v>110</v>
      </c>
      <c r="H173" s="200">
        <f t="shared" si="13"/>
        <v>0</v>
      </c>
      <c r="I173" s="200">
        <f t="shared" si="14"/>
        <v>0</v>
      </c>
      <c r="J173" s="200">
        <f t="shared" si="15"/>
        <v>0</v>
      </c>
      <c r="K173" s="200">
        <f t="shared" si="16"/>
        <v>0</v>
      </c>
      <c r="L173" s="199"/>
    </row>
    <row r="174" spans="1:12">
      <c r="A174" s="199">
        <v>111</v>
      </c>
      <c r="B174" s="200">
        <f t="shared" si="9"/>
        <v>0</v>
      </c>
      <c r="C174" s="200">
        <f t="shared" si="10"/>
        <v>0</v>
      </c>
      <c r="D174" s="200">
        <f t="shared" si="11"/>
        <v>0</v>
      </c>
      <c r="E174" s="200">
        <f t="shared" si="12"/>
        <v>0</v>
      </c>
      <c r="F174" s="199"/>
      <c r="G174" s="199">
        <v>111</v>
      </c>
      <c r="H174" s="200">
        <f t="shared" si="13"/>
        <v>0</v>
      </c>
      <c r="I174" s="200">
        <f t="shared" si="14"/>
        <v>0</v>
      </c>
      <c r="J174" s="200">
        <f t="shared" si="15"/>
        <v>0</v>
      </c>
      <c r="K174" s="200">
        <f t="shared" si="16"/>
        <v>0</v>
      </c>
      <c r="L174" s="199"/>
    </row>
    <row r="175" spans="1:12">
      <c r="A175" s="199">
        <v>112</v>
      </c>
      <c r="B175" s="200">
        <f t="shared" si="9"/>
        <v>0</v>
      </c>
      <c r="C175" s="200">
        <f t="shared" si="10"/>
        <v>0</v>
      </c>
      <c r="D175" s="200">
        <f t="shared" si="11"/>
        <v>0</v>
      </c>
      <c r="E175" s="200">
        <f t="shared" si="12"/>
        <v>0</v>
      </c>
      <c r="F175" s="199"/>
      <c r="G175" s="199">
        <v>112</v>
      </c>
      <c r="H175" s="200">
        <f t="shared" si="13"/>
        <v>0</v>
      </c>
      <c r="I175" s="200">
        <f t="shared" si="14"/>
        <v>0</v>
      </c>
      <c r="J175" s="200">
        <f t="shared" si="15"/>
        <v>0</v>
      </c>
      <c r="K175" s="200">
        <f t="shared" si="16"/>
        <v>0</v>
      </c>
      <c r="L175" s="199"/>
    </row>
    <row r="176" spans="1:12">
      <c r="A176" s="199">
        <v>113</v>
      </c>
      <c r="B176" s="200">
        <f t="shared" si="9"/>
        <v>0</v>
      </c>
      <c r="C176" s="200">
        <f t="shared" si="10"/>
        <v>0</v>
      </c>
      <c r="D176" s="200">
        <f t="shared" si="11"/>
        <v>0</v>
      </c>
      <c r="E176" s="200">
        <f t="shared" si="12"/>
        <v>0</v>
      </c>
      <c r="F176" s="199"/>
      <c r="G176" s="199">
        <v>113</v>
      </c>
      <c r="H176" s="200">
        <f t="shared" si="13"/>
        <v>0</v>
      </c>
      <c r="I176" s="200">
        <f t="shared" si="14"/>
        <v>0</v>
      </c>
      <c r="J176" s="200">
        <f t="shared" si="15"/>
        <v>0</v>
      </c>
      <c r="K176" s="200">
        <f t="shared" si="16"/>
        <v>0</v>
      </c>
      <c r="L176" s="199"/>
    </row>
    <row r="177" spans="1:12">
      <c r="A177" s="199">
        <v>114</v>
      </c>
      <c r="B177" s="200">
        <f t="shared" si="9"/>
        <v>0</v>
      </c>
      <c r="C177" s="200">
        <f t="shared" si="10"/>
        <v>0</v>
      </c>
      <c r="D177" s="200">
        <f t="shared" si="11"/>
        <v>0</v>
      </c>
      <c r="E177" s="200">
        <f t="shared" si="12"/>
        <v>0</v>
      </c>
      <c r="F177" s="199"/>
      <c r="G177" s="199">
        <v>114</v>
      </c>
      <c r="H177" s="200">
        <f t="shared" si="13"/>
        <v>0</v>
      </c>
      <c r="I177" s="200">
        <f t="shared" si="14"/>
        <v>0</v>
      </c>
      <c r="J177" s="200">
        <f t="shared" si="15"/>
        <v>0</v>
      </c>
      <c r="K177" s="200">
        <f t="shared" si="16"/>
        <v>0</v>
      </c>
      <c r="L177" s="199"/>
    </row>
    <row r="178" spans="1:12">
      <c r="A178" s="199">
        <v>115</v>
      </c>
      <c r="B178" s="200">
        <f t="shared" si="9"/>
        <v>0</v>
      </c>
      <c r="C178" s="200">
        <f t="shared" si="10"/>
        <v>0</v>
      </c>
      <c r="D178" s="200">
        <f t="shared" si="11"/>
        <v>0</v>
      </c>
      <c r="E178" s="200">
        <f t="shared" si="12"/>
        <v>0</v>
      </c>
      <c r="F178" s="199"/>
      <c r="G178" s="199">
        <v>115</v>
      </c>
      <c r="H178" s="200">
        <f t="shared" si="13"/>
        <v>0</v>
      </c>
      <c r="I178" s="200">
        <f t="shared" si="14"/>
        <v>0</v>
      </c>
      <c r="J178" s="200">
        <f t="shared" si="15"/>
        <v>0</v>
      </c>
      <c r="K178" s="200">
        <f t="shared" si="16"/>
        <v>0</v>
      </c>
      <c r="L178" s="199"/>
    </row>
    <row r="179" spans="1:12">
      <c r="A179" s="199">
        <v>116</v>
      </c>
      <c r="B179" s="200">
        <f t="shared" si="9"/>
        <v>0</v>
      </c>
      <c r="C179" s="200">
        <f t="shared" si="10"/>
        <v>0</v>
      </c>
      <c r="D179" s="200">
        <f t="shared" si="11"/>
        <v>0</v>
      </c>
      <c r="E179" s="200">
        <f t="shared" si="12"/>
        <v>0</v>
      </c>
      <c r="F179" s="199"/>
      <c r="G179" s="199">
        <v>116</v>
      </c>
      <c r="H179" s="200">
        <f t="shared" si="13"/>
        <v>0</v>
      </c>
      <c r="I179" s="200">
        <f t="shared" si="14"/>
        <v>0</v>
      </c>
      <c r="J179" s="200">
        <f t="shared" si="15"/>
        <v>0</v>
      </c>
      <c r="K179" s="200">
        <f t="shared" si="16"/>
        <v>0</v>
      </c>
      <c r="L179" s="199"/>
    </row>
    <row r="180" spans="1:12">
      <c r="A180" s="199">
        <v>117</v>
      </c>
      <c r="B180" s="200">
        <f t="shared" si="9"/>
        <v>0</v>
      </c>
      <c r="C180" s="200">
        <f t="shared" si="10"/>
        <v>0</v>
      </c>
      <c r="D180" s="200">
        <f t="shared" si="11"/>
        <v>0</v>
      </c>
      <c r="E180" s="200">
        <f t="shared" si="12"/>
        <v>0</v>
      </c>
      <c r="F180" s="199"/>
      <c r="G180" s="199">
        <v>117</v>
      </c>
      <c r="H180" s="200">
        <f t="shared" si="13"/>
        <v>0</v>
      </c>
      <c r="I180" s="200">
        <f t="shared" si="14"/>
        <v>0</v>
      </c>
      <c r="J180" s="200">
        <f t="shared" si="15"/>
        <v>0</v>
      </c>
      <c r="K180" s="200">
        <f t="shared" si="16"/>
        <v>0</v>
      </c>
      <c r="L180" s="199"/>
    </row>
    <row r="181" spans="1:12">
      <c r="A181" s="199">
        <v>118</v>
      </c>
      <c r="B181" s="200">
        <f t="shared" si="9"/>
        <v>0</v>
      </c>
      <c r="C181" s="200">
        <f t="shared" si="10"/>
        <v>0</v>
      </c>
      <c r="D181" s="200">
        <f t="shared" si="11"/>
        <v>0</v>
      </c>
      <c r="E181" s="200">
        <f t="shared" si="12"/>
        <v>0</v>
      </c>
      <c r="F181" s="199"/>
      <c r="G181" s="199">
        <v>118</v>
      </c>
      <c r="H181" s="200">
        <f t="shared" si="13"/>
        <v>0</v>
      </c>
      <c r="I181" s="200">
        <f t="shared" si="14"/>
        <v>0</v>
      </c>
      <c r="J181" s="200">
        <f t="shared" si="15"/>
        <v>0</v>
      </c>
      <c r="K181" s="200">
        <f t="shared" si="16"/>
        <v>0</v>
      </c>
      <c r="L181" s="199"/>
    </row>
    <row r="182" spans="1:12">
      <c r="A182" s="199">
        <v>119</v>
      </c>
      <c r="B182" s="200">
        <f t="shared" si="9"/>
        <v>0</v>
      </c>
      <c r="C182" s="200">
        <f t="shared" si="10"/>
        <v>0</v>
      </c>
      <c r="D182" s="200">
        <f t="shared" si="11"/>
        <v>0</v>
      </c>
      <c r="E182" s="200">
        <f t="shared" si="12"/>
        <v>0</v>
      </c>
      <c r="F182" s="199"/>
      <c r="G182" s="199">
        <v>119</v>
      </c>
      <c r="H182" s="200">
        <f t="shared" si="13"/>
        <v>0</v>
      </c>
      <c r="I182" s="200">
        <f t="shared" si="14"/>
        <v>0</v>
      </c>
      <c r="J182" s="200">
        <f t="shared" si="15"/>
        <v>0</v>
      </c>
      <c r="K182" s="200">
        <f t="shared" si="16"/>
        <v>0</v>
      </c>
      <c r="L182" s="199"/>
    </row>
    <row r="183" spans="1:12">
      <c r="A183" s="199">
        <v>120</v>
      </c>
      <c r="B183" s="200">
        <f t="shared" si="9"/>
        <v>0</v>
      </c>
      <c r="C183" s="200">
        <f t="shared" si="10"/>
        <v>0</v>
      </c>
      <c r="D183" s="200">
        <f t="shared" si="11"/>
        <v>0</v>
      </c>
      <c r="E183" s="200">
        <f t="shared" si="12"/>
        <v>0</v>
      </c>
      <c r="F183" s="199">
        <v>10</v>
      </c>
      <c r="G183" s="199">
        <v>120</v>
      </c>
      <c r="H183" s="200">
        <f t="shared" si="13"/>
        <v>0</v>
      </c>
      <c r="I183" s="200">
        <f t="shared" si="14"/>
        <v>0</v>
      </c>
      <c r="J183" s="200">
        <f t="shared" si="15"/>
        <v>0</v>
      </c>
      <c r="K183" s="200">
        <f t="shared" si="16"/>
        <v>0</v>
      </c>
      <c r="L183" s="199">
        <v>10</v>
      </c>
    </row>
    <row r="184" spans="1:12">
      <c r="A184" s="199">
        <v>121</v>
      </c>
      <c r="B184" s="200">
        <f t="shared" si="9"/>
        <v>0</v>
      </c>
      <c r="C184" s="200">
        <f t="shared" si="10"/>
        <v>0</v>
      </c>
      <c r="D184" s="200">
        <f t="shared" si="11"/>
        <v>0</v>
      </c>
      <c r="E184" s="200">
        <f t="shared" si="12"/>
        <v>0</v>
      </c>
      <c r="F184" s="199"/>
      <c r="G184" s="199">
        <v>121</v>
      </c>
      <c r="H184" s="200">
        <f t="shared" si="13"/>
        <v>0</v>
      </c>
      <c r="I184" s="200">
        <f t="shared" si="14"/>
        <v>0</v>
      </c>
      <c r="J184" s="200">
        <f t="shared" si="15"/>
        <v>0</v>
      </c>
      <c r="K184" s="200">
        <f t="shared" si="16"/>
        <v>0</v>
      </c>
      <c r="L184" s="199"/>
    </row>
    <row r="185" spans="1:12">
      <c r="A185" s="199">
        <v>122</v>
      </c>
      <c r="B185" s="200">
        <f t="shared" si="9"/>
        <v>0</v>
      </c>
      <c r="C185" s="200">
        <f t="shared" si="10"/>
        <v>0</v>
      </c>
      <c r="D185" s="200">
        <f t="shared" si="11"/>
        <v>0</v>
      </c>
      <c r="E185" s="200">
        <f t="shared" si="12"/>
        <v>0</v>
      </c>
      <c r="F185" s="199"/>
      <c r="G185" s="199">
        <v>122</v>
      </c>
      <c r="H185" s="200">
        <f t="shared" si="13"/>
        <v>0</v>
      </c>
      <c r="I185" s="200">
        <f t="shared" si="14"/>
        <v>0</v>
      </c>
      <c r="J185" s="200">
        <f t="shared" si="15"/>
        <v>0</v>
      </c>
      <c r="K185" s="200">
        <f t="shared" si="16"/>
        <v>0</v>
      </c>
      <c r="L185" s="199"/>
    </row>
    <row r="186" spans="1:12">
      <c r="A186" s="199">
        <v>123</v>
      </c>
      <c r="B186" s="200">
        <f t="shared" si="9"/>
        <v>0</v>
      </c>
      <c r="C186" s="200">
        <f t="shared" si="10"/>
        <v>0</v>
      </c>
      <c r="D186" s="200">
        <f t="shared" si="11"/>
        <v>0</v>
      </c>
      <c r="E186" s="200">
        <f t="shared" si="12"/>
        <v>0</v>
      </c>
      <c r="F186" s="199"/>
      <c r="G186" s="199">
        <v>123</v>
      </c>
      <c r="H186" s="200">
        <f t="shared" si="13"/>
        <v>0</v>
      </c>
      <c r="I186" s="200">
        <f t="shared" si="14"/>
        <v>0</v>
      </c>
      <c r="J186" s="200">
        <f t="shared" si="15"/>
        <v>0</v>
      </c>
      <c r="K186" s="200">
        <f t="shared" si="16"/>
        <v>0</v>
      </c>
      <c r="L186" s="199"/>
    </row>
    <row r="187" spans="1:12">
      <c r="A187" s="199">
        <v>124</v>
      </c>
      <c r="B187" s="200">
        <f t="shared" si="9"/>
        <v>0</v>
      </c>
      <c r="C187" s="200">
        <f t="shared" si="10"/>
        <v>0</v>
      </c>
      <c r="D187" s="200">
        <f t="shared" si="11"/>
        <v>0</v>
      </c>
      <c r="E187" s="200">
        <f t="shared" si="12"/>
        <v>0</v>
      </c>
      <c r="F187" s="199"/>
      <c r="G187" s="199">
        <v>124</v>
      </c>
      <c r="H187" s="200">
        <f t="shared" si="13"/>
        <v>0</v>
      </c>
      <c r="I187" s="200">
        <f t="shared" si="14"/>
        <v>0</v>
      </c>
      <c r="J187" s="200">
        <f t="shared" si="15"/>
        <v>0</v>
      </c>
      <c r="K187" s="200">
        <f t="shared" si="16"/>
        <v>0</v>
      </c>
      <c r="L187" s="199"/>
    </row>
    <row r="188" spans="1:12">
      <c r="A188" s="199">
        <v>125</v>
      </c>
      <c r="B188" s="200">
        <f t="shared" si="9"/>
        <v>0</v>
      </c>
      <c r="C188" s="200">
        <f t="shared" si="10"/>
        <v>0</v>
      </c>
      <c r="D188" s="200">
        <f t="shared" si="11"/>
        <v>0</v>
      </c>
      <c r="E188" s="200">
        <f t="shared" si="12"/>
        <v>0</v>
      </c>
      <c r="F188" s="199"/>
      <c r="G188" s="199">
        <v>125</v>
      </c>
      <c r="H188" s="200">
        <f t="shared" si="13"/>
        <v>0</v>
      </c>
      <c r="I188" s="200">
        <f t="shared" si="14"/>
        <v>0</v>
      </c>
      <c r="J188" s="200">
        <f t="shared" si="15"/>
        <v>0</v>
      </c>
      <c r="K188" s="200">
        <f t="shared" si="16"/>
        <v>0</v>
      </c>
      <c r="L188" s="199"/>
    </row>
    <row r="189" spans="1:12">
      <c r="A189" s="199">
        <v>126</v>
      </c>
      <c r="B189" s="200">
        <f t="shared" si="9"/>
        <v>0</v>
      </c>
      <c r="C189" s="200">
        <f t="shared" si="10"/>
        <v>0</v>
      </c>
      <c r="D189" s="200">
        <f t="shared" si="11"/>
        <v>0</v>
      </c>
      <c r="E189" s="200">
        <f t="shared" si="12"/>
        <v>0</v>
      </c>
      <c r="F189" s="199"/>
      <c r="G189" s="199">
        <v>126</v>
      </c>
      <c r="H189" s="200">
        <f t="shared" si="13"/>
        <v>0</v>
      </c>
      <c r="I189" s="200">
        <f t="shared" si="14"/>
        <v>0</v>
      </c>
      <c r="J189" s="200">
        <f t="shared" si="15"/>
        <v>0</v>
      </c>
      <c r="K189" s="200">
        <f t="shared" si="16"/>
        <v>0</v>
      </c>
      <c r="L189" s="199"/>
    </row>
    <row r="190" spans="1:12">
      <c r="A190" s="199">
        <v>127</v>
      </c>
      <c r="B190" s="200">
        <f t="shared" si="9"/>
        <v>0</v>
      </c>
      <c r="C190" s="200">
        <f t="shared" si="10"/>
        <v>0</v>
      </c>
      <c r="D190" s="200">
        <f t="shared" si="11"/>
        <v>0</v>
      </c>
      <c r="E190" s="200">
        <f t="shared" si="12"/>
        <v>0</v>
      </c>
      <c r="F190" s="199"/>
      <c r="G190" s="199">
        <v>127</v>
      </c>
      <c r="H190" s="200">
        <f t="shared" si="13"/>
        <v>0</v>
      </c>
      <c r="I190" s="200">
        <f t="shared" si="14"/>
        <v>0</v>
      </c>
      <c r="J190" s="200">
        <f t="shared" si="15"/>
        <v>0</v>
      </c>
      <c r="K190" s="200">
        <f t="shared" si="16"/>
        <v>0</v>
      </c>
      <c r="L190" s="199"/>
    </row>
    <row r="191" spans="1:12">
      <c r="A191" s="199">
        <v>128</v>
      </c>
      <c r="B191" s="200">
        <f t="shared" si="9"/>
        <v>0</v>
      </c>
      <c r="C191" s="200">
        <f t="shared" si="10"/>
        <v>0</v>
      </c>
      <c r="D191" s="200">
        <f t="shared" si="11"/>
        <v>0</v>
      </c>
      <c r="E191" s="200">
        <f t="shared" si="12"/>
        <v>0</v>
      </c>
      <c r="F191" s="199"/>
      <c r="G191" s="199">
        <v>128</v>
      </c>
      <c r="H191" s="200">
        <f t="shared" si="13"/>
        <v>0</v>
      </c>
      <c r="I191" s="200">
        <f t="shared" si="14"/>
        <v>0</v>
      </c>
      <c r="J191" s="200">
        <f t="shared" si="15"/>
        <v>0</v>
      </c>
      <c r="K191" s="200">
        <f t="shared" si="16"/>
        <v>0</v>
      </c>
      <c r="L191" s="199"/>
    </row>
    <row r="192" spans="1:12">
      <c r="A192" s="199">
        <v>129</v>
      </c>
      <c r="B192" s="200">
        <f t="shared" ref="B192:B255" si="17">IF(A192&gt;12*$C$9,0,IF($C$5&gt;1500000,$D$12,$C$12))</f>
        <v>0</v>
      </c>
      <c r="C192" s="200">
        <f t="shared" ref="C192:C255" si="18">IF(A192&gt;12*$C$9,0,E191*$C$7/12)</f>
        <v>0</v>
      </c>
      <c r="D192" s="200">
        <f t="shared" ref="D192:D255" si="19">IF(A192&gt;12*$C$9,0,B192-C192)</f>
        <v>0</v>
      </c>
      <c r="E192" s="200">
        <f t="shared" ref="E192:E255" si="20">IF(A192&gt;12*$C$9,0,E191-D192)</f>
        <v>0</v>
      </c>
      <c r="F192" s="199"/>
      <c r="G192" s="199">
        <v>129</v>
      </c>
      <c r="H192" s="200">
        <f t="shared" ref="H192:H255" si="21">IF(G192&gt;12*$C$9,0,IF($C$5&gt;1500000,$E$12,0))</f>
        <v>0</v>
      </c>
      <c r="I192" s="200">
        <f t="shared" ref="I192:I255" si="22">IF(G192&gt;12*$C$9,0,K191*$C$7/12)</f>
        <v>0</v>
      </c>
      <c r="J192" s="200">
        <f t="shared" ref="J192:J255" si="23">IF(G192&gt;12*$C$9,0,H192-I192)</f>
        <v>0</v>
      </c>
      <c r="K192" s="200">
        <f t="shared" ref="K192:K255" si="24">IF(G192&gt;12*$C$9,0,K191-J192)</f>
        <v>0</v>
      </c>
      <c r="L192" s="199"/>
    </row>
    <row r="193" spans="1:12">
      <c r="A193" s="199">
        <v>130</v>
      </c>
      <c r="B193" s="200">
        <f t="shared" si="17"/>
        <v>0</v>
      </c>
      <c r="C193" s="200">
        <f t="shared" si="18"/>
        <v>0</v>
      </c>
      <c r="D193" s="200">
        <f t="shared" si="19"/>
        <v>0</v>
      </c>
      <c r="E193" s="200">
        <f t="shared" si="20"/>
        <v>0</v>
      </c>
      <c r="F193" s="199"/>
      <c r="G193" s="199">
        <v>130</v>
      </c>
      <c r="H193" s="200">
        <f t="shared" si="21"/>
        <v>0</v>
      </c>
      <c r="I193" s="200">
        <f t="shared" si="22"/>
        <v>0</v>
      </c>
      <c r="J193" s="200">
        <f t="shared" si="23"/>
        <v>0</v>
      </c>
      <c r="K193" s="200">
        <f t="shared" si="24"/>
        <v>0</v>
      </c>
      <c r="L193" s="199"/>
    </row>
    <row r="194" spans="1:12">
      <c r="A194" s="199">
        <v>131</v>
      </c>
      <c r="B194" s="200">
        <f t="shared" si="17"/>
        <v>0</v>
      </c>
      <c r="C194" s="200">
        <f t="shared" si="18"/>
        <v>0</v>
      </c>
      <c r="D194" s="200">
        <f t="shared" si="19"/>
        <v>0</v>
      </c>
      <c r="E194" s="200">
        <f t="shared" si="20"/>
        <v>0</v>
      </c>
      <c r="F194" s="199"/>
      <c r="G194" s="199">
        <v>131</v>
      </c>
      <c r="H194" s="200">
        <f t="shared" si="21"/>
        <v>0</v>
      </c>
      <c r="I194" s="200">
        <f t="shared" si="22"/>
        <v>0</v>
      </c>
      <c r="J194" s="200">
        <f t="shared" si="23"/>
        <v>0</v>
      </c>
      <c r="K194" s="200">
        <f t="shared" si="24"/>
        <v>0</v>
      </c>
      <c r="L194" s="199"/>
    </row>
    <row r="195" spans="1:12">
      <c r="A195" s="199">
        <v>132</v>
      </c>
      <c r="B195" s="200">
        <f t="shared" si="17"/>
        <v>0</v>
      </c>
      <c r="C195" s="200">
        <f t="shared" si="18"/>
        <v>0</v>
      </c>
      <c r="D195" s="200">
        <f t="shared" si="19"/>
        <v>0</v>
      </c>
      <c r="E195" s="200">
        <f t="shared" si="20"/>
        <v>0</v>
      </c>
      <c r="F195" s="199">
        <v>11</v>
      </c>
      <c r="G195" s="199">
        <v>132</v>
      </c>
      <c r="H195" s="200">
        <f t="shared" si="21"/>
        <v>0</v>
      </c>
      <c r="I195" s="200">
        <f t="shared" si="22"/>
        <v>0</v>
      </c>
      <c r="J195" s="200">
        <f t="shared" si="23"/>
        <v>0</v>
      </c>
      <c r="K195" s="200">
        <f t="shared" si="24"/>
        <v>0</v>
      </c>
      <c r="L195" s="199">
        <v>11</v>
      </c>
    </row>
    <row r="196" spans="1:12">
      <c r="A196" s="199">
        <v>133</v>
      </c>
      <c r="B196" s="200">
        <f t="shared" si="17"/>
        <v>0</v>
      </c>
      <c r="C196" s="200">
        <f t="shared" si="18"/>
        <v>0</v>
      </c>
      <c r="D196" s="200">
        <f t="shared" si="19"/>
        <v>0</v>
      </c>
      <c r="E196" s="200">
        <f t="shared" si="20"/>
        <v>0</v>
      </c>
      <c r="F196" s="199"/>
      <c r="G196" s="199">
        <v>133</v>
      </c>
      <c r="H196" s="200">
        <f t="shared" si="21"/>
        <v>0</v>
      </c>
      <c r="I196" s="200">
        <f t="shared" si="22"/>
        <v>0</v>
      </c>
      <c r="J196" s="200">
        <f t="shared" si="23"/>
        <v>0</v>
      </c>
      <c r="K196" s="200">
        <f t="shared" si="24"/>
        <v>0</v>
      </c>
      <c r="L196" s="199"/>
    </row>
    <row r="197" spans="1:12">
      <c r="A197" s="199">
        <v>134</v>
      </c>
      <c r="B197" s="200">
        <f t="shared" si="17"/>
        <v>0</v>
      </c>
      <c r="C197" s="200">
        <f t="shared" si="18"/>
        <v>0</v>
      </c>
      <c r="D197" s="200">
        <f t="shared" si="19"/>
        <v>0</v>
      </c>
      <c r="E197" s="200">
        <f t="shared" si="20"/>
        <v>0</v>
      </c>
      <c r="F197" s="199"/>
      <c r="G197" s="199">
        <v>134</v>
      </c>
      <c r="H197" s="200">
        <f t="shared" si="21"/>
        <v>0</v>
      </c>
      <c r="I197" s="200">
        <f t="shared" si="22"/>
        <v>0</v>
      </c>
      <c r="J197" s="200">
        <f t="shared" si="23"/>
        <v>0</v>
      </c>
      <c r="K197" s="200">
        <f t="shared" si="24"/>
        <v>0</v>
      </c>
      <c r="L197" s="199"/>
    </row>
    <row r="198" spans="1:12">
      <c r="A198" s="199">
        <v>135</v>
      </c>
      <c r="B198" s="200">
        <f t="shared" si="17"/>
        <v>0</v>
      </c>
      <c r="C198" s="200">
        <f t="shared" si="18"/>
        <v>0</v>
      </c>
      <c r="D198" s="200">
        <f t="shared" si="19"/>
        <v>0</v>
      </c>
      <c r="E198" s="200">
        <f t="shared" si="20"/>
        <v>0</v>
      </c>
      <c r="F198" s="199"/>
      <c r="G198" s="199">
        <v>135</v>
      </c>
      <c r="H198" s="200">
        <f t="shared" si="21"/>
        <v>0</v>
      </c>
      <c r="I198" s="200">
        <f t="shared" si="22"/>
        <v>0</v>
      </c>
      <c r="J198" s="200">
        <f t="shared" si="23"/>
        <v>0</v>
      </c>
      <c r="K198" s="200">
        <f t="shared" si="24"/>
        <v>0</v>
      </c>
      <c r="L198" s="199"/>
    </row>
    <row r="199" spans="1:12">
      <c r="A199" s="199">
        <v>136</v>
      </c>
      <c r="B199" s="200">
        <f t="shared" si="17"/>
        <v>0</v>
      </c>
      <c r="C199" s="200">
        <f t="shared" si="18"/>
        <v>0</v>
      </c>
      <c r="D199" s="200">
        <f t="shared" si="19"/>
        <v>0</v>
      </c>
      <c r="E199" s="200">
        <f t="shared" si="20"/>
        <v>0</v>
      </c>
      <c r="F199" s="199"/>
      <c r="G199" s="199">
        <v>136</v>
      </c>
      <c r="H199" s="200">
        <f t="shared" si="21"/>
        <v>0</v>
      </c>
      <c r="I199" s="200">
        <f t="shared" si="22"/>
        <v>0</v>
      </c>
      <c r="J199" s="200">
        <f t="shared" si="23"/>
        <v>0</v>
      </c>
      <c r="K199" s="200">
        <f t="shared" si="24"/>
        <v>0</v>
      </c>
      <c r="L199" s="199"/>
    </row>
    <row r="200" spans="1:12">
      <c r="A200" s="199">
        <v>137</v>
      </c>
      <c r="B200" s="200">
        <f t="shared" si="17"/>
        <v>0</v>
      </c>
      <c r="C200" s="200">
        <f t="shared" si="18"/>
        <v>0</v>
      </c>
      <c r="D200" s="200">
        <f t="shared" si="19"/>
        <v>0</v>
      </c>
      <c r="E200" s="200">
        <f t="shared" si="20"/>
        <v>0</v>
      </c>
      <c r="F200" s="199"/>
      <c r="G200" s="199">
        <v>137</v>
      </c>
      <c r="H200" s="200">
        <f t="shared" si="21"/>
        <v>0</v>
      </c>
      <c r="I200" s="200">
        <f t="shared" si="22"/>
        <v>0</v>
      </c>
      <c r="J200" s="200">
        <f t="shared" si="23"/>
        <v>0</v>
      </c>
      <c r="K200" s="200">
        <f t="shared" si="24"/>
        <v>0</v>
      </c>
      <c r="L200" s="199"/>
    </row>
    <row r="201" spans="1:12">
      <c r="A201" s="199">
        <v>138</v>
      </c>
      <c r="B201" s="200">
        <f t="shared" si="17"/>
        <v>0</v>
      </c>
      <c r="C201" s="200">
        <f t="shared" si="18"/>
        <v>0</v>
      </c>
      <c r="D201" s="200">
        <f t="shared" si="19"/>
        <v>0</v>
      </c>
      <c r="E201" s="200">
        <f t="shared" si="20"/>
        <v>0</v>
      </c>
      <c r="F201" s="199"/>
      <c r="G201" s="199">
        <v>138</v>
      </c>
      <c r="H201" s="200">
        <f t="shared" si="21"/>
        <v>0</v>
      </c>
      <c r="I201" s="200">
        <f t="shared" si="22"/>
        <v>0</v>
      </c>
      <c r="J201" s="200">
        <f t="shared" si="23"/>
        <v>0</v>
      </c>
      <c r="K201" s="200">
        <f t="shared" si="24"/>
        <v>0</v>
      </c>
      <c r="L201" s="199"/>
    </row>
    <row r="202" spans="1:12">
      <c r="A202" s="199">
        <v>139</v>
      </c>
      <c r="B202" s="200">
        <f t="shared" si="17"/>
        <v>0</v>
      </c>
      <c r="C202" s="200">
        <f t="shared" si="18"/>
        <v>0</v>
      </c>
      <c r="D202" s="200">
        <f t="shared" si="19"/>
        <v>0</v>
      </c>
      <c r="E202" s="200">
        <f t="shared" si="20"/>
        <v>0</v>
      </c>
      <c r="F202" s="199"/>
      <c r="G202" s="199">
        <v>139</v>
      </c>
      <c r="H202" s="200">
        <f t="shared" si="21"/>
        <v>0</v>
      </c>
      <c r="I202" s="200">
        <f t="shared" si="22"/>
        <v>0</v>
      </c>
      <c r="J202" s="200">
        <f t="shared" si="23"/>
        <v>0</v>
      </c>
      <c r="K202" s="200">
        <f t="shared" si="24"/>
        <v>0</v>
      </c>
      <c r="L202" s="199"/>
    </row>
    <row r="203" spans="1:12">
      <c r="A203" s="199">
        <v>140</v>
      </c>
      <c r="B203" s="200">
        <f t="shared" si="17"/>
        <v>0</v>
      </c>
      <c r="C203" s="200">
        <f t="shared" si="18"/>
        <v>0</v>
      </c>
      <c r="D203" s="200">
        <f t="shared" si="19"/>
        <v>0</v>
      </c>
      <c r="E203" s="200">
        <f t="shared" si="20"/>
        <v>0</v>
      </c>
      <c r="F203" s="199"/>
      <c r="G203" s="199">
        <v>140</v>
      </c>
      <c r="H203" s="200">
        <f t="shared" si="21"/>
        <v>0</v>
      </c>
      <c r="I203" s="200">
        <f t="shared" si="22"/>
        <v>0</v>
      </c>
      <c r="J203" s="200">
        <f t="shared" si="23"/>
        <v>0</v>
      </c>
      <c r="K203" s="200">
        <f t="shared" si="24"/>
        <v>0</v>
      </c>
      <c r="L203" s="199"/>
    </row>
    <row r="204" spans="1:12">
      <c r="A204" s="199">
        <v>141</v>
      </c>
      <c r="B204" s="200">
        <f t="shared" si="17"/>
        <v>0</v>
      </c>
      <c r="C204" s="200">
        <f t="shared" si="18"/>
        <v>0</v>
      </c>
      <c r="D204" s="200">
        <f t="shared" si="19"/>
        <v>0</v>
      </c>
      <c r="E204" s="200">
        <f t="shared" si="20"/>
        <v>0</v>
      </c>
      <c r="F204" s="199"/>
      <c r="G204" s="199">
        <v>141</v>
      </c>
      <c r="H204" s="200">
        <f t="shared" si="21"/>
        <v>0</v>
      </c>
      <c r="I204" s="200">
        <f t="shared" si="22"/>
        <v>0</v>
      </c>
      <c r="J204" s="200">
        <f t="shared" si="23"/>
        <v>0</v>
      </c>
      <c r="K204" s="200">
        <f t="shared" si="24"/>
        <v>0</v>
      </c>
      <c r="L204" s="199"/>
    </row>
    <row r="205" spans="1:12">
      <c r="A205" s="199">
        <v>142</v>
      </c>
      <c r="B205" s="200">
        <f t="shared" si="17"/>
        <v>0</v>
      </c>
      <c r="C205" s="200">
        <f t="shared" si="18"/>
        <v>0</v>
      </c>
      <c r="D205" s="200">
        <f t="shared" si="19"/>
        <v>0</v>
      </c>
      <c r="E205" s="200">
        <f t="shared" si="20"/>
        <v>0</v>
      </c>
      <c r="F205" s="199"/>
      <c r="G205" s="199">
        <v>142</v>
      </c>
      <c r="H205" s="200">
        <f t="shared" si="21"/>
        <v>0</v>
      </c>
      <c r="I205" s="200">
        <f t="shared" si="22"/>
        <v>0</v>
      </c>
      <c r="J205" s="200">
        <f t="shared" si="23"/>
        <v>0</v>
      </c>
      <c r="K205" s="200">
        <f t="shared" si="24"/>
        <v>0</v>
      </c>
      <c r="L205" s="199"/>
    </row>
    <row r="206" spans="1:12">
      <c r="A206" s="199">
        <v>143</v>
      </c>
      <c r="B206" s="200">
        <f t="shared" si="17"/>
        <v>0</v>
      </c>
      <c r="C206" s="200">
        <f t="shared" si="18"/>
        <v>0</v>
      </c>
      <c r="D206" s="200">
        <f t="shared" si="19"/>
        <v>0</v>
      </c>
      <c r="E206" s="200">
        <f t="shared" si="20"/>
        <v>0</v>
      </c>
      <c r="F206" s="199"/>
      <c r="G206" s="199">
        <v>143</v>
      </c>
      <c r="H206" s="200">
        <f t="shared" si="21"/>
        <v>0</v>
      </c>
      <c r="I206" s="200">
        <f t="shared" si="22"/>
        <v>0</v>
      </c>
      <c r="J206" s="200">
        <f t="shared" si="23"/>
        <v>0</v>
      </c>
      <c r="K206" s="200">
        <f t="shared" si="24"/>
        <v>0</v>
      </c>
      <c r="L206" s="199"/>
    </row>
    <row r="207" spans="1:12">
      <c r="A207" s="201">
        <v>144</v>
      </c>
      <c r="B207" s="200">
        <f t="shared" si="17"/>
        <v>0</v>
      </c>
      <c r="C207" s="200">
        <f t="shared" si="18"/>
        <v>0</v>
      </c>
      <c r="D207" s="200">
        <f t="shared" si="19"/>
        <v>0</v>
      </c>
      <c r="E207" s="200">
        <f t="shared" si="20"/>
        <v>0</v>
      </c>
      <c r="F207" s="201">
        <v>12</v>
      </c>
      <c r="G207" s="201">
        <v>144</v>
      </c>
      <c r="H207" s="200">
        <f t="shared" si="21"/>
        <v>0</v>
      </c>
      <c r="I207" s="200">
        <f t="shared" si="22"/>
        <v>0</v>
      </c>
      <c r="J207" s="200">
        <f t="shared" si="23"/>
        <v>0</v>
      </c>
      <c r="K207" s="200">
        <f t="shared" si="24"/>
        <v>0</v>
      </c>
      <c r="L207" s="201">
        <v>12</v>
      </c>
    </row>
    <row r="208" spans="1:12">
      <c r="A208" s="199">
        <v>145</v>
      </c>
      <c r="B208" s="200">
        <f t="shared" si="17"/>
        <v>0</v>
      </c>
      <c r="C208" s="200">
        <f t="shared" si="18"/>
        <v>0</v>
      </c>
      <c r="D208" s="200">
        <f t="shared" si="19"/>
        <v>0</v>
      </c>
      <c r="E208" s="200">
        <f t="shared" si="20"/>
        <v>0</v>
      </c>
      <c r="F208" s="199"/>
      <c r="G208" s="199">
        <v>145</v>
      </c>
      <c r="H208" s="200">
        <f t="shared" si="21"/>
        <v>0</v>
      </c>
      <c r="I208" s="200">
        <f t="shared" si="22"/>
        <v>0</v>
      </c>
      <c r="J208" s="200">
        <f t="shared" si="23"/>
        <v>0</v>
      </c>
      <c r="K208" s="200">
        <f t="shared" si="24"/>
        <v>0</v>
      </c>
      <c r="L208" s="199"/>
    </row>
    <row r="209" spans="1:12" s="179" customFormat="1">
      <c r="A209" s="199">
        <v>146</v>
      </c>
      <c r="B209" s="200">
        <f t="shared" si="17"/>
        <v>0</v>
      </c>
      <c r="C209" s="200">
        <f t="shared" si="18"/>
        <v>0</v>
      </c>
      <c r="D209" s="200">
        <f t="shared" si="19"/>
        <v>0</v>
      </c>
      <c r="E209" s="200">
        <f t="shared" si="20"/>
        <v>0</v>
      </c>
      <c r="F209" s="199"/>
      <c r="G209" s="199">
        <v>146</v>
      </c>
      <c r="H209" s="200">
        <f t="shared" si="21"/>
        <v>0</v>
      </c>
      <c r="I209" s="200">
        <f t="shared" si="22"/>
        <v>0</v>
      </c>
      <c r="J209" s="200">
        <f t="shared" si="23"/>
        <v>0</v>
      </c>
      <c r="K209" s="200">
        <f t="shared" si="24"/>
        <v>0</v>
      </c>
      <c r="L209" s="199"/>
    </row>
    <row r="210" spans="1:12">
      <c r="A210" s="199">
        <v>147</v>
      </c>
      <c r="B210" s="200">
        <f t="shared" si="17"/>
        <v>0</v>
      </c>
      <c r="C210" s="200">
        <f t="shared" si="18"/>
        <v>0</v>
      </c>
      <c r="D210" s="200">
        <f t="shared" si="19"/>
        <v>0</v>
      </c>
      <c r="E210" s="200">
        <f t="shared" si="20"/>
        <v>0</v>
      </c>
      <c r="F210" s="199"/>
      <c r="G210" s="199">
        <v>147</v>
      </c>
      <c r="H210" s="200">
        <f t="shared" si="21"/>
        <v>0</v>
      </c>
      <c r="I210" s="200">
        <f t="shared" si="22"/>
        <v>0</v>
      </c>
      <c r="J210" s="200">
        <f t="shared" si="23"/>
        <v>0</v>
      </c>
      <c r="K210" s="200">
        <f t="shared" si="24"/>
        <v>0</v>
      </c>
      <c r="L210" s="199"/>
    </row>
    <row r="211" spans="1:12">
      <c r="A211" s="199">
        <v>148</v>
      </c>
      <c r="B211" s="200">
        <f t="shared" si="17"/>
        <v>0</v>
      </c>
      <c r="C211" s="200">
        <f t="shared" si="18"/>
        <v>0</v>
      </c>
      <c r="D211" s="200">
        <f t="shared" si="19"/>
        <v>0</v>
      </c>
      <c r="E211" s="200">
        <f t="shared" si="20"/>
        <v>0</v>
      </c>
      <c r="F211" s="199"/>
      <c r="G211" s="199">
        <v>148</v>
      </c>
      <c r="H211" s="200">
        <f t="shared" si="21"/>
        <v>0</v>
      </c>
      <c r="I211" s="200">
        <f t="shared" si="22"/>
        <v>0</v>
      </c>
      <c r="J211" s="200">
        <f t="shared" si="23"/>
        <v>0</v>
      </c>
      <c r="K211" s="200">
        <f t="shared" si="24"/>
        <v>0</v>
      </c>
      <c r="L211" s="199"/>
    </row>
    <row r="212" spans="1:12">
      <c r="A212" s="199">
        <v>149</v>
      </c>
      <c r="B212" s="200">
        <f t="shared" si="17"/>
        <v>0</v>
      </c>
      <c r="C212" s="200">
        <f t="shared" si="18"/>
        <v>0</v>
      </c>
      <c r="D212" s="200">
        <f t="shared" si="19"/>
        <v>0</v>
      </c>
      <c r="E212" s="200">
        <f t="shared" si="20"/>
        <v>0</v>
      </c>
      <c r="F212" s="199"/>
      <c r="G212" s="199">
        <v>149</v>
      </c>
      <c r="H212" s="200">
        <f t="shared" si="21"/>
        <v>0</v>
      </c>
      <c r="I212" s="200">
        <f t="shared" si="22"/>
        <v>0</v>
      </c>
      <c r="J212" s="200">
        <f t="shared" si="23"/>
        <v>0</v>
      </c>
      <c r="K212" s="200">
        <f t="shared" si="24"/>
        <v>0</v>
      </c>
      <c r="L212" s="199"/>
    </row>
    <row r="213" spans="1:12">
      <c r="A213" s="199">
        <v>150</v>
      </c>
      <c r="B213" s="200">
        <f t="shared" si="17"/>
        <v>0</v>
      </c>
      <c r="C213" s="200">
        <f t="shared" si="18"/>
        <v>0</v>
      </c>
      <c r="D213" s="200">
        <f t="shared" si="19"/>
        <v>0</v>
      </c>
      <c r="E213" s="200">
        <f t="shared" si="20"/>
        <v>0</v>
      </c>
      <c r="F213" s="199"/>
      <c r="G213" s="199">
        <v>150</v>
      </c>
      <c r="H213" s="200">
        <f t="shared" si="21"/>
        <v>0</v>
      </c>
      <c r="I213" s="200">
        <f t="shared" si="22"/>
        <v>0</v>
      </c>
      <c r="J213" s="200">
        <f t="shared" si="23"/>
        <v>0</v>
      </c>
      <c r="K213" s="200">
        <f t="shared" si="24"/>
        <v>0</v>
      </c>
      <c r="L213" s="199"/>
    </row>
    <row r="214" spans="1:12">
      <c r="A214" s="199">
        <v>151</v>
      </c>
      <c r="B214" s="200">
        <f t="shared" si="17"/>
        <v>0</v>
      </c>
      <c r="C214" s="200">
        <f t="shared" si="18"/>
        <v>0</v>
      </c>
      <c r="D214" s="200">
        <f t="shared" si="19"/>
        <v>0</v>
      </c>
      <c r="E214" s="200">
        <f t="shared" si="20"/>
        <v>0</v>
      </c>
      <c r="F214" s="199"/>
      <c r="G214" s="199">
        <v>151</v>
      </c>
      <c r="H214" s="200">
        <f t="shared" si="21"/>
        <v>0</v>
      </c>
      <c r="I214" s="200">
        <f t="shared" si="22"/>
        <v>0</v>
      </c>
      <c r="J214" s="200">
        <f t="shared" si="23"/>
        <v>0</v>
      </c>
      <c r="K214" s="200">
        <f t="shared" si="24"/>
        <v>0</v>
      </c>
      <c r="L214" s="199"/>
    </row>
    <row r="215" spans="1:12">
      <c r="A215" s="199">
        <v>152</v>
      </c>
      <c r="B215" s="200">
        <f t="shared" si="17"/>
        <v>0</v>
      </c>
      <c r="C215" s="200">
        <f t="shared" si="18"/>
        <v>0</v>
      </c>
      <c r="D215" s="200">
        <f t="shared" si="19"/>
        <v>0</v>
      </c>
      <c r="E215" s="200">
        <f t="shared" si="20"/>
        <v>0</v>
      </c>
      <c r="F215" s="199"/>
      <c r="G215" s="199">
        <v>152</v>
      </c>
      <c r="H215" s="200">
        <f t="shared" si="21"/>
        <v>0</v>
      </c>
      <c r="I215" s="200">
        <f t="shared" si="22"/>
        <v>0</v>
      </c>
      <c r="J215" s="200">
        <f t="shared" si="23"/>
        <v>0</v>
      </c>
      <c r="K215" s="200">
        <f t="shared" si="24"/>
        <v>0</v>
      </c>
      <c r="L215" s="199"/>
    </row>
    <row r="216" spans="1:12">
      <c r="A216" s="199">
        <v>153</v>
      </c>
      <c r="B216" s="200">
        <f t="shared" si="17"/>
        <v>0</v>
      </c>
      <c r="C216" s="200">
        <f t="shared" si="18"/>
        <v>0</v>
      </c>
      <c r="D216" s="200">
        <f t="shared" si="19"/>
        <v>0</v>
      </c>
      <c r="E216" s="200">
        <f t="shared" si="20"/>
        <v>0</v>
      </c>
      <c r="F216" s="199"/>
      <c r="G216" s="199">
        <v>153</v>
      </c>
      <c r="H216" s="200">
        <f t="shared" si="21"/>
        <v>0</v>
      </c>
      <c r="I216" s="200">
        <f t="shared" si="22"/>
        <v>0</v>
      </c>
      <c r="J216" s="200">
        <f t="shared" si="23"/>
        <v>0</v>
      </c>
      <c r="K216" s="200">
        <f t="shared" si="24"/>
        <v>0</v>
      </c>
      <c r="L216" s="199"/>
    </row>
    <row r="217" spans="1:12">
      <c r="A217" s="199">
        <v>154</v>
      </c>
      <c r="B217" s="200">
        <f t="shared" si="17"/>
        <v>0</v>
      </c>
      <c r="C217" s="200">
        <f t="shared" si="18"/>
        <v>0</v>
      </c>
      <c r="D217" s="200">
        <f t="shared" si="19"/>
        <v>0</v>
      </c>
      <c r="E217" s="200">
        <f t="shared" si="20"/>
        <v>0</v>
      </c>
      <c r="F217" s="199"/>
      <c r="G217" s="199">
        <v>154</v>
      </c>
      <c r="H217" s="200">
        <f t="shared" si="21"/>
        <v>0</v>
      </c>
      <c r="I217" s="200">
        <f t="shared" si="22"/>
        <v>0</v>
      </c>
      <c r="J217" s="200">
        <f t="shared" si="23"/>
        <v>0</v>
      </c>
      <c r="K217" s="200">
        <f t="shared" si="24"/>
        <v>0</v>
      </c>
      <c r="L217" s="199"/>
    </row>
    <row r="218" spans="1:12">
      <c r="A218" s="199">
        <v>155</v>
      </c>
      <c r="B218" s="200">
        <f t="shared" si="17"/>
        <v>0</v>
      </c>
      <c r="C218" s="200">
        <f t="shared" si="18"/>
        <v>0</v>
      </c>
      <c r="D218" s="200">
        <f t="shared" si="19"/>
        <v>0</v>
      </c>
      <c r="E218" s="200">
        <f t="shared" si="20"/>
        <v>0</v>
      </c>
      <c r="F218" s="199"/>
      <c r="G218" s="199">
        <v>155</v>
      </c>
      <c r="H218" s="200">
        <f t="shared" si="21"/>
        <v>0</v>
      </c>
      <c r="I218" s="200">
        <f t="shared" si="22"/>
        <v>0</v>
      </c>
      <c r="J218" s="200">
        <f t="shared" si="23"/>
        <v>0</v>
      </c>
      <c r="K218" s="200">
        <f t="shared" si="24"/>
        <v>0</v>
      </c>
      <c r="L218" s="199"/>
    </row>
    <row r="219" spans="1:12">
      <c r="A219" s="201">
        <v>156</v>
      </c>
      <c r="B219" s="200">
        <f t="shared" si="17"/>
        <v>0</v>
      </c>
      <c r="C219" s="200">
        <f t="shared" si="18"/>
        <v>0</v>
      </c>
      <c r="D219" s="200">
        <f t="shared" si="19"/>
        <v>0</v>
      </c>
      <c r="E219" s="200">
        <f t="shared" si="20"/>
        <v>0</v>
      </c>
      <c r="F219" s="201">
        <v>13</v>
      </c>
      <c r="G219" s="201">
        <v>156</v>
      </c>
      <c r="H219" s="200">
        <f t="shared" si="21"/>
        <v>0</v>
      </c>
      <c r="I219" s="200">
        <f t="shared" si="22"/>
        <v>0</v>
      </c>
      <c r="J219" s="200">
        <f t="shared" si="23"/>
        <v>0</v>
      </c>
      <c r="K219" s="200">
        <f t="shared" si="24"/>
        <v>0</v>
      </c>
      <c r="L219" s="201">
        <v>13</v>
      </c>
    </row>
    <row r="220" spans="1:12">
      <c r="A220" s="199">
        <v>157</v>
      </c>
      <c r="B220" s="200">
        <f t="shared" si="17"/>
        <v>0</v>
      </c>
      <c r="C220" s="200">
        <f t="shared" si="18"/>
        <v>0</v>
      </c>
      <c r="D220" s="200">
        <f t="shared" si="19"/>
        <v>0</v>
      </c>
      <c r="E220" s="200">
        <f t="shared" si="20"/>
        <v>0</v>
      </c>
      <c r="F220" s="199"/>
      <c r="G220" s="199">
        <v>157</v>
      </c>
      <c r="H220" s="200">
        <f t="shared" si="21"/>
        <v>0</v>
      </c>
      <c r="I220" s="200">
        <f t="shared" si="22"/>
        <v>0</v>
      </c>
      <c r="J220" s="200">
        <f t="shared" si="23"/>
        <v>0</v>
      </c>
      <c r="K220" s="200">
        <f t="shared" si="24"/>
        <v>0</v>
      </c>
      <c r="L220" s="199"/>
    </row>
    <row r="221" spans="1:12" s="179" customFormat="1">
      <c r="A221" s="199">
        <v>158</v>
      </c>
      <c r="B221" s="200">
        <f t="shared" si="17"/>
        <v>0</v>
      </c>
      <c r="C221" s="200">
        <f t="shared" si="18"/>
        <v>0</v>
      </c>
      <c r="D221" s="200">
        <f t="shared" si="19"/>
        <v>0</v>
      </c>
      <c r="E221" s="200">
        <f t="shared" si="20"/>
        <v>0</v>
      </c>
      <c r="F221" s="199"/>
      <c r="G221" s="199">
        <v>158</v>
      </c>
      <c r="H221" s="200">
        <f t="shared" si="21"/>
        <v>0</v>
      </c>
      <c r="I221" s="200">
        <f t="shared" si="22"/>
        <v>0</v>
      </c>
      <c r="J221" s="200">
        <f t="shared" si="23"/>
        <v>0</v>
      </c>
      <c r="K221" s="200">
        <f t="shared" si="24"/>
        <v>0</v>
      </c>
      <c r="L221" s="199"/>
    </row>
    <row r="222" spans="1:12">
      <c r="A222" s="199">
        <v>159</v>
      </c>
      <c r="B222" s="200">
        <f t="shared" si="17"/>
        <v>0</v>
      </c>
      <c r="C222" s="200">
        <f t="shared" si="18"/>
        <v>0</v>
      </c>
      <c r="D222" s="200">
        <f t="shared" si="19"/>
        <v>0</v>
      </c>
      <c r="E222" s="200">
        <f t="shared" si="20"/>
        <v>0</v>
      </c>
      <c r="F222" s="199"/>
      <c r="G222" s="199">
        <v>159</v>
      </c>
      <c r="H222" s="200">
        <f t="shared" si="21"/>
        <v>0</v>
      </c>
      <c r="I222" s="200">
        <f t="shared" si="22"/>
        <v>0</v>
      </c>
      <c r="J222" s="200">
        <f t="shared" si="23"/>
        <v>0</v>
      </c>
      <c r="K222" s="200">
        <f t="shared" si="24"/>
        <v>0</v>
      </c>
      <c r="L222" s="199"/>
    </row>
    <row r="223" spans="1:12">
      <c r="A223" s="199">
        <v>160</v>
      </c>
      <c r="B223" s="200">
        <f t="shared" si="17"/>
        <v>0</v>
      </c>
      <c r="C223" s="200">
        <f t="shared" si="18"/>
        <v>0</v>
      </c>
      <c r="D223" s="200">
        <f t="shared" si="19"/>
        <v>0</v>
      </c>
      <c r="E223" s="200">
        <f t="shared" si="20"/>
        <v>0</v>
      </c>
      <c r="F223" s="199"/>
      <c r="G223" s="199">
        <v>160</v>
      </c>
      <c r="H223" s="200">
        <f t="shared" si="21"/>
        <v>0</v>
      </c>
      <c r="I223" s="200">
        <f t="shared" si="22"/>
        <v>0</v>
      </c>
      <c r="J223" s="200">
        <f t="shared" si="23"/>
        <v>0</v>
      </c>
      <c r="K223" s="200">
        <f t="shared" si="24"/>
        <v>0</v>
      </c>
      <c r="L223" s="199"/>
    </row>
    <row r="224" spans="1:12">
      <c r="A224" s="199">
        <v>161</v>
      </c>
      <c r="B224" s="200">
        <f t="shared" si="17"/>
        <v>0</v>
      </c>
      <c r="C224" s="200">
        <f t="shared" si="18"/>
        <v>0</v>
      </c>
      <c r="D224" s="200">
        <f t="shared" si="19"/>
        <v>0</v>
      </c>
      <c r="E224" s="200">
        <f t="shared" si="20"/>
        <v>0</v>
      </c>
      <c r="F224" s="199"/>
      <c r="G224" s="199">
        <v>161</v>
      </c>
      <c r="H224" s="200">
        <f t="shared" si="21"/>
        <v>0</v>
      </c>
      <c r="I224" s="200">
        <f t="shared" si="22"/>
        <v>0</v>
      </c>
      <c r="J224" s="200">
        <f t="shared" si="23"/>
        <v>0</v>
      </c>
      <c r="K224" s="200">
        <f t="shared" si="24"/>
        <v>0</v>
      </c>
      <c r="L224" s="199"/>
    </row>
    <row r="225" spans="1:12">
      <c r="A225" s="199">
        <v>162</v>
      </c>
      <c r="B225" s="200">
        <f t="shared" si="17"/>
        <v>0</v>
      </c>
      <c r="C225" s="200">
        <f t="shared" si="18"/>
        <v>0</v>
      </c>
      <c r="D225" s="200">
        <f t="shared" si="19"/>
        <v>0</v>
      </c>
      <c r="E225" s="200">
        <f t="shared" si="20"/>
        <v>0</v>
      </c>
      <c r="F225" s="199"/>
      <c r="G225" s="199">
        <v>162</v>
      </c>
      <c r="H225" s="200">
        <f t="shared" si="21"/>
        <v>0</v>
      </c>
      <c r="I225" s="200">
        <f t="shared" si="22"/>
        <v>0</v>
      </c>
      <c r="J225" s="200">
        <f t="shared" si="23"/>
        <v>0</v>
      </c>
      <c r="K225" s="200">
        <f t="shared" si="24"/>
        <v>0</v>
      </c>
      <c r="L225" s="199"/>
    </row>
    <row r="226" spans="1:12">
      <c r="A226" s="199">
        <v>163</v>
      </c>
      <c r="B226" s="200">
        <f t="shared" si="17"/>
        <v>0</v>
      </c>
      <c r="C226" s="200">
        <f t="shared" si="18"/>
        <v>0</v>
      </c>
      <c r="D226" s="200">
        <f t="shared" si="19"/>
        <v>0</v>
      </c>
      <c r="E226" s="200">
        <f t="shared" si="20"/>
        <v>0</v>
      </c>
      <c r="F226" s="199"/>
      <c r="G226" s="199">
        <v>163</v>
      </c>
      <c r="H226" s="200">
        <f t="shared" si="21"/>
        <v>0</v>
      </c>
      <c r="I226" s="200">
        <f t="shared" si="22"/>
        <v>0</v>
      </c>
      <c r="J226" s="200">
        <f t="shared" si="23"/>
        <v>0</v>
      </c>
      <c r="K226" s="200">
        <f t="shared" si="24"/>
        <v>0</v>
      </c>
      <c r="L226" s="199"/>
    </row>
    <row r="227" spans="1:12">
      <c r="A227" s="199">
        <v>164</v>
      </c>
      <c r="B227" s="200">
        <f t="shared" si="17"/>
        <v>0</v>
      </c>
      <c r="C227" s="200">
        <f t="shared" si="18"/>
        <v>0</v>
      </c>
      <c r="D227" s="200">
        <f t="shared" si="19"/>
        <v>0</v>
      </c>
      <c r="E227" s="200">
        <f t="shared" si="20"/>
        <v>0</v>
      </c>
      <c r="F227" s="199"/>
      <c r="G227" s="199">
        <v>164</v>
      </c>
      <c r="H227" s="200">
        <f t="shared" si="21"/>
        <v>0</v>
      </c>
      <c r="I227" s="200">
        <f t="shared" si="22"/>
        <v>0</v>
      </c>
      <c r="J227" s="200">
        <f t="shared" si="23"/>
        <v>0</v>
      </c>
      <c r="K227" s="200">
        <f t="shared" si="24"/>
        <v>0</v>
      </c>
      <c r="L227" s="199"/>
    </row>
    <row r="228" spans="1:12">
      <c r="A228" s="199">
        <v>165</v>
      </c>
      <c r="B228" s="200">
        <f t="shared" si="17"/>
        <v>0</v>
      </c>
      <c r="C228" s="200">
        <f t="shared" si="18"/>
        <v>0</v>
      </c>
      <c r="D228" s="200">
        <f t="shared" si="19"/>
        <v>0</v>
      </c>
      <c r="E228" s="200">
        <f t="shared" si="20"/>
        <v>0</v>
      </c>
      <c r="F228" s="199"/>
      <c r="G228" s="199">
        <v>165</v>
      </c>
      <c r="H228" s="200">
        <f t="shared" si="21"/>
        <v>0</v>
      </c>
      <c r="I228" s="200">
        <f t="shared" si="22"/>
        <v>0</v>
      </c>
      <c r="J228" s="200">
        <f t="shared" si="23"/>
        <v>0</v>
      </c>
      <c r="K228" s="200">
        <f t="shared" si="24"/>
        <v>0</v>
      </c>
      <c r="L228" s="199"/>
    </row>
    <row r="229" spans="1:12">
      <c r="A229" s="199">
        <v>166</v>
      </c>
      <c r="B229" s="200">
        <f t="shared" si="17"/>
        <v>0</v>
      </c>
      <c r="C229" s="200">
        <f t="shared" si="18"/>
        <v>0</v>
      </c>
      <c r="D229" s="200">
        <f t="shared" si="19"/>
        <v>0</v>
      </c>
      <c r="E229" s="200">
        <f t="shared" si="20"/>
        <v>0</v>
      </c>
      <c r="F229" s="199"/>
      <c r="G229" s="199">
        <v>166</v>
      </c>
      <c r="H229" s="200">
        <f t="shared" si="21"/>
        <v>0</v>
      </c>
      <c r="I229" s="200">
        <f t="shared" si="22"/>
        <v>0</v>
      </c>
      <c r="J229" s="200">
        <f t="shared" si="23"/>
        <v>0</v>
      </c>
      <c r="K229" s="200">
        <f t="shared" si="24"/>
        <v>0</v>
      </c>
      <c r="L229" s="199"/>
    </row>
    <row r="230" spans="1:12">
      <c r="A230" s="199">
        <v>167</v>
      </c>
      <c r="B230" s="200">
        <f t="shared" si="17"/>
        <v>0</v>
      </c>
      <c r="C230" s="200">
        <f t="shared" si="18"/>
        <v>0</v>
      </c>
      <c r="D230" s="200">
        <f t="shared" si="19"/>
        <v>0</v>
      </c>
      <c r="E230" s="200">
        <f t="shared" si="20"/>
        <v>0</v>
      </c>
      <c r="F230" s="199"/>
      <c r="G230" s="199">
        <v>167</v>
      </c>
      <c r="H230" s="200">
        <f t="shared" si="21"/>
        <v>0</v>
      </c>
      <c r="I230" s="200">
        <f t="shared" si="22"/>
        <v>0</v>
      </c>
      <c r="J230" s="200">
        <f t="shared" si="23"/>
        <v>0</v>
      </c>
      <c r="K230" s="200">
        <f t="shared" si="24"/>
        <v>0</v>
      </c>
      <c r="L230" s="199"/>
    </row>
    <row r="231" spans="1:12">
      <c r="A231" s="201">
        <v>168</v>
      </c>
      <c r="B231" s="200">
        <f t="shared" si="17"/>
        <v>0</v>
      </c>
      <c r="C231" s="200">
        <f t="shared" si="18"/>
        <v>0</v>
      </c>
      <c r="D231" s="200">
        <f t="shared" si="19"/>
        <v>0</v>
      </c>
      <c r="E231" s="200">
        <f t="shared" si="20"/>
        <v>0</v>
      </c>
      <c r="F231" s="201">
        <v>14</v>
      </c>
      <c r="G231" s="201">
        <v>168</v>
      </c>
      <c r="H231" s="200">
        <f t="shared" si="21"/>
        <v>0</v>
      </c>
      <c r="I231" s="200">
        <f t="shared" si="22"/>
        <v>0</v>
      </c>
      <c r="J231" s="200">
        <f t="shared" si="23"/>
        <v>0</v>
      </c>
      <c r="K231" s="200">
        <f t="shared" si="24"/>
        <v>0</v>
      </c>
      <c r="L231" s="201">
        <v>14</v>
      </c>
    </row>
    <row r="232" spans="1:12">
      <c r="A232" s="199">
        <v>169</v>
      </c>
      <c r="B232" s="200">
        <f t="shared" si="17"/>
        <v>0</v>
      </c>
      <c r="C232" s="200">
        <f t="shared" si="18"/>
        <v>0</v>
      </c>
      <c r="D232" s="200">
        <f t="shared" si="19"/>
        <v>0</v>
      </c>
      <c r="E232" s="200">
        <f t="shared" si="20"/>
        <v>0</v>
      </c>
      <c r="F232" s="199"/>
      <c r="G232" s="199">
        <v>169</v>
      </c>
      <c r="H232" s="200">
        <f t="shared" si="21"/>
        <v>0</v>
      </c>
      <c r="I232" s="200">
        <f t="shared" si="22"/>
        <v>0</v>
      </c>
      <c r="J232" s="200">
        <f t="shared" si="23"/>
        <v>0</v>
      </c>
      <c r="K232" s="200">
        <f t="shared" si="24"/>
        <v>0</v>
      </c>
      <c r="L232" s="199"/>
    </row>
    <row r="233" spans="1:12" s="179" customFormat="1">
      <c r="A233" s="199">
        <v>170</v>
      </c>
      <c r="B233" s="200">
        <f t="shared" si="17"/>
        <v>0</v>
      </c>
      <c r="C233" s="200">
        <f t="shared" si="18"/>
        <v>0</v>
      </c>
      <c r="D233" s="200">
        <f t="shared" si="19"/>
        <v>0</v>
      </c>
      <c r="E233" s="200">
        <f t="shared" si="20"/>
        <v>0</v>
      </c>
      <c r="F233" s="199"/>
      <c r="G233" s="199">
        <v>170</v>
      </c>
      <c r="H233" s="200">
        <f t="shared" si="21"/>
        <v>0</v>
      </c>
      <c r="I233" s="200">
        <f t="shared" si="22"/>
        <v>0</v>
      </c>
      <c r="J233" s="200">
        <f t="shared" si="23"/>
        <v>0</v>
      </c>
      <c r="K233" s="200">
        <f t="shared" si="24"/>
        <v>0</v>
      </c>
      <c r="L233" s="199"/>
    </row>
    <row r="234" spans="1:12">
      <c r="A234" s="199">
        <v>171</v>
      </c>
      <c r="B234" s="200">
        <f t="shared" si="17"/>
        <v>0</v>
      </c>
      <c r="C234" s="200">
        <f t="shared" si="18"/>
        <v>0</v>
      </c>
      <c r="D234" s="200">
        <f t="shared" si="19"/>
        <v>0</v>
      </c>
      <c r="E234" s="200">
        <f t="shared" si="20"/>
        <v>0</v>
      </c>
      <c r="F234" s="199"/>
      <c r="G234" s="199">
        <v>171</v>
      </c>
      <c r="H234" s="200">
        <f t="shared" si="21"/>
        <v>0</v>
      </c>
      <c r="I234" s="200">
        <f t="shared" si="22"/>
        <v>0</v>
      </c>
      <c r="J234" s="200">
        <f t="shared" si="23"/>
        <v>0</v>
      </c>
      <c r="K234" s="200">
        <f t="shared" si="24"/>
        <v>0</v>
      </c>
      <c r="L234" s="199"/>
    </row>
    <row r="235" spans="1:12">
      <c r="A235" s="199">
        <v>172</v>
      </c>
      <c r="B235" s="200">
        <f t="shared" si="17"/>
        <v>0</v>
      </c>
      <c r="C235" s="200">
        <f t="shared" si="18"/>
        <v>0</v>
      </c>
      <c r="D235" s="200">
        <f t="shared" si="19"/>
        <v>0</v>
      </c>
      <c r="E235" s="200">
        <f t="shared" si="20"/>
        <v>0</v>
      </c>
      <c r="F235" s="199"/>
      <c r="G235" s="199">
        <v>172</v>
      </c>
      <c r="H235" s="200">
        <f t="shared" si="21"/>
        <v>0</v>
      </c>
      <c r="I235" s="200">
        <f t="shared" si="22"/>
        <v>0</v>
      </c>
      <c r="J235" s="200">
        <f t="shared" si="23"/>
        <v>0</v>
      </c>
      <c r="K235" s="200">
        <f t="shared" si="24"/>
        <v>0</v>
      </c>
      <c r="L235" s="199"/>
    </row>
    <row r="236" spans="1:12">
      <c r="A236" s="199">
        <v>173</v>
      </c>
      <c r="B236" s="200">
        <f t="shared" si="17"/>
        <v>0</v>
      </c>
      <c r="C236" s="200">
        <f t="shared" si="18"/>
        <v>0</v>
      </c>
      <c r="D236" s="200">
        <f t="shared" si="19"/>
        <v>0</v>
      </c>
      <c r="E236" s="200">
        <f t="shared" si="20"/>
        <v>0</v>
      </c>
      <c r="F236" s="199"/>
      <c r="G236" s="199">
        <v>173</v>
      </c>
      <c r="H236" s="200">
        <f t="shared" si="21"/>
        <v>0</v>
      </c>
      <c r="I236" s="200">
        <f t="shared" si="22"/>
        <v>0</v>
      </c>
      <c r="J236" s="200">
        <f t="shared" si="23"/>
        <v>0</v>
      </c>
      <c r="K236" s="200">
        <f t="shared" si="24"/>
        <v>0</v>
      </c>
      <c r="L236" s="199"/>
    </row>
    <row r="237" spans="1:12">
      <c r="A237" s="199">
        <v>174</v>
      </c>
      <c r="B237" s="200">
        <f t="shared" si="17"/>
        <v>0</v>
      </c>
      <c r="C237" s="200">
        <f t="shared" si="18"/>
        <v>0</v>
      </c>
      <c r="D237" s="200">
        <f t="shared" si="19"/>
        <v>0</v>
      </c>
      <c r="E237" s="200">
        <f t="shared" si="20"/>
        <v>0</v>
      </c>
      <c r="F237" s="199"/>
      <c r="G237" s="199">
        <v>174</v>
      </c>
      <c r="H237" s="200">
        <f t="shared" si="21"/>
        <v>0</v>
      </c>
      <c r="I237" s="200">
        <f t="shared" si="22"/>
        <v>0</v>
      </c>
      <c r="J237" s="200">
        <f t="shared" si="23"/>
        <v>0</v>
      </c>
      <c r="K237" s="200">
        <f t="shared" si="24"/>
        <v>0</v>
      </c>
      <c r="L237" s="199"/>
    </row>
    <row r="238" spans="1:12">
      <c r="A238" s="199">
        <v>175</v>
      </c>
      <c r="B238" s="200">
        <f t="shared" si="17"/>
        <v>0</v>
      </c>
      <c r="C238" s="200">
        <f t="shared" si="18"/>
        <v>0</v>
      </c>
      <c r="D238" s="200">
        <f t="shared" si="19"/>
        <v>0</v>
      </c>
      <c r="E238" s="200">
        <f t="shared" si="20"/>
        <v>0</v>
      </c>
      <c r="F238" s="199"/>
      <c r="G238" s="199">
        <v>175</v>
      </c>
      <c r="H238" s="200">
        <f t="shared" si="21"/>
        <v>0</v>
      </c>
      <c r="I238" s="200">
        <f t="shared" si="22"/>
        <v>0</v>
      </c>
      <c r="J238" s="200">
        <f t="shared" si="23"/>
        <v>0</v>
      </c>
      <c r="K238" s="200">
        <f t="shared" si="24"/>
        <v>0</v>
      </c>
      <c r="L238" s="199"/>
    </row>
    <row r="239" spans="1:12">
      <c r="A239" s="199">
        <v>176</v>
      </c>
      <c r="B239" s="200">
        <f t="shared" si="17"/>
        <v>0</v>
      </c>
      <c r="C239" s="200">
        <f t="shared" si="18"/>
        <v>0</v>
      </c>
      <c r="D239" s="200">
        <f t="shared" si="19"/>
        <v>0</v>
      </c>
      <c r="E239" s="200">
        <f t="shared" si="20"/>
        <v>0</v>
      </c>
      <c r="F239" s="199"/>
      <c r="G239" s="199">
        <v>176</v>
      </c>
      <c r="H239" s="200">
        <f t="shared" si="21"/>
        <v>0</v>
      </c>
      <c r="I239" s="200">
        <f t="shared" si="22"/>
        <v>0</v>
      </c>
      <c r="J239" s="200">
        <f t="shared" si="23"/>
        <v>0</v>
      </c>
      <c r="K239" s="200">
        <f t="shared" si="24"/>
        <v>0</v>
      </c>
      <c r="L239" s="199"/>
    </row>
    <row r="240" spans="1:12">
      <c r="A240" s="199">
        <v>177</v>
      </c>
      <c r="B240" s="200">
        <f t="shared" si="17"/>
        <v>0</v>
      </c>
      <c r="C240" s="200">
        <f t="shared" si="18"/>
        <v>0</v>
      </c>
      <c r="D240" s="200">
        <f t="shared" si="19"/>
        <v>0</v>
      </c>
      <c r="E240" s="200">
        <f t="shared" si="20"/>
        <v>0</v>
      </c>
      <c r="F240" s="199"/>
      <c r="G240" s="199">
        <v>177</v>
      </c>
      <c r="H240" s="200">
        <f t="shared" si="21"/>
        <v>0</v>
      </c>
      <c r="I240" s="200">
        <f t="shared" si="22"/>
        <v>0</v>
      </c>
      <c r="J240" s="200">
        <f t="shared" si="23"/>
        <v>0</v>
      </c>
      <c r="K240" s="200">
        <f t="shared" si="24"/>
        <v>0</v>
      </c>
      <c r="L240" s="199"/>
    </row>
    <row r="241" spans="1:12">
      <c r="A241" s="199">
        <v>178</v>
      </c>
      <c r="B241" s="200">
        <f t="shared" si="17"/>
        <v>0</v>
      </c>
      <c r="C241" s="200">
        <f t="shared" si="18"/>
        <v>0</v>
      </c>
      <c r="D241" s="200">
        <f t="shared" si="19"/>
        <v>0</v>
      </c>
      <c r="E241" s="200">
        <f t="shared" si="20"/>
        <v>0</v>
      </c>
      <c r="F241" s="199"/>
      <c r="G241" s="199">
        <v>178</v>
      </c>
      <c r="H241" s="200">
        <f t="shared" si="21"/>
        <v>0</v>
      </c>
      <c r="I241" s="200">
        <f t="shared" si="22"/>
        <v>0</v>
      </c>
      <c r="J241" s="200">
        <f t="shared" si="23"/>
        <v>0</v>
      </c>
      <c r="K241" s="200">
        <f t="shared" si="24"/>
        <v>0</v>
      </c>
      <c r="L241" s="199"/>
    </row>
    <row r="242" spans="1:12">
      <c r="A242" s="199">
        <v>179</v>
      </c>
      <c r="B242" s="200">
        <f t="shared" si="17"/>
        <v>0</v>
      </c>
      <c r="C242" s="200">
        <f t="shared" si="18"/>
        <v>0</v>
      </c>
      <c r="D242" s="200">
        <f t="shared" si="19"/>
        <v>0</v>
      </c>
      <c r="E242" s="200">
        <f t="shared" si="20"/>
        <v>0</v>
      </c>
      <c r="F242" s="199"/>
      <c r="G242" s="199">
        <v>179</v>
      </c>
      <c r="H242" s="200">
        <f t="shared" si="21"/>
        <v>0</v>
      </c>
      <c r="I242" s="200">
        <f t="shared" si="22"/>
        <v>0</v>
      </c>
      <c r="J242" s="200">
        <f t="shared" si="23"/>
        <v>0</v>
      </c>
      <c r="K242" s="200">
        <f t="shared" si="24"/>
        <v>0</v>
      </c>
      <c r="L242" s="199"/>
    </row>
    <row r="243" spans="1:12">
      <c r="A243" s="201">
        <v>180</v>
      </c>
      <c r="B243" s="200">
        <f t="shared" si="17"/>
        <v>0</v>
      </c>
      <c r="C243" s="200">
        <f t="shared" si="18"/>
        <v>0</v>
      </c>
      <c r="D243" s="200">
        <f t="shared" si="19"/>
        <v>0</v>
      </c>
      <c r="E243" s="200">
        <f t="shared" si="20"/>
        <v>0</v>
      </c>
      <c r="F243" s="201">
        <v>15</v>
      </c>
      <c r="G243" s="201">
        <v>180</v>
      </c>
      <c r="H243" s="200">
        <f t="shared" si="21"/>
        <v>0</v>
      </c>
      <c r="I243" s="200">
        <f t="shared" si="22"/>
        <v>0</v>
      </c>
      <c r="J243" s="200">
        <f t="shared" si="23"/>
        <v>0</v>
      </c>
      <c r="K243" s="200">
        <f t="shared" si="24"/>
        <v>0</v>
      </c>
      <c r="L243" s="201">
        <v>15</v>
      </c>
    </row>
    <row r="244" spans="1:12">
      <c r="A244" s="199">
        <v>181</v>
      </c>
      <c r="B244" s="200">
        <f t="shared" si="17"/>
        <v>0</v>
      </c>
      <c r="C244" s="200">
        <f t="shared" si="18"/>
        <v>0</v>
      </c>
      <c r="D244" s="200">
        <f t="shared" si="19"/>
        <v>0</v>
      </c>
      <c r="E244" s="200">
        <f t="shared" si="20"/>
        <v>0</v>
      </c>
      <c r="F244" s="199"/>
      <c r="G244" s="199">
        <v>181</v>
      </c>
      <c r="H244" s="200">
        <f t="shared" si="21"/>
        <v>0</v>
      </c>
      <c r="I244" s="200">
        <f t="shared" si="22"/>
        <v>0</v>
      </c>
      <c r="J244" s="200">
        <f t="shared" si="23"/>
        <v>0</v>
      </c>
      <c r="K244" s="200">
        <f t="shared" si="24"/>
        <v>0</v>
      </c>
      <c r="L244" s="199"/>
    </row>
    <row r="245" spans="1:12" s="179" customFormat="1">
      <c r="A245" s="201">
        <v>182</v>
      </c>
      <c r="B245" s="200">
        <f t="shared" si="17"/>
        <v>0</v>
      </c>
      <c r="C245" s="200">
        <f t="shared" si="18"/>
        <v>0</v>
      </c>
      <c r="D245" s="200">
        <f t="shared" si="19"/>
        <v>0</v>
      </c>
      <c r="E245" s="200">
        <f t="shared" si="20"/>
        <v>0</v>
      </c>
      <c r="F245" s="199"/>
      <c r="G245" s="201">
        <v>182</v>
      </c>
      <c r="H245" s="200">
        <f t="shared" si="21"/>
        <v>0</v>
      </c>
      <c r="I245" s="200">
        <f t="shared" si="22"/>
        <v>0</v>
      </c>
      <c r="J245" s="200">
        <f t="shared" si="23"/>
        <v>0</v>
      </c>
      <c r="K245" s="200">
        <f t="shared" si="24"/>
        <v>0</v>
      </c>
      <c r="L245" s="199"/>
    </row>
    <row r="246" spans="1:12">
      <c r="A246" s="201">
        <v>183</v>
      </c>
      <c r="B246" s="200">
        <f t="shared" si="17"/>
        <v>0</v>
      </c>
      <c r="C246" s="200">
        <f t="shared" si="18"/>
        <v>0</v>
      </c>
      <c r="D246" s="200">
        <f t="shared" si="19"/>
        <v>0</v>
      </c>
      <c r="E246" s="200">
        <f t="shared" si="20"/>
        <v>0</v>
      </c>
      <c r="F246" s="199"/>
      <c r="G246" s="201">
        <v>183</v>
      </c>
      <c r="H246" s="200">
        <f t="shared" si="21"/>
        <v>0</v>
      </c>
      <c r="I246" s="200">
        <f t="shared" si="22"/>
        <v>0</v>
      </c>
      <c r="J246" s="200">
        <f t="shared" si="23"/>
        <v>0</v>
      </c>
      <c r="K246" s="200">
        <f t="shared" si="24"/>
        <v>0</v>
      </c>
      <c r="L246" s="199"/>
    </row>
    <row r="247" spans="1:12">
      <c r="A247" s="201">
        <v>184</v>
      </c>
      <c r="B247" s="200">
        <f t="shared" si="17"/>
        <v>0</v>
      </c>
      <c r="C247" s="200">
        <f t="shared" si="18"/>
        <v>0</v>
      </c>
      <c r="D247" s="200">
        <f t="shared" si="19"/>
        <v>0</v>
      </c>
      <c r="E247" s="200">
        <f t="shared" si="20"/>
        <v>0</v>
      </c>
      <c r="F247" s="199"/>
      <c r="G247" s="201">
        <v>184</v>
      </c>
      <c r="H247" s="200">
        <f t="shared" si="21"/>
        <v>0</v>
      </c>
      <c r="I247" s="200">
        <f t="shared" si="22"/>
        <v>0</v>
      </c>
      <c r="J247" s="200">
        <f t="shared" si="23"/>
        <v>0</v>
      </c>
      <c r="K247" s="200">
        <f t="shared" si="24"/>
        <v>0</v>
      </c>
      <c r="L247" s="199"/>
    </row>
    <row r="248" spans="1:12">
      <c r="A248" s="201">
        <v>185</v>
      </c>
      <c r="B248" s="200">
        <f t="shared" si="17"/>
        <v>0</v>
      </c>
      <c r="C248" s="200">
        <f t="shared" si="18"/>
        <v>0</v>
      </c>
      <c r="D248" s="200">
        <f t="shared" si="19"/>
        <v>0</v>
      </c>
      <c r="E248" s="200">
        <f t="shared" si="20"/>
        <v>0</v>
      </c>
      <c r="F248" s="199"/>
      <c r="G248" s="201">
        <v>185</v>
      </c>
      <c r="H248" s="200">
        <f t="shared" si="21"/>
        <v>0</v>
      </c>
      <c r="I248" s="200">
        <f t="shared" si="22"/>
        <v>0</v>
      </c>
      <c r="J248" s="200">
        <f t="shared" si="23"/>
        <v>0</v>
      </c>
      <c r="K248" s="200">
        <f t="shared" si="24"/>
        <v>0</v>
      </c>
      <c r="L248" s="199"/>
    </row>
    <row r="249" spans="1:12">
      <c r="A249" s="201">
        <v>186</v>
      </c>
      <c r="B249" s="200">
        <f t="shared" si="17"/>
        <v>0</v>
      </c>
      <c r="C249" s="200">
        <f t="shared" si="18"/>
        <v>0</v>
      </c>
      <c r="D249" s="200">
        <f t="shared" si="19"/>
        <v>0</v>
      </c>
      <c r="E249" s="200">
        <f t="shared" si="20"/>
        <v>0</v>
      </c>
      <c r="F249" s="199"/>
      <c r="G249" s="201">
        <v>186</v>
      </c>
      <c r="H249" s="200">
        <f t="shared" si="21"/>
        <v>0</v>
      </c>
      <c r="I249" s="200">
        <f t="shared" si="22"/>
        <v>0</v>
      </c>
      <c r="J249" s="200">
        <f t="shared" si="23"/>
        <v>0</v>
      </c>
      <c r="K249" s="200">
        <f t="shared" si="24"/>
        <v>0</v>
      </c>
      <c r="L249" s="199"/>
    </row>
    <row r="250" spans="1:12">
      <c r="A250" s="201">
        <v>187</v>
      </c>
      <c r="B250" s="200">
        <f t="shared" si="17"/>
        <v>0</v>
      </c>
      <c r="C250" s="200">
        <f t="shared" si="18"/>
        <v>0</v>
      </c>
      <c r="D250" s="200">
        <f t="shared" si="19"/>
        <v>0</v>
      </c>
      <c r="E250" s="200">
        <f t="shared" si="20"/>
        <v>0</v>
      </c>
      <c r="F250" s="199"/>
      <c r="G250" s="201">
        <v>187</v>
      </c>
      <c r="H250" s="200">
        <f t="shared" si="21"/>
        <v>0</v>
      </c>
      <c r="I250" s="200">
        <f t="shared" si="22"/>
        <v>0</v>
      </c>
      <c r="J250" s="200">
        <f t="shared" si="23"/>
        <v>0</v>
      </c>
      <c r="K250" s="200">
        <f t="shared" si="24"/>
        <v>0</v>
      </c>
      <c r="L250" s="199"/>
    </row>
    <row r="251" spans="1:12">
      <c r="A251" s="201">
        <v>188</v>
      </c>
      <c r="B251" s="200">
        <f t="shared" si="17"/>
        <v>0</v>
      </c>
      <c r="C251" s="200">
        <f t="shared" si="18"/>
        <v>0</v>
      </c>
      <c r="D251" s="200">
        <f t="shared" si="19"/>
        <v>0</v>
      </c>
      <c r="E251" s="200">
        <f t="shared" si="20"/>
        <v>0</v>
      </c>
      <c r="F251" s="199"/>
      <c r="G251" s="201">
        <v>188</v>
      </c>
      <c r="H251" s="200">
        <f t="shared" si="21"/>
        <v>0</v>
      </c>
      <c r="I251" s="200">
        <f t="shared" si="22"/>
        <v>0</v>
      </c>
      <c r="J251" s="200">
        <f t="shared" si="23"/>
        <v>0</v>
      </c>
      <c r="K251" s="200">
        <f t="shared" si="24"/>
        <v>0</v>
      </c>
      <c r="L251" s="199"/>
    </row>
    <row r="252" spans="1:12">
      <c r="A252" s="201">
        <v>189</v>
      </c>
      <c r="B252" s="200">
        <f t="shared" si="17"/>
        <v>0</v>
      </c>
      <c r="C252" s="200">
        <f t="shared" si="18"/>
        <v>0</v>
      </c>
      <c r="D252" s="200">
        <f t="shared" si="19"/>
        <v>0</v>
      </c>
      <c r="E252" s="200">
        <f t="shared" si="20"/>
        <v>0</v>
      </c>
      <c r="F252" s="199"/>
      <c r="G252" s="201">
        <v>189</v>
      </c>
      <c r="H252" s="200">
        <f t="shared" si="21"/>
        <v>0</v>
      </c>
      <c r="I252" s="200">
        <f t="shared" si="22"/>
        <v>0</v>
      </c>
      <c r="J252" s="200">
        <f t="shared" si="23"/>
        <v>0</v>
      </c>
      <c r="K252" s="200">
        <f t="shared" si="24"/>
        <v>0</v>
      </c>
      <c r="L252" s="199"/>
    </row>
    <row r="253" spans="1:12">
      <c r="A253" s="201">
        <v>190</v>
      </c>
      <c r="B253" s="200">
        <f t="shared" si="17"/>
        <v>0</v>
      </c>
      <c r="C253" s="200">
        <f t="shared" si="18"/>
        <v>0</v>
      </c>
      <c r="D253" s="200">
        <f t="shared" si="19"/>
        <v>0</v>
      </c>
      <c r="E253" s="200">
        <f t="shared" si="20"/>
        <v>0</v>
      </c>
      <c r="F253" s="199"/>
      <c r="G253" s="201">
        <v>190</v>
      </c>
      <c r="H253" s="200">
        <f t="shared" si="21"/>
        <v>0</v>
      </c>
      <c r="I253" s="200">
        <f t="shared" si="22"/>
        <v>0</v>
      </c>
      <c r="J253" s="200">
        <f t="shared" si="23"/>
        <v>0</v>
      </c>
      <c r="K253" s="200">
        <f t="shared" si="24"/>
        <v>0</v>
      </c>
      <c r="L253" s="199"/>
    </row>
    <row r="254" spans="1:12">
      <c r="A254" s="201">
        <v>191</v>
      </c>
      <c r="B254" s="200">
        <f t="shared" si="17"/>
        <v>0</v>
      </c>
      <c r="C254" s="200">
        <f t="shared" si="18"/>
        <v>0</v>
      </c>
      <c r="D254" s="200">
        <f t="shared" si="19"/>
        <v>0</v>
      </c>
      <c r="E254" s="200">
        <f t="shared" si="20"/>
        <v>0</v>
      </c>
      <c r="F254" s="199"/>
      <c r="G254" s="201">
        <v>191</v>
      </c>
      <c r="H254" s="200">
        <f t="shared" si="21"/>
        <v>0</v>
      </c>
      <c r="I254" s="200">
        <f t="shared" si="22"/>
        <v>0</v>
      </c>
      <c r="J254" s="200">
        <f t="shared" si="23"/>
        <v>0</v>
      </c>
      <c r="K254" s="200">
        <f t="shared" si="24"/>
        <v>0</v>
      </c>
      <c r="L254" s="199"/>
    </row>
    <row r="255" spans="1:12">
      <c r="A255" s="201">
        <v>192</v>
      </c>
      <c r="B255" s="200">
        <f t="shared" si="17"/>
        <v>0</v>
      </c>
      <c r="C255" s="200">
        <f t="shared" si="18"/>
        <v>0</v>
      </c>
      <c r="D255" s="200">
        <f t="shared" si="19"/>
        <v>0</v>
      </c>
      <c r="E255" s="200">
        <f t="shared" si="20"/>
        <v>0</v>
      </c>
      <c r="F255" s="199">
        <v>16</v>
      </c>
      <c r="G255" s="201">
        <v>192</v>
      </c>
      <c r="H255" s="200">
        <f t="shared" si="21"/>
        <v>0</v>
      </c>
      <c r="I255" s="200">
        <f t="shared" si="22"/>
        <v>0</v>
      </c>
      <c r="J255" s="200">
        <f t="shared" si="23"/>
        <v>0</v>
      </c>
      <c r="K255" s="200">
        <f t="shared" si="24"/>
        <v>0</v>
      </c>
      <c r="L255" s="199">
        <v>16</v>
      </c>
    </row>
    <row r="256" spans="1:12">
      <c r="A256" s="201">
        <v>193</v>
      </c>
      <c r="B256" s="200">
        <f t="shared" ref="B256:B319" si="25">IF(A256&gt;12*$C$9,0,IF($C$5&gt;1500000,$D$12,$C$12))</f>
        <v>0</v>
      </c>
      <c r="C256" s="200">
        <f t="shared" ref="C256:C319" si="26">IF(A256&gt;12*$C$9,0,E255*$C$7/12)</f>
        <v>0</v>
      </c>
      <c r="D256" s="200">
        <f t="shared" ref="D256:D319" si="27">IF(A256&gt;12*$C$9,0,B256-C256)</f>
        <v>0</v>
      </c>
      <c r="E256" s="200">
        <f t="shared" ref="E256:E319" si="28">IF(A256&gt;12*$C$9,0,E255-D256)</f>
        <v>0</v>
      </c>
      <c r="F256" s="199"/>
      <c r="G256" s="201">
        <v>193</v>
      </c>
      <c r="H256" s="200">
        <f t="shared" ref="H256:H319" si="29">IF(G256&gt;12*$C$9,0,IF($C$5&gt;1500000,$E$12,0))</f>
        <v>0</v>
      </c>
      <c r="I256" s="200">
        <f t="shared" ref="I256:I319" si="30">IF(G256&gt;12*$C$9,0,K255*$C$7/12)</f>
        <v>0</v>
      </c>
      <c r="J256" s="200">
        <f t="shared" ref="J256:J319" si="31">IF(G256&gt;12*$C$9,0,H256-I256)</f>
        <v>0</v>
      </c>
      <c r="K256" s="200">
        <f t="shared" ref="K256:K319" si="32">IF(G256&gt;12*$C$9,0,K255-J256)</f>
        <v>0</v>
      </c>
      <c r="L256" s="199"/>
    </row>
    <row r="257" spans="1:12">
      <c r="A257" s="201">
        <v>194</v>
      </c>
      <c r="B257" s="200">
        <f t="shared" si="25"/>
        <v>0</v>
      </c>
      <c r="C257" s="200">
        <f t="shared" si="26"/>
        <v>0</v>
      </c>
      <c r="D257" s="200">
        <f t="shared" si="27"/>
        <v>0</v>
      </c>
      <c r="E257" s="200">
        <f t="shared" si="28"/>
        <v>0</v>
      </c>
      <c r="F257" s="199"/>
      <c r="G257" s="201">
        <v>194</v>
      </c>
      <c r="H257" s="200">
        <f t="shared" si="29"/>
        <v>0</v>
      </c>
      <c r="I257" s="200">
        <f t="shared" si="30"/>
        <v>0</v>
      </c>
      <c r="J257" s="200">
        <f t="shared" si="31"/>
        <v>0</v>
      </c>
      <c r="K257" s="200">
        <f t="shared" si="32"/>
        <v>0</v>
      </c>
      <c r="L257" s="199"/>
    </row>
    <row r="258" spans="1:12">
      <c r="A258" s="201">
        <v>195</v>
      </c>
      <c r="B258" s="200">
        <f t="shared" si="25"/>
        <v>0</v>
      </c>
      <c r="C258" s="200">
        <f t="shared" si="26"/>
        <v>0</v>
      </c>
      <c r="D258" s="200">
        <f t="shared" si="27"/>
        <v>0</v>
      </c>
      <c r="E258" s="200">
        <f t="shared" si="28"/>
        <v>0</v>
      </c>
      <c r="F258" s="199"/>
      <c r="G258" s="201">
        <v>195</v>
      </c>
      <c r="H258" s="200">
        <f t="shared" si="29"/>
        <v>0</v>
      </c>
      <c r="I258" s="200">
        <f t="shared" si="30"/>
        <v>0</v>
      </c>
      <c r="J258" s="200">
        <f t="shared" si="31"/>
        <v>0</v>
      </c>
      <c r="K258" s="200">
        <f t="shared" si="32"/>
        <v>0</v>
      </c>
      <c r="L258" s="199"/>
    </row>
    <row r="259" spans="1:12">
      <c r="A259" s="201">
        <v>196</v>
      </c>
      <c r="B259" s="200">
        <f t="shared" si="25"/>
        <v>0</v>
      </c>
      <c r="C259" s="200">
        <f t="shared" si="26"/>
        <v>0</v>
      </c>
      <c r="D259" s="200">
        <f t="shared" si="27"/>
        <v>0</v>
      </c>
      <c r="E259" s="200">
        <f t="shared" si="28"/>
        <v>0</v>
      </c>
      <c r="F259" s="199"/>
      <c r="G259" s="201">
        <v>196</v>
      </c>
      <c r="H259" s="200">
        <f t="shared" si="29"/>
        <v>0</v>
      </c>
      <c r="I259" s="200">
        <f t="shared" si="30"/>
        <v>0</v>
      </c>
      <c r="J259" s="200">
        <f t="shared" si="31"/>
        <v>0</v>
      </c>
      <c r="K259" s="200">
        <f t="shared" si="32"/>
        <v>0</v>
      </c>
      <c r="L259" s="199"/>
    </row>
    <row r="260" spans="1:12">
      <c r="A260" s="201">
        <v>197</v>
      </c>
      <c r="B260" s="200">
        <f t="shared" si="25"/>
        <v>0</v>
      </c>
      <c r="C260" s="200">
        <f t="shared" si="26"/>
        <v>0</v>
      </c>
      <c r="D260" s="200">
        <f t="shared" si="27"/>
        <v>0</v>
      </c>
      <c r="E260" s="200">
        <f t="shared" si="28"/>
        <v>0</v>
      </c>
      <c r="F260" s="199"/>
      <c r="G260" s="201">
        <v>197</v>
      </c>
      <c r="H260" s="200">
        <f t="shared" si="29"/>
        <v>0</v>
      </c>
      <c r="I260" s="200">
        <f t="shared" si="30"/>
        <v>0</v>
      </c>
      <c r="J260" s="200">
        <f t="shared" si="31"/>
        <v>0</v>
      </c>
      <c r="K260" s="200">
        <f t="shared" si="32"/>
        <v>0</v>
      </c>
      <c r="L260" s="199"/>
    </row>
    <row r="261" spans="1:12">
      <c r="A261" s="201">
        <v>198</v>
      </c>
      <c r="B261" s="200">
        <f t="shared" si="25"/>
        <v>0</v>
      </c>
      <c r="C261" s="200">
        <f t="shared" si="26"/>
        <v>0</v>
      </c>
      <c r="D261" s="200">
        <f t="shared" si="27"/>
        <v>0</v>
      </c>
      <c r="E261" s="200">
        <f t="shared" si="28"/>
        <v>0</v>
      </c>
      <c r="F261" s="199"/>
      <c r="G261" s="201">
        <v>198</v>
      </c>
      <c r="H261" s="200">
        <f t="shared" si="29"/>
        <v>0</v>
      </c>
      <c r="I261" s="200">
        <f t="shared" si="30"/>
        <v>0</v>
      </c>
      <c r="J261" s="200">
        <f t="shared" si="31"/>
        <v>0</v>
      </c>
      <c r="K261" s="200">
        <f t="shared" si="32"/>
        <v>0</v>
      </c>
      <c r="L261" s="199"/>
    </row>
    <row r="262" spans="1:12">
      <c r="A262" s="201">
        <v>199</v>
      </c>
      <c r="B262" s="200">
        <f t="shared" si="25"/>
        <v>0</v>
      </c>
      <c r="C262" s="200">
        <f t="shared" si="26"/>
        <v>0</v>
      </c>
      <c r="D262" s="200">
        <f t="shared" si="27"/>
        <v>0</v>
      </c>
      <c r="E262" s="200">
        <f t="shared" si="28"/>
        <v>0</v>
      </c>
      <c r="F262" s="199"/>
      <c r="G262" s="201">
        <v>199</v>
      </c>
      <c r="H262" s="200">
        <f t="shared" si="29"/>
        <v>0</v>
      </c>
      <c r="I262" s="200">
        <f t="shared" si="30"/>
        <v>0</v>
      </c>
      <c r="J262" s="200">
        <f t="shared" si="31"/>
        <v>0</v>
      </c>
      <c r="K262" s="200">
        <f t="shared" si="32"/>
        <v>0</v>
      </c>
      <c r="L262" s="199"/>
    </row>
    <row r="263" spans="1:12">
      <c r="A263" s="201">
        <v>200</v>
      </c>
      <c r="B263" s="200">
        <f t="shared" si="25"/>
        <v>0</v>
      </c>
      <c r="C263" s="200">
        <f t="shared" si="26"/>
        <v>0</v>
      </c>
      <c r="D263" s="200">
        <f t="shared" si="27"/>
        <v>0</v>
      </c>
      <c r="E263" s="200">
        <f t="shared" si="28"/>
        <v>0</v>
      </c>
      <c r="F263" s="199"/>
      <c r="G263" s="201">
        <v>200</v>
      </c>
      <c r="H263" s="200">
        <f t="shared" si="29"/>
        <v>0</v>
      </c>
      <c r="I263" s="200">
        <f t="shared" si="30"/>
        <v>0</v>
      </c>
      <c r="J263" s="200">
        <f t="shared" si="31"/>
        <v>0</v>
      </c>
      <c r="K263" s="200">
        <f t="shared" si="32"/>
        <v>0</v>
      </c>
      <c r="L263" s="199"/>
    </row>
    <row r="264" spans="1:12">
      <c r="A264" s="201">
        <v>201</v>
      </c>
      <c r="B264" s="200">
        <f t="shared" si="25"/>
        <v>0</v>
      </c>
      <c r="C264" s="200">
        <f t="shared" si="26"/>
        <v>0</v>
      </c>
      <c r="D264" s="200">
        <f t="shared" si="27"/>
        <v>0</v>
      </c>
      <c r="E264" s="200">
        <f t="shared" si="28"/>
        <v>0</v>
      </c>
      <c r="F264" s="199"/>
      <c r="G264" s="201">
        <v>201</v>
      </c>
      <c r="H264" s="200">
        <f t="shared" si="29"/>
        <v>0</v>
      </c>
      <c r="I264" s="200">
        <f t="shared" si="30"/>
        <v>0</v>
      </c>
      <c r="J264" s="200">
        <f t="shared" si="31"/>
        <v>0</v>
      </c>
      <c r="K264" s="200">
        <f t="shared" si="32"/>
        <v>0</v>
      </c>
      <c r="L264" s="199"/>
    </row>
    <row r="265" spans="1:12">
      <c r="A265" s="201">
        <v>202</v>
      </c>
      <c r="B265" s="200">
        <f t="shared" si="25"/>
        <v>0</v>
      </c>
      <c r="C265" s="200">
        <f t="shared" si="26"/>
        <v>0</v>
      </c>
      <c r="D265" s="200">
        <f t="shared" si="27"/>
        <v>0</v>
      </c>
      <c r="E265" s="200">
        <f t="shared" si="28"/>
        <v>0</v>
      </c>
      <c r="F265" s="199"/>
      <c r="G265" s="201">
        <v>202</v>
      </c>
      <c r="H265" s="200">
        <f t="shared" si="29"/>
        <v>0</v>
      </c>
      <c r="I265" s="200">
        <f t="shared" si="30"/>
        <v>0</v>
      </c>
      <c r="J265" s="200">
        <f t="shared" si="31"/>
        <v>0</v>
      </c>
      <c r="K265" s="200">
        <f t="shared" si="32"/>
        <v>0</v>
      </c>
      <c r="L265" s="199"/>
    </row>
    <row r="266" spans="1:12">
      <c r="A266" s="201">
        <v>203</v>
      </c>
      <c r="B266" s="200">
        <f t="shared" si="25"/>
        <v>0</v>
      </c>
      <c r="C266" s="200">
        <f t="shared" si="26"/>
        <v>0</v>
      </c>
      <c r="D266" s="200">
        <f t="shared" si="27"/>
        <v>0</v>
      </c>
      <c r="E266" s="200">
        <f t="shared" si="28"/>
        <v>0</v>
      </c>
      <c r="F266" s="199"/>
      <c r="G266" s="201">
        <v>203</v>
      </c>
      <c r="H266" s="200">
        <f t="shared" si="29"/>
        <v>0</v>
      </c>
      <c r="I266" s="200">
        <f t="shared" si="30"/>
        <v>0</v>
      </c>
      <c r="J266" s="200">
        <f t="shared" si="31"/>
        <v>0</v>
      </c>
      <c r="K266" s="200">
        <f t="shared" si="32"/>
        <v>0</v>
      </c>
      <c r="L266" s="199"/>
    </row>
    <row r="267" spans="1:12">
      <c r="A267" s="201">
        <v>204</v>
      </c>
      <c r="B267" s="200">
        <f t="shared" si="25"/>
        <v>0</v>
      </c>
      <c r="C267" s="200">
        <f t="shared" si="26"/>
        <v>0</v>
      </c>
      <c r="D267" s="200">
        <f t="shared" si="27"/>
        <v>0</v>
      </c>
      <c r="E267" s="200">
        <f t="shared" si="28"/>
        <v>0</v>
      </c>
      <c r="F267" s="199">
        <v>17</v>
      </c>
      <c r="G267" s="201">
        <v>204</v>
      </c>
      <c r="H267" s="200">
        <f t="shared" si="29"/>
        <v>0</v>
      </c>
      <c r="I267" s="200">
        <f t="shared" si="30"/>
        <v>0</v>
      </c>
      <c r="J267" s="200">
        <f t="shared" si="31"/>
        <v>0</v>
      </c>
      <c r="K267" s="200">
        <f t="shared" si="32"/>
        <v>0</v>
      </c>
      <c r="L267" s="199">
        <v>17</v>
      </c>
    </row>
    <row r="268" spans="1:12">
      <c r="A268" s="201">
        <v>205</v>
      </c>
      <c r="B268" s="200">
        <f t="shared" si="25"/>
        <v>0</v>
      </c>
      <c r="C268" s="200">
        <f t="shared" si="26"/>
        <v>0</v>
      </c>
      <c r="D268" s="200">
        <f t="shared" si="27"/>
        <v>0</v>
      </c>
      <c r="E268" s="200">
        <f t="shared" si="28"/>
        <v>0</v>
      </c>
      <c r="F268" s="199"/>
      <c r="G268" s="201">
        <v>205</v>
      </c>
      <c r="H268" s="200">
        <f t="shared" si="29"/>
        <v>0</v>
      </c>
      <c r="I268" s="200">
        <f t="shared" si="30"/>
        <v>0</v>
      </c>
      <c r="J268" s="200">
        <f t="shared" si="31"/>
        <v>0</v>
      </c>
      <c r="K268" s="200">
        <f t="shared" si="32"/>
        <v>0</v>
      </c>
      <c r="L268" s="199"/>
    </row>
    <row r="269" spans="1:12">
      <c r="A269" s="201">
        <v>206</v>
      </c>
      <c r="B269" s="200">
        <f t="shared" si="25"/>
        <v>0</v>
      </c>
      <c r="C269" s="200">
        <f t="shared" si="26"/>
        <v>0</v>
      </c>
      <c r="D269" s="200">
        <f t="shared" si="27"/>
        <v>0</v>
      </c>
      <c r="E269" s="200">
        <f t="shared" si="28"/>
        <v>0</v>
      </c>
      <c r="F269" s="199"/>
      <c r="G269" s="201">
        <v>206</v>
      </c>
      <c r="H269" s="200">
        <f t="shared" si="29"/>
        <v>0</v>
      </c>
      <c r="I269" s="200">
        <f t="shared" si="30"/>
        <v>0</v>
      </c>
      <c r="J269" s="200">
        <f t="shared" si="31"/>
        <v>0</v>
      </c>
      <c r="K269" s="200">
        <f t="shared" si="32"/>
        <v>0</v>
      </c>
      <c r="L269" s="199"/>
    </row>
    <row r="270" spans="1:12">
      <c r="A270" s="201">
        <v>207</v>
      </c>
      <c r="B270" s="200">
        <f t="shared" si="25"/>
        <v>0</v>
      </c>
      <c r="C270" s="200">
        <f t="shared" si="26"/>
        <v>0</v>
      </c>
      <c r="D270" s="200">
        <f t="shared" si="27"/>
        <v>0</v>
      </c>
      <c r="E270" s="200">
        <f t="shared" si="28"/>
        <v>0</v>
      </c>
      <c r="F270" s="199"/>
      <c r="G270" s="201">
        <v>207</v>
      </c>
      <c r="H270" s="200">
        <f t="shared" si="29"/>
        <v>0</v>
      </c>
      <c r="I270" s="200">
        <f t="shared" si="30"/>
        <v>0</v>
      </c>
      <c r="J270" s="200">
        <f t="shared" si="31"/>
        <v>0</v>
      </c>
      <c r="K270" s="200">
        <f t="shared" si="32"/>
        <v>0</v>
      </c>
      <c r="L270" s="199"/>
    </row>
    <row r="271" spans="1:12">
      <c r="A271" s="201">
        <v>208</v>
      </c>
      <c r="B271" s="200">
        <f t="shared" si="25"/>
        <v>0</v>
      </c>
      <c r="C271" s="200">
        <f t="shared" si="26"/>
        <v>0</v>
      </c>
      <c r="D271" s="200">
        <f t="shared" si="27"/>
        <v>0</v>
      </c>
      <c r="E271" s="200">
        <f t="shared" si="28"/>
        <v>0</v>
      </c>
      <c r="F271" s="199"/>
      <c r="G271" s="201">
        <v>208</v>
      </c>
      <c r="H271" s="200">
        <f t="shared" si="29"/>
        <v>0</v>
      </c>
      <c r="I271" s="200">
        <f t="shared" si="30"/>
        <v>0</v>
      </c>
      <c r="J271" s="200">
        <f t="shared" si="31"/>
        <v>0</v>
      </c>
      <c r="K271" s="200">
        <f t="shared" si="32"/>
        <v>0</v>
      </c>
      <c r="L271" s="199"/>
    </row>
    <row r="272" spans="1:12">
      <c r="A272" s="201">
        <v>209</v>
      </c>
      <c r="B272" s="200">
        <f t="shared" si="25"/>
        <v>0</v>
      </c>
      <c r="C272" s="200">
        <f t="shared" si="26"/>
        <v>0</v>
      </c>
      <c r="D272" s="200">
        <f t="shared" si="27"/>
        <v>0</v>
      </c>
      <c r="E272" s="200">
        <f t="shared" si="28"/>
        <v>0</v>
      </c>
      <c r="F272" s="199"/>
      <c r="G272" s="201">
        <v>209</v>
      </c>
      <c r="H272" s="200">
        <f t="shared" si="29"/>
        <v>0</v>
      </c>
      <c r="I272" s="200">
        <f t="shared" si="30"/>
        <v>0</v>
      </c>
      <c r="J272" s="200">
        <f t="shared" si="31"/>
        <v>0</v>
      </c>
      <c r="K272" s="200">
        <f t="shared" si="32"/>
        <v>0</v>
      </c>
      <c r="L272" s="199"/>
    </row>
    <row r="273" spans="1:12">
      <c r="A273" s="201">
        <v>210</v>
      </c>
      <c r="B273" s="200">
        <f t="shared" si="25"/>
        <v>0</v>
      </c>
      <c r="C273" s="200">
        <f t="shared" si="26"/>
        <v>0</v>
      </c>
      <c r="D273" s="200">
        <f t="shared" si="27"/>
        <v>0</v>
      </c>
      <c r="E273" s="200">
        <f t="shared" si="28"/>
        <v>0</v>
      </c>
      <c r="F273" s="199"/>
      <c r="G273" s="201">
        <v>210</v>
      </c>
      <c r="H273" s="200">
        <f t="shared" si="29"/>
        <v>0</v>
      </c>
      <c r="I273" s="200">
        <f t="shared" si="30"/>
        <v>0</v>
      </c>
      <c r="J273" s="200">
        <f t="shared" si="31"/>
        <v>0</v>
      </c>
      <c r="K273" s="200">
        <f t="shared" si="32"/>
        <v>0</v>
      </c>
      <c r="L273" s="199"/>
    </row>
    <row r="274" spans="1:12">
      <c r="A274" s="201">
        <v>211</v>
      </c>
      <c r="B274" s="200">
        <f t="shared" si="25"/>
        <v>0</v>
      </c>
      <c r="C274" s="200">
        <f t="shared" si="26"/>
        <v>0</v>
      </c>
      <c r="D274" s="200">
        <f t="shared" si="27"/>
        <v>0</v>
      </c>
      <c r="E274" s="200">
        <f t="shared" si="28"/>
        <v>0</v>
      </c>
      <c r="F274" s="199"/>
      <c r="G274" s="201">
        <v>211</v>
      </c>
      <c r="H274" s="200">
        <f t="shared" si="29"/>
        <v>0</v>
      </c>
      <c r="I274" s="200">
        <f t="shared" si="30"/>
        <v>0</v>
      </c>
      <c r="J274" s="200">
        <f t="shared" si="31"/>
        <v>0</v>
      </c>
      <c r="K274" s="200">
        <f t="shared" si="32"/>
        <v>0</v>
      </c>
      <c r="L274" s="199"/>
    </row>
    <row r="275" spans="1:12">
      <c r="A275" s="201">
        <v>212</v>
      </c>
      <c r="B275" s="200">
        <f t="shared" si="25"/>
        <v>0</v>
      </c>
      <c r="C275" s="200">
        <f t="shared" si="26"/>
        <v>0</v>
      </c>
      <c r="D275" s="200">
        <f t="shared" si="27"/>
        <v>0</v>
      </c>
      <c r="E275" s="200">
        <f t="shared" si="28"/>
        <v>0</v>
      </c>
      <c r="F275" s="199"/>
      <c r="G275" s="201">
        <v>212</v>
      </c>
      <c r="H275" s="200">
        <f t="shared" si="29"/>
        <v>0</v>
      </c>
      <c r="I275" s="200">
        <f t="shared" si="30"/>
        <v>0</v>
      </c>
      <c r="J275" s="200">
        <f t="shared" si="31"/>
        <v>0</v>
      </c>
      <c r="K275" s="200">
        <f t="shared" si="32"/>
        <v>0</v>
      </c>
      <c r="L275" s="199"/>
    </row>
    <row r="276" spans="1:12">
      <c r="A276" s="201">
        <v>213</v>
      </c>
      <c r="B276" s="200">
        <f t="shared" si="25"/>
        <v>0</v>
      </c>
      <c r="C276" s="200">
        <f t="shared" si="26"/>
        <v>0</v>
      </c>
      <c r="D276" s="200">
        <f t="shared" si="27"/>
        <v>0</v>
      </c>
      <c r="E276" s="200">
        <f t="shared" si="28"/>
        <v>0</v>
      </c>
      <c r="F276" s="199"/>
      <c r="G276" s="201">
        <v>213</v>
      </c>
      <c r="H276" s="200">
        <f t="shared" si="29"/>
        <v>0</v>
      </c>
      <c r="I276" s="200">
        <f t="shared" si="30"/>
        <v>0</v>
      </c>
      <c r="J276" s="200">
        <f t="shared" si="31"/>
        <v>0</v>
      </c>
      <c r="K276" s="200">
        <f t="shared" si="32"/>
        <v>0</v>
      </c>
      <c r="L276" s="199"/>
    </row>
    <row r="277" spans="1:12">
      <c r="A277" s="201">
        <v>214</v>
      </c>
      <c r="B277" s="200">
        <f t="shared" si="25"/>
        <v>0</v>
      </c>
      <c r="C277" s="200">
        <f t="shared" si="26"/>
        <v>0</v>
      </c>
      <c r="D277" s="200">
        <f t="shared" si="27"/>
        <v>0</v>
      </c>
      <c r="E277" s="200">
        <f t="shared" si="28"/>
        <v>0</v>
      </c>
      <c r="F277" s="199"/>
      <c r="G277" s="201">
        <v>214</v>
      </c>
      <c r="H277" s="200">
        <f t="shared" si="29"/>
        <v>0</v>
      </c>
      <c r="I277" s="200">
        <f t="shared" si="30"/>
        <v>0</v>
      </c>
      <c r="J277" s="200">
        <f t="shared" si="31"/>
        <v>0</v>
      </c>
      <c r="K277" s="200">
        <f t="shared" si="32"/>
        <v>0</v>
      </c>
      <c r="L277" s="199"/>
    </row>
    <row r="278" spans="1:12">
      <c r="A278" s="201">
        <v>215</v>
      </c>
      <c r="B278" s="200">
        <f t="shared" si="25"/>
        <v>0</v>
      </c>
      <c r="C278" s="200">
        <f t="shared" si="26"/>
        <v>0</v>
      </c>
      <c r="D278" s="200">
        <f t="shared" si="27"/>
        <v>0</v>
      </c>
      <c r="E278" s="200">
        <f t="shared" si="28"/>
        <v>0</v>
      </c>
      <c r="F278" s="199"/>
      <c r="G278" s="201">
        <v>215</v>
      </c>
      <c r="H278" s="200">
        <f t="shared" si="29"/>
        <v>0</v>
      </c>
      <c r="I278" s="200">
        <f t="shared" si="30"/>
        <v>0</v>
      </c>
      <c r="J278" s="200">
        <f t="shared" si="31"/>
        <v>0</v>
      </c>
      <c r="K278" s="200">
        <f t="shared" si="32"/>
        <v>0</v>
      </c>
      <c r="L278" s="199"/>
    </row>
    <row r="279" spans="1:12">
      <c r="A279" s="201">
        <v>216</v>
      </c>
      <c r="B279" s="200">
        <f t="shared" si="25"/>
        <v>0</v>
      </c>
      <c r="C279" s="200">
        <f t="shared" si="26"/>
        <v>0</v>
      </c>
      <c r="D279" s="200">
        <f t="shared" si="27"/>
        <v>0</v>
      </c>
      <c r="E279" s="200">
        <f t="shared" si="28"/>
        <v>0</v>
      </c>
      <c r="F279" s="199">
        <v>18</v>
      </c>
      <c r="G279" s="201">
        <v>216</v>
      </c>
      <c r="H279" s="200">
        <f t="shared" si="29"/>
        <v>0</v>
      </c>
      <c r="I279" s="200">
        <f t="shared" si="30"/>
        <v>0</v>
      </c>
      <c r="J279" s="200">
        <f t="shared" si="31"/>
        <v>0</v>
      </c>
      <c r="K279" s="200">
        <f t="shared" si="32"/>
        <v>0</v>
      </c>
      <c r="L279" s="199">
        <v>18</v>
      </c>
    </row>
    <row r="280" spans="1:12">
      <c r="A280" s="201">
        <v>217</v>
      </c>
      <c r="B280" s="200">
        <f t="shared" si="25"/>
        <v>0</v>
      </c>
      <c r="C280" s="200">
        <f t="shared" si="26"/>
        <v>0</v>
      </c>
      <c r="D280" s="200">
        <f t="shared" si="27"/>
        <v>0</v>
      </c>
      <c r="E280" s="200">
        <f t="shared" si="28"/>
        <v>0</v>
      </c>
      <c r="F280" s="199"/>
      <c r="G280" s="201">
        <v>217</v>
      </c>
      <c r="H280" s="200">
        <f t="shared" si="29"/>
        <v>0</v>
      </c>
      <c r="I280" s="200">
        <f t="shared" si="30"/>
        <v>0</v>
      </c>
      <c r="J280" s="200">
        <f t="shared" si="31"/>
        <v>0</v>
      </c>
      <c r="K280" s="200">
        <f t="shared" si="32"/>
        <v>0</v>
      </c>
      <c r="L280" s="199"/>
    </row>
    <row r="281" spans="1:12">
      <c r="A281" s="201">
        <v>218</v>
      </c>
      <c r="B281" s="200">
        <f t="shared" si="25"/>
        <v>0</v>
      </c>
      <c r="C281" s="200">
        <f t="shared" si="26"/>
        <v>0</v>
      </c>
      <c r="D281" s="200">
        <f t="shared" si="27"/>
        <v>0</v>
      </c>
      <c r="E281" s="200">
        <f t="shared" si="28"/>
        <v>0</v>
      </c>
      <c r="F281" s="199"/>
      <c r="G281" s="201">
        <v>218</v>
      </c>
      <c r="H281" s="200">
        <f t="shared" si="29"/>
        <v>0</v>
      </c>
      <c r="I281" s="200">
        <f t="shared" si="30"/>
        <v>0</v>
      </c>
      <c r="J281" s="200">
        <f t="shared" si="31"/>
        <v>0</v>
      </c>
      <c r="K281" s="200">
        <f t="shared" si="32"/>
        <v>0</v>
      </c>
      <c r="L281" s="199"/>
    </row>
    <row r="282" spans="1:12">
      <c r="A282" s="201">
        <v>219</v>
      </c>
      <c r="B282" s="200">
        <f t="shared" si="25"/>
        <v>0</v>
      </c>
      <c r="C282" s="200">
        <f t="shared" si="26"/>
        <v>0</v>
      </c>
      <c r="D282" s="200">
        <f t="shared" si="27"/>
        <v>0</v>
      </c>
      <c r="E282" s="200">
        <f t="shared" si="28"/>
        <v>0</v>
      </c>
      <c r="F282" s="199"/>
      <c r="G282" s="201">
        <v>219</v>
      </c>
      <c r="H282" s="200">
        <f t="shared" si="29"/>
        <v>0</v>
      </c>
      <c r="I282" s="200">
        <f t="shared" si="30"/>
        <v>0</v>
      </c>
      <c r="J282" s="200">
        <f t="shared" si="31"/>
        <v>0</v>
      </c>
      <c r="K282" s="200">
        <f t="shared" si="32"/>
        <v>0</v>
      </c>
      <c r="L282" s="199"/>
    </row>
    <row r="283" spans="1:12">
      <c r="A283" s="201">
        <v>220</v>
      </c>
      <c r="B283" s="200">
        <f t="shared" si="25"/>
        <v>0</v>
      </c>
      <c r="C283" s="200">
        <f t="shared" si="26"/>
        <v>0</v>
      </c>
      <c r="D283" s="200">
        <f t="shared" si="27"/>
        <v>0</v>
      </c>
      <c r="E283" s="200">
        <f t="shared" si="28"/>
        <v>0</v>
      </c>
      <c r="F283" s="199"/>
      <c r="G283" s="201">
        <v>220</v>
      </c>
      <c r="H283" s="200">
        <f t="shared" si="29"/>
        <v>0</v>
      </c>
      <c r="I283" s="200">
        <f t="shared" si="30"/>
        <v>0</v>
      </c>
      <c r="J283" s="200">
        <f t="shared" si="31"/>
        <v>0</v>
      </c>
      <c r="K283" s="200">
        <f t="shared" si="32"/>
        <v>0</v>
      </c>
      <c r="L283" s="199"/>
    </row>
    <row r="284" spans="1:12">
      <c r="A284" s="201">
        <v>221</v>
      </c>
      <c r="B284" s="200">
        <f t="shared" si="25"/>
        <v>0</v>
      </c>
      <c r="C284" s="200">
        <f t="shared" si="26"/>
        <v>0</v>
      </c>
      <c r="D284" s="200">
        <f t="shared" si="27"/>
        <v>0</v>
      </c>
      <c r="E284" s="200">
        <f t="shared" si="28"/>
        <v>0</v>
      </c>
      <c r="F284" s="199"/>
      <c r="G284" s="201">
        <v>221</v>
      </c>
      <c r="H284" s="200">
        <f t="shared" si="29"/>
        <v>0</v>
      </c>
      <c r="I284" s="200">
        <f t="shared" si="30"/>
        <v>0</v>
      </c>
      <c r="J284" s="200">
        <f t="shared" si="31"/>
        <v>0</v>
      </c>
      <c r="K284" s="200">
        <f t="shared" si="32"/>
        <v>0</v>
      </c>
      <c r="L284" s="199"/>
    </row>
    <row r="285" spans="1:12">
      <c r="A285" s="201">
        <v>222</v>
      </c>
      <c r="B285" s="200">
        <f t="shared" si="25"/>
        <v>0</v>
      </c>
      <c r="C285" s="200">
        <f t="shared" si="26"/>
        <v>0</v>
      </c>
      <c r="D285" s="200">
        <f t="shared" si="27"/>
        <v>0</v>
      </c>
      <c r="E285" s="200">
        <f t="shared" si="28"/>
        <v>0</v>
      </c>
      <c r="F285" s="199"/>
      <c r="G285" s="201">
        <v>222</v>
      </c>
      <c r="H285" s="200">
        <f t="shared" si="29"/>
        <v>0</v>
      </c>
      <c r="I285" s="200">
        <f t="shared" si="30"/>
        <v>0</v>
      </c>
      <c r="J285" s="200">
        <f t="shared" si="31"/>
        <v>0</v>
      </c>
      <c r="K285" s="200">
        <f t="shared" si="32"/>
        <v>0</v>
      </c>
      <c r="L285" s="199"/>
    </row>
    <row r="286" spans="1:12">
      <c r="A286" s="201">
        <v>223</v>
      </c>
      <c r="B286" s="200">
        <f t="shared" si="25"/>
        <v>0</v>
      </c>
      <c r="C286" s="200">
        <f t="shared" si="26"/>
        <v>0</v>
      </c>
      <c r="D286" s="200">
        <f t="shared" si="27"/>
        <v>0</v>
      </c>
      <c r="E286" s="200">
        <f t="shared" si="28"/>
        <v>0</v>
      </c>
      <c r="F286" s="199"/>
      <c r="G286" s="201">
        <v>223</v>
      </c>
      <c r="H286" s="200">
        <f t="shared" si="29"/>
        <v>0</v>
      </c>
      <c r="I286" s="200">
        <f t="shared" si="30"/>
        <v>0</v>
      </c>
      <c r="J286" s="200">
        <f t="shared" si="31"/>
        <v>0</v>
      </c>
      <c r="K286" s="200">
        <f t="shared" si="32"/>
        <v>0</v>
      </c>
      <c r="L286" s="199"/>
    </row>
    <row r="287" spans="1:12">
      <c r="A287" s="201">
        <v>224</v>
      </c>
      <c r="B287" s="200">
        <f t="shared" si="25"/>
        <v>0</v>
      </c>
      <c r="C287" s="200">
        <f t="shared" si="26"/>
        <v>0</v>
      </c>
      <c r="D287" s="200">
        <f t="shared" si="27"/>
        <v>0</v>
      </c>
      <c r="E287" s="200">
        <f t="shared" si="28"/>
        <v>0</v>
      </c>
      <c r="F287" s="199"/>
      <c r="G287" s="201">
        <v>224</v>
      </c>
      <c r="H287" s="200">
        <f t="shared" si="29"/>
        <v>0</v>
      </c>
      <c r="I287" s="200">
        <f t="shared" si="30"/>
        <v>0</v>
      </c>
      <c r="J287" s="200">
        <f t="shared" si="31"/>
        <v>0</v>
      </c>
      <c r="K287" s="200">
        <f t="shared" si="32"/>
        <v>0</v>
      </c>
      <c r="L287" s="199"/>
    </row>
    <row r="288" spans="1:12">
      <c r="A288" s="201">
        <v>225</v>
      </c>
      <c r="B288" s="200">
        <f t="shared" si="25"/>
        <v>0</v>
      </c>
      <c r="C288" s="200">
        <f t="shared" si="26"/>
        <v>0</v>
      </c>
      <c r="D288" s="200">
        <f t="shared" si="27"/>
        <v>0</v>
      </c>
      <c r="E288" s="200">
        <f t="shared" si="28"/>
        <v>0</v>
      </c>
      <c r="F288" s="199"/>
      <c r="G288" s="201">
        <v>225</v>
      </c>
      <c r="H288" s="200">
        <f t="shared" si="29"/>
        <v>0</v>
      </c>
      <c r="I288" s="200">
        <f t="shared" si="30"/>
        <v>0</v>
      </c>
      <c r="J288" s="200">
        <f t="shared" si="31"/>
        <v>0</v>
      </c>
      <c r="K288" s="200">
        <f t="shared" si="32"/>
        <v>0</v>
      </c>
      <c r="L288" s="199"/>
    </row>
    <row r="289" spans="1:12">
      <c r="A289" s="201">
        <v>226</v>
      </c>
      <c r="B289" s="200">
        <f t="shared" si="25"/>
        <v>0</v>
      </c>
      <c r="C289" s="200">
        <f t="shared" si="26"/>
        <v>0</v>
      </c>
      <c r="D289" s="200">
        <f t="shared" si="27"/>
        <v>0</v>
      </c>
      <c r="E289" s="200">
        <f t="shared" si="28"/>
        <v>0</v>
      </c>
      <c r="F289" s="199"/>
      <c r="G289" s="201">
        <v>226</v>
      </c>
      <c r="H289" s="200">
        <f t="shared" si="29"/>
        <v>0</v>
      </c>
      <c r="I289" s="200">
        <f t="shared" si="30"/>
        <v>0</v>
      </c>
      <c r="J289" s="200">
        <f t="shared" si="31"/>
        <v>0</v>
      </c>
      <c r="K289" s="200">
        <f t="shared" si="32"/>
        <v>0</v>
      </c>
      <c r="L289" s="199"/>
    </row>
    <row r="290" spans="1:12">
      <c r="A290" s="201">
        <v>227</v>
      </c>
      <c r="B290" s="200">
        <f t="shared" si="25"/>
        <v>0</v>
      </c>
      <c r="C290" s="200">
        <f t="shared" si="26"/>
        <v>0</v>
      </c>
      <c r="D290" s="200">
        <f t="shared" si="27"/>
        <v>0</v>
      </c>
      <c r="E290" s="200">
        <f t="shared" si="28"/>
        <v>0</v>
      </c>
      <c r="F290" s="199"/>
      <c r="G290" s="201">
        <v>227</v>
      </c>
      <c r="H290" s="200">
        <f t="shared" si="29"/>
        <v>0</v>
      </c>
      <c r="I290" s="200">
        <f t="shared" si="30"/>
        <v>0</v>
      </c>
      <c r="J290" s="200">
        <f t="shared" si="31"/>
        <v>0</v>
      </c>
      <c r="K290" s="200">
        <f t="shared" si="32"/>
        <v>0</v>
      </c>
      <c r="L290" s="199"/>
    </row>
    <row r="291" spans="1:12">
      <c r="A291" s="201">
        <v>228</v>
      </c>
      <c r="B291" s="200">
        <f t="shared" si="25"/>
        <v>0</v>
      </c>
      <c r="C291" s="200">
        <f t="shared" si="26"/>
        <v>0</v>
      </c>
      <c r="D291" s="200">
        <f t="shared" si="27"/>
        <v>0</v>
      </c>
      <c r="E291" s="200">
        <f t="shared" si="28"/>
        <v>0</v>
      </c>
      <c r="F291" s="199">
        <v>19</v>
      </c>
      <c r="G291" s="201">
        <v>228</v>
      </c>
      <c r="H291" s="200">
        <f t="shared" si="29"/>
        <v>0</v>
      </c>
      <c r="I291" s="200">
        <f t="shared" si="30"/>
        <v>0</v>
      </c>
      <c r="J291" s="200">
        <f t="shared" si="31"/>
        <v>0</v>
      </c>
      <c r="K291" s="200">
        <f t="shared" si="32"/>
        <v>0</v>
      </c>
      <c r="L291" s="199">
        <v>19</v>
      </c>
    </row>
    <row r="292" spans="1:12">
      <c r="A292" s="201">
        <v>229</v>
      </c>
      <c r="B292" s="200">
        <f t="shared" si="25"/>
        <v>0</v>
      </c>
      <c r="C292" s="200">
        <f t="shared" si="26"/>
        <v>0</v>
      </c>
      <c r="D292" s="200">
        <f t="shared" si="27"/>
        <v>0</v>
      </c>
      <c r="E292" s="200">
        <f t="shared" si="28"/>
        <v>0</v>
      </c>
      <c r="F292" s="199"/>
      <c r="G292" s="201">
        <v>229</v>
      </c>
      <c r="H292" s="200">
        <f t="shared" si="29"/>
        <v>0</v>
      </c>
      <c r="I292" s="200">
        <f t="shared" si="30"/>
        <v>0</v>
      </c>
      <c r="J292" s="200">
        <f t="shared" si="31"/>
        <v>0</v>
      </c>
      <c r="K292" s="200">
        <f t="shared" si="32"/>
        <v>0</v>
      </c>
      <c r="L292" s="199"/>
    </row>
    <row r="293" spans="1:12">
      <c r="A293" s="201">
        <v>230</v>
      </c>
      <c r="B293" s="200">
        <f t="shared" si="25"/>
        <v>0</v>
      </c>
      <c r="C293" s="200">
        <f t="shared" si="26"/>
        <v>0</v>
      </c>
      <c r="D293" s="200">
        <f t="shared" si="27"/>
        <v>0</v>
      </c>
      <c r="E293" s="200">
        <f t="shared" si="28"/>
        <v>0</v>
      </c>
      <c r="F293" s="199"/>
      <c r="G293" s="201">
        <v>230</v>
      </c>
      <c r="H293" s="200">
        <f t="shared" si="29"/>
        <v>0</v>
      </c>
      <c r="I293" s="200">
        <f t="shared" si="30"/>
        <v>0</v>
      </c>
      <c r="J293" s="200">
        <f t="shared" si="31"/>
        <v>0</v>
      </c>
      <c r="K293" s="200">
        <f t="shared" si="32"/>
        <v>0</v>
      </c>
      <c r="L293" s="199"/>
    </row>
    <row r="294" spans="1:12">
      <c r="A294" s="201">
        <v>231</v>
      </c>
      <c r="B294" s="200">
        <f t="shared" si="25"/>
        <v>0</v>
      </c>
      <c r="C294" s="200">
        <f t="shared" si="26"/>
        <v>0</v>
      </c>
      <c r="D294" s="200">
        <f t="shared" si="27"/>
        <v>0</v>
      </c>
      <c r="E294" s="200">
        <f t="shared" si="28"/>
        <v>0</v>
      </c>
      <c r="F294" s="199"/>
      <c r="G294" s="201">
        <v>231</v>
      </c>
      <c r="H294" s="200">
        <f t="shared" si="29"/>
        <v>0</v>
      </c>
      <c r="I294" s="200">
        <f t="shared" si="30"/>
        <v>0</v>
      </c>
      <c r="J294" s="200">
        <f t="shared" si="31"/>
        <v>0</v>
      </c>
      <c r="K294" s="200">
        <f t="shared" si="32"/>
        <v>0</v>
      </c>
      <c r="L294" s="199"/>
    </row>
    <row r="295" spans="1:12">
      <c r="A295" s="201">
        <v>232</v>
      </c>
      <c r="B295" s="200">
        <f t="shared" si="25"/>
        <v>0</v>
      </c>
      <c r="C295" s="200">
        <f t="shared" si="26"/>
        <v>0</v>
      </c>
      <c r="D295" s="200">
        <f t="shared" si="27"/>
        <v>0</v>
      </c>
      <c r="E295" s="200">
        <f t="shared" si="28"/>
        <v>0</v>
      </c>
      <c r="F295" s="199"/>
      <c r="G295" s="201">
        <v>232</v>
      </c>
      <c r="H295" s="200">
        <f t="shared" si="29"/>
        <v>0</v>
      </c>
      <c r="I295" s="200">
        <f t="shared" si="30"/>
        <v>0</v>
      </c>
      <c r="J295" s="200">
        <f t="shared" si="31"/>
        <v>0</v>
      </c>
      <c r="K295" s="200">
        <f t="shared" si="32"/>
        <v>0</v>
      </c>
      <c r="L295" s="199"/>
    </row>
    <row r="296" spans="1:12">
      <c r="A296" s="201">
        <v>233</v>
      </c>
      <c r="B296" s="200">
        <f t="shared" si="25"/>
        <v>0</v>
      </c>
      <c r="C296" s="200">
        <f t="shared" si="26"/>
        <v>0</v>
      </c>
      <c r="D296" s="200">
        <f t="shared" si="27"/>
        <v>0</v>
      </c>
      <c r="E296" s="200">
        <f t="shared" si="28"/>
        <v>0</v>
      </c>
      <c r="F296" s="199"/>
      <c r="G296" s="201">
        <v>233</v>
      </c>
      <c r="H296" s="200">
        <f t="shared" si="29"/>
        <v>0</v>
      </c>
      <c r="I296" s="200">
        <f t="shared" si="30"/>
        <v>0</v>
      </c>
      <c r="J296" s="200">
        <f t="shared" si="31"/>
        <v>0</v>
      </c>
      <c r="K296" s="200">
        <f t="shared" si="32"/>
        <v>0</v>
      </c>
      <c r="L296" s="199"/>
    </row>
    <row r="297" spans="1:12">
      <c r="A297" s="201">
        <v>234</v>
      </c>
      <c r="B297" s="200">
        <f t="shared" si="25"/>
        <v>0</v>
      </c>
      <c r="C297" s="200">
        <f t="shared" si="26"/>
        <v>0</v>
      </c>
      <c r="D297" s="200">
        <f t="shared" si="27"/>
        <v>0</v>
      </c>
      <c r="E297" s="200">
        <f t="shared" si="28"/>
        <v>0</v>
      </c>
      <c r="F297" s="199"/>
      <c r="G297" s="201">
        <v>234</v>
      </c>
      <c r="H297" s="200">
        <f t="shared" si="29"/>
        <v>0</v>
      </c>
      <c r="I297" s="200">
        <f t="shared" si="30"/>
        <v>0</v>
      </c>
      <c r="J297" s="200">
        <f t="shared" si="31"/>
        <v>0</v>
      </c>
      <c r="K297" s="200">
        <f t="shared" si="32"/>
        <v>0</v>
      </c>
      <c r="L297" s="199"/>
    </row>
    <row r="298" spans="1:12">
      <c r="A298" s="201">
        <v>235</v>
      </c>
      <c r="B298" s="200">
        <f t="shared" si="25"/>
        <v>0</v>
      </c>
      <c r="C298" s="200">
        <f t="shared" si="26"/>
        <v>0</v>
      </c>
      <c r="D298" s="200">
        <f t="shared" si="27"/>
        <v>0</v>
      </c>
      <c r="E298" s="200">
        <f t="shared" si="28"/>
        <v>0</v>
      </c>
      <c r="F298" s="199"/>
      <c r="G298" s="201">
        <v>235</v>
      </c>
      <c r="H298" s="200">
        <f t="shared" si="29"/>
        <v>0</v>
      </c>
      <c r="I298" s="200">
        <f t="shared" si="30"/>
        <v>0</v>
      </c>
      <c r="J298" s="200">
        <f t="shared" si="31"/>
        <v>0</v>
      </c>
      <c r="K298" s="200">
        <f t="shared" si="32"/>
        <v>0</v>
      </c>
      <c r="L298" s="199"/>
    </row>
    <row r="299" spans="1:12">
      <c r="A299" s="201">
        <v>236</v>
      </c>
      <c r="B299" s="200">
        <f t="shared" si="25"/>
        <v>0</v>
      </c>
      <c r="C299" s="200">
        <f t="shared" si="26"/>
        <v>0</v>
      </c>
      <c r="D299" s="200">
        <f t="shared" si="27"/>
        <v>0</v>
      </c>
      <c r="E299" s="200">
        <f t="shared" si="28"/>
        <v>0</v>
      </c>
      <c r="F299" s="199"/>
      <c r="G299" s="201">
        <v>236</v>
      </c>
      <c r="H299" s="200">
        <f t="shared" si="29"/>
        <v>0</v>
      </c>
      <c r="I299" s="200">
        <f t="shared" si="30"/>
        <v>0</v>
      </c>
      <c r="J299" s="200">
        <f t="shared" si="31"/>
        <v>0</v>
      </c>
      <c r="K299" s="200">
        <f t="shared" si="32"/>
        <v>0</v>
      </c>
      <c r="L299" s="199"/>
    </row>
    <row r="300" spans="1:12">
      <c r="A300" s="201">
        <v>237</v>
      </c>
      <c r="B300" s="200">
        <f t="shared" si="25"/>
        <v>0</v>
      </c>
      <c r="C300" s="200">
        <f t="shared" si="26"/>
        <v>0</v>
      </c>
      <c r="D300" s="200">
        <f t="shared" si="27"/>
        <v>0</v>
      </c>
      <c r="E300" s="200">
        <f t="shared" si="28"/>
        <v>0</v>
      </c>
      <c r="F300" s="199"/>
      <c r="G300" s="201">
        <v>237</v>
      </c>
      <c r="H300" s="200">
        <f t="shared" si="29"/>
        <v>0</v>
      </c>
      <c r="I300" s="200">
        <f t="shared" si="30"/>
        <v>0</v>
      </c>
      <c r="J300" s="200">
        <f t="shared" si="31"/>
        <v>0</v>
      </c>
      <c r="K300" s="200">
        <f t="shared" si="32"/>
        <v>0</v>
      </c>
      <c r="L300" s="199"/>
    </row>
    <row r="301" spans="1:12">
      <c r="A301" s="201">
        <v>238</v>
      </c>
      <c r="B301" s="200">
        <f t="shared" si="25"/>
        <v>0</v>
      </c>
      <c r="C301" s="200">
        <f t="shared" si="26"/>
        <v>0</v>
      </c>
      <c r="D301" s="200">
        <f t="shared" si="27"/>
        <v>0</v>
      </c>
      <c r="E301" s="200">
        <f t="shared" si="28"/>
        <v>0</v>
      </c>
      <c r="F301" s="199"/>
      <c r="G301" s="201">
        <v>238</v>
      </c>
      <c r="H301" s="200">
        <f t="shared" si="29"/>
        <v>0</v>
      </c>
      <c r="I301" s="200">
        <f t="shared" si="30"/>
        <v>0</v>
      </c>
      <c r="J301" s="200">
        <f t="shared" si="31"/>
        <v>0</v>
      </c>
      <c r="K301" s="200">
        <f t="shared" si="32"/>
        <v>0</v>
      </c>
      <c r="L301" s="199"/>
    </row>
    <row r="302" spans="1:12">
      <c r="A302" s="201">
        <v>239</v>
      </c>
      <c r="B302" s="200">
        <f t="shared" si="25"/>
        <v>0</v>
      </c>
      <c r="C302" s="200">
        <f t="shared" si="26"/>
        <v>0</v>
      </c>
      <c r="D302" s="200">
        <f t="shared" si="27"/>
        <v>0</v>
      </c>
      <c r="E302" s="200">
        <f t="shared" si="28"/>
        <v>0</v>
      </c>
      <c r="F302" s="199"/>
      <c r="G302" s="201">
        <v>239</v>
      </c>
      <c r="H302" s="200">
        <f t="shared" si="29"/>
        <v>0</v>
      </c>
      <c r="I302" s="200">
        <f t="shared" si="30"/>
        <v>0</v>
      </c>
      <c r="J302" s="200">
        <f t="shared" si="31"/>
        <v>0</v>
      </c>
      <c r="K302" s="200">
        <f t="shared" si="32"/>
        <v>0</v>
      </c>
      <c r="L302" s="199"/>
    </row>
    <row r="303" spans="1:12">
      <c r="A303" s="201">
        <v>240</v>
      </c>
      <c r="B303" s="200">
        <f t="shared" si="25"/>
        <v>0</v>
      </c>
      <c r="C303" s="200">
        <f t="shared" si="26"/>
        <v>0</v>
      </c>
      <c r="D303" s="200">
        <f t="shared" si="27"/>
        <v>0</v>
      </c>
      <c r="E303" s="200">
        <f t="shared" si="28"/>
        <v>0</v>
      </c>
      <c r="F303" s="199">
        <v>20</v>
      </c>
      <c r="G303" s="201">
        <v>240</v>
      </c>
      <c r="H303" s="200">
        <f t="shared" si="29"/>
        <v>0</v>
      </c>
      <c r="I303" s="200">
        <f t="shared" si="30"/>
        <v>0</v>
      </c>
      <c r="J303" s="200">
        <f t="shared" si="31"/>
        <v>0</v>
      </c>
      <c r="K303" s="200">
        <f t="shared" si="32"/>
        <v>0</v>
      </c>
      <c r="L303" s="199">
        <v>20</v>
      </c>
    </row>
    <row r="304" spans="1:12">
      <c r="A304" s="201">
        <v>241</v>
      </c>
      <c r="B304" s="200">
        <f t="shared" si="25"/>
        <v>0</v>
      </c>
      <c r="C304" s="200">
        <f t="shared" si="26"/>
        <v>0</v>
      </c>
      <c r="D304" s="200">
        <f t="shared" si="27"/>
        <v>0</v>
      </c>
      <c r="E304" s="200">
        <f t="shared" si="28"/>
        <v>0</v>
      </c>
      <c r="F304" s="199"/>
      <c r="G304" s="201">
        <v>241</v>
      </c>
      <c r="H304" s="200">
        <f t="shared" si="29"/>
        <v>0</v>
      </c>
      <c r="I304" s="200">
        <f t="shared" si="30"/>
        <v>0</v>
      </c>
      <c r="J304" s="200">
        <f t="shared" si="31"/>
        <v>0</v>
      </c>
      <c r="K304" s="200">
        <f t="shared" si="32"/>
        <v>0</v>
      </c>
      <c r="L304" s="199"/>
    </row>
    <row r="305" spans="1:12">
      <c r="A305" s="201">
        <v>242</v>
      </c>
      <c r="B305" s="200">
        <f t="shared" si="25"/>
        <v>0</v>
      </c>
      <c r="C305" s="200">
        <f t="shared" si="26"/>
        <v>0</v>
      </c>
      <c r="D305" s="200">
        <f t="shared" si="27"/>
        <v>0</v>
      </c>
      <c r="E305" s="200">
        <f t="shared" si="28"/>
        <v>0</v>
      </c>
      <c r="F305" s="199"/>
      <c r="G305" s="201">
        <v>242</v>
      </c>
      <c r="H305" s="200">
        <f t="shared" si="29"/>
        <v>0</v>
      </c>
      <c r="I305" s="200">
        <f t="shared" si="30"/>
        <v>0</v>
      </c>
      <c r="J305" s="200">
        <f t="shared" si="31"/>
        <v>0</v>
      </c>
      <c r="K305" s="200">
        <f t="shared" si="32"/>
        <v>0</v>
      </c>
      <c r="L305" s="199"/>
    </row>
    <row r="306" spans="1:12">
      <c r="A306" s="201">
        <v>243</v>
      </c>
      <c r="B306" s="200">
        <f t="shared" si="25"/>
        <v>0</v>
      </c>
      <c r="C306" s="200">
        <f t="shared" si="26"/>
        <v>0</v>
      </c>
      <c r="D306" s="200">
        <f t="shared" si="27"/>
        <v>0</v>
      </c>
      <c r="E306" s="200">
        <f t="shared" si="28"/>
        <v>0</v>
      </c>
      <c r="F306" s="199"/>
      <c r="G306" s="201">
        <v>243</v>
      </c>
      <c r="H306" s="200">
        <f t="shared" si="29"/>
        <v>0</v>
      </c>
      <c r="I306" s="200">
        <f t="shared" si="30"/>
        <v>0</v>
      </c>
      <c r="J306" s="200">
        <f t="shared" si="31"/>
        <v>0</v>
      </c>
      <c r="K306" s="200">
        <f t="shared" si="32"/>
        <v>0</v>
      </c>
      <c r="L306" s="199"/>
    </row>
    <row r="307" spans="1:12">
      <c r="A307" s="201">
        <v>244</v>
      </c>
      <c r="B307" s="200">
        <f t="shared" si="25"/>
        <v>0</v>
      </c>
      <c r="C307" s="200">
        <f t="shared" si="26"/>
        <v>0</v>
      </c>
      <c r="D307" s="200">
        <f t="shared" si="27"/>
        <v>0</v>
      </c>
      <c r="E307" s="200">
        <f t="shared" si="28"/>
        <v>0</v>
      </c>
      <c r="F307" s="199"/>
      <c r="G307" s="201">
        <v>244</v>
      </c>
      <c r="H307" s="200">
        <f t="shared" si="29"/>
        <v>0</v>
      </c>
      <c r="I307" s="200">
        <f t="shared" si="30"/>
        <v>0</v>
      </c>
      <c r="J307" s="200">
        <f t="shared" si="31"/>
        <v>0</v>
      </c>
      <c r="K307" s="200">
        <f t="shared" si="32"/>
        <v>0</v>
      </c>
      <c r="L307" s="199"/>
    </row>
    <row r="308" spans="1:12">
      <c r="A308" s="201">
        <v>245</v>
      </c>
      <c r="B308" s="200">
        <f t="shared" si="25"/>
        <v>0</v>
      </c>
      <c r="C308" s="200">
        <f t="shared" si="26"/>
        <v>0</v>
      </c>
      <c r="D308" s="200">
        <f t="shared" si="27"/>
        <v>0</v>
      </c>
      <c r="E308" s="200">
        <f t="shared" si="28"/>
        <v>0</v>
      </c>
      <c r="F308" s="199"/>
      <c r="G308" s="201">
        <v>245</v>
      </c>
      <c r="H308" s="200">
        <f t="shared" si="29"/>
        <v>0</v>
      </c>
      <c r="I308" s="200">
        <f t="shared" si="30"/>
        <v>0</v>
      </c>
      <c r="J308" s="200">
        <f t="shared" si="31"/>
        <v>0</v>
      </c>
      <c r="K308" s="200">
        <f t="shared" si="32"/>
        <v>0</v>
      </c>
      <c r="L308" s="199"/>
    </row>
    <row r="309" spans="1:12">
      <c r="A309" s="201">
        <v>246</v>
      </c>
      <c r="B309" s="200">
        <f t="shared" si="25"/>
        <v>0</v>
      </c>
      <c r="C309" s="200">
        <f t="shared" si="26"/>
        <v>0</v>
      </c>
      <c r="D309" s="200">
        <f t="shared" si="27"/>
        <v>0</v>
      </c>
      <c r="E309" s="200">
        <f t="shared" si="28"/>
        <v>0</v>
      </c>
      <c r="F309" s="199"/>
      <c r="G309" s="201">
        <v>246</v>
      </c>
      <c r="H309" s="200">
        <f t="shared" si="29"/>
        <v>0</v>
      </c>
      <c r="I309" s="200">
        <f t="shared" si="30"/>
        <v>0</v>
      </c>
      <c r="J309" s="200">
        <f t="shared" si="31"/>
        <v>0</v>
      </c>
      <c r="K309" s="200">
        <f t="shared" si="32"/>
        <v>0</v>
      </c>
      <c r="L309" s="199"/>
    </row>
    <row r="310" spans="1:12">
      <c r="A310" s="201">
        <v>247</v>
      </c>
      <c r="B310" s="200">
        <f t="shared" si="25"/>
        <v>0</v>
      </c>
      <c r="C310" s="200">
        <f t="shared" si="26"/>
        <v>0</v>
      </c>
      <c r="D310" s="200">
        <f t="shared" si="27"/>
        <v>0</v>
      </c>
      <c r="E310" s="200">
        <f t="shared" si="28"/>
        <v>0</v>
      </c>
      <c r="F310" s="199"/>
      <c r="G310" s="201">
        <v>247</v>
      </c>
      <c r="H310" s="200">
        <f t="shared" si="29"/>
        <v>0</v>
      </c>
      <c r="I310" s="200">
        <f t="shared" si="30"/>
        <v>0</v>
      </c>
      <c r="J310" s="200">
        <f t="shared" si="31"/>
        <v>0</v>
      </c>
      <c r="K310" s="200">
        <f t="shared" si="32"/>
        <v>0</v>
      </c>
      <c r="L310" s="199"/>
    </row>
    <row r="311" spans="1:12">
      <c r="A311" s="201">
        <v>248</v>
      </c>
      <c r="B311" s="200">
        <f t="shared" si="25"/>
        <v>0</v>
      </c>
      <c r="C311" s="200">
        <f t="shared" si="26"/>
        <v>0</v>
      </c>
      <c r="D311" s="200">
        <f t="shared" si="27"/>
        <v>0</v>
      </c>
      <c r="E311" s="200">
        <f t="shared" si="28"/>
        <v>0</v>
      </c>
      <c r="F311" s="199"/>
      <c r="G311" s="201">
        <v>248</v>
      </c>
      <c r="H311" s="200">
        <f t="shared" si="29"/>
        <v>0</v>
      </c>
      <c r="I311" s="200">
        <f t="shared" si="30"/>
        <v>0</v>
      </c>
      <c r="J311" s="200">
        <f t="shared" si="31"/>
        <v>0</v>
      </c>
      <c r="K311" s="200">
        <f t="shared" si="32"/>
        <v>0</v>
      </c>
      <c r="L311" s="199"/>
    </row>
    <row r="312" spans="1:12">
      <c r="A312" s="201">
        <v>249</v>
      </c>
      <c r="B312" s="200">
        <f t="shared" si="25"/>
        <v>0</v>
      </c>
      <c r="C312" s="200">
        <f t="shared" si="26"/>
        <v>0</v>
      </c>
      <c r="D312" s="200">
        <f t="shared" si="27"/>
        <v>0</v>
      </c>
      <c r="E312" s="200">
        <f t="shared" si="28"/>
        <v>0</v>
      </c>
      <c r="F312" s="199"/>
      <c r="G312" s="201">
        <v>249</v>
      </c>
      <c r="H312" s="200">
        <f t="shared" si="29"/>
        <v>0</v>
      </c>
      <c r="I312" s="200">
        <f t="shared" si="30"/>
        <v>0</v>
      </c>
      <c r="J312" s="200">
        <f t="shared" si="31"/>
        <v>0</v>
      </c>
      <c r="K312" s="200">
        <f t="shared" si="32"/>
        <v>0</v>
      </c>
      <c r="L312" s="199"/>
    </row>
    <row r="313" spans="1:12">
      <c r="A313" s="201">
        <v>250</v>
      </c>
      <c r="B313" s="200">
        <f t="shared" si="25"/>
        <v>0</v>
      </c>
      <c r="C313" s="200">
        <f t="shared" si="26"/>
        <v>0</v>
      </c>
      <c r="D313" s="200">
        <f t="shared" si="27"/>
        <v>0</v>
      </c>
      <c r="E313" s="200">
        <f t="shared" si="28"/>
        <v>0</v>
      </c>
      <c r="F313" s="199"/>
      <c r="G313" s="201">
        <v>250</v>
      </c>
      <c r="H313" s="200">
        <f t="shared" si="29"/>
        <v>0</v>
      </c>
      <c r="I313" s="200">
        <f t="shared" si="30"/>
        <v>0</v>
      </c>
      <c r="J313" s="200">
        <f t="shared" si="31"/>
        <v>0</v>
      </c>
      <c r="K313" s="200">
        <f t="shared" si="32"/>
        <v>0</v>
      </c>
      <c r="L313" s="199"/>
    </row>
    <row r="314" spans="1:12">
      <c r="A314" s="201">
        <v>251</v>
      </c>
      <c r="B314" s="200">
        <f t="shared" si="25"/>
        <v>0</v>
      </c>
      <c r="C314" s="200">
        <f t="shared" si="26"/>
        <v>0</v>
      </c>
      <c r="D314" s="200">
        <f t="shared" si="27"/>
        <v>0</v>
      </c>
      <c r="E314" s="200">
        <f t="shared" si="28"/>
        <v>0</v>
      </c>
      <c r="F314" s="199"/>
      <c r="G314" s="201">
        <v>251</v>
      </c>
      <c r="H314" s="200">
        <f t="shared" si="29"/>
        <v>0</v>
      </c>
      <c r="I314" s="200">
        <f t="shared" si="30"/>
        <v>0</v>
      </c>
      <c r="J314" s="200">
        <f t="shared" si="31"/>
        <v>0</v>
      </c>
      <c r="K314" s="200">
        <f t="shared" si="32"/>
        <v>0</v>
      </c>
      <c r="L314" s="199"/>
    </row>
    <row r="315" spans="1:12">
      <c r="A315" s="201">
        <v>252</v>
      </c>
      <c r="B315" s="200">
        <f t="shared" si="25"/>
        <v>0</v>
      </c>
      <c r="C315" s="200">
        <f t="shared" si="26"/>
        <v>0</v>
      </c>
      <c r="D315" s="200">
        <f t="shared" si="27"/>
        <v>0</v>
      </c>
      <c r="E315" s="200">
        <f t="shared" si="28"/>
        <v>0</v>
      </c>
      <c r="F315" s="199">
        <v>21</v>
      </c>
      <c r="G315" s="201">
        <v>252</v>
      </c>
      <c r="H315" s="200">
        <f t="shared" si="29"/>
        <v>0</v>
      </c>
      <c r="I315" s="200">
        <f t="shared" si="30"/>
        <v>0</v>
      </c>
      <c r="J315" s="200">
        <f t="shared" si="31"/>
        <v>0</v>
      </c>
      <c r="K315" s="200">
        <f t="shared" si="32"/>
        <v>0</v>
      </c>
      <c r="L315" s="199">
        <v>21</v>
      </c>
    </row>
    <row r="316" spans="1:12">
      <c r="A316" s="201">
        <v>253</v>
      </c>
      <c r="B316" s="200">
        <f t="shared" si="25"/>
        <v>0</v>
      </c>
      <c r="C316" s="200">
        <f t="shared" si="26"/>
        <v>0</v>
      </c>
      <c r="D316" s="200">
        <f t="shared" si="27"/>
        <v>0</v>
      </c>
      <c r="E316" s="200">
        <f t="shared" si="28"/>
        <v>0</v>
      </c>
      <c r="F316" s="199"/>
      <c r="G316" s="201">
        <v>253</v>
      </c>
      <c r="H316" s="200">
        <f t="shared" si="29"/>
        <v>0</v>
      </c>
      <c r="I316" s="200">
        <f t="shared" si="30"/>
        <v>0</v>
      </c>
      <c r="J316" s="200">
        <f t="shared" si="31"/>
        <v>0</v>
      </c>
      <c r="K316" s="200">
        <f t="shared" si="32"/>
        <v>0</v>
      </c>
      <c r="L316" s="199"/>
    </row>
    <row r="317" spans="1:12">
      <c r="A317" s="201">
        <v>254</v>
      </c>
      <c r="B317" s="200">
        <f t="shared" si="25"/>
        <v>0</v>
      </c>
      <c r="C317" s="200">
        <f t="shared" si="26"/>
        <v>0</v>
      </c>
      <c r="D317" s="200">
        <f t="shared" si="27"/>
        <v>0</v>
      </c>
      <c r="E317" s="200">
        <f t="shared" si="28"/>
        <v>0</v>
      </c>
      <c r="F317" s="199"/>
      <c r="G317" s="201">
        <v>254</v>
      </c>
      <c r="H317" s="200">
        <f t="shared" si="29"/>
        <v>0</v>
      </c>
      <c r="I317" s="200">
        <f t="shared" si="30"/>
        <v>0</v>
      </c>
      <c r="J317" s="200">
        <f t="shared" si="31"/>
        <v>0</v>
      </c>
      <c r="K317" s="200">
        <f t="shared" si="32"/>
        <v>0</v>
      </c>
      <c r="L317" s="199"/>
    </row>
    <row r="318" spans="1:12">
      <c r="A318" s="201">
        <v>255</v>
      </c>
      <c r="B318" s="200">
        <f t="shared" si="25"/>
        <v>0</v>
      </c>
      <c r="C318" s="200">
        <f t="shared" si="26"/>
        <v>0</v>
      </c>
      <c r="D318" s="200">
        <f t="shared" si="27"/>
        <v>0</v>
      </c>
      <c r="E318" s="200">
        <f t="shared" si="28"/>
        <v>0</v>
      </c>
      <c r="F318" s="199"/>
      <c r="G318" s="201">
        <v>255</v>
      </c>
      <c r="H318" s="200">
        <f t="shared" si="29"/>
        <v>0</v>
      </c>
      <c r="I318" s="200">
        <f t="shared" si="30"/>
        <v>0</v>
      </c>
      <c r="J318" s="200">
        <f t="shared" si="31"/>
        <v>0</v>
      </c>
      <c r="K318" s="200">
        <f t="shared" si="32"/>
        <v>0</v>
      </c>
      <c r="L318" s="199"/>
    </row>
    <row r="319" spans="1:12">
      <c r="A319" s="201">
        <v>256</v>
      </c>
      <c r="B319" s="200">
        <f t="shared" si="25"/>
        <v>0</v>
      </c>
      <c r="C319" s="200">
        <f t="shared" si="26"/>
        <v>0</v>
      </c>
      <c r="D319" s="200">
        <f t="shared" si="27"/>
        <v>0</v>
      </c>
      <c r="E319" s="200">
        <f t="shared" si="28"/>
        <v>0</v>
      </c>
      <c r="F319" s="199"/>
      <c r="G319" s="201">
        <v>256</v>
      </c>
      <c r="H319" s="200">
        <f t="shared" si="29"/>
        <v>0</v>
      </c>
      <c r="I319" s="200">
        <f t="shared" si="30"/>
        <v>0</v>
      </c>
      <c r="J319" s="200">
        <f t="shared" si="31"/>
        <v>0</v>
      </c>
      <c r="K319" s="200">
        <f t="shared" si="32"/>
        <v>0</v>
      </c>
      <c r="L319" s="199"/>
    </row>
    <row r="320" spans="1:12">
      <c r="A320" s="201">
        <v>257</v>
      </c>
      <c r="B320" s="200">
        <f t="shared" ref="B320:B383" si="33">IF(A320&gt;12*$C$9,0,IF($C$5&gt;1500000,$D$12,$C$12))</f>
        <v>0</v>
      </c>
      <c r="C320" s="200">
        <f t="shared" ref="C320:C383" si="34">IF(A320&gt;12*$C$9,0,E319*$C$7/12)</f>
        <v>0</v>
      </c>
      <c r="D320" s="200">
        <f t="shared" ref="D320:D383" si="35">IF(A320&gt;12*$C$9,0,B320-C320)</f>
        <v>0</v>
      </c>
      <c r="E320" s="200">
        <f t="shared" ref="E320:E383" si="36">IF(A320&gt;12*$C$9,0,E319-D320)</f>
        <v>0</v>
      </c>
      <c r="F320" s="199"/>
      <c r="G320" s="201">
        <v>257</v>
      </c>
      <c r="H320" s="200">
        <f t="shared" ref="H320:H383" si="37">IF(G320&gt;12*$C$9,0,IF($C$5&gt;1500000,$E$12,0))</f>
        <v>0</v>
      </c>
      <c r="I320" s="200">
        <f t="shared" ref="I320:I383" si="38">IF(G320&gt;12*$C$9,0,K319*$C$7/12)</f>
        <v>0</v>
      </c>
      <c r="J320" s="200">
        <f t="shared" ref="J320:J383" si="39">IF(G320&gt;12*$C$9,0,H320-I320)</f>
        <v>0</v>
      </c>
      <c r="K320" s="200">
        <f t="shared" ref="K320:K383" si="40">IF(G320&gt;12*$C$9,0,K319-J320)</f>
        <v>0</v>
      </c>
      <c r="L320" s="199"/>
    </row>
    <row r="321" spans="1:12">
      <c r="A321" s="201">
        <v>258</v>
      </c>
      <c r="B321" s="200">
        <f t="shared" si="33"/>
        <v>0</v>
      </c>
      <c r="C321" s="200">
        <f t="shared" si="34"/>
        <v>0</v>
      </c>
      <c r="D321" s="200">
        <f t="shared" si="35"/>
        <v>0</v>
      </c>
      <c r="E321" s="200">
        <f t="shared" si="36"/>
        <v>0</v>
      </c>
      <c r="F321" s="199"/>
      <c r="G321" s="201">
        <v>258</v>
      </c>
      <c r="H321" s="200">
        <f t="shared" si="37"/>
        <v>0</v>
      </c>
      <c r="I321" s="200">
        <f t="shared" si="38"/>
        <v>0</v>
      </c>
      <c r="J321" s="200">
        <f t="shared" si="39"/>
        <v>0</v>
      </c>
      <c r="K321" s="200">
        <f t="shared" si="40"/>
        <v>0</v>
      </c>
      <c r="L321" s="199"/>
    </row>
    <row r="322" spans="1:12">
      <c r="A322" s="201">
        <v>259</v>
      </c>
      <c r="B322" s="200">
        <f t="shared" si="33"/>
        <v>0</v>
      </c>
      <c r="C322" s="200">
        <f t="shared" si="34"/>
        <v>0</v>
      </c>
      <c r="D322" s="200">
        <f t="shared" si="35"/>
        <v>0</v>
      </c>
      <c r="E322" s="200">
        <f t="shared" si="36"/>
        <v>0</v>
      </c>
      <c r="F322" s="199"/>
      <c r="G322" s="201">
        <v>259</v>
      </c>
      <c r="H322" s="200">
        <f t="shared" si="37"/>
        <v>0</v>
      </c>
      <c r="I322" s="200">
        <f t="shared" si="38"/>
        <v>0</v>
      </c>
      <c r="J322" s="200">
        <f t="shared" si="39"/>
        <v>0</v>
      </c>
      <c r="K322" s="200">
        <f t="shared" si="40"/>
        <v>0</v>
      </c>
      <c r="L322" s="199"/>
    </row>
    <row r="323" spans="1:12">
      <c r="A323" s="201">
        <v>260</v>
      </c>
      <c r="B323" s="200">
        <f t="shared" si="33"/>
        <v>0</v>
      </c>
      <c r="C323" s="200">
        <f t="shared" si="34"/>
        <v>0</v>
      </c>
      <c r="D323" s="200">
        <f t="shared" si="35"/>
        <v>0</v>
      </c>
      <c r="E323" s="200">
        <f t="shared" si="36"/>
        <v>0</v>
      </c>
      <c r="F323" s="199"/>
      <c r="G323" s="201">
        <v>260</v>
      </c>
      <c r="H323" s="200">
        <f t="shared" si="37"/>
        <v>0</v>
      </c>
      <c r="I323" s="200">
        <f t="shared" si="38"/>
        <v>0</v>
      </c>
      <c r="J323" s="200">
        <f t="shared" si="39"/>
        <v>0</v>
      </c>
      <c r="K323" s="200">
        <f t="shared" si="40"/>
        <v>0</v>
      </c>
      <c r="L323" s="199"/>
    </row>
    <row r="324" spans="1:12">
      <c r="A324" s="201">
        <v>261</v>
      </c>
      <c r="B324" s="200">
        <f t="shared" si="33"/>
        <v>0</v>
      </c>
      <c r="C324" s="200">
        <f t="shared" si="34"/>
        <v>0</v>
      </c>
      <c r="D324" s="200">
        <f t="shared" si="35"/>
        <v>0</v>
      </c>
      <c r="E324" s="200">
        <f t="shared" si="36"/>
        <v>0</v>
      </c>
      <c r="F324" s="199"/>
      <c r="G324" s="201">
        <v>261</v>
      </c>
      <c r="H324" s="200">
        <f t="shared" si="37"/>
        <v>0</v>
      </c>
      <c r="I324" s="200">
        <f t="shared" si="38"/>
        <v>0</v>
      </c>
      <c r="J324" s="200">
        <f t="shared" si="39"/>
        <v>0</v>
      </c>
      <c r="K324" s="200">
        <f t="shared" si="40"/>
        <v>0</v>
      </c>
      <c r="L324" s="199"/>
    </row>
    <row r="325" spans="1:12">
      <c r="A325" s="201">
        <v>262</v>
      </c>
      <c r="B325" s="200">
        <f t="shared" si="33"/>
        <v>0</v>
      </c>
      <c r="C325" s="200">
        <f t="shared" si="34"/>
        <v>0</v>
      </c>
      <c r="D325" s="200">
        <f t="shared" si="35"/>
        <v>0</v>
      </c>
      <c r="E325" s="200">
        <f t="shared" si="36"/>
        <v>0</v>
      </c>
      <c r="F325" s="199"/>
      <c r="G325" s="201">
        <v>262</v>
      </c>
      <c r="H325" s="200">
        <f t="shared" si="37"/>
        <v>0</v>
      </c>
      <c r="I325" s="200">
        <f t="shared" si="38"/>
        <v>0</v>
      </c>
      <c r="J325" s="200">
        <f t="shared" si="39"/>
        <v>0</v>
      </c>
      <c r="K325" s="200">
        <f t="shared" si="40"/>
        <v>0</v>
      </c>
      <c r="L325" s="199"/>
    </row>
    <row r="326" spans="1:12">
      <c r="A326" s="201">
        <v>263</v>
      </c>
      <c r="B326" s="200">
        <f t="shared" si="33"/>
        <v>0</v>
      </c>
      <c r="C326" s="200">
        <f t="shared" si="34"/>
        <v>0</v>
      </c>
      <c r="D326" s="200">
        <f t="shared" si="35"/>
        <v>0</v>
      </c>
      <c r="E326" s="200">
        <f t="shared" si="36"/>
        <v>0</v>
      </c>
      <c r="F326" s="199"/>
      <c r="G326" s="201">
        <v>263</v>
      </c>
      <c r="H326" s="200">
        <f t="shared" si="37"/>
        <v>0</v>
      </c>
      <c r="I326" s="200">
        <f t="shared" si="38"/>
        <v>0</v>
      </c>
      <c r="J326" s="200">
        <f t="shared" si="39"/>
        <v>0</v>
      </c>
      <c r="K326" s="200">
        <f t="shared" si="40"/>
        <v>0</v>
      </c>
      <c r="L326" s="199"/>
    </row>
    <row r="327" spans="1:12">
      <c r="A327" s="201">
        <v>264</v>
      </c>
      <c r="B327" s="200">
        <f t="shared" si="33"/>
        <v>0</v>
      </c>
      <c r="C327" s="200">
        <f t="shared" si="34"/>
        <v>0</v>
      </c>
      <c r="D327" s="200">
        <f t="shared" si="35"/>
        <v>0</v>
      </c>
      <c r="E327" s="200">
        <f t="shared" si="36"/>
        <v>0</v>
      </c>
      <c r="F327" s="199">
        <v>22</v>
      </c>
      <c r="G327" s="201">
        <v>264</v>
      </c>
      <c r="H327" s="200">
        <f t="shared" si="37"/>
        <v>0</v>
      </c>
      <c r="I327" s="200">
        <f t="shared" si="38"/>
        <v>0</v>
      </c>
      <c r="J327" s="200">
        <f t="shared" si="39"/>
        <v>0</v>
      </c>
      <c r="K327" s="200">
        <f t="shared" si="40"/>
        <v>0</v>
      </c>
      <c r="L327" s="199">
        <v>22</v>
      </c>
    </row>
    <row r="328" spans="1:12">
      <c r="A328" s="201">
        <v>265</v>
      </c>
      <c r="B328" s="200">
        <f t="shared" si="33"/>
        <v>0</v>
      </c>
      <c r="C328" s="200">
        <f t="shared" si="34"/>
        <v>0</v>
      </c>
      <c r="D328" s="200">
        <f t="shared" si="35"/>
        <v>0</v>
      </c>
      <c r="E328" s="200">
        <f t="shared" si="36"/>
        <v>0</v>
      </c>
      <c r="F328" s="199"/>
      <c r="G328" s="201">
        <v>265</v>
      </c>
      <c r="H328" s="200">
        <f t="shared" si="37"/>
        <v>0</v>
      </c>
      <c r="I328" s="200">
        <f t="shared" si="38"/>
        <v>0</v>
      </c>
      <c r="J328" s="200">
        <f t="shared" si="39"/>
        <v>0</v>
      </c>
      <c r="K328" s="200">
        <f t="shared" si="40"/>
        <v>0</v>
      </c>
      <c r="L328" s="199"/>
    </row>
    <row r="329" spans="1:12">
      <c r="A329" s="201">
        <v>266</v>
      </c>
      <c r="B329" s="200">
        <f t="shared" si="33"/>
        <v>0</v>
      </c>
      <c r="C329" s="200">
        <f t="shared" si="34"/>
        <v>0</v>
      </c>
      <c r="D329" s="200">
        <f t="shared" si="35"/>
        <v>0</v>
      </c>
      <c r="E329" s="200">
        <f t="shared" si="36"/>
        <v>0</v>
      </c>
      <c r="F329" s="199"/>
      <c r="G329" s="201">
        <v>266</v>
      </c>
      <c r="H329" s="200">
        <f t="shared" si="37"/>
        <v>0</v>
      </c>
      <c r="I329" s="200">
        <f t="shared" si="38"/>
        <v>0</v>
      </c>
      <c r="J329" s="200">
        <f t="shared" si="39"/>
        <v>0</v>
      </c>
      <c r="K329" s="200">
        <f t="shared" si="40"/>
        <v>0</v>
      </c>
      <c r="L329" s="199"/>
    </row>
    <row r="330" spans="1:12">
      <c r="A330" s="201">
        <v>267</v>
      </c>
      <c r="B330" s="200">
        <f t="shared" si="33"/>
        <v>0</v>
      </c>
      <c r="C330" s="200">
        <f t="shared" si="34"/>
        <v>0</v>
      </c>
      <c r="D330" s="200">
        <f t="shared" si="35"/>
        <v>0</v>
      </c>
      <c r="E330" s="200">
        <f t="shared" si="36"/>
        <v>0</v>
      </c>
      <c r="F330" s="199"/>
      <c r="G330" s="201">
        <v>267</v>
      </c>
      <c r="H330" s="200">
        <f t="shared" si="37"/>
        <v>0</v>
      </c>
      <c r="I330" s="200">
        <f t="shared" si="38"/>
        <v>0</v>
      </c>
      <c r="J330" s="200">
        <f t="shared" si="39"/>
        <v>0</v>
      </c>
      <c r="K330" s="200">
        <f t="shared" si="40"/>
        <v>0</v>
      </c>
      <c r="L330" s="199"/>
    </row>
    <row r="331" spans="1:12">
      <c r="A331" s="201">
        <v>268</v>
      </c>
      <c r="B331" s="200">
        <f t="shared" si="33"/>
        <v>0</v>
      </c>
      <c r="C331" s="200">
        <f t="shared" si="34"/>
        <v>0</v>
      </c>
      <c r="D331" s="200">
        <f t="shared" si="35"/>
        <v>0</v>
      </c>
      <c r="E331" s="200">
        <f t="shared" si="36"/>
        <v>0</v>
      </c>
      <c r="F331" s="199"/>
      <c r="G331" s="201">
        <v>268</v>
      </c>
      <c r="H331" s="200">
        <f t="shared" si="37"/>
        <v>0</v>
      </c>
      <c r="I331" s="200">
        <f t="shared" si="38"/>
        <v>0</v>
      </c>
      <c r="J331" s="200">
        <f t="shared" si="39"/>
        <v>0</v>
      </c>
      <c r="K331" s="200">
        <f t="shared" si="40"/>
        <v>0</v>
      </c>
      <c r="L331" s="199"/>
    </row>
    <row r="332" spans="1:12">
      <c r="A332" s="201">
        <v>269</v>
      </c>
      <c r="B332" s="200">
        <f t="shared" si="33"/>
        <v>0</v>
      </c>
      <c r="C332" s="200">
        <f t="shared" si="34"/>
        <v>0</v>
      </c>
      <c r="D332" s="200">
        <f t="shared" si="35"/>
        <v>0</v>
      </c>
      <c r="E332" s="200">
        <f t="shared" si="36"/>
        <v>0</v>
      </c>
      <c r="F332" s="199"/>
      <c r="G332" s="201">
        <v>269</v>
      </c>
      <c r="H332" s="200">
        <f t="shared" si="37"/>
        <v>0</v>
      </c>
      <c r="I332" s="200">
        <f t="shared" si="38"/>
        <v>0</v>
      </c>
      <c r="J332" s="200">
        <f t="shared" si="39"/>
        <v>0</v>
      </c>
      <c r="K332" s="200">
        <f t="shared" si="40"/>
        <v>0</v>
      </c>
      <c r="L332" s="199"/>
    </row>
    <row r="333" spans="1:12">
      <c r="A333" s="201">
        <v>270</v>
      </c>
      <c r="B333" s="200">
        <f t="shared" si="33"/>
        <v>0</v>
      </c>
      <c r="C333" s="200">
        <f t="shared" si="34"/>
        <v>0</v>
      </c>
      <c r="D333" s="200">
        <f t="shared" si="35"/>
        <v>0</v>
      </c>
      <c r="E333" s="200">
        <f t="shared" si="36"/>
        <v>0</v>
      </c>
      <c r="F333" s="199"/>
      <c r="G333" s="201">
        <v>270</v>
      </c>
      <c r="H333" s="200">
        <f t="shared" si="37"/>
        <v>0</v>
      </c>
      <c r="I333" s="200">
        <f t="shared" si="38"/>
        <v>0</v>
      </c>
      <c r="J333" s="200">
        <f t="shared" si="39"/>
        <v>0</v>
      </c>
      <c r="K333" s="200">
        <f t="shared" si="40"/>
        <v>0</v>
      </c>
      <c r="L333" s="199"/>
    </row>
    <row r="334" spans="1:12">
      <c r="A334" s="201">
        <v>271</v>
      </c>
      <c r="B334" s="200">
        <f t="shared" si="33"/>
        <v>0</v>
      </c>
      <c r="C334" s="200">
        <f t="shared" si="34"/>
        <v>0</v>
      </c>
      <c r="D334" s="200">
        <f t="shared" si="35"/>
        <v>0</v>
      </c>
      <c r="E334" s="200">
        <f t="shared" si="36"/>
        <v>0</v>
      </c>
      <c r="F334" s="199"/>
      <c r="G334" s="201">
        <v>271</v>
      </c>
      <c r="H334" s="200">
        <f t="shared" si="37"/>
        <v>0</v>
      </c>
      <c r="I334" s="200">
        <f t="shared" si="38"/>
        <v>0</v>
      </c>
      <c r="J334" s="200">
        <f t="shared" si="39"/>
        <v>0</v>
      </c>
      <c r="K334" s="200">
        <f t="shared" si="40"/>
        <v>0</v>
      </c>
      <c r="L334" s="199"/>
    </row>
    <row r="335" spans="1:12">
      <c r="A335" s="201">
        <v>272</v>
      </c>
      <c r="B335" s="200">
        <f t="shared" si="33"/>
        <v>0</v>
      </c>
      <c r="C335" s="200">
        <f t="shared" si="34"/>
        <v>0</v>
      </c>
      <c r="D335" s="200">
        <f t="shared" si="35"/>
        <v>0</v>
      </c>
      <c r="E335" s="200">
        <f t="shared" si="36"/>
        <v>0</v>
      </c>
      <c r="F335" s="199"/>
      <c r="G335" s="201">
        <v>272</v>
      </c>
      <c r="H335" s="200">
        <f t="shared" si="37"/>
        <v>0</v>
      </c>
      <c r="I335" s="200">
        <f t="shared" si="38"/>
        <v>0</v>
      </c>
      <c r="J335" s="200">
        <f t="shared" si="39"/>
        <v>0</v>
      </c>
      <c r="K335" s="200">
        <f t="shared" si="40"/>
        <v>0</v>
      </c>
      <c r="L335" s="199"/>
    </row>
    <row r="336" spans="1:12">
      <c r="A336" s="201">
        <v>273</v>
      </c>
      <c r="B336" s="200">
        <f t="shared" si="33"/>
        <v>0</v>
      </c>
      <c r="C336" s="200">
        <f t="shared" si="34"/>
        <v>0</v>
      </c>
      <c r="D336" s="200">
        <f t="shared" si="35"/>
        <v>0</v>
      </c>
      <c r="E336" s="200">
        <f t="shared" si="36"/>
        <v>0</v>
      </c>
      <c r="F336" s="199"/>
      <c r="G336" s="201">
        <v>273</v>
      </c>
      <c r="H336" s="200">
        <f t="shared" si="37"/>
        <v>0</v>
      </c>
      <c r="I336" s="200">
        <f t="shared" si="38"/>
        <v>0</v>
      </c>
      <c r="J336" s="200">
        <f t="shared" si="39"/>
        <v>0</v>
      </c>
      <c r="K336" s="200">
        <f t="shared" si="40"/>
        <v>0</v>
      </c>
      <c r="L336" s="199"/>
    </row>
    <row r="337" spans="1:12">
      <c r="A337" s="201">
        <v>274</v>
      </c>
      <c r="B337" s="200">
        <f t="shared" si="33"/>
        <v>0</v>
      </c>
      <c r="C337" s="200">
        <f t="shared" si="34"/>
        <v>0</v>
      </c>
      <c r="D337" s="200">
        <f t="shared" si="35"/>
        <v>0</v>
      </c>
      <c r="E337" s="200">
        <f t="shared" si="36"/>
        <v>0</v>
      </c>
      <c r="F337" s="199"/>
      <c r="G337" s="201">
        <v>274</v>
      </c>
      <c r="H337" s="200">
        <f t="shared" si="37"/>
        <v>0</v>
      </c>
      <c r="I337" s="200">
        <f t="shared" si="38"/>
        <v>0</v>
      </c>
      <c r="J337" s="200">
        <f t="shared" si="39"/>
        <v>0</v>
      </c>
      <c r="K337" s="200">
        <f t="shared" si="40"/>
        <v>0</v>
      </c>
      <c r="L337" s="199"/>
    </row>
    <row r="338" spans="1:12">
      <c r="A338" s="201">
        <v>275</v>
      </c>
      <c r="B338" s="200">
        <f t="shared" si="33"/>
        <v>0</v>
      </c>
      <c r="C338" s="200">
        <f t="shared" si="34"/>
        <v>0</v>
      </c>
      <c r="D338" s="200">
        <f t="shared" si="35"/>
        <v>0</v>
      </c>
      <c r="E338" s="200">
        <f t="shared" si="36"/>
        <v>0</v>
      </c>
      <c r="F338" s="199"/>
      <c r="G338" s="201">
        <v>275</v>
      </c>
      <c r="H338" s="200">
        <f t="shared" si="37"/>
        <v>0</v>
      </c>
      <c r="I338" s="200">
        <f t="shared" si="38"/>
        <v>0</v>
      </c>
      <c r="J338" s="200">
        <f t="shared" si="39"/>
        <v>0</v>
      </c>
      <c r="K338" s="200">
        <f t="shared" si="40"/>
        <v>0</v>
      </c>
      <c r="L338" s="199"/>
    </row>
    <row r="339" spans="1:12">
      <c r="A339" s="201">
        <v>276</v>
      </c>
      <c r="B339" s="200">
        <f t="shared" si="33"/>
        <v>0</v>
      </c>
      <c r="C339" s="200">
        <f t="shared" si="34"/>
        <v>0</v>
      </c>
      <c r="D339" s="200">
        <f t="shared" si="35"/>
        <v>0</v>
      </c>
      <c r="E339" s="200">
        <f t="shared" si="36"/>
        <v>0</v>
      </c>
      <c r="F339" s="199">
        <v>23</v>
      </c>
      <c r="G339" s="201">
        <v>276</v>
      </c>
      <c r="H339" s="200">
        <f t="shared" si="37"/>
        <v>0</v>
      </c>
      <c r="I339" s="200">
        <f t="shared" si="38"/>
        <v>0</v>
      </c>
      <c r="J339" s="200">
        <f t="shared" si="39"/>
        <v>0</v>
      </c>
      <c r="K339" s="200">
        <f t="shared" si="40"/>
        <v>0</v>
      </c>
      <c r="L339" s="199">
        <v>23</v>
      </c>
    </row>
    <row r="340" spans="1:12">
      <c r="A340" s="201">
        <v>277</v>
      </c>
      <c r="B340" s="200">
        <f t="shared" si="33"/>
        <v>0</v>
      </c>
      <c r="C340" s="200">
        <f t="shared" si="34"/>
        <v>0</v>
      </c>
      <c r="D340" s="200">
        <f t="shared" si="35"/>
        <v>0</v>
      </c>
      <c r="E340" s="200">
        <f t="shared" si="36"/>
        <v>0</v>
      </c>
      <c r="F340" s="199"/>
      <c r="G340" s="201">
        <v>277</v>
      </c>
      <c r="H340" s="200">
        <f t="shared" si="37"/>
        <v>0</v>
      </c>
      <c r="I340" s="200">
        <f t="shared" si="38"/>
        <v>0</v>
      </c>
      <c r="J340" s="200">
        <f t="shared" si="39"/>
        <v>0</v>
      </c>
      <c r="K340" s="200">
        <f t="shared" si="40"/>
        <v>0</v>
      </c>
      <c r="L340" s="199"/>
    </row>
    <row r="341" spans="1:12">
      <c r="A341" s="201">
        <v>278</v>
      </c>
      <c r="B341" s="200">
        <f t="shared" si="33"/>
        <v>0</v>
      </c>
      <c r="C341" s="200">
        <f t="shared" si="34"/>
        <v>0</v>
      </c>
      <c r="D341" s="200">
        <f t="shared" si="35"/>
        <v>0</v>
      </c>
      <c r="E341" s="200">
        <f t="shared" si="36"/>
        <v>0</v>
      </c>
      <c r="F341" s="199"/>
      <c r="G341" s="201">
        <v>278</v>
      </c>
      <c r="H341" s="200">
        <f t="shared" si="37"/>
        <v>0</v>
      </c>
      <c r="I341" s="200">
        <f t="shared" si="38"/>
        <v>0</v>
      </c>
      <c r="J341" s="200">
        <f t="shared" si="39"/>
        <v>0</v>
      </c>
      <c r="K341" s="200">
        <f t="shared" si="40"/>
        <v>0</v>
      </c>
      <c r="L341" s="199"/>
    </row>
    <row r="342" spans="1:12">
      <c r="A342" s="201">
        <v>279</v>
      </c>
      <c r="B342" s="200">
        <f t="shared" si="33"/>
        <v>0</v>
      </c>
      <c r="C342" s="200">
        <f t="shared" si="34"/>
        <v>0</v>
      </c>
      <c r="D342" s="200">
        <f t="shared" si="35"/>
        <v>0</v>
      </c>
      <c r="E342" s="200">
        <f t="shared" si="36"/>
        <v>0</v>
      </c>
      <c r="F342" s="199"/>
      <c r="G342" s="201">
        <v>279</v>
      </c>
      <c r="H342" s="200">
        <f t="shared" si="37"/>
        <v>0</v>
      </c>
      <c r="I342" s="200">
        <f t="shared" si="38"/>
        <v>0</v>
      </c>
      <c r="J342" s="200">
        <f t="shared" si="39"/>
        <v>0</v>
      </c>
      <c r="K342" s="200">
        <f t="shared" si="40"/>
        <v>0</v>
      </c>
      <c r="L342" s="199"/>
    </row>
    <row r="343" spans="1:12">
      <c r="A343" s="201">
        <v>280</v>
      </c>
      <c r="B343" s="200">
        <f t="shared" si="33"/>
        <v>0</v>
      </c>
      <c r="C343" s="200">
        <f t="shared" si="34"/>
        <v>0</v>
      </c>
      <c r="D343" s="200">
        <f t="shared" si="35"/>
        <v>0</v>
      </c>
      <c r="E343" s="200">
        <f t="shared" si="36"/>
        <v>0</v>
      </c>
      <c r="F343" s="199"/>
      <c r="G343" s="201">
        <v>280</v>
      </c>
      <c r="H343" s="200">
        <f t="shared" si="37"/>
        <v>0</v>
      </c>
      <c r="I343" s="200">
        <f t="shared" si="38"/>
        <v>0</v>
      </c>
      <c r="J343" s="200">
        <f t="shared" si="39"/>
        <v>0</v>
      </c>
      <c r="K343" s="200">
        <f t="shared" si="40"/>
        <v>0</v>
      </c>
      <c r="L343" s="199"/>
    </row>
    <row r="344" spans="1:12">
      <c r="A344" s="201">
        <v>281</v>
      </c>
      <c r="B344" s="200">
        <f t="shared" si="33"/>
        <v>0</v>
      </c>
      <c r="C344" s="200">
        <f t="shared" si="34"/>
        <v>0</v>
      </c>
      <c r="D344" s="200">
        <f t="shared" si="35"/>
        <v>0</v>
      </c>
      <c r="E344" s="200">
        <f t="shared" si="36"/>
        <v>0</v>
      </c>
      <c r="F344" s="199"/>
      <c r="G344" s="201">
        <v>281</v>
      </c>
      <c r="H344" s="200">
        <f t="shared" si="37"/>
        <v>0</v>
      </c>
      <c r="I344" s="200">
        <f t="shared" si="38"/>
        <v>0</v>
      </c>
      <c r="J344" s="200">
        <f t="shared" si="39"/>
        <v>0</v>
      </c>
      <c r="K344" s="200">
        <f t="shared" si="40"/>
        <v>0</v>
      </c>
      <c r="L344" s="199"/>
    </row>
    <row r="345" spans="1:12">
      <c r="A345" s="201">
        <v>282</v>
      </c>
      <c r="B345" s="200">
        <f t="shared" si="33"/>
        <v>0</v>
      </c>
      <c r="C345" s="200">
        <f t="shared" si="34"/>
        <v>0</v>
      </c>
      <c r="D345" s="200">
        <f t="shared" si="35"/>
        <v>0</v>
      </c>
      <c r="E345" s="200">
        <f t="shared" si="36"/>
        <v>0</v>
      </c>
      <c r="F345" s="199"/>
      <c r="G345" s="201">
        <v>282</v>
      </c>
      <c r="H345" s="200">
        <f t="shared" si="37"/>
        <v>0</v>
      </c>
      <c r="I345" s="200">
        <f t="shared" si="38"/>
        <v>0</v>
      </c>
      <c r="J345" s="200">
        <f t="shared" si="39"/>
        <v>0</v>
      </c>
      <c r="K345" s="200">
        <f t="shared" si="40"/>
        <v>0</v>
      </c>
      <c r="L345" s="199"/>
    </row>
    <row r="346" spans="1:12">
      <c r="A346" s="201">
        <v>283</v>
      </c>
      <c r="B346" s="200">
        <f t="shared" si="33"/>
        <v>0</v>
      </c>
      <c r="C346" s="200">
        <f t="shared" si="34"/>
        <v>0</v>
      </c>
      <c r="D346" s="200">
        <f t="shared" si="35"/>
        <v>0</v>
      </c>
      <c r="E346" s="200">
        <f t="shared" si="36"/>
        <v>0</v>
      </c>
      <c r="F346" s="199"/>
      <c r="G346" s="201">
        <v>283</v>
      </c>
      <c r="H346" s="200">
        <f t="shared" si="37"/>
        <v>0</v>
      </c>
      <c r="I346" s="200">
        <f t="shared" si="38"/>
        <v>0</v>
      </c>
      <c r="J346" s="200">
        <f t="shared" si="39"/>
        <v>0</v>
      </c>
      <c r="K346" s="200">
        <f t="shared" si="40"/>
        <v>0</v>
      </c>
      <c r="L346" s="199"/>
    </row>
    <row r="347" spans="1:12">
      <c r="A347" s="201">
        <v>284</v>
      </c>
      <c r="B347" s="200">
        <f t="shared" si="33"/>
        <v>0</v>
      </c>
      <c r="C347" s="200">
        <f t="shared" si="34"/>
        <v>0</v>
      </c>
      <c r="D347" s="200">
        <f t="shared" si="35"/>
        <v>0</v>
      </c>
      <c r="E347" s="200">
        <f t="shared" si="36"/>
        <v>0</v>
      </c>
      <c r="F347" s="199"/>
      <c r="G347" s="201">
        <v>284</v>
      </c>
      <c r="H347" s="200">
        <f t="shared" si="37"/>
        <v>0</v>
      </c>
      <c r="I347" s="200">
        <f t="shared" si="38"/>
        <v>0</v>
      </c>
      <c r="J347" s="200">
        <f t="shared" si="39"/>
        <v>0</v>
      </c>
      <c r="K347" s="200">
        <f t="shared" si="40"/>
        <v>0</v>
      </c>
      <c r="L347" s="199"/>
    </row>
    <row r="348" spans="1:12">
      <c r="A348" s="201">
        <v>285</v>
      </c>
      <c r="B348" s="200">
        <f t="shared" si="33"/>
        <v>0</v>
      </c>
      <c r="C348" s="200">
        <f t="shared" si="34"/>
        <v>0</v>
      </c>
      <c r="D348" s="200">
        <f t="shared" si="35"/>
        <v>0</v>
      </c>
      <c r="E348" s="200">
        <f t="shared" si="36"/>
        <v>0</v>
      </c>
      <c r="F348" s="199"/>
      <c r="G348" s="201">
        <v>285</v>
      </c>
      <c r="H348" s="200">
        <f t="shared" si="37"/>
        <v>0</v>
      </c>
      <c r="I348" s="200">
        <f t="shared" si="38"/>
        <v>0</v>
      </c>
      <c r="J348" s="200">
        <f t="shared" si="39"/>
        <v>0</v>
      </c>
      <c r="K348" s="200">
        <f t="shared" si="40"/>
        <v>0</v>
      </c>
      <c r="L348" s="199"/>
    </row>
    <row r="349" spans="1:12">
      <c r="A349" s="201">
        <v>286</v>
      </c>
      <c r="B349" s="200">
        <f t="shared" si="33"/>
        <v>0</v>
      </c>
      <c r="C349" s="200">
        <f t="shared" si="34"/>
        <v>0</v>
      </c>
      <c r="D349" s="200">
        <f t="shared" si="35"/>
        <v>0</v>
      </c>
      <c r="E349" s="200">
        <f t="shared" si="36"/>
        <v>0</v>
      </c>
      <c r="F349" s="199"/>
      <c r="G349" s="201">
        <v>286</v>
      </c>
      <c r="H349" s="200">
        <f t="shared" si="37"/>
        <v>0</v>
      </c>
      <c r="I349" s="200">
        <f t="shared" si="38"/>
        <v>0</v>
      </c>
      <c r="J349" s="200">
        <f t="shared" si="39"/>
        <v>0</v>
      </c>
      <c r="K349" s="200">
        <f t="shared" si="40"/>
        <v>0</v>
      </c>
      <c r="L349" s="199"/>
    </row>
    <row r="350" spans="1:12">
      <c r="A350" s="201">
        <v>287</v>
      </c>
      <c r="B350" s="200">
        <f t="shared" si="33"/>
        <v>0</v>
      </c>
      <c r="C350" s="200">
        <f t="shared" si="34"/>
        <v>0</v>
      </c>
      <c r="D350" s="200">
        <f t="shared" si="35"/>
        <v>0</v>
      </c>
      <c r="E350" s="200">
        <f t="shared" si="36"/>
        <v>0</v>
      </c>
      <c r="F350" s="199"/>
      <c r="G350" s="201">
        <v>287</v>
      </c>
      <c r="H350" s="200">
        <f t="shared" si="37"/>
        <v>0</v>
      </c>
      <c r="I350" s="200">
        <f t="shared" si="38"/>
        <v>0</v>
      </c>
      <c r="J350" s="200">
        <f t="shared" si="39"/>
        <v>0</v>
      </c>
      <c r="K350" s="200">
        <f t="shared" si="40"/>
        <v>0</v>
      </c>
      <c r="L350" s="199"/>
    </row>
    <row r="351" spans="1:12">
      <c r="A351" s="201">
        <v>288</v>
      </c>
      <c r="B351" s="200">
        <f t="shared" si="33"/>
        <v>0</v>
      </c>
      <c r="C351" s="200">
        <f t="shared" si="34"/>
        <v>0</v>
      </c>
      <c r="D351" s="200">
        <f t="shared" si="35"/>
        <v>0</v>
      </c>
      <c r="E351" s="200">
        <f t="shared" si="36"/>
        <v>0</v>
      </c>
      <c r="F351" s="199">
        <v>24</v>
      </c>
      <c r="G351" s="201">
        <v>288</v>
      </c>
      <c r="H351" s="200">
        <f t="shared" si="37"/>
        <v>0</v>
      </c>
      <c r="I351" s="200">
        <f t="shared" si="38"/>
        <v>0</v>
      </c>
      <c r="J351" s="200">
        <f t="shared" si="39"/>
        <v>0</v>
      </c>
      <c r="K351" s="200">
        <f t="shared" si="40"/>
        <v>0</v>
      </c>
      <c r="L351" s="199">
        <v>24</v>
      </c>
    </row>
    <row r="352" spans="1:12">
      <c r="A352" s="201">
        <v>289</v>
      </c>
      <c r="B352" s="200">
        <f t="shared" si="33"/>
        <v>0</v>
      </c>
      <c r="C352" s="200">
        <f t="shared" si="34"/>
        <v>0</v>
      </c>
      <c r="D352" s="200">
        <f t="shared" si="35"/>
        <v>0</v>
      </c>
      <c r="E352" s="200">
        <f t="shared" si="36"/>
        <v>0</v>
      </c>
      <c r="F352" s="199"/>
      <c r="G352" s="201">
        <v>289</v>
      </c>
      <c r="H352" s="200">
        <f t="shared" si="37"/>
        <v>0</v>
      </c>
      <c r="I352" s="200">
        <f t="shared" si="38"/>
        <v>0</v>
      </c>
      <c r="J352" s="200">
        <f t="shared" si="39"/>
        <v>0</v>
      </c>
      <c r="K352" s="200">
        <f t="shared" si="40"/>
        <v>0</v>
      </c>
      <c r="L352" s="199"/>
    </row>
    <row r="353" spans="1:12">
      <c r="A353" s="201">
        <v>290</v>
      </c>
      <c r="B353" s="200">
        <f t="shared" si="33"/>
        <v>0</v>
      </c>
      <c r="C353" s="200">
        <f t="shared" si="34"/>
        <v>0</v>
      </c>
      <c r="D353" s="200">
        <f t="shared" si="35"/>
        <v>0</v>
      </c>
      <c r="E353" s="200">
        <f t="shared" si="36"/>
        <v>0</v>
      </c>
      <c r="F353" s="199"/>
      <c r="G353" s="201">
        <v>290</v>
      </c>
      <c r="H353" s="200">
        <f t="shared" si="37"/>
        <v>0</v>
      </c>
      <c r="I353" s="200">
        <f t="shared" si="38"/>
        <v>0</v>
      </c>
      <c r="J353" s="200">
        <f t="shared" si="39"/>
        <v>0</v>
      </c>
      <c r="K353" s="200">
        <f t="shared" si="40"/>
        <v>0</v>
      </c>
      <c r="L353" s="199"/>
    </row>
    <row r="354" spans="1:12">
      <c r="A354" s="201">
        <v>291</v>
      </c>
      <c r="B354" s="200">
        <f t="shared" si="33"/>
        <v>0</v>
      </c>
      <c r="C354" s="200">
        <f t="shared" si="34"/>
        <v>0</v>
      </c>
      <c r="D354" s="200">
        <f t="shared" si="35"/>
        <v>0</v>
      </c>
      <c r="E354" s="200">
        <f t="shared" si="36"/>
        <v>0</v>
      </c>
      <c r="F354" s="199"/>
      <c r="G354" s="201">
        <v>291</v>
      </c>
      <c r="H354" s="200">
        <f t="shared" si="37"/>
        <v>0</v>
      </c>
      <c r="I354" s="200">
        <f t="shared" si="38"/>
        <v>0</v>
      </c>
      <c r="J354" s="200">
        <f t="shared" si="39"/>
        <v>0</v>
      </c>
      <c r="K354" s="200">
        <f t="shared" si="40"/>
        <v>0</v>
      </c>
      <c r="L354" s="199"/>
    </row>
    <row r="355" spans="1:12">
      <c r="A355" s="201">
        <v>292</v>
      </c>
      <c r="B355" s="200">
        <f t="shared" si="33"/>
        <v>0</v>
      </c>
      <c r="C355" s="200">
        <f t="shared" si="34"/>
        <v>0</v>
      </c>
      <c r="D355" s="200">
        <f t="shared" si="35"/>
        <v>0</v>
      </c>
      <c r="E355" s="200">
        <f t="shared" si="36"/>
        <v>0</v>
      </c>
      <c r="F355" s="199"/>
      <c r="G355" s="201">
        <v>292</v>
      </c>
      <c r="H355" s="200">
        <f t="shared" si="37"/>
        <v>0</v>
      </c>
      <c r="I355" s="200">
        <f t="shared" si="38"/>
        <v>0</v>
      </c>
      <c r="J355" s="200">
        <f t="shared" si="39"/>
        <v>0</v>
      </c>
      <c r="K355" s="200">
        <f t="shared" si="40"/>
        <v>0</v>
      </c>
      <c r="L355" s="199"/>
    </row>
    <row r="356" spans="1:12">
      <c r="A356" s="201">
        <v>293</v>
      </c>
      <c r="B356" s="200">
        <f t="shared" si="33"/>
        <v>0</v>
      </c>
      <c r="C356" s="200">
        <f t="shared" si="34"/>
        <v>0</v>
      </c>
      <c r="D356" s="200">
        <f t="shared" si="35"/>
        <v>0</v>
      </c>
      <c r="E356" s="200">
        <f t="shared" si="36"/>
        <v>0</v>
      </c>
      <c r="F356" s="199"/>
      <c r="G356" s="201">
        <v>293</v>
      </c>
      <c r="H356" s="200">
        <f t="shared" si="37"/>
        <v>0</v>
      </c>
      <c r="I356" s="200">
        <f t="shared" si="38"/>
        <v>0</v>
      </c>
      <c r="J356" s="200">
        <f t="shared" si="39"/>
        <v>0</v>
      </c>
      <c r="K356" s="200">
        <f t="shared" si="40"/>
        <v>0</v>
      </c>
      <c r="L356" s="199"/>
    </row>
    <row r="357" spans="1:12">
      <c r="A357" s="201">
        <v>294</v>
      </c>
      <c r="B357" s="200">
        <f t="shared" si="33"/>
        <v>0</v>
      </c>
      <c r="C357" s="200">
        <f t="shared" si="34"/>
        <v>0</v>
      </c>
      <c r="D357" s="200">
        <f t="shared" si="35"/>
        <v>0</v>
      </c>
      <c r="E357" s="200">
        <f t="shared" si="36"/>
        <v>0</v>
      </c>
      <c r="F357" s="199"/>
      <c r="G357" s="201">
        <v>294</v>
      </c>
      <c r="H357" s="200">
        <f t="shared" si="37"/>
        <v>0</v>
      </c>
      <c r="I357" s="200">
        <f t="shared" si="38"/>
        <v>0</v>
      </c>
      <c r="J357" s="200">
        <f t="shared" si="39"/>
        <v>0</v>
      </c>
      <c r="K357" s="200">
        <f t="shared" si="40"/>
        <v>0</v>
      </c>
      <c r="L357" s="199"/>
    </row>
    <row r="358" spans="1:12">
      <c r="A358" s="201">
        <v>295</v>
      </c>
      <c r="B358" s="200">
        <f t="shared" si="33"/>
        <v>0</v>
      </c>
      <c r="C358" s="200">
        <f t="shared" si="34"/>
        <v>0</v>
      </c>
      <c r="D358" s="200">
        <f t="shared" si="35"/>
        <v>0</v>
      </c>
      <c r="E358" s="200">
        <f t="shared" si="36"/>
        <v>0</v>
      </c>
      <c r="F358" s="199"/>
      <c r="G358" s="201">
        <v>295</v>
      </c>
      <c r="H358" s="200">
        <f t="shared" si="37"/>
        <v>0</v>
      </c>
      <c r="I358" s="200">
        <f t="shared" si="38"/>
        <v>0</v>
      </c>
      <c r="J358" s="200">
        <f t="shared" si="39"/>
        <v>0</v>
      </c>
      <c r="K358" s="200">
        <f t="shared" si="40"/>
        <v>0</v>
      </c>
      <c r="L358" s="199"/>
    </row>
    <row r="359" spans="1:12">
      <c r="A359" s="201">
        <v>296</v>
      </c>
      <c r="B359" s="200">
        <f t="shared" si="33"/>
        <v>0</v>
      </c>
      <c r="C359" s="200">
        <f t="shared" si="34"/>
        <v>0</v>
      </c>
      <c r="D359" s="200">
        <f t="shared" si="35"/>
        <v>0</v>
      </c>
      <c r="E359" s="200">
        <f t="shared" si="36"/>
        <v>0</v>
      </c>
      <c r="F359" s="199"/>
      <c r="G359" s="201">
        <v>296</v>
      </c>
      <c r="H359" s="200">
        <f t="shared" si="37"/>
        <v>0</v>
      </c>
      <c r="I359" s="200">
        <f t="shared" si="38"/>
        <v>0</v>
      </c>
      <c r="J359" s="200">
        <f t="shared" si="39"/>
        <v>0</v>
      </c>
      <c r="K359" s="200">
        <f t="shared" si="40"/>
        <v>0</v>
      </c>
      <c r="L359" s="199"/>
    </row>
    <row r="360" spans="1:12">
      <c r="A360" s="201">
        <v>297</v>
      </c>
      <c r="B360" s="200">
        <f t="shared" si="33"/>
        <v>0</v>
      </c>
      <c r="C360" s="200">
        <f t="shared" si="34"/>
        <v>0</v>
      </c>
      <c r="D360" s="200">
        <f t="shared" si="35"/>
        <v>0</v>
      </c>
      <c r="E360" s="200">
        <f t="shared" si="36"/>
        <v>0</v>
      </c>
      <c r="F360" s="199"/>
      <c r="G360" s="201">
        <v>297</v>
      </c>
      <c r="H360" s="200">
        <f t="shared" si="37"/>
        <v>0</v>
      </c>
      <c r="I360" s="200">
        <f t="shared" si="38"/>
        <v>0</v>
      </c>
      <c r="J360" s="200">
        <f t="shared" si="39"/>
        <v>0</v>
      </c>
      <c r="K360" s="200">
        <f t="shared" si="40"/>
        <v>0</v>
      </c>
      <c r="L360" s="199"/>
    </row>
    <row r="361" spans="1:12">
      <c r="A361" s="201">
        <v>298</v>
      </c>
      <c r="B361" s="200">
        <f t="shared" si="33"/>
        <v>0</v>
      </c>
      <c r="C361" s="200">
        <f t="shared" si="34"/>
        <v>0</v>
      </c>
      <c r="D361" s="200">
        <f t="shared" si="35"/>
        <v>0</v>
      </c>
      <c r="E361" s="200">
        <f t="shared" si="36"/>
        <v>0</v>
      </c>
      <c r="F361" s="199"/>
      <c r="G361" s="201">
        <v>298</v>
      </c>
      <c r="H361" s="200">
        <f t="shared" si="37"/>
        <v>0</v>
      </c>
      <c r="I361" s="200">
        <f t="shared" si="38"/>
        <v>0</v>
      </c>
      <c r="J361" s="200">
        <f t="shared" si="39"/>
        <v>0</v>
      </c>
      <c r="K361" s="200">
        <f t="shared" si="40"/>
        <v>0</v>
      </c>
      <c r="L361" s="199"/>
    </row>
    <row r="362" spans="1:12">
      <c r="A362" s="201">
        <v>299</v>
      </c>
      <c r="B362" s="200">
        <f t="shared" si="33"/>
        <v>0</v>
      </c>
      <c r="C362" s="200">
        <f t="shared" si="34"/>
        <v>0</v>
      </c>
      <c r="D362" s="200">
        <f t="shared" si="35"/>
        <v>0</v>
      </c>
      <c r="E362" s="200">
        <f t="shared" si="36"/>
        <v>0</v>
      </c>
      <c r="F362" s="199"/>
      <c r="G362" s="201">
        <v>299</v>
      </c>
      <c r="H362" s="200">
        <f t="shared" si="37"/>
        <v>0</v>
      </c>
      <c r="I362" s="200">
        <f t="shared" si="38"/>
        <v>0</v>
      </c>
      <c r="J362" s="200">
        <f t="shared" si="39"/>
        <v>0</v>
      </c>
      <c r="K362" s="200">
        <f t="shared" si="40"/>
        <v>0</v>
      </c>
      <c r="L362" s="199"/>
    </row>
    <row r="363" spans="1:12">
      <c r="A363" s="201">
        <v>300</v>
      </c>
      <c r="B363" s="200">
        <f t="shared" si="33"/>
        <v>0</v>
      </c>
      <c r="C363" s="200">
        <f t="shared" si="34"/>
        <v>0</v>
      </c>
      <c r="D363" s="200">
        <f t="shared" si="35"/>
        <v>0</v>
      </c>
      <c r="E363" s="200">
        <f t="shared" si="36"/>
        <v>0</v>
      </c>
      <c r="F363" s="199">
        <v>25</v>
      </c>
      <c r="G363" s="201">
        <v>300</v>
      </c>
      <c r="H363" s="200">
        <f t="shared" si="37"/>
        <v>0</v>
      </c>
      <c r="I363" s="200">
        <f t="shared" si="38"/>
        <v>0</v>
      </c>
      <c r="J363" s="200">
        <f t="shared" si="39"/>
        <v>0</v>
      </c>
      <c r="K363" s="200">
        <f t="shared" si="40"/>
        <v>0</v>
      </c>
      <c r="L363" s="199">
        <v>25</v>
      </c>
    </row>
    <row r="364" spans="1:12">
      <c r="A364" s="201">
        <v>301</v>
      </c>
      <c r="B364" s="200">
        <f t="shared" si="33"/>
        <v>0</v>
      </c>
      <c r="C364" s="200">
        <f t="shared" si="34"/>
        <v>0</v>
      </c>
      <c r="D364" s="200">
        <f t="shared" si="35"/>
        <v>0</v>
      </c>
      <c r="E364" s="200">
        <f t="shared" si="36"/>
        <v>0</v>
      </c>
      <c r="F364" s="199"/>
      <c r="G364" s="201">
        <v>301</v>
      </c>
      <c r="H364" s="200">
        <f t="shared" si="37"/>
        <v>0</v>
      </c>
      <c r="I364" s="200">
        <f t="shared" si="38"/>
        <v>0</v>
      </c>
      <c r="J364" s="200">
        <f t="shared" si="39"/>
        <v>0</v>
      </c>
      <c r="K364" s="200">
        <f t="shared" si="40"/>
        <v>0</v>
      </c>
      <c r="L364" s="199"/>
    </row>
    <row r="365" spans="1:12">
      <c r="A365" s="201">
        <v>302</v>
      </c>
      <c r="B365" s="200">
        <f t="shared" si="33"/>
        <v>0</v>
      </c>
      <c r="C365" s="200">
        <f t="shared" si="34"/>
        <v>0</v>
      </c>
      <c r="D365" s="200">
        <f t="shared" si="35"/>
        <v>0</v>
      </c>
      <c r="E365" s="200">
        <f t="shared" si="36"/>
        <v>0</v>
      </c>
      <c r="F365" s="199"/>
      <c r="G365" s="201">
        <v>302</v>
      </c>
      <c r="H365" s="200">
        <f t="shared" si="37"/>
        <v>0</v>
      </c>
      <c r="I365" s="200">
        <f t="shared" si="38"/>
        <v>0</v>
      </c>
      <c r="J365" s="200">
        <f t="shared" si="39"/>
        <v>0</v>
      </c>
      <c r="K365" s="200">
        <f t="shared" si="40"/>
        <v>0</v>
      </c>
      <c r="L365" s="199"/>
    </row>
    <row r="366" spans="1:12">
      <c r="A366" s="201">
        <v>303</v>
      </c>
      <c r="B366" s="200">
        <f t="shared" si="33"/>
        <v>0</v>
      </c>
      <c r="C366" s="200">
        <f t="shared" si="34"/>
        <v>0</v>
      </c>
      <c r="D366" s="200">
        <f t="shared" si="35"/>
        <v>0</v>
      </c>
      <c r="E366" s="200">
        <f t="shared" si="36"/>
        <v>0</v>
      </c>
      <c r="F366" s="199"/>
      <c r="G366" s="201">
        <v>303</v>
      </c>
      <c r="H366" s="200">
        <f t="shared" si="37"/>
        <v>0</v>
      </c>
      <c r="I366" s="200">
        <f t="shared" si="38"/>
        <v>0</v>
      </c>
      <c r="J366" s="200">
        <f t="shared" si="39"/>
        <v>0</v>
      </c>
      <c r="K366" s="200">
        <f t="shared" si="40"/>
        <v>0</v>
      </c>
      <c r="L366" s="199"/>
    </row>
    <row r="367" spans="1:12">
      <c r="A367" s="201">
        <v>304</v>
      </c>
      <c r="B367" s="200">
        <f t="shared" si="33"/>
        <v>0</v>
      </c>
      <c r="C367" s="200">
        <f t="shared" si="34"/>
        <v>0</v>
      </c>
      <c r="D367" s="200">
        <f t="shared" si="35"/>
        <v>0</v>
      </c>
      <c r="E367" s="200">
        <f t="shared" si="36"/>
        <v>0</v>
      </c>
      <c r="F367" s="199"/>
      <c r="G367" s="201">
        <v>304</v>
      </c>
      <c r="H367" s="200">
        <f t="shared" si="37"/>
        <v>0</v>
      </c>
      <c r="I367" s="200">
        <f t="shared" si="38"/>
        <v>0</v>
      </c>
      <c r="J367" s="200">
        <f t="shared" si="39"/>
        <v>0</v>
      </c>
      <c r="K367" s="200">
        <f t="shared" si="40"/>
        <v>0</v>
      </c>
      <c r="L367" s="199"/>
    </row>
    <row r="368" spans="1:12">
      <c r="A368" s="201">
        <v>305</v>
      </c>
      <c r="B368" s="200">
        <f t="shared" si="33"/>
        <v>0</v>
      </c>
      <c r="C368" s="200">
        <f t="shared" si="34"/>
        <v>0</v>
      </c>
      <c r="D368" s="200">
        <f t="shared" si="35"/>
        <v>0</v>
      </c>
      <c r="E368" s="200">
        <f t="shared" si="36"/>
        <v>0</v>
      </c>
      <c r="F368" s="199"/>
      <c r="G368" s="201">
        <v>305</v>
      </c>
      <c r="H368" s="200">
        <f t="shared" si="37"/>
        <v>0</v>
      </c>
      <c r="I368" s="200">
        <f t="shared" si="38"/>
        <v>0</v>
      </c>
      <c r="J368" s="200">
        <f t="shared" si="39"/>
        <v>0</v>
      </c>
      <c r="K368" s="200">
        <f t="shared" si="40"/>
        <v>0</v>
      </c>
      <c r="L368" s="199"/>
    </row>
    <row r="369" spans="1:12">
      <c r="A369" s="201">
        <v>306</v>
      </c>
      <c r="B369" s="200">
        <f t="shared" si="33"/>
        <v>0</v>
      </c>
      <c r="C369" s="200">
        <f t="shared" si="34"/>
        <v>0</v>
      </c>
      <c r="D369" s="200">
        <f t="shared" si="35"/>
        <v>0</v>
      </c>
      <c r="E369" s="200">
        <f t="shared" si="36"/>
        <v>0</v>
      </c>
      <c r="F369" s="199"/>
      <c r="G369" s="201">
        <v>306</v>
      </c>
      <c r="H369" s="200">
        <f t="shared" si="37"/>
        <v>0</v>
      </c>
      <c r="I369" s="200">
        <f t="shared" si="38"/>
        <v>0</v>
      </c>
      <c r="J369" s="200">
        <f t="shared" si="39"/>
        <v>0</v>
      </c>
      <c r="K369" s="200">
        <f t="shared" si="40"/>
        <v>0</v>
      </c>
      <c r="L369" s="199"/>
    </row>
    <row r="370" spans="1:12">
      <c r="A370" s="201">
        <v>307</v>
      </c>
      <c r="B370" s="200">
        <f t="shared" si="33"/>
        <v>0</v>
      </c>
      <c r="C370" s="200">
        <f t="shared" si="34"/>
        <v>0</v>
      </c>
      <c r="D370" s="200">
        <f t="shared" si="35"/>
        <v>0</v>
      </c>
      <c r="E370" s="200">
        <f t="shared" si="36"/>
        <v>0</v>
      </c>
      <c r="F370" s="199"/>
      <c r="G370" s="201">
        <v>307</v>
      </c>
      <c r="H370" s="200">
        <f t="shared" si="37"/>
        <v>0</v>
      </c>
      <c r="I370" s="200">
        <f t="shared" si="38"/>
        <v>0</v>
      </c>
      <c r="J370" s="200">
        <f t="shared" si="39"/>
        <v>0</v>
      </c>
      <c r="K370" s="200">
        <f t="shared" si="40"/>
        <v>0</v>
      </c>
      <c r="L370" s="199"/>
    </row>
    <row r="371" spans="1:12">
      <c r="A371" s="201">
        <v>308</v>
      </c>
      <c r="B371" s="200">
        <f t="shared" si="33"/>
        <v>0</v>
      </c>
      <c r="C371" s="200">
        <f t="shared" si="34"/>
        <v>0</v>
      </c>
      <c r="D371" s="200">
        <f t="shared" si="35"/>
        <v>0</v>
      </c>
      <c r="E371" s="200">
        <f t="shared" si="36"/>
        <v>0</v>
      </c>
      <c r="F371" s="199"/>
      <c r="G371" s="201">
        <v>308</v>
      </c>
      <c r="H371" s="200">
        <f t="shared" si="37"/>
        <v>0</v>
      </c>
      <c r="I371" s="200">
        <f t="shared" si="38"/>
        <v>0</v>
      </c>
      <c r="J371" s="200">
        <f t="shared" si="39"/>
        <v>0</v>
      </c>
      <c r="K371" s="200">
        <f t="shared" si="40"/>
        <v>0</v>
      </c>
      <c r="L371" s="199"/>
    </row>
    <row r="372" spans="1:12">
      <c r="A372" s="201">
        <v>309</v>
      </c>
      <c r="B372" s="200">
        <f t="shared" si="33"/>
        <v>0</v>
      </c>
      <c r="C372" s="200">
        <f t="shared" si="34"/>
        <v>0</v>
      </c>
      <c r="D372" s="200">
        <f t="shared" si="35"/>
        <v>0</v>
      </c>
      <c r="E372" s="200">
        <f t="shared" si="36"/>
        <v>0</v>
      </c>
      <c r="F372" s="199"/>
      <c r="G372" s="201">
        <v>309</v>
      </c>
      <c r="H372" s="200">
        <f t="shared" si="37"/>
        <v>0</v>
      </c>
      <c r="I372" s="200">
        <f t="shared" si="38"/>
        <v>0</v>
      </c>
      <c r="J372" s="200">
        <f t="shared" si="39"/>
        <v>0</v>
      </c>
      <c r="K372" s="200">
        <f t="shared" si="40"/>
        <v>0</v>
      </c>
      <c r="L372" s="199"/>
    </row>
    <row r="373" spans="1:12">
      <c r="A373" s="201">
        <v>310</v>
      </c>
      <c r="B373" s="200">
        <f t="shared" si="33"/>
        <v>0</v>
      </c>
      <c r="C373" s="200">
        <f t="shared" si="34"/>
        <v>0</v>
      </c>
      <c r="D373" s="200">
        <f t="shared" si="35"/>
        <v>0</v>
      </c>
      <c r="E373" s="200">
        <f t="shared" si="36"/>
        <v>0</v>
      </c>
      <c r="F373" s="199"/>
      <c r="G373" s="201">
        <v>310</v>
      </c>
      <c r="H373" s="200">
        <f t="shared" si="37"/>
        <v>0</v>
      </c>
      <c r="I373" s="200">
        <f t="shared" si="38"/>
        <v>0</v>
      </c>
      <c r="J373" s="200">
        <f t="shared" si="39"/>
        <v>0</v>
      </c>
      <c r="K373" s="200">
        <f t="shared" si="40"/>
        <v>0</v>
      </c>
      <c r="L373" s="199"/>
    </row>
    <row r="374" spans="1:12">
      <c r="A374" s="201">
        <v>311</v>
      </c>
      <c r="B374" s="200">
        <f t="shared" si="33"/>
        <v>0</v>
      </c>
      <c r="C374" s="200">
        <f t="shared" si="34"/>
        <v>0</v>
      </c>
      <c r="D374" s="200">
        <f t="shared" si="35"/>
        <v>0</v>
      </c>
      <c r="E374" s="200">
        <f t="shared" si="36"/>
        <v>0</v>
      </c>
      <c r="F374" s="199"/>
      <c r="G374" s="201">
        <v>311</v>
      </c>
      <c r="H374" s="200">
        <f t="shared" si="37"/>
        <v>0</v>
      </c>
      <c r="I374" s="200">
        <f t="shared" si="38"/>
        <v>0</v>
      </c>
      <c r="J374" s="200">
        <f t="shared" si="39"/>
        <v>0</v>
      </c>
      <c r="K374" s="200">
        <f t="shared" si="40"/>
        <v>0</v>
      </c>
      <c r="L374" s="199"/>
    </row>
    <row r="375" spans="1:12">
      <c r="A375" s="201">
        <v>312</v>
      </c>
      <c r="B375" s="200">
        <f t="shared" si="33"/>
        <v>0</v>
      </c>
      <c r="C375" s="200">
        <f t="shared" si="34"/>
        <v>0</v>
      </c>
      <c r="D375" s="200">
        <f t="shared" si="35"/>
        <v>0</v>
      </c>
      <c r="E375" s="200">
        <f t="shared" si="36"/>
        <v>0</v>
      </c>
      <c r="F375" s="199">
        <v>26</v>
      </c>
      <c r="G375" s="201">
        <v>312</v>
      </c>
      <c r="H375" s="200">
        <f t="shared" si="37"/>
        <v>0</v>
      </c>
      <c r="I375" s="200">
        <f t="shared" si="38"/>
        <v>0</v>
      </c>
      <c r="J375" s="200">
        <f t="shared" si="39"/>
        <v>0</v>
      </c>
      <c r="K375" s="200">
        <f t="shared" si="40"/>
        <v>0</v>
      </c>
      <c r="L375" s="199">
        <v>26</v>
      </c>
    </row>
    <row r="376" spans="1:12">
      <c r="A376" s="201">
        <v>313</v>
      </c>
      <c r="B376" s="200">
        <f t="shared" si="33"/>
        <v>0</v>
      </c>
      <c r="C376" s="200">
        <f t="shared" si="34"/>
        <v>0</v>
      </c>
      <c r="D376" s="200">
        <f t="shared" si="35"/>
        <v>0</v>
      </c>
      <c r="E376" s="200">
        <f t="shared" si="36"/>
        <v>0</v>
      </c>
      <c r="F376" s="199"/>
      <c r="G376" s="201">
        <v>313</v>
      </c>
      <c r="H376" s="200">
        <f t="shared" si="37"/>
        <v>0</v>
      </c>
      <c r="I376" s="200">
        <f t="shared" si="38"/>
        <v>0</v>
      </c>
      <c r="J376" s="200">
        <f t="shared" si="39"/>
        <v>0</v>
      </c>
      <c r="K376" s="200">
        <f t="shared" si="40"/>
        <v>0</v>
      </c>
      <c r="L376" s="199"/>
    </row>
    <row r="377" spans="1:12">
      <c r="A377" s="201">
        <v>314</v>
      </c>
      <c r="B377" s="200">
        <f t="shared" si="33"/>
        <v>0</v>
      </c>
      <c r="C377" s="200">
        <f t="shared" si="34"/>
        <v>0</v>
      </c>
      <c r="D377" s="200">
        <f t="shared" si="35"/>
        <v>0</v>
      </c>
      <c r="E377" s="200">
        <f t="shared" si="36"/>
        <v>0</v>
      </c>
      <c r="F377" s="199"/>
      <c r="G377" s="201">
        <v>314</v>
      </c>
      <c r="H377" s="200">
        <f t="shared" si="37"/>
        <v>0</v>
      </c>
      <c r="I377" s="200">
        <f t="shared" si="38"/>
        <v>0</v>
      </c>
      <c r="J377" s="200">
        <f t="shared" si="39"/>
        <v>0</v>
      </c>
      <c r="K377" s="200">
        <f t="shared" si="40"/>
        <v>0</v>
      </c>
      <c r="L377" s="199"/>
    </row>
    <row r="378" spans="1:12">
      <c r="A378" s="201">
        <v>315</v>
      </c>
      <c r="B378" s="200">
        <f t="shared" si="33"/>
        <v>0</v>
      </c>
      <c r="C378" s="200">
        <f t="shared" si="34"/>
        <v>0</v>
      </c>
      <c r="D378" s="200">
        <f t="shared" si="35"/>
        <v>0</v>
      </c>
      <c r="E378" s="200">
        <f t="shared" si="36"/>
        <v>0</v>
      </c>
      <c r="F378" s="199"/>
      <c r="G378" s="201">
        <v>315</v>
      </c>
      <c r="H378" s="200">
        <f t="shared" si="37"/>
        <v>0</v>
      </c>
      <c r="I378" s="200">
        <f t="shared" si="38"/>
        <v>0</v>
      </c>
      <c r="J378" s="200">
        <f t="shared" si="39"/>
        <v>0</v>
      </c>
      <c r="K378" s="200">
        <f t="shared" si="40"/>
        <v>0</v>
      </c>
      <c r="L378" s="199"/>
    </row>
    <row r="379" spans="1:12">
      <c r="A379" s="201">
        <v>316</v>
      </c>
      <c r="B379" s="200">
        <f t="shared" si="33"/>
        <v>0</v>
      </c>
      <c r="C379" s="200">
        <f t="shared" si="34"/>
        <v>0</v>
      </c>
      <c r="D379" s="200">
        <f t="shared" si="35"/>
        <v>0</v>
      </c>
      <c r="E379" s="200">
        <f t="shared" si="36"/>
        <v>0</v>
      </c>
      <c r="F379" s="199"/>
      <c r="G379" s="201">
        <v>316</v>
      </c>
      <c r="H379" s="200">
        <f t="shared" si="37"/>
        <v>0</v>
      </c>
      <c r="I379" s="200">
        <f t="shared" si="38"/>
        <v>0</v>
      </c>
      <c r="J379" s="200">
        <f t="shared" si="39"/>
        <v>0</v>
      </c>
      <c r="K379" s="200">
        <f t="shared" si="40"/>
        <v>0</v>
      </c>
      <c r="L379" s="199"/>
    </row>
    <row r="380" spans="1:12">
      <c r="A380" s="201">
        <v>317</v>
      </c>
      <c r="B380" s="200">
        <f t="shared" si="33"/>
        <v>0</v>
      </c>
      <c r="C380" s="200">
        <f t="shared" si="34"/>
        <v>0</v>
      </c>
      <c r="D380" s="200">
        <f t="shared" si="35"/>
        <v>0</v>
      </c>
      <c r="E380" s="200">
        <f t="shared" si="36"/>
        <v>0</v>
      </c>
      <c r="F380" s="199"/>
      <c r="G380" s="201">
        <v>317</v>
      </c>
      <c r="H380" s="200">
        <f t="shared" si="37"/>
        <v>0</v>
      </c>
      <c r="I380" s="200">
        <f t="shared" si="38"/>
        <v>0</v>
      </c>
      <c r="J380" s="200">
        <f t="shared" si="39"/>
        <v>0</v>
      </c>
      <c r="K380" s="200">
        <f t="shared" si="40"/>
        <v>0</v>
      </c>
      <c r="L380" s="199"/>
    </row>
    <row r="381" spans="1:12">
      <c r="A381" s="201">
        <v>318</v>
      </c>
      <c r="B381" s="200">
        <f t="shared" si="33"/>
        <v>0</v>
      </c>
      <c r="C381" s="200">
        <f t="shared" si="34"/>
        <v>0</v>
      </c>
      <c r="D381" s="200">
        <f t="shared" si="35"/>
        <v>0</v>
      </c>
      <c r="E381" s="200">
        <f t="shared" si="36"/>
        <v>0</v>
      </c>
      <c r="F381" s="199"/>
      <c r="G381" s="201">
        <v>318</v>
      </c>
      <c r="H381" s="200">
        <f t="shared" si="37"/>
        <v>0</v>
      </c>
      <c r="I381" s="200">
        <f t="shared" si="38"/>
        <v>0</v>
      </c>
      <c r="J381" s="200">
        <f t="shared" si="39"/>
        <v>0</v>
      </c>
      <c r="K381" s="200">
        <f t="shared" si="40"/>
        <v>0</v>
      </c>
      <c r="L381" s="199"/>
    </row>
    <row r="382" spans="1:12">
      <c r="A382" s="201">
        <v>319</v>
      </c>
      <c r="B382" s="200">
        <f t="shared" si="33"/>
        <v>0</v>
      </c>
      <c r="C382" s="200">
        <f t="shared" si="34"/>
        <v>0</v>
      </c>
      <c r="D382" s="200">
        <f t="shared" si="35"/>
        <v>0</v>
      </c>
      <c r="E382" s="200">
        <f t="shared" si="36"/>
        <v>0</v>
      </c>
      <c r="F382" s="199"/>
      <c r="G382" s="201">
        <v>319</v>
      </c>
      <c r="H382" s="200">
        <f t="shared" si="37"/>
        <v>0</v>
      </c>
      <c r="I382" s="200">
        <f t="shared" si="38"/>
        <v>0</v>
      </c>
      <c r="J382" s="200">
        <f t="shared" si="39"/>
        <v>0</v>
      </c>
      <c r="K382" s="200">
        <f t="shared" si="40"/>
        <v>0</v>
      </c>
      <c r="L382" s="199"/>
    </row>
    <row r="383" spans="1:12">
      <c r="A383" s="201">
        <v>320</v>
      </c>
      <c r="B383" s="200">
        <f t="shared" si="33"/>
        <v>0</v>
      </c>
      <c r="C383" s="200">
        <f t="shared" si="34"/>
        <v>0</v>
      </c>
      <c r="D383" s="200">
        <f t="shared" si="35"/>
        <v>0</v>
      </c>
      <c r="E383" s="200">
        <f t="shared" si="36"/>
        <v>0</v>
      </c>
      <c r="F383" s="199"/>
      <c r="G383" s="201">
        <v>320</v>
      </c>
      <c r="H383" s="200">
        <f t="shared" si="37"/>
        <v>0</v>
      </c>
      <c r="I383" s="200">
        <f t="shared" si="38"/>
        <v>0</v>
      </c>
      <c r="J383" s="200">
        <f t="shared" si="39"/>
        <v>0</v>
      </c>
      <c r="K383" s="200">
        <f t="shared" si="40"/>
        <v>0</v>
      </c>
      <c r="L383" s="199"/>
    </row>
    <row r="384" spans="1:12">
      <c r="A384" s="201">
        <v>321</v>
      </c>
      <c r="B384" s="200">
        <f t="shared" ref="B384:B447" si="41">IF(A384&gt;12*$C$9,0,IF($C$5&gt;1500000,$D$12,$C$12))</f>
        <v>0</v>
      </c>
      <c r="C384" s="200">
        <f t="shared" ref="C384:C447" si="42">IF(A384&gt;12*$C$9,0,E383*$C$7/12)</f>
        <v>0</v>
      </c>
      <c r="D384" s="200">
        <f t="shared" ref="D384:D447" si="43">IF(A384&gt;12*$C$9,0,B384-C384)</f>
        <v>0</v>
      </c>
      <c r="E384" s="200">
        <f t="shared" ref="E384:E447" si="44">IF(A384&gt;12*$C$9,0,E383-D384)</f>
        <v>0</v>
      </c>
      <c r="F384" s="199"/>
      <c r="G384" s="201">
        <v>321</v>
      </c>
      <c r="H384" s="200">
        <f t="shared" ref="H384:H447" si="45">IF(G384&gt;12*$C$9,0,IF($C$5&gt;1500000,$E$12,0))</f>
        <v>0</v>
      </c>
      <c r="I384" s="200">
        <f t="shared" ref="I384:I447" si="46">IF(G384&gt;12*$C$9,0,K383*$C$7/12)</f>
        <v>0</v>
      </c>
      <c r="J384" s="200">
        <f t="shared" ref="J384:J447" si="47">IF(G384&gt;12*$C$9,0,H384-I384)</f>
        <v>0</v>
      </c>
      <c r="K384" s="200">
        <f t="shared" ref="K384:K447" si="48">IF(G384&gt;12*$C$9,0,K383-J384)</f>
        <v>0</v>
      </c>
      <c r="L384" s="199"/>
    </row>
    <row r="385" spans="1:12">
      <c r="A385" s="201">
        <v>322</v>
      </c>
      <c r="B385" s="200">
        <f t="shared" si="41"/>
        <v>0</v>
      </c>
      <c r="C385" s="200">
        <f t="shared" si="42"/>
        <v>0</v>
      </c>
      <c r="D385" s="200">
        <f t="shared" si="43"/>
        <v>0</v>
      </c>
      <c r="E385" s="200">
        <f t="shared" si="44"/>
        <v>0</v>
      </c>
      <c r="F385" s="199"/>
      <c r="G385" s="201">
        <v>322</v>
      </c>
      <c r="H385" s="200">
        <f t="shared" si="45"/>
        <v>0</v>
      </c>
      <c r="I385" s="200">
        <f t="shared" si="46"/>
        <v>0</v>
      </c>
      <c r="J385" s="200">
        <f t="shared" si="47"/>
        <v>0</v>
      </c>
      <c r="K385" s="200">
        <f t="shared" si="48"/>
        <v>0</v>
      </c>
      <c r="L385" s="199"/>
    </row>
    <row r="386" spans="1:12">
      <c r="A386" s="201">
        <v>323</v>
      </c>
      <c r="B386" s="200">
        <f t="shared" si="41"/>
        <v>0</v>
      </c>
      <c r="C386" s="200">
        <f t="shared" si="42"/>
        <v>0</v>
      </c>
      <c r="D386" s="200">
        <f t="shared" si="43"/>
        <v>0</v>
      </c>
      <c r="E386" s="200">
        <f t="shared" si="44"/>
        <v>0</v>
      </c>
      <c r="F386" s="199"/>
      <c r="G386" s="201">
        <v>323</v>
      </c>
      <c r="H386" s="200">
        <f t="shared" si="45"/>
        <v>0</v>
      </c>
      <c r="I386" s="200">
        <f t="shared" si="46"/>
        <v>0</v>
      </c>
      <c r="J386" s="200">
        <f t="shared" si="47"/>
        <v>0</v>
      </c>
      <c r="K386" s="200">
        <f t="shared" si="48"/>
        <v>0</v>
      </c>
      <c r="L386" s="199"/>
    </row>
    <row r="387" spans="1:12">
      <c r="A387" s="201">
        <v>324</v>
      </c>
      <c r="B387" s="200">
        <f t="shared" si="41"/>
        <v>0</v>
      </c>
      <c r="C387" s="200">
        <f t="shared" si="42"/>
        <v>0</v>
      </c>
      <c r="D387" s="200">
        <f t="shared" si="43"/>
        <v>0</v>
      </c>
      <c r="E387" s="200">
        <f t="shared" si="44"/>
        <v>0</v>
      </c>
      <c r="F387" s="199">
        <v>27</v>
      </c>
      <c r="G387" s="201">
        <v>324</v>
      </c>
      <c r="H387" s="200">
        <f t="shared" si="45"/>
        <v>0</v>
      </c>
      <c r="I387" s="200">
        <f t="shared" si="46"/>
        <v>0</v>
      </c>
      <c r="J387" s="200">
        <f t="shared" si="47"/>
        <v>0</v>
      </c>
      <c r="K387" s="200">
        <f t="shared" si="48"/>
        <v>0</v>
      </c>
      <c r="L387" s="199">
        <v>27</v>
      </c>
    </row>
    <row r="388" spans="1:12">
      <c r="A388" s="201">
        <v>325</v>
      </c>
      <c r="B388" s="200">
        <f t="shared" si="41"/>
        <v>0</v>
      </c>
      <c r="C388" s="200">
        <f t="shared" si="42"/>
        <v>0</v>
      </c>
      <c r="D388" s="200">
        <f t="shared" si="43"/>
        <v>0</v>
      </c>
      <c r="E388" s="200">
        <f t="shared" si="44"/>
        <v>0</v>
      </c>
      <c r="F388" s="199"/>
      <c r="G388" s="201">
        <v>325</v>
      </c>
      <c r="H388" s="200">
        <f t="shared" si="45"/>
        <v>0</v>
      </c>
      <c r="I388" s="200">
        <f t="shared" si="46"/>
        <v>0</v>
      </c>
      <c r="J388" s="200">
        <f t="shared" si="47"/>
        <v>0</v>
      </c>
      <c r="K388" s="200">
        <f t="shared" si="48"/>
        <v>0</v>
      </c>
      <c r="L388" s="199"/>
    </row>
    <row r="389" spans="1:12">
      <c r="A389" s="201">
        <v>326</v>
      </c>
      <c r="B389" s="200">
        <f t="shared" si="41"/>
        <v>0</v>
      </c>
      <c r="C389" s="200">
        <f t="shared" si="42"/>
        <v>0</v>
      </c>
      <c r="D389" s="200">
        <f t="shared" si="43"/>
        <v>0</v>
      </c>
      <c r="E389" s="200">
        <f t="shared" si="44"/>
        <v>0</v>
      </c>
      <c r="F389" s="199"/>
      <c r="G389" s="201">
        <v>326</v>
      </c>
      <c r="H389" s="200">
        <f t="shared" si="45"/>
        <v>0</v>
      </c>
      <c r="I389" s="200">
        <f t="shared" si="46"/>
        <v>0</v>
      </c>
      <c r="J389" s="200">
        <f t="shared" si="47"/>
        <v>0</v>
      </c>
      <c r="K389" s="200">
        <f t="shared" si="48"/>
        <v>0</v>
      </c>
      <c r="L389" s="199"/>
    </row>
    <row r="390" spans="1:12">
      <c r="A390" s="201">
        <v>327</v>
      </c>
      <c r="B390" s="200">
        <f t="shared" si="41"/>
        <v>0</v>
      </c>
      <c r="C390" s="200">
        <f t="shared" si="42"/>
        <v>0</v>
      </c>
      <c r="D390" s="200">
        <f t="shared" si="43"/>
        <v>0</v>
      </c>
      <c r="E390" s="200">
        <f t="shared" si="44"/>
        <v>0</v>
      </c>
      <c r="F390" s="199"/>
      <c r="G390" s="201">
        <v>327</v>
      </c>
      <c r="H390" s="200">
        <f t="shared" si="45"/>
        <v>0</v>
      </c>
      <c r="I390" s="200">
        <f t="shared" si="46"/>
        <v>0</v>
      </c>
      <c r="J390" s="200">
        <f t="shared" si="47"/>
        <v>0</v>
      </c>
      <c r="K390" s="200">
        <f t="shared" si="48"/>
        <v>0</v>
      </c>
      <c r="L390" s="199"/>
    </row>
    <row r="391" spans="1:12">
      <c r="A391" s="201">
        <v>328</v>
      </c>
      <c r="B391" s="200">
        <f t="shared" si="41"/>
        <v>0</v>
      </c>
      <c r="C391" s="200">
        <f t="shared" si="42"/>
        <v>0</v>
      </c>
      <c r="D391" s="200">
        <f t="shared" si="43"/>
        <v>0</v>
      </c>
      <c r="E391" s="200">
        <f t="shared" si="44"/>
        <v>0</v>
      </c>
      <c r="F391" s="199"/>
      <c r="G391" s="201">
        <v>328</v>
      </c>
      <c r="H391" s="200">
        <f t="shared" si="45"/>
        <v>0</v>
      </c>
      <c r="I391" s="200">
        <f t="shared" si="46"/>
        <v>0</v>
      </c>
      <c r="J391" s="200">
        <f t="shared" si="47"/>
        <v>0</v>
      </c>
      <c r="K391" s="200">
        <f t="shared" si="48"/>
        <v>0</v>
      </c>
      <c r="L391" s="199"/>
    </row>
    <row r="392" spans="1:12">
      <c r="A392" s="201">
        <v>329</v>
      </c>
      <c r="B392" s="200">
        <f t="shared" si="41"/>
        <v>0</v>
      </c>
      <c r="C392" s="200">
        <f t="shared" si="42"/>
        <v>0</v>
      </c>
      <c r="D392" s="200">
        <f t="shared" si="43"/>
        <v>0</v>
      </c>
      <c r="E392" s="200">
        <f t="shared" si="44"/>
        <v>0</v>
      </c>
      <c r="F392" s="199"/>
      <c r="G392" s="201">
        <v>329</v>
      </c>
      <c r="H392" s="200">
        <f t="shared" si="45"/>
        <v>0</v>
      </c>
      <c r="I392" s="200">
        <f t="shared" si="46"/>
        <v>0</v>
      </c>
      <c r="J392" s="200">
        <f t="shared" si="47"/>
        <v>0</v>
      </c>
      <c r="K392" s="200">
        <f t="shared" si="48"/>
        <v>0</v>
      </c>
      <c r="L392" s="199"/>
    </row>
    <row r="393" spans="1:12">
      <c r="A393" s="201">
        <v>330</v>
      </c>
      <c r="B393" s="200">
        <f t="shared" si="41"/>
        <v>0</v>
      </c>
      <c r="C393" s="200">
        <f t="shared" si="42"/>
        <v>0</v>
      </c>
      <c r="D393" s="200">
        <f t="shared" si="43"/>
        <v>0</v>
      </c>
      <c r="E393" s="200">
        <f t="shared" si="44"/>
        <v>0</v>
      </c>
      <c r="F393" s="199"/>
      <c r="G393" s="201">
        <v>330</v>
      </c>
      <c r="H393" s="200">
        <f t="shared" si="45"/>
        <v>0</v>
      </c>
      <c r="I393" s="200">
        <f t="shared" si="46"/>
        <v>0</v>
      </c>
      <c r="J393" s="200">
        <f t="shared" si="47"/>
        <v>0</v>
      </c>
      <c r="K393" s="200">
        <f t="shared" si="48"/>
        <v>0</v>
      </c>
      <c r="L393" s="199"/>
    </row>
    <row r="394" spans="1:12">
      <c r="A394" s="201">
        <v>331</v>
      </c>
      <c r="B394" s="200">
        <f t="shared" si="41"/>
        <v>0</v>
      </c>
      <c r="C394" s="200">
        <f t="shared" si="42"/>
        <v>0</v>
      </c>
      <c r="D394" s="200">
        <f t="shared" si="43"/>
        <v>0</v>
      </c>
      <c r="E394" s="200">
        <f t="shared" si="44"/>
        <v>0</v>
      </c>
      <c r="F394" s="199"/>
      <c r="G394" s="201">
        <v>331</v>
      </c>
      <c r="H394" s="200">
        <f t="shared" si="45"/>
        <v>0</v>
      </c>
      <c r="I394" s="200">
        <f t="shared" si="46"/>
        <v>0</v>
      </c>
      <c r="J394" s="200">
        <f t="shared" si="47"/>
        <v>0</v>
      </c>
      <c r="K394" s="200">
        <f t="shared" si="48"/>
        <v>0</v>
      </c>
      <c r="L394" s="199"/>
    </row>
    <row r="395" spans="1:12">
      <c r="A395" s="201">
        <v>332</v>
      </c>
      <c r="B395" s="200">
        <f t="shared" si="41"/>
        <v>0</v>
      </c>
      <c r="C395" s="200">
        <f t="shared" si="42"/>
        <v>0</v>
      </c>
      <c r="D395" s="200">
        <f t="shared" si="43"/>
        <v>0</v>
      </c>
      <c r="E395" s="200">
        <f t="shared" si="44"/>
        <v>0</v>
      </c>
      <c r="F395" s="199"/>
      <c r="G395" s="201">
        <v>332</v>
      </c>
      <c r="H395" s="200">
        <f t="shared" si="45"/>
        <v>0</v>
      </c>
      <c r="I395" s="200">
        <f t="shared" si="46"/>
        <v>0</v>
      </c>
      <c r="J395" s="200">
        <f t="shared" si="47"/>
        <v>0</v>
      </c>
      <c r="K395" s="200">
        <f t="shared" si="48"/>
        <v>0</v>
      </c>
      <c r="L395" s="199"/>
    </row>
    <row r="396" spans="1:12">
      <c r="A396" s="201">
        <v>333</v>
      </c>
      <c r="B396" s="200">
        <f t="shared" si="41"/>
        <v>0</v>
      </c>
      <c r="C396" s="200">
        <f t="shared" si="42"/>
        <v>0</v>
      </c>
      <c r="D396" s="200">
        <f t="shared" si="43"/>
        <v>0</v>
      </c>
      <c r="E396" s="200">
        <f t="shared" si="44"/>
        <v>0</v>
      </c>
      <c r="F396" s="199"/>
      <c r="G396" s="201">
        <v>333</v>
      </c>
      <c r="H396" s="200">
        <f t="shared" si="45"/>
        <v>0</v>
      </c>
      <c r="I396" s="200">
        <f t="shared" si="46"/>
        <v>0</v>
      </c>
      <c r="J396" s="200">
        <f t="shared" si="47"/>
        <v>0</v>
      </c>
      <c r="K396" s="200">
        <f t="shared" si="48"/>
        <v>0</v>
      </c>
      <c r="L396" s="199"/>
    </row>
    <row r="397" spans="1:12">
      <c r="A397" s="201">
        <v>334</v>
      </c>
      <c r="B397" s="200">
        <f t="shared" si="41"/>
        <v>0</v>
      </c>
      <c r="C397" s="200">
        <f t="shared" si="42"/>
        <v>0</v>
      </c>
      <c r="D397" s="200">
        <f t="shared" si="43"/>
        <v>0</v>
      </c>
      <c r="E397" s="200">
        <f t="shared" si="44"/>
        <v>0</v>
      </c>
      <c r="F397" s="199"/>
      <c r="G397" s="201">
        <v>334</v>
      </c>
      <c r="H397" s="200">
        <f t="shared" si="45"/>
        <v>0</v>
      </c>
      <c r="I397" s="200">
        <f t="shared" si="46"/>
        <v>0</v>
      </c>
      <c r="J397" s="200">
        <f t="shared" si="47"/>
        <v>0</v>
      </c>
      <c r="K397" s="200">
        <f t="shared" si="48"/>
        <v>0</v>
      </c>
      <c r="L397" s="199"/>
    </row>
    <row r="398" spans="1:12">
      <c r="A398" s="201">
        <v>335</v>
      </c>
      <c r="B398" s="200">
        <f t="shared" si="41"/>
        <v>0</v>
      </c>
      <c r="C398" s="200">
        <f t="shared" si="42"/>
        <v>0</v>
      </c>
      <c r="D398" s="200">
        <f t="shared" si="43"/>
        <v>0</v>
      </c>
      <c r="E398" s="200">
        <f t="shared" si="44"/>
        <v>0</v>
      </c>
      <c r="F398" s="199"/>
      <c r="G398" s="201">
        <v>335</v>
      </c>
      <c r="H398" s="200">
        <f t="shared" si="45"/>
        <v>0</v>
      </c>
      <c r="I398" s="200">
        <f t="shared" si="46"/>
        <v>0</v>
      </c>
      <c r="J398" s="200">
        <f t="shared" si="47"/>
        <v>0</v>
      </c>
      <c r="K398" s="200">
        <f t="shared" si="48"/>
        <v>0</v>
      </c>
      <c r="L398" s="199"/>
    </row>
    <row r="399" spans="1:12">
      <c r="A399" s="201">
        <v>336</v>
      </c>
      <c r="B399" s="200">
        <f t="shared" si="41"/>
        <v>0</v>
      </c>
      <c r="C399" s="200">
        <f t="shared" si="42"/>
        <v>0</v>
      </c>
      <c r="D399" s="200">
        <f t="shared" si="43"/>
        <v>0</v>
      </c>
      <c r="E399" s="200">
        <f t="shared" si="44"/>
        <v>0</v>
      </c>
      <c r="F399" s="199">
        <v>28</v>
      </c>
      <c r="G399" s="201">
        <v>336</v>
      </c>
      <c r="H399" s="200">
        <f t="shared" si="45"/>
        <v>0</v>
      </c>
      <c r="I399" s="200">
        <f t="shared" si="46"/>
        <v>0</v>
      </c>
      <c r="J399" s="200">
        <f t="shared" si="47"/>
        <v>0</v>
      </c>
      <c r="K399" s="200">
        <f t="shared" si="48"/>
        <v>0</v>
      </c>
      <c r="L399" s="199">
        <v>28</v>
      </c>
    </row>
    <row r="400" spans="1:12">
      <c r="A400" s="201">
        <v>337</v>
      </c>
      <c r="B400" s="200">
        <f t="shared" si="41"/>
        <v>0</v>
      </c>
      <c r="C400" s="200">
        <f t="shared" si="42"/>
        <v>0</v>
      </c>
      <c r="D400" s="200">
        <f t="shared" si="43"/>
        <v>0</v>
      </c>
      <c r="E400" s="200">
        <f t="shared" si="44"/>
        <v>0</v>
      </c>
      <c r="F400" s="199"/>
      <c r="G400" s="201">
        <v>337</v>
      </c>
      <c r="H400" s="200">
        <f t="shared" si="45"/>
        <v>0</v>
      </c>
      <c r="I400" s="200">
        <f t="shared" si="46"/>
        <v>0</v>
      </c>
      <c r="J400" s="200">
        <f t="shared" si="47"/>
        <v>0</v>
      </c>
      <c r="K400" s="200">
        <f t="shared" si="48"/>
        <v>0</v>
      </c>
      <c r="L400" s="199"/>
    </row>
    <row r="401" spans="1:12">
      <c r="A401" s="201">
        <v>338</v>
      </c>
      <c r="B401" s="200">
        <f t="shared" si="41"/>
        <v>0</v>
      </c>
      <c r="C401" s="200">
        <f t="shared" si="42"/>
        <v>0</v>
      </c>
      <c r="D401" s="200">
        <f t="shared" si="43"/>
        <v>0</v>
      </c>
      <c r="E401" s="200">
        <f t="shared" si="44"/>
        <v>0</v>
      </c>
      <c r="F401" s="199"/>
      <c r="G401" s="201">
        <v>338</v>
      </c>
      <c r="H401" s="200">
        <f t="shared" si="45"/>
        <v>0</v>
      </c>
      <c r="I401" s="200">
        <f t="shared" si="46"/>
        <v>0</v>
      </c>
      <c r="J401" s="200">
        <f t="shared" si="47"/>
        <v>0</v>
      </c>
      <c r="K401" s="200">
        <f t="shared" si="48"/>
        <v>0</v>
      </c>
      <c r="L401" s="199"/>
    </row>
    <row r="402" spans="1:12">
      <c r="A402" s="201">
        <v>339</v>
      </c>
      <c r="B402" s="200">
        <f t="shared" si="41"/>
        <v>0</v>
      </c>
      <c r="C402" s="200">
        <f t="shared" si="42"/>
        <v>0</v>
      </c>
      <c r="D402" s="200">
        <f t="shared" si="43"/>
        <v>0</v>
      </c>
      <c r="E402" s="200">
        <f t="shared" si="44"/>
        <v>0</v>
      </c>
      <c r="F402" s="199"/>
      <c r="G402" s="201">
        <v>339</v>
      </c>
      <c r="H402" s="200">
        <f t="shared" si="45"/>
        <v>0</v>
      </c>
      <c r="I402" s="200">
        <f t="shared" si="46"/>
        <v>0</v>
      </c>
      <c r="J402" s="200">
        <f t="shared" si="47"/>
        <v>0</v>
      </c>
      <c r="K402" s="200">
        <f t="shared" si="48"/>
        <v>0</v>
      </c>
      <c r="L402" s="199"/>
    </row>
    <row r="403" spans="1:12">
      <c r="A403" s="201">
        <v>340</v>
      </c>
      <c r="B403" s="200">
        <f t="shared" si="41"/>
        <v>0</v>
      </c>
      <c r="C403" s="200">
        <f t="shared" si="42"/>
        <v>0</v>
      </c>
      <c r="D403" s="200">
        <f t="shared" si="43"/>
        <v>0</v>
      </c>
      <c r="E403" s="200">
        <f t="shared" si="44"/>
        <v>0</v>
      </c>
      <c r="F403" s="199"/>
      <c r="G403" s="201">
        <v>340</v>
      </c>
      <c r="H403" s="200">
        <f t="shared" si="45"/>
        <v>0</v>
      </c>
      <c r="I403" s="200">
        <f t="shared" si="46"/>
        <v>0</v>
      </c>
      <c r="J403" s="200">
        <f t="shared" si="47"/>
        <v>0</v>
      </c>
      <c r="K403" s="200">
        <f t="shared" si="48"/>
        <v>0</v>
      </c>
      <c r="L403" s="199"/>
    </row>
    <row r="404" spans="1:12">
      <c r="A404" s="201">
        <v>341</v>
      </c>
      <c r="B404" s="200">
        <f t="shared" si="41"/>
        <v>0</v>
      </c>
      <c r="C404" s="200">
        <f t="shared" si="42"/>
        <v>0</v>
      </c>
      <c r="D404" s="200">
        <f t="shared" si="43"/>
        <v>0</v>
      </c>
      <c r="E404" s="200">
        <f t="shared" si="44"/>
        <v>0</v>
      </c>
      <c r="F404" s="199"/>
      <c r="G404" s="201">
        <v>341</v>
      </c>
      <c r="H404" s="200">
        <f t="shared" si="45"/>
        <v>0</v>
      </c>
      <c r="I404" s="200">
        <f t="shared" si="46"/>
        <v>0</v>
      </c>
      <c r="J404" s="200">
        <f t="shared" si="47"/>
        <v>0</v>
      </c>
      <c r="K404" s="200">
        <f t="shared" si="48"/>
        <v>0</v>
      </c>
      <c r="L404" s="199"/>
    </row>
    <row r="405" spans="1:12">
      <c r="A405" s="201">
        <v>342</v>
      </c>
      <c r="B405" s="200">
        <f t="shared" si="41"/>
        <v>0</v>
      </c>
      <c r="C405" s="200">
        <f t="shared" si="42"/>
        <v>0</v>
      </c>
      <c r="D405" s="200">
        <f t="shared" si="43"/>
        <v>0</v>
      </c>
      <c r="E405" s="200">
        <f t="shared" si="44"/>
        <v>0</v>
      </c>
      <c r="F405" s="199"/>
      <c r="G405" s="201">
        <v>342</v>
      </c>
      <c r="H405" s="200">
        <f t="shared" si="45"/>
        <v>0</v>
      </c>
      <c r="I405" s="200">
        <f t="shared" si="46"/>
        <v>0</v>
      </c>
      <c r="J405" s="200">
        <f t="shared" si="47"/>
        <v>0</v>
      </c>
      <c r="K405" s="200">
        <f t="shared" si="48"/>
        <v>0</v>
      </c>
      <c r="L405" s="199"/>
    </row>
    <row r="406" spans="1:12">
      <c r="A406" s="201">
        <v>343</v>
      </c>
      <c r="B406" s="200">
        <f t="shared" si="41"/>
        <v>0</v>
      </c>
      <c r="C406" s="200">
        <f t="shared" si="42"/>
        <v>0</v>
      </c>
      <c r="D406" s="200">
        <f t="shared" si="43"/>
        <v>0</v>
      </c>
      <c r="E406" s="200">
        <f t="shared" si="44"/>
        <v>0</v>
      </c>
      <c r="F406" s="199"/>
      <c r="G406" s="201">
        <v>343</v>
      </c>
      <c r="H406" s="200">
        <f t="shared" si="45"/>
        <v>0</v>
      </c>
      <c r="I406" s="200">
        <f t="shared" si="46"/>
        <v>0</v>
      </c>
      <c r="J406" s="200">
        <f t="shared" si="47"/>
        <v>0</v>
      </c>
      <c r="K406" s="200">
        <f t="shared" si="48"/>
        <v>0</v>
      </c>
      <c r="L406" s="199"/>
    </row>
    <row r="407" spans="1:12">
      <c r="A407" s="201">
        <v>344</v>
      </c>
      <c r="B407" s="200">
        <f t="shared" si="41"/>
        <v>0</v>
      </c>
      <c r="C407" s="200">
        <f t="shared" si="42"/>
        <v>0</v>
      </c>
      <c r="D407" s="200">
        <f t="shared" si="43"/>
        <v>0</v>
      </c>
      <c r="E407" s="200">
        <f t="shared" si="44"/>
        <v>0</v>
      </c>
      <c r="F407" s="199"/>
      <c r="G407" s="201">
        <v>344</v>
      </c>
      <c r="H407" s="200">
        <f t="shared" si="45"/>
        <v>0</v>
      </c>
      <c r="I407" s="200">
        <f t="shared" si="46"/>
        <v>0</v>
      </c>
      <c r="J407" s="200">
        <f t="shared" si="47"/>
        <v>0</v>
      </c>
      <c r="K407" s="200">
        <f t="shared" si="48"/>
        <v>0</v>
      </c>
      <c r="L407" s="199"/>
    </row>
    <row r="408" spans="1:12">
      <c r="A408" s="201">
        <v>345</v>
      </c>
      <c r="B408" s="200">
        <f t="shared" si="41"/>
        <v>0</v>
      </c>
      <c r="C408" s="200">
        <f t="shared" si="42"/>
        <v>0</v>
      </c>
      <c r="D408" s="200">
        <f t="shared" si="43"/>
        <v>0</v>
      </c>
      <c r="E408" s="200">
        <f t="shared" si="44"/>
        <v>0</v>
      </c>
      <c r="F408" s="199"/>
      <c r="G408" s="201">
        <v>345</v>
      </c>
      <c r="H408" s="200">
        <f t="shared" si="45"/>
        <v>0</v>
      </c>
      <c r="I408" s="200">
        <f t="shared" si="46"/>
        <v>0</v>
      </c>
      <c r="J408" s="200">
        <f t="shared" si="47"/>
        <v>0</v>
      </c>
      <c r="K408" s="200">
        <f t="shared" si="48"/>
        <v>0</v>
      </c>
      <c r="L408" s="199"/>
    </row>
    <row r="409" spans="1:12">
      <c r="A409" s="201">
        <v>346</v>
      </c>
      <c r="B409" s="200">
        <f t="shared" si="41"/>
        <v>0</v>
      </c>
      <c r="C409" s="200">
        <f t="shared" si="42"/>
        <v>0</v>
      </c>
      <c r="D409" s="200">
        <f t="shared" si="43"/>
        <v>0</v>
      </c>
      <c r="E409" s="200">
        <f t="shared" si="44"/>
        <v>0</v>
      </c>
      <c r="F409" s="199"/>
      <c r="G409" s="201">
        <v>346</v>
      </c>
      <c r="H409" s="200">
        <f t="shared" si="45"/>
        <v>0</v>
      </c>
      <c r="I409" s="200">
        <f t="shared" si="46"/>
        <v>0</v>
      </c>
      <c r="J409" s="200">
        <f t="shared" si="47"/>
        <v>0</v>
      </c>
      <c r="K409" s="200">
        <f t="shared" si="48"/>
        <v>0</v>
      </c>
      <c r="L409" s="199"/>
    </row>
    <row r="410" spans="1:12">
      <c r="A410" s="201">
        <v>347</v>
      </c>
      <c r="B410" s="200">
        <f t="shared" si="41"/>
        <v>0</v>
      </c>
      <c r="C410" s="200">
        <f t="shared" si="42"/>
        <v>0</v>
      </c>
      <c r="D410" s="200">
        <f t="shared" si="43"/>
        <v>0</v>
      </c>
      <c r="E410" s="200">
        <f t="shared" si="44"/>
        <v>0</v>
      </c>
      <c r="F410" s="199"/>
      <c r="G410" s="201">
        <v>347</v>
      </c>
      <c r="H410" s="200">
        <f t="shared" si="45"/>
        <v>0</v>
      </c>
      <c r="I410" s="200">
        <f t="shared" si="46"/>
        <v>0</v>
      </c>
      <c r="J410" s="200">
        <f t="shared" si="47"/>
        <v>0</v>
      </c>
      <c r="K410" s="200">
        <f t="shared" si="48"/>
        <v>0</v>
      </c>
      <c r="L410" s="199"/>
    </row>
    <row r="411" spans="1:12">
      <c r="A411" s="201">
        <v>348</v>
      </c>
      <c r="B411" s="200">
        <f t="shared" si="41"/>
        <v>0</v>
      </c>
      <c r="C411" s="200">
        <f t="shared" si="42"/>
        <v>0</v>
      </c>
      <c r="D411" s="200">
        <f t="shared" si="43"/>
        <v>0</v>
      </c>
      <c r="E411" s="200">
        <f t="shared" si="44"/>
        <v>0</v>
      </c>
      <c r="F411" s="199">
        <v>29</v>
      </c>
      <c r="G411" s="201">
        <v>348</v>
      </c>
      <c r="H411" s="200">
        <f t="shared" si="45"/>
        <v>0</v>
      </c>
      <c r="I411" s="200">
        <f t="shared" si="46"/>
        <v>0</v>
      </c>
      <c r="J411" s="200">
        <f t="shared" si="47"/>
        <v>0</v>
      </c>
      <c r="K411" s="200">
        <f t="shared" si="48"/>
        <v>0</v>
      </c>
      <c r="L411" s="199">
        <v>29</v>
      </c>
    </row>
    <row r="412" spans="1:12">
      <c r="A412" s="201">
        <v>349</v>
      </c>
      <c r="B412" s="200">
        <f t="shared" si="41"/>
        <v>0</v>
      </c>
      <c r="C412" s="200">
        <f t="shared" si="42"/>
        <v>0</v>
      </c>
      <c r="D412" s="200">
        <f t="shared" si="43"/>
        <v>0</v>
      </c>
      <c r="E412" s="200">
        <f t="shared" si="44"/>
        <v>0</v>
      </c>
      <c r="F412" s="199"/>
      <c r="G412" s="201">
        <v>349</v>
      </c>
      <c r="H412" s="200">
        <f t="shared" si="45"/>
        <v>0</v>
      </c>
      <c r="I412" s="200">
        <f t="shared" si="46"/>
        <v>0</v>
      </c>
      <c r="J412" s="200">
        <f t="shared" si="47"/>
        <v>0</v>
      </c>
      <c r="K412" s="200">
        <f t="shared" si="48"/>
        <v>0</v>
      </c>
      <c r="L412" s="199"/>
    </row>
    <row r="413" spans="1:12">
      <c r="A413" s="201">
        <v>350</v>
      </c>
      <c r="B413" s="200">
        <f t="shared" si="41"/>
        <v>0</v>
      </c>
      <c r="C413" s="200">
        <f t="shared" si="42"/>
        <v>0</v>
      </c>
      <c r="D413" s="200">
        <f t="shared" si="43"/>
        <v>0</v>
      </c>
      <c r="E413" s="200">
        <f t="shared" si="44"/>
        <v>0</v>
      </c>
      <c r="F413" s="199"/>
      <c r="G413" s="201">
        <v>350</v>
      </c>
      <c r="H413" s="200">
        <f t="shared" si="45"/>
        <v>0</v>
      </c>
      <c r="I413" s="200">
        <f t="shared" si="46"/>
        <v>0</v>
      </c>
      <c r="J413" s="200">
        <f t="shared" si="47"/>
        <v>0</v>
      </c>
      <c r="K413" s="200">
        <f t="shared" si="48"/>
        <v>0</v>
      </c>
      <c r="L413" s="199"/>
    </row>
    <row r="414" spans="1:12">
      <c r="A414" s="201">
        <v>351</v>
      </c>
      <c r="B414" s="200">
        <f t="shared" si="41"/>
        <v>0</v>
      </c>
      <c r="C414" s="200">
        <f t="shared" si="42"/>
        <v>0</v>
      </c>
      <c r="D414" s="200">
        <f t="shared" si="43"/>
        <v>0</v>
      </c>
      <c r="E414" s="200">
        <f t="shared" si="44"/>
        <v>0</v>
      </c>
      <c r="F414" s="199"/>
      <c r="G414" s="201">
        <v>351</v>
      </c>
      <c r="H414" s="200">
        <f t="shared" si="45"/>
        <v>0</v>
      </c>
      <c r="I414" s="200">
        <f t="shared" si="46"/>
        <v>0</v>
      </c>
      <c r="J414" s="200">
        <f t="shared" si="47"/>
        <v>0</v>
      </c>
      <c r="K414" s="200">
        <f t="shared" si="48"/>
        <v>0</v>
      </c>
      <c r="L414" s="199"/>
    </row>
    <row r="415" spans="1:12">
      <c r="A415" s="201">
        <v>352</v>
      </c>
      <c r="B415" s="200">
        <f t="shared" si="41"/>
        <v>0</v>
      </c>
      <c r="C415" s="200">
        <f t="shared" si="42"/>
        <v>0</v>
      </c>
      <c r="D415" s="200">
        <f t="shared" si="43"/>
        <v>0</v>
      </c>
      <c r="E415" s="200">
        <f t="shared" si="44"/>
        <v>0</v>
      </c>
      <c r="F415" s="199"/>
      <c r="G415" s="201">
        <v>352</v>
      </c>
      <c r="H415" s="200">
        <f t="shared" si="45"/>
        <v>0</v>
      </c>
      <c r="I415" s="200">
        <f t="shared" si="46"/>
        <v>0</v>
      </c>
      <c r="J415" s="200">
        <f t="shared" si="47"/>
        <v>0</v>
      </c>
      <c r="K415" s="200">
        <f t="shared" si="48"/>
        <v>0</v>
      </c>
      <c r="L415" s="199"/>
    </row>
    <row r="416" spans="1:12">
      <c r="A416" s="201">
        <v>353</v>
      </c>
      <c r="B416" s="200">
        <f t="shared" si="41"/>
        <v>0</v>
      </c>
      <c r="C416" s="200">
        <f t="shared" si="42"/>
        <v>0</v>
      </c>
      <c r="D416" s="200">
        <f t="shared" si="43"/>
        <v>0</v>
      </c>
      <c r="E416" s="200">
        <f t="shared" si="44"/>
        <v>0</v>
      </c>
      <c r="F416" s="199"/>
      <c r="G416" s="201">
        <v>353</v>
      </c>
      <c r="H416" s="200">
        <f t="shared" si="45"/>
        <v>0</v>
      </c>
      <c r="I416" s="200">
        <f t="shared" si="46"/>
        <v>0</v>
      </c>
      <c r="J416" s="200">
        <f t="shared" si="47"/>
        <v>0</v>
      </c>
      <c r="K416" s="200">
        <f t="shared" si="48"/>
        <v>0</v>
      </c>
      <c r="L416" s="199"/>
    </row>
    <row r="417" spans="1:12">
      <c r="A417" s="201">
        <v>354</v>
      </c>
      <c r="B417" s="200">
        <f t="shared" si="41"/>
        <v>0</v>
      </c>
      <c r="C417" s="200">
        <f t="shared" si="42"/>
        <v>0</v>
      </c>
      <c r="D417" s="200">
        <f t="shared" si="43"/>
        <v>0</v>
      </c>
      <c r="E417" s="200">
        <f t="shared" si="44"/>
        <v>0</v>
      </c>
      <c r="F417" s="199"/>
      <c r="G417" s="201">
        <v>354</v>
      </c>
      <c r="H417" s="200">
        <f t="shared" si="45"/>
        <v>0</v>
      </c>
      <c r="I417" s="200">
        <f t="shared" si="46"/>
        <v>0</v>
      </c>
      <c r="J417" s="200">
        <f t="shared" si="47"/>
        <v>0</v>
      </c>
      <c r="K417" s="200">
        <f t="shared" si="48"/>
        <v>0</v>
      </c>
      <c r="L417" s="199"/>
    </row>
    <row r="418" spans="1:12">
      <c r="A418" s="201">
        <v>355</v>
      </c>
      <c r="B418" s="200">
        <f t="shared" si="41"/>
        <v>0</v>
      </c>
      <c r="C418" s="200">
        <f t="shared" si="42"/>
        <v>0</v>
      </c>
      <c r="D418" s="200">
        <f t="shared" si="43"/>
        <v>0</v>
      </c>
      <c r="E418" s="200">
        <f t="shared" si="44"/>
        <v>0</v>
      </c>
      <c r="F418" s="199"/>
      <c r="G418" s="201">
        <v>355</v>
      </c>
      <c r="H418" s="200">
        <f t="shared" si="45"/>
        <v>0</v>
      </c>
      <c r="I418" s="200">
        <f t="shared" si="46"/>
        <v>0</v>
      </c>
      <c r="J418" s="200">
        <f t="shared" si="47"/>
        <v>0</v>
      </c>
      <c r="K418" s="200">
        <f t="shared" si="48"/>
        <v>0</v>
      </c>
      <c r="L418" s="199"/>
    </row>
    <row r="419" spans="1:12">
      <c r="A419" s="201">
        <v>356</v>
      </c>
      <c r="B419" s="200">
        <f t="shared" si="41"/>
        <v>0</v>
      </c>
      <c r="C419" s="200">
        <f t="shared" si="42"/>
        <v>0</v>
      </c>
      <c r="D419" s="200">
        <f t="shared" si="43"/>
        <v>0</v>
      </c>
      <c r="E419" s="200">
        <f t="shared" si="44"/>
        <v>0</v>
      </c>
      <c r="F419" s="199"/>
      <c r="G419" s="201">
        <v>356</v>
      </c>
      <c r="H419" s="200">
        <f t="shared" si="45"/>
        <v>0</v>
      </c>
      <c r="I419" s="200">
        <f t="shared" si="46"/>
        <v>0</v>
      </c>
      <c r="J419" s="200">
        <f t="shared" si="47"/>
        <v>0</v>
      </c>
      <c r="K419" s="200">
        <f t="shared" si="48"/>
        <v>0</v>
      </c>
      <c r="L419" s="199"/>
    </row>
    <row r="420" spans="1:12">
      <c r="A420" s="201">
        <v>357</v>
      </c>
      <c r="B420" s="200">
        <f t="shared" si="41"/>
        <v>0</v>
      </c>
      <c r="C420" s="200">
        <f t="shared" si="42"/>
        <v>0</v>
      </c>
      <c r="D420" s="200">
        <f t="shared" si="43"/>
        <v>0</v>
      </c>
      <c r="E420" s="200">
        <f t="shared" si="44"/>
        <v>0</v>
      </c>
      <c r="F420" s="199"/>
      <c r="G420" s="201">
        <v>357</v>
      </c>
      <c r="H420" s="200">
        <f t="shared" si="45"/>
        <v>0</v>
      </c>
      <c r="I420" s="200">
        <f t="shared" si="46"/>
        <v>0</v>
      </c>
      <c r="J420" s="200">
        <f t="shared" si="47"/>
        <v>0</v>
      </c>
      <c r="K420" s="200">
        <f t="shared" si="48"/>
        <v>0</v>
      </c>
      <c r="L420" s="199"/>
    </row>
    <row r="421" spans="1:12">
      <c r="A421" s="201">
        <v>358</v>
      </c>
      <c r="B421" s="200">
        <f t="shared" si="41"/>
        <v>0</v>
      </c>
      <c r="C421" s="200">
        <f t="shared" si="42"/>
        <v>0</v>
      </c>
      <c r="D421" s="200">
        <f t="shared" si="43"/>
        <v>0</v>
      </c>
      <c r="E421" s="200">
        <f t="shared" si="44"/>
        <v>0</v>
      </c>
      <c r="F421" s="199"/>
      <c r="G421" s="201">
        <v>358</v>
      </c>
      <c r="H421" s="200">
        <f t="shared" si="45"/>
        <v>0</v>
      </c>
      <c r="I421" s="200">
        <f t="shared" si="46"/>
        <v>0</v>
      </c>
      <c r="J421" s="200">
        <f t="shared" si="47"/>
        <v>0</v>
      </c>
      <c r="K421" s="200">
        <f t="shared" si="48"/>
        <v>0</v>
      </c>
      <c r="L421" s="199"/>
    </row>
    <row r="422" spans="1:12">
      <c r="A422" s="201">
        <v>359</v>
      </c>
      <c r="B422" s="200">
        <f t="shared" si="41"/>
        <v>0</v>
      </c>
      <c r="C422" s="200">
        <f t="shared" si="42"/>
        <v>0</v>
      </c>
      <c r="D422" s="200">
        <f t="shared" si="43"/>
        <v>0</v>
      </c>
      <c r="E422" s="200">
        <f t="shared" si="44"/>
        <v>0</v>
      </c>
      <c r="F422" s="199"/>
      <c r="G422" s="201">
        <v>359</v>
      </c>
      <c r="H422" s="200">
        <f t="shared" si="45"/>
        <v>0</v>
      </c>
      <c r="I422" s="200">
        <f t="shared" si="46"/>
        <v>0</v>
      </c>
      <c r="J422" s="200">
        <f t="shared" si="47"/>
        <v>0</v>
      </c>
      <c r="K422" s="200">
        <f t="shared" si="48"/>
        <v>0</v>
      </c>
      <c r="L422" s="199"/>
    </row>
    <row r="423" spans="1:12">
      <c r="A423" s="201">
        <v>360</v>
      </c>
      <c r="B423" s="200">
        <f t="shared" si="41"/>
        <v>0</v>
      </c>
      <c r="C423" s="200">
        <f t="shared" si="42"/>
        <v>0</v>
      </c>
      <c r="D423" s="200">
        <f t="shared" si="43"/>
        <v>0</v>
      </c>
      <c r="E423" s="200">
        <f t="shared" si="44"/>
        <v>0</v>
      </c>
      <c r="F423" s="199">
        <v>30</v>
      </c>
      <c r="G423" s="201">
        <v>360</v>
      </c>
      <c r="H423" s="200">
        <f t="shared" si="45"/>
        <v>0</v>
      </c>
      <c r="I423" s="200">
        <f t="shared" si="46"/>
        <v>0</v>
      </c>
      <c r="J423" s="200">
        <f t="shared" si="47"/>
        <v>0</v>
      </c>
      <c r="K423" s="200">
        <f t="shared" si="48"/>
        <v>0</v>
      </c>
      <c r="L423" s="199">
        <v>30</v>
      </c>
    </row>
    <row r="424" spans="1:12">
      <c r="A424" s="201">
        <v>361</v>
      </c>
      <c r="B424" s="200">
        <f t="shared" si="41"/>
        <v>0</v>
      </c>
      <c r="C424" s="200">
        <f t="shared" si="42"/>
        <v>0</v>
      </c>
      <c r="D424" s="200">
        <f t="shared" si="43"/>
        <v>0</v>
      </c>
      <c r="E424" s="200">
        <f t="shared" si="44"/>
        <v>0</v>
      </c>
      <c r="F424" s="199"/>
      <c r="G424" s="201">
        <v>361</v>
      </c>
      <c r="H424" s="200">
        <f t="shared" si="45"/>
        <v>0</v>
      </c>
      <c r="I424" s="200">
        <f t="shared" si="46"/>
        <v>0</v>
      </c>
      <c r="J424" s="200">
        <f t="shared" si="47"/>
        <v>0</v>
      </c>
      <c r="K424" s="200">
        <f t="shared" si="48"/>
        <v>0</v>
      </c>
      <c r="L424" s="199"/>
    </row>
    <row r="425" spans="1:12">
      <c r="A425" s="201">
        <v>362</v>
      </c>
      <c r="B425" s="200">
        <f t="shared" si="41"/>
        <v>0</v>
      </c>
      <c r="C425" s="200">
        <f t="shared" si="42"/>
        <v>0</v>
      </c>
      <c r="D425" s="200">
        <f t="shared" si="43"/>
        <v>0</v>
      </c>
      <c r="E425" s="200">
        <f t="shared" si="44"/>
        <v>0</v>
      </c>
      <c r="F425" s="199"/>
      <c r="G425" s="201">
        <v>362</v>
      </c>
      <c r="H425" s="200">
        <f t="shared" si="45"/>
        <v>0</v>
      </c>
      <c r="I425" s="200">
        <f t="shared" si="46"/>
        <v>0</v>
      </c>
      <c r="J425" s="200">
        <f t="shared" si="47"/>
        <v>0</v>
      </c>
      <c r="K425" s="200">
        <f t="shared" si="48"/>
        <v>0</v>
      </c>
      <c r="L425" s="199"/>
    </row>
    <row r="426" spans="1:12">
      <c r="A426" s="201">
        <v>363</v>
      </c>
      <c r="B426" s="200">
        <f t="shared" si="41"/>
        <v>0</v>
      </c>
      <c r="C426" s="200">
        <f t="shared" si="42"/>
        <v>0</v>
      </c>
      <c r="D426" s="200">
        <f t="shared" si="43"/>
        <v>0</v>
      </c>
      <c r="E426" s="200">
        <f t="shared" si="44"/>
        <v>0</v>
      </c>
      <c r="F426" s="199"/>
      <c r="G426" s="201">
        <v>363</v>
      </c>
      <c r="H426" s="200">
        <f t="shared" si="45"/>
        <v>0</v>
      </c>
      <c r="I426" s="200">
        <f t="shared" si="46"/>
        <v>0</v>
      </c>
      <c r="J426" s="200">
        <f t="shared" si="47"/>
        <v>0</v>
      </c>
      <c r="K426" s="200">
        <f t="shared" si="48"/>
        <v>0</v>
      </c>
      <c r="L426" s="199"/>
    </row>
    <row r="427" spans="1:12">
      <c r="A427" s="201">
        <v>364</v>
      </c>
      <c r="B427" s="200">
        <f t="shared" si="41"/>
        <v>0</v>
      </c>
      <c r="C427" s="200">
        <f t="shared" si="42"/>
        <v>0</v>
      </c>
      <c r="D427" s="200">
        <f t="shared" si="43"/>
        <v>0</v>
      </c>
      <c r="E427" s="200">
        <f t="shared" si="44"/>
        <v>0</v>
      </c>
      <c r="F427" s="199"/>
      <c r="G427" s="201">
        <v>364</v>
      </c>
      <c r="H427" s="200">
        <f t="shared" si="45"/>
        <v>0</v>
      </c>
      <c r="I427" s="200">
        <f t="shared" si="46"/>
        <v>0</v>
      </c>
      <c r="J427" s="200">
        <f t="shared" si="47"/>
        <v>0</v>
      </c>
      <c r="K427" s="200">
        <f t="shared" si="48"/>
        <v>0</v>
      </c>
      <c r="L427" s="199"/>
    </row>
    <row r="428" spans="1:12">
      <c r="A428" s="201">
        <v>365</v>
      </c>
      <c r="B428" s="200">
        <f t="shared" si="41"/>
        <v>0</v>
      </c>
      <c r="C428" s="200">
        <f t="shared" si="42"/>
        <v>0</v>
      </c>
      <c r="D428" s="200">
        <f t="shared" si="43"/>
        <v>0</v>
      </c>
      <c r="E428" s="200">
        <f t="shared" si="44"/>
        <v>0</v>
      </c>
      <c r="F428" s="199"/>
      <c r="G428" s="201">
        <v>365</v>
      </c>
      <c r="H428" s="200">
        <f t="shared" si="45"/>
        <v>0</v>
      </c>
      <c r="I428" s="200">
        <f t="shared" si="46"/>
        <v>0</v>
      </c>
      <c r="J428" s="200">
        <f t="shared" si="47"/>
        <v>0</v>
      </c>
      <c r="K428" s="200">
        <f t="shared" si="48"/>
        <v>0</v>
      </c>
      <c r="L428" s="199"/>
    </row>
    <row r="429" spans="1:12">
      <c r="A429" s="201">
        <v>366</v>
      </c>
      <c r="B429" s="200">
        <f t="shared" si="41"/>
        <v>0</v>
      </c>
      <c r="C429" s="200">
        <f t="shared" si="42"/>
        <v>0</v>
      </c>
      <c r="D429" s="200">
        <f t="shared" si="43"/>
        <v>0</v>
      </c>
      <c r="E429" s="200">
        <f t="shared" si="44"/>
        <v>0</v>
      </c>
      <c r="F429" s="199"/>
      <c r="G429" s="201">
        <v>366</v>
      </c>
      <c r="H429" s="200">
        <f t="shared" si="45"/>
        <v>0</v>
      </c>
      <c r="I429" s="200">
        <f t="shared" si="46"/>
        <v>0</v>
      </c>
      <c r="J429" s="200">
        <f t="shared" si="47"/>
        <v>0</v>
      </c>
      <c r="K429" s="200">
        <f t="shared" si="48"/>
        <v>0</v>
      </c>
      <c r="L429" s="199"/>
    </row>
    <row r="430" spans="1:12">
      <c r="A430" s="201">
        <v>367</v>
      </c>
      <c r="B430" s="200">
        <f t="shared" si="41"/>
        <v>0</v>
      </c>
      <c r="C430" s="200">
        <f t="shared" si="42"/>
        <v>0</v>
      </c>
      <c r="D430" s="200">
        <f t="shared" si="43"/>
        <v>0</v>
      </c>
      <c r="E430" s="200">
        <f t="shared" si="44"/>
        <v>0</v>
      </c>
      <c r="F430" s="199"/>
      <c r="G430" s="201">
        <v>367</v>
      </c>
      <c r="H430" s="200">
        <f t="shared" si="45"/>
        <v>0</v>
      </c>
      <c r="I430" s="200">
        <f t="shared" si="46"/>
        <v>0</v>
      </c>
      <c r="J430" s="200">
        <f t="shared" si="47"/>
        <v>0</v>
      </c>
      <c r="K430" s="200">
        <f t="shared" si="48"/>
        <v>0</v>
      </c>
      <c r="L430" s="199"/>
    </row>
    <row r="431" spans="1:12">
      <c r="A431" s="201">
        <v>368</v>
      </c>
      <c r="B431" s="200">
        <f t="shared" si="41"/>
        <v>0</v>
      </c>
      <c r="C431" s="200">
        <f t="shared" si="42"/>
        <v>0</v>
      </c>
      <c r="D431" s="200">
        <f t="shared" si="43"/>
        <v>0</v>
      </c>
      <c r="E431" s="200">
        <f t="shared" si="44"/>
        <v>0</v>
      </c>
      <c r="F431" s="199"/>
      <c r="G431" s="201">
        <v>368</v>
      </c>
      <c r="H431" s="200">
        <f t="shared" si="45"/>
        <v>0</v>
      </c>
      <c r="I431" s="200">
        <f t="shared" si="46"/>
        <v>0</v>
      </c>
      <c r="J431" s="200">
        <f t="shared" si="47"/>
        <v>0</v>
      </c>
      <c r="K431" s="200">
        <f t="shared" si="48"/>
        <v>0</v>
      </c>
      <c r="L431" s="199"/>
    </row>
    <row r="432" spans="1:12">
      <c r="A432" s="201">
        <v>369</v>
      </c>
      <c r="B432" s="200">
        <f t="shared" si="41"/>
        <v>0</v>
      </c>
      <c r="C432" s="200">
        <f t="shared" si="42"/>
        <v>0</v>
      </c>
      <c r="D432" s="200">
        <f t="shared" si="43"/>
        <v>0</v>
      </c>
      <c r="E432" s="200">
        <f t="shared" si="44"/>
        <v>0</v>
      </c>
      <c r="F432" s="199"/>
      <c r="G432" s="201">
        <v>369</v>
      </c>
      <c r="H432" s="200">
        <f t="shared" si="45"/>
        <v>0</v>
      </c>
      <c r="I432" s="200">
        <f t="shared" si="46"/>
        <v>0</v>
      </c>
      <c r="J432" s="200">
        <f t="shared" si="47"/>
        <v>0</v>
      </c>
      <c r="K432" s="200">
        <f t="shared" si="48"/>
        <v>0</v>
      </c>
      <c r="L432" s="199"/>
    </row>
    <row r="433" spans="1:12">
      <c r="A433" s="201">
        <v>370</v>
      </c>
      <c r="B433" s="200">
        <f t="shared" si="41"/>
        <v>0</v>
      </c>
      <c r="C433" s="200">
        <f t="shared" si="42"/>
        <v>0</v>
      </c>
      <c r="D433" s="200">
        <f t="shared" si="43"/>
        <v>0</v>
      </c>
      <c r="E433" s="200">
        <f t="shared" si="44"/>
        <v>0</v>
      </c>
      <c r="F433" s="199"/>
      <c r="G433" s="201">
        <v>370</v>
      </c>
      <c r="H433" s="200">
        <f t="shared" si="45"/>
        <v>0</v>
      </c>
      <c r="I433" s="200">
        <f t="shared" si="46"/>
        <v>0</v>
      </c>
      <c r="J433" s="200">
        <f t="shared" si="47"/>
        <v>0</v>
      </c>
      <c r="K433" s="200">
        <f t="shared" si="48"/>
        <v>0</v>
      </c>
      <c r="L433" s="199"/>
    </row>
    <row r="434" spans="1:12">
      <c r="A434" s="201">
        <v>371</v>
      </c>
      <c r="B434" s="200">
        <f t="shared" si="41"/>
        <v>0</v>
      </c>
      <c r="C434" s="200">
        <f t="shared" si="42"/>
        <v>0</v>
      </c>
      <c r="D434" s="200">
        <f t="shared" si="43"/>
        <v>0</v>
      </c>
      <c r="E434" s="200">
        <f t="shared" si="44"/>
        <v>0</v>
      </c>
      <c r="F434" s="199"/>
      <c r="G434" s="201">
        <v>371</v>
      </c>
      <c r="H434" s="200">
        <f t="shared" si="45"/>
        <v>0</v>
      </c>
      <c r="I434" s="200">
        <f t="shared" si="46"/>
        <v>0</v>
      </c>
      <c r="J434" s="200">
        <f t="shared" si="47"/>
        <v>0</v>
      </c>
      <c r="K434" s="200">
        <f t="shared" si="48"/>
        <v>0</v>
      </c>
      <c r="L434" s="199"/>
    </row>
    <row r="435" spans="1:12">
      <c r="A435" s="201">
        <v>372</v>
      </c>
      <c r="B435" s="200">
        <f t="shared" si="41"/>
        <v>0</v>
      </c>
      <c r="C435" s="200">
        <f t="shared" si="42"/>
        <v>0</v>
      </c>
      <c r="D435" s="200">
        <f t="shared" si="43"/>
        <v>0</v>
      </c>
      <c r="E435" s="200">
        <f t="shared" si="44"/>
        <v>0</v>
      </c>
      <c r="F435" s="199">
        <v>31</v>
      </c>
      <c r="G435" s="201">
        <v>372</v>
      </c>
      <c r="H435" s="200">
        <f t="shared" si="45"/>
        <v>0</v>
      </c>
      <c r="I435" s="200">
        <f t="shared" si="46"/>
        <v>0</v>
      </c>
      <c r="J435" s="200">
        <f t="shared" si="47"/>
        <v>0</v>
      </c>
      <c r="K435" s="200">
        <f t="shared" si="48"/>
        <v>0</v>
      </c>
      <c r="L435" s="199">
        <v>31</v>
      </c>
    </row>
    <row r="436" spans="1:12">
      <c r="A436" s="201">
        <v>373</v>
      </c>
      <c r="B436" s="200">
        <f t="shared" si="41"/>
        <v>0</v>
      </c>
      <c r="C436" s="200">
        <f t="shared" si="42"/>
        <v>0</v>
      </c>
      <c r="D436" s="200">
        <f t="shared" si="43"/>
        <v>0</v>
      </c>
      <c r="E436" s="200">
        <f t="shared" si="44"/>
        <v>0</v>
      </c>
      <c r="F436" s="199"/>
      <c r="G436" s="201">
        <v>373</v>
      </c>
      <c r="H436" s="200">
        <f t="shared" si="45"/>
        <v>0</v>
      </c>
      <c r="I436" s="200">
        <f t="shared" si="46"/>
        <v>0</v>
      </c>
      <c r="J436" s="200">
        <f t="shared" si="47"/>
        <v>0</v>
      </c>
      <c r="K436" s="200">
        <f t="shared" si="48"/>
        <v>0</v>
      </c>
      <c r="L436" s="199"/>
    </row>
    <row r="437" spans="1:12">
      <c r="A437" s="201">
        <v>374</v>
      </c>
      <c r="B437" s="200">
        <f t="shared" si="41"/>
        <v>0</v>
      </c>
      <c r="C437" s="200">
        <f t="shared" si="42"/>
        <v>0</v>
      </c>
      <c r="D437" s="200">
        <f t="shared" si="43"/>
        <v>0</v>
      </c>
      <c r="E437" s="200">
        <f t="shared" si="44"/>
        <v>0</v>
      </c>
      <c r="F437" s="199"/>
      <c r="G437" s="201">
        <v>374</v>
      </c>
      <c r="H437" s="200">
        <f t="shared" si="45"/>
        <v>0</v>
      </c>
      <c r="I437" s="200">
        <f t="shared" si="46"/>
        <v>0</v>
      </c>
      <c r="J437" s="200">
        <f t="shared" si="47"/>
        <v>0</v>
      </c>
      <c r="K437" s="200">
        <f t="shared" si="48"/>
        <v>0</v>
      </c>
      <c r="L437" s="199"/>
    </row>
    <row r="438" spans="1:12">
      <c r="A438" s="201">
        <v>375</v>
      </c>
      <c r="B438" s="200">
        <f t="shared" si="41"/>
        <v>0</v>
      </c>
      <c r="C438" s="200">
        <f t="shared" si="42"/>
        <v>0</v>
      </c>
      <c r="D438" s="200">
        <f t="shared" si="43"/>
        <v>0</v>
      </c>
      <c r="E438" s="200">
        <f t="shared" si="44"/>
        <v>0</v>
      </c>
      <c r="F438" s="199"/>
      <c r="G438" s="201">
        <v>375</v>
      </c>
      <c r="H438" s="200">
        <f t="shared" si="45"/>
        <v>0</v>
      </c>
      <c r="I438" s="200">
        <f t="shared" si="46"/>
        <v>0</v>
      </c>
      <c r="J438" s="200">
        <f t="shared" si="47"/>
        <v>0</v>
      </c>
      <c r="K438" s="200">
        <f t="shared" si="48"/>
        <v>0</v>
      </c>
      <c r="L438" s="199"/>
    </row>
    <row r="439" spans="1:12">
      <c r="A439" s="201">
        <v>376</v>
      </c>
      <c r="B439" s="200">
        <f t="shared" si="41"/>
        <v>0</v>
      </c>
      <c r="C439" s="200">
        <f t="shared" si="42"/>
        <v>0</v>
      </c>
      <c r="D439" s="200">
        <f t="shared" si="43"/>
        <v>0</v>
      </c>
      <c r="E439" s="200">
        <f t="shared" si="44"/>
        <v>0</v>
      </c>
      <c r="F439" s="199"/>
      <c r="G439" s="201">
        <v>376</v>
      </c>
      <c r="H439" s="200">
        <f t="shared" si="45"/>
        <v>0</v>
      </c>
      <c r="I439" s="200">
        <f t="shared" si="46"/>
        <v>0</v>
      </c>
      <c r="J439" s="200">
        <f t="shared" si="47"/>
        <v>0</v>
      </c>
      <c r="K439" s="200">
        <f t="shared" si="48"/>
        <v>0</v>
      </c>
      <c r="L439" s="199"/>
    </row>
    <row r="440" spans="1:12">
      <c r="A440" s="201">
        <v>377</v>
      </c>
      <c r="B440" s="200">
        <f t="shared" si="41"/>
        <v>0</v>
      </c>
      <c r="C440" s="200">
        <f t="shared" si="42"/>
        <v>0</v>
      </c>
      <c r="D440" s="200">
        <f t="shared" si="43"/>
        <v>0</v>
      </c>
      <c r="E440" s="200">
        <f t="shared" si="44"/>
        <v>0</v>
      </c>
      <c r="F440" s="199"/>
      <c r="G440" s="201">
        <v>377</v>
      </c>
      <c r="H440" s="200">
        <f t="shared" si="45"/>
        <v>0</v>
      </c>
      <c r="I440" s="200">
        <f t="shared" si="46"/>
        <v>0</v>
      </c>
      <c r="J440" s="200">
        <f t="shared" si="47"/>
        <v>0</v>
      </c>
      <c r="K440" s="200">
        <f t="shared" si="48"/>
        <v>0</v>
      </c>
      <c r="L440" s="199"/>
    </row>
    <row r="441" spans="1:12">
      <c r="A441" s="201">
        <v>378</v>
      </c>
      <c r="B441" s="200">
        <f t="shared" si="41"/>
        <v>0</v>
      </c>
      <c r="C441" s="200">
        <f t="shared" si="42"/>
        <v>0</v>
      </c>
      <c r="D441" s="200">
        <f t="shared" si="43"/>
        <v>0</v>
      </c>
      <c r="E441" s="200">
        <f t="shared" si="44"/>
        <v>0</v>
      </c>
      <c r="F441" s="199"/>
      <c r="G441" s="201">
        <v>378</v>
      </c>
      <c r="H441" s="200">
        <f t="shared" si="45"/>
        <v>0</v>
      </c>
      <c r="I441" s="200">
        <f t="shared" si="46"/>
        <v>0</v>
      </c>
      <c r="J441" s="200">
        <f t="shared" si="47"/>
        <v>0</v>
      </c>
      <c r="K441" s="200">
        <f t="shared" si="48"/>
        <v>0</v>
      </c>
      <c r="L441" s="199"/>
    </row>
    <row r="442" spans="1:12">
      <c r="A442" s="201">
        <v>379</v>
      </c>
      <c r="B442" s="200">
        <f t="shared" si="41"/>
        <v>0</v>
      </c>
      <c r="C442" s="200">
        <f t="shared" si="42"/>
        <v>0</v>
      </c>
      <c r="D442" s="200">
        <f t="shared" si="43"/>
        <v>0</v>
      </c>
      <c r="E442" s="200">
        <f t="shared" si="44"/>
        <v>0</v>
      </c>
      <c r="F442" s="199"/>
      <c r="G442" s="201">
        <v>379</v>
      </c>
      <c r="H442" s="200">
        <f t="shared" si="45"/>
        <v>0</v>
      </c>
      <c r="I442" s="200">
        <f t="shared" si="46"/>
        <v>0</v>
      </c>
      <c r="J442" s="200">
        <f t="shared" si="47"/>
        <v>0</v>
      </c>
      <c r="K442" s="200">
        <f t="shared" si="48"/>
        <v>0</v>
      </c>
      <c r="L442" s="199"/>
    </row>
    <row r="443" spans="1:12">
      <c r="A443" s="201">
        <v>380</v>
      </c>
      <c r="B443" s="200">
        <f t="shared" si="41"/>
        <v>0</v>
      </c>
      <c r="C443" s="200">
        <f t="shared" si="42"/>
        <v>0</v>
      </c>
      <c r="D443" s="200">
        <f t="shared" si="43"/>
        <v>0</v>
      </c>
      <c r="E443" s="200">
        <f t="shared" si="44"/>
        <v>0</v>
      </c>
      <c r="F443" s="199"/>
      <c r="G443" s="201">
        <v>380</v>
      </c>
      <c r="H443" s="200">
        <f t="shared" si="45"/>
        <v>0</v>
      </c>
      <c r="I443" s="200">
        <f t="shared" si="46"/>
        <v>0</v>
      </c>
      <c r="J443" s="200">
        <f t="shared" si="47"/>
        <v>0</v>
      </c>
      <c r="K443" s="200">
        <f t="shared" si="48"/>
        <v>0</v>
      </c>
      <c r="L443" s="199"/>
    </row>
    <row r="444" spans="1:12">
      <c r="A444" s="201">
        <v>381</v>
      </c>
      <c r="B444" s="200">
        <f t="shared" si="41"/>
        <v>0</v>
      </c>
      <c r="C444" s="200">
        <f t="shared" si="42"/>
        <v>0</v>
      </c>
      <c r="D444" s="200">
        <f t="shared" si="43"/>
        <v>0</v>
      </c>
      <c r="E444" s="200">
        <f t="shared" si="44"/>
        <v>0</v>
      </c>
      <c r="F444" s="199"/>
      <c r="G444" s="201">
        <v>381</v>
      </c>
      <c r="H444" s="200">
        <f t="shared" si="45"/>
        <v>0</v>
      </c>
      <c r="I444" s="200">
        <f t="shared" si="46"/>
        <v>0</v>
      </c>
      <c r="J444" s="200">
        <f t="shared" si="47"/>
        <v>0</v>
      </c>
      <c r="K444" s="200">
        <f t="shared" si="48"/>
        <v>0</v>
      </c>
      <c r="L444" s="199"/>
    </row>
    <row r="445" spans="1:12">
      <c r="A445" s="201">
        <v>382</v>
      </c>
      <c r="B445" s="200">
        <f t="shared" si="41"/>
        <v>0</v>
      </c>
      <c r="C445" s="200">
        <f t="shared" si="42"/>
        <v>0</v>
      </c>
      <c r="D445" s="200">
        <f t="shared" si="43"/>
        <v>0</v>
      </c>
      <c r="E445" s="200">
        <f t="shared" si="44"/>
        <v>0</v>
      </c>
      <c r="F445" s="199"/>
      <c r="G445" s="201">
        <v>382</v>
      </c>
      <c r="H445" s="200">
        <f t="shared" si="45"/>
        <v>0</v>
      </c>
      <c r="I445" s="200">
        <f t="shared" si="46"/>
        <v>0</v>
      </c>
      <c r="J445" s="200">
        <f t="shared" si="47"/>
        <v>0</v>
      </c>
      <c r="K445" s="200">
        <f t="shared" si="48"/>
        <v>0</v>
      </c>
      <c r="L445" s="199"/>
    </row>
    <row r="446" spans="1:12">
      <c r="A446" s="201">
        <v>383</v>
      </c>
      <c r="B446" s="200">
        <f t="shared" si="41"/>
        <v>0</v>
      </c>
      <c r="C446" s="200">
        <f t="shared" si="42"/>
        <v>0</v>
      </c>
      <c r="D446" s="200">
        <f t="shared" si="43"/>
        <v>0</v>
      </c>
      <c r="E446" s="200">
        <f t="shared" si="44"/>
        <v>0</v>
      </c>
      <c r="F446" s="199"/>
      <c r="G446" s="201">
        <v>383</v>
      </c>
      <c r="H446" s="200">
        <f t="shared" si="45"/>
        <v>0</v>
      </c>
      <c r="I446" s="200">
        <f t="shared" si="46"/>
        <v>0</v>
      </c>
      <c r="J446" s="200">
        <f t="shared" si="47"/>
        <v>0</v>
      </c>
      <c r="K446" s="200">
        <f t="shared" si="48"/>
        <v>0</v>
      </c>
      <c r="L446" s="199"/>
    </row>
    <row r="447" spans="1:12">
      <c r="A447" s="201">
        <v>384</v>
      </c>
      <c r="B447" s="200">
        <f t="shared" si="41"/>
        <v>0</v>
      </c>
      <c r="C447" s="200">
        <f t="shared" si="42"/>
        <v>0</v>
      </c>
      <c r="D447" s="200">
        <f t="shared" si="43"/>
        <v>0</v>
      </c>
      <c r="E447" s="200">
        <f t="shared" si="44"/>
        <v>0</v>
      </c>
      <c r="F447" s="199">
        <v>32</v>
      </c>
      <c r="G447" s="201">
        <v>384</v>
      </c>
      <c r="H447" s="200">
        <f t="shared" si="45"/>
        <v>0</v>
      </c>
      <c r="I447" s="200">
        <f t="shared" si="46"/>
        <v>0</v>
      </c>
      <c r="J447" s="200">
        <f t="shared" si="47"/>
        <v>0</v>
      </c>
      <c r="K447" s="200">
        <f t="shared" si="48"/>
        <v>0</v>
      </c>
      <c r="L447" s="199">
        <v>32</v>
      </c>
    </row>
    <row r="448" spans="1:12">
      <c r="A448" s="201">
        <v>385</v>
      </c>
      <c r="B448" s="200">
        <f t="shared" ref="B448:B511" si="49">IF(A448&gt;12*$C$9,0,IF($C$5&gt;1500000,$D$12,$C$12))</f>
        <v>0</v>
      </c>
      <c r="C448" s="200">
        <f t="shared" ref="C448:C511" si="50">IF(A448&gt;12*$C$9,0,E447*$C$7/12)</f>
        <v>0</v>
      </c>
      <c r="D448" s="200">
        <f t="shared" ref="D448:D511" si="51">IF(A448&gt;12*$C$9,0,B448-C448)</f>
        <v>0</v>
      </c>
      <c r="E448" s="200">
        <f t="shared" ref="E448:E511" si="52">IF(A448&gt;12*$C$9,0,E447-D448)</f>
        <v>0</v>
      </c>
      <c r="F448" s="199"/>
      <c r="G448" s="201">
        <v>385</v>
      </c>
      <c r="H448" s="200">
        <f t="shared" ref="H448:H511" si="53">IF(G448&gt;12*$C$9,0,IF($C$5&gt;1500000,$E$12,0))</f>
        <v>0</v>
      </c>
      <c r="I448" s="200">
        <f t="shared" ref="I448:I511" si="54">IF(G448&gt;12*$C$9,0,K447*$C$7/12)</f>
        <v>0</v>
      </c>
      <c r="J448" s="200">
        <f t="shared" ref="J448:J511" si="55">IF(G448&gt;12*$C$9,0,H448-I448)</f>
        <v>0</v>
      </c>
      <c r="K448" s="200">
        <f t="shared" ref="K448:K511" si="56">IF(G448&gt;12*$C$9,0,K447-J448)</f>
        <v>0</v>
      </c>
      <c r="L448" s="199"/>
    </row>
    <row r="449" spans="1:12">
      <c r="A449" s="201">
        <v>386</v>
      </c>
      <c r="B449" s="200">
        <f t="shared" si="49"/>
        <v>0</v>
      </c>
      <c r="C449" s="200">
        <f t="shared" si="50"/>
        <v>0</v>
      </c>
      <c r="D449" s="200">
        <f t="shared" si="51"/>
        <v>0</v>
      </c>
      <c r="E449" s="200">
        <f t="shared" si="52"/>
        <v>0</v>
      </c>
      <c r="F449" s="199"/>
      <c r="G449" s="201">
        <v>386</v>
      </c>
      <c r="H449" s="200">
        <f t="shared" si="53"/>
        <v>0</v>
      </c>
      <c r="I449" s="200">
        <f t="shared" si="54"/>
        <v>0</v>
      </c>
      <c r="J449" s="200">
        <f t="shared" si="55"/>
        <v>0</v>
      </c>
      <c r="K449" s="200">
        <f t="shared" si="56"/>
        <v>0</v>
      </c>
      <c r="L449" s="199"/>
    </row>
    <row r="450" spans="1:12">
      <c r="A450" s="201">
        <v>387</v>
      </c>
      <c r="B450" s="200">
        <f t="shared" si="49"/>
        <v>0</v>
      </c>
      <c r="C450" s="200">
        <f t="shared" si="50"/>
        <v>0</v>
      </c>
      <c r="D450" s="200">
        <f t="shared" si="51"/>
        <v>0</v>
      </c>
      <c r="E450" s="200">
        <f t="shared" si="52"/>
        <v>0</v>
      </c>
      <c r="F450" s="199"/>
      <c r="G450" s="201">
        <v>387</v>
      </c>
      <c r="H450" s="200">
        <f t="shared" si="53"/>
        <v>0</v>
      </c>
      <c r="I450" s="200">
        <f t="shared" si="54"/>
        <v>0</v>
      </c>
      <c r="J450" s="200">
        <f t="shared" si="55"/>
        <v>0</v>
      </c>
      <c r="K450" s="200">
        <f t="shared" si="56"/>
        <v>0</v>
      </c>
      <c r="L450" s="199"/>
    </row>
    <row r="451" spans="1:12">
      <c r="A451" s="201">
        <v>388</v>
      </c>
      <c r="B451" s="200">
        <f t="shared" si="49"/>
        <v>0</v>
      </c>
      <c r="C451" s="200">
        <f t="shared" si="50"/>
        <v>0</v>
      </c>
      <c r="D451" s="200">
        <f t="shared" si="51"/>
        <v>0</v>
      </c>
      <c r="E451" s="200">
        <f t="shared" si="52"/>
        <v>0</v>
      </c>
      <c r="F451" s="199"/>
      <c r="G451" s="201">
        <v>388</v>
      </c>
      <c r="H451" s="200">
        <f t="shared" si="53"/>
        <v>0</v>
      </c>
      <c r="I451" s="200">
        <f t="shared" si="54"/>
        <v>0</v>
      </c>
      <c r="J451" s="200">
        <f t="shared" si="55"/>
        <v>0</v>
      </c>
      <c r="K451" s="200">
        <f t="shared" si="56"/>
        <v>0</v>
      </c>
      <c r="L451" s="199"/>
    </row>
    <row r="452" spans="1:12">
      <c r="A452" s="201">
        <v>389</v>
      </c>
      <c r="B452" s="200">
        <f t="shared" si="49"/>
        <v>0</v>
      </c>
      <c r="C452" s="200">
        <f t="shared" si="50"/>
        <v>0</v>
      </c>
      <c r="D452" s="200">
        <f t="shared" si="51"/>
        <v>0</v>
      </c>
      <c r="E452" s="200">
        <f t="shared" si="52"/>
        <v>0</v>
      </c>
      <c r="F452" s="199"/>
      <c r="G452" s="201">
        <v>389</v>
      </c>
      <c r="H452" s="200">
        <f t="shared" si="53"/>
        <v>0</v>
      </c>
      <c r="I452" s="200">
        <f t="shared" si="54"/>
        <v>0</v>
      </c>
      <c r="J452" s="200">
        <f t="shared" si="55"/>
        <v>0</v>
      </c>
      <c r="K452" s="200">
        <f t="shared" si="56"/>
        <v>0</v>
      </c>
      <c r="L452" s="199"/>
    </row>
    <row r="453" spans="1:12">
      <c r="A453" s="201">
        <v>390</v>
      </c>
      <c r="B453" s="200">
        <f t="shared" si="49"/>
        <v>0</v>
      </c>
      <c r="C453" s="200">
        <f t="shared" si="50"/>
        <v>0</v>
      </c>
      <c r="D453" s="200">
        <f t="shared" si="51"/>
        <v>0</v>
      </c>
      <c r="E453" s="200">
        <f t="shared" si="52"/>
        <v>0</v>
      </c>
      <c r="F453" s="199"/>
      <c r="G453" s="201">
        <v>390</v>
      </c>
      <c r="H453" s="200">
        <f t="shared" si="53"/>
        <v>0</v>
      </c>
      <c r="I453" s="200">
        <f t="shared" si="54"/>
        <v>0</v>
      </c>
      <c r="J453" s="200">
        <f t="shared" si="55"/>
        <v>0</v>
      </c>
      <c r="K453" s="200">
        <f t="shared" si="56"/>
        <v>0</v>
      </c>
      <c r="L453" s="199"/>
    </row>
    <row r="454" spans="1:12">
      <c r="A454" s="201">
        <v>391</v>
      </c>
      <c r="B454" s="200">
        <f t="shared" si="49"/>
        <v>0</v>
      </c>
      <c r="C454" s="200">
        <f t="shared" si="50"/>
        <v>0</v>
      </c>
      <c r="D454" s="200">
        <f t="shared" si="51"/>
        <v>0</v>
      </c>
      <c r="E454" s="200">
        <f t="shared" si="52"/>
        <v>0</v>
      </c>
      <c r="F454" s="199"/>
      <c r="G454" s="201">
        <v>391</v>
      </c>
      <c r="H454" s="200">
        <f t="shared" si="53"/>
        <v>0</v>
      </c>
      <c r="I454" s="200">
        <f t="shared" si="54"/>
        <v>0</v>
      </c>
      <c r="J454" s="200">
        <f t="shared" si="55"/>
        <v>0</v>
      </c>
      <c r="K454" s="200">
        <f t="shared" si="56"/>
        <v>0</v>
      </c>
      <c r="L454" s="199"/>
    </row>
    <row r="455" spans="1:12">
      <c r="A455" s="201">
        <v>392</v>
      </c>
      <c r="B455" s="200">
        <f t="shared" si="49"/>
        <v>0</v>
      </c>
      <c r="C455" s="200">
        <f t="shared" si="50"/>
        <v>0</v>
      </c>
      <c r="D455" s="200">
        <f t="shared" si="51"/>
        <v>0</v>
      </c>
      <c r="E455" s="200">
        <f t="shared" si="52"/>
        <v>0</v>
      </c>
      <c r="F455" s="199"/>
      <c r="G455" s="201">
        <v>392</v>
      </c>
      <c r="H455" s="200">
        <f t="shared" si="53"/>
        <v>0</v>
      </c>
      <c r="I455" s="200">
        <f t="shared" si="54"/>
        <v>0</v>
      </c>
      <c r="J455" s="200">
        <f t="shared" si="55"/>
        <v>0</v>
      </c>
      <c r="K455" s="200">
        <f t="shared" si="56"/>
        <v>0</v>
      </c>
      <c r="L455" s="199"/>
    </row>
    <row r="456" spans="1:12">
      <c r="A456" s="201">
        <v>393</v>
      </c>
      <c r="B456" s="200">
        <f t="shared" si="49"/>
        <v>0</v>
      </c>
      <c r="C456" s="200">
        <f t="shared" si="50"/>
        <v>0</v>
      </c>
      <c r="D456" s="200">
        <f t="shared" si="51"/>
        <v>0</v>
      </c>
      <c r="E456" s="200">
        <f t="shared" si="52"/>
        <v>0</v>
      </c>
      <c r="F456" s="199"/>
      <c r="G456" s="201">
        <v>393</v>
      </c>
      <c r="H456" s="200">
        <f t="shared" si="53"/>
        <v>0</v>
      </c>
      <c r="I456" s="200">
        <f t="shared" si="54"/>
        <v>0</v>
      </c>
      <c r="J456" s="200">
        <f t="shared" si="55"/>
        <v>0</v>
      </c>
      <c r="K456" s="200">
        <f t="shared" si="56"/>
        <v>0</v>
      </c>
      <c r="L456" s="199"/>
    </row>
    <row r="457" spans="1:12">
      <c r="A457" s="201">
        <v>394</v>
      </c>
      <c r="B457" s="200">
        <f t="shared" si="49"/>
        <v>0</v>
      </c>
      <c r="C457" s="200">
        <f t="shared" si="50"/>
        <v>0</v>
      </c>
      <c r="D457" s="200">
        <f t="shared" si="51"/>
        <v>0</v>
      </c>
      <c r="E457" s="200">
        <f t="shared" si="52"/>
        <v>0</v>
      </c>
      <c r="F457" s="199"/>
      <c r="G457" s="201">
        <v>394</v>
      </c>
      <c r="H457" s="200">
        <f t="shared" si="53"/>
        <v>0</v>
      </c>
      <c r="I457" s="200">
        <f t="shared" si="54"/>
        <v>0</v>
      </c>
      <c r="J457" s="200">
        <f t="shared" si="55"/>
        <v>0</v>
      </c>
      <c r="K457" s="200">
        <f t="shared" si="56"/>
        <v>0</v>
      </c>
      <c r="L457" s="199"/>
    </row>
    <row r="458" spans="1:12">
      <c r="A458" s="201">
        <v>395</v>
      </c>
      <c r="B458" s="200">
        <f t="shared" si="49"/>
        <v>0</v>
      </c>
      <c r="C458" s="200">
        <f t="shared" si="50"/>
        <v>0</v>
      </c>
      <c r="D458" s="200">
        <f t="shared" si="51"/>
        <v>0</v>
      </c>
      <c r="E458" s="200">
        <f t="shared" si="52"/>
        <v>0</v>
      </c>
      <c r="F458" s="199"/>
      <c r="G458" s="201">
        <v>395</v>
      </c>
      <c r="H458" s="200">
        <f t="shared" si="53"/>
        <v>0</v>
      </c>
      <c r="I458" s="200">
        <f t="shared" si="54"/>
        <v>0</v>
      </c>
      <c r="J458" s="200">
        <f t="shared" si="55"/>
        <v>0</v>
      </c>
      <c r="K458" s="200">
        <f t="shared" si="56"/>
        <v>0</v>
      </c>
      <c r="L458" s="199"/>
    </row>
    <row r="459" spans="1:12">
      <c r="A459" s="201">
        <v>396</v>
      </c>
      <c r="B459" s="200">
        <f t="shared" si="49"/>
        <v>0</v>
      </c>
      <c r="C459" s="200">
        <f t="shared" si="50"/>
        <v>0</v>
      </c>
      <c r="D459" s="200">
        <f t="shared" si="51"/>
        <v>0</v>
      </c>
      <c r="E459" s="200">
        <f t="shared" si="52"/>
        <v>0</v>
      </c>
      <c r="F459" s="199">
        <v>33</v>
      </c>
      <c r="G459" s="201">
        <v>396</v>
      </c>
      <c r="H459" s="200">
        <f t="shared" si="53"/>
        <v>0</v>
      </c>
      <c r="I459" s="200">
        <f t="shared" si="54"/>
        <v>0</v>
      </c>
      <c r="J459" s="200">
        <f t="shared" si="55"/>
        <v>0</v>
      </c>
      <c r="K459" s="200">
        <f t="shared" si="56"/>
        <v>0</v>
      </c>
      <c r="L459" s="199">
        <v>33</v>
      </c>
    </row>
    <row r="460" spans="1:12">
      <c r="A460" s="201">
        <v>397</v>
      </c>
      <c r="B460" s="200">
        <f t="shared" si="49"/>
        <v>0</v>
      </c>
      <c r="C460" s="200">
        <f t="shared" si="50"/>
        <v>0</v>
      </c>
      <c r="D460" s="200">
        <f t="shared" si="51"/>
        <v>0</v>
      </c>
      <c r="E460" s="200">
        <f t="shared" si="52"/>
        <v>0</v>
      </c>
      <c r="F460" s="199"/>
      <c r="G460" s="201">
        <v>397</v>
      </c>
      <c r="H460" s="200">
        <f t="shared" si="53"/>
        <v>0</v>
      </c>
      <c r="I460" s="200">
        <f t="shared" si="54"/>
        <v>0</v>
      </c>
      <c r="J460" s="200">
        <f t="shared" si="55"/>
        <v>0</v>
      </c>
      <c r="K460" s="200">
        <f t="shared" si="56"/>
        <v>0</v>
      </c>
      <c r="L460" s="199"/>
    </row>
    <row r="461" spans="1:12">
      <c r="A461" s="201">
        <v>398</v>
      </c>
      <c r="B461" s="200">
        <f t="shared" si="49"/>
        <v>0</v>
      </c>
      <c r="C461" s="200">
        <f t="shared" si="50"/>
        <v>0</v>
      </c>
      <c r="D461" s="200">
        <f t="shared" si="51"/>
        <v>0</v>
      </c>
      <c r="E461" s="200">
        <f t="shared" si="52"/>
        <v>0</v>
      </c>
      <c r="F461" s="199"/>
      <c r="G461" s="201">
        <v>398</v>
      </c>
      <c r="H461" s="200">
        <f t="shared" si="53"/>
        <v>0</v>
      </c>
      <c r="I461" s="200">
        <f t="shared" si="54"/>
        <v>0</v>
      </c>
      <c r="J461" s="200">
        <f t="shared" si="55"/>
        <v>0</v>
      </c>
      <c r="K461" s="200">
        <f t="shared" si="56"/>
        <v>0</v>
      </c>
      <c r="L461" s="199"/>
    </row>
    <row r="462" spans="1:12">
      <c r="A462" s="201">
        <v>399</v>
      </c>
      <c r="B462" s="200">
        <f t="shared" si="49"/>
        <v>0</v>
      </c>
      <c r="C462" s="200">
        <f t="shared" si="50"/>
        <v>0</v>
      </c>
      <c r="D462" s="200">
        <f t="shared" si="51"/>
        <v>0</v>
      </c>
      <c r="E462" s="200">
        <f t="shared" si="52"/>
        <v>0</v>
      </c>
      <c r="F462" s="199"/>
      <c r="G462" s="201">
        <v>399</v>
      </c>
      <c r="H462" s="200">
        <f t="shared" si="53"/>
        <v>0</v>
      </c>
      <c r="I462" s="200">
        <f t="shared" si="54"/>
        <v>0</v>
      </c>
      <c r="J462" s="200">
        <f t="shared" si="55"/>
        <v>0</v>
      </c>
      <c r="K462" s="200">
        <f t="shared" si="56"/>
        <v>0</v>
      </c>
      <c r="L462" s="199"/>
    </row>
    <row r="463" spans="1:12">
      <c r="A463" s="201">
        <v>400</v>
      </c>
      <c r="B463" s="200">
        <f t="shared" si="49"/>
        <v>0</v>
      </c>
      <c r="C463" s="200">
        <f t="shared" si="50"/>
        <v>0</v>
      </c>
      <c r="D463" s="200">
        <f t="shared" si="51"/>
        <v>0</v>
      </c>
      <c r="E463" s="200">
        <f t="shared" si="52"/>
        <v>0</v>
      </c>
      <c r="F463" s="199"/>
      <c r="G463" s="201">
        <v>400</v>
      </c>
      <c r="H463" s="200">
        <f t="shared" si="53"/>
        <v>0</v>
      </c>
      <c r="I463" s="200">
        <f t="shared" si="54"/>
        <v>0</v>
      </c>
      <c r="J463" s="200">
        <f t="shared" si="55"/>
        <v>0</v>
      </c>
      <c r="K463" s="200">
        <f t="shared" si="56"/>
        <v>0</v>
      </c>
      <c r="L463" s="199"/>
    </row>
    <row r="464" spans="1:12">
      <c r="A464" s="201">
        <v>401</v>
      </c>
      <c r="B464" s="200">
        <f t="shared" si="49"/>
        <v>0</v>
      </c>
      <c r="C464" s="200">
        <f t="shared" si="50"/>
        <v>0</v>
      </c>
      <c r="D464" s="200">
        <f t="shared" si="51"/>
        <v>0</v>
      </c>
      <c r="E464" s="200">
        <f t="shared" si="52"/>
        <v>0</v>
      </c>
      <c r="F464" s="199"/>
      <c r="G464" s="201">
        <v>401</v>
      </c>
      <c r="H464" s="200">
        <f t="shared" si="53"/>
        <v>0</v>
      </c>
      <c r="I464" s="200">
        <f t="shared" si="54"/>
        <v>0</v>
      </c>
      <c r="J464" s="200">
        <f t="shared" si="55"/>
        <v>0</v>
      </c>
      <c r="K464" s="200">
        <f t="shared" si="56"/>
        <v>0</v>
      </c>
      <c r="L464" s="199"/>
    </row>
    <row r="465" spans="1:12">
      <c r="A465" s="201">
        <v>402</v>
      </c>
      <c r="B465" s="200">
        <f t="shared" si="49"/>
        <v>0</v>
      </c>
      <c r="C465" s="200">
        <f t="shared" si="50"/>
        <v>0</v>
      </c>
      <c r="D465" s="200">
        <f t="shared" si="51"/>
        <v>0</v>
      </c>
      <c r="E465" s="200">
        <f t="shared" si="52"/>
        <v>0</v>
      </c>
      <c r="F465" s="199"/>
      <c r="G465" s="201">
        <v>402</v>
      </c>
      <c r="H465" s="200">
        <f t="shared" si="53"/>
        <v>0</v>
      </c>
      <c r="I465" s="200">
        <f t="shared" si="54"/>
        <v>0</v>
      </c>
      <c r="J465" s="200">
        <f t="shared" si="55"/>
        <v>0</v>
      </c>
      <c r="K465" s="200">
        <f t="shared" si="56"/>
        <v>0</v>
      </c>
      <c r="L465" s="199"/>
    </row>
    <row r="466" spans="1:12">
      <c r="A466" s="201">
        <v>403</v>
      </c>
      <c r="B466" s="200">
        <f t="shared" si="49"/>
        <v>0</v>
      </c>
      <c r="C466" s="200">
        <f t="shared" si="50"/>
        <v>0</v>
      </c>
      <c r="D466" s="200">
        <f t="shared" si="51"/>
        <v>0</v>
      </c>
      <c r="E466" s="200">
        <f t="shared" si="52"/>
        <v>0</v>
      </c>
      <c r="F466" s="199"/>
      <c r="G466" s="201">
        <v>403</v>
      </c>
      <c r="H466" s="200">
        <f t="shared" si="53"/>
        <v>0</v>
      </c>
      <c r="I466" s="200">
        <f t="shared" si="54"/>
        <v>0</v>
      </c>
      <c r="J466" s="200">
        <f t="shared" si="55"/>
        <v>0</v>
      </c>
      <c r="K466" s="200">
        <f t="shared" si="56"/>
        <v>0</v>
      </c>
      <c r="L466" s="199"/>
    </row>
    <row r="467" spans="1:12">
      <c r="A467" s="201">
        <v>404</v>
      </c>
      <c r="B467" s="200">
        <f t="shared" si="49"/>
        <v>0</v>
      </c>
      <c r="C467" s="200">
        <f t="shared" si="50"/>
        <v>0</v>
      </c>
      <c r="D467" s="200">
        <f t="shared" si="51"/>
        <v>0</v>
      </c>
      <c r="E467" s="200">
        <f t="shared" si="52"/>
        <v>0</v>
      </c>
      <c r="F467" s="199"/>
      <c r="G467" s="201">
        <v>404</v>
      </c>
      <c r="H467" s="200">
        <f t="shared" si="53"/>
        <v>0</v>
      </c>
      <c r="I467" s="200">
        <f t="shared" si="54"/>
        <v>0</v>
      </c>
      <c r="J467" s="200">
        <f t="shared" si="55"/>
        <v>0</v>
      </c>
      <c r="K467" s="200">
        <f t="shared" si="56"/>
        <v>0</v>
      </c>
      <c r="L467" s="199"/>
    </row>
    <row r="468" spans="1:12">
      <c r="A468" s="201">
        <v>405</v>
      </c>
      <c r="B468" s="200">
        <f t="shared" si="49"/>
        <v>0</v>
      </c>
      <c r="C468" s="200">
        <f t="shared" si="50"/>
        <v>0</v>
      </c>
      <c r="D468" s="200">
        <f t="shared" si="51"/>
        <v>0</v>
      </c>
      <c r="E468" s="200">
        <f t="shared" si="52"/>
        <v>0</v>
      </c>
      <c r="F468" s="199"/>
      <c r="G468" s="201">
        <v>405</v>
      </c>
      <c r="H468" s="200">
        <f t="shared" si="53"/>
        <v>0</v>
      </c>
      <c r="I468" s="200">
        <f t="shared" si="54"/>
        <v>0</v>
      </c>
      <c r="J468" s="200">
        <f t="shared" si="55"/>
        <v>0</v>
      </c>
      <c r="K468" s="200">
        <f t="shared" si="56"/>
        <v>0</v>
      </c>
      <c r="L468" s="199"/>
    </row>
    <row r="469" spans="1:12">
      <c r="A469" s="201">
        <v>406</v>
      </c>
      <c r="B469" s="200">
        <f t="shared" si="49"/>
        <v>0</v>
      </c>
      <c r="C469" s="200">
        <f t="shared" si="50"/>
        <v>0</v>
      </c>
      <c r="D469" s="200">
        <f t="shared" si="51"/>
        <v>0</v>
      </c>
      <c r="E469" s="200">
        <f t="shared" si="52"/>
        <v>0</v>
      </c>
      <c r="F469" s="199"/>
      <c r="G469" s="201">
        <v>406</v>
      </c>
      <c r="H469" s="200">
        <f t="shared" si="53"/>
        <v>0</v>
      </c>
      <c r="I469" s="200">
        <f t="shared" si="54"/>
        <v>0</v>
      </c>
      <c r="J469" s="200">
        <f t="shared" si="55"/>
        <v>0</v>
      </c>
      <c r="K469" s="200">
        <f t="shared" si="56"/>
        <v>0</v>
      </c>
      <c r="L469" s="199"/>
    </row>
    <row r="470" spans="1:12">
      <c r="A470" s="201">
        <v>407</v>
      </c>
      <c r="B470" s="200">
        <f t="shared" si="49"/>
        <v>0</v>
      </c>
      <c r="C470" s="200">
        <f t="shared" si="50"/>
        <v>0</v>
      </c>
      <c r="D470" s="200">
        <f t="shared" si="51"/>
        <v>0</v>
      </c>
      <c r="E470" s="200">
        <f t="shared" si="52"/>
        <v>0</v>
      </c>
      <c r="F470" s="199"/>
      <c r="G470" s="201">
        <v>407</v>
      </c>
      <c r="H470" s="200">
        <f t="shared" si="53"/>
        <v>0</v>
      </c>
      <c r="I470" s="200">
        <f t="shared" si="54"/>
        <v>0</v>
      </c>
      <c r="J470" s="200">
        <f t="shared" si="55"/>
        <v>0</v>
      </c>
      <c r="K470" s="200">
        <f t="shared" si="56"/>
        <v>0</v>
      </c>
      <c r="L470" s="199"/>
    </row>
    <row r="471" spans="1:12">
      <c r="A471" s="201">
        <v>408</v>
      </c>
      <c r="B471" s="200">
        <f t="shared" si="49"/>
        <v>0</v>
      </c>
      <c r="C471" s="200">
        <f t="shared" si="50"/>
        <v>0</v>
      </c>
      <c r="D471" s="200">
        <f t="shared" si="51"/>
        <v>0</v>
      </c>
      <c r="E471" s="200">
        <f t="shared" si="52"/>
        <v>0</v>
      </c>
      <c r="F471" s="199">
        <v>34</v>
      </c>
      <c r="G471" s="201">
        <v>408</v>
      </c>
      <c r="H471" s="200">
        <f t="shared" si="53"/>
        <v>0</v>
      </c>
      <c r="I471" s="200">
        <f t="shared" si="54"/>
        <v>0</v>
      </c>
      <c r="J471" s="200">
        <f t="shared" si="55"/>
        <v>0</v>
      </c>
      <c r="K471" s="200">
        <f t="shared" si="56"/>
        <v>0</v>
      </c>
      <c r="L471" s="199">
        <v>34</v>
      </c>
    </row>
    <row r="472" spans="1:12">
      <c r="A472" s="201">
        <v>409</v>
      </c>
      <c r="B472" s="200">
        <f t="shared" si="49"/>
        <v>0</v>
      </c>
      <c r="C472" s="200">
        <f t="shared" si="50"/>
        <v>0</v>
      </c>
      <c r="D472" s="200">
        <f t="shared" si="51"/>
        <v>0</v>
      </c>
      <c r="E472" s="200">
        <f t="shared" si="52"/>
        <v>0</v>
      </c>
      <c r="F472" s="199"/>
      <c r="G472" s="201">
        <v>409</v>
      </c>
      <c r="H472" s="200">
        <f t="shared" si="53"/>
        <v>0</v>
      </c>
      <c r="I472" s="200">
        <f t="shared" si="54"/>
        <v>0</v>
      </c>
      <c r="J472" s="200">
        <f t="shared" si="55"/>
        <v>0</v>
      </c>
      <c r="K472" s="200">
        <f t="shared" si="56"/>
        <v>0</v>
      </c>
      <c r="L472" s="199"/>
    </row>
    <row r="473" spans="1:12">
      <c r="A473" s="201">
        <v>410</v>
      </c>
      <c r="B473" s="200">
        <f t="shared" si="49"/>
        <v>0</v>
      </c>
      <c r="C473" s="200">
        <f t="shared" si="50"/>
        <v>0</v>
      </c>
      <c r="D473" s="200">
        <f t="shared" si="51"/>
        <v>0</v>
      </c>
      <c r="E473" s="200">
        <f t="shared" si="52"/>
        <v>0</v>
      </c>
      <c r="F473" s="199"/>
      <c r="G473" s="201">
        <v>410</v>
      </c>
      <c r="H473" s="200">
        <f t="shared" si="53"/>
        <v>0</v>
      </c>
      <c r="I473" s="200">
        <f t="shared" si="54"/>
        <v>0</v>
      </c>
      <c r="J473" s="200">
        <f t="shared" si="55"/>
        <v>0</v>
      </c>
      <c r="K473" s="200">
        <f t="shared" si="56"/>
        <v>0</v>
      </c>
      <c r="L473" s="199"/>
    </row>
    <row r="474" spans="1:12">
      <c r="A474" s="201">
        <v>411</v>
      </c>
      <c r="B474" s="200">
        <f t="shared" si="49"/>
        <v>0</v>
      </c>
      <c r="C474" s="200">
        <f t="shared" si="50"/>
        <v>0</v>
      </c>
      <c r="D474" s="200">
        <f t="shared" si="51"/>
        <v>0</v>
      </c>
      <c r="E474" s="200">
        <f t="shared" si="52"/>
        <v>0</v>
      </c>
      <c r="F474" s="199"/>
      <c r="G474" s="201">
        <v>411</v>
      </c>
      <c r="H474" s="200">
        <f t="shared" si="53"/>
        <v>0</v>
      </c>
      <c r="I474" s="200">
        <f t="shared" si="54"/>
        <v>0</v>
      </c>
      <c r="J474" s="200">
        <f t="shared" si="55"/>
        <v>0</v>
      </c>
      <c r="K474" s="200">
        <f t="shared" si="56"/>
        <v>0</v>
      </c>
      <c r="L474" s="199"/>
    </row>
    <row r="475" spans="1:12">
      <c r="A475" s="201">
        <v>412</v>
      </c>
      <c r="B475" s="200">
        <f t="shared" si="49"/>
        <v>0</v>
      </c>
      <c r="C475" s="200">
        <f t="shared" si="50"/>
        <v>0</v>
      </c>
      <c r="D475" s="200">
        <f t="shared" si="51"/>
        <v>0</v>
      </c>
      <c r="E475" s="200">
        <f t="shared" si="52"/>
        <v>0</v>
      </c>
      <c r="F475" s="199"/>
      <c r="G475" s="201">
        <v>412</v>
      </c>
      <c r="H475" s="200">
        <f t="shared" si="53"/>
        <v>0</v>
      </c>
      <c r="I475" s="200">
        <f t="shared" si="54"/>
        <v>0</v>
      </c>
      <c r="J475" s="200">
        <f t="shared" si="55"/>
        <v>0</v>
      </c>
      <c r="K475" s="200">
        <f t="shared" si="56"/>
        <v>0</v>
      </c>
      <c r="L475" s="199"/>
    </row>
    <row r="476" spans="1:12">
      <c r="A476" s="201">
        <v>413</v>
      </c>
      <c r="B476" s="200">
        <f t="shared" si="49"/>
        <v>0</v>
      </c>
      <c r="C476" s="200">
        <f t="shared" si="50"/>
        <v>0</v>
      </c>
      <c r="D476" s="200">
        <f t="shared" si="51"/>
        <v>0</v>
      </c>
      <c r="E476" s="200">
        <f t="shared" si="52"/>
        <v>0</v>
      </c>
      <c r="F476" s="199"/>
      <c r="G476" s="201">
        <v>413</v>
      </c>
      <c r="H476" s="200">
        <f t="shared" si="53"/>
        <v>0</v>
      </c>
      <c r="I476" s="200">
        <f t="shared" si="54"/>
        <v>0</v>
      </c>
      <c r="J476" s="200">
        <f t="shared" si="55"/>
        <v>0</v>
      </c>
      <c r="K476" s="200">
        <f t="shared" si="56"/>
        <v>0</v>
      </c>
      <c r="L476" s="199"/>
    </row>
    <row r="477" spans="1:12">
      <c r="A477" s="201">
        <v>414</v>
      </c>
      <c r="B477" s="200">
        <f t="shared" si="49"/>
        <v>0</v>
      </c>
      <c r="C477" s="200">
        <f t="shared" si="50"/>
        <v>0</v>
      </c>
      <c r="D477" s="200">
        <f t="shared" si="51"/>
        <v>0</v>
      </c>
      <c r="E477" s="200">
        <f t="shared" si="52"/>
        <v>0</v>
      </c>
      <c r="F477" s="199"/>
      <c r="G477" s="201">
        <v>414</v>
      </c>
      <c r="H477" s="200">
        <f t="shared" si="53"/>
        <v>0</v>
      </c>
      <c r="I477" s="200">
        <f t="shared" si="54"/>
        <v>0</v>
      </c>
      <c r="J477" s="200">
        <f t="shared" si="55"/>
        <v>0</v>
      </c>
      <c r="K477" s="200">
        <f t="shared" si="56"/>
        <v>0</v>
      </c>
      <c r="L477" s="199"/>
    </row>
    <row r="478" spans="1:12">
      <c r="A478" s="201">
        <v>415</v>
      </c>
      <c r="B478" s="200">
        <f t="shared" si="49"/>
        <v>0</v>
      </c>
      <c r="C478" s="200">
        <f t="shared" si="50"/>
        <v>0</v>
      </c>
      <c r="D478" s="200">
        <f t="shared" si="51"/>
        <v>0</v>
      </c>
      <c r="E478" s="200">
        <f t="shared" si="52"/>
        <v>0</v>
      </c>
      <c r="F478" s="199"/>
      <c r="G478" s="201">
        <v>415</v>
      </c>
      <c r="H478" s="200">
        <f t="shared" si="53"/>
        <v>0</v>
      </c>
      <c r="I478" s="200">
        <f t="shared" si="54"/>
        <v>0</v>
      </c>
      <c r="J478" s="200">
        <f t="shared" si="55"/>
        <v>0</v>
      </c>
      <c r="K478" s="200">
        <f t="shared" si="56"/>
        <v>0</v>
      </c>
      <c r="L478" s="199"/>
    </row>
    <row r="479" spans="1:12">
      <c r="A479" s="201">
        <v>416</v>
      </c>
      <c r="B479" s="200">
        <f t="shared" si="49"/>
        <v>0</v>
      </c>
      <c r="C479" s="200">
        <f t="shared" si="50"/>
        <v>0</v>
      </c>
      <c r="D479" s="200">
        <f t="shared" si="51"/>
        <v>0</v>
      </c>
      <c r="E479" s="200">
        <f t="shared" si="52"/>
        <v>0</v>
      </c>
      <c r="F479" s="199"/>
      <c r="G479" s="201">
        <v>416</v>
      </c>
      <c r="H479" s="200">
        <f t="shared" si="53"/>
        <v>0</v>
      </c>
      <c r="I479" s="200">
        <f t="shared" si="54"/>
        <v>0</v>
      </c>
      <c r="J479" s="200">
        <f t="shared" si="55"/>
        <v>0</v>
      </c>
      <c r="K479" s="200">
        <f t="shared" si="56"/>
        <v>0</v>
      </c>
      <c r="L479" s="199"/>
    </row>
    <row r="480" spans="1:12">
      <c r="A480" s="201">
        <v>417</v>
      </c>
      <c r="B480" s="200">
        <f t="shared" si="49"/>
        <v>0</v>
      </c>
      <c r="C480" s="200">
        <f t="shared" si="50"/>
        <v>0</v>
      </c>
      <c r="D480" s="200">
        <f t="shared" si="51"/>
        <v>0</v>
      </c>
      <c r="E480" s="200">
        <f t="shared" si="52"/>
        <v>0</v>
      </c>
      <c r="F480" s="199"/>
      <c r="G480" s="201">
        <v>417</v>
      </c>
      <c r="H480" s="200">
        <f t="shared" si="53"/>
        <v>0</v>
      </c>
      <c r="I480" s="200">
        <f t="shared" si="54"/>
        <v>0</v>
      </c>
      <c r="J480" s="200">
        <f t="shared" si="55"/>
        <v>0</v>
      </c>
      <c r="K480" s="200">
        <f t="shared" si="56"/>
        <v>0</v>
      </c>
      <c r="L480" s="199"/>
    </row>
    <row r="481" spans="1:12">
      <c r="A481" s="201">
        <v>418</v>
      </c>
      <c r="B481" s="200">
        <f t="shared" si="49"/>
        <v>0</v>
      </c>
      <c r="C481" s="200">
        <f t="shared" si="50"/>
        <v>0</v>
      </c>
      <c r="D481" s="200">
        <f t="shared" si="51"/>
        <v>0</v>
      </c>
      <c r="E481" s="200">
        <f t="shared" si="52"/>
        <v>0</v>
      </c>
      <c r="F481" s="199"/>
      <c r="G481" s="201">
        <v>418</v>
      </c>
      <c r="H481" s="200">
        <f t="shared" si="53"/>
        <v>0</v>
      </c>
      <c r="I481" s="200">
        <f t="shared" si="54"/>
        <v>0</v>
      </c>
      <c r="J481" s="200">
        <f t="shared" si="55"/>
        <v>0</v>
      </c>
      <c r="K481" s="200">
        <f t="shared" si="56"/>
        <v>0</v>
      </c>
      <c r="L481" s="199"/>
    </row>
    <row r="482" spans="1:12">
      <c r="A482" s="201">
        <v>419</v>
      </c>
      <c r="B482" s="200">
        <f t="shared" si="49"/>
        <v>0</v>
      </c>
      <c r="C482" s="200">
        <f t="shared" si="50"/>
        <v>0</v>
      </c>
      <c r="D482" s="200">
        <f t="shared" si="51"/>
        <v>0</v>
      </c>
      <c r="E482" s="200">
        <f t="shared" si="52"/>
        <v>0</v>
      </c>
      <c r="F482" s="199"/>
      <c r="G482" s="201">
        <v>419</v>
      </c>
      <c r="H482" s="200">
        <f t="shared" si="53"/>
        <v>0</v>
      </c>
      <c r="I482" s="200">
        <f t="shared" si="54"/>
        <v>0</v>
      </c>
      <c r="J482" s="200">
        <f t="shared" si="55"/>
        <v>0</v>
      </c>
      <c r="K482" s="200">
        <f t="shared" si="56"/>
        <v>0</v>
      </c>
      <c r="L482" s="199"/>
    </row>
    <row r="483" spans="1:12">
      <c r="A483" s="201">
        <v>420</v>
      </c>
      <c r="B483" s="200">
        <f t="shared" si="49"/>
        <v>0</v>
      </c>
      <c r="C483" s="200">
        <f t="shared" si="50"/>
        <v>0</v>
      </c>
      <c r="D483" s="200">
        <f t="shared" si="51"/>
        <v>0</v>
      </c>
      <c r="E483" s="200">
        <f t="shared" si="52"/>
        <v>0</v>
      </c>
      <c r="F483" s="199">
        <v>35</v>
      </c>
      <c r="G483" s="201">
        <v>420</v>
      </c>
      <c r="H483" s="200">
        <f t="shared" si="53"/>
        <v>0</v>
      </c>
      <c r="I483" s="200">
        <f t="shared" si="54"/>
        <v>0</v>
      </c>
      <c r="J483" s="200">
        <f t="shared" si="55"/>
        <v>0</v>
      </c>
      <c r="K483" s="200">
        <f t="shared" si="56"/>
        <v>0</v>
      </c>
      <c r="L483" s="199">
        <v>35</v>
      </c>
    </row>
    <row r="484" spans="1:12">
      <c r="A484" s="201">
        <v>421</v>
      </c>
      <c r="B484" s="200">
        <f t="shared" si="49"/>
        <v>0</v>
      </c>
      <c r="C484" s="200">
        <f t="shared" si="50"/>
        <v>0</v>
      </c>
      <c r="D484" s="200">
        <f t="shared" si="51"/>
        <v>0</v>
      </c>
      <c r="E484" s="200">
        <f t="shared" si="52"/>
        <v>0</v>
      </c>
      <c r="F484" s="199"/>
      <c r="G484" s="201">
        <v>421</v>
      </c>
      <c r="H484" s="200">
        <f t="shared" si="53"/>
        <v>0</v>
      </c>
      <c r="I484" s="200">
        <f t="shared" si="54"/>
        <v>0</v>
      </c>
      <c r="J484" s="200">
        <f t="shared" si="55"/>
        <v>0</v>
      </c>
      <c r="K484" s="200">
        <f t="shared" si="56"/>
        <v>0</v>
      </c>
      <c r="L484" s="199"/>
    </row>
    <row r="485" spans="1:12">
      <c r="A485" s="201">
        <v>422</v>
      </c>
      <c r="B485" s="200">
        <f t="shared" si="49"/>
        <v>0</v>
      </c>
      <c r="C485" s="200">
        <f t="shared" si="50"/>
        <v>0</v>
      </c>
      <c r="D485" s="200">
        <f t="shared" si="51"/>
        <v>0</v>
      </c>
      <c r="E485" s="200">
        <f t="shared" si="52"/>
        <v>0</v>
      </c>
      <c r="F485" s="199"/>
      <c r="G485" s="201">
        <v>422</v>
      </c>
      <c r="H485" s="200">
        <f t="shared" si="53"/>
        <v>0</v>
      </c>
      <c r="I485" s="200">
        <f t="shared" si="54"/>
        <v>0</v>
      </c>
      <c r="J485" s="200">
        <f t="shared" si="55"/>
        <v>0</v>
      </c>
      <c r="K485" s="200">
        <f t="shared" si="56"/>
        <v>0</v>
      </c>
      <c r="L485" s="199"/>
    </row>
    <row r="486" spans="1:12">
      <c r="A486" s="201">
        <v>423</v>
      </c>
      <c r="B486" s="200">
        <f t="shared" si="49"/>
        <v>0</v>
      </c>
      <c r="C486" s="200">
        <f t="shared" si="50"/>
        <v>0</v>
      </c>
      <c r="D486" s="200">
        <f t="shared" si="51"/>
        <v>0</v>
      </c>
      <c r="E486" s="200">
        <f t="shared" si="52"/>
        <v>0</v>
      </c>
      <c r="F486" s="199"/>
      <c r="G486" s="201">
        <v>423</v>
      </c>
      <c r="H486" s="200">
        <f t="shared" si="53"/>
        <v>0</v>
      </c>
      <c r="I486" s="200">
        <f t="shared" si="54"/>
        <v>0</v>
      </c>
      <c r="J486" s="200">
        <f t="shared" si="55"/>
        <v>0</v>
      </c>
      <c r="K486" s="200">
        <f t="shared" si="56"/>
        <v>0</v>
      </c>
      <c r="L486" s="199"/>
    </row>
    <row r="487" spans="1:12">
      <c r="A487" s="201">
        <v>424</v>
      </c>
      <c r="B487" s="200">
        <f t="shared" si="49"/>
        <v>0</v>
      </c>
      <c r="C487" s="200">
        <f t="shared" si="50"/>
        <v>0</v>
      </c>
      <c r="D487" s="200">
        <f t="shared" si="51"/>
        <v>0</v>
      </c>
      <c r="E487" s="200">
        <f t="shared" si="52"/>
        <v>0</v>
      </c>
      <c r="F487" s="199"/>
      <c r="G487" s="201">
        <v>424</v>
      </c>
      <c r="H487" s="200">
        <f t="shared" si="53"/>
        <v>0</v>
      </c>
      <c r="I487" s="200">
        <f t="shared" si="54"/>
        <v>0</v>
      </c>
      <c r="J487" s="200">
        <f t="shared" si="55"/>
        <v>0</v>
      </c>
      <c r="K487" s="200">
        <f t="shared" si="56"/>
        <v>0</v>
      </c>
      <c r="L487" s="199"/>
    </row>
    <row r="488" spans="1:12">
      <c r="A488" s="201">
        <v>425</v>
      </c>
      <c r="B488" s="200">
        <f t="shared" si="49"/>
        <v>0</v>
      </c>
      <c r="C488" s="200">
        <f t="shared" si="50"/>
        <v>0</v>
      </c>
      <c r="D488" s="200">
        <f t="shared" si="51"/>
        <v>0</v>
      </c>
      <c r="E488" s="200">
        <f t="shared" si="52"/>
        <v>0</v>
      </c>
      <c r="F488" s="199"/>
      <c r="G488" s="201">
        <v>425</v>
      </c>
      <c r="H488" s="200">
        <f t="shared" si="53"/>
        <v>0</v>
      </c>
      <c r="I488" s="200">
        <f t="shared" si="54"/>
        <v>0</v>
      </c>
      <c r="J488" s="200">
        <f t="shared" si="55"/>
        <v>0</v>
      </c>
      <c r="K488" s="200">
        <f t="shared" si="56"/>
        <v>0</v>
      </c>
      <c r="L488" s="199"/>
    </row>
    <row r="489" spans="1:12">
      <c r="A489" s="201">
        <v>426</v>
      </c>
      <c r="B489" s="200">
        <f t="shared" si="49"/>
        <v>0</v>
      </c>
      <c r="C489" s="200">
        <f t="shared" si="50"/>
        <v>0</v>
      </c>
      <c r="D489" s="200">
        <f t="shared" si="51"/>
        <v>0</v>
      </c>
      <c r="E489" s="200">
        <f t="shared" si="52"/>
        <v>0</v>
      </c>
      <c r="F489" s="199"/>
      <c r="G489" s="201">
        <v>426</v>
      </c>
      <c r="H489" s="200">
        <f t="shared" si="53"/>
        <v>0</v>
      </c>
      <c r="I489" s="200">
        <f t="shared" si="54"/>
        <v>0</v>
      </c>
      <c r="J489" s="200">
        <f t="shared" si="55"/>
        <v>0</v>
      </c>
      <c r="K489" s="200">
        <f t="shared" si="56"/>
        <v>0</v>
      </c>
      <c r="L489" s="199"/>
    </row>
    <row r="490" spans="1:12">
      <c r="A490" s="201">
        <v>427</v>
      </c>
      <c r="B490" s="200">
        <f t="shared" si="49"/>
        <v>0</v>
      </c>
      <c r="C490" s="200">
        <f t="shared" si="50"/>
        <v>0</v>
      </c>
      <c r="D490" s="200">
        <f t="shared" si="51"/>
        <v>0</v>
      </c>
      <c r="E490" s="200">
        <f t="shared" si="52"/>
        <v>0</v>
      </c>
      <c r="F490" s="199"/>
      <c r="G490" s="201">
        <v>427</v>
      </c>
      <c r="H490" s="200">
        <f t="shared" si="53"/>
        <v>0</v>
      </c>
      <c r="I490" s="200">
        <f t="shared" si="54"/>
        <v>0</v>
      </c>
      <c r="J490" s="200">
        <f t="shared" si="55"/>
        <v>0</v>
      </c>
      <c r="K490" s="200">
        <f t="shared" si="56"/>
        <v>0</v>
      </c>
      <c r="L490" s="199"/>
    </row>
    <row r="491" spans="1:12">
      <c r="A491" s="201">
        <v>428</v>
      </c>
      <c r="B491" s="200">
        <f t="shared" si="49"/>
        <v>0</v>
      </c>
      <c r="C491" s="200">
        <f t="shared" si="50"/>
        <v>0</v>
      </c>
      <c r="D491" s="200">
        <f t="shared" si="51"/>
        <v>0</v>
      </c>
      <c r="E491" s="200">
        <f t="shared" si="52"/>
        <v>0</v>
      </c>
      <c r="F491" s="199"/>
      <c r="G491" s="201">
        <v>428</v>
      </c>
      <c r="H491" s="200">
        <f t="shared" si="53"/>
        <v>0</v>
      </c>
      <c r="I491" s="200">
        <f t="shared" si="54"/>
        <v>0</v>
      </c>
      <c r="J491" s="200">
        <f t="shared" si="55"/>
        <v>0</v>
      </c>
      <c r="K491" s="200">
        <f t="shared" si="56"/>
        <v>0</v>
      </c>
      <c r="L491" s="199"/>
    </row>
    <row r="492" spans="1:12">
      <c r="A492" s="201">
        <v>429</v>
      </c>
      <c r="B492" s="200">
        <f t="shared" si="49"/>
        <v>0</v>
      </c>
      <c r="C492" s="200">
        <f t="shared" si="50"/>
        <v>0</v>
      </c>
      <c r="D492" s="200">
        <f t="shared" si="51"/>
        <v>0</v>
      </c>
      <c r="E492" s="200">
        <f t="shared" si="52"/>
        <v>0</v>
      </c>
      <c r="F492" s="199"/>
      <c r="G492" s="201">
        <v>429</v>
      </c>
      <c r="H492" s="200">
        <f t="shared" si="53"/>
        <v>0</v>
      </c>
      <c r="I492" s="200">
        <f t="shared" si="54"/>
        <v>0</v>
      </c>
      <c r="J492" s="200">
        <f t="shared" si="55"/>
        <v>0</v>
      </c>
      <c r="K492" s="200">
        <f t="shared" si="56"/>
        <v>0</v>
      </c>
      <c r="L492" s="199"/>
    </row>
    <row r="493" spans="1:12">
      <c r="A493" s="201">
        <v>430</v>
      </c>
      <c r="B493" s="200">
        <f t="shared" si="49"/>
        <v>0</v>
      </c>
      <c r="C493" s="200">
        <f t="shared" si="50"/>
        <v>0</v>
      </c>
      <c r="D493" s="200">
        <f t="shared" si="51"/>
        <v>0</v>
      </c>
      <c r="E493" s="200">
        <f t="shared" si="52"/>
        <v>0</v>
      </c>
      <c r="F493" s="199"/>
      <c r="G493" s="201">
        <v>430</v>
      </c>
      <c r="H493" s="200">
        <f t="shared" si="53"/>
        <v>0</v>
      </c>
      <c r="I493" s="200">
        <f t="shared" si="54"/>
        <v>0</v>
      </c>
      <c r="J493" s="200">
        <f t="shared" si="55"/>
        <v>0</v>
      </c>
      <c r="K493" s="200">
        <f t="shared" si="56"/>
        <v>0</v>
      </c>
      <c r="L493" s="199"/>
    </row>
    <row r="494" spans="1:12">
      <c r="A494" s="201">
        <v>431</v>
      </c>
      <c r="B494" s="200">
        <f t="shared" si="49"/>
        <v>0</v>
      </c>
      <c r="C494" s="200">
        <f t="shared" si="50"/>
        <v>0</v>
      </c>
      <c r="D494" s="200">
        <f t="shared" si="51"/>
        <v>0</v>
      </c>
      <c r="E494" s="200">
        <f t="shared" si="52"/>
        <v>0</v>
      </c>
      <c r="F494" s="199"/>
      <c r="G494" s="201">
        <v>431</v>
      </c>
      <c r="H494" s="200">
        <f t="shared" si="53"/>
        <v>0</v>
      </c>
      <c r="I494" s="200">
        <f t="shared" si="54"/>
        <v>0</v>
      </c>
      <c r="J494" s="200">
        <f t="shared" si="55"/>
        <v>0</v>
      </c>
      <c r="K494" s="200">
        <f t="shared" si="56"/>
        <v>0</v>
      </c>
      <c r="L494" s="199"/>
    </row>
    <row r="495" spans="1:12">
      <c r="A495" s="201">
        <v>432</v>
      </c>
      <c r="B495" s="200">
        <f t="shared" si="49"/>
        <v>0</v>
      </c>
      <c r="C495" s="200">
        <f t="shared" si="50"/>
        <v>0</v>
      </c>
      <c r="D495" s="200">
        <f t="shared" si="51"/>
        <v>0</v>
      </c>
      <c r="E495" s="200">
        <f t="shared" si="52"/>
        <v>0</v>
      </c>
      <c r="F495" s="199">
        <v>36</v>
      </c>
      <c r="G495" s="201">
        <v>432</v>
      </c>
      <c r="H495" s="200">
        <f t="shared" si="53"/>
        <v>0</v>
      </c>
      <c r="I495" s="200">
        <f t="shared" si="54"/>
        <v>0</v>
      </c>
      <c r="J495" s="200">
        <f t="shared" si="55"/>
        <v>0</v>
      </c>
      <c r="K495" s="200">
        <f t="shared" si="56"/>
        <v>0</v>
      </c>
      <c r="L495" s="199">
        <v>36</v>
      </c>
    </row>
    <row r="496" spans="1:12">
      <c r="A496" s="201">
        <v>433</v>
      </c>
      <c r="B496" s="200">
        <f t="shared" si="49"/>
        <v>0</v>
      </c>
      <c r="C496" s="200">
        <f t="shared" si="50"/>
        <v>0</v>
      </c>
      <c r="D496" s="200">
        <f t="shared" si="51"/>
        <v>0</v>
      </c>
      <c r="E496" s="200">
        <f t="shared" si="52"/>
        <v>0</v>
      </c>
      <c r="F496" s="199"/>
      <c r="G496" s="201">
        <v>433</v>
      </c>
      <c r="H496" s="200">
        <f t="shared" si="53"/>
        <v>0</v>
      </c>
      <c r="I496" s="200">
        <f t="shared" si="54"/>
        <v>0</v>
      </c>
      <c r="J496" s="200">
        <f t="shared" si="55"/>
        <v>0</v>
      </c>
      <c r="K496" s="200">
        <f t="shared" si="56"/>
        <v>0</v>
      </c>
      <c r="L496" s="199"/>
    </row>
    <row r="497" spans="1:12">
      <c r="A497" s="201">
        <v>434</v>
      </c>
      <c r="B497" s="200">
        <f t="shared" si="49"/>
        <v>0</v>
      </c>
      <c r="C497" s="200">
        <f t="shared" si="50"/>
        <v>0</v>
      </c>
      <c r="D497" s="200">
        <f t="shared" si="51"/>
        <v>0</v>
      </c>
      <c r="E497" s="200">
        <f t="shared" si="52"/>
        <v>0</v>
      </c>
      <c r="F497" s="199"/>
      <c r="G497" s="201">
        <v>434</v>
      </c>
      <c r="H497" s="200">
        <f t="shared" si="53"/>
        <v>0</v>
      </c>
      <c r="I497" s="200">
        <f t="shared" si="54"/>
        <v>0</v>
      </c>
      <c r="J497" s="200">
        <f t="shared" si="55"/>
        <v>0</v>
      </c>
      <c r="K497" s="200">
        <f t="shared" si="56"/>
        <v>0</v>
      </c>
      <c r="L497" s="199"/>
    </row>
    <row r="498" spans="1:12">
      <c r="A498" s="201">
        <v>435</v>
      </c>
      <c r="B498" s="200">
        <f t="shared" si="49"/>
        <v>0</v>
      </c>
      <c r="C498" s="200">
        <f t="shared" si="50"/>
        <v>0</v>
      </c>
      <c r="D498" s="200">
        <f t="shared" si="51"/>
        <v>0</v>
      </c>
      <c r="E498" s="200">
        <f t="shared" si="52"/>
        <v>0</v>
      </c>
      <c r="F498" s="199"/>
      <c r="G498" s="201">
        <v>435</v>
      </c>
      <c r="H498" s="200">
        <f t="shared" si="53"/>
        <v>0</v>
      </c>
      <c r="I498" s="200">
        <f t="shared" si="54"/>
        <v>0</v>
      </c>
      <c r="J498" s="200">
        <f t="shared" si="55"/>
        <v>0</v>
      </c>
      <c r="K498" s="200">
        <f t="shared" si="56"/>
        <v>0</v>
      </c>
      <c r="L498" s="199"/>
    </row>
    <row r="499" spans="1:12">
      <c r="A499" s="201">
        <v>436</v>
      </c>
      <c r="B499" s="200">
        <f t="shared" si="49"/>
        <v>0</v>
      </c>
      <c r="C499" s="200">
        <f t="shared" si="50"/>
        <v>0</v>
      </c>
      <c r="D499" s="200">
        <f t="shared" si="51"/>
        <v>0</v>
      </c>
      <c r="E499" s="200">
        <f t="shared" si="52"/>
        <v>0</v>
      </c>
      <c r="F499" s="199"/>
      <c r="G499" s="201">
        <v>436</v>
      </c>
      <c r="H499" s="200">
        <f t="shared" si="53"/>
        <v>0</v>
      </c>
      <c r="I499" s="200">
        <f t="shared" si="54"/>
        <v>0</v>
      </c>
      <c r="J499" s="200">
        <f t="shared" si="55"/>
        <v>0</v>
      </c>
      <c r="K499" s="200">
        <f t="shared" si="56"/>
        <v>0</v>
      </c>
      <c r="L499" s="199"/>
    </row>
    <row r="500" spans="1:12">
      <c r="A500" s="201">
        <v>437</v>
      </c>
      <c r="B500" s="200">
        <f t="shared" si="49"/>
        <v>0</v>
      </c>
      <c r="C500" s="200">
        <f t="shared" si="50"/>
        <v>0</v>
      </c>
      <c r="D500" s="200">
        <f t="shared" si="51"/>
        <v>0</v>
      </c>
      <c r="E500" s="200">
        <f t="shared" si="52"/>
        <v>0</v>
      </c>
      <c r="F500" s="199"/>
      <c r="G500" s="201">
        <v>437</v>
      </c>
      <c r="H500" s="200">
        <f t="shared" si="53"/>
        <v>0</v>
      </c>
      <c r="I500" s="200">
        <f t="shared" si="54"/>
        <v>0</v>
      </c>
      <c r="J500" s="200">
        <f t="shared" si="55"/>
        <v>0</v>
      </c>
      <c r="K500" s="200">
        <f t="shared" si="56"/>
        <v>0</v>
      </c>
      <c r="L500" s="199"/>
    </row>
    <row r="501" spans="1:12">
      <c r="A501" s="201">
        <v>438</v>
      </c>
      <c r="B501" s="200">
        <f t="shared" si="49"/>
        <v>0</v>
      </c>
      <c r="C501" s="200">
        <f t="shared" si="50"/>
        <v>0</v>
      </c>
      <c r="D501" s="200">
        <f t="shared" si="51"/>
        <v>0</v>
      </c>
      <c r="E501" s="200">
        <f t="shared" si="52"/>
        <v>0</v>
      </c>
      <c r="F501" s="199"/>
      <c r="G501" s="201">
        <v>438</v>
      </c>
      <c r="H501" s="200">
        <f t="shared" si="53"/>
        <v>0</v>
      </c>
      <c r="I501" s="200">
        <f t="shared" si="54"/>
        <v>0</v>
      </c>
      <c r="J501" s="200">
        <f t="shared" si="55"/>
        <v>0</v>
      </c>
      <c r="K501" s="200">
        <f t="shared" si="56"/>
        <v>0</v>
      </c>
      <c r="L501" s="199"/>
    </row>
    <row r="502" spans="1:12">
      <c r="A502" s="201">
        <v>439</v>
      </c>
      <c r="B502" s="200">
        <f t="shared" si="49"/>
        <v>0</v>
      </c>
      <c r="C502" s="200">
        <f t="shared" si="50"/>
        <v>0</v>
      </c>
      <c r="D502" s="200">
        <f t="shared" si="51"/>
        <v>0</v>
      </c>
      <c r="E502" s="200">
        <f t="shared" si="52"/>
        <v>0</v>
      </c>
      <c r="F502" s="199"/>
      <c r="G502" s="201">
        <v>439</v>
      </c>
      <c r="H502" s="200">
        <f t="shared" si="53"/>
        <v>0</v>
      </c>
      <c r="I502" s="200">
        <f t="shared" si="54"/>
        <v>0</v>
      </c>
      <c r="J502" s="200">
        <f t="shared" si="55"/>
        <v>0</v>
      </c>
      <c r="K502" s="200">
        <f t="shared" si="56"/>
        <v>0</v>
      </c>
      <c r="L502" s="199"/>
    </row>
    <row r="503" spans="1:12">
      <c r="A503" s="201">
        <v>440</v>
      </c>
      <c r="B503" s="200">
        <f t="shared" si="49"/>
        <v>0</v>
      </c>
      <c r="C503" s="200">
        <f t="shared" si="50"/>
        <v>0</v>
      </c>
      <c r="D503" s="200">
        <f t="shared" si="51"/>
        <v>0</v>
      </c>
      <c r="E503" s="200">
        <f t="shared" si="52"/>
        <v>0</v>
      </c>
      <c r="F503" s="199"/>
      <c r="G503" s="201">
        <v>440</v>
      </c>
      <c r="H503" s="200">
        <f t="shared" si="53"/>
        <v>0</v>
      </c>
      <c r="I503" s="200">
        <f t="shared" si="54"/>
        <v>0</v>
      </c>
      <c r="J503" s="200">
        <f t="shared" si="55"/>
        <v>0</v>
      </c>
      <c r="K503" s="200">
        <f t="shared" si="56"/>
        <v>0</v>
      </c>
      <c r="L503" s="199"/>
    </row>
    <row r="504" spans="1:12">
      <c r="A504" s="201">
        <v>441</v>
      </c>
      <c r="B504" s="200">
        <f t="shared" si="49"/>
        <v>0</v>
      </c>
      <c r="C504" s="200">
        <f t="shared" si="50"/>
        <v>0</v>
      </c>
      <c r="D504" s="200">
        <f t="shared" si="51"/>
        <v>0</v>
      </c>
      <c r="E504" s="200">
        <f t="shared" si="52"/>
        <v>0</v>
      </c>
      <c r="F504" s="199"/>
      <c r="G504" s="201">
        <v>441</v>
      </c>
      <c r="H504" s="200">
        <f t="shared" si="53"/>
        <v>0</v>
      </c>
      <c r="I504" s="200">
        <f t="shared" si="54"/>
        <v>0</v>
      </c>
      <c r="J504" s="200">
        <f t="shared" si="55"/>
        <v>0</v>
      </c>
      <c r="K504" s="200">
        <f t="shared" si="56"/>
        <v>0</v>
      </c>
      <c r="L504" s="199"/>
    </row>
    <row r="505" spans="1:12">
      <c r="A505" s="201">
        <v>442</v>
      </c>
      <c r="B505" s="200">
        <f t="shared" si="49"/>
        <v>0</v>
      </c>
      <c r="C505" s="200">
        <f t="shared" si="50"/>
        <v>0</v>
      </c>
      <c r="D505" s="200">
        <f t="shared" si="51"/>
        <v>0</v>
      </c>
      <c r="E505" s="200">
        <f t="shared" si="52"/>
        <v>0</v>
      </c>
      <c r="F505" s="199"/>
      <c r="G505" s="201">
        <v>442</v>
      </c>
      <c r="H505" s="200">
        <f t="shared" si="53"/>
        <v>0</v>
      </c>
      <c r="I505" s="200">
        <f t="shared" si="54"/>
        <v>0</v>
      </c>
      <c r="J505" s="200">
        <f t="shared" si="55"/>
        <v>0</v>
      </c>
      <c r="K505" s="200">
        <f t="shared" si="56"/>
        <v>0</v>
      </c>
      <c r="L505" s="199"/>
    </row>
    <row r="506" spans="1:12">
      <c r="A506" s="201">
        <v>443</v>
      </c>
      <c r="B506" s="200">
        <f t="shared" si="49"/>
        <v>0</v>
      </c>
      <c r="C506" s="200">
        <f t="shared" si="50"/>
        <v>0</v>
      </c>
      <c r="D506" s="200">
        <f t="shared" si="51"/>
        <v>0</v>
      </c>
      <c r="E506" s="200">
        <f t="shared" si="52"/>
        <v>0</v>
      </c>
      <c r="F506" s="199"/>
      <c r="G506" s="201">
        <v>443</v>
      </c>
      <c r="H506" s="200">
        <f t="shared" si="53"/>
        <v>0</v>
      </c>
      <c r="I506" s="200">
        <f t="shared" si="54"/>
        <v>0</v>
      </c>
      <c r="J506" s="200">
        <f t="shared" si="55"/>
        <v>0</v>
      </c>
      <c r="K506" s="200">
        <f t="shared" si="56"/>
        <v>0</v>
      </c>
      <c r="L506" s="199"/>
    </row>
    <row r="507" spans="1:12">
      <c r="A507" s="201">
        <v>444</v>
      </c>
      <c r="B507" s="200">
        <f t="shared" si="49"/>
        <v>0</v>
      </c>
      <c r="C507" s="200">
        <f t="shared" si="50"/>
        <v>0</v>
      </c>
      <c r="D507" s="200">
        <f t="shared" si="51"/>
        <v>0</v>
      </c>
      <c r="E507" s="200">
        <f t="shared" si="52"/>
        <v>0</v>
      </c>
      <c r="F507" s="199">
        <v>37</v>
      </c>
      <c r="G507" s="201">
        <v>444</v>
      </c>
      <c r="H507" s="200">
        <f t="shared" si="53"/>
        <v>0</v>
      </c>
      <c r="I507" s="200">
        <f t="shared" si="54"/>
        <v>0</v>
      </c>
      <c r="J507" s="200">
        <f t="shared" si="55"/>
        <v>0</v>
      </c>
      <c r="K507" s="200">
        <f t="shared" si="56"/>
        <v>0</v>
      </c>
      <c r="L507" s="199">
        <v>37</v>
      </c>
    </row>
    <row r="508" spans="1:12">
      <c r="A508" s="201">
        <v>445</v>
      </c>
      <c r="B508" s="200">
        <f t="shared" si="49"/>
        <v>0</v>
      </c>
      <c r="C508" s="200">
        <f t="shared" si="50"/>
        <v>0</v>
      </c>
      <c r="D508" s="200">
        <f t="shared" si="51"/>
        <v>0</v>
      </c>
      <c r="E508" s="200">
        <f t="shared" si="52"/>
        <v>0</v>
      </c>
      <c r="F508" s="199"/>
      <c r="G508" s="201">
        <v>445</v>
      </c>
      <c r="H508" s="200">
        <f t="shared" si="53"/>
        <v>0</v>
      </c>
      <c r="I508" s="200">
        <f t="shared" si="54"/>
        <v>0</v>
      </c>
      <c r="J508" s="200">
        <f t="shared" si="55"/>
        <v>0</v>
      </c>
      <c r="K508" s="200">
        <f t="shared" si="56"/>
        <v>0</v>
      </c>
      <c r="L508" s="199"/>
    </row>
    <row r="509" spans="1:12">
      <c r="A509" s="201">
        <v>446</v>
      </c>
      <c r="B509" s="200">
        <f t="shared" si="49"/>
        <v>0</v>
      </c>
      <c r="C509" s="200">
        <f t="shared" si="50"/>
        <v>0</v>
      </c>
      <c r="D509" s="200">
        <f t="shared" si="51"/>
        <v>0</v>
      </c>
      <c r="E509" s="200">
        <f t="shared" si="52"/>
        <v>0</v>
      </c>
      <c r="F509" s="199"/>
      <c r="G509" s="201">
        <v>446</v>
      </c>
      <c r="H509" s="200">
        <f t="shared" si="53"/>
        <v>0</v>
      </c>
      <c r="I509" s="200">
        <f t="shared" si="54"/>
        <v>0</v>
      </c>
      <c r="J509" s="200">
        <f t="shared" si="55"/>
        <v>0</v>
      </c>
      <c r="K509" s="200">
        <f t="shared" si="56"/>
        <v>0</v>
      </c>
      <c r="L509" s="199"/>
    </row>
    <row r="510" spans="1:12">
      <c r="A510" s="201">
        <v>447</v>
      </c>
      <c r="B510" s="200">
        <f t="shared" si="49"/>
        <v>0</v>
      </c>
      <c r="C510" s="200">
        <f t="shared" si="50"/>
        <v>0</v>
      </c>
      <c r="D510" s="200">
        <f t="shared" si="51"/>
        <v>0</v>
      </c>
      <c r="E510" s="200">
        <f t="shared" si="52"/>
        <v>0</v>
      </c>
      <c r="F510" s="199"/>
      <c r="G510" s="201">
        <v>447</v>
      </c>
      <c r="H510" s="200">
        <f t="shared" si="53"/>
        <v>0</v>
      </c>
      <c r="I510" s="200">
        <f t="shared" si="54"/>
        <v>0</v>
      </c>
      <c r="J510" s="200">
        <f t="shared" si="55"/>
        <v>0</v>
      </c>
      <c r="K510" s="200">
        <f t="shared" si="56"/>
        <v>0</v>
      </c>
      <c r="L510" s="199"/>
    </row>
    <row r="511" spans="1:12">
      <c r="A511" s="201">
        <v>448</v>
      </c>
      <c r="B511" s="200">
        <f t="shared" si="49"/>
        <v>0</v>
      </c>
      <c r="C511" s="200">
        <f t="shared" si="50"/>
        <v>0</v>
      </c>
      <c r="D511" s="200">
        <f t="shared" si="51"/>
        <v>0</v>
      </c>
      <c r="E511" s="200">
        <f t="shared" si="52"/>
        <v>0</v>
      </c>
      <c r="F511" s="199"/>
      <c r="G511" s="201">
        <v>448</v>
      </c>
      <c r="H511" s="200">
        <f t="shared" si="53"/>
        <v>0</v>
      </c>
      <c r="I511" s="200">
        <f t="shared" si="54"/>
        <v>0</v>
      </c>
      <c r="J511" s="200">
        <f t="shared" si="55"/>
        <v>0</v>
      </c>
      <c r="K511" s="200">
        <f t="shared" si="56"/>
        <v>0</v>
      </c>
      <c r="L511" s="199"/>
    </row>
    <row r="512" spans="1:12">
      <c r="A512" s="201">
        <v>449</v>
      </c>
      <c r="B512" s="200">
        <f t="shared" ref="B512:B543" si="57">IF(A512&gt;12*$C$9,0,IF($C$5&gt;1500000,$D$12,$C$12))</f>
        <v>0</v>
      </c>
      <c r="C512" s="200">
        <f t="shared" ref="C512:C543" si="58">IF(A512&gt;12*$C$9,0,E511*$C$7/12)</f>
        <v>0</v>
      </c>
      <c r="D512" s="200">
        <f t="shared" ref="D512:D543" si="59">IF(A512&gt;12*$C$9,0,B512-C512)</f>
        <v>0</v>
      </c>
      <c r="E512" s="200">
        <f t="shared" ref="E512:E543" si="60">IF(A512&gt;12*$C$9,0,E511-D512)</f>
        <v>0</v>
      </c>
      <c r="F512" s="199"/>
      <c r="G512" s="201">
        <v>449</v>
      </c>
      <c r="H512" s="200">
        <f t="shared" ref="H512:H543" si="61">IF(G512&gt;12*$C$9,0,IF($C$5&gt;1500000,$E$12,0))</f>
        <v>0</v>
      </c>
      <c r="I512" s="200">
        <f t="shared" ref="I512:I543" si="62">IF(G512&gt;12*$C$9,0,K511*$C$7/12)</f>
        <v>0</v>
      </c>
      <c r="J512" s="200">
        <f t="shared" ref="J512:J543" si="63">IF(G512&gt;12*$C$9,0,H512-I512)</f>
        <v>0</v>
      </c>
      <c r="K512" s="200">
        <f t="shared" ref="K512:K543" si="64">IF(G512&gt;12*$C$9,0,K511-J512)</f>
        <v>0</v>
      </c>
      <c r="L512" s="199"/>
    </row>
    <row r="513" spans="1:12">
      <c r="A513" s="201">
        <v>450</v>
      </c>
      <c r="B513" s="200">
        <f t="shared" si="57"/>
        <v>0</v>
      </c>
      <c r="C513" s="200">
        <f t="shared" si="58"/>
        <v>0</v>
      </c>
      <c r="D513" s="200">
        <f t="shared" si="59"/>
        <v>0</v>
      </c>
      <c r="E513" s="200">
        <f t="shared" si="60"/>
        <v>0</v>
      </c>
      <c r="F513" s="199"/>
      <c r="G513" s="201">
        <v>450</v>
      </c>
      <c r="H513" s="200">
        <f t="shared" si="61"/>
        <v>0</v>
      </c>
      <c r="I513" s="200">
        <f t="shared" si="62"/>
        <v>0</v>
      </c>
      <c r="J513" s="200">
        <f t="shared" si="63"/>
        <v>0</v>
      </c>
      <c r="K513" s="200">
        <f t="shared" si="64"/>
        <v>0</v>
      </c>
      <c r="L513" s="199"/>
    </row>
    <row r="514" spans="1:12">
      <c r="A514" s="201">
        <v>451</v>
      </c>
      <c r="B514" s="200">
        <f t="shared" si="57"/>
        <v>0</v>
      </c>
      <c r="C514" s="200">
        <f t="shared" si="58"/>
        <v>0</v>
      </c>
      <c r="D514" s="200">
        <f t="shared" si="59"/>
        <v>0</v>
      </c>
      <c r="E514" s="200">
        <f t="shared" si="60"/>
        <v>0</v>
      </c>
      <c r="F514" s="199"/>
      <c r="G514" s="201">
        <v>451</v>
      </c>
      <c r="H514" s="200">
        <f t="shared" si="61"/>
        <v>0</v>
      </c>
      <c r="I514" s="200">
        <f t="shared" si="62"/>
        <v>0</v>
      </c>
      <c r="J514" s="200">
        <f t="shared" si="63"/>
        <v>0</v>
      </c>
      <c r="K514" s="200">
        <f t="shared" si="64"/>
        <v>0</v>
      </c>
      <c r="L514" s="199"/>
    </row>
    <row r="515" spans="1:12">
      <c r="A515" s="201">
        <v>452</v>
      </c>
      <c r="B515" s="200">
        <f t="shared" si="57"/>
        <v>0</v>
      </c>
      <c r="C515" s="200">
        <f t="shared" si="58"/>
        <v>0</v>
      </c>
      <c r="D515" s="200">
        <f t="shared" si="59"/>
        <v>0</v>
      </c>
      <c r="E515" s="200">
        <f t="shared" si="60"/>
        <v>0</v>
      </c>
      <c r="F515" s="199"/>
      <c r="G515" s="201">
        <v>452</v>
      </c>
      <c r="H515" s="200">
        <f t="shared" si="61"/>
        <v>0</v>
      </c>
      <c r="I515" s="200">
        <f t="shared" si="62"/>
        <v>0</v>
      </c>
      <c r="J515" s="200">
        <f t="shared" si="63"/>
        <v>0</v>
      </c>
      <c r="K515" s="200">
        <f t="shared" si="64"/>
        <v>0</v>
      </c>
      <c r="L515" s="199"/>
    </row>
    <row r="516" spans="1:12">
      <c r="A516" s="201">
        <v>453</v>
      </c>
      <c r="B516" s="200">
        <f t="shared" si="57"/>
        <v>0</v>
      </c>
      <c r="C516" s="200">
        <f t="shared" si="58"/>
        <v>0</v>
      </c>
      <c r="D516" s="200">
        <f t="shared" si="59"/>
        <v>0</v>
      </c>
      <c r="E516" s="200">
        <f t="shared" si="60"/>
        <v>0</v>
      </c>
      <c r="F516" s="199"/>
      <c r="G516" s="201">
        <v>453</v>
      </c>
      <c r="H516" s="200">
        <f t="shared" si="61"/>
        <v>0</v>
      </c>
      <c r="I516" s="200">
        <f t="shared" si="62"/>
        <v>0</v>
      </c>
      <c r="J516" s="200">
        <f t="shared" si="63"/>
        <v>0</v>
      </c>
      <c r="K516" s="200">
        <f t="shared" si="64"/>
        <v>0</v>
      </c>
      <c r="L516" s="199"/>
    </row>
    <row r="517" spans="1:12">
      <c r="A517" s="201">
        <v>454</v>
      </c>
      <c r="B517" s="200">
        <f t="shared" si="57"/>
        <v>0</v>
      </c>
      <c r="C517" s="200">
        <f t="shared" si="58"/>
        <v>0</v>
      </c>
      <c r="D517" s="200">
        <f t="shared" si="59"/>
        <v>0</v>
      </c>
      <c r="E517" s="200">
        <f t="shared" si="60"/>
        <v>0</v>
      </c>
      <c r="F517" s="199"/>
      <c r="G517" s="201">
        <v>454</v>
      </c>
      <c r="H517" s="200">
        <f t="shared" si="61"/>
        <v>0</v>
      </c>
      <c r="I517" s="200">
        <f t="shared" si="62"/>
        <v>0</v>
      </c>
      <c r="J517" s="200">
        <f t="shared" si="63"/>
        <v>0</v>
      </c>
      <c r="K517" s="200">
        <f t="shared" si="64"/>
        <v>0</v>
      </c>
      <c r="L517" s="199"/>
    </row>
    <row r="518" spans="1:12">
      <c r="A518" s="201">
        <v>455</v>
      </c>
      <c r="B518" s="200">
        <f t="shared" si="57"/>
        <v>0</v>
      </c>
      <c r="C518" s="200">
        <f t="shared" si="58"/>
        <v>0</v>
      </c>
      <c r="D518" s="200">
        <f t="shared" si="59"/>
        <v>0</v>
      </c>
      <c r="E518" s="200">
        <f t="shared" si="60"/>
        <v>0</v>
      </c>
      <c r="F518" s="199"/>
      <c r="G518" s="201">
        <v>455</v>
      </c>
      <c r="H518" s="200">
        <f t="shared" si="61"/>
        <v>0</v>
      </c>
      <c r="I518" s="200">
        <f t="shared" si="62"/>
        <v>0</v>
      </c>
      <c r="J518" s="200">
        <f t="shared" si="63"/>
        <v>0</v>
      </c>
      <c r="K518" s="200">
        <f t="shared" si="64"/>
        <v>0</v>
      </c>
      <c r="L518" s="199"/>
    </row>
    <row r="519" spans="1:12">
      <c r="A519" s="201">
        <v>456</v>
      </c>
      <c r="B519" s="200">
        <f t="shared" si="57"/>
        <v>0</v>
      </c>
      <c r="C519" s="200">
        <f t="shared" si="58"/>
        <v>0</v>
      </c>
      <c r="D519" s="200">
        <f t="shared" si="59"/>
        <v>0</v>
      </c>
      <c r="E519" s="200">
        <f t="shared" si="60"/>
        <v>0</v>
      </c>
      <c r="F519" s="201">
        <v>38</v>
      </c>
      <c r="G519" s="201">
        <v>456</v>
      </c>
      <c r="H519" s="200">
        <f t="shared" si="61"/>
        <v>0</v>
      </c>
      <c r="I519" s="200">
        <f t="shared" si="62"/>
        <v>0</v>
      </c>
      <c r="J519" s="200">
        <f t="shared" si="63"/>
        <v>0</v>
      </c>
      <c r="K519" s="200">
        <f t="shared" si="64"/>
        <v>0</v>
      </c>
      <c r="L519" s="201">
        <v>38</v>
      </c>
    </row>
    <row r="520" spans="1:12">
      <c r="A520" s="201">
        <v>457</v>
      </c>
      <c r="B520" s="200">
        <f t="shared" si="57"/>
        <v>0</v>
      </c>
      <c r="C520" s="200">
        <f t="shared" si="58"/>
        <v>0</v>
      </c>
      <c r="D520" s="200">
        <f t="shared" si="59"/>
        <v>0</v>
      </c>
      <c r="E520" s="200">
        <f t="shared" si="60"/>
        <v>0</v>
      </c>
      <c r="F520" s="199"/>
      <c r="G520" s="201">
        <v>457</v>
      </c>
      <c r="H520" s="200">
        <f t="shared" si="61"/>
        <v>0</v>
      </c>
      <c r="I520" s="200">
        <f t="shared" si="62"/>
        <v>0</v>
      </c>
      <c r="J520" s="200">
        <f t="shared" si="63"/>
        <v>0</v>
      </c>
      <c r="K520" s="200">
        <f t="shared" si="64"/>
        <v>0</v>
      </c>
      <c r="L520" s="199"/>
    </row>
    <row r="521" spans="1:12" s="179" customFormat="1">
      <c r="A521" s="201">
        <v>458</v>
      </c>
      <c r="B521" s="200">
        <f t="shared" si="57"/>
        <v>0</v>
      </c>
      <c r="C521" s="200">
        <f t="shared" si="58"/>
        <v>0</v>
      </c>
      <c r="D521" s="200">
        <f t="shared" si="59"/>
        <v>0</v>
      </c>
      <c r="E521" s="200">
        <f t="shared" si="60"/>
        <v>0</v>
      </c>
      <c r="F521" s="199"/>
      <c r="G521" s="201">
        <v>458</v>
      </c>
      <c r="H521" s="200">
        <f t="shared" si="61"/>
        <v>0</v>
      </c>
      <c r="I521" s="200">
        <f t="shared" si="62"/>
        <v>0</v>
      </c>
      <c r="J521" s="200">
        <f t="shared" si="63"/>
        <v>0</v>
      </c>
      <c r="K521" s="200">
        <f t="shared" si="64"/>
        <v>0</v>
      </c>
      <c r="L521" s="199"/>
    </row>
    <row r="522" spans="1:12">
      <c r="A522" s="201">
        <v>459</v>
      </c>
      <c r="B522" s="200">
        <f t="shared" si="57"/>
        <v>0</v>
      </c>
      <c r="C522" s="200">
        <f t="shared" si="58"/>
        <v>0</v>
      </c>
      <c r="D522" s="200">
        <f t="shared" si="59"/>
        <v>0</v>
      </c>
      <c r="E522" s="200">
        <f t="shared" si="60"/>
        <v>0</v>
      </c>
      <c r="F522" s="199"/>
      <c r="G522" s="201">
        <v>459</v>
      </c>
      <c r="H522" s="200">
        <f t="shared" si="61"/>
        <v>0</v>
      </c>
      <c r="I522" s="200">
        <f t="shared" si="62"/>
        <v>0</v>
      </c>
      <c r="J522" s="200">
        <f t="shared" si="63"/>
        <v>0</v>
      </c>
      <c r="K522" s="200">
        <f t="shared" si="64"/>
        <v>0</v>
      </c>
      <c r="L522" s="199"/>
    </row>
    <row r="523" spans="1:12">
      <c r="A523" s="201">
        <v>460</v>
      </c>
      <c r="B523" s="200">
        <f t="shared" si="57"/>
        <v>0</v>
      </c>
      <c r="C523" s="200">
        <f t="shared" si="58"/>
        <v>0</v>
      </c>
      <c r="D523" s="200">
        <f t="shared" si="59"/>
        <v>0</v>
      </c>
      <c r="E523" s="200">
        <f t="shared" si="60"/>
        <v>0</v>
      </c>
      <c r="F523" s="199"/>
      <c r="G523" s="201">
        <v>460</v>
      </c>
      <c r="H523" s="200">
        <f t="shared" si="61"/>
        <v>0</v>
      </c>
      <c r="I523" s="200">
        <f t="shared" si="62"/>
        <v>0</v>
      </c>
      <c r="J523" s="200">
        <f t="shared" si="63"/>
        <v>0</v>
      </c>
      <c r="K523" s="200">
        <f t="shared" si="64"/>
        <v>0</v>
      </c>
      <c r="L523" s="199"/>
    </row>
    <row r="524" spans="1:12">
      <c r="A524" s="201">
        <v>461</v>
      </c>
      <c r="B524" s="200">
        <f t="shared" si="57"/>
        <v>0</v>
      </c>
      <c r="C524" s="200">
        <f t="shared" si="58"/>
        <v>0</v>
      </c>
      <c r="D524" s="200">
        <f t="shared" si="59"/>
        <v>0</v>
      </c>
      <c r="E524" s="200">
        <f t="shared" si="60"/>
        <v>0</v>
      </c>
      <c r="F524" s="199"/>
      <c r="G524" s="201">
        <v>461</v>
      </c>
      <c r="H524" s="200">
        <f t="shared" si="61"/>
        <v>0</v>
      </c>
      <c r="I524" s="200">
        <f t="shared" si="62"/>
        <v>0</v>
      </c>
      <c r="J524" s="200">
        <f t="shared" si="63"/>
        <v>0</v>
      </c>
      <c r="K524" s="200">
        <f t="shared" si="64"/>
        <v>0</v>
      </c>
      <c r="L524" s="199"/>
    </row>
    <row r="525" spans="1:12">
      <c r="A525" s="201">
        <v>462</v>
      </c>
      <c r="B525" s="200">
        <f t="shared" si="57"/>
        <v>0</v>
      </c>
      <c r="C525" s="200">
        <f t="shared" si="58"/>
        <v>0</v>
      </c>
      <c r="D525" s="200">
        <f t="shared" si="59"/>
        <v>0</v>
      </c>
      <c r="E525" s="200">
        <f t="shared" si="60"/>
        <v>0</v>
      </c>
      <c r="F525" s="199"/>
      <c r="G525" s="201">
        <v>462</v>
      </c>
      <c r="H525" s="200">
        <f t="shared" si="61"/>
        <v>0</v>
      </c>
      <c r="I525" s="200">
        <f t="shared" si="62"/>
        <v>0</v>
      </c>
      <c r="J525" s="200">
        <f t="shared" si="63"/>
        <v>0</v>
      </c>
      <c r="K525" s="200">
        <f t="shared" si="64"/>
        <v>0</v>
      </c>
      <c r="L525" s="199"/>
    </row>
    <row r="526" spans="1:12">
      <c r="A526" s="201">
        <v>463</v>
      </c>
      <c r="B526" s="200">
        <f t="shared" si="57"/>
        <v>0</v>
      </c>
      <c r="C526" s="200">
        <f t="shared" si="58"/>
        <v>0</v>
      </c>
      <c r="D526" s="200">
        <f t="shared" si="59"/>
        <v>0</v>
      </c>
      <c r="E526" s="200">
        <f t="shared" si="60"/>
        <v>0</v>
      </c>
      <c r="F526" s="199"/>
      <c r="G526" s="201">
        <v>463</v>
      </c>
      <c r="H526" s="200">
        <f t="shared" si="61"/>
        <v>0</v>
      </c>
      <c r="I526" s="200">
        <f t="shared" si="62"/>
        <v>0</v>
      </c>
      <c r="J526" s="200">
        <f t="shared" si="63"/>
        <v>0</v>
      </c>
      <c r="K526" s="200">
        <f t="shared" si="64"/>
        <v>0</v>
      </c>
      <c r="L526" s="199"/>
    </row>
    <row r="527" spans="1:12">
      <c r="A527" s="201">
        <v>464</v>
      </c>
      <c r="B527" s="200">
        <f t="shared" si="57"/>
        <v>0</v>
      </c>
      <c r="C527" s="200">
        <f t="shared" si="58"/>
        <v>0</v>
      </c>
      <c r="D527" s="200">
        <f t="shared" si="59"/>
        <v>0</v>
      </c>
      <c r="E527" s="200">
        <f t="shared" si="60"/>
        <v>0</v>
      </c>
      <c r="F527" s="199"/>
      <c r="G527" s="201">
        <v>464</v>
      </c>
      <c r="H527" s="200">
        <f t="shared" si="61"/>
        <v>0</v>
      </c>
      <c r="I527" s="200">
        <f t="shared" si="62"/>
        <v>0</v>
      </c>
      <c r="J527" s="200">
        <f t="shared" si="63"/>
        <v>0</v>
      </c>
      <c r="K527" s="200">
        <f t="shared" si="64"/>
        <v>0</v>
      </c>
      <c r="L527" s="199"/>
    </row>
    <row r="528" spans="1:12">
      <c r="A528" s="201">
        <v>465</v>
      </c>
      <c r="B528" s="200">
        <f t="shared" si="57"/>
        <v>0</v>
      </c>
      <c r="C528" s="200">
        <f t="shared" si="58"/>
        <v>0</v>
      </c>
      <c r="D528" s="200">
        <f t="shared" si="59"/>
        <v>0</v>
      </c>
      <c r="E528" s="200">
        <f t="shared" si="60"/>
        <v>0</v>
      </c>
      <c r="F528" s="199"/>
      <c r="G528" s="201">
        <v>465</v>
      </c>
      <c r="H528" s="200">
        <f t="shared" si="61"/>
        <v>0</v>
      </c>
      <c r="I528" s="200">
        <f t="shared" si="62"/>
        <v>0</v>
      </c>
      <c r="J528" s="200">
        <f t="shared" si="63"/>
        <v>0</v>
      </c>
      <c r="K528" s="200">
        <f t="shared" si="64"/>
        <v>0</v>
      </c>
      <c r="L528" s="199"/>
    </row>
    <row r="529" spans="1:12">
      <c r="A529" s="201">
        <v>466</v>
      </c>
      <c r="B529" s="200">
        <f t="shared" si="57"/>
        <v>0</v>
      </c>
      <c r="C529" s="200">
        <f t="shared" si="58"/>
        <v>0</v>
      </c>
      <c r="D529" s="200">
        <f t="shared" si="59"/>
        <v>0</v>
      </c>
      <c r="E529" s="200">
        <f t="shared" si="60"/>
        <v>0</v>
      </c>
      <c r="F529" s="199"/>
      <c r="G529" s="201">
        <v>466</v>
      </c>
      <c r="H529" s="200">
        <f t="shared" si="61"/>
        <v>0</v>
      </c>
      <c r="I529" s="200">
        <f t="shared" si="62"/>
        <v>0</v>
      </c>
      <c r="J529" s="200">
        <f t="shared" si="63"/>
        <v>0</v>
      </c>
      <c r="K529" s="200">
        <f t="shared" si="64"/>
        <v>0</v>
      </c>
      <c r="L529" s="199"/>
    </row>
    <row r="530" spans="1:12">
      <c r="A530" s="201">
        <v>467</v>
      </c>
      <c r="B530" s="200">
        <f t="shared" si="57"/>
        <v>0</v>
      </c>
      <c r="C530" s="200">
        <f t="shared" si="58"/>
        <v>0</v>
      </c>
      <c r="D530" s="200">
        <f t="shared" si="59"/>
        <v>0</v>
      </c>
      <c r="E530" s="200">
        <f t="shared" si="60"/>
        <v>0</v>
      </c>
      <c r="F530" s="199"/>
      <c r="G530" s="201">
        <v>467</v>
      </c>
      <c r="H530" s="200">
        <f t="shared" si="61"/>
        <v>0</v>
      </c>
      <c r="I530" s="200">
        <f t="shared" si="62"/>
        <v>0</v>
      </c>
      <c r="J530" s="200">
        <f t="shared" si="63"/>
        <v>0</v>
      </c>
      <c r="K530" s="200">
        <f t="shared" si="64"/>
        <v>0</v>
      </c>
      <c r="L530" s="199"/>
    </row>
    <row r="531" spans="1:12">
      <c r="A531" s="201">
        <v>468</v>
      </c>
      <c r="B531" s="200">
        <f t="shared" si="57"/>
        <v>0</v>
      </c>
      <c r="C531" s="200">
        <f t="shared" si="58"/>
        <v>0</v>
      </c>
      <c r="D531" s="200">
        <f t="shared" si="59"/>
        <v>0</v>
      </c>
      <c r="E531" s="200">
        <f t="shared" si="60"/>
        <v>0</v>
      </c>
      <c r="F531" s="199">
        <v>39</v>
      </c>
      <c r="G531" s="201">
        <v>468</v>
      </c>
      <c r="H531" s="200">
        <f t="shared" si="61"/>
        <v>0</v>
      </c>
      <c r="I531" s="200">
        <f t="shared" si="62"/>
        <v>0</v>
      </c>
      <c r="J531" s="200">
        <f t="shared" si="63"/>
        <v>0</v>
      </c>
      <c r="K531" s="200">
        <f t="shared" si="64"/>
        <v>0</v>
      </c>
      <c r="L531" s="199">
        <v>39</v>
      </c>
    </row>
    <row r="532" spans="1:12">
      <c r="A532" s="201">
        <v>469</v>
      </c>
      <c r="B532" s="200">
        <f t="shared" si="57"/>
        <v>0</v>
      </c>
      <c r="C532" s="200">
        <f t="shared" si="58"/>
        <v>0</v>
      </c>
      <c r="D532" s="200">
        <f t="shared" si="59"/>
        <v>0</v>
      </c>
      <c r="E532" s="200">
        <f t="shared" si="60"/>
        <v>0</v>
      </c>
      <c r="F532" s="199"/>
      <c r="G532" s="201">
        <v>469</v>
      </c>
      <c r="H532" s="200">
        <f t="shared" si="61"/>
        <v>0</v>
      </c>
      <c r="I532" s="200">
        <f t="shared" si="62"/>
        <v>0</v>
      </c>
      <c r="J532" s="200">
        <f t="shared" si="63"/>
        <v>0</v>
      </c>
      <c r="K532" s="200">
        <f t="shared" si="64"/>
        <v>0</v>
      </c>
      <c r="L532" s="199"/>
    </row>
    <row r="533" spans="1:12">
      <c r="A533" s="201">
        <v>470</v>
      </c>
      <c r="B533" s="200">
        <f t="shared" si="57"/>
        <v>0</v>
      </c>
      <c r="C533" s="200">
        <f t="shared" si="58"/>
        <v>0</v>
      </c>
      <c r="D533" s="200">
        <f t="shared" si="59"/>
        <v>0</v>
      </c>
      <c r="E533" s="200">
        <f t="shared" si="60"/>
        <v>0</v>
      </c>
      <c r="F533" s="199"/>
      <c r="G533" s="201">
        <v>470</v>
      </c>
      <c r="H533" s="200">
        <f t="shared" si="61"/>
        <v>0</v>
      </c>
      <c r="I533" s="200">
        <f t="shared" si="62"/>
        <v>0</v>
      </c>
      <c r="J533" s="200">
        <f t="shared" si="63"/>
        <v>0</v>
      </c>
      <c r="K533" s="200">
        <f t="shared" si="64"/>
        <v>0</v>
      </c>
      <c r="L533" s="199"/>
    </row>
    <row r="534" spans="1:12">
      <c r="A534" s="201">
        <v>471</v>
      </c>
      <c r="B534" s="200">
        <f t="shared" si="57"/>
        <v>0</v>
      </c>
      <c r="C534" s="200">
        <f t="shared" si="58"/>
        <v>0</v>
      </c>
      <c r="D534" s="200">
        <f t="shared" si="59"/>
        <v>0</v>
      </c>
      <c r="E534" s="200">
        <f t="shared" si="60"/>
        <v>0</v>
      </c>
      <c r="F534" s="199"/>
      <c r="G534" s="201">
        <v>471</v>
      </c>
      <c r="H534" s="200">
        <f t="shared" si="61"/>
        <v>0</v>
      </c>
      <c r="I534" s="200">
        <f t="shared" si="62"/>
        <v>0</v>
      </c>
      <c r="J534" s="200">
        <f t="shared" si="63"/>
        <v>0</v>
      </c>
      <c r="K534" s="200">
        <f t="shared" si="64"/>
        <v>0</v>
      </c>
      <c r="L534" s="199"/>
    </row>
    <row r="535" spans="1:12">
      <c r="A535" s="201">
        <v>472</v>
      </c>
      <c r="B535" s="200">
        <f t="shared" si="57"/>
        <v>0</v>
      </c>
      <c r="C535" s="200">
        <f t="shared" si="58"/>
        <v>0</v>
      </c>
      <c r="D535" s="200">
        <f t="shared" si="59"/>
        <v>0</v>
      </c>
      <c r="E535" s="200">
        <f t="shared" si="60"/>
        <v>0</v>
      </c>
      <c r="F535" s="199"/>
      <c r="G535" s="201">
        <v>472</v>
      </c>
      <c r="H535" s="200">
        <f t="shared" si="61"/>
        <v>0</v>
      </c>
      <c r="I535" s="200">
        <f t="shared" si="62"/>
        <v>0</v>
      </c>
      <c r="J535" s="200">
        <f t="shared" si="63"/>
        <v>0</v>
      </c>
      <c r="K535" s="200">
        <f t="shared" si="64"/>
        <v>0</v>
      </c>
      <c r="L535" s="199"/>
    </row>
    <row r="536" spans="1:12">
      <c r="A536" s="201">
        <v>473</v>
      </c>
      <c r="B536" s="200">
        <f t="shared" si="57"/>
        <v>0</v>
      </c>
      <c r="C536" s="200">
        <f t="shared" si="58"/>
        <v>0</v>
      </c>
      <c r="D536" s="200">
        <f t="shared" si="59"/>
        <v>0</v>
      </c>
      <c r="E536" s="200">
        <f t="shared" si="60"/>
        <v>0</v>
      </c>
      <c r="F536" s="199"/>
      <c r="G536" s="201">
        <v>473</v>
      </c>
      <c r="H536" s="200">
        <f t="shared" si="61"/>
        <v>0</v>
      </c>
      <c r="I536" s="200">
        <f t="shared" si="62"/>
        <v>0</v>
      </c>
      <c r="J536" s="200">
        <f t="shared" si="63"/>
        <v>0</v>
      </c>
      <c r="K536" s="200">
        <f t="shared" si="64"/>
        <v>0</v>
      </c>
      <c r="L536" s="199"/>
    </row>
    <row r="537" spans="1:12">
      <c r="A537" s="201">
        <v>474</v>
      </c>
      <c r="B537" s="200">
        <f t="shared" si="57"/>
        <v>0</v>
      </c>
      <c r="C537" s="200">
        <f t="shared" si="58"/>
        <v>0</v>
      </c>
      <c r="D537" s="200">
        <f t="shared" si="59"/>
        <v>0</v>
      </c>
      <c r="E537" s="200">
        <f t="shared" si="60"/>
        <v>0</v>
      </c>
      <c r="F537" s="199"/>
      <c r="G537" s="201">
        <v>474</v>
      </c>
      <c r="H537" s="200">
        <f t="shared" si="61"/>
        <v>0</v>
      </c>
      <c r="I537" s="200">
        <f t="shared" si="62"/>
        <v>0</v>
      </c>
      <c r="J537" s="200">
        <f t="shared" si="63"/>
        <v>0</v>
      </c>
      <c r="K537" s="200">
        <f t="shared" si="64"/>
        <v>0</v>
      </c>
      <c r="L537" s="199"/>
    </row>
    <row r="538" spans="1:12">
      <c r="A538" s="201">
        <v>475</v>
      </c>
      <c r="B538" s="200">
        <f t="shared" si="57"/>
        <v>0</v>
      </c>
      <c r="C538" s="200">
        <f t="shared" si="58"/>
        <v>0</v>
      </c>
      <c r="D538" s="200">
        <f t="shared" si="59"/>
        <v>0</v>
      </c>
      <c r="E538" s="200">
        <f t="shared" si="60"/>
        <v>0</v>
      </c>
      <c r="F538" s="199"/>
      <c r="G538" s="201">
        <v>475</v>
      </c>
      <c r="H538" s="200">
        <f t="shared" si="61"/>
        <v>0</v>
      </c>
      <c r="I538" s="200">
        <f t="shared" si="62"/>
        <v>0</v>
      </c>
      <c r="J538" s="200">
        <f t="shared" si="63"/>
        <v>0</v>
      </c>
      <c r="K538" s="200">
        <f t="shared" si="64"/>
        <v>0</v>
      </c>
      <c r="L538" s="199"/>
    </row>
    <row r="539" spans="1:12">
      <c r="A539" s="201">
        <v>476</v>
      </c>
      <c r="B539" s="200">
        <f t="shared" si="57"/>
        <v>0</v>
      </c>
      <c r="C539" s="200">
        <f t="shared" si="58"/>
        <v>0</v>
      </c>
      <c r="D539" s="200">
        <f t="shared" si="59"/>
        <v>0</v>
      </c>
      <c r="E539" s="200">
        <f t="shared" si="60"/>
        <v>0</v>
      </c>
      <c r="F539" s="199"/>
      <c r="G539" s="201">
        <v>476</v>
      </c>
      <c r="H539" s="200">
        <f t="shared" si="61"/>
        <v>0</v>
      </c>
      <c r="I539" s="200">
        <f t="shared" si="62"/>
        <v>0</v>
      </c>
      <c r="J539" s="200">
        <f t="shared" si="63"/>
        <v>0</v>
      </c>
      <c r="K539" s="200">
        <f t="shared" si="64"/>
        <v>0</v>
      </c>
      <c r="L539" s="199"/>
    </row>
    <row r="540" spans="1:12">
      <c r="A540" s="201">
        <v>477</v>
      </c>
      <c r="B540" s="200">
        <f t="shared" si="57"/>
        <v>0</v>
      </c>
      <c r="C540" s="200">
        <f t="shared" si="58"/>
        <v>0</v>
      </c>
      <c r="D540" s="200">
        <f t="shared" si="59"/>
        <v>0</v>
      </c>
      <c r="E540" s="200">
        <f t="shared" si="60"/>
        <v>0</v>
      </c>
      <c r="F540" s="199"/>
      <c r="G540" s="201">
        <v>477</v>
      </c>
      <c r="H540" s="200">
        <f t="shared" si="61"/>
        <v>0</v>
      </c>
      <c r="I540" s="200">
        <f t="shared" si="62"/>
        <v>0</v>
      </c>
      <c r="J540" s="200">
        <f t="shared" si="63"/>
        <v>0</v>
      </c>
      <c r="K540" s="200">
        <f t="shared" si="64"/>
        <v>0</v>
      </c>
      <c r="L540" s="199"/>
    </row>
    <row r="541" spans="1:12">
      <c r="A541" s="201">
        <v>478</v>
      </c>
      <c r="B541" s="200">
        <f t="shared" si="57"/>
        <v>0</v>
      </c>
      <c r="C541" s="200">
        <f t="shared" si="58"/>
        <v>0</v>
      </c>
      <c r="D541" s="200">
        <f t="shared" si="59"/>
        <v>0</v>
      </c>
      <c r="E541" s="200">
        <f t="shared" si="60"/>
        <v>0</v>
      </c>
      <c r="F541" s="199"/>
      <c r="G541" s="201">
        <v>478</v>
      </c>
      <c r="H541" s="200">
        <f t="shared" si="61"/>
        <v>0</v>
      </c>
      <c r="I541" s="200">
        <f t="shared" si="62"/>
        <v>0</v>
      </c>
      <c r="J541" s="200">
        <f t="shared" si="63"/>
        <v>0</v>
      </c>
      <c r="K541" s="200">
        <f t="shared" si="64"/>
        <v>0</v>
      </c>
      <c r="L541" s="199"/>
    </row>
    <row r="542" spans="1:12">
      <c r="A542" s="201">
        <v>479</v>
      </c>
      <c r="B542" s="200">
        <f t="shared" si="57"/>
        <v>0</v>
      </c>
      <c r="C542" s="200">
        <f t="shared" si="58"/>
        <v>0</v>
      </c>
      <c r="D542" s="200">
        <f t="shared" si="59"/>
        <v>0</v>
      </c>
      <c r="E542" s="200">
        <f t="shared" si="60"/>
        <v>0</v>
      </c>
      <c r="F542" s="199"/>
      <c r="G542" s="201">
        <v>479</v>
      </c>
      <c r="H542" s="200">
        <f t="shared" si="61"/>
        <v>0</v>
      </c>
      <c r="I542" s="200">
        <f t="shared" si="62"/>
        <v>0</v>
      </c>
      <c r="J542" s="200">
        <f t="shared" si="63"/>
        <v>0</v>
      </c>
      <c r="K542" s="200">
        <f t="shared" si="64"/>
        <v>0</v>
      </c>
      <c r="L542" s="199"/>
    </row>
    <row r="543" spans="1:12">
      <c r="A543" s="201">
        <v>480</v>
      </c>
      <c r="B543" s="200">
        <f t="shared" si="57"/>
        <v>0</v>
      </c>
      <c r="C543" s="200">
        <f t="shared" si="58"/>
        <v>0</v>
      </c>
      <c r="D543" s="200">
        <f t="shared" si="59"/>
        <v>0</v>
      </c>
      <c r="E543" s="200">
        <f t="shared" si="60"/>
        <v>0</v>
      </c>
      <c r="F543" s="199">
        <v>40</v>
      </c>
      <c r="G543" s="201">
        <v>480</v>
      </c>
      <c r="H543" s="200">
        <f t="shared" si="61"/>
        <v>0</v>
      </c>
      <c r="I543" s="200">
        <f t="shared" si="62"/>
        <v>0</v>
      </c>
      <c r="J543" s="200">
        <f t="shared" si="63"/>
        <v>0</v>
      </c>
      <c r="K543" s="200">
        <f t="shared" si="64"/>
        <v>0</v>
      </c>
      <c r="L543" s="199">
        <v>40</v>
      </c>
    </row>
    <row r="544" spans="1:12">
      <c r="A544" s="179"/>
      <c r="G544" s="194"/>
      <c r="H544" s="194"/>
      <c r="I544" s="194"/>
      <c r="J544" s="194"/>
      <c r="K544" s="194"/>
    </row>
    <row r="545" spans="1:11">
      <c r="A545" s="179"/>
      <c r="G545" s="194"/>
      <c r="H545" s="194"/>
      <c r="I545" s="194"/>
      <c r="J545" s="194"/>
      <c r="K545" s="194"/>
    </row>
    <row r="546" spans="1:11">
      <c r="A546" s="179"/>
      <c r="G546" s="194"/>
      <c r="H546" s="194"/>
      <c r="I546" s="194"/>
      <c r="J546" s="194"/>
      <c r="K546" s="194"/>
    </row>
    <row r="547" spans="1:11">
      <c r="A547" s="179"/>
      <c r="G547" s="194"/>
      <c r="H547" s="194"/>
      <c r="I547" s="194"/>
      <c r="J547" s="194"/>
      <c r="K547" s="194"/>
    </row>
    <row r="548" spans="1:11">
      <c r="A548" s="179"/>
      <c r="G548" s="194"/>
      <c r="H548" s="194"/>
      <c r="I548" s="194"/>
      <c r="J548" s="194"/>
      <c r="K548" s="194"/>
    </row>
    <row r="549" spans="1:11">
      <c r="A549" s="179"/>
      <c r="G549" s="194"/>
      <c r="H549" s="194"/>
      <c r="I549" s="194"/>
      <c r="J549" s="194"/>
      <c r="K549" s="194"/>
    </row>
    <row r="550" spans="1:11">
      <c r="A550" s="179"/>
      <c r="G550" s="194"/>
      <c r="H550" s="194"/>
      <c r="I550" s="194"/>
      <c r="J550" s="194"/>
      <c r="K550" s="194"/>
    </row>
    <row r="551" spans="1:11">
      <c r="G551" s="194"/>
      <c r="H551" s="194"/>
      <c r="I551" s="194"/>
      <c r="J551" s="194"/>
      <c r="K551" s="194"/>
    </row>
    <row r="552" spans="1:11">
      <c r="G552" s="194"/>
      <c r="H552" s="194"/>
      <c r="I552" s="194"/>
      <c r="J552" s="194"/>
      <c r="K552" s="194"/>
    </row>
    <row r="553" spans="1:11">
      <c r="G553" s="194"/>
      <c r="H553" s="194"/>
      <c r="I553" s="194"/>
      <c r="J553" s="194"/>
      <c r="K553" s="194"/>
    </row>
    <row r="554" spans="1:11">
      <c r="G554" s="194"/>
      <c r="H554" s="194"/>
      <c r="I554" s="194"/>
      <c r="J554" s="194"/>
      <c r="K554" s="194"/>
    </row>
    <row r="555" spans="1:11">
      <c r="G555" s="194"/>
      <c r="H555" s="194"/>
      <c r="I555" s="194"/>
      <c r="J555" s="194"/>
      <c r="K555" s="194"/>
    </row>
    <row r="556" spans="1:11">
      <c r="G556" s="194"/>
      <c r="H556" s="194"/>
      <c r="I556" s="194"/>
      <c r="J556" s="194"/>
      <c r="K556" s="194"/>
    </row>
    <row r="557" spans="1:11">
      <c r="G557" s="194"/>
      <c r="H557" s="194"/>
      <c r="I557" s="194"/>
      <c r="J557" s="194"/>
      <c r="K557" s="194"/>
    </row>
    <row r="558" spans="1:11">
      <c r="G558" s="194"/>
      <c r="H558" s="194"/>
      <c r="I558" s="194"/>
      <c r="J558" s="194"/>
      <c r="K558" s="194"/>
    </row>
    <row r="559" spans="1:11">
      <c r="G559" s="194"/>
      <c r="H559" s="194"/>
      <c r="I559" s="194"/>
      <c r="J559" s="194"/>
      <c r="K559" s="194"/>
    </row>
    <row r="560" spans="1:11">
      <c r="G560" s="194"/>
      <c r="H560" s="194"/>
      <c r="I560" s="194"/>
      <c r="J560" s="194"/>
      <c r="K560" s="194"/>
    </row>
    <row r="561" spans="7:11">
      <c r="G561" s="194"/>
      <c r="H561" s="194"/>
      <c r="I561" s="194"/>
      <c r="J561" s="194"/>
      <c r="K561" s="194"/>
    </row>
    <row r="562" spans="7:11">
      <c r="G562" s="194"/>
      <c r="H562" s="194"/>
      <c r="I562" s="194"/>
      <c r="J562" s="194"/>
      <c r="K562" s="194"/>
    </row>
    <row r="563" spans="7:11">
      <c r="G563" s="194"/>
      <c r="H563" s="194"/>
      <c r="I563" s="194"/>
      <c r="J563" s="194"/>
      <c r="K563" s="194"/>
    </row>
    <row r="564" spans="7:11">
      <c r="G564" s="194"/>
      <c r="H564" s="194"/>
      <c r="I564" s="194"/>
      <c r="J564" s="194"/>
      <c r="K564" s="194"/>
    </row>
    <row r="565" spans="7:11">
      <c r="G565" s="194"/>
      <c r="H565" s="194"/>
      <c r="I565" s="194"/>
      <c r="J565" s="194"/>
      <c r="K565" s="194"/>
    </row>
    <row r="566" spans="7:11">
      <c r="G566" s="194"/>
      <c r="H566" s="194"/>
      <c r="I566" s="194"/>
      <c r="J566" s="194"/>
      <c r="K566" s="194"/>
    </row>
    <row r="567" spans="7:11">
      <c r="G567" s="194"/>
      <c r="H567" s="194"/>
      <c r="I567" s="194"/>
      <c r="J567" s="194"/>
      <c r="K567" s="194"/>
    </row>
    <row r="568" spans="7:11">
      <c r="G568" s="194"/>
      <c r="H568" s="194"/>
      <c r="I568" s="194"/>
      <c r="J568" s="194"/>
      <c r="K568" s="194"/>
    </row>
    <row r="569" spans="7:11">
      <c r="G569" s="194"/>
      <c r="H569" s="194"/>
      <c r="I569" s="194"/>
      <c r="J569" s="194"/>
      <c r="K569" s="194"/>
    </row>
    <row r="570" spans="7:11">
      <c r="G570" s="194"/>
      <c r="H570" s="194"/>
      <c r="I570" s="194"/>
      <c r="J570" s="194"/>
      <c r="K570" s="194"/>
    </row>
    <row r="571" spans="7:11">
      <c r="G571" s="194"/>
      <c r="H571" s="194"/>
      <c r="I571" s="194"/>
      <c r="J571" s="194"/>
      <c r="K571" s="194"/>
    </row>
    <row r="572" spans="7:11">
      <c r="G572" s="194"/>
      <c r="H572" s="194"/>
      <c r="I572" s="194"/>
      <c r="J572" s="194"/>
      <c r="K572" s="194"/>
    </row>
    <row r="573" spans="7:11">
      <c r="G573" s="194"/>
      <c r="H573" s="194"/>
      <c r="I573" s="194"/>
      <c r="J573" s="194"/>
      <c r="K573" s="194"/>
    </row>
    <row r="574" spans="7:11">
      <c r="G574" s="194"/>
      <c r="H574" s="194"/>
      <c r="I574" s="194"/>
      <c r="J574" s="194"/>
      <c r="K574" s="194"/>
    </row>
    <row r="575" spans="7:11">
      <c r="G575" s="194"/>
      <c r="H575" s="194"/>
      <c r="I575" s="194"/>
      <c r="J575" s="194"/>
      <c r="K575" s="194"/>
    </row>
    <row r="576" spans="7:11">
      <c r="G576" s="194"/>
      <c r="H576" s="194"/>
      <c r="I576" s="194"/>
      <c r="J576" s="194"/>
      <c r="K576" s="194"/>
    </row>
    <row r="577" spans="7:11">
      <c r="G577" s="194"/>
      <c r="H577" s="194"/>
      <c r="I577" s="194"/>
      <c r="J577" s="194"/>
      <c r="K577" s="194"/>
    </row>
    <row r="578" spans="7:11">
      <c r="G578" s="194"/>
      <c r="H578" s="194"/>
      <c r="I578" s="194"/>
      <c r="J578" s="194"/>
      <c r="K578" s="194"/>
    </row>
    <row r="579" spans="7:11">
      <c r="G579" s="194"/>
      <c r="H579" s="194"/>
      <c r="I579" s="194"/>
      <c r="J579" s="194"/>
      <c r="K579" s="194"/>
    </row>
    <row r="580" spans="7:11">
      <c r="G580" s="194"/>
      <c r="H580" s="194"/>
      <c r="I580" s="194"/>
      <c r="J580" s="194"/>
      <c r="K580" s="194"/>
    </row>
    <row r="581" spans="7:11">
      <c r="G581" s="194"/>
      <c r="H581" s="194"/>
      <c r="I581" s="194"/>
      <c r="J581" s="194"/>
      <c r="K581" s="194"/>
    </row>
    <row r="582" spans="7:11">
      <c r="G582" s="194"/>
      <c r="H582" s="194"/>
      <c r="I582" s="194"/>
      <c r="J582" s="194"/>
      <c r="K582" s="194"/>
    </row>
    <row r="583" spans="7:11">
      <c r="G583" s="194"/>
      <c r="H583" s="194"/>
      <c r="I583" s="194"/>
      <c r="J583" s="194"/>
      <c r="K583" s="194"/>
    </row>
    <row r="584" spans="7:11">
      <c r="G584" s="194"/>
      <c r="H584" s="194"/>
      <c r="I584" s="194"/>
      <c r="J584" s="194"/>
      <c r="K584" s="194"/>
    </row>
    <row r="585" spans="7:11">
      <c r="G585" s="194"/>
      <c r="H585" s="194"/>
      <c r="I585" s="194"/>
      <c r="J585" s="194"/>
      <c r="K585" s="194"/>
    </row>
    <row r="586" spans="7:11">
      <c r="G586" s="194"/>
      <c r="H586" s="194"/>
      <c r="I586" s="194"/>
      <c r="J586" s="194"/>
      <c r="K586" s="194"/>
    </row>
    <row r="587" spans="7:11">
      <c r="G587" s="194"/>
      <c r="H587" s="194"/>
      <c r="I587" s="194"/>
      <c r="J587" s="194"/>
      <c r="K587" s="194"/>
    </row>
    <row r="588" spans="7:11">
      <c r="G588" s="194"/>
      <c r="H588" s="194"/>
      <c r="I588" s="194"/>
      <c r="J588" s="194"/>
      <c r="K588" s="194"/>
    </row>
    <row r="589" spans="7:11">
      <c r="G589" s="194"/>
      <c r="H589" s="194"/>
      <c r="I589" s="194"/>
      <c r="J589" s="194"/>
      <c r="K589" s="194"/>
    </row>
    <row r="590" spans="7:11">
      <c r="G590" s="194"/>
      <c r="H590" s="194"/>
      <c r="I590" s="194"/>
      <c r="J590" s="194"/>
      <c r="K590" s="194"/>
    </row>
    <row r="591" spans="7:11">
      <c r="G591" s="194"/>
      <c r="H591" s="194"/>
      <c r="I591" s="194"/>
      <c r="J591" s="194"/>
      <c r="K591" s="194"/>
    </row>
    <row r="592" spans="7:11">
      <c r="G592" s="194"/>
      <c r="H592" s="194"/>
      <c r="I592" s="194"/>
      <c r="J592" s="194"/>
      <c r="K592" s="194"/>
    </row>
    <row r="593" spans="7:11">
      <c r="G593" s="194"/>
      <c r="H593" s="194"/>
      <c r="I593" s="194"/>
      <c r="J593" s="194"/>
      <c r="K593" s="194"/>
    </row>
    <row r="594" spans="7:11">
      <c r="G594" s="194"/>
      <c r="H594" s="194"/>
      <c r="I594" s="194"/>
      <c r="J594" s="194"/>
      <c r="K594" s="194"/>
    </row>
    <row r="595" spans="7:11">
      <c r="G595" s="194"/>
      <c r="H595" s="194"/>
      <c r="I595" s="194"/>
      <c r="J595" s="194"/>
      <c r="K595" s="194"/>
    </row>
    <row r="596" spans="7:11">
      <c r="G596" s="194"/>
      <c r="H596" s="194"/>
      <c r="I596" s="194"/>
      <c r="J596" s="194"/>
      <c r="K596" s="194"/>
    </row>
    <row r="597" spans="7:11">
      <c r="G597" s="194"/>
      <c r="H597" s="194"/>
      <c r="I597" s="194"/>
      <c r="J597" s="194"/>
      <c r="K597" s="194"/>
    </row>
    <row r="598" spans="7:11">
      <c r="G598" s="194"/>
      <c r="H598" s="194"/>
      <c r="I598" s="194"/>
      <c r="J598" s="194"/>
      <c r="K598" s="194"/>
    </row>
    <row r="599" spans="7:11">
      <c r="G599" s="194"/>
      <c r="H599" s="194"/>
      <c r="I599" s="194"/>
      <c r="J599" s="194"/>
      <c r="K599" s="194"/>
    </row>
    <row r="600" spans="7:11">
      <c r="G600" s="194"/>
      <c r="H600" s="194"/>
      <c r="I600" s="194"/>
      <c r="J600" s="194"/>
      <c r="K600" s="194"/>
    </row>
    <row r="601" spans="7:11">
      <c r="G601" s="194"/>
      <c r="H601" s="194"/>
      <c r="I601" s="194"/>
      <c r="J601" s="194"/>
      <c r="K601" s="194"/>
    </row>
    <row r="602" spans="7:11">
      <c r="G602" s="194"/>
      <c r="H602" s="194"/>
      <c r="I602" s="194"/>
      <c r="J602" s="194"/>
      <c r="K602" s="194"/>
    </row>
    <row r="603" spans="7:11">
      <c r="G603" s="194"/>
      <c r="H603" s="194"/>
      <c r="I603" s="194"/>
      <c r="J603" s="194"/>
      <c r="K603" s="194"/>
    </row>
    <row r="604" spans="7:11">
      <c r="G604" s="194"/>
      <c r="H604" s="194"/>
      <c r="I604" s="194"/>
      <c r="J604" s="194"/>
      <c r="K604" s="194"/>
    </row>
    <row r="605" spans="7:11">
      <c r="G605" s="194"/>
      <c r="H605" s="194"/>
      <c r="I605" s="194"/>
      <c r="J605" s="194"/>
      <c r="K605" s="194"/>
    </row>
    <row r="606" spans="7:11">
      <c r="G606" s="194"/>
      <c r="H606" s="194"/>
      <c r="I606" s="194"/>
      <c r="J606" s="194"/>
      <c r="K606" s="194"/>
    </row>
    <row r="607" spans="7:11">
      <c r="G607" s="194"/>
      <c r="H607" s="194"/>
      <c r="I607" s="194"/>
      <c r="J607" s="194"/>
      <c r="K607" s="194"/>
    </row>
    <row r="608" spans="7:11">
      <c r="G608" s="194"/>
      <c r="H608" s="194"/>
      <c r="I608" s="194"/>
      <c r="J608" s="194"/>
      <c r="K608" s="194"/>
    </row>
    <row r="609" spans="7:11">
      <c r="G609" s="194"/>
      <c r="H609" s="194"/>
      <c r="I609" s="194"/>
      <c r="J609" s="194"/>
      <c r="K609" s="194"/>
    </row>
    <row r="610" spans="7:11">
      <c r="G610" s="194"/>
      <c r="H610" s="194"/>
      <c r="I610" s="194"/>
      <c r="J610" s="194"/>
      <c r="K610" s="194"/>
    </row>
    <row r="611" spans="7:11">
      <c r="G611" s="194"/>
      <c r="H611" s="194"/>
      <c r="I611" s="194"/>
      <c r="J611" s="194"/>
      <c r="K611" s="194"/>
    </row>
    <row r="612" spans="7:11">
      <c r="G612" s="194"/>
      <c r="H612" s="194"/>
      <c r="I612" s="194"/>
      <c r="J612" s="194"/>
      <c r="K612" s="194"/>
    </row>
    <row r="613" spans="7:11">
      <c r="G613" s="194"/>
      <c r="H613" s="194"/>
      <c r="I613" s="194"/>
      <c r="J613" s="194"/>
      <c r="K613" s="194"/>
    </row>
    <row r="614" spans="7:11">
      <c r="G614" s="194"/>
      <c r="H614" s="194"/>
      <c r="I614" s="194"/>
      <c r="J614" s="194"/>
      <c r="K614" s="194"/>
    </row>
    <row r="615" spans="7:11">
      <c r="G615" s="194"/>
      <c r="H615" s="194"/>
      <c r="I615" s="194"/>
      <c r="J615" s="194"/>
      <c r="K615" s="194"/>
    </row>
    <row r="616" spans="7:11">
      <c r="G616" s="194"/>
      <c r="H616" s="194"/>
      <c r="I616" s="194"/>
      <c r="J616" s="194"/>
      <c r="K616" s="194"/>
    </row>
    <row r="617" spans="7:11">
      <c r="G617" s="194"/>
      <c r="H617" s="194"/>
      <c r="I617" s="194"/>
      <c r="J617" s="194"/>
      <c r="K617" s="194"/>
    </row>
    <row r="618" spans="7:11">
      <c r="G618" s="194"/>
      <c r="H618" s="194"/>
      <c r="I618" s="194"/>
      <c r="J618" s="194"/>
      <c r="K618" s="194"/>
    </row>
    <row r="619" spans="7:11">
      <c r="G619" s="194"/>
      <c r="H619" s="194"/>
      <c r="I619" s="194"/>
      <c r="J619" s="194"/>
      <c r="K619" s="194"/>
    </row>
    <row r="620" spans="7:11">
      <c r="G620" s="194"/>
      <c r="H620" s="194"/>
      <c r="I620" s="194"/>
      <c r="J620" s="194"/>
      <c r="K620" s="194"/>
    </row>
    <row r="621" spans="7:11">
      <c r="G621" s="194"/>
      <c r="H621" s="194"/>
      <c r="I621" s="194"/>
      <c r="J621" s="194"/>
      <c r="K621" s="194"/>
    </row>
    <row r="622" spans="7:11">
      <c r="G622" s="194"/>
      <c r="H622" s="194"/>
      <c r="I622" s="194"/>
      <c r="J622" s="194"/>
      <c r="K622" s="194"/>
    </row>
    <row r="623" spans="7:11">
      <c r="G623" s="194"/>
      <c r="H623" s="194"/>
      <c r="I623" s="194"/>
      <c r="J623" s="194"/>
      <c r="K623" s="194"/>
    </row>
    <row r="624" spans="7:11">
      <c r="G624" s="194"/>
      <c r="H624" s="194"/>
      <c r="I624" s="194"/>
      <c r="J624" s="194"/>
      <c r="K624" s="194"/>
    </row>
    <row r="625" spans="7:11">
      <c r="G625" s="194"/>
      <c r="H625" s="194"/>
      <c r="I625" s="194"/>
      <c r="J625" s="194"/>
      <c r="K625" s="194"/>
    </row>
    <row r="626" spans="7:11">
      <c r="G626" s="194"/>
      <c r="H626" s="194"/>
      <c r="I626" s="194"/>
      <c r="J626" s="194"/>
      <c r="K626" s="194"/>
    </row>
    <row r="627" spans="7:11">
      <c r="G627" s="194"/>
      <c r="H627" s="194"/>
      <c r="I627" s="194"/>
      <c r="J627" s="194"/>
      <c r="K627" s="194"/>
    </row>
    <row r="628" spans="7:11">
      <c r="G628" s="194"/>
      <c r="H628" s="194"/>
      <c r="I628" s="194"/>
      <c r="J628" s="194"/>
      <c r="K628" s="194"/>
    </row>
    <row r="629" spans="7:11">
      <c r="G629" s="194"/>
      <c r="H629" s="194"/>
      <c r="I629" s="194"/>
      <c r="J629" s="194"/>
      <c r="K629" s="194"/>
    </row>
    <row r="630" spans="7:11">
      <c r="G630" s="194"/>
      <c r="H630" s="194"/>
      <c r="I630" s="194"/>
      <c r="J630" s="194"/>
      <c r="K630" s="194"/>
    </row>
    <row r="631" spans="7:11">
      <c r="G631" s="194"/>
      <c r="H631" s="194"/>
      <c r="I631" s="194"/>
      <c r="J631" s="194"/>
      <c r="K631" s="194"/>
    </row>
    <row r="632" spans="7:11">
      <c r="G632" s="194"/>
      <c r="H632" s="194"/>
      <c r="I632" s="194"/>
      <c r="J632" s="194"/>
      <c r="K632" s="194"/>
    </row>
    <row r="633" spans="7:11">
      <c r="G633" s="194"/>
      <c r="H633" s="194"/>
      <c r="I633" s="194"/>
      <c r="J633" s="194"/>
      <c r="K633" s="194"/>
    </row>
    <row r="634" spans="7:11">
      <c r="G634" s="194"/>
      <c r="H634" s="194"/>
      <c r="I634" s="194"/>
      <c r="J634" s="194"/>
      <c r="K634" s="194"/>
    </row>
    <row r="635" spans="7:11">
      <c r="G635" s="194"/>
      <c r="H635" s="194"/>
      <c r="I635" s="194"/>
      <c r="J635" s="194"/>
      <c r="K635" s="194"/>
    </row>
    <row r="636" spans="7:11">
      <c r="G636" s="194"/>
      <c r="H636" s="194"/>
      <c r="I636" s="194"/>
      <c r="J636" s="194"/>
      <c r="K636" s="194"/>
    </row>
    <row r="637" spans="7:11">
      <c r="G637" s="194"/>
      <c r="H637" s="194"/>
      <c r="I637" s="194"/>
      <c r="J637" s="194"/>
      <c r="K637" s="194"/>
    </row>
    <row r="638" spans="7:11">
      <c r="G638" s="194"/>
      <c r="H638" s="194"/>
      <c r="I638" s="194"/>
      <c r="J638" s="194"/>
      <c r="K638" s="194"/>
    </row>
    <row r="639" spans="7:11">
      <c r="G639" s="194"/>
      <c r="H639" s="194"/>
      <c r="I639" s="194"/>
      <c r="J639" s="194"/>
      <c r="K639" s="194"/>
    </row>
    <row r="640" spans="7:11">
      <c r="G640" s="194"/>
      <c r="H640" s="194"/>
      <c r="I640" s="194"/>
      <c r="J640" s="194"/>
      <c r="K640" s="194"/>
    </row>
    <row r="641" spans="7:11">
      <c r="G641" s="194"/>
      <c r="H641" s="194"/>
      <c r="I641" s="194"/>
      <c r="J641" s="194"/>
      <c r="K641" s="194"/>
    </row>
    <row r="642" spans="7:11">
      <c r="G642" s="194"/>
      <c r="H642" s="194"/>
      <c r="I642" s="194"/>
      <c r="J642" s="194"/>
      <c r="K642" s="194"/>
    </row>
    <row r="643" spans="7:11">
      <c r="G643" s="194"/>
      <c r="H643" s="194"/>
      <c r="I643" s="194"/>
      <c r="J643" s="194"/>
      <c r="K643" s="194"/>
    </row>
    <row r="644" spans="7:11">
      <c r="G644" s="194"/>
      <c r="H644" s="194"/>
      <c r="I644" s="194"/>
      <c r="J644" s="194"/>
      <c r="K644" s="194"/>
    </row>
    <row r="645" spans="7:11">
      <c r="G645" s="194"/>
      <c r="H645" s="194"/>
      <c r="I645" s="194"/>
      <c r="J645" s="194"/>
      <c r="K645" s="194"/>
    </row>
    <row r="646" spans="7:11">
      <c r="G646" s="194"/>
      <c r="H646" s="194"/>
      <c r="I646" s="194"/>
      <c r="J646" s="194"/>
      <c r="K646" s="194"/>
    </row>
    <row r="647" spans="7:11">
      <c r="G647" s="194"/>
      <c r="H647" s="194"/>
      <c r="I647" s="194"/>
      <c r="J647" s="194"/>
      <c r="K647" s="194"/>
    </row>
    <row r="648" spans="7:11">
      <c r="G648" s="194"/>
      <c r="H648" s="194"/>
      <c r="I648" s="194"/>
      <c r="J648" s="194"/>
      <c r="K648" s="194"/>
    </row>
    <row r="649" spans="7:11">
      <c r="G649" s="194"/>
      <c r="H649" s="194"/>
      <c r="I649" s="194"/>
      <c r="J649" s="194"/>
      <c r="K649" s="194"/>
    </row>
    <row r="650" spans="7:11">
      <c r="G650" s="194"/>
      <c r="H650" s="194"/>
      <c r="I650" s="194"/>
      <c r="J650" s="194"/>
      <c r="K650" s="194"/>
    </row>
    <row r="651" spans="7:11">
      <c r="G651" s="194"/>
      <c r="H651" s="194"/>
      <c r="I651" s="194"/>
      <c r="J651" s="194"/>
      <c r="K651" s="194"/>
    </row>
    <row r="652" spans="7:11">
      <c r="G652" s="194"/>
      <c r="H652" s="194"/>
      <c r="I652" s="194"/>
      <c r="J652" s="194"/>
      <c r="K652" s="194"/>
    </row>
    <row r="653" spans="7:11">
      <c r="G653" s="194"/>
      <c r="H653" s="194"/>
      <c r="I653" s="194"/>
      <c r="J653" s="194"/>
      <c r="K653" s="194"/>
    </row>
    <row r="654" spans="7:11">
      <c r="G654" s="194"/>
      <c r="H654" s="194"/>
      <c r="I654" s="194"/>
      <c r="J654" s="194"/>
      <c r="K654" s="194"/>
    </row>
    <row r="655" spans="7:11">
      <c r="G655" s="194"/>
      <c r="H655" s="194"/>
      <c r="I655" s="194"/>
      <c r="J655" s="194"/>
      <c r="K655" s="194"/>
    </row>
    <row r="656" spans="7:11">
      <c r="G656" s="194"/>
      <c r="H656" s="194"/>
      <c r="I656" s="194"/>
      <c r="J656" s="194"/>
      <c r="K656" s="194"/>
    </row>
    <row r="657" spans="7:11">
      <c r="G657" s="194"/>
      <c r="H657" s="194"/>
      <c r="I657" s="194"/>
      <c r="J657" s="194"/>
      <c r="K657" s="194"/>
    </row>
    <row r="658" spans="7:11">
      <c r="G658" s="194"/>
      <c r="H658" s="194"/>
      <c r="I658" s="194"/>
      <c r="J658" s="194"/>
      <c r="K658" s="194"/>
    </row>
    <row r="659" spans="7:11">
      <c r="G659" s="194"/>
      <c r="H659" s="194"/>
      <c r="I659" s="194"/>
      <c r="J659" s="194"/>
      <c r="K659" s="194"/>
    </row>
    <row r="660" spans="7:11">
      <c r="G660" s="194"/>
      <c r="H660" s="194"/>
      <c r="I660" s="194"/>
      <c r="J660" s="194"/>
      <c r="K660" s="194"/>
    </row>
    <row r="661" spans="7:11">
      <c r="G661" s="194"/>
      <c r="H661" s="194"/>
      <c r="I661" s="194"/>
      <c r="J661" s="194"/>
      <c r="K661" s="194"/>
    </row>
    <row r="662" spans="7:11">
      <c r="G662" s="194"/>
      <c r="H662" s="194"/>
      <c r="I662" s="194"/>
      <c r="J662" s="194"/>
      <c r="K662" s="194"/>
    </row>
    <row r="663" spans="7:11">
      <c r="G663" s="194"/>
      <c r="H663" s="194"/>
      <c r="I663" s="194"/>
      <c r="J663" s="194"/>
      <c r="K663" s="194"/>
    </row>
    <row r="664" spans="7:11">
      <c r="G664" s="194"/>
      <c r="H664" s="194"/>
      <c r="I664" s="194"/>
      <c r="J664" s="194"/>
      <c r="K664" s="194"/>
    </row>
    <row r="665" spans="7:11">
      <c r="G665" s="194"/>
      <c r="H665" s="194"/>
      <c r="I665" s="194"/>
      <c r="J665" s="194"/>
      <c r="K665" s="194"/>
    </row>
    <row r="666" spans="7:11">
      <c r="G666" s="194"/>
      <c r="H666" s="194"/>
      <c r="I666" s="194"/>
      <c r="J666" s="194"/>
      <c r="K666" s="194"/>
    </row>
    <row r="667" spans="7:11">
      <c r="G667" s="194"/>
      <c r="H667" s="194"/>
      <c r="I667" s="194"/>
      <c r="J667" s="194"/>
      <c r="K667" s="194"/>
    </row>
    <row r="668" spans="7:11">
      <c r="G668" s="194"/>
      <c r="H668" s="194"/>
      <c r="I668" s="194"/>
      <c r="J668" s="194"/>
      <c r="K668" s="194"/>
    </row>
    <row r="669" spans="7:11">
      <c r="G669" s="194"/>
      <c r="H669" s="194"/>
      <c r="I669" s="194"/>
      <c r="J669" s="194"/>
      <c r="K669" s="194"/>
    </row>
    <row r="670" spans="7:11">
      <c r="G670" s="194"/>
      <c r="H670" s="194"/>
      <c r="I670" s="194"/>
      <c r="J670" s="194"/>
      <c r="K670" s="194"/>
    </row>
    <row r="671" spans="7:11">
      <c r="G671" s="194"/>
      <c r="H671" s="194"/>
      <c r="I671" s="194"/>
      <c r="J671" s="194"/>
      <c r="K671" s="194"/>
    </row>
    <row r="672" spans="7:11">
      <c r="G672" s="194"/>
      <c r="H672" s="194"/>
      <c r="I672" s="194"/>
      <c r="J672" s="194"/>
      <c r="K672" s="194"/>
    </row>
    <row r="673" spans="7:11">
      <c r="G673" s="194"/>
      <c r="H673" s="194"/>
      <c r="I673" s="194"/>
      <c r="J673" s="194"/>
      <c r="K673" s="194"/>
    </row>
    <row r="674" spans="7:11">
      <c r="G674" s="194"/>
      <c r="H674" s="194"/>
      <c r="I674" s="194"/>
      <c r="J674" s="194"/>
      <c r="K674" s="194"/>
    </row>
    <row r="675" spans="7:11">
      <c r="G675" s="194"/>
      <c r="H675" s="194"/>
      <c r="I675" s="194"/>
      <c r="J675" s="194"/>
      <c r="K675" s="194"/>
    </row>
    <row r="676" spans="7:11">
      <c r="G676" s="194"/>
      <c r="H676" s="194"/>
      <c r="I676" s="194"/>
      <c r="J676" s="194"/>
      <c r="K676" s="194"/>
    </row>
    <row r="677" spans="7:11">
      <c r="G677" s="194"/>
      <c r="H677" s="194"/>
      <c r="I677" s="194"/>
      <c r="J677" s="194"/>
      <c r="K677" s="194"/>
    </row>
    <row r="678" spans="7:11">
      <c r="G678" s="194"/>
      <c r="H678" s="194"/>
      <c r="I678" s="194"/>
      <c r="J678" s="194"/>
      <c r="K678" s="194"/>
    </row>
    <row r="679" spans="7:11">
      <c r="G679" s="194"/>
      <c r="H679" s="194"/>
      <c r="I679" s="194"/>
      <c r="J679" s="194"/>
      <c r="K679" s="194"/>
    </row>
    <row r="680" spans="7:11">
      <c r="G680" s="194"/>
      <c r="H680" s="194"/>
      <c r="I680" s="194"/>
      <c r="J680" s="194"/>
      <c r="K680" s="194"/>
    </row>
    <row r="681" spans="7:11">
      <c r="G681" s="194"/>
      <c r="H681" s="194"/>
      <c r="I681" s="194"/>
      <c r="J681" s="194"/>
      <c r="K681" s="194"/>
    </row>
    <row r="682" spans="7:11">
      <c r="G682" s="194"/>
      <c r="H682" s="194"/>
      <c r="I682" s="194"/>
      <c r="J682" s="194"/>
      <c r="K682" s="194"/>
    </row>
    <row r="683" spans="7:11">
      <c r="G683" s="194"/>
      <c r="H683" s="194"/>
      <c r="I683" s="194"/>
      <c r="J683" s="194"/>
      <c r="K683" s="194"/>
    </row>
    <row r="684" spans="7:11">
      <c r="G684" s="194"/>
      <c r="H684" s="194"/>
      <c r="I684" s="194"/>
      <c r="J684" s="194"/>
      <c r="K684" s="194"/>
    </row>
    <row r="685" spans="7:11">
      <c r="G685" s="194"/>
      <c r="H685" s="194"/>
      <c r="I685" s="194"/>
      <c r="J685" s="194"/>
      <c r="K685" s="194"/>
    </row>
    <row r="686" spans="7:11">
      <c r="G686" s="194"/>
      <c r="H686" s="194"/>
      <c r="I686" s="194"/>
      <c r="J686" s="194"/>
      <c r="K686" s="194"/>
    </row>
    <row r="687" spans="7:11">
      <c r="G687" s="194"/>
      <c r="H687" s="194"/>
      <c r="I687" s="194"/>
      <c r="J687" s="194"/>
      <c r="K687" s="194"/>
    </row>
    <row r="688" spans="7:11">
      <c r="G688" s="194"/>
      <c r="H688" s="194"/>
      <c r="I688" s="194"/>
      <c r="J688" s="194"/>
      <c r="K688" s="194"/>
    </row>
    <row r="689" spans="7:11">
      <c r="G689" s="194"/>
      <c r="H689" s="194"/>
      <c r="I689" s="194"/>
      <c r="J689" s="194"/>
      <c r="K689" s="194"/>
    </row>
    <row r="690" spans="7:11">
      <c r="G690" s="194"/>
      <c r="H690" s="194"/>
      <c r="I690" s="194"/>
      <c r="J690" s="194"/>
      <c r="K690" s="194"/>
    </row>
    <row r="691" spans="7:11">
      <c r="G691" s="194"/>
      <c r="H691" s="194"/>
      <c r="I691" s="194"/>
      <c r="J691" s="194"/>
      <c r="K691" s="194"/>
    </row>
    <row r="692" spans="7:11">
      <c r="G692" s="194"/>
      <c r="H692" s="194"/>
      <c r="I692" s="194"/>
      <c r="J692" s="194"/>
      <c r="K692" s="194"/>
    </row>
    <row r="693" spans="7:11">
      <c r="G693" s="194"/>
      <c r="H693" s="194"/>
      <c r="I693" s="194"/>
      <c r="J693" s="194"/>
      <c r="K693" s="194"/>
    </row>
    <row r="694" spans="7:11">
      <c r="G694" s="194"/>
      <c r="H694" s="194"/>
      <c r="I694" s="194"/>
      <c r="J694" s="194"/>
      <c r="K694" s="194"/>
    </row>
    <row r="695" spans="7:11">
      <c r="G695" s="194"/>
      <c r="H695" s="194"/>
      <c r="I695" s="194"/>
      <c r="J695" s="194"/>
      <c r="K695" s="194"/>
    </row>
    <row r="696" spans="7:11">
      <c r="G696" s="194"/>
      <c r="H696" s="194"/>
      <c r="I696" s="194"/>
      <c r="J696" s="194"/>
      <c r="K696" s="194"/>
    </row>
    <row r="697" spans="7:11">
      <c r="G697" s="194"/>
      <c r="H697" s="194"/>
      <c r="I697" s="194"/>
      <c r="J697" s="194"/>
      <c r="K697" s="194"/>
    </row>
    <row r="698" spans="7:11">
      <c r="G698" s="194"/>
      <c r="H698" s="194"/>
      <c r="I698" s="194"/>
      <c r="J698" s="194"/>
      <c r="K698" s="194"/>
    </row>
    <row r="699" spans="7:11">
      <c r="G699" s="194"/>
      <c r="H699" s="194"/>
      <c r="I699" s="194"/>
      <c r="J699" s="194"/>
      <c r="K699" s="194"/>
    </row>
    <row r="700" spans="7:11">
      <c r="G700" s="194"/>
      <c r="H700" s="194"/>
      <c r="I700" s="194"/>
      <c r="J700" s="194"/>
      <c r="K700" s="194"/>
    </row>
    <row r="701" spans="7:11">
      <c r="G701" s="194"/>
      <c r="H701" s="194"/>
      <c r="I701" s="194"/>
      <c r="J701" s="194"/>
      <c r="K701" s="194"/>
    </row>
    <row r="702" spans="7:11">
      <c r="G702" s="194"/>
      <c r="H702" s="194"/>
      <c r="I702" s="194"/>
      <c r="J702" s="194"/>
      <c r="K702" s="194"/>
    </row>
    <row r="703" spans="7:11">
      <c r="G703" s="194"/>
      <c r="H703" s="194"/>
      <c r="I703" s="194"/>
      <c r="J703" s="194"/>
      <c r="K703" s="194"/>
    </row>
    <row r="704" spans="7:11">
      <c r="G704" s="194"/>
      <c r="H704" s="194"/>
      <c r="I704" s="194"/>
      <c r="J704" s="194"/>
      <c r="K704" s="194"/>
    </row>
    <row r="705" spans="7:11">
      <c r="G705" s="194"/>
      <c r="H705" s="194"/>
      <c r="I705" s="194"/>
      <c r="J705" s="194"/>
      <c r="K705" s="194"/>
    </row>
    <row r="706" spans="7:11">
      <c r="G706" s="194"/>
      <c r="H706" s="194"/>
      <c r="I706" s="194"/>
      <c r="J706" s="194"/>
      <c r="K706" s="194"/>
    </row>
    <row r="707" spans="7:11">
      <c r="G707" s="194"/>
      <c r="H707" s="194"/>
      <c r="I707" s="194"/>
      <c r="J707" s="194"/>
      <c r="K707" s="194"/>
    </row>
    <row r="708" spans="7:11">
      <c r="G708" s="194"/>
      <c r="H708" s="194"/>
      <c r="I708" s="194"/>
      <c r="J708" s="194"/>
      <c r="K708" s="194"/>
    </row>
    <row r="709" spans="7:11">
      <c r="G709" s="194"/>
      <c r="H709" s="194"/>
      <c r="I709" s="194"/>
      <c r="J709" s="194"/>
      <c r="K709" s="194"/>
    </row>
    <row r="710" spans="7:11">
      <c r="G710" s="194"/>
      <c r="H710" s="194"/>
      <c r="I710" s="194"/>
      <c r="J710" s="194"/>
      <c r="K710" s="194"/>
    </row>
    <row r="711" spans="7:11">
      <c r="G711" s="194"/>
      <c r="H711" s="194"/>
      <c r="I711" s="194"/>
      <c r="J711" s="194"/>
      <c r="K711" s="194"/>
    </row>
    <row r="712" spans="7:11">
      <c r="G712" s="194"/>
      <c r="H712" s="194"/>
      <c r="I712" s="194"/>
      <c r="J712" s="194"/>
      <c r="K712" s="194"/>
    </row>
    <row r="713" spans="7:11">
      <c r="G713" s="194"/>
      <c r="H713" s="194"/>
      <c r="I713" s="194"/>
      <c r="J713" s="194"/>
      <c r="K713" s="194"/>
    </row>
    <row r="714" spans="7:11">
      <c r="G714" s="194"/>
      <c r="H714" s="194"/>
      <c r="I714" s="194"/>
      <c r="J714" s="194"/>
      <c r="K714" s="194"/>
    </row>
    <row r="715" spans="7:11">
      <c r="G715" s="194"/>
      <c r="H715" s="194"/>
      <c r="I715" s="194"/>
      <c r="J715" s="194"/>
      <c r="K715" s="194"/>
    </row>
    <row r="716" spans="7:11">
      <c r="G716" s="194"/>
      <c r="H716" s="194"/>
      <c r="I716" s="194"/>
      <c r="J716" s="194"/>
      <c r="K716" s="194"/>
    </row>
    <row r="717" spans="7:11">
      <c r="G717" s="194"/>
      <c r="H717" s="194"/>
      <c r="I717" s="194"/>
      <c r="J717" s="194"/>
      <c r="K717" s="194"/>
    </row>
    <row r="718" spans="7:11">
      <c r="G718" s="194"/>
      <c r="H718" s="194"/>
      <c r="I718" s="194"/>
      <c r="J718" s="194"/>
      <c r="K718" s="194"/>
    </row>
    <row r="719" spans="7:11">
      <c r="G719" s="194"/>
      <c r="H719" s="194"/>
      <c r="I719" s="194"/>
      <c r="J719" s="194"/>
      <c r="K719" s="194"/>
    </row>
    <row r="720" spans="7:11">
      <c r="G720" s="194"/>
      <c r="H720" s="194"/>
      <c r="I720" s="194"/>
      <c r="J720" s="194"/>
      <c r="K720" s="194"/>
    </row>
    <row r="721" spans="7:11">
      <c r="G721" s="194"/>
      <c r="H721" s="194"/>
      <c r="I721" s="194"/>
      <c r="J721" s="194"/>
      <c r="K721" s="194"/>
    </row>
    <row r="722" spans="7:11">
      <c r="G722" s="194"/>
      <c r="H722" s="194"/>
      <c r="I722" s="194"/>
      <c r="J722" s="194"/>
      <c r="K722" s="194"/>
    </row>
    <row r="723" spans="7:11">
      <c r="G723" s="194"/>
      <c r="H723" s="194"/>
      <c r="I723" s="194"/>
      <c r="J723" s="194"/>
      <c r="K723" s="194"/>
    </row>
    <row r="724" spans="7:11">
      <c r="G724" s="194"/>
      <c r="H724" s="194"/>
      <c r="I724" s="194"/>
      <c r="J724" s="194"/>
      <c r="K724" s="194"/>
    </row>
    <row r="725" spans="7:11">
      <c r="G725" s="194"/>
      <c r="H725" s="194"/>
      <c r="I725" s="194"/>
      <c r="J725" s="194"/>
      <c r="K725" s="194"/>
    </row>
    <row r="726" spans="7:11">
      <c r="G726" s="194"/>
      <c r="H726" s="194"/>
      <c r="I726" s="194"/>
      <c r="J726" s="194"/>
      <c r="K726" s="194"/>
    </row>
    <row r="727" spans="7:11">
      <c r="G727" s="194"/>
      <c r="H727" s="194"/>
      <c r="I727" s="194"/>
      <c r="J727" s="194"/>
      <c r="K727" s="194"/>
    </row>
    <row r="728" spans="7:11">
      <c r="G728" s="194"/>
      <c r="H728" s="194"/>
      <c r="I728" s="194"/>
      <c r="J728" s="194"/>
      <c r="K728" s="194"/>
    </row>
    <row r="729" spans="7:11">
      <c r="G729" s="194"/>
      <c r="H729" s="194"/>
      <c r="I729" s="194"/>
      <c r="J729" s="194"/>
      <c r="K729" s="194"/>
    </row>
    <row r="730" spans="7:11">
      <c r="G730" s="194"/>
      <c r="H730" s="194"/>
      <c r="I730" s="194"/>
      <c r="J730" s="194"/>
      <c r="K730" s="194"/>
    </row>
    <row r="731" spans="7:11">
      <c r="G731" s="194"/>
      <c r="H731" s="194"/>
      <c r="I731" s="194"/>
      <c r="J731" s="194"/>
      <c r="K731" s="194"/>
    </row>
    <row r="732" spans="7:11">
      <c r="G732" s="194"/>
      <c r="H732" s="194"/>
      <c r="I732" s="194"/>
      <c r="J732" s="194"/>
      <c r="K732" s="194"/>
    </row>
    <row r="733" spans="7:11">
      <c r="G733" s="194"/>
      <c r="H733" s="194"/>
      <c r="I733" s="194"/>
      <c r="J733" s="194"/>
      <c r="K733" s="194"/>
    </row>
    <row r="734" spans="7:11">
      <c r="G734" s="194"/>
      <c r="H734" s="194"/>
      <c r="I734" s="194"/>
      <c r="J734" s="194"/>
      <c r="K734" s="194"/>
    </row>
    <row r="735" spans="7:11">
      <c r="G735" s="194"/>
      <c r="H735" s="194"/>
      <c r="I735" s="194"/>
      <c r="J735" s="194"/>
      <c r="K735" s="194"/>
    </row>
    <row r="736" spans="7:11">
      <c r="G736" s="194"/>
      <c r="H736" s="194"/>
      <c r="I736" s="194"/>
      <c r="J736" s="194"/>
      <c r="K736" s="194"/>
    </row>
    <row r="737" spans="7:11">
      <c r="G737" s="194"/>
      <c r="H737" s="194"/>
      <c r="I737" s="194"/>
      <c r="J737" s="194"/>
      <c r="K737" s="194"/>
    </row>
    <row r="738" spans="7:11">
      <c r="G738" s="194"/>
      <c r="H738" s="194"/>
      <c r="I738" s="194"/>
      <c r="J738" s="194"/>
      <c r="K738" s="194"/>
    </row>
    <row r="739" spans="7:11">
      <c r="G739" s="194"/>
      <c r="H739" s="194"/>
      <c r="I739" s="194"/>
      <c r="J739" s="194"/>
      <c r="K739" s="194"/>
    </row>
    <row r="740" spans="7:11">
      <c r="G740" s="194"/>
      <c r="H740" s="194"/>
      <c r="I740" s="194"/>
      <c r="J740" s="194"/>
      <c r="K740" s="194"/>
    </row>
    <row r="741" spans="7:11">
      <c r="G741" s="194"/>
      <c r="H741" s="194"/>
      <c r="I741" s="194"/>
      <c r="J741" s="194"/>
      <c r="K741" s="194"/>
    </row>
    <row r="742" spans="7:11">
      <c r="G742" s="194"/>
      <c r="H742" s="194"/>
      <c r="I742" s="194"/>
      <c r="J742" s="194"/>
      <c r="K742" s="194"/>
    </row>
    <row r="743" spans="7:11">
      <c r="G743" s="194"/>
      <c r="H743" s="194"/>
      <c r="I743" s="194"/>
      <c r="J743" s="194"/>
      <c r="K743" s="194"/>
    </row>
    <row r="744" spans="7:11">
      <c r="I744" s="194"/>
      <c r="J744" s="194"/>
      <c r="K744" s="194"/>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8"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7" customWidth="1"/>
    <col min="2" max="6" width="16.85546875" style="27" customWidth="1"/>
    <col min="7" max="7" width="11.5703125" style="27" customWidth="1"/>
    <col min="8" max="8" width="2.140625" style="80" customWidth="1"/>
    <col min="9" max="9" width="10.42578125" style="27" bestFit="1" customWidth="1"/>
    <col min="10" max="10" width="12.140625" style="27" customWidth="1"/>
    <col min="11" max="11" width="10.85546875" style="27" customWidth="1"/>
    <col min="12" max="16384" width="8.85546875" style="27"/>
  </cols>
  <sheetData>
    <row r="1" spans="1:17" s="162" customFormat="1" ht="16.350000000000001" customHeight="1">
      <c r="A1" s="3592" t="e">
        <f>CONCATENATE("PART III C  - HUD INSURED LOAN","  -  ",#REF!," ",#REF!,", ",#REF!,", ",#REF!," County")</f>
        <v>#REF!</v>
      </c>
      <c r="B1" s="3593"/>
      <c r="C1" s="3593"/>
      <c r="D1" s="3593"/>
      <c r="E1" s="3593"/>
      <c r="F1" s="3594"/>
      <c r="G1" s="160"/>
      <c r="H1" s="160"/>
      <c r="I1" s="160"/>
      <c r="J1" s="160"/>
      <c r="K1" s="160"/>
      <c r="L1" s="160"/>
      <c r="M1" s="160"/>
      <c r="N1" s="160"/>
      <c r="O1" s="160"/>
      <c r="P1" s="160"/>
      <c r="Q1" s="160"/>
    </row>
    <row r="2" spans="1:17">
      <c r="A2" s="13"/>
      <c r="B2" s="179"/>
      <c r="C2" s="179"/>
      <c r="D2" s="179"/>
    </row>
    <row r="3" spans="1:17" ht="15.6" customHeight="1">
      <c r="A3" s="3601" t="s">
        <v>209</v>
      </c>
      <c r="B3" s="3601"/>
      <c r="C3" s="3601"/>
      <c r="D3" s="3601"/>
      <c r="E3" s="3601"/>
      <c r="F3" s="3601"/>
      <c r="G3" s="222"/>
      <c r="H3" s="222"/>
    </row>
    <row r="4" spans="1:17">
      <c r="A4" s="13"/>
      <c r="B4" s="179"/>
      <c r="C4" s="179"/>
      <c r="D4" s="179"/>
    </row>
    <row r="5" spans="1:17" ht="13.35" customHeight="1">
      <c r="A5" s="27" t="s">
        <v>2151</v>
      </c>
      <c r="D5" s="217"/>
      <c r="E5" s="3604" t="s">
        <v>920</v>
      </c>
      <c r="F5" s="3605"/>
      <c r="G5" s="158"/>
    </row>
    <row r="6" spans="1:17">
      <c r="E6" s="3605"/>
      <c r="F6" s="3605"/>
      <c r="G6" s="158"/>
    </row>
    <row r="7" spans="1:17">
      <c r="A7" s="27" t="s">
        <v>2350</v>
      </c>
      <c r="C7" s="27" t="s">
        <v>2351</v>
      </c>
      <c r="D7" s="218"/>
      <c r="E7" s="3605"/>
      <c r="F7" s="3605"/>
      <c r="G7" s="158"/>
    </row>
    <row r="8" spans="1:17">
      <c r="C8" s="27" t="s">
        <v>2352</v>
      </c>
      <c r="D8" s="218"/>
      <c r="E8" s="3605"/>
      <c r="F8" s="3605"/>
      <c r="G8" s="158"/>
    </row>
    <row r="9" spans="1:17">
      <c r="C9" s="27" t="s">
        <v>2353</v>
      </c>
      <c r="D9" s="218"/>
      <c r="E9" s="3605"/>
      <c r="F9" s="3605"/>
      <c r="G9" s="158"/>
    </row>
    <row r="10" spans="1:17">
      <c r="C10" s="27" t="s">
        <v>2366</v>
      </c>
      <c r="D10" s="223">
        <f>D7+D8+D9</f>
        <v>0</v>
      </c>
      <c r="E10" s="3605"/>
      <c r="F10" s="3605"/>
      <c r="G10" s="158"/>
    </row>
    <row r="11" spans="1:17">
      <c r="F11" s="158"/>
      <c r="G11" s="158"/>
    </row>
    <row r="12" spans="1:17">
      <c r="A12" s="27" t="s">
        <v>1639</v>
      </c>
      <c r="D12" s="216"/>
      <c r="E12" s="27" t="s">
        <v>2039</v>
      </c>
      <c r="F12" s="158"/>
      <c r="G12" s="158"/>
    </row>
    <row r="13" spans="1:17">
      <c r="D13" s="189"/>
      <c r="F13" s="158"/>
      <c r="G13" s="158"/>
    </row>
    <row r="14" spans="1:17">
      <c r="A14" s="27" t="s">
        <v>2355</v>
      </c>
      <c r="D14" s="215"/>
      <c r="E14" s="27" t="s">
        <v>2356</v>
      </c>
      <c r="F14" s="224"/>
    </row>
    <row r="15" spans="1:17">
      <c r="D15" s="209"/>
      <c r="F15" s="224"/>
    </row>
    <row r="16" spans="1:17">
      <c r="A16" s="27" t="s">
        <v>2357</v>
      </c>
      <c r="D16" s="215"/>
      <c r="E16" s="27" t="s">
        <v>2356</v>
      </c>
      <c r="F16" s="224"/>
    </row>
    <row r="17" spans="1:10">
      <c r="D17" s="189"/>
      <c r="F17" s="224"/>
    </row>
    <row r="18" spans="1:10">
      <c r="A18" s="27" t="s">
        <v>895</v>
      </c>
      <c r="D18" s="225" t="e">
        <f>PMT(D10/12,D16*12,-D5,0,0)*12</f>
        <v>#NUM!</v>
      </c>
      <c r="E18" s="27" t="s">
        <v>1441</v>
      </c>
      <c r="F18" s="224"/>
    </row>
    <row r="19" spans="1:10">
      <c r="D19" s="189"/>
      <c r="F19" s="224"/>
    </row>
    <row r="20" spans="1:10">
      <c r="A20" s="27" t="s">
        <v>1442</v>
      </c>
      <c r="D20" s="189" t="e">
        <f>D18/12</f>
        <v>#NUM!</v>
      </c>
      <c r="E20" s="27" t="s">
        <v>1441</v>
      </c>
      <c r="F20" s="224"/>
    </row>
    <row r="24" spans="1:10" ht="18" customHeight="1">
      <c r="A24" s="3602" t="s">
        <v>1640</v>
      </c>
      <c r="B24" s="3602"/>
      <c r="C24" s="3602"/>
      <c r="D24" s="3602"/>
      <c r="E24" s="3602"/>
      <c r="F24" s="3602"/>
      <c r="J24" s="226"/>
    </row>
    <row r="25" spans="1:10">
      <c r="C25" s="189"/>
      <c r="J25" s="226"/>
    </row>
    <row r="26" spans="1:10">
      <c r="A26" s="103"/>
      <c r="B26" s="80"/>
      <c r="C26" s="3606" t="s">
        <v>2150</v>
      </c>
      <c r="D26" s="221"/>
      <c r="E26" s="80"/>
      <c r="F26" s="3606" t="s">
        <v>2150</v>
      </c>
      <c r="J26" s="226"/>
    </row>
    <row r="27" spans="1:10">
      <c r="A27" s="227" t="s">
        <v>2367</v>
      </c>
      <c r="B27" s="71" t="s">
        <v>987</v>
      </c>
      <c r="C27" s="3607"/>
      <c r="D27" s="228" t="s">
        <v>2367</v>
      </c>
      <c r="E27" s="71" t="s">
        <v>987</v>
      </c>
      <c r="F27" s="3607"/>
      <c r="J27" s="226"/>
    </row>
    <row r="28" spans="1:10">
      <c r="A28" s="229">
        <v>1</v>
      </c>
      <c r="B28" s="250">
        <f>IF(A28&gt;D14,0,E55*$D$12)</f>
        <v>0</v>
      </c>
      <c r="C28" s="250">
        <f>IF(A28&gt;$D$14,0,$D$18+B28)</f>
        <v>0</v>
      </c>
      <c r="D28" s="230">
        <v>21</v>
      </c>
      <c r="E28" s="250">
        <f>IF(D28&gt;$D$14,0,E295*$D$12)</f>
        <v>0</v>
      </c>
      <c r="F28" s="250">
        <f>IF(D28&gt;$D$14,0,$D$18+E28)</f>
        <v>0</v>
      </c>
      <c r="J28" s="226"/>
    </row>
    <row r="29" spans="1:10">
      <c r="A29" s="229">
        <v>2</v>
      </c>
      <c r="B29" s="251">
        <f>IF(A29&gt;D14,0,E67*$D$12)</f>
        <v>0</v>
      </c>
      <c r="C29" s="250">
        <f t="shared" ref="C29:C47" si="0">IF(A29&gt;$D$14,0,$D$18+B29)</f>
        <v>0</v>
      </c>
      <c r="D29" s="230">
        <v>22</v>
      </c>
      <c r="E29" s="250">
        <f>IF(D29&gt;$D$14,0,E307*$D$12)</f>
        <v>0</v>
      </c>
      <c r="F29" s="250">
        <f t="shared" ref="F29:F47" si="1">IF(D29&gt;$D$14,0,$D$18+E29)</f>
        <v>0</v>
      </c>
      <c r="J29" s="226"/>
    </row>
    <row r="30" spans="1:10">
      <c r="A30" s="229">
        <v>3</v>
      </c>
      <c r="B30" s="250">
        <f>IF(A30&gt;D14,0,E79*$D$12)</f>
        <v>0</v>
      </c>
      <c r="C30" s="250">
        <f t="shared" si="0"/>
        <v>0</v>
      </c>
      <c r="D30" s="230">
        <v>23</v>
      </c>
      <c r="E30" s="250">
        <f>IF(D30&gt;$D$14,0,E319*$D$12)</f>
        <v>0</v>
      </c>
      <c r="F30" s="250">
        <f t="shared" si="1"/>
        <v>0</v>
      </c>
      <c r="J30" s="226"/>
    </row>
    <row r="31" spans="1:10">
      <c r="A31" s="229">
        <v>4</v>
      </c>
      <c r="B31" s="250">
        <f>IF(A31&gt;D14,0,E91*$D$12)</f>
        <v>0</v>
      </c>
      <c r="C31" s="250">
        <f t="shared" si="0"/>
        <v>0</v>
      </c>
      <c r="D31" s="230">
        <v>24</v>
      </c>
      <c r="E31" s="250">
        <f>IF(D31&gt;$D$14,0,E331*$D$12)</f>
        <v>0</v>
      </c>
      <c r="F31" s="250">
        <f t="shared" si="1"/>
        <v>0</v>
      </c>
      <c r="J31" s="226"/>
    </row>
    <row r="32" spans="1:10">
      <c r="A32" s="229">
        <v>5</v>
      </c>
      <c r="B32" s="250">
        <f>IF(A32&gt;D14,0,E103*$D$12)</f>
        <v>0</v>
      </c>
      <c r="C32" s="252">
        <f t="shared" si="0"/>
        <v>0</v>
      </c>
      <c r="D32" s="230">
        <v>25</v>
      </c>
      <c r="E32" s="250">
        <f>IF(D32&gt;$D$14,0,E343*$D$12)</f>
        <v>0</v>
      </c>
      <c r="F32" s="252">
        <f t="shared" si="1"/>
        <v>0</v>
      </c>
      <c r="J32" s="226"/>
    </row>
    <row r="33" spans="1:10">
      <c r="A33" s="231">
        <v>6</v>
      </c>
      <c r="B33" s="253">
        <f>IF(A33&gt;D14,0,E115*$D$12)</f>
        <v>0</v>
      </c>
      <c r="C33" s="250">
        <f t="shared" si="0"/>
        <v>0</v>
      </c>
      <c r="D33" s="232">
        <v>26</v>
      </c>
      <c r="E33" s="253">
        <f>IF(D33&gt;$D$14,0,E355*$D$12)</f>
        <v>0</v>
      </c>
      <c r="F33" s="250">
        <f t="shared" si="1"/>
        <v>0</v>
      </c>
      <c r="J33" s="226"/>
    </row>
    <row r="34" spans="1:10">
      <c r="A34" s="233">
        <v>7</v>
      </c>
      <c r="B34" s="254">
        <f>IF(A34&gt;D14,0,E127*$D$12)</f>
        <v>0</v>
      </c>
      <c r="C34" s="250">
        <f t="shared" si="0"/>
        <v>0</v>
      </c>
      <c r="D34" s="230">
        <v>27</v>
      </c>
      <c r="E34" s="254">
        <f>IF(D34&gt;$D$14,0,E367*$D$12)</f>
        <v>0</v>
      </c>
      <c r="F34" s="250">
        <f t="shared" si="1"/>
        <v>0</v>
      </c>
      <c r="J34" s="226"/>
    </row>
    <row r="35" spans="1:10">
      <c r="A35" s="233">
        <v>8</v>
      </c>
      <c r="B35" s="254">
        <f>IF(A35&gt;D14,0,E139*$D$12)</f>
        <v>0</v>
      </c>
      <c r="C35" s="250">
        <f t="shared" si="0"/>
        <v>0</v>
      </c>
      <c r="D35" s="230">
        <v>28</v>
      </c>
      <c r="E35" s="254">
        <f>IF(D35&gt;$D$14,0,E379*$D$12)</f>
        <v>0</v>
      </c>
      <c r="F35" s="250">
        <f t="shared" si="1"/>
        <v>0</v>
      </c>
      <c r="J35" s="226"/>
    </row>
    <row r="36" spans="1:10">
      <c r="A36" s="233">
        <v>9</v>
      </c>
      <c r="B36" s="254">
        <f>IF(A36&gt;D14,0,E151*$D$12)</f>
        <v>0</v>
      </c>
      <c r="C36" s="250">
        <f t="shared" si="0"/>
        <v>0</v>
      </c>
      <c r="D36" s="230">
        <v>29</v>
      </c>
      <c r="E36" s="254">
        <f>IF(D36&gt;$D$14,0,E391*$D$12)</f>
        <v>0</v>
      </c>
      <c r="F36" s="250">
        <f t="shared" si="1"/>
        <v>0</v>
      </c>
      <c r="J36" s="226"/>
    </row>
    <row r="37" spans="1:10">
      <c r="A37" s="234">
        <v>10</v>
      </c>
      <c r="B37" s="252">
        <f>IF(A37&gt;D14,0,E163*$D$12)</f>
        <v>0</v>
      </c>
      <c r="C37" s="252">
        <f t="shared" si="0"/>
        <v>0</v>
      </c>
      <c r="D37" s="235">
        <v>30</v>
      </c>
      <c r="E37" s="252">
        <f>IF(D37&gt;$D$14,0,E403*$D$12)</f>
        <v>0</v>
      </c>
      <c r="F37" s="252">
        <f t="shared" si="1"/>
        <v>0</v>
      </c>
      <c r="J37" s="226"/>
    </row>
    <row r="38" spans="1:10">
      <c r="A38" s="236">
        <v>11</v>
      </c>
      <c r="B38" s="250">
        <f>IF(A38&gt;D14,0,E175*$D$12)</f>
        <v>0</v>
      </c>
      <c r="C38" s="250">
        <f t="shared" si="0"/>
        <v>0</v>
      </c>
      <c r="D38" s="230">
        <v>31</v>
      </c>
      <c r="E38" s="250">
        <f>IF(D38&gt;$D$14,0,E415*$D$12)</f>
        <v>0</v>
      </c>
      <c r="F38" s="250">
        <f t="shared" si="1"/>
        <v>0</v>
      </c>
      <c r="J38" s="226"/>
    </row>
    <row r="39" spans="1:10">
      <c r="A39" s="236">
        <v>12</v>
      </c>
      <c r="B39" s="250">
        <f>IF(A39&gt;D14,0,E187*$D$12)</f>
        <v>0</v>
      </c>
      <c r="C39" s="250">
        <f t="shared" si="0"/>
        <v>0</v>
      </c>
      <c r="D39" s="230">
        <v>32</v>
      </c>
      <c r="E39" s="250">
        <f>IF(D39&gt;$D$14,0,E427*$D$12)</f>
        <v>0</v>
      </c>
      <c r="F39" s="250">
        <f t="shared" si="1"/>
        <v>0</v>
      </c>
      <c r="J39" s="226"/>
    </row>
    <row r="40" spans="1:10">
      <c r="A40" s="236">
        <v>13</v>
      </c>
      <c r="B40" s="250">
        <f>IF(A40&gt;D14,0,E199*$D$12)</f>
        <v>0</v>
      </c>
      <c r="C40" s="250">
        <f t="shared" si="0"/>
        <v>0</v>
      </c>
      <c r="D40" s="230">
        <v>33</v>
      </c>
      <c r="E40" s="250">
        <f>IF(D40&gt;$D$14,0,E439*$D$12)</f>
        <v>0</v>
      </c>
      <c r="F40" s="250">
        <f t="shared" si="1"/>
        <v>0</v>
      </c>
      <c r="J40" s="226"/>
    </row>
    <row r="41" spans="1:10">
      <c r="A41" s="236">
        <v>14</v>
      </c>
      <c r="B41" s="250">
        <f>IF(A41&gt;D14,0,E211*$D$12)</f>
        <v>0</v>
      </c>
      <c r="C41" s="250">
        <f t="shared" si="0"/>
        <v>0</v>
      </c>
      <c r="D41" s="230">
        <v>34</v>
      </c>
      <c r="E41" s="250">
        <f>IF(D41&gt;$D$14,0,E451*$D$12)</f>
        <v>0</v>
      </c>
      <c r="F41" s="250">
        <f t="shared" si="1"/>
        <v>0</v>
      </c>
      <c r="J41" s="226"/>
    </row>
    <row r="42" spans="1:10">
      <c r="A42" s="236">
        <v>15</v>
      </c>
      <c r="B42" s="250">
        <f>IF(A42&gt;D14,0,E223*$D$12)</f>
        <v>0</v>
      </c>
      <c r="C42" s="252">
        <f t="shared" si="0"/>
        <v>0</v>
      </c>
      <c r="D42" s="230">
        <v>35</v>
      </c>
      <c r="E42" s="250">
        <f>IF(D42&gt;$D$14,0,E463*$D$12)</f>
        <v>0</v>
      </c>
      <c r="F42" s="252">
        <f t="shared" si="1"/>
        <v>0</v>
      </c>
      <c r="J42" s="226"/>
    </row>
    <row r="43" spans="1:10">
      <c r="A43" s="237">
        <v>16</v>
      </c>
      <c r="B43" s="253">
        <f>IF(A43&gt;D14,0,E235*$D$12)</f>
        <v>0</v>
      </c>
      <c r="C43" s="250">
        <f t="shared" si="0"/>
        <v>0</v>
      </c>
      <c r="D43" s="232">
        <v>36</v>
      </c>
      <c r="E43" s="253">
        <f>IF(D43&gt;$D$14,0,E475*$D$12)</f>
        <v>0</v>
      </c>
      <c r="F43" s="250">
        <f t="shared" si="1"/>
        <v>0</v>
      </c>
      <c r="J43" s="226"/>
    </row>
    <row r="44" spans="1:10">
      <c r="A44" s="233">
        <v>17</v>
      </c>
      <c r="B44" s="254">
        <f>IF(A44&gt;D14,0,E247*$D$12)</f>
        <v>0</v>
      </c>
      <c r="C44" s="250">
        <f t="shared" si="0"/>
        <v>0</v>
      </c>
      <c r="D44" s="230">
        <v>37</v>
      </c>
      <c r="E44" s="254">
        <f>IF(D44&gt;$D$14,0,E487*$D$12)</f>
        <v>0</v>
      </c>
      <c r="F44" s="250">
        <f t="shared" si="1"/>
        <v>0</v>
      </c>
      <c r="J44" s="226"/>
    </row>
    <row r="45" spans="1:10">
      <c r="A45" s="233">
        <v>18</v>
      </c>
      <c r="B45" s="254">
        <f>IF(A45&gt;D14,0,E259*$D$12)</f>
        <v>0</v>
      </c>
      <c r="C45" s="250">
        <f t="shared" si="0"/>
        <v>0</v>
      </c>
      <c r="D45" s="230">
        <v>38</v>
      </c>
      <c r="E45" s="254">
        <f>IF(D45&gt;$D$14,0,E499*$D$12)</f>
        <v>0</v>
      </c>
      <c r="F45" s="250">
        <f t="shared" si="1"/>
        <v>0</v>
      </c>
      <c r="J45" s="226"/>
    </row>
    <row r="46" spans="1:10">
      <c r="A46" s="233">
        <v>19</v>
      </c>
      <c r="B46" s="254">
        <f>IF(A46&gt;D14,0,E271*$D$12)</f>
        <v>0</v>
      </c>
      <c r="C46" s="250">
        <f t="shared" si="0"/>
        <v>0</v>
      </c>
      <c r="D46" s="230">
        <v>39</v>
      </c>
      <c r="E46" s="254">
        <f>IF(D46&gt;$D$14,0,E511*$D$12)</f>
        <v>0</v>
      </c>
      <c r="F46" s="250">
        <f t="shared" si="1"/>
        <v>0</v>
      </c>
      <c r="J46" s="226"/>
    </row>
    <row r="47" spans="1:10">
      <c r="A47" s="234">
        <v>20</v>
      </c>
      <c r="B47" s="252">
        <f>IF(A47&gt;D14,0,E283*$D$12)</f>
        <v>0</v>
      </c>
      <c r="C47" s="252">
        <f t="shared" si="0"/>
        <v>0</v>
      </c>
      <c r="D47" s="235">
        <v>40</v>
      </c>
      <c r="E47" s="252">
        <f>IF(D47&gt;$D$14,0,E523*$D$12)</f>
        <v>0</v>
      </c>
      <c r="F47" s="252">
        <f t="shared" si="1"/>
        <v>0</v>
      </c>
      <c r="J47" s="226"/>
    </row>
    <row r="48" spans="1:10">
      <c r="C48" s="189"/>
      <c r="J48" s="226"/>
    </row>
    <row r="49" spans="1:10">
      <c r="C49" s="189"/>
      <c r="J49" s="226"/>
    </row>
    <row r="50" spans="1:10" ht="14.1" customHeight="1">
      <c r="A50" s="3599" t="e">
        <f>CONCATENATE(#REF!," ",#REF!,", ",#REF!,", ",#REF!," County")</f>
        <v>#REF!</v>
      </c>
      <c r="B50" s="3599"/>
      <c r="C50" s="3599"/>
      <c r="D50" s="3599"/>
      <c r="E50" s="3599"/>
      <c r="F50" s="3599"/>
      <c r="G50" s="212"/>
      <c r="H50" s="212"/>
    </row>
    <row r="51" spans="1:10" ht="15">
      <c r="A51" s="3600" t="s">
        <v>2358</v>
      </c>
      <c r="B51" s="3600"/>
      <c r="C51" s="3600"/>
      <c r="D51" s="3600"/>
      <c r="E51" s="3600"/>
      <c r="F51" s="3600"/>
      <c r="G51" s="238"/>
      <c r="H51" s="238"/>
      <c r="I51" s="238"/>
      <c r="J51" s="238"/>
    </row>
    <row r="52" spans="1:10" ht="5.45" customHeight="1">
      <c r="C52" s="189"/>
      <c r="D52" s="189"/>
      <c r="G52" s="194"/>
      <c r="H52" s="188"/>
      <c r="I52" s="194"/>
    </row>
    <row r="53" spans="1:10">
      <c r="A53" s="192" t="s">
        <v>2359</v>
      </c>
      <c r="B53" s="192" t="s">
        <v>2360</v>
      </c>
      <c r="C53" s="192" t="s">
        <v>1246</v>
      </c>
      <c r="D53" s="192" t="s">
        <v>2361</v>
      </c>
      <c r="E53" s="192" t="s">
        <v>2362</v>
      </c>
      <c r="F53" s="219" t="s">
        <v>2367</v>
      </c>
      <c r="G53" s="239"/>
      <c r="H53" s="239"/>
      <c r="I53" s="239"/>
    </row>
    <row r="54" spans="1:10" ht="3.6" customHeight="1">
      <c r="F54" s="80"/>
      <c r="G54" s="194"/>
      <c r="H54" s="188"/>
      <c r="I54" s="194"/>
    </row>
    <row r="55" spans="1:10">
      <c r="A55" s="27" t="s">
        <v>2363</v>
      </c>
      <c r="E55" s="189">
        <f>D5</f>
        <v>0</v>
      </c>
      <c r="F55" s="80"/>
      <c r="G55" s="194"/>
      <c r="H55" s="188"/>
      <c r="I55" s="194"/>
    </row>
    <row r="56" spans="1:10">
      <c r="A56" s="240">
        <v>1</v>
      </c>
      <c r="B56" s="200">
        <f t="shared" ref="B56:B119" si="2">IF(A56&gt;12*$D$14,0,$D$20)</f>
        <v>0</v>
      </c>
      <c r="C56" s="200">
        <f t="shared" ref="C56:C119" si="3">IF(A56&gt;12*$D$14,0,E55*$D$10/12)</f>
        <v>0</v>
      </c>
      <c r="D56" s="200">
        <f t="shared" ref="D56:D119" si="4">IF(A56&gt;12*$D$14,0,B56-C56)</f>
        <v>0</v>
      </c>
      <c r="E56" s="200">
        <f t="shared" ref="E56:E119" si="5">IF(A56&gt;12*$D$14,0,E55-D56)</f>
        <v>0</v>
      </c>
      <c r="F56" s="199"/>
      <c r="G56" s="241"/>
      <c r="H56" s="208"/>
      <c r="I56" s="194"/>
    </row>
    <row r="57" spans="1:10">
      <c r="A57" s="240">
        <v>2</v>
      </c>
      <c r="B57" s="200">
        <f t="shared" si="2"/>
        <v>0</v>
      </c>
      <c r="C57" s="200">
        <f t="shared" si="3"/>
        <v>0</v>
      </c>
      <c r="D57" s="200">
        <f t="shared" si="4"/>
        <v>0</v>
      </c>
      <c r="E57" s="200">
        <f t="shared" si="5"/>
        <v>0</v>
      </c>
      <c r="F57" s="199"/>
      <c r="G57" s="241"/>
      <c r="H57" s="208"/>
      <c r="I57" s="194"/>
    </row>
    <row r="58" spans="1:10">
      <c r="A58" s="240">
        <v>3</v>
      </c>
      <c r="B58" s="200">
        <f t="shared" si="2"/>
        <v>0</v>
      </c>
      <c r="C58" s="200">
        <f t="shared" si="3"/>
        <v>0</v>
      </c>
      <c r="D58" s="200">
        <f t="shared" si="4"/>
        <v>0</v>
      </c>
      <c r="E58" s="200">
        <f t="shared" si="5"/>
        <v>0</v>
      </c>
      <c r="F58" s="199"/>
      <c r="G58" s="241"/>
      <c r="H58" s="208"/>
      <c r="I58" s="194"/>
    </row>
    <row r="59" spans="1:10">
      <c r="A59" s="240">
        <v>4</v>
      </c>
      <c r="B59" s="200">
        <f t="shared" si="2"/>
        <v>0</v>
      </c>
      <c r="C59" s="200">
        <f t="shared" si="3"/>
        <v>0</v>
      </c>
      <c r="D59" s="200">
        <f t="shared" si="4"/>
        <v>0</v>
      </c>
      <c r="E59" s="200">
        <f t="shared" si="5"/>
        <v>0</v>
      </c>
      <c r="F59" s="199"/>
      <c r="G59" s="241"/>
      <c r="H59" s="208"/>
      <c r="I59" s="194"/>
    </row>
    <row r="60" spans="1:10">
      <c r="A60" s="240">
        <v>5</v>
      </c>
      <c r="B60" s="200">
        <f t="shared" si="2"/>
        <v>0</v>
      </c>
      <c r="C60" s="200">
        <f t="shared" si="3"/>
        <v>0</v>
      </c>
      <c r="D60" s="200">
        <f t="shared" si="4"/>
        <v>0</v>
      </c>
      <c r="E60" s="200">
        <f t="shared" si="5"/>
        <v>0</v>
      </c>
      <c r="F60" s="199"/>
      <c r="G60" s="241"/>
      <c r="H60" s="208"/>
      <c r="I60" s="194"/>
    </row>
    <row r="61" spans="1:10">
      <c r="A61" s="240">
        <v>6</v>
      </c>
      <c r="B61" s="200">
        <f t="shared" si="2"/>
        <v>0</v>
      </c>
      <c r="C61" s="200">
        <f t="shared" si="3"/>
        <v>0</v>
      </c>
      <c r="D61" s="200">
        <f t="shared" si="4"/>
        <v>0</v>
      </c>
      <c r="E61" s="200">
        <f t="shared" si="5"/>
        <v>0</v>
      </c>
      <c r="F61" s="199"/>
      <c r="G61" s="241"/>
      <c r="H61" s="208"/>
      <c r="I61" s="194"/>
    </row>
    <row r="62" spans="1:10">
      <c r="A62" s="240">
        <v>7</v>
      </c>
      <c r="B62" s="200">
        <f t="shared" si="2"/>
        <v>0</v>
      </c>
      <c r="C62" s="200">
        <f t="shared" si="3"/>
        <v>0</v>
      </c>
      <c r="D62" s="200">
        <f t="shared" si="4"/>
        <v>0</v>
      </c>
      <c r="E62" s="200">
        <f t="shared" si="5"/>
        <v>0</v>
      </c>
      <c r="F62" s="199"/>
      <c r="G62" s="241"/>
      <c r="H62" s="208"/>
      <c r="I62" s="194"/>
    </row>
    <row r="63" spans="1:10">
      <c r="A63" s="240">
        <v>8</v>
      </c>
      <c r="B63" s="200">
        <f t="shared" si="2"/>
        <v>0</v>
      </c>
      <c r="C63" s="200">
        <f t="shared" si="3"/>
        <v>0</v>
      </c>
      <c r="D63" s="200">
        <f t="shared" si="4"/>
        <v>0</v>
      </c>
      <c r="E63" s="200">
        <f t="shared" si="5"/>
        <v>0</v>
      </c>
      <c r="F63" s="199"/>
      <c r="G63" s="241"/>
      <c r="H63" s="208"/>
      <c r="I63" s="194"/>
    </row>
    <row r="64" spans="1:10">
      <c r="A64" s="240">
        <v>9</v>
      </c>
      <c r="B64" s="200">
        <f t="shared" si="2"/>
        <v>0</v>
      </c>
      <c r="C64" s="200">
        <f t="shared" si="3"/>
        <v>0</v>
      </c>
      <c r="D64" s="200">
        <f t="shared" si="4"/>
        <v>0</v>
      </c>
      <c r="E64" s="200">
        <f t="shared" si="5"/>
        <v>0</v>
      </c>
      <c r="F64" s="199"/>
      <c r="G64" s="241"/>
      <c r="H64" s="208"/>
      <c r="I64" s="194"/>
    </row>
    <row r="65" spans="1:9">
      <c r="A65" s="240">
        <v>10</v>
      </c>
      <c r="B65" s="200">
        <f t="shared" si="2"/>
        <v>0</v>
      </c>
      <c r="C65" s="200">
        <f t="shared" si="3"/>
        <v>0</v>
      </c>
      <c r="D65" s="200">
        <f t="shared" si="4"/>
        <v>0</v>
      </c>
      <c r="E65" s="200">
        <f t="shared" si="5"/>
        <v>0</v>
      </c>
      <c r="F65" s="199"/>
      <c r="G65" s="194"/>
      <c r="H65" s="188"/>
      <c r="I65" s="194"/>
    </row>
    <row r="66" spans="1:9">
      <c r="A66" s="240">
        <v>11</v>
      </c>
      <c r="B66" s="200">
        <f t="shared" si="2"/>
        <v>0</v>
      </c>
      <c r="C66" s="200">
        <f t="shared" si="3"/>
        <v>0</v>
      </c>
      <c r="D66" s="200">
        <f t="shared" si="4"/>
        <v>0</v>
      </c>
      <c r="E66" s="200">
        <f t="shared" si="5"/>
        <v>0</v>
      </c>
      <c r="F66" s="199"/>
      <c r="G66" s="194"/>
      <c r="H66" s="188"/>
      <c r="I66" s="194"/>
    </row>
    <row r="67" spans="1:9">
      <c r="A67" s="240">
        <v>12</v>
      </c>
      <c r="B67" s="200">
        <f t="shared" si="2"/>
        <v>0</v>
      </c>
      <c r="C67" s="200">
        <f t="shared" si="3"/>
        <v>0</v>
      </c>
      <c r="D67" s="200">
        <f t="shared" si="4"/>
        <v>0</v>
      </c>
      <c r="E67" s="200">
        <f t="shared" si="5"/>
        <v>0</v>
      </c>
      <c r="F67" s="199">
        <v>1</v>
      </c>
      <c r="G67" s="241"/>
      <c r="H67" s="208"/>
      <c r="I67" s="241"/>
    </row>
    <row r="68" spans="1:9">
      <c r="A68" s="240">
        <v>13</v>
      </c>
      <c r="B68" s="200">
        <f t="shared" si="2"/>
        <v>0</v>
      </c>
      <c r="C68" s="200">
        <f t="shared" si="3"/>
        <v>0</v>
      </c>
      <c r="D68" s="200">
        <f t="shared" si="4"/>
        <v>0</v>
      </c>
      <c r="E68" s="200">
        <f t="shared" si="5"/>
        <v>0</v>
      </c>
      <c r="F68" s="199"/>
      <c r="G68" s="194"/>
      <c r="H68" s="188"/>
      <c r="I68" s="241"/>
    </row>
    <row r="69" spans="1:9">
      <c r="A69" s="240">
        <v>14</v>
      </c>
      <c r="B69" s="200">
        <f t="shared" si="2"/>
        <v>0</v>
      </c>
      <c r="C69" s="200">
        <f t="shared" si="3"/>
        <v>0</v>
      </c>
      <c r="D69" s="200">
        <f t="shared" si="4"/>
        <v>0</v>
      </c>
      <c r="E69" s="200">
        <f t="shared" si="5"/>
        <v>0</v>
      </c>
      <c r="F69" s="199"/>
      <c r="G69" s="194"/>
      <c r="H69" s="188"/>
      <c r="I69" s="194"/>
    </row>
    <row r="70" spans="1:9">
      <c r="A70" s="240">
        <v>15</v>
      </c>
      <c r="B70" s="200">
        <f t="shared" si="2"/>
        <v>0</v>
      </c>
      <c r="C70" s="200">
        <f t="shared" si="3"/>
        <v>0</v>
      </c>
      <c r="D70" s="200">
        <f t="shared" si="4"/>
        <v>0</v>
      </c>
      <c r="E70" s="200">
        <f t="shared" si="5"/>
        <v>0</v>
      </c>
      <c r="F70" s="199"/>
      <c r="G70" s="194"/>
      <c r="H70" s="188"/>
      <c r="I70" s="194"/>
    </row>
    <row r="71" spans="1:9">
      <c r="A71" s="240">
        <v>16</v>
      </c>
      <c r="B71" s="200">
        <f t="shared" si="2"/>
        <v>0</v>
      </c>
      <c r="C71" s="200">
        <f t="shared" si="3"/>
        <v>0</v>
      </c>
      <c r="D71" s="200">
        <f t="shared" si="4"/>
        <v>0</v>
      </c>
      <c r="E71" s="200">
        <f t="shared" si="5"/>
        <v>0</v>
      </c>
      <c r="F71" s="199"/>
      <c r="G71" s="194"/>
      <c r="H71" s="188"/>
      <c r="I71" s="194"/>
    </row>
    <row r="72" spans="1:9">
      <c r="A72" s="240">
        <v>17</v>
      </c>
      <c r="B72" s="200">
        <f t="shared" si="2"/>
        <v>0</v>
      </c>
      <c r="C72" s="200">
        <f t="shared" si="3"/>
        <v>0</v>
      </c>
      <c r="D72" s="200">
        <f t="shared" si="4"/>
        <v>0</v>
      </c>
      <c r="E72" s="200">
        <f t="shared" si="5"/>
        <v>0</v>
      </c>
      <c r="F72" s="199"/>
      <c r="G72" s="194"/>
      <c r="H72" s="188"/>
      <c r="I72" s="194"/>
    </row>
    <row r="73" spans="1:9">
      <c r="A73" s="240">
        <v>18</v>
      </c>
      <c r="B73" s="200">
        <f t="shared" si="2"/>
        <v>0</v>
      </c>
      <c r="C73" s="200">
        <f t="shared" si="3"/>
        <v>0</v>
      </c>
      <c r="D73" s="200">
        <f t="shared" si="4"/>
        <v>0</v>
      </c>
      <c r="E73" s="200">
        <f t="shared" si="5"/>
        <v>0</v>
      </c>
      <c r="F73" s="199"/>
      <c r="G73" s="241"/>
      <c r="H73" s="208"/>
      <c r="I73" s="194"/>
    </row>
    <row r="74" spans="1:9">
      <c r="A74" s="240">
        <v>19</v>
      </c>
      <c r="B74" s="200">
        <f t="shared" si="2"/>
        <v>0</v>
      </c>
      <c r="C74" s="200">
        <f t="shared" si="3"/>
        <v>0</v>
      </c>
      <c r="D74" s="200">
        <f t="shared" si="4"/>
        <v>0</v>
      </c>
      <c r="E74" s="200">
        <f t="shared" si="5"/>
        <v>0</v>
      </c>
      <c r="F74" s="199"/>
      <c r="G74" s="241"/>
      <c r="H74" s="208"/>
      <c r="I74" s="194"/>
    </row>
    <row r="75" spans="1:9">
      <c r="A75" s="240">
        <v>20</v>
      </c>
      <c r="B75" s="200">
        <f t="shared" si="2"/>
        <v>0</v>
      </c>
      <c r="C75" s="200">
        <f t="shared" si="3"/>
        <v>0</v>
      </c>
      <c r="D75" s="200">
        <f t="shared" si="4"/>
        <v>0</v>
      </c>
      <c r="E75" s="200">
        <f t="shared" si="5"/>
        <v>0</v>
      </c>
      <c r="F75" s="199"/>
      <c r="G75" s="241"/>
      <c r="H75" s="208"/>
      <c r="I75" s="194"/>
    </row>
    <row r="76" spans="1:9">
      <c r="A76" s="240">
        <v>21</v>
      </c>
      <c r="B76" s="200">
        <f t="shared" si="2"/>
        <v>0</v>
      </c>
      <c r="C76" s="200">
        <f t="shared" si="3"/>
        <v>0</v>
      </c>
      <c r="D76" s="200">
        <f t="shared" si="4"/>
        <v>0</v>
      </c>
      <c r="E76" s="200">
        <f t="shared" si="5"/>
        <v>0</v>
      </c>
      <c r="F76" s="199"/>
      <c r="G76" s="241"/>
      <c r="H76" s="208"/>
      <c r="I76" s="194"/>
    </row>
    <row r="77" spans="1:9">
      <c r="A77" s="240">
        <v>22</v>
      </c>
      <c r="B77" s="200">
        <f t="shared" si="2"/>
        <v>0</v>
      </c>
      <c r="C77" s="200">
        <f t="shared" si="3"/>
        <v>0</v>
      </c>
      <c r="D77" s="200">
        <f t="shared" si="4"/>
        <v>0</v>
      </c>
      <c r="E77" s="200">
        <f t="shared" si="5"/>
        <v>0</v>
      </c>
      <c r="F77" s="199"/>
      <c r="G77" s="194"/>
      <c r="H77" s="188"/>
      <c r="I77" s="194"/>
    </row>
    <row r="78" spans="1:9">
      <c r="A78" s="240">
        <v>23</v>
      </c>
      <c r="B78" s="200">
        <f t="shared" si="2"/>
        <v>0</v>
      </c>
      <c r="C78" s="200">
        <f t="shared" si="3"/>
        <v>0</v>
      </c>
      <c r="D78" s="200">
        <f t="shared" si="4"/>
        <v>0</v>
      </c>
      <c r="E78" s="200">
        <f t="shared" si="5"/>
        <v>0</v>
      </c>
      <c r="F78" s="199"/>
      <c r="G78" s="194"/>
      <c r="H78" s="188"/>
      <c r="I78" s="194"/>
    </row>
    <row r="79" spans="1:9">
      <c r="A79" s="240">
        <v>24</v>
      </c>
      <c r="B79" s="200">
        <f t="shared" si="2"/>
        <v>0</v>
      </c>
      <c r="C79" s="200">
        <f t="shared" si="3"/>
        <v>0</v>
      </c>
      <c r="D79" s="200">
        <f t="shared" si="4"/>
        <v>0</v>
      </c>
      <c r="E79" s="200">
        <f t="shared" si="5"/>
        <v>0</v>
      </c>
      <c r="F79" s="199">
        <v>2</v>
      </c>
      <c r="G79" s="241"/>
      <c r="H79" s="208"/>
      <c r="I79" s="241"/>
    </row>
    <row r="80" spans="1:9">
      <c r="A80" s="240">
        <v>25</v>
      </c>
      <c r="B80" s="200">
        <f t="shared" si="2"/>
        <v>0</v>
      </c>
      <c r="C80" s="200">
        <f t="shared" si="3"/>
        <v>0</v>
      </c>
      <c r="D80" s="200">
        <f t="shared" si="4"/>
        <v>0</v>
      </c>
      <c r="E80" s="200">
        <f t="shared" si="5"/>
        <v>0</v>
      </c>
      <c r="F80" s="199"/>
      <c r="G80" s="194"/>
      <c r="H80" s="188"/>
      <c r="I80" s="241"/>
    </row>
    <row r="81" spans="1:9">
      <c r="A81" s="240">
        <v>26</v>
      </c>
      <c r="B81" s="200">
        <f t="shared" si="2"/>
        <v>0</v>
      </c>
      <c r="C81" s="200">
        <f t="shared" si="3"/>
        <v>0</v>
      </c>
      <c r="D81" s="200">
        <f t="shared" si="4"/>
        <v>0</v>
      </c>
      <c r="E81" s="200">
        <f t="shared" si="5"/>
        <v>0</v>
      </c>
      <c r="F81" s="199"/>
      <c r="G81" s="194"/>
      <c r="H81" s="188"/>
      <c r="I81" s="194"/>
    </row>
    <row r="82" spans="1:9">
      <c r="A82" s="240">
        <v>27</v>
      </c>
      <c r="B82" s="200">
        <f t="shared" si="2"/>
        <v>0</v>
      </c>
      <c r="C82" s="200">
        <f t="shared" si="3"/>
        <v>0</v>
      </c>
      <c r="D82" s="200">
        <f t="shared" si="4"/>
        <v>0</v>
      </c>
      <c r="E82" s="200">
        <f t="shared" si="5"/>
        <v>0</v>
      </c>
      <c r="F82" s="199"/>
      <c r="G82" s="194"/>
      <c r="H82" s="188"/>
      <c r="I82" s="194"/>
    </row>
    <row r="83" spans="1:9">
      <c r="A83" s="240">
        <v>28</v>
      </c>
      <c r="B83" s="200">
        <f t="shared" si="2"/>
        <v>0</v>
      </c>
      <c r="C83" s="200">
        <f t="shared" si="3"/>
        <v>0</v>
      </c>
      <c r="D83" s="200">
        <f t="shared" si="4"/>
        <v>0</v>
      </c>
      <c r="E83" s="200">
        <f t="shared" si="5"/>
        <v>0</v>
      </c>
      <c r="F83" s="199"/>
      <c r="G83" s="194"/>
      <c r="H83" s="188"/>
      <c r="I83" s="194"/>
    </row>
    <row r="84" spans="1:9">
      <c r="A84" s="240">
        <v>29</v>
      </c>
      <c r="B84" s="200">
        <f t="shared" si="2"/>
        <v>0</v>
      </c>
      <c r="C84" s="200">
        <f t="shared" si="3"/>
        <v>0</v>
      </c>
      <c r="D84" s="200">
        <f t="shared" si="4"/>
        <v>0</v>
      </c>
      <c r="E84" s="200">
        <f t="shared" si="5"/>
        <v>0</v>
      </c>
      <c r="F84" s="199"/>
      <c r="G84" s="194"/>
      <c r="H84" s="188"/>
      <c r="I84" s="194"/>
    </row>
    <row r="85" spans="1:9">
      <c r="A85" s="240">
        <v>30</v>
      </c>
      <c r="B85" s="200">
        <f t="shared" si="2"/>
        <v>0</v>
      </c>
      <c r="C85" s="200">
        <f t="shared" si="3"/>
        <v>0</v>
      </c>
      <c r="D85" s="200">
        <f t="shared" si="4"/>
        <v>0</v>
      </c>
      <c r="E85" s="200">
        <f t="shared" si="5"/>
        <v>0</v>
      </c>
      <c r="F85" s="199"/>
      <c r="G85" s="241"/>
      <c r="H85" s="208"/>
      <c r="I85" s="194"/>
    </row>
    <row r="86" spans="1:9">
      <c r="A86" s="240">
        <v>31</v>
      </c>
      <c r="B86" s="200">
        <f t="shared" si="2"/>
        <v>0</v>
      </c>
      <c r="C86" s="200">
        <f t="shared" si="3"/>
        <v>0</v>
      </c>
      <c r="D86" s="200">
        <f t="shared" si="4"/>
        <v>0</v>
      </c>
      <c r="E86" s="200">
        <f t="shared" si="5"/>
        <v>0</v>
      </c>
      <c r="F86" s="199"/>
      <c r="G86" s="194"/>
      <c r="H86" s="188"/>
      <c r="I86" s="194"/>
    </row>
    <row r="87" spans="1:9">
      <c r="A87" s="240">
        <v>32</v>
      </c>
      <c r="B87" s="200">
        <f t="shared" si="2"/>
        <v>0</v>
      </c>
      <c r="C87" s="200">
        <f t="shared" si="3"/>
        <v>0</v>
      </c>
      <c r="D87" s="200">
        <f t="shared" si="4"/>
        <v>0</v>
      </c>
      <c r="E87" s="200">
        <f t="shared" si="5"/>
        <v>0</v>
      </c>
      <c r="F87" s="199"/>
      <c r="G87" s="194"/>
      <c r="H87" s="188"/>
      <c r="I87" s="194"/>
    </row>
    <row r="88" spans="1:9">
      <c r="A88" s="240">
        <v>33</v>
      </c>
      <c r="B88" s="200">
        <f t="shared" si="2"/>
        <v>0</v>
      </c>
      <c r="C88" s="200">
        <f t="shared" si="3"/>
        <v>0</v>
      </c>
      <c r="D88" s="200">
        <f t="shared" si="4"/>
        <v>0</v>
      </c>
      <c r="E88" s="200">
        <f t="shared" si="5"/>
        <v>0</v>
      </c>
      <c r="F88" s="199"/>
      <c r="G88" s="194"/>
      <c r="H88" s="188"/>
      <c r="I88" s="194"/>
    </row>
    <row r="89" spans="1:9">
      <c r="A89" s="240">
        <v>34</v>
      </c>
      <c r="B89" s="200">
        <f t="shared" si="2"/>
        <v>0</v>
      </c>
      <c r="C89" s="200">
        <f t="shared" si="3"/>
        <v>0</v>
      </c>
      <c r="D89" s="200">
        <f t="shared" si="4"/>
        <v>0</v>
      </c>
      <c r="E89" s="200">
        <f t="shared" si="5"/>
        <v>0</v>
      </c>
      <c r="F89" s="199"/>
      <c r="G89" s="194"/>
      <c r="H89" s="188"/>
      <c r="I89" s="194"/>
    </row>
    <row r="90" spans="1:9">
      <c r="A90" s="240">
        <v>35</v>
      </c>
      <c r="B90" s="200">
        <f t="shared" si="2"/>
        <v>0</v>
      </c>
      <c r="C90" s="200">
        <f t="shared" si="3"/>
        <v>0</v>
      </c>
      <c r="D90" s="200">
        <f t="shared" si="4"/>
        <v>0</v>
      </c>
      <c r="E90" s="200">
        <f t="shared" si="5"/>
        <v>0</v>
      </c>
      <c r="F90" s="199"/>
      <c r="G90" s="194"/>
      <c r="H90" s="188"/>
      <c r="I90" s="194"/>
    </row>
    <row r="91" spans="1:9">
      <c r="A91" s="240">
        <v>36</v>
      </c>
      <c r="B91" s="200">
        <f t="shared" si="2"/>
        <v>0</v>
      </c>
      <c r="C91" s="200">
        <f t="shared" si="3"/>
        <v>0</v>
      </c>
      <c r="D91" s="200">
        <f t="shared" si="4"/>
        <v>0</v>
      </c>
      <c r="E91" s="200">
        <f t="shared" si="5"/>
        <v>0</v>
      </c>
      <c r="F91" s="199">
        <v>3</v>
      </c>
      <c r="G91" s="241"/>
      <c r="H91" s="208"/>
      <c r="I91" s="241"/>
    </row>
    <row r="92" spans="1:9">
      <c r="A92" s="240">
        <v>37</v>
      </c>
      <c r="B92" s="200">
        <f t="shared" si="2"/>
        <v>0</v>
      </c>
      <c r="C92" s="200">
        <f t="shared" si="3"/>
        <v>0</v>
      </c>
      <c r="D92" s="200">
        <f t="shared" si="4"/>
        <v>0</v>
      </c>
      <c r="E92" s="200">
        <f t="shared" si="5"/>
        <v>0</v>
      </c>
      <c r="F92" s="199"/>
      <c r="G92" s="194"/>
      <c r="H92" s="188"/>
      <c r="I92" s="241"/>
    </row>
    <row r="93" spans="1:9">
      <c r="A93" s="240">
        <v>38</v>
      </c>
      <c r="B93" s="200">
        <f t="shared" si="2"/>
        <v>0</v>
      </c>
      <c r="C93" s="200">
        <f t="shared" si="3"/>
        <v>0</v>
      </c>
      <c r="D93" s="200">
        <f t="shared" si="4"/>
        <v>0</v>
      </c>
      <c r="E93" s="200">
        <f t="shared" si="5"/>
        <v>0</v>
      </c>
      <c r="F93" s="199"/>
      <c r="G93" s="194"/>
      <c r="H93" s="188"/>
      <c r="I93" s="194"/>
    </row>
    <row r="94" spans="1:9">
      <c r="A94" s="240">
        <v>39</v>
      </c>
      <c r="B94" s="200">
        <f t="shared" si="2"/>
        <v>0</v>
      </c>
      <c r="C94" s="200">
        <f t="shared" si="3"/>
        <v>0</v>
      </c>
      <c r="D94" s="200">
        <f t="shared" si="4"/>
        <v>0</v>
      </c>
      <c r="E94" s="200">
        <f t="shared" si="5"/>
        <v>0</v>
      </c>
      <c r="F94" s="199"/>
      <c r="G94" s="194"/>
      <c r="H94" s="188"/>
      <c r="I94" s="194"/>
    </row>
    <row r="95" spans="1:9">
      <c r="A95" s="240">
        <v>40</v>
      </c>
      <c r="B95" s="200">
        <f t="shared" si="2"/>
        <v>0</v>
      </c>
      <c r="C95" s="200">
        <f t="shared" si="3"/>
        <v>0</v>
      </c>
      <c r="D95" s="200">
        <f t="shared" si="4"/>
        <v>0</v>
      </c>
      <c r="E95" s="200">
        <f t="shared" si="5"/>
        <v>0</v>
      </c>
      <c r="F95" s="199"/>
      <c r="G95" s="194"/>
      <c r="H95" s="188"/>
      <c r="I95" s="194"/>
    </row>
    <row r="96" spans="1:9">
      <c r="A96" s="240">
        <v>41</v>
      </c>
      <c r="B96" s="200">
        <f t="shared" si="2"/>
        <v>0</v>
      </c>
      <c r="C96" s="200">
        <f t="shared" si="3"/>
        <v>0</v>
      </c>
      <c r="D96" s="200">
        <f t="shared" si="4"/>
        <v>0</v>
      </c>
      <c r="E96" s="200">
        <f t="shared" si="5"/>
        <v>0</v>
      </c>
      <c r="F96" s="199"/>
      <c r="G96" s="194"/>
      <c r="H96" s="188"/>
      <c r="I96" s="194"/>
    </row>
    <row r="97" spans="1:9">
      <c r="A97" s="240">
        <v>42</v>
      </c>
      <c r="B97" s="200">
        <f t="shared" si="2"/>
        <v>0</v>
      </c>
      <c r="C97" s="200">
        <f t="shared" si="3"/>
        <v>0</v>
      </c>
      <c r="D97" s="200">
        <f t="shared" si="4"/>
        <v>0</v>
      </c>
      <c r="E97" s="200">
        <f t="shared" si="5"/>
        <v>0</v>
      </c>
      <c r="F97" s="199"/>
      <c r="G97" s="241"/>
      <c r="H97" s="208"/>
      <c r="I97" s="194"/>
    </row>
    <row r="98" spans="1:9">
      <c r="A98" s="240">
        <v>43</v>
      </c>
      <c r="B98" s="200">
        <f t="shared" si="2"/>
        <v>0</v>
      </c>
      <c r="C98" s="200">
        <f t="shared" si="3"/>
        <v>0</v>
      </c>
      <c r="D98" s="200">
        <f t="shared" si="4"/>
        <v>0</v>
      </c>
      <c r="E98" s="200">
        <f t="shared" si="5"/>
        <v>0</v>
      </c>
      <c r="F98" s="199"/>
      <c r="G98" s="194"/>
      <c r="H98" s="188"/>
      <c r="I98" s="194"/>
    </row>
    <row r="99" spans="1:9">
      <c r="A99" s="240">
        <v>44</v>
      </c>
      <c r="B99" s="200">
        <f t="shared" si="2"/>
        <v>0</v>
      </c>
      <c r="C99" s="200">
        <f t="shared" si="3"/>
        <v>0</v>
      </c>
      <c r="D99" s="200">
        <f t="shared" si="4"/>
        <v>0</v>
      </c>
      <c r="E99" s="200">
        <f t="shared" si="5"/>
        <v>0</v>
      </c>
      <c r="F99" s="199"/>
      <c r="G99" s="194"/>
      <c r="H99" s="188"/>
      <c r="I99" s="194"/>
    </row>
    <row r="100" spans="1:9">
      <c r="A100" s="240">
        <v>45</v>
      </c>
      <c r="B100" s="200">
        <f t="shared" si="2"/>
        <v>0</v>
      </c>
      <c r="C100" s="200">
        <f t="shared" si="3"/>
        <v>0</v>
      </c>
      <c r="D100" s="200">
        <f t="shared" si="4"/>
        <v>0</v>
      </c>
      <c r="E100" s="200">
        <f t="shared" si="5"/>
        <v>0</v>
      </c>
      <c r="F100" s="199"/>
      <c r="G100" s="194"/>
      <c r="H100" s="188"/>
      <c r="I100" s="194"/>
    </row>
    <row r="101" spans="1:9">
      <c r="A101" s="240">
        <v>46</v>
      </c>
      <c r="B101" s="200">
        <f t="shared" si="2"/>
        <v>0</v>
      </c>
      <c r="C101" s="200">
        <f t="shared" si="3"/>
        <v>0</v>
      </c>
      <c r="D101" s="200">
        <f t="shared" si="4"/>
        <v>0</v>
      </c>
      <c r="E101" s="200">
        <f t="shared" si="5"/>
        <v>0</v>
      </c>
      <c r="F101" s="199"/>
      <c r="G101" s="194"/>
      <c r="H101" s="188"/>
      <c r="I101" s="194"/>
    </row>
    <row r="102" spans="1:9">
      <c r="A102" s="240">
        <v>47</v>
      </c>
      <c r="B102" s="200">
        <f t="shared" si="2"/>
        <v>0</v>
      </c>
      <c r="C102" s="200">
        <f t="shared" si="3"/>
        <v>0</v>
      </c>
      <c r="D102" s="200">
        <f t="shared" si="4"/>
        <v>0</v>
      </c>
      <c r="E102" s="200">
        <f t="shared" si="5"/>
        <v>0</v>
      </c>
      <c r="F102" s="199"/>
      <c r="G102" s="194"/>
      <c r="H102" s="188"/>
      <c r="I102" s="194"/>
    </row>
    <row r="103" spans="1:9">
      <c r="A103" s="240">
        <v>48</v>
      </c>
      <c r="B103" s="200">
        <f t="shared" si="2"/>
        <v>0</v>
      </c>
      <c r="C103" s="200">
        <f t="shared" si="3"/>
        <v>0</v>
      </c>
      <c r="D103" s="200">
        <f t="shared" si="4"/>
        <v>0</v>
      </c>
      <c r="E103" s="200">
        <f t="shared" si="5"/>
        <v>0</v>
      </c>
      <c r="F103" s="199">
        <v>4</v>
      </c>
      <c r="G103" s="241"/>
      <c r="H103" s="208"/>
      <c r="I103" s="241"/>
    </row>
    <row r="104" spans="1:9">
      <c r="A104" s="240">
        <v>49</v>
      </c>
      <c r="B104" s="200">
        <f t="shared" si="2"/>
        <v>0</v>
      </c>
      <c r="C104" s="200">
        <f t="shared" si="3"/>
        <v>0</v>
      </c>
      <c r="D104" s="200">
        <f t="shared" si="4"/>
        <v>0</v>
      </c>
      <c r="E104" s="200">
        <f t="shared" si="5"/>
        <v>0</v>
      </c>
      <c r="F104" s="199"/>
      <c r="G104" s="194"/>
      <c r="H104" s="188"/>
      <c r="I104" s="241"/>
    </row>
    <row r="105" spans="1:9">
      <c r="A105" s="240">
        <v>50</v>
      </c>
      <c r="B105" s="200">
        <f t="shared" si="2"/>
        <v>0</v>
      </c>
      <c r="C105" s="200">
        <f t="shared" si="3"/>
        <v>0</v>
      </c>
      <c r="D105" s="200">
        <f t="shared" si="4"/>
        <v>0</v>
      </c>
      <c r="E105" s="200">
        <f t="shared" si="5"/>
        <v>0</v>
      </c>
      <c r="F105" s="199"/>
      <c r="G105" s="194"/>
      <c r="H105" s="188"/>
      <c r="I105" s="194"/>
    </row>
    <row r="106" spans="1:9">
      <c r="A106" s="240">
        <v>51</v>
      </c>
      <c r="B106" s="200">
        <f t="shared" si="2"/>
        <v>0</v>
      </c>
      <c r="C106" s="200">
        <f t="shared" si="3"/>
        <v>0</v>
      </c>
      <c r="D106" s="200">
        <f t="shared" si="4"/>
        <v>0</v>
      </c>
      <c r="E106" s="200">
        <f t="shared" si="5"/>
        <v>0</v>
      </c>
      <c r="F106" s="199"/>
      <c r="G106" s="194"/>
      <c r="H106" s="188"/>
      <c r="I106" s="194"/>
    </row>
    <row r="107" spans="1:9">
      <c r="A107" s="240">
        <v>52</v>
      </c>
      <c r="B107" s="200">
        <f t="shared" si="2"/>
        <v>0</v>
      </c>
      <c r="C107" s="200">
        <f t="shared" si="3"/>
        <v>0</v>
      </c>
      <c r="D107" s="200">
        <f t="shared" si="4"/>
        <v>0</v>
      </c>
      <c r="E107" s="200">
        <f t="shared" si="5"/>
        <v>0</v>
      </c>
      <c r="F107" s="199"/>
      <c r="G107" s="194"/>
      <c r="H107" s="188"/>
      <c r="I107" s="194"/>
    </row>
    <row r="108" spans="1:9">
      <c r="A108" s="240">
        <v>53</v>
      </c>
      <c r="B108" s="200">
        <f t="shared" si="2"/>
        <v>0</v>
      </c>
      <c r="C108" s="200">
        <f t="shared" si="3"/>
        <v>0</v>
      </c>
      <c r="D108" s="200">
        <f t="shared" si="4"/>
        <v>0</v>
      </c>
      <c r="E108" s="200">
        <f t="shared" si="5"/>
        <v>0</v>
      </c>
      <c r="F108" s="199"/>
      <c r="G108" s="194"/>
      <c r="H108" s="188"/>
      <c r="I108" s="194"/>
    </row>
    <row r="109" spans="1:9">
      <c r="A109" s="240">
        <v>54</v>
      </c>
      <c r="B109" s="200">
        <f t="shared" si="2"/>
        <v>0</v>
      </c>
      <c r="C109" s="200">
        <f t="shared" si="3"/>
        <v>0</v>
      </c>
      <c r="D109" s="200">
        <f t="shared" si="4"/>
        <v>0</v>
      </c>
      <c r="E109" s="200">
        <f t="shared" si="5"/>
        <v>0</v>
      </c>
      <c r="F109" s="199"/>
      <c r="G109" s="241"/>
      <c r="H109" s="208"/>
      <c r="I109" s="194"/>
    </row>
    <row r="110" spans="1:9">
      <c r="A110" s="240">
        <v>55</v>
      </c>
      <c r="B110" s="200">
        <f t="shared" si="2"/>
        <v>0</v>
      </c>
      <c r="C110" s="200">
        <f t="shared" si="3"/>
        <v>0</v>
      </c>
      <c r="D110" s="200">
        <f t="shared" si="4"/>
        <v>0</v>
      </c>
      <c r="E110" s="200">
        <f t="shared" si="5"/>
        <v>0</v>
      </c>
      <c r="F110" s="199"/>
      <c r="G110" s="194"/>
      <c r="H110" s="188"/>
      <c r="I110" s="194"/>
    </row>
    <row r="111" spans="1:9">
      <c r="A111" s="240">
        <v>56</v>
      </c>
      <c r="B111" s="200">
        <f t="shared" si="2"/>
        <v>0</v>
      </c>
      <c r="C111" s="200">
        <f t="shared" si="3"/>
        <v>0</v>
      </c>
      <c r="D111" s="200">
        <f t="shared" si="4"/>
        <v>0</v>
      </c>
      <c r="E111" s="200">
        <f t="shared" si="5"/>
        <v>0</v>
      </c>
      <c r="F111" s="199"/>
      <c r="G111" s="194"/>
      <c r="H111" s="188"/>
      <c r="I111" s="194"/>
    </row>
    <row r="112" spans="1:9">
      <c r="A112" s="240">
        <v>57</v>
      </c>
      <c r="B112" s="200">
        <f t="shared" si="2"/>
        <v>0</v>
      </c>
      <c r="C112" s="200">
        <f t="shared" si="3"/>
        <v>0</v>
      </c>
      <c r="D112" s="200">
        <f t="shared" si="4"/>
        <v>0</v>
      </c>
      <c r="E112" s="200">
        <f t="shared" si="5"/>
        <v>0</v>
      </c>
      <c r="F112" s="199"/>
      <c r="G112" s="194"/>
      <c r="H112" s="188"/>
      <c r="I112" s="194"/>
    </row>
    <row r="113" spans="1:9">
      <c r="A113" s="240">
        <v>58</v>
      </c>
      <c r="B113" s="200">
        <f t="shared" si="2"/>
        <v>0</v>
      </c>
      <c r="C113" s="200">
        <f t="shared" si="3"/>
        <v>0</v>
      </c>
      <c r="D113" s="200">
        <f t="shared" si="4"/>
        <v>0</v>
      </c>
      <c r="E113" s="200">
        <f t="shared" si="5"/>
        <v>0</v>
      </c>
      <c r="F113" s="199"/>
      <c r="G113" s="194"/>
      <c r="H113" s="188"/>
      <c r="I113" s="194"/>
    </row>
    <row r="114" spans="1:9">
      <c r="A114" s="240">
        <v>59</v>
      </c>
      <c r="B114" s="200">
        <f t="shared" si="2"/>
        <v>0</v>
      </c>
      <c r="C114" s="200">
        <f t="shared" si="3"/>
        <v>0</v>
      </c>
      <c r="D114" s="200">
        <f t="shared" si="4"/>
        <v>0</v>
      </c>
      <c r="E114" s="200">
        <f t="shared" si="5"/>
        <v>0</v>
      </c>
      <c r="F114" s="199"/>
      <c r="G114" s="194"/>
      <c r="H114" s="188"/>
      <c r="I114" s="194"/>
    </row>
    <row r="115" spans="1:9">
      <c r="A115" s="240">
        <v>60</v>
      </c>
      <c r="B115" s="200">
        <f t="shared" si="2"/>
        <v>0</v>
      </c>
      <c r="C115" s="200">
        <f t="shared" si="3"/>
        <v>0</v>
      </c>
      <c r="D115" s="200">
        <f t="shared" si="4"/>
        <v>0</v>
      </c>
      <c r="E115" s="200">
        <f t="shared" si="5"/>
        <v>0</v>
      </c>
      <c r="F115" s="199"/>
      <c r="G115" s="241"/>
      <c r="H115" s="208"/>
      <c r="I115" s="241"/>
    </row>
    <row r="116" spans="1:9">
      <c r="A116" s="240">
        <v>61</v>
      </c>
      <c r="B116" s="200">
        <f t="shared" si="2"/>
        <v>0</v>
      </c>
      <c r="C116" s="200">
        <f t="shared" si="3"/>
        <v>0</v>
      </c>
      <c r="D116" s="200">
        <f t="shared" si="4"/>
        <v>0</v>
      </c>
      <c r="E116" s="200">
        <f t="shared" si="5"/>
        <v>0</v>
      </c>
      <c r="F116" s="199"/>
      <c r="G116" s="194"/>
      <c r="H116" s="188"/>
      <c r="I116" s="241"/>
    </row>
    <row r="117" spans="1:9">
      <c r="A117" s="240">
        <v>62</v>
      </c>
      <c r="B117" s="200">
        <f t="shared" si="2"/>
        <v>0</v>
      </c>
      <c r="C117" s="200">
        <f t="shared" si="3"/>
        <v>0</v>
      </c>
      <c r="D117" s="200">
        <f t="shared" si="4"/>
        <v>0</v>
      </c>
      <c r="E117" s="200">
        <f t="shared" si="5"/>
        <v>0</v>
      </c>
      <c r="F117" s="199">
        <v>5</v>
      </c>
      <c r="G117" s="194"/>
      <c r="H117" s="188"/>
      <c r="I117" s="194"/>
    </row>
    <row r="118" spans="1:9">
      <c r="A118" s="240">
        <v>63</v>
      </c>
      <c r="B118" s="200">
        <f t="shared" si="2"/>
        <v>0</v>
      </c>
      <c r="C118" s="200">
        <f t="shared" si="3"/>
        <v>0</v>
      </c>
      <c r="D118" s="200">
        <f t="shared" si="4"/>
        <v>0</v>
      </c>
      <c r="E118" s="200">
        <f t="shared" si="5"/>
        <v>0</v>
      </c>
      <c r="F118" s="199"/>
      <c r="G118" s="194"/>
      <c r="H118" s="188"/>
      <c r="I118" s="194"/>
    </row>
    <row r="119" spans="1:9">
      <c r="A119" s="240">
        <v>64</v>
      </c>
      <c r="B119" s="200">
        <f t="shared" si="2"/>
        <v>0</v>
      </c>
      <c r="C119" s="200">
        <f t="shared" si="3"/>
        <v>0</v>
      </c>
      <c r="D119" s="200">
        <f t="shared" si="4"/>
        <v>0</v>
      </c>
      <c r="E119" s="200">
        <f t="shared" si="5"/>
        <v>0</v>
      </c>
      <c r="F119" s="199"/>
      <c r="G119" s="194"/>
      <c r="H119" s="188"/>
      <c r="I119" s="194"/>
    </row>
    <row r="120" spans="1:9">
      <c r="A120" s="240">
        <v>65</v>
      </c>
      <c r="B120" s="200">
        <f t="shared" ref="B120:B183" si="6">IF(A120&gt;12*$D$14,0,$D$20)</f>
        <v>0</v>
      </c>
      <c r="C120" s="200">
        <f t="shared" ref="C120:C183" si="7">IF(A120&gt;12*$D$14,0,E119*$D$10/12)</f>
        <v>0</v>
      </c>
      <c r="D120" s="200">
        <f t="shared" ref="D120:D183" si="8">IF(A120&gt;12*$D$14,0,B120-C120)</f>
        <v>0</v>
      </c>
      <c r="E120" s="200">
        <f t="shared" ref="E120:E183" si="9">IF(A120&gt;12*$D$14,0,E119-D120)</f>
        <v>0</v>
      </c>
      <c r="F120" s="199"/>
      <c r="G120" s="194"/>
      <c r="H120" s="188"/>
      <c r="I120" s="194"/>
    </row>
    <row r="121" spans="1:9">
      <c r="A121" s="240">
        <v>66</v>
      </c>
      <c r="B121" s="200">
        <f t="shared" si="6"/>
        <v>0</v>
      </c>
      <c r="C121" s="200">
        <f t="shared" si="7"/>
        <v>0</v>
      </c>
      <c r="D121" s="200">
        <f t="shared" si="8"/>
        <v>0</v>
      </c>
      <c r="E121" s="200">
        <f t="shared" si="9"/>
        <v>0</v>
      </c>
      <c r="F121" s="199"/>
      <c r="G121" s="241"/>
      <c r="H121" s="208"/>
      <c r="I121" s="194"/>
    </row>
    <row r="122" spans="1:9">
      <c r="A122" s="240">
        <v>67</v>
      </c>
      <c r="B122" s="200">
        <f t="shared" si="6"/>
        <v>0</v>
      </c>
      <c r="C122" s="200">
        <f t="shared" si="7"/>
        <v>0</v>
      </c>
      <c r="D122" s="200">
        <f t="shared" si="8"/>
        <v>0</v>
      </c>
      <c r="E122" s="200">
        <f t="shared" si="9"/>
        <v>0</v>
      </c>
      <c r="F122" s="199"/>
      <c r="G122" s="194"/>
      <c r="H122" s="188"/>
      <c r="I122" s="194"/>
    </row>
    <row r="123" spans="1:9">
      <c r="A123" s="240">
        <v>68</v>
      </c>
      <c r="B123" s="200">
        <f t="shared" si="6"/>
        <v>0</v>
      </c>
      <c r="C123" s="200">
        <f t="shared" si="7"/>
        <v>0</v>
      </c>
      <c r="D123" s="200">
        <f t="shared" si="8"/>
        <v>0</v>
      </c>
      <c r="E123" s="200">
        <f t="shared" si="9"/>
        <v>0</v>
      </c>
      <c r="F123" s="199"/>
      <c r="G123" s="194"/>
      <c r="H123" s="188"/>
      <c r="I123" s="194"/>
    </row>
    <row r="124" spans="1:9">
      <c r="A124" s="240">
        <v>69</v>
      </c>
      <c r="B124" s="200">
        <f t="shared" si="6"/>
        <v>0</v>
      </c>
      <c r="C124" s="200">
        <f t="shared" si="7"/>
        <v>0</v>
      </c>
      <c r="D124" s="200">
        <f t="shared" si="8"/>
        <v>0</v>
      </c>
      <c r="E124" s="200">
        <f t="shared" si="9"/>
        <v>0</v>
      </c>
      <c r="F124" s="199"/>
      <c r="G124" s="194"/>
      <c r="H124" s="188"/>
      <c r="I124" s="194"/>
    </row>
    <row r="125" spans="1:9">
      <c r="A125" s="240">
        <v>70</v>
      </c>
      <c r="B125" s="200">
        <f t="shared" si="6"/>
        <v>0</v>
      </c>
      <c r="C125" s="200">
        <f t="shared" si="7"/>
        <v>0</v>
      </c>
      <c r="D125" s="200">
        <f t="shared" si="8"/>
        <v>0</v>
      </c>
      <c r="E125" s="200">
        <f t="shared" si="9"/>
        <v>0</v>
      </c>
      <c r="F125" s="199"/>
      <c r="G125" s="194"/>
      <c r="H125" s="188"/>
      <c r="I125" s="194"/>
    </row>
    <row r="126" spans="1:9">
      <c r="A126" s="240">
        <v>71</v>
      </c>
      <c r="B126" s="200">
        <f t="shared" si="6"/>
        <v>0</v>
      </c>
      <c r="C126" s="200">
        <f t="shared" si="7"/>
        <v>0</v>
      </c>
      <c r="D126" s="200">
        <f t="shared" si="8"/>
        <v>0</v>
      </c>
      <c r="E126" s="200">
        <f t="shared" si="9"/>
        <v>0</v>
      </c>
      <c r="F126" s="199"/>
      <c r="G126" s="194"/>
      <c r="H126" s="188"/>
      <c r="I126" s="194"/>
    </row>
    <row r="127" spans="1:9">
      <c r="A127" s="240">
        <v>72</v>
      </c>
      <c r="B127" s="200">
        <f t="shared" si="6"/>
        <v>0</v>
      </c>
      <c r="C127" s="200">
        <f t="shared" si="7"/>
        <v>0</v>
      </c>
      <c r="D127" s="200">
        <f t="shared" si="8"/>
        <v>0</v>
      </c>
      <c r="E127" s="200">
        <f t="shared" si="9"/>
        <v>0</v>
      </c>
      <c r="F127" s="199"/>
      <c r="G127" s="241"/>
      <c r="H127" s="208"/>
      <c r="I127" s="241"/>
    </row>
    <row r="128" spans="1:9">
      <c r="A128" s="240">
        <v>73</v>
      </c>
      <c r="B128" s="200">
        <f t="shared" si="6"/>
        <v>0</v>
      </c>
      <c r="C128" s="200">
        <f t="shared" si="7"/>
        <v>0</v>
      </c>
      <c r="D128" s="200">
        <f t="shared" si="8"/>
        <v>0</v>
      </c>
      <c r="E128" s="200">
        <f t="shared" si="9"/>
        <v>0</v>
      </c>
      <c r="F128" s="199"/>
      <c r="G128" s="194"/>
      <c r="H128" s="188"/>
      <c r="I128" s="241"/>
    </row>
    <row r="129" spans="1:9">
      <c r="A129" s="240">
        <v>74</v>
      </c>
      <c r="B129" s="200">
        <f t="shared" si="6"/>
        <v>0</v>
      </c>
      <c r="C129" s="200">
        <f t="shared" si="7"/>
        <v>0</v>
      </c>
      <c r="D129" s="200">
        <f t="shared" si="8"/>
        <v>0</v>
      </c>
      <c r="E129" s="200">
        <f t="shared" si="9"/>
        <v>0</v>
      </c>
      <c r="F129" s="199">
        <v>6</v>
      </c>
      <c r="G129" s="194"/>
      <c r="H129" s="188"/>
      <c r="I129" s="194"/>
    </row>
    <row r="130" spans="1:9">
      <c r="A130" s="240">
        <v>75</v>
      </c>
      <c r="B130" s="200">
        <f t="shared" si="6"/>
        <v>0</v>
      </c>
      <c r="C130" s="200">
        <f t="shared" si="7"/>
        <v>0</v>
      </c>
      <c r="D130" s="200">
        <f t="shared" si="8"/>
        <v>0</v>
      </c>
      <c r="E130" s="200">
        <f t="shared" si="9"/>
        <v>0</v>
      </c>
      <c r="F130" s="199"/>
      <c r="G130" s="194"/>
      <c r="H130" s="188"/>
      <c r="I130" s="194"/>
    </row>
    <row r="131" spans="1:9">
      <c r="A131" s="240">
        <v>76</v>
      </c>
      <c r="B131" s="200">
        <f t="shared" si="6"/>
        <v>0</v>
      </c>
      <c r="C131" s="200">
        <f t="shared" si="7"/>
        <v>0</v>
      </c>
      <c r="D131" s="200">
        <f t="shared" si="8"/>
        <v>0</v>
      </c>
      <c r="E131" s="200">
        <f t="shared" si="9"/>
        <v>0</v>
      </c>
      <c r="F131" s="199"/>
      <c r="G131" s="194"/>
      <c r="H131" s="188"/>
      <c r="I131" s="194"/>
    </row>
    <row r="132" spans="1:9">
      <c r="A132" s="240">
        <v>77</v>
      </c>
      <c r="B132" s="200">
        <f t="shared" si="6"/>
        <v>0</v>
      </c>
      <c r="C132" s="200">
        <f t="shared" si="7"/>
        <v>0</v>
      </c>
      <c r="D132" s="200">
        <f t="shared" si="8"/>
        <v>0</v>
      </c>
      <c r="E132" s="200">
        <f t="shared" si="9"/>
        <v>0</v>
      </c>
      <c r="F132" s="199"/>
      <c r="G132" s="194"/>
      <c r="H132" s="188"/>
      <c r="I132" s="194"/>
    </row>
    <row r="133" spans="1:9">
      <c r="A133" s="240">
        <v>78</v>
      </c>
      <c r="B133" s="200">
        <f t="shared" si="6"/>
        <v>0</v>
      </c>
      <c r="C133" s="200">
        <f t="shared" si="7"/>
        <v>0</v>
      </c>
      <c r="D133" s="200">
        <f t="shared" si="8"/>
        <v>0</v>
      </c>
      <c r="E133" s="200">
        <f t="shared" si="9"/>
        <v>0</v>
      </c>
      <c r="F133" s="199"/>
      <c r="G133" s="241"/>
      <c r="H133" s="208"/>
      <c r="I133" s="194"/>
    </row>
    <row r="134" spans="1:9">
      <c r="A134" s="240">
        <v>79</v>
      </c>
      <c r="B134" s="200">
        <f t="shared" si="6"/>
        <v>0</v>
      </c>
      <c r="C134" s="200">
        <f t="shared" si="7"/>
        <v>0</v>
      </c>
      <c r="D134" s="200">
        <f t="shared" si="8"/>
        <v>0</v>
      </c>
      <c r="E134" s="200">
        <f t="shared" si="9"/>
        <v>0</v>
      </c>
      <c r="F134" s="199"/>
      <c r="G134" s="194"/>
      <c r="H134" s="188"/>
      <c r="I134" s="194"/>
    </row>
    <row r="135" spans="1:9">
      <c r="A135" s="240">
        <v>80</v>
      </c>
      <c r="B135" s="200">
        <f t="shared" si="6"/>
        <v>0</v>
      </c>
      <c r="C135" s="200">
        <f t="shared" si="7"/>
        <v>0</v>
      </c>
      <c r="D135" s="200">
        <f t="shared" si="8"/>
        <v>0</v>
      </c>
      <c r="E135" s="200">
        <f t="shared" si="9"/>
        <v>0</v>
      </c>
      <c r="F135" s="199"/>
      <c r="G135" s="194"/>
      <c r="H135" s="188"/>
      <c r="I135" s="194"/>
    </row>
    <row r="136" spans="1:9">
      <c r="A136" s="240">
        <v>81</v>
      </c>
      <c r="B136" s="200">
        <f t="shared" si="6"/>
        <v>0</v>
      </c>
      <c r="C136" s="200">
        <f t="shared" si="7"/>
        <v>0</v>
      </c>
      <c r="D136" s="200">
        <f t="shared" si="8"/>
        <v>0</v>
      </c>
      <c r="E136" s="200">
        <f t="shared" si="9"/>
        <v>0</v>
      </c>
      <c r="F136" s="199"/>
      <c r="G136" s="194"/>
      <c r="H136" s="188"/>
      <c r="I136" s="194"/>
    </row>
    <row r="137" spans="1:9">
      <c r="A137" s="240">
        <v>82</v>
      </c>
      <c r="B137" s="200">
        <f t="shared" si="6"/>
        <v>0</v>
      </c>
      <c r="C137" s="200">
        <f t="shared" si="7"/>
        <v>0</v>
      </c>
      <c r="D137" s="200">
        <f t="shared" si="8"/>
        <v>0</v>
      </c>
      <c r="E137" s="200">
        <f t="shared" si="9"/>
        <v>0</v>
      </c>
      <c r="F137" s="199"/>
      <c r="G137" s="194"/>
      <c r="H137" s="188"/>
      <c r="I137" s="194"/>
    </row>
    <row r="138" spans="1:9">
      <c r="A138" s="240">
        <v>83</v>
      </c>
      <c r="B138" s="200">
        <f t="shared" si="6"/>
        <v>0</v>
      </c>
      <c r="C138" s="200">
        <f t="shared" si="7"/>
        <v>0</v>
      </c>
      <c r="D138" s="200">
        <f t="shared" si="8"/>
        <v>0</v>
      </c>
      <c r="E138" s="200">
        <f t="shared" si="9"/>
        <v>0</v>
      </c>
      <c r="F138" s="199"/>
      <c r="G138" s="194"/>
      <c r="H138" s="188"/>
      <c r="I138" s="194"/>
    </row>
    <row r="139" spans="1:9">
      <c r="A139" s="240">
        <v>84</v>
      </c>
      <c r="B139" s="200">
        <f t="shared" si="6"/>
        <v>0</v>
      </c>
      <c r="C139" s="200">
        <f t="shared" si="7"/>
        <v>0</v>
      </c>
      <c r="D139" s="200">
        <f t="shared" si="8"/>
        <v>0</v>
      </c>
      <c r="E139" s="200">
        <f t="shared" si="9"/>
        <v>0</v>
      </c>
      <c r="F139" s="199">
        <v>7</v>
      </c>
      <c r="G139" s="241"/>
      <c r="H139" s="208"/>
      <c r="I139" s="241"/>
    </row>
    <row r="140" spans="1:9">
      <c r="A140" s="240">
        <v>85</v>
      </c>
      <c r="B140" s="200">
        <f t="shared" si="6"/>
        <v>0</v>
      </c>
      <c r="C140" s="200">
        <f t="shared" si="7"/>
        <v>0</v>
      </c>
      <c r="D140" s="200">
        <f t="shared" si="8"/>
        <v>0</v>
      </c>
      <c r="E140" s="200">
        <f t="shared" si="9"/>
        <v>0</v>
      </c>
      <c r="F140" s="199"/>
      <c r="G140" s="194"/>
      <c r="H140" s="188"/>
      <c r="I140" s="241"/>
    </row>
    <row r="141" spans="1:9">
      <c r="A141" s="240">
        <v>86</v>
      </c>
      <c r="B141" s="200">
        <f t="shared" si="6"/>
        <v>0</v>
      </c>
      <c r="C141" s="200">
        <f t="shared" si="7"/>
        <v>0</v>
      </c>
      <c r="D141" s="200">
        <f t="shared" si="8"/>
        <v>0</v>
      </c>
      <c r="E141" s="200">
        <f t="shared" si="9"/>
        <v>0</v>
      </c>
      <c r="F141" s="199"/>
      <c r="G141" s="194"/>
      <c r="H141" s="188"/>
      <c r="I141" s="194"/>
    </row>
    <row r="142" spans="1:9">
      <c r="A142" s="240">
        <v>87</v>
      </c>
      <c r="B142" s="200">
        <f t="shared" si="6"/>
        <v>0</v>
      </c>
      <c r="C142" s="200">
        <f t="shared" si="7"/>
        <v>0</v>
      </c>
      <c r="D142" s="200">
        <f t="shared" si="8"/>
        <v>0</v>
      </c>
      <c r="E142" s="200">
        <f t="shared" si="9"/>
        <v>0</v>
      </c>
      <c r="F142" s="199"/>
      <c r="G142" s="194"/>
      <c r="H142" s="188"/>
      <c r="I142" s="194"/>
    </row>
    <row r="143" spans="1:9">
      <c r="A143" s="240">
        <v>88</v>
      </c>
      <c r="B143" s="200">
        <f t="shared" si="6"/>
        <v>0</v>
      </c>
      <c r="C143" s="200">
        <f t="shared" si="7"/>
        <v>0</v>
      </c>
      <c r="D143" s="200">
        <f t="shared" si="8"/>
        <v>0</v>
      </c>
      <c r="E143" s="200">
        <f t="shared" si="9"/>
        <v>0</v>
      </c>
      <c r="F143" s="199"/>
      <c r="G143" s="194"/>
      <c r="H143" s="188"/>
      <c r="I143" s="194"/>
    </row>
    <row r="144" spans="1:9">
      <c r="A144" s="240">
        <v>89</v>
      </c>
      <c r="B144" s="200">
        <f t="shared" si="6"/>
        <v>0</v>
      </c>
      <c r="C144" s="200">
        <f t="shared" si="7"/>
        <v>0</v>
      </c>
      <c r="D144" s="200">
        <f t="shared" si="8"/>
        <v>0</v>
      </c>
      <c r="E144" s="200">
        <f t="shared" si="9"/>
        <v>0</v>
      </c>
      <c r="F144" s="199"/>
      <c r="G144" s="194"/>
      <c r="H144" s="188"/>
      <c r="I144" s="194"/>
    </row>
    <row r="145" spans="1:9">
      <c r="A145" s="240">
        <v>90</v>
      </c>
      <c r="B145" s="200">
        <f t="shared" si="6"/>
        <v>0</v>
      </c>
      <c r="C145" s="200">
        <f t="shared" si="7"/>
        <v>0</v>
      </c>
      <c r="D145" s="200">
        <f t="shared" si="8"/>
        <v>0</v>
      </c>
      <c r="E145" s="200">
        <f t="shared" si="9"/>
        <v>0</v>
      </c>
      <c r="F145" s="199"/>
      <c r="G145" s="241"/>
      <c r="H145" s="208"/>
      <c r="I145" s="194"/>
    </row>
    <row r="146" spans="1:9">
      <c r="A146" s="240">
        <v>91</v>
      </c>
      <c r="B146" s="200">
        <f t="shared" si="6"/>
        <v>0</v>
      </c>
      <c r="C146" s="200">
        <f t="shared" si="7"/>
        <v>0</v>
      </c>
      <c r="D146" s="200">
        <f t="shared" si="8"/>
        <v>0</v>
      </c>
      <c r="E146" s="200">
        <f t="shared" si="9"/>
        <v>0</v>
      </c>
      <c r="F146" s="199"/>
      <c r="G146" s="194"/>
      <c r="H146" s="188"/>
      <c r="I146" s="194"/>
    </row>
    <row r="147" spans="1:9">
      <c r="A147" s="240">
        <v>92</v>
      </c>
      <c r="B147" s="200">
        <f t="shared" si="6"/>
        <v>0</v>
      </c>
      <c r="C147" s="200">
        <f t="shared" si="7"/>
        <v>0</v>
      </c>
      <c r="D147" s="200">
        <f t="shared" si="8"/>
        <v>0</v>
      </c>
      <c r="E147" s="200">
        <f t="shared" si="9"/>
        <v>0</v>
      </c>
      <c r="F147" s="199"/>
      <c r="G147" s="194"/>
      <c r="H147" s="188"/>
      <c r="I147" s="194"/>
    </row>
    <row r="148" spans="1:9">
      <c r="A148" s="240">
        <v>93</v>
      </c>
      <c r="B148" s="200">
        <f t="shared" si="6"/>
        <v>0</v>
      </c>
      <c r="C148" s="200">
        <f t="shared" si="7"/>
        <v>0</v>
      </c>
      <c r="D148" s="200">
        <f t="shared" si="8"/>
        <v>0</v>
      </c>
      <c r="E148" s="200">
        <f t="shared" si="9"/>
        <v>0</v>
      </c>
      <c r="F148" s="199"/>
      <c r="G148" s="194"/>
      <c r="H148" s="188"/>
      <c r="I148" s="194"/>
    </row>
    <row r="149" spans="1:9">
      <c r="A149" s="240">
        <v>94</v>
      </c>
      <c r="B149" s="200">
        <f t="shared" si="6"/>
        <v>0</v>
      </c>
      <c r="C149" s="200">
        <f t="shared" si="7"/>
        <v>0</v>
      </c>
      <c r="D149" s="200">
        <f t="shared" si="8"/>
        <v>0</v>
      </c>
      <c r="E149" s="200">
        <f t="shared" si="9"/>
        <v>0</v>
      </c>
      <c r="F149" s="199"/>
      <c r="G149" s="194"/>
      <c r="H149" s="188"/>
      <c r="I149" s="194"/>
    </row>
    <row r="150" spans="1:9">
      <c r="A150" s="240">
        <v>95</v>
      </c>
      <c r="B150" s="200">
        <f t="shared" si="6"/>
        <v>0</v>
      </c>
      <c r="C150" s="200">
        <f t="shared" si="7"/>
        <v>0</v>
      </c>
      <c r="D150" s="200">
        <f t="shared" si="8"/>
        <v>0</v>
      </c>
      <c r="E150" s="200">
        <f t="shared" si="9"/>
        <v>0</v>
      </c>
      <c r="F150" s="199"/>
      <c r="G150" s="194"/>
      <c r="H150" s="188"/>
      <c r="I150" s="194"/>
    </row>
    <row r="151" spans="1:9">
      <c r="A151" s="240">
        <v>96</v>
      </c>
      <c r="B151" s="200">
        <f t="shared" si="6"/>
        <v>0</v>
      </c>
      <c r="C151" s="200">
        <f t="shared" si="7"/>
        <v>0</v>
      </c>
      <c r="D151" s="200">
        <f t="shared" si="8"/>
        <v>0</v>
      </c>
      <c r="E151" s="200">
        <f t="shared" si="9"/>
        <v>0</v>
      </c>
      <c r="F151" s="199">
        <v>8</v>
      </c>
      <c r="G151" s="241"/>
      <c r="H151" s="208"/>
      <c r="I151" s="241"/>
    </row>
    <row r="152" spans="1:9">
      <c r="A152" s="240">
        <v>97</v>
      </c>
      <c r="B152" s="200">
        <f t="shared" si="6"/>
        <v>0</v>
      </c>
      <c r="C152" s="200">
        <f t="shared" si="7"/>
        <v>0</v>
      </c>
      <c r="D152" s="200">
        <f t="shared" si="8"/>
        <v>0</v>
      </c>
      <c r="E152" s="200">
        <f t="shared" si="9"/>
        <v>0</v>
      </c>
      <c r="F152" s="199"/>
      <c r="G152" s="194"/>
      <c r="H152" s="188"/>
      <c r="I152" s="241"/>
    </row>
    <row r="153" spans="1:9">
      <c r="A153" s="240">
        <v>98</v>
      </c>
      <c r="B153" s="200">
        <f t="shared" si="6"/>
        <v>0</v>
      </c>
      <c r="C153" s="200">
        <f t="shared" si="7"/>
        <v>0</v>
      </c>
      <c r="D153" s="200">
        <f t="shared" si="8"/>
        <v>0</v>
      </c>
      <c r="E153" s="200">
        <f t="shared" si="9"/>
        <v>0</v>
      </c>
      <c r="F153" s="199"/>
      <c r="G153" s="194"/>
      <c r="H153" s="188"/>
      <c r="I153" s="194"/>
    </row>
    <row r="154" spans="1:9">
      <c r="A154" s="240">
        <v>99</v>
      </c>
      <c r="B154" s="200">
        <f t="shared" si="6"/>
        <v>0</v>
      </c>
      <c r="C154" s="200">
        <f t="shared" si="7"/>
        <v>0</v>
      </c>
      <c r="D154" s="200">
        <f t="shared" si="8"/>
        <v>0</v>
      </c>
      <c r="E154" s="200">
        <f t="shared" si="9"/>
        <v>0</v>
      </c>
      <c r="F154" s="199"/>
      <c r="G154" s="194"/>
      <c r="H154" s="188"/>
      <c r="I154" s="194"/>
    </row>
    <row r="155" spans="1:9">
      <c r="A155" s="240">
        <v>100</v>
      </c>
      <c r="B155" s="200">
        <f t="shared" si="6"/>
        <v>0</v>
      </c>
      <c r="C155" s="200">
        <f t="shared" si="7"/>
        <v>0</v>
      </c>
      <c r="D155" s="200">
        <f t="shared" si="8"/>
        <v>0</v>
      </c>
      <c r="E155" s="200">
        <f t="shared" si="9"/>
        <v>0</v>
      </c>
      <c r="F155" s="199"/>
      <c r="G155" s="194"/>
      <c r="H155" s="188"/>
      <c r="I155" s="194"/>
    </row>
    <row r="156" spans="1:9">
      <c r="A156" s="240">
        <v>101</v>
      </c>
      <c r="B156" s="200">
        <f t="shared" si="6"/>
        <v>0</v>
      </c>
      <c r="C156" s="200">
        <f t="shared" si="7"/>
        <v>0</v>
      </c>
      <c r="D156" s="200">
        <f t="shared" si="8"/>
        <v>0</v>
      </c>
      <c r="E156" s="200">
        <f t="shared" si="9"/>
        <v>0</v>
      </c>
      <c r="F156" s="199"/>
      <c r="G156" s="194"/>
      <c r="H156" s="188"/>
      <c r="I156" s="194"/>
    </row>
    <row r="157" spans="1:9">
      <c r="A157" s="240">
        <v>102</v>
      </c>
      <c r="B157" s="200">
        <f t="shared" si="6"/>
        <v>0</v>
      </c>
      <c r="C157" s="200">
        <f t="shared" si="7"/>
        <v>0</v>
      </c>
      <c r="D157" s="200">
        <f t="shared" si="8"/>
        <v>0</v>
      </c>
      <c r="E157" s="200">
        <f t="shared" si="9"/>
        <v>0</v>
      </c>
      <c r="F157" s="199"/>
      <c r="G157" s="241"/>
      <c r="H157" s="208"/>
      <c r="I157" s="194"/>
    </row>
    <row r="158" spans="1:9">
      <c r="A158" s="240">
        <v>103</v>
      </c>
      <c r="B158" s="200">
        <f t="shared" si="6"/>
        <v>0</v>
      </c>
      <c r="C158" s="200">
        <f t="shared" si="7"/>
        <v>0</v>
      </c>
      <c r="D158" s="200">
        <f t="shared" si="8"/>
        <v>0</v>
      </c>
      <c r="E158" s="200">
        <f t="shared" si="9"/>
        <v>0</v>
      </c>
      <c r="F158" s="199"/>
      <c r="G158" s="194"/>
      <c r="H158" s="188"/>
      <c r="I158" s="194"/>
    </row>
    <row r="159" spans="1:9">
      <c r="A159" s="240">
        <v>104</v>
      </c>
      <c r="B159" s="200">
        <f t="shared" si="6"/>
        <v>0</v>
      </c>
      <c r="C159" s="200">
        <f t="shared" si="7"/>
        <v>0</v>
      </c>
      <c r="D159" s="200">
        <f t="shared" si="8"/>
        <v>0</v>
      </c>
      <c r="E159" s="200">
        <f t="shared" si="9"/>
        <v>0</v>
      </c>
      <c r="F159" s="199"/>
      <c r="G159" s="194"/>
      <c r="H159" s="188"/>
      <c r="I159" s="194"/>
    </row>
    <row r="160" spans="1:9">
      <c r="A160" s="240">
        <v>105</v>
      </c>
      <c r="B160" s="200">
        <f t="shared" si="6"/>
        <v>0</v>
      </c>
      <c r="C160" s="200">
        <f t="shared" si="7"/>
        <v>0</v>
      </c>
      <c r="D160" s="200">
        <f t="shared" si="8"/>
        <v>0</v>
      </c>
      <c r="E160" s="200">
        <f t="shared" si="9"/>
        <v>0</v>
      </c>
      <c r="F160" s="199"/>
      <c r="G160" s="194"/>
      <c r="H160" s="188"/>
      <c r="I160" s="194"/>
    </row>
    <row r="161" spans="1:9">
      <c r="A161" s="240">
        <v>106</v>
      </c>
      <c r="B161" s="200">
        <f t="shared" si="6"/>
        <v>0</v>
      </c>
      <c r="C161" s="200">
        <f t="shared" si="7"/>
        <v>0</v>
      </c>
      <c r="D161" s="200">
        <f t="shared" si="8"/>
        <v>0</v>
      </c>
      <c r="E161" s="200">
        <f t="shared" si="9"/>
        <v>0</v>
      </c>
      <c r="F161" s="199"/>
      <c r="G161" s="194"/>
      <c r="H161" s="188"/>
      <c r="I161" s="194"/>
    </row>
    <row r="162" spans="1:9">
      <c r="A162" s="240">
        <v>107</v>
      </c>
      <c r="B162" s="200">
        <f t="shared" si="6"/>
        <v>0</v>
      </c>
      <c r="C162" s="200">
        <f t="shared" si="7"/>
        <v>0</v>
      </c>
      <c r="D162" s="200">
        <f t="shared" si="8"/>
        <v>0</v>
      </c>
      <c r="E162" s="200">
        <f t="shared" si="9"/>
        <v>0</v>
      </c>
      <c r="F162" s="199"/>
      <c r="G162" s="194"/>
      <c r="H162" s="188"/>
      <c r="I162" s="194"/>
    </row>
    <row r="163" spans="1:9">
      <c r="A163" s="240">
        <v>108</v>
      </c>
      <c r="B163" s="200">
        <f t="shared" si="6"/>
        <v>0</v>
      </c>
      <c r="C163" s="200">
        <f t="shared" si="7"/>
        <v>0</v>
      </c>
      <c r="D163" s="200">
        <f t="shared" si="8"/>
        <v>0</v>
      </c>
      <c r="E163" s="200">
        <f t="shared" si="9"/>
        <v>0</v>
      </c>
      <c r="F163" s="199">
        <v>9</v>
      </c>
      <c r="G163" s="241"/>
      <c r="H163" s="208"/>
      <c r="I163" s="241"/>
    </row>
    <row r="164" spans="1:9">
      <c r="A164" s="240">
        <v>109</v>
      </c>
      <c r="B164" s="200">
        <f t="shared" si="6"/>
        <v>0</v>
      </c>
      <c r="C164" s="200">
        <f t="shared" si="7"/>
        <v>0</v>
      </c>
      <c r="D164" s="200">
        <f t="shared" si="8"/>
        <v>0</v>
      </c>
      <c r="E164" s="200">
        <f t="shared" si="9"/>
        <v>0</v>
      </c>
      <c r="F164" s="199"/>
      <c r="G164" s="194"/>
      <c r="H164" s="188"/>
      <c r="I164" s="241"/>
    </row>
    <row r="165" spans="1:9">
      <c r="A165" s="240">
        <v>110</v>
      </c>
      <c r="B165" s="200">
        <f t="shared" si="6"/>
        <v>0</v>
      </c>
      <c r="C165" s="200">
        <f t="shared" si="7"/>
        <v>0</v>
      </c>
      <c r="D165" s="200">
        <f t="shared" si="8"/>
        <v>0</v>
      </c>
      <c r="E165" s="200">
        <f t="shared" si="9"/>
        <v>0</v>
      </c>
      <c r="F165" s="199"/>
      <c r="G165" s="194"/>
      <c r="H165" s="188"/>
      <c r="I165" s="194"/>
    </row>
    <row r="166" spans="1:9">
      <c r="A166" s="240">
        <v>111</v>
      </c>
      <c r="B166" s="200">
        <f t="shared" si="6"/>
        <v>0</v>
      </c>
      <c r="C166" s="200">
        <f t="shared" si="7"/>
        <v>0</v>
      </c>
      <c r="D166" s="200">
        <f t="shared" si="8"/>
        <v>0</v>
      </c>
      <c r="E166" s="200">
        <f t="shared" si="9"/>
        <v>0</v>
      </c>
      <c r="F166" s="199"/>
      <c r="G166" s="194"/>
      <c r="H166" s="188"/>
      <c r="I166" s="194"/>
    </row>
    <row r="167" spans="1:9">
      <c r="A167" s="240">
        <v>112</v>
      </c>
      <c r="B167" s="200">
        <f t="shared" si="6"/>
        <v>0</v>
      </c>
      <c r="C167" s="200">
        <f t="shared" si="7"/>
        <v>0</v>
      </c>
      <c r="D167" s="200">
        <f t="shared" si="8"/>
        <v>0</v>
      </c>
      <c r="E167" s="200">
        <f t="shared" si="9"/>
        <v>0</v>
      </c>
      <c r="F167" s="199"/>
      <c r="G167" s="194"/>
      <c r="H167" s="188"/>
      <c r="I167" s="194"/>
    </row>
    <row r="168" spans="1:9">
      <c r="A168" s="240">
        <v>113</v>
      </c>
      <c r="B168" s="200">
        <f t="shared" si="6"/>
        <v>0</v>
      </c>
      <c r="C168" s="200">
        <f t="shared" si="7"/>
        <v>0</v>
      </c>
      <c r="D168" s="200">
        <f t="shared" si="8"/>
        <v>0</v>
      </c>
      <c r="E168" s="200">
        <f t="shared" si="9"/>
        <v>0</v>
      </c>
      <c r="F168" s="199"/>
      <c r="G168" s="194"/>
      <c r="H168" s="188"/>
      <c r="I168" s="194"/>
    </row>
    <row r="169" spans="1:9">
      <c r="A169" s="240">
        <v>114</v>
      </c>
      <c r="B169" s="200">
        <f t="shared" si="6"/>
        <v>0</v>
      </c>
      <c r="C169" s="200">
        <f t="shared" si="7"/>
        <v>0</v>
      </c>
      <c r="D169" s="200">
        <f t="shared" si="8"/>
        <v>0</v>
      </c>
      <c r="E169" s="200">
        <f t="shared" si="9"/>
        <v>0</v>
      </c>
      <c r="F169" s="199"/>
      <c r="G169" s="241"/>
      <c r="H169" s="208"/>
      <c r="I169" s="194"/>
    </row>
    <row r="170" spans="1:9">
      <c r="A170" s="240">
        <v>115</v>
      </c>
      <c r="B170" s="200">
        <f t="shared" si="6"/>
        <v>0</v>
      </c>
      <c r="C170" s="200">
        <f t="shared" si="7"/>
        <v>0</v>
      </c>
      <c r="D170" s="200">
        <f t="shared" si="8"/>
        <v>0</v>
      </c>
      <c r="E170" s="200">
        <f t="shared" si="9"/>
        <v>0</v>
      </c>
      <c r="F170" s="199"/>
      <c r="G170" s="194"/>
      <c r="H170" s="188"/>
      <c r="I170" s="194"/>
    </row>
    <row r="171" spans="1:9">
      <c r="A171" s="240">
        <v>116</v>
      </c>
      <c r="B171" s="200">
        <f t="shared" si="6"/>
        <v>0</v>
      </c>
      <c r="C171" s="200">
        <f t="shared" si="7"/>
        <v>0</v>
      </c>
      <c r="D171" s="200">
        <f t="shared" si="8"/>
        <v>0</v>
      </c>
      <c r="E171" s="200">
        <f t="shared" si="9"/>
        <v>0</v>
      </c>
      <c r="F171" s="199"/>
      <c r="G171" s="194"/>
      <c r="H171" s="188"/>
      <c r="I171" s="194"/>
    </row>
    <row r="172" spans="1:9">
      <c r="A172" s="240">
        <v>117</v>
      </c>
      <c r="B172" s="200">
        <f t="shared" si="6"/>
        <v>0</v>
      </c>
      <c r="C172" s="200">
        <f t="shared" si="7"/>
        <v>0</v>
      </c>
      <c r="D172" s="200">
        <f t="shared" si="8"/>
        <v>0</v>
      </c>
      <c r="E172" s="200">
        <f t="shared" si="9"/>
        <v>0</v>
      </c>
      <c r="F172" s="199"/>
      <c r="G172" s="194"/>
      <c r="H172" s="188"/>
      <c r="I172" s="194"/>
    </row>
    <row r="173" spans="1:9">
      <c r="A173" s="240">
        <v>118</v>
      </c>
      <c r="B173" s="200">
        <f t="shared" si="6"/>
        <v>0</v>
      </c>
      <c r="C173" s="200">
        <f t="shared" si="7"/>
        <v>0</v>
      </c>
      <c r="D173" s="200">
        <f t="shared" si="8"/>
        <v>0</v>
      </c>
      <c r="E173" s="200">
        <f t="shared" si="9"/>
        <v>0</v>
      </c>
      <c r="F173" s="199"/>
      <c r="G173" s="194"/>
      <c r="H173" s="188"/>
      <c r="I173" s="194"/>
    </row>
    <row r="174" spans="1:9">
      <c r="A174" s="240">
        <v>119</v>
      </c>
      <c r="B174" s="200">
        <f t="shared" si="6"/>
        <v>0</v>
      </c>
      <c r="C174" s="200">
        <f t="shared" si="7"/>
        <v>0</v>
      </c>
      <c r="D174" s="200">
        <f t="shared" si="8"/>
        <v>0</v>
      </c>
      <c r="E174" s="200">
        <f t="shared" si="9"/>
        <v>0</v>
      </c>
      <c r="F174" s="199"/>
      <c r="G174" s="194"/>
      <c r="H174" s="188"/>
      <c r="I174" s="194"/>
    </row>
    <row r="175" spans="1:9">
      <c r="A175" s="240">
        <v>120</v>
      </c>
      <c r="B175" s="200">
        <f t="shared" si="6"/>
        <v>0</v>
      </c>
      <c r="C175" s="200">
        <f t="shared" si="7"/>
        <v>0</v>
      </c>
      <c r="D175" s="200">
        <f t="shared" si="8"/>
        <v>0</v>
      </c>
      <c r="E175" s="200">
        <f t="shared" si="9"/>
        <v>0</v>
      </c>
      <c r="F175" s="199">
        <v>10</v>
      </c>
      <c r="G175" s="241"/>
      <c r="H175" s="208"/>
      <c r="I175" s="241"/>
    </row>
    <row r="176" spans="1:9">
      <c r="A176" s="240">
        <v>121</v>
      </c>
      <c r="B176" s="200">
        <f t="shared" si="6"/>
        <v>0</v>
      </c>
      <c r="C176" s="200">
        <f t="shared" si="7"/>
        <v>0</v>
      </c>
      <c r="D176" s="200">
        <f t="shared" si="8"/>
        <v>0</v>
      </c>
      <c r="E176" s="200">
        <f t="shared" si="9"/>
        <v>0</v>
      </c>
      <c r="F176" s="199"/>
      <c r="G176" s="194"/>
      <c r="H176" s="188"/>
      <c r="I176" s="241"/>
    </row>
    <row r="177" spans="1:9">
      <c r="A177" s="240">
        <v>122</v>
      </c>
      <c r="B177" s="200">
        <f t="shared" si="6"/>
        <v>0</v>
      </c>
      <c r="C177" s="200">
        <f t="shared" si="7"/>
        <v>0</v>
      </c>
      <c r="D177" s="200">
        <f t="shared" si="8"/>
        <v>0</v>
      </c>
      <c r="E177" s="200">
        <f t="shared" si="9"/>
        <v>0</v>
      </c>
      <c r="F177" s="199"/>
      <c r="G177" s="194"/>
      <c r="H177" s="188"/>
      <c r="I177" s="194"/>
    </row>
    <row r="178" spans="1:9">
      <c r="A178" s="240">
        <v>123</v>
      </c>
      <c r="B178" s="200">
        <f t="shared" si="6"/>
        <v>0</v>
      </c>
      <c r="C178" s="200">
        <f t="shared" si="7"/>
        <v>0</v>
      </c>
      <c r="D178" s="200">
        <f t="shared" si="8"/>
        <v>0</v>
      </c>
      <c r="E178" s="200">
        <f t="shared" si="9"/>
        <v>0</v>
      </c>
      <c r="F178" s="199"/>
      <c r="G178" s="194"/>
      <c r="H178" s="188"/>
      <c r="I178" s="194"/>
    </row>
    <row r="179" spans="1:9">
      <c r="A179" s="240">
        <v>124</v>
      </c>
      <c r="B179" s="200">
        <f t="shared" si="6"/>
        <v>0</v>
      </c>
      <c r="C179" s="200">
        <f t="shared" si="7"/>
        <v>0</v>
      </c>
      <c r="D179" s="200">
        <f t="shared" si="8"/>
        <v>0</v>
      </c>
      <c r="E179" s="200">
        <f t="shared" si="9"/>
        <v>0</v>
      </c>
      <c r="F179" s="199"/>
      <c r="G179" s="194"/>
      <c r="H179" s="188"/>
      <c r="I179" s="194"/>
    </row>
    <row r="180" spans="1:9">
      <c r="A180" s="240">
        <v>125</v>
      </c>
      <c r="B180" s="200">
        <f t="shared" si="6"/>
        <v>0</v>
      </c>
      <c r="C180" s="200">
        <f t="shared" si="7"/>
        <v>0</v>
      </c>
      <c r="D180" s="200">
        <f t="shared" si="8"/>
        <v>0</v>
      </c>
      <c r="E180" s="200">
        <f t="shared" si="9"/>
        <v>0</v>
      </c>
      <c r="F180" s="199"/>
      <c r="G180" s="194"/>
      <c r="H180" s="188"/>
      <c r="I180" s="194"/>
    </row>
    <row r="181" spans="1:9">
      <c r="A181" s="240">
        <v>126</v>
      </c>
      <c r="B181" s="200">
        <f t="shared" si="6"/>
        <v>0</v>
      </c>
      <c r="C181" s="200">
        <f t="shared" si="7"/>
        <v>0</v>
      </c>
      <c r="D181" s="200">
        <f t="shared" si="8"/>
        <v>0</v>
      </c>
      <c r="E181" s="200">
        <f t="shared" si="9"/>
        <v>0</v>
      </c>
      <c r="F181" s="199"/>
      <c r="G181" s="241"/>
      <c r="H181" s="208"/>
      <c r="I181" s="194"/>
    </row>
    <row r="182" spans="1:9">
      <c r="A182" s="240">
        <v>127</v>
      </c>
      <c r="B182" s="200">
        <f t="shared" si="6"/>
        <v>0</v>
      </c>
      <c r="C182" s="200">
        <f t="shared" si="7"/>
        <v>0</v>
      </c>
      <c r="D182" s="200">
        <f t="shared" si="8"/>
        <v>0</v>
      </c>
      <c r="E182" s="200">
        <f t="shared" si="9"/>
        <v>0</v>
      </c>
      <c r="F182" s="199"/>
      <c r="G182" s="194"/>
      <c r="H182" s="188"/>
      <c r="I182" s="194"/>
    </row>
    <row r="183" spans="1:9">
      <c r="A183" s="240">
        <v>128</v>
      </c>
      <c r="B183" s="200">
        <f t="shared" si="6"/>
        <v>0</v>
      </c>
      <c r="C183" s="200">
        <f t="shared" si="7"/>
        <v>0</v>
      </c>
      <c r="D183" s="200">
        <f t="shared" si="8"/>
        <v>0</v>
      </c>
      <c r="E183" s="200">
        <f t="shared" si="9"/>
        <v>0</v>
      </c>
      <c r="F183" s="199"/>
      <c r="G183" s="194"/>
      <c r="H183" s="188"/>
      <c r="I183" s="194"/>
    </row>
    <row r="184" spans="1:9">
      <c r="A184" s="240">
        <v>129</v>
      </c>
      <c r="B184" s="200">
        <f t="shared" ref="B184:B247" si="10">IF(A184&gt;12*$D$14,0,$D$20)</f>
        <v>0</v>
      </c>
      <c r="C184" s="200">
        <f t="shared" ref="C184:C247" si="11">IF(A184&gt;12*$D$14,0,E183*$D$10/12)</f>
        <v>0</v>
      </c>
      <c r="D184" s="200">
        <f t="shared" ref="D184:D247" si="12">IF(A184&gt;12*$D$14,0,B184-C184)</f>
        <v>0</v>
      </c>
      <c r="E184" s="200">
        <f t="shared" ref="E184:E247" si="13">IF(A184&gt;12*$D$14,0,E183-D184)</f>
        <v>0</v>
      </c>
      <c r="F184" s="199"/>
      <c r="G184" s="194"/>
      <c r="H184" s="188"/>
      <c r="I184" s="194"/>
    </row>
    <row r="185" spans="1:9">
      <c r="A185" s="240">
        <v>130</v>
      </c>
      <c r="B185" s="200">
        <f t="shared" si="10"/>
        <v>0</v>
      </c>
      <c r="C185" s="200">
        <f t="shared" si="11"/>
        <v>0</v>
      </c>
      <c r="D185" s="200">
        <f t="shared" si="12"/>
        <v>0</v>
      </c>
      <c r="E185" s="200">
        <f t="shared" si="13"/>
        <v>0</v>
      </c>
      <c r="F185" s="199"/>
      <c r="G185" s="194"/>
      <c r="H185" s="188"/>
      <c r="I185" s="194"/>
    </row>
    <row r="186" spans="1:9">
      <c r="A186" s="240">
        <v>131</v>
      </c>
      <c r="B186" s="200">
        <f t="shared" si="10"/>
        <v>0</v>
      </c>
      <c r="C186" s="200">
        <f t="shared" si="11"/>
        <v>0</v>
      </c>
      <c r="D186" s="200">
        <f t="shared" si="12"/>
        <v>0</v>
      </c>
      <c r="E186" s="200">
        <f t="shared" si="13"/>
        <v>0</v>
      </c>
      <c r="F186" s="199"/>
      <c r="G186" s="194"/>
      <c r="H186" s="188"/>
      <c r="I186" s="194"/>
    </row>
    <row r="187" spans="1:9">
      <c r="A187" s="240">
        <v>132</v>
      </c>
      <c r="B187" s="200">
        <f t="shared" si="10"/>
        <v>0</v>
      </c>
      <c r="C187" s="200">
        <f t="shared" si="11"/>
        <v>0</v>
      </c>
      <c r="D187" s="200">
        <f t="shared" si="12"/>
        <v>0</v>
      </c>
      <c r="E187" s="200">
        <f t="shared" si="13"/>
        <v>0</v>
      </c>
      <c r="F187" s="199">
        <v>11</v>
      </c>
      <c r="G187" s="241"/>
      <c r="H187" s="208"/>
      <c r="I187" s="241"/>
    </row>
    <row r="188" spans="1:9">
      <c r="A188" s="240">
        <v>133</v>
      </c>
      <c r="B188" s="200">
        <f t="shared" si="10"/>
        <v>0</v>
      </c>
      <c r="C188" s="200">
        <f t="shared" si="11"/>
        <v>0</v>
      </c>
      <c r="D188" s="200">
        <f t="shared" si="12"/>
        <v>0</v>
      </c>
      <c r="E188" s="200">
        <f t="shared" si="13"/>
        <v>0</v>
      </c>
      <c r="F188" s="199"/>
      <c r="G188" s="194"/>
      <c r="H188" s="188"/>
      <c r="I188" s="241"/>
    </row>
    <row r="189" spans="1:9">
      <c r="A189" s="240">
        <v>134</v>
      </c>
      <c r="B189" s="200">
        <f t="shared" si="10"/>
        <v>0</v>
      </c>
      <c r="C189" s="200">
        <f t="shared" si="11"/>
        <v>0</v>
      </c>
      <c r="D189" s="200">
        <f t="shared" si="12"/>
        <v>0</v>
      </c>
      <c r="E189" s="200">
        <f t="shared" si="13"/>
        <v>0</v>
      </c>
      <c r="F189" s="199"/>
      <c r="G189" s="194"/>
      <c r="H189" s="188"/>
      <c r="I189" s="194"/>
    </row>
    <row r="190" spans="1:9">
      <c r="A190" s="240">
        <v>135</v>
      </c>
      <c r="B190" s="200">
        <f t="shared" si="10"/>
        <v>0</v>
      </c>
      <c r="C190" s="200">
        <f t="shared" si="11"/>
        <v>0</v>
      </c>
      <c r="D190" s="200">
        <f t="shared" si="12"/>
        <v>0</v>
      </c>
      <c r="E190" s="200">
        <f t="shared" si="13"/>
        <v>0</v>
      </c>
      <c r="F190" s="199"/>
      <c r="G190" s="194"/>
      <c r="H190" s="188"/>
      <c r="I190" s="194"/>
    </row>
    <row r="191" spans="1:9">
      <c r="A191" s="240">
        <v>136</v>
      </c>
      <c r="B191" s="200">
        <f t="shared" si="10"/>
        <v>0</v>
      </c>
      <c r="C191" s="200">
        <f t="shared" si="11"/>
        <v>0</v>
      </c>
      <c r="D191" s="200">
        <f t="shared" si="12"/>
        <v>0</v>
      </c>
      <c r="E191" s="200">
        <f t="shared" si="13"/>
        <v>0</v>
      </c>
      <c r="F191" s="199"/>
      <c r="G191" s="194"/>
      <c r="H191" s="188"/>
      <c r="I191" s="194"/>
    </row>
    <row r="192" spans="1:9">
      <c r="A192" s="240">
        <v>137</v>
      </c>
      <c r="B192" s="200">
        <f t="shared" si="10"/>
        <v>0</v>
      </c>
      <c r="C192" s="200">
        <f t="shared" si="11"/>
        <v>0</v>
      </c>
      <c r="D192" s="200">
        <f t="shared" si="12"/>
        <v>0</v>
      </c>
      <c r="E192" s="200">
        <f t="shared" si="13"/>
        <v>0</v>
      </c>
      <c r="F192" s="199"/>
      <c r="G192" s="194"/>
      <c r="H192" s="188"/>
      <c r="I192" s="194"/>
    </row>
    <row r="193" spans="1:9">
      <c r="A193" s="240">
        <v>138</v>
      </c>
      <c r="B193" s="200">
        <f t="shared" si="10"/>
        <v>0</v>
      </c>
      <c r="C193" s="200">
        <f t="shared" si="11"/>
        <v>0</v>
      </c>
      <c r="D193" s="200">
        <f t="shared" si="12"/>
        <v>0</v>
      </c>
      <c r="E193" s="200">
        <f t="shared" si="13"/>
        <v>0</v>
      </c>
      <c r="F193" s="199"/>
      <c r="G193" s="241"/>
      <c r="H193" s="208"/>
      <c r="I193" s="194"/>
    </row>
    <row r="194" spans="1:9">
      <c r="A194" s="240">
        <v>139</v>
      </c>
      <c r="B194" s="200">
        <f t="shared" si="10"/>
        <v>0</v>
      </c>
      <c r="C194" s="200">
        <f t="shared" si="11"/>
        <v>0</v>
      </c>
      <c r="D194" s="200">
        <f t="shared" si="12"/>
        <v>0</v>
      </c>
      <c r="E194" s="200">
        <f t="shared" si="13"/>
        <v>0</v>
      </c>
      <c r="F194" s="199"/>
      <c r="G194" s="194"/>
      <c r="H194" s="188"/>
      <c r="I194" s="194"/>
    </row>
    <row r="195" spans="1:9">
      <c r="A195" s="240">
        <v>140</v>
      </c>
      <c r="B195" s="200">
        <f t="shared" si="10"/>
        <v>0</v>
      </c>
      <c r="C195" s="200">
        <f t="shared" si="11"/>
        <v>0</v>
      </c>
      <c r="D195" s="200">
        <f t="shared" si="12"/>
        <v>0</v>
      </c>
      <c r="E195" s="200">
        <f t="shared" si="13"/>
        <v>0</v>
      </c>
      <c r="F195" s="199"/>
      <c r="G195" s="194"/>
      <c r="H195" s="188"/>
      <c r="I195" s="194"/>
    </row>
    <row r="196" spans="1:9">
      <c r="A196" s="240">
        <v>141</v>
      </c>
      <c r="B196" s="200">
        <f t="shared" si="10"/>
        <v>0</v>
      </c>
      <c r="C196" s="200">
        <f t="shared" si="11"/>
        <v>0</v>
      </c>
      <c r="D196" s="200">
        <f t="shared" si="12"/>
        <v>0</v>
      </c>
      <c r="E196" s="200">
        <f t="shared" si="13"/>
        <v>0</v>
      </c>
      <c r="F196" s="199"/>
      <c r="G196" s="194"/>
      <c r="H196" s="188"/>
      <c r="I196" s="194"/>
    </row>
    <row r="197" spans="1:9">
      <c r="A197" s="240">
        <v>142</v>
      </c>
      <c r="B197" s="200">
        <f t="shared" si="10"/>
        <v>0</v>
      </c>
      <c r="C197" s="200">
        <f t="shared" si="11"/>
        <v>0</v>
      </c>
      <c r="D197" s="200">
        <f t="shared" si="12"/>
        <v>0</v>
      </c>
      <c r="E197" s="200">
        <f t="shared" si="13"/>
        <v>0</v>
      </c>
      <c r="F197" s="199"/>
      <c r="G197" s="194"/>
      <c r="H197" s="188"/>
      <c r="I197" s="194"/>
    </row>
    <row r="198" spans="1:9">
      <c r="A198" s="240">
        <v>143</v>
      </c>
      <c r="B198" s="200">
        <f t="shared" si="10"/>
        <v>0</v>
      </c>
      <c r="C198" s="200">
        <f t="shared" si="11"/>
        <v>0</v>
      </c>
      <c r="D198" s="200">
        <f t="shared" si="12"/>
        <v>0</v>
      </c>
      <c r="E198" s="200">
        <f t="shared" si="13"/>
        <v>0</v>
      </c>
      <c r="F198" s="199"/>
      <c r="G198" s="194"/>
      <c r="H198" s="188"/>
      <c r="I198" s="194"/>
    </row>
    <row r="199" spans="1:9">
      <c r="A199" s="242">
        <v>144</v>
      </c>
      <c r="B199" s="200">
        <f t="shared" si="10"/>
        <v>0</v>
      </c>
      <c r="C199" s="200">
        <f t="shared" si="11"/>
        <v>0</v>
      </c>
      <c r="D199" s="200">
        <f t="shared" si="12"/>
        <v>0</v>
      </c>
      <c r="E199" s="200">
        <f t="shared" si="13"/>
        <v>0</v>
      </c>
      <c r="F199" s="201">
        <v>12</v>
      </c>
      <c r="G199" s="241"/>
      <c r="H199" s="208"/>
      <c r="I199" s="241"/>
    </row>
    <row r="200" spans="1:9">
      <c r="A200" s="240">
        <v>145</v>
      </c>
      <c r="B200" s="200">
        <f t="shared" si="10"/>
        <v>0</v>
      </c>
      <c r="C200" s="200">
        <f t="shared" si="11"/>
        <v>0</v>
      </c>
      <c r="D200" s="200">
        <f t="shared" si="12"/>
        <v>0</v>
      </c>
      <c r="E200" s="200">
        <f t="shared" si="13"/>
        <v>0</v>
      </c>
      <c r="F200" s="199"/>
      <c r="G200" s="194"/>
      <c r="H200" s="188"/>
      <c r="I200" s="241"/>
    </row>
    <row r="201" spans="1:9">
      <c r="A201" s="240">
        <v>146</v>
      </c>
      <c r="B201" s="200">
        <f t="shared" si="10"/>
        <v>0</v>
      </c>
      <c r="C201" s="200">
        <f t="shared" si="11"/>
        <v>0</v>
      </c>
      <c r="D201" s="200">
        <f t="shared" si="12"/>
        <v>0</v>
      </c>
      <c r="E201" s="200">
        <f t="shared" si="13"/>
        <v>0</v>
      </c>
      <c r="F201" s="199"/>
      <c r="G201" s="194"/>
      <c r="H201" s="188"/>
      <c r="I201" s="194"/>
    </row>
    <row r="202" spans="1:9">
      <c r="A202" s="240">
        <v>147</v>
      </c>
      <c r="B202" s="200">
        <f t="shared" si="10"/>
        <v>0</v>
      </c>
      <c r="C202" s="200">
        <f t="shared" si="11"/>
        <v>0</v>
      </c>
      <c r="D202" s="200">
        <f t="shared" si="12"/>
        <v>0</v>
      </c>
      <c r="E202" s="200">
        <f t="shared" si="13"/>
        <v>0</v>
      </c>
      <c r="F202" s="199"/>
      <c r="G202" s="194"/>
      <c r="H202" s="188"/>
      <c r="I202" s="194"/>
    </row>
    <row r="203" spans="1:9">
      <c r="A203" s="240">
        <v>148</v>
      </c>
      <c r="B203" s="200">
        <f t="shared" si="10"/>
        <v>0</v>
      </c>
      <c r="C203" s="200">
        <f t="shared" si="11"/>
        <v>0</v>
      </c>
      <c r="D203" s="200">
        <f t="shared" si="12"/>
        <v>0</v>
      </c>
      <c r="E203" s="200">
        <f t="shared" si="13"/>
        <v>0</v>
      </c>
      <c r="F203" s="199"/>
      <c r="G203" s="194"/>
      <c r="H203" s="188"/>
      <c r="I203" s="194"/>
    </row>
    <row r="204" spans="1:9">
      <c r="A204" s="240">
        <v>149</v>
      </c>
      <c r="B204" s="200">
        <f t="shared" si="10"/>
        <v>0</v>
      </c>
      <c r="C204" s="200">
        <f t="shared" si="11"/>
        <v>0</v>
      </c>
      <c r="D204" s="200">
        <f t="shared" si="12"/>
        <v>0</v>
      </c>
      <c r="E204" s="200">
        <f t="shared" si="13"/>
        <v>0</v>
      </c>
      <c r="F204" s="199"/>
      <c r="G204" s="194"/>
      <c r="H204" s="188"/>
      <c r="I204" s="194"/>
    </row>
    <row r="205" spans="1:9">
      <c r="A205" s="240">
        <v>150</v>
      </c>
      <c r="B205" s="200">
        <f t="shared" si="10"/>
        <v>0</v>
      </c>
      <c r="C205" s="200">
        <f t="shared" si="11"/>
        <v>0</v>
      </c>
      <c r="D205" s="200">
        <f t="shared" si="12"/>
        <v>0</v>
      </c>
      <c r="E205" s="200">
        <f t="shared" si="13"/>
        <v>0</v>
      </c>
      <c r="F205" s="199"/>
      <c r="G205" s="241"/>
      <c r="H205" s="208"/>
      <c r="I205" s="194"/>
    </row>
    <row r="206" spans="1:9">
      <c r="A206" s="240">
        <v>151</v>
      </c>
      <c r="B206" s="200">
        <f t="shared" si="10"/>
        <v>0</v>
      </c>
      <c r="C206" s="200">
        <f t="shared" si="11"/>
        <v>0</v>
      </c>
      <c r="D206" s="200">
        <f t="shared" si="12"/>
        <v>0</v>
      </c>
      <c r="E206" s="200">
        <f t="shared" si="13"/>
        <v>0</v>
      </c>
      <c r="F206" s="199"/>
      <c r="G206" s="194"/>
      <c r="H206" s="188"/>
      <c r="I206" s="194"/>
    </row>
    <row r="207" spans="1:9">
      <c r="A207" s="240">
        <v>152</v>
      </c>
      <c r="B207" s="200">
        <f t="shared" si="10"/>
        <v>0</v>
      </c>
      <c r="C207" s="200">
        <f t="shared" si="11"/>
        <v>0</v>
      </c>
      <c r="D207" s="200">
        <f t="shared" si="12"/>
        <v>0</v>
      </c>
      <c r="E207" s="200">
        <f t="shared" si="13"/>
        <v>0</v>
      </c>
      <c r="F207" s="199"/>
      <c r="G207" s="194"/>
      <c r="H207" s="188"/>
      <c r="I207" s="194"/>
    </row>
    <row r="208" spans="1:9">
      <c r="A208" s="240">
        <v>153</v>
      </c>
      <c r="B208" s="200">
        <f t="shared" si="10"/>
        <v>0</v>
      </c>
      <c r="C208" s="200">
        <f t="shared" si="11"/>
        <v>0</v>
      </c>
      <c r="D208" s="200">
        <f t="shared" si="12"/>
        <v>0</v>
      </c>
      <c r="E208" s="200">
        <f t="shared" si="13"/>
        <v>0</v>
      </c>
      <c r="F208" s="199"/>
      <c r="G208" s="194"/>
      <c r="H208" s="188"/>
      <c r="I208" s="194"/>
    </row>
    <row r="209" spans="1:9">
      <c r="A209" s="240">
        <v>154</v>
      </c>
      <c r="B209" s="200">
        <f t="shared" si="10"/>
        <v>0</v>
      </c>
      <c r="C209" s="200">
        <f t="shared" si="11"/>
        <v>0</v>
      </c>
      <c r="D209" s="200">
        <f t="shared" si="12"/>
        <v>0</v>
      </c>
      <c r="E209" s="200">
        <f t="shared" si="13"/>
        <v>0</v>
      </c>
      <c r="F209" s="199"/>
      <c r="G209" s="194"/>
      <c r="H209" s="188"/>
      <c r="I209" s="194"/>
    </row>
    <row r="210" spans="1:9">
      <c r="A210" s="240">
        <v>155</v>
      </c>
      <c r="B210" s="200">
        <f t="shared" si="10"/>
        <v>0</v>
      </c>
      <c r="C210" s="200">
        <f t="shared" si="11"/>
        <v>0</v>
      </c>
      <c r="D210" s="200">
        <f t="shared" si="12"/>
        <v>0</v>
      </c>
      <c r="E210" s="200">
        <f t="shared" si="13"/>
        <v>0</v>
      </c>
      <c r="F210" s="199"/>
      <c r="G210" s="194"/>
      <c r="H210" s="188"/>
      <c r="I210" s="194"/>
    </row>
    <row r="211" spans="1:9">
      <c r="A211" s="242">
        <v>156</v>
      </c>
      <c r="B211" s="200">
        <f t="shared" si="10"/>
        <v>0</v>
      </c>
      <c r="C211" s="200">
        <f t="shared" si="11"/>
        <v>0</v>
      </c>
      <c r="D211" s="200">
        <f t="shared" si="12"/>
        <v>0</v>
      </c>
      <c r="E211" s="200">
        <f t="shared" si="13"/>
        <v>0</v>
      </c>
      <c r="F211" s="201">
        <v>13</v>
      </c>
      <c r="G211" s="241"/>
      <c r="H211" s="208"/>
      <c r="I211" s="241"/>
    </row>
    <row r="212" spans="1:9">
      <c r="A212" s="240">
        <v>157</v>
      </c>
      <c r="B212" s="200">
        <f t="shared" si="10"/>
        <v>0</v>
      </c>
      <c r="C212" s="200">
        <f t="shared" si="11"/>
        <v>0</v>
      </c>
      <c r="D212" s="200">
        <f t="shared" si="12"/>
        <v>0</v>
      </c>
      <c r="E212" s="200">
        <f t="shared" si="13"/>
        <v>0</v>
      </c>
      <c r="F212" s="199"/>
      <c r="G212" s="194"/>
      <c r="H212" s="188"/>
      <c r="I212" s="241"/>
    </row>
    <row r="213" spans="1:9">
      <c r="A213" s="240">
        <v>158</v>
      </c>
      <c r="B213" s="200">
        <f t="shared" si="10"/>
        <v>0</v>
      </c>
      <c r="C213" s="200">
        <f t="shared" si="11"/>
        <v>0</v>
      </c>
      <c r="D213" s="200">
        <f t="shared" si="12"/>
        <v>0</v>
      </c>
      <c r="E213" s="200">
        <f t="shared" si="13"/>
        <v>0</v>
      </c>
      <c r="F213" s="199"/>
      <c r="G213" s="194"/>
      <c r="H213" s="188"/>
      <c r="I213" s="194"/>
    </row>
    <row r="214" spans="1:9">
      <c r="A214" s="240">
        <v>159</v>
      </c>
      <c r="B214" s="200">
        <f t="shared" si="10"/>
        <v>0</v>
      </c>
      <c r="C214" s="200">
        <f t="shared" si="11"/>
        <v>0</v>
      </c>
      <c r="D214" s="200">
        <f t="shared" si="12"/>
        <v>0</v>
      </c>
      <c r="E214" s="200">
        <f t="shared" si="13"/>
        <v>0</v>
      </c>
      <c r="F214" s="199"/>
      <c r="G214" s="194"/>
      <c r="H214" s="188"/>
      <c r="I214" s="194"/>
    </row>
    <row r="215" spans="1:9">
      <c r="A215" s="240">
        <v>160</v>
      </c>
      <c r="B215" s="200">
        <f t="shared" si="10"/>
        <v>0</v>
      </c>
      <c r="C215" s="200">
        <f t="shared" si="11"/>
        <v>0</v>
      </c>
      <c r="D215" s="200">
        <f t="shared" si="12"/>
        <v>0</v>
      </c>
      <c r="E215" s="200">
        <f t="shared" si="13"/>
        <v>0</v>
      </c>
      <c r="F215" s="199"/>
      <c r="G215" s="194"/>
      <c r="H215" s="188"/>
      <c r="I215" s="194"/>
    </row>
    <row r="216" spans="1:9">
      <c r="A216" s="240">
        <v>161</v>
      </c>
      <c r="B216" s="200">
        <f t="shared" si="10"/>
        <v>0</v>
      </c>
      <c r="C216" s="200">
        <f t="shared" si="11"/>
        <v>0</v>
      </c>
      <c r="D216" s="200">
        <f t="shared" si="12"/>
        <v>0</v>
      </c>
      <c r="E216" s="200">
        <f t="shared" si="13"/>
        <v>0</v>
      </c>
      <c r="F216" s="199"/>
      <c r="G216" s="194"/>
      <c r="H216" s="188"/>
      <c r="I216" s="194"/>
    </row>
    <row r="217" spans="1:9">
      <c r="A217" s="240">
        <v>162</v>
      </c>
      <c r="B217" s="200">
        <f t="shared" si="10"/>
        <v>0</v>
      </c>
      <c r="C217" s="200">
        <f t="shared" si="11"/>
        <v>0</v>
      </c>
      <c r="D217" s="200">
        <f t="shared" si="12"/>
        <v>0</v>
      </c>
      <c r="E217" s="200">
        <f t="shared" si="13"/>
        <v>0</v>
      </c>
      <c r="F217" s="199"/>
      <c r="G217" s="241"/>
      <c r="H217" s="208"/>
      <c r="I217" s="194"/>
    </row>
    <row r="218" spans="1:9">
      <c r="A218" s="240">
        <v>163</v>
      </c>
      <c r="B218" s="200">
        <f t="shared" si="10"/>
        <v>0</v>
      </c>
      <c r="C218" s="200">
        <f t="shared" si="11"/>
        <v>0</v>
      </c>
      <c r="D218" s="200">
        <f t="shared" si="12"/>
        <v>0</v>
      </c>
      <c r="E218" s="200">
        <f t="shared" si="13"/>
        <v>0</v>
      </c>
      <c r="F218" s="199"/>
      <c r="G218" s="194"/>
      <c r="H218" s="188"/>
      <c r="I218" s="194"/>
    </row>
    <row r="219" spans="1:9">
      <c r="A219" s="240">
        <v>164</v>
      </c>
      <c r="B219" s="200">
        <f t="shared" si="10"/>
        <v>0</v>
      </c>
      <c r="C219" s="200">
        <f t="shared" si="11"/>
        <v>0</v>
      </c>
      <c r="D219" s="200">
        <f t="shared" si="12"/>
        <v>0</v>
      </c>
      <c r="E219" s="200">
        <f t="shared" si="13"/>
        <v>0</v>
      </c>
      <c r="F219" s="199"/>
      <c r="G219" s="194"/>
      <c r="H219" s="188"/>
      <c r="I219" s="194"/>
    </row>
    <row r="220" spans="1:9">
      <c r="A220" s="240">
        <v>165</v>
      </c>
      <c r="B220" s="200">
        <f t="shared" si="10"/>
        <v>0</v>
      </c>
      <c r="C220" s="200">
        <f t="shared" si="11"/>
        <v>0</v>
      </c>
      <c r="D220" s="200">
        <f t="shared" si="12"/>
        <v>0</v>
      </c>
      <c r="E220" s="200">
        <f t="shared" si="13"/>
        <v>0</v>
      </c>
      <c r="F220" s="199"/>
      <c r="G220" s="194"/>
      <c r="H220" s="188"/>
      <c r="I220" s="194"/>
    </row>
    <row r="221" spans="1:9">
      <c r="A221" s="240">
        <v>166</v>
      </c>
      <c r="B221" s="200">
        <f t="shared" si="10"/>
        <v>0</v>
      </c>
      <c r="C221" s="200">
        <f t="shared" si="11"/>
        <v>0</v>
      </c>
      <c r="D221" s="200">
        <f t="shared" si="12"/>
        <v>0</v>
      </c>
      <c r="E221" s="200">
        <f t="shared" si="13"/>
        <v>0</v>
      </c>
      <c r="F221" s="199"/>
      <c r="G221" s="194"/>
      <c r="H221" s="188"/>
      <c r="I221" s="194"/>
    </row>
    <row r="222" spans="1:9">
      <c r="A222" s="240">
        <v>167</v>
      </c>
      <c r="B222" s="200">
        <f t="shared" si="10"/>
        <v>0</v>
      </c>
      <c r="C222" s="200">
        <f t="shared" si="11"/>
        <v>0</v>
      </c>
      <c r="D222" s="200">
        <f t="shared" si="12"/>
        <v>0</v>
      </c>
      <c r="E222" s="200">
        <f t="shared" si="13"/>
        <v>0</v>
      </c>
      <c r="F222" s="199"/>
      <c r="G222" s="194"/>
      <c r="H222" s="188"/>
      <c r="I222" s="194"/>
    </row>
    <row r="223" spans="1:9">
      <c r="A223" s="242">
        <v>168</v>
      </c>
      <c r="B223" s="200">
        <f t="shared" si="10"/>
        <v>0</v>
      </c>
      <c r="C223" s="200">
        <f t="shared" si="11"/>
        <v>0</v>
      </c>
      <c r="D223" s="200">
        <f t="shared" si="12"/>
        <v>0</v>
      </c>
      <c r="E223" s="200">
        <f t="shared" si="13"/>
        <v>0</v>
      </c>
      <c r="F223" s="201">
        <v>14</v>
      </c>
      <c r="G223" s="241"/>
      <c r="H223" s="208"/>
      <c r="I223" s="241"/>
    </row>
    <row r="224" spans="1:9">
      <c r="A224" s="240">
        <v>169</v>
      </c>
      <c r="B224" s="200">
        <f t="shared" si="10"/>
        <v>0</v>
      </c>
      <c r="C224" s="200">
        <f t="shared" si="11"/>
        <v>0</v>
      </c>
      <c r="D224" s="200">
        <f t="shared" si="12"/>
        <v>0</v>
      </c>
      <c r="E224" s="200">
        <f t="shared" si="13"/>
        <v>0</v>
      </c>
      <c r="F224" s="199"/>
      <c r="G224" s="194"/>
      <c r="H224" s="188"/>
      <c r="I224" s="241"/>
    </row>
    <row r="225" spans="1:9">
      <c r="A225" s="240">
        <v>170</v>
      </c>
      <c r="B225" s="200">
        <f t="shared" si="10"/>
        <v>0</v>
      </c>
      <c r="C225" s="200">
        <f t="shared" si="11"/>
        <v>0</v>
      </c>
      <c r="D225" s="200">
        <f t="shared" si="12"/>
        <v>0</v>
      </c>
      <c r="E225" s="200">
        <f t="shared" si="13"/>
        <v>0</v>
      </c>
      <c r="F225" s="199"/>
      <c r="G225" s="194"/>
      <c r="H225" s="188"/>
      <c r="I225" s="194"/>
    </row>
    <row r="226" spans="1:9">
      <c r="A226" s="240">
        <v>171</v>
      </c>
      <c r="B226" s="200">
        <f t="shared" si="10"/>
        <v>0</v>
      </c>
      <c r="C226" s="200">
        <f t="shared" si="11"/>
        <v>0</v>
      </c>
      <c r="D226" s="200">
        <f t="shared" si="12"/>
        <v>0</v>
      </c>
      <c r="E226" s="200">
        <f t="shared" si="13"/>
        <v>0</v>
      </c>
      <c r="F226" s="199"/>
      <c r="G226" s="194"/>
      <c r="H226" s="188"/>
      <c r="I226" s="194"/>
    </row>
    <row r="227" spans="1:9">
      <c r="A227" s="240">
        <v>172</v>
      </c>
      <c r="B227" s="200">
        <f t="shared" si="10"/>
        <v>0</v>
      </c>
      <c r="C227" s="200">
        <f t="shared" si="11"/>
        <v>0</v>
      </c>
      <c r="D227" s="200">
        <f t="shared" si="12"/>
        <v>0</v>
      </c>
      <c r="E227" s="200">
        <f t="shared" si="13"/>
        <v>0</v>
      </c>
      <c r="F227" s="199"/>
      <c r="G227" s="194"/>
      <c r="H227" s="188"/>
      <c r="I227" s="194"/>
    </row>
    <row r="228" spans="1:9">
      <c r="A228" s="240">
        <v>173</v>
      </c>
      <c r="B228" s="200">
        <f t="shared" si="10"/>
        <v>0</v>
      </c>
      <c r="C228" s="200">
        <f t="shared" si="11"/>
        <v>0</v>
      </c>
      <c r="D228" s="200">
        <f t="shared" si="12"/>
        <v>0</v>
      </c>
      <c r="E228" s="200">
        <f t="shared" si="13"/>
        <v>0</v>
      </c>
      <c r="F228" s="199"/>
      <c r="G228" s="194"/>
      <c r="H228" s="188"/>
      <c r="I228" s="194"/>
    </row>
    <row r="229" spans="1:9">
      <c r="A229" s="240">
        <v>174</v>
      </c>
      <c r="B229" s="200">
        <f t="shared" si="10"/>
        <v>0</v>
      </c>
      <c r="C229" s="200">
        <f t="shared" si="11"/>
        <v>0</v>
      </c>
      <c r="D229" s="200">
        <f t="shared" si="12"/>
        <v>0</v>
      </c>
      <c r="E229" s="200">
        <f t="shared" si="13"/>
        <v>0</v>
      </c>
      <c r="F229" s="199"/>
      <c r="G229" s="241"/>
      <c r="H229" s="208"/>
      <c r="I229" s="194"/>
    </row>
    <row r="230" spans="1:9">
      <c r="A230" s="240">
        <v>175</v>
      </c>
      <c r="B230" s="200">
        <f t="shared" si="10"/>
        <v>0</v>
      </c>
      <c r="C230" s="200">
        <f t="shared" si="11"/>
        <v>0</v>
      </c>
      <c r="D230" s="200">
        <f t="shared" si="12"/>
        <v>0</v>
      </c>
      <c r="E230" s="200">
        <f t="shared" si="13"/>
        <v>0</v>
      </c>
      <c r="F230" s="199"/>
      <c r="G230" s="194"/>
      <c r="H230" s="188"/>
      <c r="I230" s="194"/>
    </row>
    <row r="231" spans="1:9">
      <c r="A231" s="240">
        <v>176</v>
      </c>
      <c r="B231" s="200">
        <f t="shared" si="10"/>
        <v>0</v>
      </c>
      <c r="C231" s="200">
        <f t="shared" si="11"/>
        <v>0</v>
      </c>
      <c r="D231" s="200">
        <f t="shared" si="12"/>
        <v>0</v>
      </c>
      <c r="E231" s="200">
        <f t="shared" si="13"/>
        <v>0</v>
      </c>
      <c r="F231" s="199"/>
      <c r="G231" s="194"/>
      <c r="H231" s="188"/>
      <c r="I231" s="194"/>
    </row>
    <row r="232" spans="1:9">
      <c r="A232" s="240">
        <v>177</v>
      </c>
      <c r="B232" s="200">
        <f t="shared" si="10"/>
        <v>0</v>
      </c>
      <c r="C232" s="200">
        <f t="shared" si="11"/>
        <v>0</v>
      </c>
      <c r="D232" s="200">
        <f t="shared" si="12"/>
        <v>0</v>
      </c>
      <c r="E232" s="200">
        <f t="shared" si="13"/>
        <v>0</v>
      </c>
      <c r="F232" s="199"/>
      <c r="G232" s="194"/>
      <c r="H232" s="188"/>
      <c r="I232" s="194"/>
    </row>
    <row r="233" spans="1:9">
      <c r="A233" s="240">
        <v>178</v>
      </c>
      <c r="B233" s="200">
        <f t="shared" si="10"/>
        <v>0</v>
      </c>
      <c r="C233" s="200">
        <f t="shared" si="11"/>
        <v>0</v>
      </c>
      <c r="D233" s="200">
        <f t="shared" si="12"/>
        <v>0</v>
      </c>
      <c r="E233" s="200">
        <f t="shared" si="13"/>
        <v>0</v>
      </c>
      <c r="F233" s="199"/>
      <c r="G233" s="194"/>
      <c r="H233" s="188"/>
      <c r="I233" s="194"/>
    </row>
    <row r="234" spans="1:9">
      <c r="A234" s="240">
        <v>179</v>
      </c>
      <c r="B234" s="200">
        <f t="shared" si="10"/>
        <v>0</v>
      </c>
      <c r="C234" s="200">
        <f t="shared" si="11"/>
        <v>0</v>
      </c>
      <c r="D234" s="200">
        <f t="shared" si="12"/>
        <v>0</v>
      </c>
      <c r="E234" s="200">
        <f t="shared" si="13"/>
        <v>0</v>
      </c>
      <c r="F234" s="199"/>
      <c r="G234" s="194"/>
      <c r="H234" s="188"/>
      <c r="I234" s="194"/>
    </row>
    <row r="235" spans="1:9">
      <c r="A235" s="242">
        <v>180</v>
      </c>
      <c r="B235" s="200">
        <f t="shared" si="10"/>
        <v>0</v>
      </c>
      <c r="C235" s="200">
        <f t="shared" si="11"/>
        <v>0</v>
      </c>
      <c r="D235" s="200">
        <f t="shared" si="12"/>
        <v>0</v>
      </c>
      <c r="E235" s="200">
        <f t="shared" si="13"/>
        <v>0</v>
      </c>
      <c r="F235" s="201">
        <v>15</v>
      </c>
      <c r="G235" s="241"/>
      <c r="H235" s="208"/>
      <c r="I235" s="241"/>
    </row>
    <row r="236" spans="1:9">
      <c r="A236" s="240">
        <v>181</v>
      </c>
      <c r="B236" s="200">
        <f t="shared" si="10"/>
        <v>0</v>
      </c>
      <c r="C236" s="200">
        <f t="shared" si="11"/>
        <v>0</v>
      </c>
      <c r="D236" s="200">
        <f t="shared" si="12"/>
        <v>0</v>
      </c>
      <c r="E236" s="200">
        <f t="shared" si="13"/>
        <v>0</v>
      </c>
      <c r="F236" s="199"/>
      <c r="G236" s="194"/>
      <c r="H236" s="188"/>
      <c r="I236" s="241"/>
    </row>
    <row r="237" spans="1:9">
      <c r="A237" s="242">
        <v>182</v>
      </c>
      <c r="B237" s="200">
        <f t="shared" si="10"/>
        <v>0</v>
      </c>
      <c r="C237" s="200">
        <f t="shared" si="11"/>
        <v>0</v>
      </c>
      <c r="D237" s="200">
        <f t="shared" si="12"/>
        <v>0</v>
      </c>
      <c r="E237" s="200">
        <f t="shared" si="13"/>
        <v>0</v>
      </c>
      <c r="F237" s="199"/>
      <c r="G237" s="194"/>
      <c r="H237" s="188"/>
      <c r="I237" s="194"/>
    </row>
    <row r="238" spans="1:9">
      <c r="A238" s="242">
        <v>183</v>
      </c>
      <c r="B238" s="200">
        <f t="shared" si="10"/>
        <v>0</v>
      </c>
      <c r="C238" s="200">
        <f t="shared" si="11"/>
        <v>0</v>
      </c>
      <c r="D238" s="200">
        <f t="shared" si="12"/>
        <v>0</v>
      </c>
      <c r="E238" s="200">
        <f t="shared" si="13"/>
        <v>0</v>
      </c>
      <c r="F238" s="199"/>
      <c r="G238" s="194"/>
      <c r="H238" s="188"/>
      <c r="I238" s="194"/>
    </row>
    <row r="239" spans="1:9">
      <c r="A239" s="242">
        <v>184</v>
      </c>
      <c r="B239" s="200">
        <f t="shared" si="10"/>
        <v>0</v>
      </c>
      <c r="C239" s="200">
        <f t="shared" si="11"/>
        <v>0</v>
      </c>
      <c r="D239" s="200">
        <f t="shared" si="12"/>
        <v>0</v>
      </c>
      <c r="E239" s="200">
        <f t="shared" si="13"/>
        <v>0</v>
      </c>
      <c r="F239" s="199"/>
      <c r="G239" s="194"/>
      <c r="H239" s="188"/>
      <c r="I239" s="194"/>
    </row>
    <row r="240" spans="1:9">
      <c r="A240" s="242">
        <v>185</v>
      </c>
      <c r="B240" s="200">
        <f t="shared" si="10"/>
        <v>0</v>
      </c>
      <c r="C240" s="200">
        <f t="shared" si="11"/>
        <v>0</v>
      </c>
      <c r="D240" s="200">
        <f t="shared" si="12"/>
        <v>0</v>
      </c>
      <c r="E240" s="200">
        <f t="shared" si="13"/>
        <v>0</v>
      </c>
      <c r="F240" s="199"/>
      <c r="G240" s="194"/>
      <c r="H240" s="188"/>
      <c r="I240" s="194"/>
    </row>
    <row r="241" spans="1:9">
      <c r="A241" s="242">
        <v>186</v>
      </c>
      <c r="B241" s="200">
        <f t="shared" si="10"/>
        <v>0</v>
      </c>
      <c r="C241" s="200">
        <f t="shared" si="11"/>
        <v>0</v>
      </c>
      <c r="D241" s="200">
        <f t="shared" si="12"/>
        <v>0</v>
      </c>
      <c r="E241" s="200">
        <f t="shared" si="13"/>
        <v>0</v>
      </c>
      <c r="F241" s="199"/>
      <c r="G241" s="241"/>
      <c r="H241" s="208"/>
      <c r="I241" s="194"/>
    </row>
    <row r="242" spans="1:9">
      <c r="A242" s="242">
        <v>187</v>
      </c>
      <c r="B242" s="200">
        <f t="shared" si="10"/>
        <v>0</v>
      </c>
      <c r="C242" s="200">
        <f t="shared" si="11"/>
        <v>0</v>
      </c>
      <c r="D242" s="200">
        <f t="shared" si="12"/>
        <v>0</v>
      </c>
      <c r="E242" s="200">
        <f t="shared" si="13"/>
        <v>0</v>
      </c>
      <c r="F242" s="199"/>
      <c r="G242" s="194"/>
      <c r="H242" s="188"/>
      <c r="I242" s="194"/>
    </row>
    <row r="243" spans="1:9">
      <c r="A243" s="242">
        <v>188</v>
      </c>
      <c r="B243" s="200">
        <f t="shared" si="10"/>
        <v>0</v>
      </c>
      <c r="C243" s="200">
        <f t="shared" si="11"/>
        <v>0</v>
      </c>
      <c r="D243" s="200">
        <f t="shared" si="12"/>
        <v>0</v>
      </c>
      <c r="E243" s="200">
        <f t="shared" si="13"/>
        <v>0</v>
      </c>
      <c r="F243" s="199"/>
      <c r="G243" s="194"/>
      <c r="H243" s="188"/>
      <c r="I243" s="194"/>
    </row>
    <row r="244" spans="1:9">
      <c r="A244" s="242">
        <v>189</v>
      </c>
      <c r="B244" s="200">
        <f t="shared" si="10"/>
        <v>0</v>
      </c>
      <c r="C244" s="200">
        <f t="shared" si="11"/>
        <v>0</v>
      </c>
      <c r="D244" s="200">
        <f t="shared" si="12"/>
        <v>0</v>
      </c>
      <c r="E244" s="200">
        <f t="shared" si="13"/>
        <v>0</v>
      </c>
      <c r="F244" s="199"/>
      <c r="G244" s="194"/>
      <c r="H244" s="188"/>
      <c r="I244" s="194"/>
    </row>
    <row r="245" spans="1:9">
      <c r="A245" s="242">
        <v>190</v>
      </c>
      <c r="B245" s="200">
        <f t="shared" si="10"/>
        <v>0</v>
      </c>
      <c r="C245" s="200">
        <f t="shared" si="11"/>
        <v>0</v>
      </c>
      <c r="D245" s="200">
        <f t="shared" si="12"/>
        <v>0</v>
      </c>
      <c r="E245" s="200">
        <f t="shared" si="13"/>
        <v>0</v>
      </c>
      <c r="F245" s="199"/>
      <c r="G245" s="194"/>
      <c r="H245" s="188"/>
      <c r="I245" s="194"/>
    </row>
    <row r="246" spans="1:9">
      <c r="A246" s="242">
        <v>191</v>
      </c>
      <c r="B246" s="200">
        <f t="shared" si="10"/>
        <v>0</v>
      </c>
      <c r="C246" s="200">
        <f t="shared" si="11"/>
        <v>0</v>
      </c>
      <c r="D246" s="200">
        <f t="shared" si="12"/>
        <v>0</v>
      </c>
      <c r="E246" s="200">
        <f t="shared" si="13"/>
        <v>0</v>
      </c>
      <c r="F246" s="199"/>
      <c r="G246" s="194"/>
      <c r="H246" s="188"/>
      <c r="I246" s="194"/>
    </row>
    <row r="247" spans="1:9">
      <c r="A247" s="242">
        <v>192</v>
      </c>
      <c r="B247" s="200">
        <f t="shared" si="10"/>
        <v>0</v>
      </c>
      <c r="C247" s="200">
        <f t="shared" si="11"/>
        <v>0</v>
      </c>
      <c r="D247" s="200">
        <f t="shared" si="12"/>
        <v>0</v>
      </c>
      <c r="E247" s="200">
        <f t="shared" si="13"/>
        <v>0</v>
      </c>
      <c r="F247" s="199">
        <v>16</v>
      </c>
      <c r="G247" s="241"/>
      <c r="H247" s="208"/>
      <c r="I247" s="241"/>
    </row>
    <row r="248" spans="1:9">
      <c r="A248" s="242">
        <v>193</v>
      </c>
      <c r="B248" s="200">
        <f t="shared" ref="B248:B311" si="14">IF(A248&gt;12*$D$14,0,$D$20)</f>
        <v>0</v>
      </c>
      <c r="C248" s="200">
        <f t="shared" ref="C248:C311" si="15">IF(A248&gt;12*$D$14,0,E247*$D$10/12)</f>
        <v>0</v>
      </c>
      <c r="D248" s="200">
        <f t="shared" ref="D248:D311" si="16">IF(A248&gt;12*$D$14,0,B248-C248)</f>
        <v>0</v>
      </c>
      <c r="E248" s="200">
        <f t="shared" ref="E248:E311" si="17">IF(A248&gt;12*$D$14,0,E247-D248)</f>
        <v>0</v>
      </c>
      <c r="F248" s="199"/>
      <c r="G248" s="194"/>
      <c r="H248" s="188"/>
      <c r="I248" s="241"/>
    </row>
    <row r="249" spans="1:9">
      <c r="A249" s="242">
        <v>194</v>
      </c>
      <c r="B249" s="200">
        <f t="shared" si="14"/>
        <v>0</v>
      </c>
      <c r="C249" s="200">
        <f t="shared" si="15"/>
        <v>0</v>
      </c>
      <c r="D249" s="200">
        <f t="shared" si="16"/>
        <v>0</v>
      </c>
      <c r="E249" s="200">
        <f t="shared" si="17"/>
        <v>0</v>
      </c>
      <c r="F249" s="199"/>
      <c r="G249" s="194"/>
      <c r="H249" s="188"/>
      <c r="I249" s="194"/>
    </row>
    <row r="250" spans="1:9">
      <c r="A250" s="242">
        <v>195</v>
      </c>
      <c r="B250" s="200">
        <f t="shared" si="14"/>
        <v>0</v>
      </c>
      <c r="C250" s="200">
        <f t="shared" si="15"/>
        <v>0</v>
      </c>
      <c r="D250" s="200">
        <f t="shared" si="16"/>
        <v>0</v>
      </c>
      <c r="E250" s="200">
        <f t="shared" si="17"/>
        <v>0</v>
      </c>
      <c r="F250" s="199"/>
      <c r="G250" s="194"/>
      <c r="H250" s="188"/>
      <c r="I250" s="194"/>
    </row>
    <row r="251" spans="1:9">
      <c r="A251" s="242">
        <v>196</v>
      </c>
      <c r="B251" s="200">
        <f t="shared" si="14"/>
        <v>0</v>
      </c>
      <c r="C251" s="200">
        <f t="shared" si="15"/>
        <v>0</v>
      </c>
      <c r="D251" s="200">
        <f t="shared" si="16"/>
        <v>0</v>
      </c>
      <c r="E251" s="200">
        <f t="shared" si="17"/>
        <v>0</v>
      </c>
      <c r="F251" s="199"/>
      <c r="G251" s="194"/>
      <c r="H251" s="188"/>
      <c r="I251" s="194"/>
    </row>
    <row r="252" spans="1:9">
      <c r="A252" s="242">
        <v>197</v>
      </c>
      <c r="B252" s="200">
        <f t="shared" si="14"/>
        <v>0</v>
      </c>
      <c r="C252" s="200">
        <f t="shared" si="15"/>
        <v>0</v>
      </c>
      <c r="D252" s="200">
        <f t="shared" si="16"/>
        <v>0</v>
      </c>
      <c r="E252" s="200">
        <f t="shared" si="17"/>
        <v>0</v>
      </c>
      <c r="F252" s="199"/>
      <c r="G252" s="194"/>
      <c r="H252" s="188"/>
      <c r="I252" s="194"/>
    </row>
    <row r="253" spans="1:9">
      <c r="A253" s="242">
        <v>198</v>
      </c>
      <c r="B253" s="200">
        <f t="shared" si="14"/>
        <v>0</v>
      </c>
      <c r="C253" s="200">
        <f t="shared" si="15"/>
        <v>0</v>
      </c>
      <c r="D253" s="200">
        <f t="shared" si="16"/>
        <v>0</v>
      </c>
      <c r="E253" s="200">
        <f t="shared" si="17"/>
        <v>0</v>
      </c>
      <c r="F253" s="199"/>
      <c r="G253" s="241"/>
      <c r="H253" s="208"/>
      <c r="I253" s="194"/>
    </row>
    <row r="254" spans="1:9">
      <c r="A254" s="242">
        <v>199</v>
      </c>
      <c r="B254" s="200">
        <f t="shared" si="14"/>
        <v>0</v>
      </c>
      <c r="C254" s="200">
        <f t="shared" si="15"/>
        <v>0</v>
      </c>
      <c r="D254" s="200">
        <f t="shared" si="16"/>
        <v>0</v>
      </c>
      <c r="E254" s="200">
        <f t="shared" si="17"/>
        <v>0</v>
      </c>
      <c r="F254" s="199"/>
      <c r="G254" s="194"/>
      <c r="H254" s="188"/>
      <c r="I254" s="194"/>
    </row>
    <row r="255" spans="1:9">
      <c r="A255" s="242">
        <v>200</v>
      </c>
      <c r="B255" s="200">
        <f t="shared" si="14"/>
        <v>0</v>
      </c>
      <c r="C255" s="200">
        <f t="shared" si="15"/>
        <v>0</v>
      </c>
      <c r="D255" s="200">
        <f t="shared" si="16"/>
        <v>0</v>
      </c>
      <c r="E255" s="200">
        <f t="shared" si="17"/>
        <v>0</v>
      </c>
      <c r="F255" s="199"/>
      <c r="G255" s="194"/>
      <c r="H255" s="188"/>
      <c r="I255" s="194"/>
    </row>
    <row r="256" spans="1:9">
      <c r="A256" s="242">
        <v>201</v>
      </c>
      <c r="B256" s="200">
        <f t="shared" si="14"/>
        <v>0</v>
      </c>
      <c r="C256" s="200">
        <f t="shared" si="15"/>
        <v>0</v>
      </c>
      <c r="D256" s="200">
        <f t="shared" si="16"/>
        <v>0</v>
      </c>
      <c r="E256" s="200">
        <f t="shared" si="17"/>
        <v>0</v>
      </c>
      <c r="F256" s="199"/>
      <c r="G256" s="194"/>
      <c r="H256" s="188"/>
      <c r="I256" s="194"/>
    </row>
    <row r="257" spans="1:9">
      <c r="A257" s="242">
        <v>202</v>
      </c>
      <c r="B257" s="200">
        <f t="shared" si="14"/>
        <v>0</v>
      </c>
      <c r="C257" s="200">
        <f t="shared" si="15"/>
        <v>0</v>
      </c>
      <c r="D257" s="200">
        <f t="shared" si="16"/>
        <v>0</v>
      </c>
      <c r="E257" s="200">
        <f t="shared" si="17"/>
        <v>0</v>
      </c>
      <c r="F257" s="199"/>
      <c r="G257" s="194"/>
      <c r="H257" s="188"/>
      <c r="I257" s="194"/>
    </row>
    <row r="258" spans="1:9">
      <c r="A258" s="242">
        <v>203</v>
      </c>
      <c r="B258" s="200">
        <f t="shared" si="14"/>
        <v>0</v>
      </c>
      <c r="C258" s="200">
        <f t="shared" si="15"/>
        <v>0</v>
      </c>
      <c r="D258" s="200">
        <f t="shared" si="16"/>
        <v>0</v>
      </c>
      <c r="E258" s="200">
        <f t="shared" si="17"/>
        <v>0</v>
      </c>
      <c r="F258" s="199"/>
      <c r="G258" s="194"/>
      <c r="H258" s="188"/>
      <c r="I258" s="194"/>
    </row>
    <row r="259" spans="1:9">
      <c r="A259" s="242">
        <v>204</v>
      </c>
      <c r="B259" s="200">
        <f t="shared" si="14"/>
        <v>0</v>
      </c>
      <c r="C259" s="200">
        <f t="shared" si="15"/>
        <v>0</v>
      </c>
      <c r="D259" s="200">
        <f t="shared" si="16"/>
        <v>0</v>
      </c>
      <c r="E259" s="200">
        <f t="shared" si="17"/>
        <v>0</v>
      </c>
      <c r="F259" s="199">
        <v>17</v>
      </c>
      <c r="G259" s="241"/>
      <c r="H259" s="208"/>
      <c r="I259" s="241"/>
    </row>
    <row r="260" spans="1:9">
      <c r="A260" s="242">
        <v>205</v>
      </c>
      <c r="B260" s="200">
        <f t="shared" si="14"/>
        <v>0</v>
      </c>
      <c r="C260" s="200">
        <f t="shared" si="15"/>
        <v>0</v>
      </c>
      <c r="D260" s="200">
        <f t="shared" si="16"/>
        <v>0</v>
      </c>
      <c r="E260" s="200">
        <f t="shared" si="17"/>
        <v>0</v>
      </c>
      <c r="F260" s="199"/>
      <c r="G260" s="194"/>
      <c r="H260" s="188"/>
      <c r="I260" s="241"/>
    </row>
    <row r="261" spans="1:9">
      <c r="A261" s="242">
        <v>206</v>
      </c>
      <c r="B261" s="200">
        <f t="shared" si="14"/>
        <v>0</v>
      </c>
      <c r="C261" s="200">
        <f t="shared" si="15"/>
        <v>0</v>
      </c>
      <c r="D261" s="200">
        <f t="shared" si="16"/>
        <v>0</v>
      </c>
      <c r="E261" s="200">
        <f t="shared" si="17"/>
        <v>0</v>
      </c>
      <c r="F261" s="199"/>
      <c r="G261" s="194"/>
      <c r="H261" s="188"/>
      <c r="I261" s="194"/>
    </row>
    <row r="262" spans="1:9">
      <c r="A262" s="242">
        <v>207</v>
      </c>
      <c r="B262" s="200">
        <f t="shared" si="14"/>
        <v>0</v>
      </c>
      <c r="C262" s="200">
        <f t="shared" si="15"/>
        <v>0</v>
      </c>
      <c r="D262" s="200">
        <f t="shared" si="16"/>
        <v>0</v>
      </c>
      <c r="E262" s="200">
        <f t="shared" si="17"/>
        <v>0</v>
      </c>
      <c r="F262" s="199"/>
      <c r="G262" s="194"/>
      <c r="H262" s="188"/>
      <c r="I262" s="194"/>
    </row>
    <row r="263" spans="1:9">
      <c r="A263" s="242">
        <v>208</v>
      </c>
      <c r="B263" s="200">
        <f t="shared" si="14"/>
        <v>0</v>
      </c>
      <c r="C263" s="200">
        <f t="shared" si="15"/>
        <v>0</v>
      </c>
      <c r="D263" s="200">
        <f t="shared" si="16"/>
        <v>0</v>
      </c>
      <c r="E263" s="200">
        <f t="shared" si="17"/>
        <v>0</v>
      </c>
      <c r="F263" s="199"/>
      <c r="G263" s="194"/>
      <c r="H263" s="188"/>
      <c r="I263" s="194"/>
    </row>
    <row r="264" spans="1:9">
      <c r="A264" s="242">
        <v>209</v>
      </c>
      <c r="B264" s="200">
        <f t="shared" si="14"/>
        <v>0</v>
      </c>
      <c r="C264" s="200">
        <f t="shared" si="15"/>
        <v>0</v>
      </c>
      <c r="D264" s="200">
        <f t="shared" si="16"/>
        <v>0</v>
      </c>
      <c r="E264" s="200">
        <f t="shared" si="17"/>
        <v>0</v>
      </c>
      <c r="F264" s="199"/>
      <c r="G264" s="194"/>
      <c r="H264" s="188"/>
      <c r="I264" s="194"/>
    </row>
    <row r="265" spans="1:9">
      <c r="A265" s="242">
        <v>210</v>
      </c>
      <c r="B265" s="200">
        <f t="shared" si="14"/>
        <v>0</v>
      </c>
      <c r="C265" s="200">
        <f t="shared" si="15"/>
        <v>0</v>
      </c>
      <c r="D265" s="200">
        <f t="shared" si="16"/>
        <v>0</v>
      </c>
      <c r="E265" s="200">
        <f t="shared" si="17"/>
        <v>0</v>
      </c>
      <c r="F265" s="199"/>
      <c r="G265" s="241"/>
      <c r="H265" s="208"/>
      <c r="I265" s="194"/>
    </row>
    <row r="266" spans="1:9">
      <c r="A266" s="242">
        <v>211</v>
      </c>
      <c r="B266" s="200">
        <f t="shared" si="14"/>
        <v>0</v>
      </c>
      <c r="C266" s="200">
        <f t="shared" si="15"/>
        <v>0</v>
      </c>
      <c r="D266" s="200">
        <f t="shared" si="16"/>
        <v>0</v>
      </c>
      <c r="E266" s="200">
        <f t="shared" si="17"/>
        <v>0</v>
      </c>
      <c r="F266" s="199"/>
      <c r="G266" s="194"/>
      <c r="H266" s="188"/>
      <c r="I266" s="194"/>
    </row>
    <row r="267" spans="1:9">
      <c r="A267" s="242">
        <v>212</v>
      </c>
      <c r="B267" s="200">
        <f t="shared" si="14"/>
        <v>0</v>
      </c>
      <c r="C267" s="200">
        <f t="shared" si="15"/>
        <v>0</v>
      </c>
      <c r="D267" s="200">
        <f t="shared" si="16"/>
        <v>0</v>
      </c>
      <c r="E267" s="200">
        <f t="shared" si="17"/>
        <v>0</v>
      </c>
      <c r="F267" s="199"/>
      <c r="G267" s="194"/>
      <c r="H267" s="188"/>
      <c r="I267" s="194"/>
    </row>
    <row r="268" spans="1:9">
      <c r="A268" s="242">
        <v>213</v>
      </c>
      <c r="B268" s="200">
        <f t="shared" si="14"/>
        <v>0</v>
      </c>
      <c r="C268" s="200">
        <f t="shared" si="15"/>
        <v>0</v>
      </c>
      <c r="D268" s="200">
        <f t="shared" si="16"/>
        <v>0</v>
      </c>
      <c r="E268" s="200">
        <f t="shared" si="17"/>
        <v>0</v>
      </c>
      <c r="F268" s="199"/>
      <c r="G268" s="194"/>
      <c r="H268" s="188"/>
      <c r="I268" s="194"/>
    </row>
    <row r="269" spans="1:9">
      <c r="A269" s="242">
        <v>214</v>
      </c>
      <c r="B269" s="200">
        <f t="shared" si="14"/>
        <v>0</v>
      </c>
      <c r="C269" s="200">
        <f t="shared" si="15"/>
        <v>0</v>
      </c>
      <c r="D269" s="200">
        <f t="shared" si="16"/>
        <v>0</v>
      </c>
      <c r="E269" s="200">
        <f t="shared" si="17"/>
        <v>0</v>
      </c>
      <c r="F269" s="199"/>
      <c r="G269" s="194"/>
      <c r="H269" s="188"/>
      <c r="I269" s="194"/>
    </row>
    <row r="270" spans="1:9">
      <c r="A270" s="242">
        <v>215</v>
      </c>
      <c r="B270" s="200">
        <f t="shared" si="14"/>
        <v>0</v>
      </c>
      <c r="C270" s="200">
        <f t="shared" si="15"/>
        <v>0</v>
      </c>
      <c r="D270" s="200">
        <f t="shared" si="16"/>
        <v>0</v>
      </c>
      <c r="E270" s="200">
        <f t="shared" si="17"/>
        <v>0</v>
      </c>
      <c r="F270" s="199"/>
      <c r="G270" s="194"/>
      <c r="H270" s="188"/>
      <c r="I270" s="194"/>
    </row>
    <row r="271" spans="1:9">
      <c r="A271" s="242">
        <v>216</v>
      </c>
      <c r="B271" s="200">
        <f t="shared" si="14"/>
        <v>0</v>
      </c>
      <c r="C271" s="200">
        <f t="shared" si="15"/>
        <v>0</v>
      </c>
      <c r="D271" s="200">
        <f t="shared" si="16"/>
        <v>0</v>
      </c>
      <c r="E271" s="200">
        <f t="shared" si="17"/>
        <v>0</v>
      </c>
      <c r="F271" s="199">
        <v>18</v>
      </c>
      <c r="G271" s="241"/>
      <c r="H271" s="208"/>
      <c r="I271" s="241"/>
    </row>
    <row r="272" spans="1:9">
      <c r="A272" s="242">
        <v>217</v>
      </c>
      <c r="B272" s="200">
        <f t="shared" si="14"/>
        <v>0</v>
      </c>
      <c r="C272" s="200">
        <f t="shared" si="15"/>
        <v>0</v>
      </c>
      <c r="D272" s="200">
        <f t="shared" si="16"/>
        <v>0</v>
      </c>
      <c r="E272" s="200">
        <f t="shared" si="17"/>
        <v>0</v>
      </c>
      <c r="F272" s="199"/>
      <c r="G272" s="194"/>
      <c r="H272" s="188"/>
      <c r="I272" s="241"/>
    </row>
    <row r="273" spans="1:9">
      <c r="A273" s="242">
        <v>218</v>
      </c>
      <c r="B273" s="200">
        <f t="shared" si="14"/>
        <v>0</v>
      </c>
      <c r="C273" s="200">
        <f t="shared" si="15"/>
        <v>0</v>
      </c>
      <c r="D273" s="200">
        <f t="shared" si="16"/>
        <v>0</v>
      </c>
      <c r="E273" s="200">
        <f t="shared" si="17"/>
        <v>0</v>
      </c>
      <c r="F273" s="199"/>
      <c r="G273" s="194"/>
      <c r="H273" s="188"/>
      <c r="I273" s="194"/>
    </row>
    <row r="274" spans="1:9">
      <c r="A274" s="242">
        <v>219</v>
      </c>
      <c r="B274" s="200">
        <f t="shared" si="14"/>
        <v>0</v>
      </c>
      <c r="C274" s="200">
        <f t="shared" si="15"/>
        <v>0</v>
      </c>
      <c r="D274" s="200">
        <f t="shared" si="16"/>
        <v>0</v>
      </c>
      <c r="E274" s="200">
        <f t="shared" si="17"/>
        <v>0</v>
      </c>
      <c r="F274" s="199"/>
      <c r="G274" s="194"/>
      <c r="H274" s="188"/>
      <c r="I274" s="194"/>
    </row>
    <row r="275" spans="1:9">
      <c r="A275" s="242">
        <v>220</v>
      </c>
      <c r="B275" s="200">
        <f t="shared" si="14"/>
        <v>0</v>
      </c>
      <c r="C275" s="200">
        <f t="shared" si="15"/>
        <v>0</v>
      </c>
      <c r="D275" s="200">
        <f t="shared" si="16"/>
        <v>0</v>
      </c>
      <c r="E275" s="200">
        <f t="shared" si="17"/>
        <v>0</v>
      </c>
      <c r="F275" s="199"/>
      <c r="G275" s="194"/>
      <c r="H275" s="188"/>
      <c r="I275" s="194"/>
    </row>
    <row r="276" spans="1:9">
      <c r="A276" s="242">
        <v>221</v>
      </c>
      <c r="B276" s="200">
        <f t="shared" si="14"/>
        <v>0</v>
      </c>
      <c r="C276" s="200">
        <f t="shared" si="15"/>
        <v>0</v>
      </c>
      <c r="D276" s="200">
        <f t="shared" si="16"/>
        <v>0</v>
      </c>
      <c r="E276" s="200">
        <f t="shared" si="17"/>
        <v>0</v>
      </c>
      <c r="F276" s="199"/>
      <c r="G276" s="194"/>
      <c r="H276" s="188"/>
      <c r="I276" s="194"/>
    </row>
    <row r="277" spans="1:9">
      <c r="A277" s="242">
        <v>222</v>
      </c>
      <c r="B277" s="200">
        <f t="shared" si="14"/>
        <v>0</v>
      </c>
      <c r="C277" s="200">
        <f t="shared" si="15"/>
        <v>0</v>
      </c>
      <c r="D277" s="200">
        <f t="shared" si="16"/>
        <v>0</v>
      </c>
      <c r="E277" s="200">
        <f t="shared" si="17"/>
        <v>0</v>
      </c>
      <c r="F277" s="199"/>
      <c r="G277" s="241"/>
      <c r="H277" s="208"/>
      <c r="I277" s="194"/>
    </row>
    <row r="278" spans="1:9">
      <c r="A278" s="242">
        <v>223</v>
      </c>
      <c r="B278" s="200">
        <f t="shared" si="14"/>
        <v>0</v>
      </c>
      <c r="C278" s="200">
        <f t="shared" si="15"/>
        <v>0</v>
      </c>
      <c r="D278" s="200">
        <f t="shared" si="16"/>
        <v>0</v>
      </c>
      <c r="E278" s="200">
        <f t="shared" si="17"/>
        <v>0</v>
      </c>
      <c r="F278" s="199"/>
      <c r="G278" s="194"/>
      <c r="H278" s="188"/>
      <c r="I278" s="194"/>
    </row>
    <row r="279" spans="1:9">
      <c r="A279" s="242">
        <v>224</v>
      </c>
      <c r="B279" s="200">
        <f t="shared" si="14"/>
        <v>0</v>
      </c>
      <c r="C279" s="200">
        <f t="shared" si="15"/>
        <v>0</v>
      </c>
      <c r="D279" s="200">
        <f t="shared" si="16"/>
        <v>0</v>
      </c>
      <c r="E279" s="200">
        <f t="shared" si="17"/>
        <v>0</v>
      </c>
      <c r="F279" s="199"/>
      <c r="G279" s="194"/>
      <c r="H279" s="188"/>
      <c r="I279" s="194"/>
    </row>
    <row r="280" spans="1:9">
      <c r="A280" s="242">
        <v>225</v>
      </c>
      <c r="B280" s="200">
        <f t="shared" si="14"/>
        <v>0</v>
      </c>
      <c r="C280" s="200">
        <f t="shared" si="15"/>
        <v>0</v>
      </c>
      <c r="D280" s="200">
        <f t="shared" si="16"/>
        <v>0</v>
      </c>
      <c r="E280" s="200">
        <f t="shared" si="17"/>
        <v>0</v>
      </c>
      <c r="F280" s="199"/>
      <c r="G280" s="194"/>
      <c r="H280" s="188"/>
      <c r="I280" s="194"/>
    </row>
    <row r="281" spans="1:9">
      <c r="A281" s="242">
        <v>226</v>
      </c>
      <c r="B281" s="200">
        <f t="shared" si="14"/>
        <v>0</v>
      </c>
      <c r="C281" s="200">
        <f t="shared" si="15"/>
        <v>0</v>
      </c>
      <c r="D281" s="200">
        <f t="shared" si="16"/>
        <v>0</v>
      </c>
      <c r="E281" s="200">
        <f t="shared" si="17"/>
        <v>0</v>
      </c>
      <c r="F281" s="199"/>
      <c r="G281" s="194"/>
      <c r="H281" s="188"/>
      <c r="I281" s="194"/>
    </row>
    <row r="282" spans="1:9">
      <c r="A282" s="242">
        <v>227</v>
      </c>
      <c r="B282" s="200">
        <f t="shared" si="14"/>
        <v>0</v>
      </c>
      <c r="C282" s="200">
        <f t="shared" si="15"/>
        <v>0</v>
      </c>
      <c r="D282" s="200">
        <f t="shared" si="16"/>
        <v>0</v>
      </c>
      <c r="E282" s="200">
        <f t="shared" si="17"/>
        <v>0</v>
      </c>
      <c r="F282" s="199"/>
      <c r="G282" s="194"/>
      <c r="H282" s="188"/>
      <c r="I282" s="194"/>
    </row>
    <row r="283" spans="1:9">
      <c r="A283" s="242">
        <v>228</v>
      </c>
      <c r="B283" s="200">
        <f t="shared" si="14"/>
        <v>0</v>
      </c>
      <c r="C283" s="200">
        <f t="shared" si="15"/>
        <v>0</v>
      </c>
      <c r="D283" s="200">
        <f t="shared" si="16"/>
        <v>0</v>
      </c>
      <c r="E283" s="200">
        <f t="shared" si="17"/>
        <v>0</v>
      </c>
      <c r="F283" s="199">
        <v>19</v>
      </c>
      <c r="G283" s="241"/>
      <c r="H283" s="208"/>
      <c r="I283" s="241"/>
    </row>
    <row r="284" spans="1:9">
      <c r="A284" s="242">
        <v>229</v>
      </c>
      <c r="B284" s="200">
        <f t="shared" si="14"/>
        <v>0</v>
      </c>
      <c r="C284" s="200">
        <f t="shared" si="15"/>
        <v>0</v>
      </c>
      <c r="D284" s="200">
        <f t="shared" si="16"/>
        <v>0</v>
      </c>
      <c r="E284" s="200">
        <f t="shared" si="17"/>
        <v>0</v>
      </c>
      <c r="F284" s="199"/>
      <c r="G284" s="194"/>
      <c r="H284" s="188"/>
      <c r="I284" s="241"/>
    </row>
    <row r="285" spans="1:9">
      <c r="A285" s="242">
        <v>230</v>
      </c>
      <c r="B285" s="200">
        <f t="shared" si="14"/>
        <v>0</v>
      </c>
      <c r="C285" s="200">
        <f t="shared" si="15"/>
        <v>0</v>
      </c>
      <c r="D285" s="200">
        <f t="shared" si="16"/>
        <v>0</v>
      </c>
      <c r="E285" s="200">
        <f t="shared" si="17"/>
        <v>0</v>
      </c>
      <c r="F285" s="199"/>
      <c r="G285" s="194"/>
      <c r="H285" s="188"/>
      <c r="I285" s="194"/>
    </row>
    <row r="286" spans="1:9">
      <c r="A286" s="242">
        <v>231</v>
      </c>
      <c r="B286" s="200">
        <f t="shared" si="14"/>
        <v>0</v>
      </c>
      <c r="C286" s="200">
        <f t="shared" si="15"/>
        <v>0</v>
      </c>
      <c r="D286" s="200">
        <f t="shared" si="16"/>
        <v>0</v>
      </c>
      <c r="E286" s="200">
        <f t="shared" si="17"/>
        <v>0</v>
      </c>
      <c r="F286" s="199"/>
      <c r="G286" s="194"/>
      <c r="H286" s="188"/>
      <c r="I286" s="194"/>
    </row>
    <row r="287" spans="1:9">
      <c r="A287" s="242">
        <v>232</v>
      </c>
      <c r="B287" s="200">
        <f t="shared" si="14"/>
        <v>0</v>
      </c>
      <c r="C287" s="200">
        <f t="shared" si="15"/>
        <v>0</v>
      </c>
      <c r="D287" s="200">
        <f t="shared" si="16"/>
        <v>0</v>
      </c>
      <c r="E287" s="200">
        <f t="shared" si="17"/>
        <v>0</v>
      </c>
      <c r="F287" s="199"/>
      <c r="G287" s="194"/>
      <c r="H287" s="188"/>
      <c r="I287" s="194"/>
    </row>
    <row r="288" spans="1:9">
      <c r="A288" s="242">
        <v>233</v>
      </c>
      <c r="B288" s="200">
        <f t="shared" si="14"/>
        <v>0</v>
      </c>
      <c r="C288" s="200">
        <f t="shared" si="15"/>
        <v>0</v>
      </c>
      <c r="D288" s="200">
        <f t="shared" si="16"/>
        <v>0</v>
      </c>
      <c r="E288" s="200">
        <f t="shared" si="17"/>
        <v>0</v>
      </c>
      <c r="F288" s="199"/>
      <c r="G288" s="194"/>
      <c r="H288" s="188"/>
      <c r="I288" s="194"/>
    </row>
    <row r="289" spans="1:9">
      <c r="A289" s="242">
        <v>234</v>
      </c>
      <c r="B289" s="200">
        <f t="shared" si="14"/>
        <v>0</v>
      </c>
      <c r="C289" s="200">
        <f t="shared" si="15"/>
        <v>0</v>
      </c>
      <c r="D289" s="200">
        <f t="shared" si="16"/>
        <v>0</v>
      </c>
      <c r="E289" s="200">
        <f t="shared" si="17"/>
        <v>0</v>
      </c>
      <c r="F289" s="199"/>
      <c r="G289" s="241"/>
      <c r="H289" s="208"/>
      <c r="I289" s="194"/>
    </row>
    <row r="290" spans="1:9">
      <c r="A290" s="242">
        <v>235</v>
      </c>
      <c r="B290" s="200">
        <f t="shared" si="14"/>
        <v>0</v>
      </c>
      <c r="C290" s="200">
        <f t="shared" si="15"/>
        <v>0</v>
      </c>
      <c r="D290" s="200">
        <f t="shared" si="16"/>
        <v>0</v>
      </c>
      <c r="E290" s="200">
        <f t="shared" si="17"/>
        <v>0</v>
      </c>
      <c r="F290" s="199"/>
      <c r="G290" s="194"/>
      <c r="H290" s="188"/>
      <c r="I290" s="194"/>
    </row>
    <row r="291" spans="1:9">
      <c r="A291" s="242">
        <v>236</v>
      </c>
      <c r="B291" s="200">
        <f t="shared" si="14"/>
        <v>0</v>
      </c>
      <c r="C291" s="200">
        <f t="shared" si="15"/>
        <v>0</v>
      </c>
      <c r="D291" s="200">
        <f t="shared" si="16"/>
        <v>0</v>
      </c>
      <c r="E291" s="200">
        <f t="shared" si="17"/>
        <v>0</v>
      </c>
      <c r="F291" s="199"/>
      <c r="G291" s="194"/>
      <c r="H291" s="188"/>
      <c r="I291" s="194"/>
    </row>
    <row r="292" spans="1:9">
      <c r="A292" s="242">
        <v>237</v>
      </c>
      <c r="B292" s="200">
        <f t="shared" si="14"/>
        <v>0</v>
      </c>
      <c r="C292" s="200">
        <f t="shared" si="15"/>
        <v>0</v>
      </c>
      <c r="D292" s="200">
        <f t="shared" si="16"/>
        <v>0</v>
      </c>
      <c r="E292" s="200">
        <f t="shared" si="17"/>
        <v>0</v>
      </c>
      <c r="F292" s="199"/>
      <c r="G292" s="194"/>
      <c r="H292" s="188"/>
      <c r="I292" s="194"/>
    </row>
    <row r="293" spans="1:9">
      <c r="A293" s="242">
        <v>238</v>
      </c>
      <c r="B293" s="200">
        <f t="shared" si="14"/>
        <v>0</v>
      </c>
      <c r="C293" s="200">
        <f t="shared" si="15"/>
        <v>0</v>
      </c>
      <c r="D293" s="200">
        <f t="shared" si="16"/>
        <v>0</v>
      </c>
      <c r="E293" s="200">
        <f t="shared" si="17"/>
        <v>0</v>
      </c>
      <c r="F293" s="199"/>
      <c r="G293" s="194"/>
      <c r="H293" s="188"/>
      <c r="I293" s="194"/>
    </row>
    <row r="294" spans="1:9">
      <c r="A294" s="242">
        <v>239</v>
      </c>
      <c r="B294" s="200">
        <f t="shared" si="14"/>
        <v>0</v>
      </c>
      <c r="C294" s="200">
        <f t="shared" si="15"/>
        <v>0</v>
      </c>
      <c r="D294" s="200">
        <f t="shared" si="16"/>
        <v>0</v>
      </c>
      <c r="E294" s="200">
        <f t="shared" si="17"/>
        <v>0</v>
      </c>
      <c r="F294" s="199"/>
      <c r="G294" s="194"/>
      <c r="H294" s="188"/>
      <c r="I294" s="194"/>
    </row>
    <row r="295" spans="1:9">
      <c r="A295" s="242">
        <v>240</v>
      </c>
      <c r="B295" s="200">
        <f t="shared" si="14"/>
        <v>0</v>
      </c>
      <c r="C295" s="200">
        <f t="shared" si="15"/>
        <v>0</v>
      </c>
      <c r="D295" s="200">
        <f t="shared" si="16"/>
        <v>0</v>
      </c>
      <c r="E295" s="200">
        <f t="shared" si="17"/>
        <v>0</v>
      </c>
      <c r="F295" s="199">
        <v>20</v>
      </c>
      <c r="G295" s="241"/>
      <c r="H295" s="208"/>
      <c r="I295" s="241"/>
    </row>
    <row r="296" spans="1:9">
      <c r="A296" s="242">
        <v>241</v>
      </c>
      <c r="B296" s="200">
        <f t="shared" si="14"/>
        <v>0</v>
      </c>
      <c r="C296" s="200">
        <f t="shared" si="15"/>
        <v>0</v>
      </c>
      <c r="D296" s="200">
        <f t="shared" si="16"/>
        <v>0</v>
      </c>
      <c r="E296" s="200">
        <f t="shared" si="17"/>
        <v>0</v>
      </c>
      <c r="F296" s="199"/>
      <c r="G296" s="194"/>
      <c r="H296" s="188"/>
      <c r="I296" s="241"/>
    </row>
    <row r="297" spans="1:9">
      <c r="A297" s="242">
        <v>242</v>
      </c>
      <c r="B297" s="200">
        <f t="shared" si="14"/>
        <v>0</v>
      </c>
      <c r="C297" s="200">
        <f t="shared" si="15"/>
        <v>0</v>
      </c>
      <c r="D297" s="200">
        <f t="shared" si="16"/>
        <v>0</v>
      </c>
      <c r="E297" s="200">
        <f t="shared" si="17"/>
        <v>0</v>
      </c>
      <c r="F297" s="199"/>
      <c r="G297" s="194"/>
      <c r="H297" s="188"/>
      <c r="I297" s="194"/>
    </row>
    <row r="298" spans="1:9">
      <c r="A298" s="242">
        <v>243</v>
      </c>
      <c r="B298" s="200">
        <f t="shared" si="14"/>
        <v>0</v>
      </c>
      <c r="C298" s="200">
        <f t="shared" si="15"/>
        <v>0</v>
      </c>
      <c r="D298" s="200">
        <f t="shared" si="16"/>
        <v>0</v>
      </c>
      <c r="E298" s="200">
        <f t="shared" si="17"/>
        <v>0</v>
      </c>
      <c r="F298" s="199"/>
      <c r="G298" s="194"/>
      <c r="H298" s="188"/>
      <c r="I298" s="194"/>
    </row>
    <row r="299" spans="1:9">
      <c r="A299" s="242">
        <v>244</v>
      </c>
      <c r="B299" s="200">
        <f t="shared" si="14"/>
        <v>0</v>
      </c>
      <c r="C299" s="200">
        <f t="shared" si="15"/>
        <v>0</v>
      </c>
      <c r="D299" s="200">
        <f t="shared" si="16"/>
        <v>0</v>
      </c>
      <c r="E299" s="200">
        <f t="shared" si="17"/>
        <v>0</v>
      </c>
      <c r="F299" s="199"/>
      <c r="G299" s="194"/>
      <c r="H299" s="188"/>
      <c r="I299" s="194"/>
    </row>
    <row r="300" spans="1:9">
      <c r="A300" s="242">
        <v>245</v>
      </c>
      <c r="B300" s="200">
        <f t="shared" si="14"/>
        <v>0</v>
      </c>
      <c r="C300" s="200">
        <f t="shared" si="15"/>
        <v>0</v>
      </c>
      <c r="D300" s="200">
        <f t="shared" si="16"/>
        <v>0</v>
      </c>
      <c r="E300" s="200">
        <f t="shared" si="17"/>
        <v>0</v>
      </c>
      <c r="F300" s="199"/>
      <c r="G300" s="194"/>
      <c r="H300" s="188"/>
      <c r="I300" s="194"/>
    </row>
    <row r="301" spans="1:9">
      <c r="A301" s="242">
        <v>246</v>
      </c>
      <c r="B301" s="200">
        <f t="shared" si="14"/>
        <v>0</v>
      </c>
      <c r="C301" s="200">
        <f t="shared" si="15"/>
        <v>0</v>
      </c>
      <c r="D301" s="200">
        <f t="shared" si="16"/>
        <v>0</v>
      </c>
      <c r="E301" s="200">
        <f t="shared" si="17"/>
        <v>0</v>
      </c>
      <c r="F301" s="199"/>
      <c r="G301" s="241"/>
      <c r="H301" s="208"/>
      <c r="I301" s="194"/>
    </row>
    <row r="302" spans="1:9">
      <c r="A302" s="242">
        <v>247</v>
      </c>
      <c r="B302" s="200">
        <f t="shared" si="14"/>
        <v>0</v>
      </c>
      <c r="C302" s="200">
        <f t="shared" si="15"/>
        <v>0</v>
      </c>
      <c r="D302" s="200">
        <f t="shared" si="16"/>
        <v>0</v>
      </c>
      <c r="E302" s="200">
        <f t="shared" si="17"/>
        <v>0</v>
      </c>
      <c r="F302" s="199"/>
      <c r="G302" s="194"/>
      <c r="H302" s="188"/>
      <c r="I302" s="194"/>
    </row>
    <row r="303" spans="1:9">
      <c r="A303" s="242">
        <v>248</v>
      </c>
      <c r="B303" s="200">
        <f t="shared" si="14"/>
        <v>0</v>
      </c>
      <c r="C303" s="200">
        <f t="shared" si="15"/>
        <v>0</v>
      </c>
      <c r="D303" s="200">
        <f t="shared" si="16"/>
        <v>0</v>
      </c>
      <c r="E303" s="200">
        <f t="shared" si="17"/>
        <v>0</v>
      </c>
      <c r="F303" s="199"/>
      <c r="G303" s="194"/>
      <c r="H303" s="188"/>
      <c r="I303" s="194"/>
    </row>
    <row r="304" spans="1:9">
      <c r="A304" s="242">
        <v>249</v>
      </c>
      <c r="B304" s="200">
        <f t="shared" si="14"/>
        <v>0</v>
      </c>
      <c r="C304" s="200">
        <f t="shared" si="15"/>
        <v>0</v>
      </c>
      <c r="D304" s="200">
        <f t="shared" si="16"/>
        <v>0</v>
      </c>
      <c r="E304" s="200">
        <f t="shared" si="17"/>
        <v>0</v>
      </c>
      <c r="F304" s="199"/>
      <c r="G304" s="194"/>
      <c r="H304" s="188"/>
      <c r="I304" s="194"/>
    </row>
    <row r="305" spans="1:9">
      <c r="A305" s="242">
        <v>250</v>
      </c>
      <c r="B305" s="200">
        <f t="shared" si="14"/>
        <v>0</v>
      </c>
      <c r="C305" s="200">
        <f t="shared" si="15"/>
        <v>0</v>
      </c>
      <c r="D305" s="200">
        <f t="shared" si="16"/>
        <v>0</v>
      </c>
      <c r="E305" s="200">
        <f t="shared" si="17"/>
        <v>0</v>
      </c>
      <c r="F305" s="199"/>
      <c r="G305" s="194"/>
      <c r="H305" s="188"/>
      <c r="I305" s="194"/>
    </row>
    <row r="306" spans="1:9">
      <c r="A306" s="242">
        <v>251</v>
      </c>
      <c r="B306" s="200">
        <f t="shared" si="14"/>
        <v>0</v>
      </c>
      <c r="C306" s="200">
        <f t="shared" si="15"/>
        <v>0</v>
      </c>
      <c r="D306" s="200">
        <f t="shared" si="16"/>
        <v>0</v>
      </c>
      <c r="E306" s="200">
        <f t="shared" si="17"/>
        <v>0</v>
      </c>
      <c r="F306" s="199"/>
      <c r="G306" s="194"/>
      <c r="H306" s="188"/>
      <c r="I306" s="194"/>
    </row>
    <row r="307" spans="1:9">
      <c r="A307" s="242">
        <v>252</v>
      </c>
      <c r="B307" s="200">
        <f t="shared" si="14"/>
        <v>0</v>
      </c>
      <c r="C307" s="200">
        <f t="shared" si="15"/>
        <v>0</v>
      </c>
      <c r="D307" s="200">
        <f t="shared" si="16"/>
        <v>0</v>
      </c>
      <c r="E307" s="200">
        <f t="shared" si="17"/>
        <v>0</v>
      </c>
      <c r="F307" s="199">
        <v>21</v>
      </c>
      <c r="G307" s="241"/>
      <c r="H307" s="208"/>
      <c r="I307" s="241"/>
    </row>
    <row r="308" spans="1:9">
      <c r="A308" s="242">
        <v>253</v>
      </c>
      <c r="B308" s="200">
        <f t="shared" si="14"/>
        <v>0</v>
      </c>
      <c r="C308" s="200">
        <f t="shared" si="15"/>
        <v>0</v>
      </c>
      <c r="D308" s="200">
        <f t="shared" si="16"/>
        <v>0</v>
      </c>
      <c r="E308" s="200">
        <f t="shared" si="17"/>
        <v>0</v>
      </c>
      <c r="F308" s="199"/>
      <c r="G308" s="194"/>
      <c r="H308" s="188"/>
      <c r="I308" s="241"/>
    </row>
    <row r="309" spans="1:9">
      <c r="A309" s="242">
        <v>254</v>
      </c>
      <c r="B309" s="200">
        <f t="shared" si="14"/>
        <v>0</v>
      </c>
      <c r="C309" s="200">
        <f t="shared" si="15"/>
        <v>0</v>
      </c>
      <c r="D309" s="200">
        <f t="shared" si="16"/>
        <v>0</v>
      </c>
      <c r="E309" s="200">
        <f t="shared" si="17"/>
        <v>0</v>
      </c>
      <c r="F309" s="199"/>
      <c r="G309" s="194"/>
      <c r="H309" s="188"/>
      <c r="I309" s="194"/>
    </row>
    <row r="310" spans="1:9">
      <c r="A310" s="242">
        <v>255</v>
      </c>
      <c r="B310" s="200">
        <f t="shared" si="14"/>
        <v>0</v>
      </c>
      <c r="C310" s="200">
        <f t="shared" si="15"/>
        <v>0</v>
      </c>
      <c r="D310" s="200">
        <f t="shared" si="16"/>
        <v>0</v>
      </c>
      <c r="E310" s="200">
        <f t="shared" si="17"/>
        <v>0</v>
      </c>
      <c r="F310" s="199"/>
      <c r="G310" s="194"/>
      <c r="H310" s="188"/>
      <c r="I310" s="194"/>
    </row>
    <row r="311" spans="1:9">
      <c r="A311" s="242">
        <v>256</v>
      </c>
      <c r="B311" s="200">
        <f t="shared" si="14"/>
        <v>0</v>
      </c>
      <c r="C311" s="200">
        <f t="shared" si="15"/>
        <v>0</v>
      </c>
      <c r="D311" s="200">
        <f t="shared" si="16"/>
        <v>0</v>
      </c>
      <c r="E311" s="200">
        <f t="shared" si="17"/>
        <v>0</v>
      </c>
      <c r="F311" s="199"/>
      <c r="G311" s="194"/>
      <c r="H311" s="188"/>
      <c r="I311" s="194"/>
    </row>
    <row r="312" spans="1:9">
      <c r="A312" s="242">
        <v>257</v>
      </c>
      <c r="B312" s="200">
        <f t="shared" ref="B312:B375" si="18">IF(A312&gt;12*$D$14,0,$D$20)</f>
        <v>0</v>
      </c>
      <c r="C312" s="200">
        <f t="shared" ref="C312:C375" si="19">IF(A312&gt;12*$D$14,0,E311*$D$10/12)</f>
        <v>0</v>
      </c>
      <c r="D312" s="200">
        <f t="shared" ref="D312:D375" si="20">IF(A312&gt;12*$D$14,0,B312-C312)</f>
        <v>0</v>
      </c>
      <c r="E312" s="200">
        <f t="shared" ref="E312:E375" si="21">IF(A312&gt;12*$D$14,0,E311-D312)</f>
        <v>0</v>
      </c>
      <c r="F312" s="199"/>
      <c r="G312" s="194"/>
      <c r="H312" s="188"/>
      <c r="I312" s="194"/>
    </row>
    <row r="313" spans="1:9">
      <c r="A313" s="242">
        <v>258</v>
      </c>
      <c r="B313" s="200">
        <f t="shared" si="18"/>
        <v>0</v>
      </c>
      <c r="C313" s="200">
        <f t="shared" si="19"/>
        <v>0</v>
      </c>
      <c r="D313" s="200">
        <f t="shared" si="20"/>
        <v>0</v>
      </c>
      <c r="E313" s="200">
        <f t="shared" si="21"/>
        <v>0</v>
      </c>
      <c r="F313" s="199"/>
      <c r="G313" s="241"/>
      <c r="H313" s="208"/>
      <c r="I313" s="194"/>
    </row>
    <row r="314" spans="1:9">
      <c r="A314" s="242">
        <v>259</v>
      </c>
      <c r="B314" s="200">
        <f t="shared" si="18"/>
        <v>0</v>
      </c>
      <c r="C314" s="200">
        <f t="shared" si="19"/>
        <v>0</v>
      </c>
      <c r="D314" s="200">
        <f t="shared" si="20"/>
        <v>0</v>
      </c>
      <c r="E314" s="200">
        <f t="shared" si="21"/>
        <v>0</v>
      </c>
      <c r="F314" s="199"/>
      <c r="G314" s="194"/>
      <c r="H314" s="188"/>
      <c r="I314" s="194"/>
    </row>
    <row r="315" spans="1:9">
      <c r="A315" s="242">
        <v>260</v>
      </c>
      <c r="B315" s="200">
        <f t="shared" si="18"/>
        <v>0</v>
      </c>
      <c r="C315" s="200">
        <f t="shared" si="19"/>
        <v>0</v>
      </c>
      <c r="D315" s="200">
        <f t="shared" si="20"/>
        <v>0</v>
      </c>
      <c r="E315" s="200">
        <f t="shared" si="21"/>
        <v>0</v>
      </c>
      <c r="F315" s="199"/>
      <c r="G315" s="194"/>
      <c r="H315" s="188"/>
      <c r="I315" s="194"/>
    </row>
    <row r="316" spans="1:9">
      <c r="A316" s="242">
        <v>261</v>
      </c>
      <c r="B316" s="200">
        <f t="shared" si="18"/>
        <v>0</v>
      </c>
      <c r="C316" s="200">
        <f t="shared" si="19"/>
        <v>0</v>
      </c>
      <c r="D316" s="200">
        <f t="shared" si="20"/>
        <v>0</v>
      </c>
      <c r="E316" s="200">
        <f t="shared" si="21"/>
        <v>0</v>
      </c>
      <c r="F316" s="199"/>
      <c r="G316" s="194"/>
      <c r="H316" s="188"/>
      <c r="I316" s="194"/>
    </row>
    <row r="317" spans="1:9">
      <c r="A317" s="242">
        <v>262</v>
      </c>
      <c r="B317" s="200">
        <f t="shared" si="18"/>
        <v>0</v>
      </c>
      <c r="C317" s="200">
        <f t="shared" si="19"/>
        <v>0</v>
      </c>
      <c r="D317" s="200">
        <f t="shared" si="20"/>
        <v>0</v>
      </c>
      <c r="E317" s="200">
        <f t="shared" si="21"/>
        <v>0</v>
      </c>
      <c r="F317" s="199"/>
      <c r="G317" s="194"/>
      <c r="H317" s="188"/>
      <c r="I317" s="194"/>
    </row>
    <row r="318" spans="1:9">
      <c r="A318" s="242">
        <v>263</v>
      </c>
      <c r="B318" s="200">
        <f t="shared" si="18"/>
        <v>0</v>
      </c>
      <c r="C318" s="200">
        <f t="shared" si="19"/>
        <v>0</v>
      </c>
      <c r="D318" s="200">
        <f t="shared" si="20"/>
        <v>0</v>
      </c>
      <c r="E318" s="200">
        <f t="shared" si="21"/>
        <v>0</v>
      </c>
      <c r="F318" s="199"/>
      <c r="G318" s="194"/>
      <c r="H318" s="188"/>
      <c r="I318" s="194"/>
    </row>
    <row r="319" spans="1:9">
      <c r="A319" s="242">
        <v>264</v>
      </c>
      <c r="B319" s="200">
        <f t="shared" si="18"/>
        <v>0</v>
      </c>
      <c r="C319" s="200">
        <f t="shared" si="19"/>
        <v>0</v>
      </c>
      <c r="D319" s="200">
        <f t="shared" si="20"/>
        <v>0</v>
      </c>
      <c r="E319" s="200">
        <f t="shared" si="21"/>
        <v>0</v>
      </c>
      <c r="F319" s="199">
        <v>22</v>
      </c>
      <c r="G319" s="241"/>
      <c r="H319" s="208"/>
      <c r="I319" s="241"/>
    </row>
    <row r="320" spans="1:9">
      <c r="A320" s="242">
        <v>265</v>
      </c>
      <c r="B320" s="200">
        <f t="shared" si="18"/>
        <v>0</v>
      </c>
      <c r="C320" s="200">
        <f t="shared" si="19"/>
        <v>0</v>
      </c>
      <c r="D320" s="200">
        <f t="shared" si="20"/>
        <v>0</v>
      </c>
      <c r="E320" s="200">
        <f t="shared" si="21"/>
        <v>0</v>
      </c>
      <c r="F320" s="199"/>
      <c r="G320" s="194"/>
      <c r="H320" s="188"/>
      <c r="I320" s="241"/>
    </row>
    <row r="321" spans="1:9">
      <c r="A321" s="242">
        <v>266</v>
      </c>
      <c r="B321" s="200">
        <f t="shared" si="18"/>
        <v>0</v>
      </c>
      <c r="C321" s="200">
        <f t="shared" si="19"/>
        <v>0</v>
      </c>
      <c r="D321" s="200">
        <f t="shared" si="20"/>
        <v>0</v>
      </c>
      <c r="E321" s="200">
        <f t="shared" si="21"/>
        <v>0</v>
      </c>
      <c r="F321" s="199"/>
      <c r="G321" s="194"/>
      <c r="H321" s="188"/>
      <c r="I321" s="194"/>
    </row>
    <row r="322" spans="1:9">
      <c r="A322" s="242">
        <v>267</v>
      </c>
      <c r="B322" s="200">
        <f t="shared" si="18"/>
        <v>0</v>
      </c>
      <c r="C322" s="200">
        <f t="shared" si="19"/>
        <v>0</v>
      </c>
      <c r="D322" s="200">
        <f t="shared" si="20"/>
        <v>0</v>
      </c>
      <c r="E322" s="200">
        <f t="shared" si="21"/>
        <v>0</v>
      </c>
      <c r="F322" s="199"/>
      <c r="G322" s="194"/>
      <c r="H322" s="188"/>
      <c r="I322" s="194"/>
    </row>
    <row r="323" spans="1:9">
      <c r="A323" s="242">
        <v>268</v>
      </c>
      <c r="B323" s="200">
        <f t="shared" si="18"/>
        <v>0</v>
      </c>
      <c r="C323" s="200">
        <f t="shared" si="19"/>
        <v>0</v>
      </c>
      <c r="D323" s="200">
        <f t="shared" si="20"/>
        <v>0</v>
      </c>
      <c r="E323" s="200">
        <f t="shared" si="21"/>
        <v>0</v>
      </c>
      <c r="F323" s="199"/>
      <c r="G323" s="194"/>
      <c r="H323" s="188"/>
      <c r="I323" s="194"/>
    </row>
    <row r="324" spans="1:9">
      <c r="A324" s="242">
        <v>269</v>
      </c>
      <c r="B324" s="200">
        <f t="shared" si="18"/>
        <v>0</v>
      </c>
      <c r="C324" s="200">
        <f t="shared" si="19"/>
        <v>0</v>
      </c>
      <c r="D324" s="200">
        <f t="shared" si="20"/>
        <v>0</v>
      </c>
      <c r="E324" s="200">
        <f t="shared" si="21"/>
        <v>0</v>
      </c>
      <c r="F324" s="199"/>
      <c r="G324" s="194"/>
      <c r="H324" s="188"/>
      <c r="I324" s="194"/>
    </row>
    <row r="325" spans="1:9">
      <c r="A325" s="242">
        <v>270</v>
      </c>
      <c r="B325" s="200">
        <f t="shared" si="18"/>
        <v>0</v>
      </c>
      <c r="C325" s="200">
        <f t="shared" si="19"/>
        <v>0</v>
      </c>
      <c r="D325" s="200">
        <f t="shared" si="20"/>
        <v>0</v>
      </c>
      <c r="E325" s="200">
        <f t="shared" si="21"/>
        <v>0</v>
      </c>
      <c r="F325" s="199"/>
      <c r="G325" s="241"/>
      <c r="H325" s="208"/>
      <c r="I325" s="194"/>
    </row>
    <row r="326" spans="1:9">
      <c r="A326" s="242">
        <v>271</v>
      </c>
      <c r="B326" s="200">
        <f t="shared" si="18"/>
        <v>0</v>
      </c>
      <c r="C326" s="200">
        <f t="shared" si="19"/>
        <v>0</v>
      </c>
      <c r="D326" s="200">
        <f t="shared" si="20"/>
        <v>0</v>
      </c>
      <c r="E326" s="200">
        <f t="shared" si="21"/>
        <v>0</v>
      </c>
      <c r="F326" s="199"/>
      <c r="G326" s="194"/>
      <c r="H326" s="188"/>
      <c r="I326" s="194"/>
    </row>
    <row r="327" spans="1:9">
      <c r="A327" s="242">
        <v>272</v>
      </c>
      <c r="B327" s="200">
        <f t="shared" si="18"/>
        <v>0</v>
      </c>
      <c r="C327" s="200">
        <f t="shared" si="19"/>
        <v>0</v>
      </c>
      <c r="D327" s="200">
        <f t="shared" si="20"/>
        <v>0</v>
      </c>
      <c r="E327" s="200">
        <f t="shared" si="21"/>
        <v>0</v>
      </c>
      <c r="F327" s="199"/>
      <c r="G327" s="194"/>
      <c r="H327" s="188"/>
      <c r="I327" s="194"/>
    </row>
    <row r="328" spans="1:9">
      <c r="A328" s="242">
        <v>273</v>
      </c>
      <c r="B328" s="200">
        <f t="shared" si="18"/>
        <v>0</v>
      </c>
      <c r="C328" s="200">
        <f t="shared" si="19"/>
        <v>0</v>
      </c>
      <c r="D328" s="200">
        <f t="shared" si="20"/>
        <v>0</v>
      </c>
      <c r="E328" s="200">
        <f t="shared" si="21"/>
        <v>0</v>
      </c>
      <c r="F328" s="199"/>
      <c r="G328" s="194"/>
      <c r="H328" s="188"/>
      <c r="I328" s="194"/>
    </row>
    <row r="329" spans="1:9">
      <c r="A329" s="242">
        <v>274</v>
      </c>
      <c r="B329" s="200">
        <f t="shared" si="18"/>
        <v>0</v>
      </c>
      <c r="C329" s="200">
        <f t="shared" si="19"/>
        <v>0</v>
      </c>
      <c r="D329" s="200">
        <f t="shared" si="20"/>
        <v>0</v>
      </c>
      <c r="E329" s="200">
        <f t="shared" si="21"/>
        <v>0</v>
      </c>
      <c r="F329" s="199"/>
      <c r="G329" s="194"/>
      <c r="H329" s="188"/>
      <c r="I329" s="194"/>
    </row>
    <row r="330" spans="1:9">
      <c r="A330" s="242">
        <v>275</v>
      </c>
      <c r="B330" s="200">
        <f t="shared" si="18"/>
        <v>0</v>
      </c>
      <c r="C330" s="200">
        <f t="shared" si="19"/>
        <v>0</v>
      </c>
      <c r="D330" s="200">
        <f t="shared" si="20"/>
        <v>0</v>
      </c>
      <c r="E330" s="200">
        <f t="shared" si="21"/>
        <v>0</v>
      </c>
      <c r="F330" s="199"/>
      <c r="G330" s="194"/>
      <c r="H330" s="188"/>
      <c r="I330" s="194"/>
    </row>
    <row r="331" spans="1:9">
      <c r="A331" s="242">
        <v>276</v>
      </c>
      <c r="B331" s="200">
        <f t="shared" si="18"/>
        <v>0</v>
      </c>
      <c r="C331" s="200">
        <f t="shared" si="19"/>
        <v>0</v>
      </c>
      <c r="D331" s="200">
        <f t="shared" si="20"/>
        <v>0</v>
      </c>
      <c r="E331" s="200">
        <f t="shared" si="21"/>
        <v>0</v>
      </c>
      <c r="F331" s="199">
        <v>23</v>
      </c>
      <c r="G331" s="241"/>
      <c r="H331" s="208"/>
      <c r="I331" s="241"/>
    </row>
    <row r="332" spans="1:9">
      <c r="A332" s="242">
        <v>277</v>
      </c>
      <c r="B332" s="200">
        <f t="shared" si="18"/>
        <v>0</v>
      </c>
      <c r="C332" s="200">
        <f t="shared" si="19"/>
        <v>0</v>
      </c>
      <c r="D332" s="200">
        <f t="shared" si="20"/>
        <v>0</v>
      </c>
      <c r="E332" s="200">
        <f t="shared" si="21"/>
        <v>0</v>
      </c>
      <c r="F332" s="199"/>
      <c r="G332" s="194"/>
      <c r="H332" s="188"/>
      <c r="I332" s="241"/>
    </row>
    <row r="333" spans="1:9">
      <c r="A333" s="242">
        <v>278</v>
      </c>
      <c r="B333" s="200">
        <f t="shared" si="18"/>
        <v>0</v>
      </c>
      <c r="C333" s="200">
        <f t="shared" si="19"/>
        <v>0</v>
      </c>
      <c r="D333" s="200">
        <f t="shared" si="20"/>
        <v>0</v>
      </c>
      <c r="E333" s="200">
        <f t="shared" si="21"/>
        <v>0</v>
      </c>
      <c r="F333" s="199"/>
      <c r="G333" s="194"/>
      <c r="H333" s="188"/>
      <c r="I333" s="194"/>
    </row>
    <row r="334" spans="1:9">
      <c r="A334" s="242">
        <v>279</v>
      </c>
      <c r="B334" s="200">
        <f t="shared" si="18"/>
        <v>0</v>
      </c>
      <c r="C334" s="200">
        <f t="shared" si="19"/>
        <v>0</v>
      </c>
      <c r="D334" s="200">
        <f t="shared" si="20"/>
        <v>0</v>
      </c>
      <c r="E334" s="200">
        <f t="shared" si="21"/>
        <v>0</v>
      </c>
      <c r="F334" s="199"/>
      <c r="G334" s="194"/>
      <c r="H334" s="188"/>
      <c r="I334" s="194"/>
    </row>
    <row r="335" spans="1:9">
      <c r="A335" s="242">
        <v>280</v>
      </c>
      <c r="B335" s="200">
        <f t="shared" si="18"/>
        <v>0</v>
      </c>
      <c r="C335" s="200">
        <f t="shared" si="19"/>
        <v>0</v>
      </c>
      <c r="D335" s="200">
        <f t="shared" si="20"/>
        <v>0</v>
      </c>
      <c r="E335" s="200">
        <f t="shared" si="21"/>
        <v>0</v>
      </c>
      <c r="F335" s="199"/>
      <c r="G335" s="194"/>
      <c r="H335" s="188"/>
      <c r="I335" s="194"/>
    </row>
    <row r="336" spans="1:9">
      <c r="A336" s="242">
        <v>281</v>
      </c>
      <c r="B336" s="200">
        <f t="shared" si="18"/>
        <v>0</v>
      </c>
      <c r="C336" s="200">
        <f t="shared" si="19"/>
        <v>0</v>
      </c>
      <c r="D336" s="200">
        <f t="shared" si="20"/>
        <v>0</v>
      </c>
      <c r="E336" s="200">
        <f t="shared" si="21"/>
        <v>0</v>
      </c>
      <c r="F336" s="199"/>
      <c r="G336" s="194"/>
      <c r="H336" s="188"/>
      <c r="I336" s="194"/>
    </row>
    <row r="337" spans="1:9">
      <c r="A337" s="242">
        <v>282</v>
      </c>
      <c r="B337" s="200">
        <f t="shared" si="18"/>
        <v>0</v>
      </c>
      <c r="C337" s="200">
        <f t="shared" si="19"/>
        <v>0</v>
      </c>
      <c r="D337" s="200">
        <f t="shared" si="20"/>
        <v>0</v>
      </c>
      <c r="E337" s="200">
        <f t="shared" si="21"/>
        <v>0</v>
      </c>
      <c r="F337" s="199"/>
      <c r="G337" s="241"/>
      <c r="H337" s="208"/>
      <c r="I337" s="194"/>
    </row>
    <row r="338" spans="1:9">
      <c r="A338" s="242">
        <v>283</v>
      </c>
      <c r="B338" s="200">
        <f t="shared" si="18"/>
        <v>0</v>
      </c>
      <c r="C338" s="200">
        <f t="shared" si="19"/>
        <v>0</v>
      </c>
      <c r="D338" s="200">
        <f t="shared" si="20"/>
        <v>0</v>
      </c>
      <c r="E338" s="200">
        <f t="shared" si="21"/>
        <v>0</v>
      </c>
      <c r="F338" s="199"/>
      <c r="G338" s="194"/>
      <c r="H338" s="188"/>
      <c r="I338" s="194"/>
    </row>
    <row r="339" spans="1:9">
      <c r="A339" s="242">
        <v>284</v>
      </c>
      <c r="B339" s="200">
        <f t="shared" si="18"/>
        <v>0</v>
      </c>
      <c r="C339" s="200">
        <f t="shared" si="19"/>
        <v>0</v>
      </c>
      <c r="D339" s="200">
        <f t="shared" si="20"/>
        <v>0</v>
      </c>
      <c r="E339" s="200">
        <f t="shared" si="21"/>
        <v>0</v>
      </c>
      <c r="F339" s="199"/>
      <c r="G339" s="194"/>
      <c r="H339" s="188"/>
      <c r="I339" s="194"/>
    </row>
    <row r="340" spans="1:9">
      <c r="A340" s="242">
        <v>285</v>
      </c>
      <c r="B340" s="200">
        <f t="shared" si="18"/>
        <v>0</v>
      </c>
      <c r="C340" s="200">
        <f t="shared" si="19"/>
        <v>0</v>
      </c>
      <c r="D340" s="200">
        <f t="shared" si="20"/>
        <v>0</v>
      </c>
      <c r="E340" s="200">
        <f t="shared" si="21"/>
        <v>0</v>
      </c>
      <c r="F340" s="199"/>
      <c r="G340" s="194"/>
      <c r="H340" s="188"/>
      <c r="I340" s="194"/>
    </row>
    <row r="341" spans="1:9">
      <c r="A341" s="242">
        <v>286</v>
      </c>
      <c r="B341" s="200">
        <f t="shared" si="18"/>
        <v>0</v>
      </c>
      <c r="C341" s="200">
        <f t="shared" si="19"/>
        <v>0</v>
      </c>
      <c r="D341" s="200">
        <f t="shared" si="20"/>
        <v>0</v>
      </c>
      <c r="E341" s="200">
        <f t="shared" si="21"/>
        <v>0</v>
      </c>
      <c r="F341" s="199"/>
      <c r="G341" s="194"/>
      <c r="H341" s="188"/>
      <c r="I341" s="194"/>
    </row>
    <row r="342" spans="1:9">
      <c r="A342" s="242">
        <v>287</v>
      </c>
      <c r="B342" s="200">
        <f t="shared" si="18"/>
        <v>0</v>
      </c>
      <c r="C342" s="200">
        <f t="shared" si="19"/>
        <v>0</v>
      </c>
      <c r="D342" s="200">
        <f t="shared" si="20"/>
        <v>0</v>
      </c>
      <c r="E342" s="200">
        <f t="shared" si="21"/>
        <v>0</v>
      </c>
      <c r="F342" s="199"/>
      <c r="G342" s="194"/>
      <c r="H342" s="188"/>
      <c r="I342" s="194"/>
    </row>
    <row r="343" spans="1:9">
      <c r="A343" s="242">
        <v>288</v>
      </c>
      <c r="B343" s="200">
        <f t="shared" si="18"/>
        <v>0</v>
      </c>
      <c r="C343" s="200">
        <f t="shared" si="19"/>
        <v>0</v>
      </c>
      <c r="D343" s="200">
        <f t="shared" si="20"/>
        <v>0</v>
      </c>
      <c r="E343" s="200">
        <f t="shared" si="21"/>
        <v>0</v>
      </c>
      <c r="F343" s="199">
        <v>24</v>
      </c>
      <c r="G343" s="241"/>
      <c r="H343" s="208"/>
      <c r="I343" s="241"/>
    </row>
    <row r="344" spans="1:9">
      <c r="A344" s="242">
        <v>289</v>
      </c>
      <c r="B344" s="200">
        <f t="shared" si="18"/>
        <v>0</v>
      </c>
      <c r="C344" s="200">
        <f t="shared" si="19"/>
        <v>0</v>
      </c>
      <c r="D344" s="200">
        <f t="shared" si="20"/>
        <v>0</v>
      </c>
      <c r="E344" s="200">
        <f t="shared" si="21"/>
        <v>0</v>
      </c>
      <c r="F344" s="199"/>
      <c r="G344" s="194"/>
      <c r="H344" s="188"/>
      <c r="I344" s="241"/>
    </row>
    <row r="345" spans="1:9">
      <c r="A345" s="242">
        <v>290</v>
      </c>
      <c r="B345" s="200">
        <f t="shared" si="18"/>
        <v>0</v>
      </c>
      <c r="C345" s="200">
        <f t="shared" si="19"/>
        <v>0</v>
      </c>
      <c r="D345" s="200">
        <f t="shared" si="20"/>
        <v>0</v>
      </c>
      <c r="E345" s="200">
        <f t="shared" si="21"/>
        <v>0</v>
      </c>
      <c r="F345" s="199"/>
      <c r="G345" s="194"/>
      <c r="H345" s="188"/>
      <c r="I345" s="194"/>
    </row>
    <row r="346" spans="1:9">
      <c r="A346" s="242">
        <v>291</v>
      </c>
      <c r="B346" s="200">
        <f t="shared" si="18"/>
        <v>0</v>
      </c>
      <c r="C346" s="200">
        <f t="shared" si="19"/>
        <v>0</v>
      </c>
      <c r="D346" s="200">
        <f t="shared" si="20"/>
        <v>0</v>
      </c>
      <c r="E346" s="200">
        <f t="shared" si="21"/>
        <v>0</v>
      </c>
      <c r="F346" s="199"/>
      <c r="G346" s="194"/>
      <c r="H346" s="188"/>
      <c r="I346" s="194"/>
    </row>
    <row r="347" spans="1:9">
      <c r="A347" s="242">
        <v>292</v>
      </c>
      <c r="B347" s="200">
        <f t="shared" si="18"/>
        <v>0</v>
      </c>
      <c r="C347" s="200">
        <f t="shared" si="19"/>
        <v>0</v>
      </c>
      <c r="D347" s="200">
        <f t="shared" si="20"/>
        <v>0</v>
      </c>
      <c r="E347" s="200">
        <f t="shared" si="21"/>
        <v>0</v>
      </c>
      <c r="F347" s="199"/>
      <c r="G347" s="194"/>
      <c r="H347" s="188"/>
      <c r="I347" s="194"/>
    </row>
    <row r="348" spans="1:9">
      <c r="A348" s="242">
        <v>293</v>
      </c>
      <c r="B348" s="200">
        <f t="shared" si="18"/>
        <v>0</v>
      </c>
      <c r="C348" s="200">
        <f t="shared" si="19"/>
        <v>0</v>
      </c>
      <c r="D348" s="200">
        <f t="shared" si="20"/>
        <v>0</v>
      </c>
      <c r="E348" s="200">
        <f t="shared" si="21"/>
        <v>0</v>
      </c>
      <c r="F348" s="199"/>
      <c r="G348" s="194"/>
      <c r="H348" s="188"/>
      <c r="I348" s="194"/>
    </row>
    <row r="349" spans="1:9">
      <c r="A349" s="242">
        <v>294</v>
      </c>
      <c r="B349" s="200">
        <f t="shared" si="18"/>
        <v>0</v>
      </c>
      <c r="C349" s="200">
        <f t="shared" si="19"/>
        <v>0</v>
      </c>
      <c r="D349" s="200">
        <f t="shared" si="20"/>
        <v>0</v>
      </c>
      <c r="E349" s="200">
        <f t="shared" si="21"/>
        <v>0</v>
      </c>
      <c r="F349" s="199"/>
      <c r="G349" s="241"/>
      <c r="H349" s="208"/>
      <c r="I349" s="194"/>
    </row>
    <row r="350" spans="1:9">
      <c r="A350" s="242">
        <v>295</v>
      </c>
      <c r="B350" s="200">
        <f t="shared" si="18"/>
        <v>0</v>
      </c>
      <c r="C350" s="200">
        <f t="shared" si="19"/>
        <v>0</v>
      </c>
      <c r="D350" s="200">
        <f t="shared" si="20"/>
        <v>0</v>
      </c>
      <c r="E350" s="200">
        <f t="shared" si="21"/>
        <v>0</v>
      </c>
      <c r="F350" s="199"/>
      <c r="G350" s="194"/>
      <c r="H350" s="188"/>
      <c r="I350" s="194"/>
    </row>
    <row r="351" spans="1:9">
      <c r="A351" s="242">
        <v>296</v>
      </c>
      <c r="B351" s="200">
        <f t="shared" si="18"/>
        <v>0</v>
      </c>
      <c r="C351" s="200">
        <f t="shared" si="19"/>
        <v>0</v>
      </c>
      <c r="D351" s="200">
        <f t="shared" si="20"/>
        <v>0</v>
      </c>
      <c r="E351" s="200">
        <f t="shared" si="21"/>
        <v>0</v>
      </c>
      <c r="F351" s="199"/>
      <c r="G351" s="194"/>
      <c r="H351" s="188"/>
      <c r="I351" s="194"/>
    </row>
    <row r="352" spans="1:9">
      <c r="A352" s="242">
        <v>297</v>
      </c>
      <c r="B352" s="200">
        <f t="shared" si="18"/>
        <v>0</v>
      </c>
      <c r="C352" s="200">
        <f t="shared" si="19"/>
        <v>0</v>
      </c>
      <c r="D352" s="200">
        <f t="shared" si="20"/>
        <v>0</v>
      </c>
      <c r="E352" s="200">
        <f t="shared" si="21"/>
        <v>0</v>
      </c>
      <c r="F352" s="199"/>
      <c r="G352" s="194"/>
      <c r="H352" s="188"/>
      <c r="I352" s="194"/>
    </row>
    <row r="353" spans="1:9">
      <c r="A353" s="242">
        <v>298</v>
      </c>
      <c r="B353" s="200">
        <f t="shared" si="18"/>
        <v>0</v>
      </c>
      <c r="C353" s="200">
        <f t="shared" si="19"/>
        <v>0</v>
      </c>
      <c r="D353" s="200">
        <f t="shared" si="20"/>
        <v>0</v>
      </c>
      <c r="E353" s="200">
        <f t="shared" si="21"/>
        <v>0</v>
      </c>
      <c r="F353" s="199"/>
      <c r="G353" s="194"/>
      <c r="H353" s="188"/>
      <c r="I353" s="194"/>
    </row>
    <row r="354" spans="1:9">
      <c r="A354" s="242">
        <v>299</v>
      </c>
      <c r="B354" s="200">
        <f t="shared" si="18"/>
        <v>0</v>
      </c>
      <c r="C354" s="200">
        <f t="shared" si="19"/>
        <v>0</v>
      </c>
      <c r="D354" s="200">
        <f t="shared" si="20"/>
        <v>0</v>
      </c>
      <c r="E354" s="200">
        <f t="shared" si="21"/>
        <v>0</v>
      </c>
      <c r="F354" s="199"/>
      <c r="G354" s="194"/>
      <c r="H354" s="188"/>
      <c r="I354" s="194"/>
    </row>
    <row r="355" spans="1:9">
      <c r="A355" s="242">
        <v>300</v>
      </c>
      <c r="B355" s="200">
        <f t="shared" si="18"/>
        <v>0</v>
      </c>
      <c r="C355" s="200">
        <f t="shared" si="19"/>
        <v>0</v>
      </c>
      <c r="D355" s="200">
        <f t="shared" si="20"/>
        <v>0</v>
      </c>
      <c r="E355" s="200">
        <f t="shared" si="21"/>
        <v>0</v>
      </c>
      <c r="F355" s="199">
        <v>25</v>
      </c>
      <c r="G355" s="241"/>
      <c r="H355" s="208"/>
      <c r="I355" s="241"/>
    </row>
    <row r="356" spans="1:9">
      <c r="A356" s="242">
        <v>301</v>
      </c>
      <c r="B356" s="200">
        <f t="shared" si="18"/>
        <v>0</v>
      </c>
      <c r="C356" s="200">
        <f t="shared" si="19"/>
        <v>0</v>
      </c>
      <c r="D356" s="200">
        <f t="shared" si="20"/>
        <v>0</v>
      </c>
      <c r="E356" s="200">
        <f t="shared" si="21"/>
        <v>0</v>
      </c>
      <c r="F356" s="199"/>
      <c r="G356" s="194"/>
      <c r="H356" s="188"/>
      <c r="I356" s="241"/>
    </row>
    <row r="357" spans="1:9">
      <c r="A357" s="242">
        <v>302</v>
      </c>
      <c r="B357" s="200">
        <f t="shared" si="18"/>
        <v>0</v>
      </c>
      <c r="C357" s="200">
        <f t="shared" si="19"/>
        <v>0</v>
      </c>
      <c r="D357" s="200">
        <f t="shared" si="20"/>
        <v>0</v>
      </c>
      <c r="E357" s="200">
        <f t="shared" si="21"/>
        <v>0</v>
      </c>
      <c r="F357" s="199"/>
      <c r="G357" s="194"/>
      <c r="H357" s="188"/>
      <c r="I357" s="194"/>
    </row>
    <row r="358" spans="1:9">
      <c r="A358" s="242">
        <v>303</v>
      </c>
      <c r="B358" s="200">
        <f t="shared" si="18"/>
        <v>0</v>
      </c>
      <c r="C358" s="200">
        <f t="shared" si="19"/>
        <v>0</v>
      </c>
      <c r="D358" s="200">
        <f t="shared" si="20"/>
        <v>0</v>
      </c>
      <c r="E358" s="200">
        <f t="shared" si="21"/>
        <v>0</v>
      </c>
      <c r="F358" s="199"/>
      <c r="G358" s="194"/>
      <c r="H358" s="188"/>
      <c r="I358" s="194"/>
    </row>
    <row r="359" spans="1:9">
      <c r="A359" s="242">
        <v>304</v>
      </c>
      <c r="B359" s="200">
        <f t="shared" si="18"/>
        <v>0</v>
      </c>
      <c r="C359" s="200">
        <f t="shared" si="19"/>
        <v>0</v>
      </c>
      <c r="D359" s="200">
        <f t="shared" si="20"/>
        <v>0</v>
      </c>
      <c r="E359" s="200">
        <f t="shared" si="21"/>
        <v>0</v>
      </c>
      <c r="F359" s="199"/>
      <c r="G359" s="194"/>
      <c r="H359" s="188"/>
      <c r="I359" s="194"/>
    </row>
    <row r="360" spans="1:9">
      <c r="A360" s="242">
        <v>305</v>
      </c>
      <c r="B360" s="200">
        <f t="shared" si="18"/>
        <v>0</v>
      </c>
      <c r="C360" s="200">
        <f t="shared" si="19"/>
        <v>0</v>
      </c>
      <c r="D360" s="200">
        <f t="shared" si="20"/>
        <v>0</v>
      </c>
      <c r="E360" s="200">
        <f t="shared" si="21"/>
        <v>0</v>
      </c>
      <c r="F360" s="199"/>
      <c r="G360" s="194"/>
      <c r="H360" s="188"/>
      <c r="I360" s="194"/>
    </row>
    <row r="361" spans="1:9">
      <c r="A361" s="242">
        <v>306</v>
      </c>
      <c r="B361" s="200">
        <f t="shared" si="18"/>
        <v>0</v>
      </c>
      <c r="C361" s="200">
        <f t="shared" si="19"/>
        <v>0</v>
      </c>
      <c r="D361" s="200">
        <f t="shared" si="20"/>
        <v>0</v>
      </c>
      <c r="E361" s="200">
        <f t="shared" si="21"/>
        <v>0</v>
      </c>
      <c r="F361" s="199"/>
      <c r="G361" s="241"/>
      <c r="H361" s="208"/>
      <c r="I361" s="194"/>
    </row>
    <row r="362" spans="1:9">
      <c r="A362" s="242">
        <v>307</v>
      </c>
      <c r="B362" s="200">
        <f t="shared" si="18"/>
        <v>0</v>
      </c>
      <c r="C362" s="200">
        <f t="shared" si="19"/>
        <v>0</v>
      </c>
      <c r="D362" s="200">
        <f t="shared" si="20"/>
        <v>0</v>
      </c>
      <c r="E362" s="200">
        <f t="shared" si="21"/>
        <v>0</v>
      </c>
      <c r="F362" s="199"/>
      <c r="G362" s="194"/>
      <c r="H362" s="188"/>
      <c r="I362" s="194"/>
    </row>
    <row r="363" spans="1:9">
      <c r="A363" s="242">
        <v>308</v>
      </c>
      <c r="B363" s="200">
        <f t="shared" si="18"/>
        <v>0</v>
      </c>
      <c r="C363" s="200">
        <f t="shared" si="19"/>
        <v>0</v>
      </c>
      <c r="D363" s="200">
        <f t="shared" si="20"/>
        <v>0</v>
      </c>
      <c r="E363" s="200">
        <f t="shared" si="21"/>
        <v>0</v>
      </c>
      <c r="F363" s="199"/>
      <c r="G363" s="194"/>
      <c r="H363" s="188"/>
      <c r="I363" s="194"/>
    </row>
    <row r="364" spans="1:9">
      <c r="A364" s="242">
        <v>309</v>
      </c>
      <c r="B364" s="200">
        <f t="shared" si="18"/>
        <v>0</v>
      </c>
      <c r="C364" s="200">
        <f t="shared" si="19"/>
        <v>0</v>
      </c>
      <c r="D364" s="200">
        <f t="shared" si="20"/>
        <v>0</v>
      </c>
      <c r="E364" s="200">
        <f t="shared" si="21"/>
        <v>0</v>
      </c>
      <c r="F364" s="199"/>
      <c r="G364" s="194"/>
      <c r="H364" s="188"/>
      <c r="I364" s="194"/>
    </row>
    <row r="365" spans="1:9">
      <c r="A365" s="242">
        <v>310</v>
      </c>
      <c r="B365" s="200">
        <f t="shared" si="18"/>
        <v>0</v>
      </c>
      <c r="C365" s="200">
        <f t="shared" si="19"/>
        <v>0</v>
      </c>
      <c r="D365" s="200">
        <f t="shared" si="20"/>
        <v>0</v>
      </c>
      <c r="E365" s="200">
        <f t="shared" si="21"/>
        <v>0</v>
      </c>
      <c r="F365" s="199"/>
      <c r="G365" s="194"/>
      <c r="H365" s="188"/>
      <c r="I365" s="194"/>
    </row>
    <row r="366" spans="1:9">
      <c r="A366" s="242">
        <v>311</v>
      </c>
      <c r="B366" s="200">
        <f t="shared" si="18"/>
        <v>0</v>
      </c>
      <c r="C366" s="200">
        <f t="shared" si="19"/>
        <v>0</v>
      </c>
      <c r="D366" s="200">
        <f t="shared" si="20"/>
        <v>0</v>
      </c>
      <c r="E366" s="200">
        <f t="shared" si="21"/>
        <v>0</v>
      </c>
      <c r="F366" s="199"/>
      <c r="G366" s="194"/>
      <c r="H366" s="188"/>
      <c r="I366" s="194"/>
    </row>
    <row r="367" spans="1:9">
      <c r="A367" s="242">
        <v>312</v>
      </c>
      <c r="B367" s="200">
        <f t="shared" si="18"/>
        <v>0</v>
      </c>
      <c r="C367" s="200">
        <f t="shared" si="19"/>
        <v>0</v>
      </c>
      <c r="D367" s="200">
        <f t="shared" si="20"/>
        <v>0</v>
      </c>
      <c r="E367" s="200">
        <f t="shared" si="21"/>
        <v>0</v>
      </c>
      <c r="F367" s="199">
        <v>26</v>
      </c>
      <c r="G367" s="241"/>
      <c r="H367" s="208"/>
      <c r="I367" s="241"/>
    </row>
    <row r="368" spans="1:9">
      <c r="A368" s="242">
        <v>313</v>
      </c>
      <c r="B368" s="200">
        <f t="shared" si="18"/>
        <v>0</v>
      </c>
      <c r="C368" s="200">
        <f t="shared" si="19"/>
        <v>0</v>
      </c>
      <c r="D368" s="200">
        <f t="shared" si="20"/>
        <v>0</v>
      </c>
      <c r="E368" s="200">
        <f t="shared" si="21"/>
        <v>0</v>
      </c>
      <c r="F368" s="199"/>
      <c r="G368" s="194"/>
      <c r="H368" s="188"/>
      <c r="I368" s="241"/>
    </row>
    <row r="369" spans="1:9">
      <c r="A369" s="242">
        <v>314</v>
      </c>
      <c r="B369" s="200">
        <f t="shared" si="18"/>
        <v>0</v>
      </c>
      <c r="C369" s="200">
        <f t="shared" si="19"/>
        <v>0</v>
      </c>
      <c r="D369" s="200">
        <f t="shared" si="20"/>
        <v>0</v>
      </c>
      <c r="E369" s="200">
        <f t="shared" si="21"/>
        <v>0</v>
      </c>
      <c r="F369" s="199"/>
      <c r="G369" s="194"/>
      <c r="H369" s="188"/>
      <c r="I369" s="194"/>
    </row>
    <row r="370" spans="1:9">
      <c r="A370" s="242">
        <v>315</v>
      </c>
      <c r="B370" s="200">
        <f t="shared" si="18"/>
        <v>0</v>
      </c>
      <c r="C370" s="200">
        <f t="shared" si="19"/>
        <v>0</v>
      </c>
      <c r="D370" s="200">
        <f t="shared" si="20"/>
        <v>0</v>
      </c>
      <c r="E370" s="200">
        <f t="shared" si="21"/>
        <v>0</v>
      </c>
      <c r="F370" s="199"/>
      <c r="G370" s="194"/>
      <c r="H370" s="188"/>
      <c r="I370" s="194"/>
    </row>
    <row r="371" spans="1:9">
      <c r="A371" s="242">
        <v>316</v>
      </c>
      <c r="B371" s="200">
        <f t="shared" si="18"/>
        <v>0</v>
      </c>
      <c r="C371" s="200">
        <f t="shared" si="19"/>
        <v>0</v>
      </c>
      <c r="D371" s="200">
        <f t="shared" si="20"/>
        <v>0</v>
      </c>
      <c r="E371" s="200">
        <f t="shared" si="21"/>
        <v>0</v>
      </c>
      <c r="F371" s="199"/>
      <c r="G371" s="194"/>
      <c r="H371" s="188"/>
      <c r="I371" s="194"/>
    </row>
    <row r="372" spans="1:9">
      <c r="A372" s="242">
        <v>317</v>
      </c>
      <c r="B372" s="200">
        <f t="shared" si="18"/>
        <v>0</v>
      </c>
      <c r="C372" s="200">
        <f t="shared" si="19"/>
        <v>0</v>
      </c>
      <c r="D372" s="200">
        <f t="shared" si="20"/>
        <v>0</v>
      </c>
      <c r="E372" s="200">
        <f t="shared" si="21"/>
        <v>0</v>
      </c>
      <c r="F372" s="199"/>
      <c r="G372" s="194"/>
      <c r="H372" s="188"/>
      <c r="I372" s="194"/>
    </row>
    <row r="373" spans="1:9">
      <c r="A373" s="242">
        <v>318</v>
      </c>
      <c r="B373" s="200">
        <f t="shared" si="18"/>
        <v>0</v>
      </c>
      <c r="C373" s="200">
        <f t="shared" si="19"/>
        <v>0</v>
      </c>
      <c r="D373" s="200">
        <f t="shared" si="20"/>
        <v>0</v>
      </c>
      <c r="E373" s="200">
        <f t="shared" si="21"/>
        <v>0</v>
      </c>
      <c r="F373" s="199"/>
      <c r="G373" s="241"/>
      <c r="H373" s="208"/>
      <c r="I373" s="194"/>
    </row>
    <row r="374" spans="1:9">
      <c r="A374" s="242">
        <v>319</v>
      </c>
      <c r="B374" s="200">
        <f t="shared" si="18"/>
        <v>0</v>
      </c>
      <c r="C374" s="200">
        <f t="shared" si="19"/>
        <v>0</v>
      </c>
      <c r="D374" s="200">
        <f t="shared" si="20"/>
        <v>0</v>
      </c>
      <c r="E374" s="200">
        <f t="shared" si="21"/>
        <v>0</v>
      </c>
      <c r="F374" s="199"/>
      <c r="G374" s="194"/>
      <c r="H374" s="188"/>
      <c r="I374" s="194"/>
    </row>
    <row r="375" spans="1:9">
      <c r="A375" s="242">
        <v>320</v>
      </c>
      <c r="B375" s="200">
        <f t="shared" si="18"/>
        <v>0</v>
      </c>
      <c r="C375" s="200">
        <f t="shared" si="19"/>
        <v>0</v>
      </c>
      <c r="D375" s="200">
        <f t="shared" si="20"/>
        <v>0</v>
      </c>
      <c r="E375" s="200">
        <f t="shared" si="21"/>
        <v>0</v>
      </c>
      <c r="F375" s="199"/>
      <c r="G375" s="194"/>
      <c r="H375" s="188"/>
      <c r="I375" s="194"/>
    </row>
    <row r="376" spans="1:9">
      <c r="A376" s="242">
        <v>321</v>
      </c>
      <c r="B376" s="200">
        <f t="shared" ref="B376:B439" si="22">IF(A376&gt;12*$D$14,0,$D$20)</f>
        <v>0</v>
      </c>
      <c r="C376" s="200">
        <f t="shared" ref="C376:C439" si="23">IF(A376&gt;12*$D$14,0,E375*$D$10/12)</f>
        <v>0</v>
      </c>
      <c r="D376" s="200">
        <f t="shared" ref="D376:D439" si="24">IF(A376&gt;12*$D$14,0,B376-C376)</f>
        <v>0</v>
      </c>
      <c r="E376" s="200">
        <f t="shared" ref="E376:E439" si="25">IF(A376&gt;12*$D$14,0,E375-D376)</f>
        <v>0</v>
      </c>
      <c r="F376" s="199"/>
      <c r="G376" s="194"/>
      <c r="H376" s="188"/>
      <c r="I376" s="194"/>
    </row>
    <row r="377" spans="1:9">
      <c r="A377" s="242">
        <v>322</v>
      </c>
      <c r="B377" s="200">
        <f t="shared" si="22"/>
        <v>0</v>
      </c>
      <c r="C377" s="200">
        <f t="shared" si="23"/>
        <v>0</v>
      </c>
      <c r="D377" s="200">
        <f t="shared" si="24"/>
        <v>0</v>
      </c>
      <c r="E377" s="200">
        <f t="shared" si="25"/>
        <v>0</v>
      </c>
      <c r="F377" s="199"/>
      <c r="G377" s="194"/>
      <c r="H377" s="188"/>
      <c r="I377" s="194"/>
    </row>
    <row r="378" spans="1:9">
      <c r="A378" s="242">
        <v>323</v>
      </c>
      <c r="B378" s="200">
        <f t="shared" si="22"/>
        <v>0</v>
      </c>
      <c r="C378" s="200">
        <f t="shared" si="23"/>
        <v>0</v>
      </c>
      <c r="D378" s="200">
        <f t="shared" si="24"/>
        <v>0</v>
      </c>
      <c r="E378" s="200">
        <f t="shared" si="25"/>
        <v>0</v>
      </c>
      <c r="F378" s="199"/>
      <c r="G378" s="194"/>
      <c r="H378" s="188"/>
      <c r="I378" s="194"/>
    </row>
    <row r="379" spans="1:9">
      <c r="A379" s="242">
        <v>324</v>
      </c>
      <c r="B379" s="200">
        <f t="shared" si="22"/>
        <v>0</v>
      </c>
      <c r="C379" s="200">
        <f t="shared" si="23"/>
        <v>0</v>
      </c>
      <c r="D379" s="200">
        <f t="shared" si="24"/>
        <v>0</v>
      </c>
      <c r="E379" s="200">
        <f t="shared" si="25"/>
        <v>0</v>
      </c>
      <c r="F379" s="199">
        <v>27</v>
      </c>
      <c r="G379" s="241"/>
      <c r="H379" s="208"/>
      <c r="I379" s="241"/>
    </row>
    <row r="380" spans="1:9">
      <c r="A380" s="242">
        <v>325</v>
      </c>
      <c r="B380" s="200">
        <f t="shared" si="22"/>
        <v>0</v>
      </c>
      <c r="C380" s="200">
        <f t="shared" si="23"/>
        <v>0</v>
      </c>
      <c r="D380" s="200">
        <f t="shared" si="24"/>
        <v>0</v>
      </c>
      <c r="E380" s="200">
        <f t="shared" si="25"/>
        <v>0</v>
      </c>
      <c r="F380" s="199"/>
      <c r="G380" s="194"/>
      <c r="H380" s="188"/>
      <c r="I380" s="241"/>
    </row>
    <row r="381" spans="1:9">
      <c r="A381" s="242">
        <v>326</v>
      </c>
      <c r="B381" s="200">
        <f t="shared" si="22"/>
        <v>0</v>
      </c>
      <c r="C381" s="200">
        <f t="shared" si="23"/>
        <v>0</v>
      </c>
      <c r="D381" s="200">
        <f t="shared" si="24"/>
        <v>0</v>
      </c>
      <c r="E381" s="200">
        <f t="shared" si="25"/>
        <v>0</v>
      </c>
      <c r="F381" s="199"/>
      <c r="G381" s="194"/>
      <c r="H381" s="188"/>
      <c r="I381" s="194"/>
    </row>
    <row r="382" spans="1:9">
      <c r="A382" s="242">
        <v>327</v>
      </c>
      <c r="B382" s="200">
        <f t="shared" si="22"/>
        <v>0</v>
      </c>
      <c r="C382" s="200">
        <f t="shared" si="23"/>
        <v>0</v>
      </c>
      <c r="D382" s="200">
        <f t="shared" si="24"/>
        <v>0</v>
      </c>
      <c r="E382" s="200">
        <f t="shared" si="25"/>
        <v>0</v>
      </c>
      <c r="F382" s="199"/>
      <c r="G382" s="194"/>
      <c r="H382" s="188"/>
      <c r="I382" s="194"/>
    </row>
    <row r="383" spans="1:9">
      <c r="A383" s="242">
        <v>328</v>
      </c>
      <c r="B383" s="200">
        <f t="shared" si="22"/>
        <v>0</v>
      </c>
      <c r="C383" s="200">
        <f t="shared" si="23"/>
        <v>0</v>
      </c>
      <c r="D383" s="200">
        <f t="shared" si="24"/>
        <v>0</v>
      </c>
      <c r="E383" s="200">
        <f t="shared" si="25"/>
        <v>0</v>
      </c>
      <c r="F383" s="199"/>
      <c r="G383" s="194"/>
      <c r="H383" s="188"/>
      <c r="I383" s="194"/>
    </row>
    <row r="384" spans="1:9">
      <c r="A384" s="242">
        <v>329</v>
      </c>
      <c r="B384" s="200">
        <f t="shared" si="22"/>
        <v>0</v>
      </c>
      <c r="C384" s="200">
        <f t="shared" si="23"/>
        <v>0</v>
      </c>
      <c r="D384" s="200">
        <f t="shared" si="24"/>
        <v>0</v>
      </c>
      <c r="E384" s="200">
        <f t="shared" si="25"/>
        <v>0</v>
      </c>
      <c r="F384" s="199"/>
      <c r="G384" s="194"/>
      <c r="H384" s="188"/>
      <c r="I384" s="194"/>
    </row>
    <row r="385" spans="1:9">
      <c r="A385" s="242">
        <v>330</v>
      </c>
      <c r="B385" s="200">
        <f t="shared" si="22"/>
        <v>0</v>
      </c>
      <c r="C385" s="200">
        <f t="shared" si="23"/>
        <v>0</v>
      </c>
      <c r="D385" s="200">
        <f t="shared" si="24"/>
        <v>0</v>
      </c>
      <c r="E385" s="200">
        <f t="shared" si="25"/>
        <v>0</v>
      </c>
      <c r="F385" s="199"/>
      <c r="G385" s="241"/>
      <c r="H385" s="208"/>
      <c r="I385" s="194"/>
    </row>
    <row r="386" spans="1:9">
      <c r="A386" s="242">
        <v>331</v>
      </c>
      <c r="B386" s="200">
        <f t="shared" si="22"/>
        <v>0</v>
      </c>
      <c r="C386" s="200">
        <f t="shared" si="23"/>
        <v>0</v>
      </c>
      <c r="D386" s="200">
        <f t="shared" si="24"/>
        <v>0</v>
      </c>
      <c r="E386" s="200">
        <f t="shared" si="25"/>
        <v>0</v>
      </c>
      <c r="F386" s="199"/>
      <c r="G386" s="194"/>
      <c r="H386" s="188"/>
      <c r="I386" s="194"/>
    </row>
    <row r="387" spans="1:9">
      <c r="A387" s="242">
        <v>332</v>
      </c>
      <c r="B387" s="200">
        <f t="shared" si="22"/>
        <v>0</v>
      </c>
      <c r="C387" s="200">
        <f t="shared" si="23"/>
        <v>0</v>
      </c>
      <c r="D387" s="200">
        <f t="shared" si="24"/>
        <v>0</v>
      </c>
      <c r="E387" s="200">
        <f t="shared" si="25"/>
        <v>0</v>
      </c>
      <c r="F387" s="199"/>
      <c r="G387" s="194"/>
      <c r="H387" s="188"/>
      <c r="I387" s="194"/>
    </row>
    <row r="388" spans="1:9">
      <c r="A388" s="242">
        <v>333</v>
      </c>
      <c r="B388" s="200">
        <f t="shared" si="22"/>
        <v>0</v>
      </c>
      <c r="C388" s="200">
        <f t="shared" si="23"/>
        <v>0</v>
      </c>
      <c r="D388" s="200">
        <f t="shared" si="24"/>
        <v>0</v>
      </c>
      <c r="E388" s="200">
        <f t="shared" si="25"/>
        <v>0</v>
      </c>
      <c r="F388" s="199"/>
      <c r="G388" s="194"/>
      <c r="H388" s="188"/>
      <c r="I388" s="194"/>
    </row>
    <row r="389" spans="1:9">
      <c r="A389" s="242">
        <v>334</v>
      </c>
      <c r="B389" s="200">
        <f t="shared" si="22"/>
        <v>0</v>
      </c>
      <c r="C389" s="200">
        <f t="shared" si="23"/>
        <v>0</v>
      </c>
      <c r="D389" s="200">
        <f t="shared" si="24"/>
        <v>0</v>
      </c>
      <c r="E389" s="200">
        <f t="shared" si="25"/>
        <v>0</v>
      </c>
      <c r="F389" s="199"/>
      <c r="G389" s="194"/>
      <c r="H389" s="188"/>
      <c r="I389" s="194"/>
    </row>
    <row r="390" spans="1:9">
      <c r="A390" s="242">
        <v>335</v>
      </c>
      <c r="B390" s="200">
        <f t="shared" si="22"/>
        <v>0</v>
      </c>
      <c r="C390" s="200">
        <f t="shared" si="23"/>
        <v>0</v>
      </c>
      <c r="D390" s="200">
        <f t="shared" si="24"/>
        <v>0</v>
      </c>
      <c r="E390" s="200">
        <f t="shared" si="25"/>
        <v>0</v>
      </c>
      <c r="F390" s="199"/>
      <c r="G390" s="194"/>
      <c r="H390" s="188"/>
      <c r="I390" s="194"/>
    </row>
    <row r="391" spans="1:9">
      <c r="A391" s="242">
        <v>336</v>
      </c>
      <c r="B391" s="200">
        <f t="shared" si="22"/>
        <v>0</v>
      </c>
      <c r="C391" s="200">
        <f t="shared" si="23"/>
        <v>0</v>
      </c>
      <c r="D391" s="200">
        <f t="shared" si="24"/>
        <v>0</v>
      </c>
      <c r="E391" s="200">
        <f t="shared" si="25"/>
        <v>0</v>
      </c>
      <c r="F391" s="199">
        <v>28</v>
      </c>
      <c r="G391" s="241"/>
      <c r="H391" s="208"/>
      <c r="I391" s="241"/>
    </row>
    <row r="392" spans="1:9">
      <c r="A392" s="242">
        <v>337</v>
      </c>
      <c r="B392" s="200">
        <f t="shared" si="22"/>
        <v>0</v>
      </c>
      <c r="C392" s="200">
        <f t="shared" si="23"/>
        <v>0</v>
      </c>
      <c r="D392" s="200">
        <f t="shared" si="24"/>
        <v>0</v>
      </c>
      <c r="E392" s="200">
        <f t="shared" si="25"/>
        <v>0</v>
      </c>
      <c r="F392" s="199"/>
      <c r="G392" s="194"/>
      <c r="H392" s="188"/>
      <c r="I392" s="241"/>
    </row>
    <row r="393" spans="1:9">
      <c r="A393" s="242">
        <v>338</v>
      </c>
      <c r="B393" s="200">
        <f t="shared" si="22"/>
        <v>0</v>
      </c>
      <c r="C393" s="200">
        <f t="shared" si="23"/>
        <v>0</v>
      </c>
      <c r="D393" s="200">
        <f t="shared" si="24"/>
        <v>0</v>
      </c>
      <c r="E393" s="200">
        <f t="shared" si="25"/>
        <v>0</v>
      </c>
      <c r="F393" s="199"/>
      <c r="G393" s="194"/>
      <c r="H393" s="188"/>
      <c r="I393" s="194"/>
    </row>
    <row r="394" spans="1:9">
      <c r="A394" s="242">
        <v>339</v>
      </c>
      <c r="B394" s="200">
        <f t="shared" si="22"/>
        <v>0</v>
      </c>
      <c r="C394" s="200">
        <f t="shared" si="23"/>
        <v>0</v>
      </c>
      <c r="D394" s="200">
        <f t="shared" si="24"/>
        <v>0</v>
      </c>
      <c r="E394" s="200">
        <f t="shared" si="25"/>
        <v>0</v>
      </c>
      <c r="F394" s="199"/>
      <c r="G394" s="194"/>
      <c r="H394" s="188"/>
      <c r="I394" s="194"/>
    </row>
    <row r="395" spans="1:9">
      <c r="A395" s="242">
        <v>340</v>
      </c>
      <c r="B395" s="200">
        <f t="shared" si="22"/>
        <v>0</v>
      </c>
      <c r="C395" s="200">
        <f t="shared" si="23"/>
        <v>0</v>
      </c>
      <c r="D395" s="200">
        <f t="shared" si="24"/>
        <v>0</v>
      </c>
      <c r="E395" s="200">
        <f t="shared" si="25"/>
        <v>0</v>
      </c>
      <c r="F395" s="199"/>
      <c r="G395" s="194"/>
      <c r="H395" s="188"/>
      <c r="I395" s="194"/>
    </row>
    <row r="396" spans="1:9">
      <c r="A396" s="242">
        <v>341</v>
      </c>
      <c r="B396" s="200">
        <f t="shared" si="22"/>
        <v>0</v>
      </c>
      <c r="C396" s="200">
        <f t="shared" si="23"/>
        <v>0</v>
      </c>
      <c r="D396" s="200">
        <f t="shared" si="24"/>
        <v>0</v>
      </c>
      <c r="E396" s="200">
        <f t="shared" si="25"/>
        <v>0</v>
      </c>
      <c r="F396" s="199"/>
      <c r="G396" s="194"/>
      <c r="H396" s="188"/>
      <c r="I396" s="194"/>
    </row>
    <row r="397" spans="1:9">
      <c r="A397" s="242">
        <v>342</v>
      </c>
      <c r="B397" s="200">
        <f t="shared" si="22"/>
        <v>0</v>
      </c>
      <c r="C397" s="200">
        <f t="shared" si="23"/>
        <v>0</v>
      </c>
      <c r="D397" s="200">
        <f t="shared" si="24"/>
        <v>0</v>
      </c>
      <c r="E397" s="200">
        <f t="shared" si="25"/>
        <v>0</v>
      </c>
      <c r="F397" s="199"/>
      <c r="G397" s="241"/>
      <c r="H397" s="208"/>
      <c r="I397" s="194"/>
    </row>
    <row r="398" spans="1:9">
      <c r="A398" s="242">
        <v>343</v>
      </c>
      <c r="B398" s="200">
        <f t="shared" si="22"/>
        <v>0</v>
      </c>
      <c r="C398" s="200">
        <f t="shared" si="23"/>
        <v>0</v>
      </c>
      <c r="D398" s="200">
        <f t="shared" si="24"/>
        <v>0</v>
      </c>
      <c r="E398" s="200">
        <f t="shared" si="25"/>
        <v>0</v>
      </c>
      <c r="F398" s="199"/>
      <c r="G398" s="194"/>
      <c r="H398" s="188"/>
      <c r="I398" s="194"/>
    </row>
    <row r="399" spans="1:9">
      <c r="A399" s="242">
        <v>344</v>
      </c>
      <c r="B399" s="200">
        <f t="shared" si="22"/>
        <v>0</v>
      </c>
      <c r="C399" s="200">
        <f t="shared" si="23"/>
        <v>0</v>
      </c>
      <c r="D399" s="200">
        <f t="shared" si="24"/>
        <v>0</v>
      </c>
      <c r="E399" s="200">
        <f t="shared" si="25"/>
        <v>0</v>
      </c>
      <c r="F399" s="199"/>
      <c r="G399" s="194"/>
      <c r="H399" s="188"/>
      <c r="I399" s="194"/>
    </row>
    <row r="400" spans="1:9">
      <c r="A400" s="242">
        <v>345</v>
      </c>
      <c r="B400" s="200">
        <f t="shared" si="22"/>
        <v>0</v>
      </c>
      <c r="C400" s="200">
        <f t="shared" si="23"/>
        <v>0</v>
      </c>
      <c r="D400" s="200">
        <f t="shared" si="24"/>
        <v>0</v>
      </c>
      <c r="E400" s="200">
        <f t="shared" si="25"/>
        <v>0</v>
      </c>
      <c r="F400" s="199"/>
      <c r="G400" s="194"/>
      <c r="H400" s="188"/>
      <c r="I400" s="194"/>
    </row>
    <row r="401" spans="1:9">
      <c r="A401" s="242">
        <v>346</v>
      </c>
      <c r="B401" s="200">
        <f t="shared" si="22"/>
        <v>0</v>
      </c>
      <c r="C401" s="200">
        <f t="shared" si="23"/>
        <v>0</v>
      </c>
      <c r="D401" s="200">
        <f t="shared" si="24"/>
        <v>0</v>
      </c>
      <c r="E401" s="200">
        <f t="shared" si="25"/>
        <v>0</v>
      </c>
      <c r="F401" s="199"/>
      <c r="G401" s="194"/>
      <c r="H401" s="188"/>
      <c r="I401" s="194"/>
    </row>
    <row r="402" spans="1:9">
      <c r="A402" s="242">
        <v>347</v>
      </c>
      <c r="B402" s="200">
        <f t="shared" si="22"/>
        <v>0</v>
      </c>
      <c r="C402" s="200">
        <f t="shared" si="23"/>
        <v>0</v>
      </c>
      <c r="D402" s="200">
        <f t="shared" si="24"/>
        <v>0</v>
      </c>
      <c r="E402" s="200">
        <f t="shared" si="25"/>
        <v>0</v>
      </c>
      <c r="F402" s="199"/>
      <c r="G402" s="194"/>
      <c r="H402" s="188"/>
      <c r="I402" s="194"/>
    </row>
    <row r="403" spans="1:9">
      <c r="A403" s="242">
        <v>348</v>
      </c>
      <c r="B403" s="200">
        <f t="shared" si="22"/>
        <v>0</v>
      </c>
      <c r="C403" s="200">
        <f t="shared" si="23"/>
        <v>0</v>
      </c>
      <c r="D403" s="200">
        <f t="shared" si="24"/>
        <v>0</v>
      </c>
      <c r="E403" s="200">
        <f t="shared" si="25"/>
        <v>0</v>
      </c>
      <c r="F403" s="199">
        <v>29</v>
      </c>
      <c r="G403" s="241"/>
      <c r="H403" s="208"/>
      <c r="I403" s="241"/>
    </row>
    <row r="404" spans="1:9">
      <c r="A404" s="242">
        <v>349</v>
      </c>
      <c r="B404" s="200">
        <f t="shared" si="22"/>
        <v>0</v>
      </c>
      <c r="C404" s="200">
        <f t="shared" si="23"/>
        <v>0</v>
      </c>
      <c r="D404" s="200">
        <f t="shared" si="24"/>
        <v>0</v>
      </c>
      <c r="E404" s="200">
        <f t="shared" si="25"/>
        <v>0</v>
      </c>
      <c r="F404" s="199"/>
      <c r="G404" s="194"/>
      <c r="H404" s="188"/>
      <c r="I404" s="241"/>
    </row>
    <row r="405" spans="1:9">
      <c r="A405" s="242">
        <v>350</v>
      </c>
      <c r="B405" s="200">
        <f t="shared" si="22"/>
        <v>0</v>
      </c>
      <c r="C405" s="200">
        <f t="shared" si="23"/>
        <v>0</v>
      </c>
      <c r="D405" s="200">
        <f t="shared" si="24"/>
        <v>0</v>
      </c>
      <c r="E405" s="200">
        <f t="shared" si="25"/>
        <v>0</v>
      </c>
      <c r="F405" s="199"/>
      <c r="G405" s="194"/>
      <c r="H405" s="188"/>
      <c r="I405" s="194"/>
    </row>
    <row r="406" spans="1:9">
      <c r="A406" s="242">
        <v>351</v>
      </c>
      <c r="B406" s="200">
        <f t="shared" si="22"/>
        <v>0</v>
      </c>
      <c r="C406" s="200">
        <f t="shared" si="23"/>
        <v>0</v>
      </c>
      <c r="D406" s="200">
        <f t="shared" si="24"/>
        <v>0</v>
      </c>
      <c r="E406" s="200">
        <f t="shared" si="25"/>
        <v>0</v>
      </c>
      <c r="F406" s="199"/>
      <c r="G406" s="194"/>
      <c r="H406" s="188"/>
      <c r="I406" s="194"/>
    </row>
    <row r="407" spans="1:9">
      <c r="A407" s="242">
        <v>352</v>
      </c>
      <c r="B407" s="200">
        <f t="shared" si="22"/>
        <v>0</v>
      </c>
      <c r="C407" s="200">
        <f t="shared" si="23"/>
        <v>0</v>
      </c>
      <c r="D407" s="200">
        <f t="shared" si="24"/>
        <v>0</v>
      </c>
      <c r="E407" s="200">
        <f t="shared" si="25"/>
        <v>0</v>
      </c>
      <c r="F407" s="199"/>
      <c r="G407" s="194"/>
      <c r="H407" s="188"/>
      <c r="I407" s="194"/>
    </row>
    <row r="408" spans="1:9">
      <c r="A408" s="242">
        <v>353</v>
      </c>
      <c r="B408" s="200">
        <f t="shared" si="22"/>
        <v>0</v>
      </c>
      <c r="C408" s="200">
        <f t="shared" si="23"/>
        <v>0</v>
      </c>
      <c r="D408" s="200">
        <f t="shared" si="24"/>
        <v>0</v>
      </c>
      <c r="E408" s="200">
        <f t="shared" si="25"/>
        <v>0</v>
      </c>
      <c r="F408" s="199"/>
      <c r="G408" s="194"/>
      <c r="H408" s="188"/>
      <c r="I408" s="194"/>
    </row>
    <row r="409" spans="1:9">
      <c r="A409" s="242">
        <v>354</v>
      </c>
      <c r="B409" s="200">
        <f t="shared" si="22"/>
        <v>0</v>
      </c>
      <c r="C409" s="200">
        <f t="shared" si="23"/>
        <v>0</v>
      </c>
      <c r="D409" s="200">
        <f t="shared" si="24"/>
        <v>0</v>
      </c>
      <c r="E409" s="200">
        <f t="shared" si="25"/>
        <v>0</v>
      </c>
      <c r="F409" s="199"/>
      <c r="G409" s="241"/>
      <c r="H409" s="208"/>
      <c r="I409" s="194"/>
    </row>
    <row r="410" spans="1:9">
      <c r="A410" s="242">
        <v>355</v>
      </c>
      <c r="B410" s="200">
        <f t="shared" si="22"/>
        <v>0</v>
      </c>
      <c r="C410" s="200">
        <f t="shared" si="23"/>
        <v>0</v>
      </c>
      <c r="D410" s="200">
        <f t="shared" si="24"/>
        <v>0</v>
      </c>
      <c r="E410" s="200">
        <f t="shared" si="25"/>
        <v>0</v>
      </c>
      <c r="F410" s="199"/>
      <c r="G410" s="194"/>
      <c r="H410" s="188"/>
      <c r="I410" s="194"/>
    </row>
    <row r="411" spans="1:9">
      <c r="A411" s="242">
        <v>356</v>
      </c>
      <c r="B411" s="200">
        <f t="shared" si="22"/>
        <v>0</v>
      </c>
      <c r="C411" s="200">
        <f t="shared" si="23"/>
        <v>0</v>
      </c>
      <c r="D411" s="200">
        <f t="shared" si="24"/>
        <v>0</v>
      </c>
      <c r="E411" s="200">
        <f t="shared" si="25"/>
        <v>0</v>
      </c>
      <c r="F411" s="199"/>
      <c r="G411" s="194"/>
      <c r="H411" s="188"/>
      <c r="I411" s="194"/>
    </row>
    <row r="412" spans="1:9">
      <c r="A412" s="242">
        <v>357</v>
      </c>
      <c r="B412" s="200">
        <f t="shared" si="22"/>
        <v>0</v>
      </c>
      <c r="C412" s="200">
        <f t="shared" si="23"/>
        <v>0</v>
      </c>
      <c r="D412" s="200">
        <f t="shared" si="24"/>
        <v>0</v>
      </c>
      <c r="E412" s="200">
        <f t="shared" si="25"/>
        <v>0</v>
      </c>
      <c r="F412" s="199"/>
      <c r="G412" s="194"/>
      <c r="H412" s="188"/>
      <c r="I412" s="194"/>
    </row>
    <row r="413" spans="1:9">
      <c r="A413" s="242">
        <v>358</v>
      </c>
      <c r="B413" s="200">
        <f t="shared" si="22"/>
        <v>0</v>
      </c>
      <c r="C413" s="200">
        <f t="shared" si="23"/>
        <v>0</v>
      </c>
      <c r="D413" s="200">
        <f t="shared" si="24"/>
        <v>0</v>
      </c>
      <c r="E413" s="200">
        <f t="shared" si="25"/>
        <v>0</v>
      </c>
      <c r="F413" s="199"/>
      <c r="G413" s="194"/>
      <c r="H413" s="188"/>
      <c r="I413" s="194"/>
    </row>
    <row r="414" spans="1:9">
      <c r="A414" s="242">
        <v>359</v>
      </c>
      <c r="B414" s="200">
        <f t="shared" si="22"/>
        <v>0</v>
      </c>
      <c r="C414" s="200">
        <f t="shared" si="23"/>
        <v>0</v>
      </c>
      <c r="D414" s="200">
        <f t="shared" si="24"/>
        <v>0</v>
      </c>
      <c r="E414" s="200">
        <f t="shared" si="25"/>
        <v>0</v>
      </c>
      <c r="F414" s="199"/>
      <c r="G414" s="194"/>
      <c r="H414" s="188"/>
      <c r="I414" s="194"/>
    </row>
    <row r="415" spans="1:9">
      <c r="A415" s="242">
        <v>360</v>
      </c>
      <c r="B415" s="200">
        <f t="shared" si="22"/>
        <v>0</v>
      </c>
      <c r="C415" s="200">
        <f t="shared" si="23"/>
        <v>0</v>
      </c>
      <c r="D415" s="200">
        <f t="shared" si="24"/>
        <v>0</v>
      </c>
      <c r="E415" s="200">
        <f t="shared" si="25"/>
        <v>0</v>
      </c>
      <c r="F415" s="199">
        <v>30</v>
      </c>
      <c r="G415" s="241"/>
      <c r="H415" s="208"/>
      <c r="I415" s="241"/>
    </row>
    <row r="416" spans="1:9">
      <c r="A416" s="242">
        <v>361</v>
      </c>
      <c r="B416" s="200">
        <f t="shared" si="22"/>
        <v>0</v>
      </c>
      <c r="C416" s="200">
        <f t="shared" si="23"/>
        <v>0</v>
      </c>
      <c r="D416" s="200">
        <f t="shared" si="24"/>
        <v>0</v>
      </c>
      <c r="E416" s="200">
        <f t="shared" si="25"/>
        <v>0</v>
      </c>
      <c r="F416" s="199"/>
      <c r="G416" s="194"/>
      <c r="H416" s="188"/>
      <c r="I416" s="241"/>
    </row>
    <row r="417" spans="1:9">
      <c r="A417" s="242">
        <v>362</v>
      </c>
      <c r="B417" s="200">
        <f t="shared" si="22"/>
        <v>0</v>
      </c>
      <c r="C417" s="200">
        <f t="shared" si="23"/>
        <v>0</v>
      </c>
      <c r="D417" s="200">
        <f t="shared" si="24"/>
        <v>0</v>
      </c>
      <c r="E417" s="200">
        <f t="shared" si="25"/>
        <v>0</v>
      </c>
      <c r="F417" s="199"/>
      <c r="G417" s="194"/>
      <c r="H417" s="188"/>
      <c r="I417" s="194"/>
    </row>
    <row r="418" spans="1:9">
      <c r="A418" s="242">
        <v>363</v>
      </c>
      <c r="B418" s="200">
        <f t="shared" si="22"/>
        <v>0</v>
      </c>
      <c r="C418" s="200">
        <f t="shared" si="23"/>
        <v>0</v>
      </c>
      <c r="D418" s="200">
        <f t="shared" si="24"/>
        <v>0</v>
      </c>
      <c r="E418" s="200">
        <f t="shared" si="25"/>
        <v>0</v>
      </c>
      <c r="F418" s="199"/>
      <c r="G418" s="194"/>
      <c r="H418" s="188"/>
      <c r="I418" s="194"/>
    </row>
    <row r="419" spans="1:9">
      <c r="A419" s="242">
        <v>364</v>
      </c>
      <c r="B419" s="200">
        <f t="shared" si="22"/>
        <v>0</v>
      </c>
      <c r="C419" s="200">
        <f t="shared" si="23"/>
        <v>0</v>
      </c>
      <c r="D419" s="200">
        <f t="shared" si="24"/>
        <v>0</v>
      </c>
      <c r="E419" s="200">
        <f t="shared" si="25"/>
        <v>0</v>
      </c>
      <c r="F419" s="199"/>
      <c r="G419" s="194"/>
      <c r="H419" s="188"/>
      <c r="I419" s="194"/>
    </row>
    <row r="420" spans="1:9">
      <c r="A420" s="242">
        <v>365</v>
      </c>
      <c r="B420" s="200">
        <f t="shared" si="22"/>
        <v>0</v>
      </c>
      <c r="C420" s="200">
        <f t="shared" si="23"/>
        <v>0</v>
      </c>
      <c r="D420" s="200">
        <f t="shared" si="24"/>
        <v>0</v>
      </c>
      <c r="E420" s="200">
        <f t="shared" si="25"/>
        <v>0</v>
      </c>
      <c r="F420" s="199"/>
      <c r="G420" s="194"/>
      <c r="H420" s="188"/>
      <c r="I420" s="194"/>
    </row>
    <row r="421" spans="1:9">
      <c r="A421" s="242">
        <v>366</v>
      </c>
      <c r="B421" s="200">
        <f t="shared" si="22"/>
        <v>0</v>
      </c>
      <c r="C421" s="200">
        <f t="shared" si="23"/>
        <v>0</v>
      </c>
      <c r="D421" s="200">
        <f t="shared" si="24"/>
        <v>0</v>
      </c>
      <c r="E421" s="200">
        <f t="shared" si="25"/>
        <v>0</v>
      </c>
      <c r="F421" s="199"/>
      <c r="G421" s="241"/>
      <c r="H421" s="208"/>
      <c r="I421" s="194"/>
    </row>
    <row r="422" spans="1:9">
      <c r="A422" s="242">
        <v>367</v>
      </c>
      <c r="B422" s="200">
        <f t="shared" si="22"/>
        <v>0</v>
      </c>
      <c r="C422" s="200">
        <f t="shared" si="23"/>
        <v>0</v>
      </c>
      <c r="D422" s="200">
        <f t="shared" si="24"/>
        <v>0</v>
      </c>
      <c r="E422" s="200">
        <f t="shared" si="25"/>
        <v>0</v>
      </c>
      <c r="F422" s="199"/>
      <c r="G422" s="194"/>
      <c r="H422" s="188"/>
      <c r="I422" s="194"/>
    </row>
    <row r="423" spans="1:9">
      <c r="A423" s="242">
        <v>368</v>
      </c>
      <c r="B423" s="200">
        <f t="shared" si="22"/>
        <v>0</v>
      </c>
      <c r="C423" s="200">
        <f t="shared" si="23"/>
        <v>0</v>
      </c>
      <c r="D423" s="200">
        <f t="shared" si="24"/>
        <v>0</v>
      </c>
      <c r="E423" s="200">
        <f t="shared" si="25"/>
        <v>0</v>
      </c>
      <c r="F423" s="199"/>
      <c r="G423" s="194"/>
      <c r="H423" s="188"/>
      <c r="I423" s="194"/>
    </row>
    <row r="424" spans="1:9">
      <c r="A424" s="242">
        <v>369</v>
      </c>
      <c r="B424" s="200">
        <f t="shared" si="22"/>
        <v>0</v>
      </c>
      <c r="C424" s="200">
        <f t="shared" si="23"/>
        <v>0</v>
      </c>
      <c r="D424" s="200">
        <f t="shared" si="24"/>
        <v>0</v>
      </c>
      <c r="E424" s="200">
        <f t="shared" si="25"/>
        <v>0</v>
      </c>
      <c r="F424" s="199"/>
      <c r="G424" s="194"/>
      <c r="H424" s="188"/>
      <c r="I424" s="194"/>
    </row>
    <row r="425" spans="1:9">
      <c r="A425" s="242">
        <v>370</v>
      </c>
      <c r="B425" s="200">
        <f t="shared" si="22"/>
        <v>0</v>
      </c>
      <c r="C425" s="200">
        <f t="shared" si="23"/>
        <v>0</v>
      </c>
      <c r="D425" s="200">
        <f t="shared" si="24"/>
        <v>0</v>
      </c>
      <c r="E425" s="200">
        <f t="shared" si="25"/>
        <v>0</v>
      </c>
      <c r="F425" s="199"/>
      <c r="G425" s="194"/>
      <c r="H425" s="188"/>
      <c r="I425" s="194"/>
    </row>
    <row r="426" spans="1:9">
      <c r="A426" s="242">
        <v>371</v>
      </c>
      <c r="B426" s="200">
        <f t="shared" si="22"/>
        <v>0</v>
      </c>
      <c r="C426" s="200">
        <f t="shared" si="23"/>
        <v>0</v>
      </c>
      <c r="D426" s="200">
        <f t="shared" si="24"/>
        <v>0</v>
      </c>
      <c r="E426" s="200">
        <f t="shared" si="25"/>
        <v>0</v>
      </c>
      <c r="F426" s="199"/>
      <c r="G426" s="194"/>
      <c r="H426" s="188"/>
      <c r="I426" s="194"/>
    </row>
    <row r="427" spans="1:9">
      <c r="A427" s="242">
        <v>372</v>
      </c>
      <c r="B427" s="200">
        <f t="shared" si="22"/>
        <v>0</v>
      </c>
      <c r="C427" s="200">
        <f t="shared" si="23"/>
        <v>0</v>
      </c>
      <c r="D427" s="200">
        <f t="shared" si="24"/>
        <v>0</v>
      </c>
      <c r="E427" s="200">
        <f t="shared" si="25"/>
        <v>0</v>
      </c>
      <c r="F427" s="199">
        <v>31</v>
      </c>
      <c r="G427" s="241"/>
      <c r="H427" s="208"/>
      <c r="I427" s="241"/>
    </row>
    <row r="428" spans="1:9">
      <c r="A428" s="242">
        <v>373</v>
      </c>
      <c r="B428" s="200">
        <f t="shared" si="22"/>
        <v>0</v>
      </c>
      <c r="C428" s="200">
        <f t="shared" si="23"/>
        <v>0</v>
      </c>
      <c r="D428" s="200">
        <f t="shared" si="24"/>
        <v>0</v>
      </c>
      <c r="E428" s="200">
        <f t="shared" si="25"/>
        <v>0</v>
      </c>
      <c r="F428" s="199"/>
      <c r="G428" s="194"/>
      <c r="H428" s="188"/>
      <c r="I428" s="241"/>
    </row>
    <row r="429" spans="1:9">
      <c r="A429" s="242">
        <v>374</v>
      </c>
      <c r="B429" s="200">
        <f t="shared" si="22"/>
        <v>0</v>
      </c>
      <c r="C429" s="200">
        <f t="shared" si="23"/>
        <v>0</v>
      </c>
      <c r="D429" s="200">
        <f t="shared" si="24"/>
        <v>0</v>
      </c>
      <c r="E429" s="200">
        <f t="shared" si="25"/>
        <v>0</v>
      </c>
      <c r="F429" s="199"/>
      <c r="G429" s="194"/>
      <c r="H429" s="188"/>
      <c r="I429" s="194"/>
    </row>
    <row r="430" spans="1:9">
      <c r="A430" s="242">
        <v>375</v>
      </c>
      <c r="B430" s="200">
        <f t="shared" si="22"/>
        <v>0</v>
      </c>
      <c r="C430" s="200">
        <f t="shared" si="23"/>
        <v>0</v>
      </c>
      <c r="D430" s="200">
        <f t="shared" si="24"/>
        <v>0</v>
      </c>
      <c r="E430" s="200">
        <f t="shared" si="25"/>
        <v>0</v>
      </c>
      <c r="F430" s="199"/>
      <c r="G430" s="194"/>
      <c r="H430" s="188"/>
      <c r="I430" s="194"/>
    </row>
    <row r="431" spans="1:9">
      <c r="A431" s="242">
        <v>376</v>
      </c>
      <c r="B431" s="200">
        <f t="shared" si="22"/>
        <v>0</v>
      </c>
      <c r="C431" s="200">
        <f t="shared" si="23"/>
        <v>0</v>
      </c>
      <c r="D431" s="200">
        <f t="shared" si="24"/>
        <v>0</v>
      </c>
      <c r="E431" s="200">
        <f t="shared" si="25"/>
        <v>0</v>
      </c>
      <c r="F431" s="199"/>
      <c r="G431" s="194"/>
      <c r="H431" s="188"/>
      <c r="I431" s="194"/>
    </row>
    <row r="432" spans="1:9">
      <c r="A432" s="242">
        <v>377</v>
      </c>
      <c r="B432" s="200">
        <f t="shared" si="22"/>
        <v>0</v>
      </c>
      <c r="C432" s="200">
        <f t="shared" si="23"/>
        <v>0</v>
      </c>
      <c r="D432" s="200">
        <f t="shared" si="24"/>
        <v>0</v>
      </c>
      <c r="E432" s="200">
        <f t="shared" si="25"/>
        <v>0</v>
      </c>
      <c r="F432" s="199"/>
      <c r="G432" s="194"/>
      <c r="H432" s="188"/>
      <c r="I432" s="194"/>
    </row>
    <row r="433" spans="1:9">
      <c r="A433" s="242">
        <v>378</v>
      </c>
      <c r="B433" s="200">
        <f t="shared" si="22"/>
        <v>0</v>
      </c>
      <c r="C433" s="200">
        <f t="shared" si="23"/>
        <v>0</v>
      </c>
      <c r="D433" s="200">
        <f t="shared" si="24"/>
        <v>0</v>
      </c>
      <c r="E433" s="200">
        <f t="shared" si="25"/>
        <v>0</v>
      </c>
      <c r="F433" s="199"/>
      <c r="G433" s="241"/>
      <c r="H433" s="208"/>
      <c r="I433" s="194"/>
    </row>
    <row r="434" spans="1:9">
      <c r="A434" s="242">
        <v>379</v>
      </c>
      <c r="B434" s="200">
        <f t="shared" si="22"/>
        <v>0</v>
      </c>
      <c r="C434" s="200">
        <f t="shared" si="23"/>
        <v>0</v>
      </c>
      <c r="D434" s="200">
        <f t="shared" si="24"/>
        <v>0</v>
      </c>
      <c r="E434" s="200">
        <f t="shared" si="25"/>
        <v>0</v>
      </c>
      <c r="F434" s="199"/>
      <c r="G434" s="194"/>
      <c r="H434" s="188"/>
      <c r="I434" s="194"/>
    </row>
    <row r="435" spans="1:9">
      <c r="A435" s="242">
        <v>380</v>
      </c>
      <c r="B435" s="200">
        <f t="shared" si="22"/>
        <v>0</v>
      </c>
      <c r="C435" s="200">
        <f t="shared" si="23"/>
        <v>0</v>
      </c>
      <c r="D435" s="200">
        <f t="shared" si="24"/>
        <v>0</v>
      </c>
      <c r="E435" s="200">
        <f t="shared" si="25"/>
        <v>0</v>
      </c>
      <c r="F435" s="199"/>
      <c r="G435" s="194"/>
      <c r="H435" s="188"/>
      <c r="I435" s="194"/>
    </row>
    <row r="436" spans="1:9">
      <c r="A436" s="242">
        <v>381</v>
      </c>
      <c r="B436" s="200">
        <f t="shared" si="22"/>
        <v>0</v>
      </c>
      <c r="C436" s="200">
        <f t="shared" si="23"/>
        <v>0</v>
      </c>
      <c r="D436" s="200">
        <f t="shared" si="24"/>
        <v>0</v>
      </c>
      <c r="E436" s="200">
        <f t="shared" si="25"/>
        <v>0</v>
      </c>
      <c r="F436" s="199"/>
      <c r="G436" s="194"/>
      <c r="H436" s="188"/>
      <c r="I436" s="194"/>
    </row>
    <row r="437" spans="1:9">
      <c r="A437" s="242">
        <v>382</v>
      </c>
      <c r="B437" s="200">
        <f t="shared" si="22"/>
        <v>0</v>
      </c>
      <c r="C437" s="200">
        <f t="shared" si="23"/>
        <v>0</v>
      </c>
      <c r="D437" s="200">
        <f t="shared" si="24"/>
        <v>0</v>
      </c>
      <c r="E437" s="200">
        <f t="shared" si="25"/>
        <v>0</v>
      </c>
      <c r="F437" s="199"/>
      <c r="G437" s="194"/>
      <c r="H437" s="188"/>
      <c r="I437" s="194"/>
    </row>
    <row r="438" spans="1:9">
      <c r="A438" s="242">
        <v>383</v>
      </c>
      <c r="B438" s="200">
        <f t="shared" si="22"/>
        <v>0</v>
      </c>
      <c r="C438" s="200">
        <f t="shared" si="23"/>
        <v>0</v>
      </c>
      <c r="D438" s="200">
        <f t="shared" si="24"/>
        <v>0</v>
      </c>
      <c r="E438" s="200">
        <f t="shared" si="25"/>
        <v>0</v>
      </c>
      <c r="F438" s="199"/>
      <c r="G438" s="194"/>
      <c r="H438" s="188"/>
      <c r="I438" s="194"/>
    </row>
    <row r="439" spans="1:9">
      <c r="A439" s="242">
        <v>384</v>
      </c>
      <c r="B439" s="200">
        <f t="shared" si="22"/>
        <v>0</v>
      </c>
      <c r="C439" s="200">
        <f t="shared" si="23"/>
        <v>0</v>
      </c>
      <c r="D439" s="200">
        <f t="shared" si="24"/>
        <v>0</v>
      </c>
      <c r="E439" s="200">
        <f t="shared" si="25"/>
        <v>0</v>
      </c>
      <c r="F439" s="199">
        <v>32</v>
      </c>
      <c r="G439" s="241"/>
      <c r="H439" s="208"/>
      <c r="I439" s="241"/>
    </row>
    <row r="440" spans="1:9">
      <c r="A440" s="242">
        <v>385</v>
      </c>
      <c r="B440" s="200">
        <f t="shared" ref="B440:B503" si="26">IF(A440&gt;12*$D$14,0,$D$20)</f>
        <v>0</v>
      </c>
      <c r="C440" s="200">
        <f t="shared" ref="C440:C503" si="27">IF(A440&gt;12*$D$14,0,E439*$D$10/12)</f>
        <v>0</v>
      </c>
      <c r="D440" s="200">
        <f t="shared" ref="D440:D503" si="28">IF(A440&gt;12*$D$14,0,B440-C440)</f>
        <v>0</v>
      </c>
      <c r="E440" s="200">
        <f t="shared" ref="E440:E503" si="29">IF(A440&gt;12*$D$14,0,E439-D440)</f>
        <v>0</v>
      </c>
      <c r="F440" s="199"/>
      <c r="G440" s="194"/>
      <c r="H440" s="188"/>
      <c r="I440" s="241"/>
    </row>
    <row r="441" spans="1:9">
      <c r="A441" s="242">
        <v>386</v>
      </c>
      <c r="B441" s="200">
        <f t="shared" si="26"/>
        <v>0</v>
      </c>
      <c r="C441" s="200">
        <f t="shared" si="27"/>
        <v>0</v>
      </c>
      <c r="D441" s="200">
        <f t="shared" si="28"/>
        <v>0</v>
      </c>
      <c r="E441" s="200">
        <f t="shared" si="29"/>
        <v>0</v>
      </c>
      <c r="F441" s="199"/>
      <c r="G441" s="194"/>
      <c r="H441" s="188"/>
      <c r="I441" s="194"/>
    </row>
    <row r="442" spans="1:9">
      <c r="A442" s="242">
        <v>387</v>
      </c>
      <c r="B442" s="200">
        <f t="shared" si="26"/>
        <v>0</v>
      </c>
      <c r="C442" s="200">
        <f t="shared" si="27"/>
        <v>0</v>
      </c>
      <c r="D442" s="200">
        <f t="shared" si="28"/>
        <v>0</v>
      </c>
      <c r="E442" s="200">
        <f t="shared" si="29"/>
        <v>0</v>
      </c>
      <c r="F442" s="199"/>
      <c r="G442" s="194"/>
      <c r="H442" s="188"/>
      <c r="I442" s="194"/>
    </row>
    <row r="443" spans="1:9">
      <c r="A443" s="242">
        <v>388</v>
      </c>
      <c r="B443" s="200">
        <f t="shared" si="26"/>
        <v>0</v>
      </c>
      <c r="C443" s="200">
        <f t="shared" si="27"/>
        <v>0</v>
      </c>
      <c r="D443" s="200">
        <f t="shared" si="28"/>
        <v>0</v>
      </c>
      <c r="E443" s="200">
        <f t="shared" si="29"/>
        <v>0</v>
      </c>
      <c r="F443" s="199"/>
      <c r="G443" s="194"/>
      <c r="H443" s="188"/>
      <c r="I443" s="194"/>
    </row>
    <row r="444" spans="1:9">
      <c r="A444" s="242">
        <v>389</v>
      </c>
      <c r="B444" s="200">
        <f t="shared" si="26"/>
        <v>0</v>
      </c>
      <c r="C444" s="200">
        <f t="shared" si="27"/>
        <v>0</v>
      </c>
      <c r="D444" s="200">
        <f t="shared" si="28"/>
        <v>0</v>
      </c>
      <c r="E444" s="200">
        <f t="shared" si="29"/>
        <v>0</v>
      </c>
      <c r="F444" s="199"/>
      <c r="G444" s="194"/>
      <c r="H444" s="188"/>
      <c r="I444" s="194"/>
    </row>
    <row r="445" spans="1:9">
      <c r="A445" s="242">
        <v>390</v>
      </c>
      <c r="B445" s="200">
        <f t="shared" si="26"/>
        <v>0</v>
      </c>
      <c r="C445" s="200">
        <f t="shared" si="27"/>
        <v>0</v>
      </c>
      <c r="D445" s="200">
        <f t="shared" si="28"/>
        <v>0</v>
      </c>
      <c r="E445" s="200">
        <f t="shared" si="29"/>
        <v>0</v>
      </c>
      <c r="F445" s="199"/>
      <c r="G445" s="241"/>
      <c r="H445" s="208"/>
      <c r="I445" s="194"/>
    </row>
    <row r="446" spans="1:9">
      <c r="A446" s="242">
        <v>391</v>
      </c>
      <c r="B446" s="200">
        <f t="shared" si="26"/>
        <v>0</v>
      </c>
      <c r="C446" s="200">
        <f t="shared" si="27"/>
        <v>0</v>
      </c>
      <c r="D446" s="200">
        <f t="shared" si="28"/>
        <v>0</v>
      </c>
      <c r="E446" s="200">
        <f t="shared" si="29"/>
        <v>0</v>
      </c>
      <c r="F446" s="199"/>
      <c r="G446" s="194"/>
      <c r="H446" s="188"/>
      <c r="I446" s="194"/>
    </row>
    <row r="447" spans="1:9">
      <c r="A447" s="242">
        <v>392</v>
      </c>
      <c r="B447" s="200">
        <f t="shared" si="26"/>
        <v>0</v>
      </c>
      <c r="C447" s="200">
        <f t="shared" si="27"/>
        <v>0</v>
      </c>
      <c r="D447" s="200">
        <f t="shared" si="28"/>
        <v>0</v>
      </c>
      <c r="E447" s="200">
        <f t="shared" si="29"/>
        <v>0</v>
      </c>
      <c r="F447" s="199"/>
      <c r="G447" s="194"/>
      <c r="H447" s="188"/>
      <c r="I447" s="194"/>
    </row>
    <row r="448" spans="1:9">
      <c r="A448" s="242">
        <v>393</v>
      </c>
      <c r="B448" s="200">
        <f t="shared" si="26"/>
        <v>0</v>
      </c>
      <c r="C448" s="200">
        <f t="shared" si="27"/>
        <v>0</v>
      </c>
      <c r="D448" s="200">
        <f t="shared" si="28"/>
        <v>0</v>
      </c>
      <c r="E448" s="200">
        <f t="shared" si="29"/>
        <v>0</v>
      </c>
      <c r="F448" s="199"/>
      <c r="G448" s="194"/>
      <c r="H448" s="188"/>
      <c r="I448" s="194"/>
    </row>
    <row r="449" spans="1:9">
      <c r="A449" s="242">
        <v>394</v>
      </c>
      <c r="B449" s="200">
        <f t="shared" si="26"/>
        <v>0</v>
      </c>
      <c r="C449" s="200">
        <f t="shared" si="27"/>
        <v>0</v>
      </c>
      <c r="D449" s="200">
        <f t="shared" si="28"/>
        <v>0</v>
      </c>
      <c r="E449" s="200">
        <f t="shared" si="29"/>
        <v>0</v>
      </c>
      <c r="F449" s="199"/>
      <c r="G449" s="194"/>
      <c r="H449" s="188"/>
      <c r="I449" s="194"/>
    </row>
    <row r="450" spans="1:9">
      <c r="A450" s="242">
        <v>395</v>
      </c>
      <c r="B450" s="200">
        <f t="shared" si="26"/>
        <v>0</v>
      </c>
      <c r="C450" s="200">
        <f t="shared" si="27"/>
        <v>0</v>
      </c>
      <c r="D450" s="200">
        <f t="shared" si="28"/>
        <v>0</v>
      </c>
      <c r="E450" s="200">
        <f t="shared" si="29"/>
        <v>0</v>
      </c>
      <c r="F450" s="199"/>
      <c r="G450" s="194"/>
      <c r="H450" s="188"/>
      <c r="I450" s="194"/>
    </row>
    <row r="451" spans="1:9">
      <c r="A451" s="242">
        <v>396</v>
      </c>
      <c r="B451" s="200">
        <f t="shared" si="26"/>
        <v>0</v>
      </c>
      <c r="C451" s="200">
        <f t="shared" si="27"/>
        <v>0</v>
      </c>
      <c r="D451" s="200">
        <f t="shared" si="28"/>
        <v>0</v>
      </c>
      <c r="E451" s="200">
        <f t="shared" si="29"/>
        <v>0</v>
      </c>
      <c r="F451" s="199">
        <v>33</v>
      </c>
      <c r="G451" s="241"/>
      <c r="H451" s="208"/>
      <c r="I451" s="241"/>
    </row>
    <row r="452" spans="1:9">
      <c r="A452" s="242">
        <v>397</v>
      </c>
      <c r="B452" s="200">
        <f t="shared" si="26"/>
        <v>0</v>
      </c>
      <c r="C452" s="200">
        <f t="shared" si="27"/>
        <v>0</v>
      </c>
      <c r="D452" s="200">
        <f t="shared" si="28"/>
        <v>0</v>
      </c>
      <c r="E452" s="200">
        <f t="shared" si="29"/>
        <v>0</v>
      </c>
      <c r="F452" s="199"/>
      <c r="G452" s="194"/>
      <c r="H452" s="188"/>
      <c r="I452" s="241"/>
    </row>
    <row r="453" spans="1:9">
      <c r="A453" s="242">
        <v>398</v>
      </c>
      <c r="B453" s="200">
        <f t="shared" si="26"/>
        <v>0</v>
      </c>
      <c r="C453" s="200">
        <f t="shared" si="27"/>
        <v>0</v>
      </c>
      <c r="D453" s="200">
        <f t="shared" si="28"/>
        <v>0</v>
      </c>
      <c r="E453" s="200">
        <f t="shared" si="29"/>
        <v>0</v>
      </c>
      <c r="F453" s="199"/>
      <c r="G453" s="194"/>
      <c r="H453" s="188"/>
      <c r="I453" s="194"/>
    </row>
    <row r="454" spans="1:9">
      <c r="A454" s="242">
        <v>399</v>
      </c>
      <c r="B454" s="200">
        <f t="shared" si="26"/>
        <v>0</v>
      </c>
      <c r="C454" s="200">
        <f t="shared" si="27"/>
        <v>0</v>
      </c>
      <c r="D454" s="200">
        <f t="shared" si="28"/>
        <v>0</v>
      </c>
      <c r="E454" s="200">
        <f t="shared" si="29"/>
        <v>0</v>
      </c>
      <c r="F454" s="199"/>
      <c r="G454" s="194"/>
      <c r="H454" s="188"/>
      <c r="I454" s="194"/>
    </row>
    <row r="455" spans="1:9">
      <c r="A455" s="242">
        <v>400</v>
      </c>
      <c r="B455" s="200">
        <f t="shared" si="26"/>
        <v>0</v>
      </c>
      <c r="C455" s="200">
        <f t="shared" si="27"/>
        <v>0</v>
      </c>
      <c r="D455" s="200">
        <f t="shared" si="28"/>
        <v>0</v>
      </c>
      <c r="E455" s="200">
        <f t="shared" si="29"/>
        <v>0</v>
      </c>
      <c r="F455" s="199"/>
      <c r="G455" s="194"/>
      <c r="H455" s="188"/>
      <c r="I455" s="194"/>
    </row>
    <row r="456" spans="1:9">
      <c r="A456" s="242">
        <v>401</v>
      </c>
      <c r="B456" s="200">
        <f t="shared" si="26"/>
        <v>0</v>
      </c>
      <c r="C456" s="200">
        <f t="shared" si="27"/>
        <v>0</v>
      </c>
      <c r="D456" s="200">
        <f t="shared" si="28"/>
        <v>0</v>
      </c>
      <c r="E456" s="200">
        <f t="shared" si="29"/>
        <v>0</v>
      </c>
      <c r="F456" s="199"/>
      <c r="G456" s="194"/>
      <c r="H456" s="188"/>
      <c r="I456" s="194"/>
    </row>
    <row r="457" spans="1:9">
      <c r="A457" s="242">
        <v>402</v>
      </c>
      <c r="B457" s="200">
        <f t="shared" si="26"/>
        <v>0</v>
      </c>
      <c r="C457" s="200">
        <f t="shared" si="27"/>
        <v>0</v>
      </c>
      <c r="D457" s="200">
        <f t="shared" si="28"/>
        <v>0</v>
      </c>
      <c r="E457" s="200">
        <f t="shared" si="29"/>
        <v>0</v>
      </c>
      <c r="F457" s="199"/>
      <c r="G457" s="241"/>
      <c r="H457" s="208"/>
      <c r="I457" s="194"/>
    </row>
    <row r="458" spans="1:9">
      <c r="A458" s="242">
        <v>403</v>
      </c>
      <c r="B458" s="200">
        <f t="shared" si="26"/>
        <v>0</v>
      </c>
      <c r="C458" s="200">
        <f t="shared" si="27"/>
        <v>0</v>
      </c>
      <c r="D458" s="200">
        <f t="shared" si="28"/>
        <v>0</v>
      </c>
      <c r="E458" s="200">
        <f t="shared" si="29"/>
        <v>0</v>
      </c>
      <c r="F458" s="199"/>
      <c r="G458" s="194"/>
      <c r="H458" s="188"/>
      <c r="I458" s="194"/>
    </row>
    <row r="459" spans="1:9">
      <c r="A459" s="242">
        <v>404</v>
      </c>
      <c r="B459" s="200">
        <f t="shared" si="26"/>
        <v>0</v>
      </c>
      <c r="C459" s="200">
        <f t="shared" si="27"/>
        <v>0</v>
      </c>
      <c r="D459" s="200">
        <f t="shared" si="28"/>
        <v>0</v>
      </c>
      <c r="E459" s="200">
        <f t="shared" si="29"/>
        <v>0</v>
      </c>
      <c r="F459" s="199"/>
      <c r="G459" s="194"/>
      <c r="H459" s="188"/>
      <c r="I459" s="194"/>
    </row>
    <row r="460" spans="1:9">
      <c r="A460" s="242">
        <v>405</v>
      </c>
      <c r="B460" s="200">
        <f t="shared" si="26"/>
        <v>0</v>
      </c>
      <c r="C460" s="200">
        <f t="shared" si="27"/>
        <v>0</v>
      </c>
      <c r="D460" s="200">
        <f t="shared" si="28"/>
        <v>0</v>
      </c>
      <c r="E460" s="200">
        <f t="shared" si="29"/>
        <v>0</v>
      </c>
      <c r="F460" s="199"/>
      <c r="G460" s="194"/>
      <c r="H460" s="188"/>
      <c r="I460" s="194"/>
    </row>
    <row r="461" spans="1:9">
      <c r="A461" s="242">
        <v>406</v>
      </c>
      <c r="B461" s="200">
        <f t="shared" si="26"/>
        <v>0</v>
      </c>
      <c r="C461" s="200">
        <f t="shared" si="27"/>
        <v>0</v>
      </c>
      <c r="D461" s="200">
        <f t="shared" si="28"/>
        <v>0</v>
      </c>
      <c r="E461" s="200">
        <f t="shared" si="29"/>
        <v>0</v>
      </c>
      <c r="F461" s="199"/>
      <c r="G461" s="194"/>
      <c r="H461" s="188"/>
      <c r="I461" s="194"/>
    </row>
    <row r="462" spans="1:9">
      <c r="A462" s="242">
        <v>407</v>
      </c>
      <c r="B462" s="200">
        <f t="shared" si="26"/>
        <v>0</v>
      </c>
      <c r="C462" s="200">
        <f t="shared" si="27"/>
        <v>0</v>
      </c>
      <c r="D462" s="200">
        <f t="shared" si="28"/>
        <v>0</v>
      </c>
      <c r="E462" s="200">
        <f t="shared" si="29"/>
        <v>0</v>
      </c>
      <c r="F462" s="199"/>
      <c r="G462" s="194"/>
      <c r="H462" s="188"/>
      <c r="I462" s="194"/>
    </row>
    <row r="463" spans="1:9">
      <c r="A463" s="242">
        <v>408</v>
      </c>
      <c r="B463" s="200">
        <f t="shared" si="26"/>
        <v>0</v>
      </c>
      <c r="C463" s="200">
        <f t="shared" si="27"/>
        <v>0</v>
      </c>
      <c r="D463" s="200">
        <f t="shared" si="28"/>
        <v>0</v>
      </c>
      <c r="E463" s="200">
        <f t="shared" si="29"/>
        <v>0</v>
      </c>
      <c r="F463" s="199">
        <v>34</v>
      </c>
      <c r="G463" s="241"/>
      <c r="H463" s="208"/>
      <c r="I463" s="241"/>
    </row>
    <row r="464" spans="1:9">
      <c r="A464" s="242">
        <v>409</v>
      </c>
      <c r="B464" s="200">
        <f t="shared" si="26"/>
        <v>0</v>
      </c>
      <c r="C464" s="200">
        <f t="shared" si="27"/>
        <v>0</v>
      </c>
      <c r="D464" s="200">
        <f t="shared" si="28"/>
        <v>0</v>
      </c>
      <c r="E464" s="200">
        <f t="shared" si="29"/>
        <v>0</v>
      </c>
      <c r="F464" s="199"/>
      <c r="G464" s="194"/>
      <c r="H464" s="188"/>
      <c r="I464" s="241"/>
    </row>
    <row r="465" spans="1:9">
      <c r="A465" s="242">
        <v>410</v>
      </c>
      <c r="B465" s="200">
        <f t="shared" si="26"/>
        <v>0</v>
      </c>
      <c r="C465" s="200">
        <f t="shared" si="27"/>
        <v>0</v>
      </c>
      <c r="D465" s="200">
        <f t="shared" si="28"/>
        <v>0</v>
      </c>
      <c r="E465" s="200">
        <f t="shared" si="29"/>
        <v>0</v>
      </c>
      <c r="F465" s="199"/>
      <c r="G465" s="194"/>
      <c r="H465" s="188"/>
      <c r="I465" s="194"/>
    </row>
    <row r="466" spans="1:9">
      <c r="A466" s="242">
        <v>411</v>
      </c>
      <c r="B466" s="200">
        <f t="shared" si="26"/>
        <v>0</v>
      </c>
      <c r="C466" s="200">
        <f t="shared" si="27"/>
        <v>0</v>
      </c>
      <c r="D466" s="200">
        <f t="shared" si="28"/>
        <v>0</v>
      </c>
      <c r="E466" s="200">
        <f t="shared" si="29"/>
        <v>0</v>
      </c>
      <c r="F466" s="199"/>
      <c r="G466" s="194"/>
      <c r="H466" s="188"/>
      <c r="I466" s="194"/>
    </row>
    <row r="467" spans="1:9">
      <c r="A467" s="242">
        <v>412</v>
      </c>
      <c r="B467" s="200">
        <f t="shared" si="26"/>
        <v>0</v>
      </c>
      <c r="C467" s="200">
        <f t="shared" si="27"/>
        <v>0</v>
      </c>
      <c r="D467" s="200">
        <f t="shared" si="28"/>
        <v>0</v>
      </c>
      <c r="E467" s="200">
        <f t="shared" si="29"/>
        <v>0</v>
      </c>
      <c r="F467" s="199"/>
      <c r="G467" s="194"/>
      <c r="H467" s="188"/>
      <c r="I467" s="194"/>
    </row>
    <row r="468" spans="1:9">
      <c r="A468" s="242">
        <v>413</v>
      </c>
      <c r="B468" s="200">
        <f t="shared" si="26"/>
        <v>0</v>
      </c>
      <c r="C468" s="200">
        <f t="shared" si="27"/>
        <v>0</v>
      </c>
      <c r="D468" s="200">
        <f t="shared" si="28"/>
        <v>0</v>
      </c>
      <c r="E468" s="200">
        <f t="shared" si="29"/>
        <v>0</v>
      </c>
      <c r="F468" s="199"/>
      <c r="G468" s="194"/>
      <c r="H468" s="188"/>
      <c r="I468" s="194"/>
    </row>
    <row r="469" spans="1:9">
      <c r="A469" s="242">
        <v>414</v>
      </c>
      <c r="B469" s="200">
        <f t="shared" si="26"/>
        <v>0</v>
      </c>
      <c r="C469" s="200">
        <f t="shared" si="27"/>
        <v>0</v>
      </c>
      <c r="D469" s="200">
        <f t="shared" si="28"/>
        <v>0</v>
      </c>
      <c r="E469" s="200">
        <f t="shared" si="29"/>
        <v>0</v>
      </c>
      <c r="F469" s="199"/>
      <c r="G469" s="241"/>
      <c r="H469" s="208"/>
      <c r="I469" s="194"/>
    </row>
    <row r="470" spans="1:9">
      <c r="A470" s="242">
        <v>415</v>
      </c>
      <c r="B470" s="200">
        <f t="shared" si="26"/>
        <v>0</v>
      </c>
      <c r="C470" s="200">
        <f t="shared" si="27"/>
        <v>0</v>
      </c>
      <c r="D470" s="200">
        <f t="shared" si="28"/>
        <v>0</v>
      </c>
      <c r="E470" s="200">
        <f t="shared" si="29"/>
        <v>0</v>
      </c>
      <c r="F470" s="199"/>
      <c r="G470" s="194"/>
      <c r="H470" s="188"/>
      <c r="I470" s="194"/>
    </row>
    <row r="471" spans="1:9">
      <c r="A471" s="242">
        <v>416</v>
      </c>
      <c r="B471" s="200">
        <f t="shared" si="26"/>
        <v>0</v>
      </c>
      <c r="C471" s="200">
        <f t="shared" si="27"/>
        <v>0</v>
      </c>
      <c r="D471" s="200">
        <f t="shared" si="28"/>
        <v>0</v>
      </c>
      <c r="E471" s="200">
        <f t="shared" si="29"/>
        <v>0</v>
      </c>
      <c r="F471" s="199"/>
      <c r="G471" s="194"/>
      <c r="H471" s="188"/>
      <c r="I471" s="194"/>
    </row>
    <row r="472" spans="1:9">
      <c r="A472" s="242">
        <v>417</v>
      </c>
      <c r="B472" s="200">
        <f t="shared" si="26"/>
        <v>0</v>
      </c>
      <c r="C472" s="200">
        <f t="shared" si="27"/>
        <v>0</v>
      </c>
      <c r="D472" s="200">
        <f t="shared" si="28"/>
        <v>0</v>
      </c>
      <c r="E472" s="200">
        <f t="shared" si="29"/>
        <v>0</v>
      </c>
      <c r="F472" s="199"/>
      <c r="G472" s="194"/>
      <c r="H472" s="188"/>
      <c r="I472" s="194"/>
    </row>
    <row r="473" spans="1:9">
      <c r="A473" s="242">
        <v>418</v>
      </c>
      <c r="B473" s="200">
        <f t="shared" si="26"/>
        <v>0</v>
      </c>
      <c r="C473" s="200">
        <f t="shared" si="27"/>
        <v>0</v>
      </c>
      <c r="D473" s="200">
        <f t="shared" si="28"/>
        <v>0</v>
      </c>
      <c r="E473" s="200">
        <f t="shared" si="29"/>
        <v>0</v>
      </c>
      <c r="F473" s="199"/>
      <c r="G473" s="194"/>
      <c r="H473" s="188"/>
      <c r="I473" s="194"/>
    </row>
    <row r="474" spans="1:9">
      <c r="A474" s="242">
        <v>419</v>
      </c>
      <c r="B474" s="200">
        <f t="shared" si="26"/>
        <v>0</v>
      </c>
      <c r="C474" s="200">
        <f t="shared" si="27"/>
        <v>0</v>
      </c>
      <c r="D474" s="200">
        <f t="shared" si="28"/>
        <v>0</v>
      </c>
      <c r="E474" s="200">
        <f t="shared" si="29"/>
        <v>0</v>
      </c>
      <c r="F474" s="199"/>
      <c r="G474" s="194"/>
      <c r="H474" s="188"/>
      <c r="I474" s="194"/>
    </row>
    <row r="475" spans="1:9">
      <c r="A475" s="242">
        <v>420</v>
      </c>
      <c r="B475" s="200">
        <f t="shared" si="26"/>
        <v>0</v>
      </c>
      <c r="C475" s="200">
        <f t="shared" si="27"/>
        <v>0</v>
      </c>
      <c r="D475" s="200">
        <f t="shared" si="28"/>
        <v>0</v>
      </c>
      <c r="E475" s="200">
        <f t="shared" si="29"/>
        <v>0</v>
      </c>
      <c r="F475" s="199">
        <v>35</v>
      </c>
      <c r="G475" s="241"/>
      <c r="H475" s="208"/>
      <c r="I475" s="241"/>
    </row>
    <row r="476" spans="1:9">
      <c r="A476" s="242">
        <v>421</v>
      </c>
      <c r="B476" s="200">
        <f t="shared" si="26"/>
        <v>0</v>
      </c>
      <c r="C476" s="200">
        <f t="shared" si="27"/>
        <v>0</v>
      </c>
      <c r="D476" s="200">
        <f t="shared" si="28"/>
        <v>0</v>
      </c>
      <c r="E476" s="200">
        <f t="shared" si="29"/>
        <v>0</v>
      </c>
      <c r="F476" s="199"/>
      <c r="G476" s="194"/>
      <c r="H476" s="188"/>
      <c r="I476" s="241"/>
    </row>
    <row r="477" spans="1:9">
      <c r="A477" s="242">
        <v>422</v>
      </c>
      <c r="B477" s="200">
        <f t="shared" si="26"/>
        <v>0</v>
      </c>
      <c r="C477" s="200">
        <f t="shared" si="27"/>
        <v>0</v>
      </c>
      <c r="D477" s="200">
        <f t="shared" si="28"/>
        <v>0</v>
      </c>
      <c r="E477" s="200">
        <f t="shared" si="29"/>
        <v>0</v>
      </c>
      <c r="F477" s="199"/>
      <c r="G477" s="194"/>
      <c r="H477" s="188"/>
      <c r="I477" s="194"/>
    </row>
    <row r="478" spans="1:9">
      <c r="A478" s="242">
        <v>423</v>
      </c>
      <c r="B478" s="200">
        <f t="shared" si="26"/>
        <v>0</v>
      </c>
      <c r="C478" s="200">
        <f t="shared" si="27"/>
        <v>0</v>
      </c>
      <c r="D478" s="200">
        <f t="shared" si="28"/>
        <v>0</v>
      </c>
      <c r="E478" s="200">
        <f t="shared" si="29"/>
        <v>0</v>
      </c>
      <c r="F478" s="199"/>
      <c r="G478" s="194"/>
      <c r="H478" s="188"/>
      <c r="I478" s="194"/>
    </row>
    <row r="479" spans="1:9">
      <c r="A479" s="242">
        <v>424</v>
      </c>
      <c r="B479" s="200">
        <f t="shared" si="26"/>
        <v>0</v>
      </c>
      <c r="C479" s="200">
        <f t="shared" si="27"/>
        <v>0</v>
      </c>
      <c r="D479" s="200">
        <f t="shared" si="28"/>
        <v>0</v>
      </c>
      <c r="E479" s="200">
        <f t="shared" si="29"/>
        <v>0</v>
      </c>
      <c r="F479" s="199"/>
      <c r="G479" s="194"/>
      <c r="H479" s="188"/>
      <c r="I479" s="194"/>
    </row>
    <row r="480" spans="1:9">
      <c r="A480" s="242">
        <v>425</v>
      </c>
      <c r="B480" s="200">
        <f t="shared" si="26"/>
        <v>0</v>
      </c>
      <c r="C480" s="200">
        <f t="shared" si="27"/>
        <v>0</v>
      </c>
      <c r="D480" s="200">
        <f t="shared" si="28"/>
        <v>0</v>
      </c>
      <c r="E480" s="200">
        <f t="shared" si="29"/>
        <v>0</v>
      </c>
      <c r="F480" s="199"/>
      <c r="G480" s="194"/>
      <c r="H480" s="188"/>
      <c r="I480" s="194"/>
    </row>
    <row r="481" spans="1:9">
      <c r="A481" s="242">
        <v>426</v>
      </c>
      <c r="B481" s="200">
        <f t="shared" si="26"/>
        <v>0</v>
      </c>
      <c r="C481" s="200">
        <f t="shared" si="27"/>
        <v>0</v>
      </c>
      <c r="D481" s="200">
        <f t="shared" si="28"/>
        <v>0</v>
      </c>
      <c r="E481" s="200">
        <f t="shared" si="29"/>
        <v>0</v>
      </c>
      <c r="F481" s="199"/>
      <c r="G481" s="241"/>
      <c r="H481" s="208"/>
      <c r="I481" s="194"/>
    </row>
    <row r="482" spans="1:9">
      <c r="A482" s="242">
        <v>427</v>
      </c>
      <c r="B482" s="200">
        <f t="shared" si="26"/>
        <v>0</v>
      </c>
      <c r="C482" s="200">
        <f t="shared" si="27"/>
        <v>0</v>
      </c>
      <c r="D482" s="200">
        <f t="shared" si="28"/>
        <v>0</v>
      </c>
      <c r="E482" s="200">
        <f t="shared" si="29"/>
        <v>0</v>
      </c>
      <c r="F482" s="199"/>
      <c r="G482" s="194"/>
      <c r="H482" s="188"/>
      <c r="I482" s="194"/>
    </row>
    <row r="483" spans="1:9">
      <c r="A483" s="242">
        <v>428</v>
      </c>
      <c r="B483" s="200">
        <f t="shared" si="26"/>
        <v>0</v>
      </c>
      <c r="C483" s="200">
        <f t="shared" si="27"/>
        <v>0</v>
      </c>
      <c r="D483" s="200">
        <f t="shared" si="28"/>
        <v>0</v>
      </c>
      <c r="E483" s="200">
        <f t="shared" si="29"/>
        <v>0</v>
      </c>
      <c r="F483" s="199"/>
      <c r="G483" s="194"/>
      <c r="H483" s="188"/>
      <c r="I483" s="194"/>
    </row>
    <row r="484" spans="1:9">
      <c r="A484" s="242">
        <v>429</v>
      </c>
      <c r="B484" s="200">
        <f t="shared" si="26"/>
        <v>0</v>
      </c>
      <c r="C484" s="200">
        <f t="shared" si="27"/>
        <v>0</v>
      </c>
      <c r="D484" s="200">
        <f t="shared" si="28"/>
        <v>0</v>
      </c>
      <c r="E484" s="200">
        <f t="shared" si="29"/>
        <v>0</v>
      </c>
      <c r="F484" s="199"/>
      <c r="G484" s="194"/>
      <c r="H484" s="188"/>
      <c r="I484" s="194"/>
    </row>
    <row r="485" spans="1:9">
      <c r="A485" s="242">
        <v>430</v>
      </c>
      <c r="B485" s="200">
        <f t="shared" si="26"/>
        <v>0</v>
      </c>
      <c r="C485" s="200">
        <f t="shared" si="27"/>
        <v>0</v>
      </c>
      <c r="D485" s="200">
        <f t="shared" si="28"/>
        <v>0</v>
      </c>
      <c r="E485" s="200">
        <f t="shared" si="29"/>
        <v>0</v>
      </c>
      <c r="F485" s="199"/>
      <c r="G485" s="194"/>
      <c r="H485" s="188"/>
      <c r="I485" s="194"/>
    </row>
    <row r="486" spans="1:9">
      <c r="A486" s="242">
        <v>431</v>
      </c>
      <c r="B486" s="200">
        <f t="shared" si="26"/>
        <v>0</v>
      </c>
      <c r="C486" s="200">
        <f t="shared" si="27"/>
        <v>0</v>
      </c>
      <c r="D486" s="200">
        <f t="shared" si="28"/>
        <v>0</v>
      </c>
      <c r="E486" s="200">
        <f t="shared" si="29"/>
        <v>0</v>
      </c>
      <c r="F486" s="199"/>
      <c r="G486" s="194"/>
      <c r="H486" s="188"/>
      <c r="I486" s="194"/>
    </row>
    <row r="487" spans="1:9">
      <c r="A487" s="242">
        <v>432</v>
      </c>
      <c r="B487" s="200">
        <f t="shared" si="26"/>
        <v>0</v>
      </c>
      <c r="C487" s="200">
        <f t="shared" si="27"/>
        <v>0</v>
      </c>
      <c r="D487" s="200">
        <f t="shared" si="28"/>
        <v>0</v>
      </c>
      <c r="E487" s="200">
        <f t="shared" si="29"/>
        <v>0</v>
      </c>
      <c r="F487" s="199">
        <v>36</v>
      </c>
      <c r="G487" s="241"/>
      <c r="H487" s="208"/>
      <c r="I487" s="241"/>
    </row>
    <row r="488" spans="1:9">
      <c r="A488" s="242">
        <v>433</v>
      </c>
      <c r="B488" s="200">
        <f t="shared" si="26"/>
        <v>0</v>
      </c>
      <c r="C488" s="200">
        <f t="shared" si="27"/>
        <v>0</v>
      </c>
      <c r="D488" s="200">
        <f t="shared" si="28"/>
        <v>0</v>
      </c>
      <c r="E488" s="200">
        <f t="shared" si="29"/>
        <v>0</v>
      </c>
      <c r="F488" s="199"/>
      <c r="G488" s="194"/>
      <c r="H488" s="188"/>
      <c r="I488" s="241"/>
    </row>
    <row r="489" spans="1:9">
      <c r="A489" s="242">
        <v>434</v>
      </c>
      <c r="B489" s="200">
        <f t="shared" si="26"/>
        <v>0</v>
      </c>
      <c r="C489" s="200">
        <f t="shared" si="27"/>
        <v>0</v>
      </c>
      <c r="D489" s="200">
        <f t="shared" si="28"/>
        <v>0</v>
      </c>
      <c r="E489" s="200">
        <f t="shared" si="29"/>
        <v>0</v>
      </c>
      <c r="F489" s="199"/>
      <c r="G489" s="194"/>
      <c r="H489" s="188"/>
      <c r="I489" s="194"/>
    </row>
    <row r="490" spans="1:9">
      <c r="A490" s="242">
        <v>435</v>
      </c>
      <c r="B490" s="200">
        <f t="shared" si="26"/>
        <v>0</v>
      </c>
      <c r="C490" s="200">
        <f t="shared" si="27"/>
        <v>0</v>
      </c>
      <c r="D490" s="200">
        <f t="shared" si="28"/>
        <v>0</v>
      </c>
      <c r="E490" s="200">
        <f t="shared" si="29"/>
        <v>0</v>
      </c>
      <c r="F490" s="199"/>
      <c r="G490" s="194"/>
      <c r="H490" s="188"/>
      <c r="I490" s="194"/>
    </row>
    <row r="491" spans="1:9">
      <c r="A491" s="242">
        <v>436</v>
      </c>
      <c r="B491" s="200">
        <f t="shared" si="26"/>
        <v>0</v>
      </c>
      <c r="C491" s="200">
        <f t="shared" si="27"/>
        <v>0</v>
      </c>
      <c r="D491" s="200">
        <f t="shared" si="28"/>
        <v>0</v>
      </c>
      <c r="E491" s="200">
        <f t="shared" si="29"/>
        <v>0</v>
      </c>
      <c r="F491" s="199"/>
      <c r="G491" s="194"/>
      <c r="H491" s="188"/>
      <c r="I491" s="194"/>
    </row>
    <row r="492" spans="1:9">
      <c r="A492" s="242">
        <v>437</v>
      </c>
      <c r="B492" s="200">
        <f t="shared" si="26"/>
        <v>0</v>
      </c>
      <c r="C492" s="200">
        <f t="shared" si="27"/>
        <v>0</v>
      </c>
      <c r="D492" s="200">
        <f t="shared" si="28"/>
        <v>0</v>
      </c>
      <c r="E492" s="200">
        <f t="shared" si="29"/>
        <v>0</v>
      </c>
      <c r="F492" s="199"/>
      <c r="G492" s="194"/>
      <c r="H492" s="188"/>
      <c r="I492" s="194"/>
    </row>
    <row r="493" spans="1:9">
      <c r="A493" s="242">
        <v>438</v>
      </c>
      <c r="B493" s="200">
        <f t="shared" si="26"/>
        <v>0</v>
      </c>
      <c r="C493" s="200">
        <f t="shared" si="27"/>
        <v>0</v>
      </c>
      <c r="D493" s="200">
        <f t="shared" si="28"/>
        <v>0</v>
      </c>
      <c r="E493" s="200">
        <f t="shared" si="29"/>
        <v>0</v>
      </c>
      <c r="F493" s="199"/>
      <c r="G493" s="241"/>
      <c r="H493" s="208"/>
      <c r="I493" s="194"/>
    </row>
    <row r="494" spans="1:9">
      <c r="A494" s="242">
        <v>439</v>
      </c>
      <c r="B494" s="200">
        <f t="shared" si="26"/>
        <v>0</v>
      </c>
      <c r="C494" s="200">
        <f t="shared" si="27"/>
        <v>0</v>
      </c>
      <c r="D494" s="200">
        <f t="shared" si="28"/>
        <v>0</v>
      </c>
      <c r="E494" s="200">
        <f t="shared" si="29"/>
        <v>0</v>
      </c>
      <c r="F494" s="199"/>
      <c r="G494" s="194"/>
      <c r="H494" s="188"/>
      <c r="I494" s="194"/>
    </row>
    <row r="495" spans="1:9">
      <c r="A495" s="242">
        <v>440</v>
      </c>
      <c r="B495" s="200">
        <f t="shared" si="26"/>
        <v>0</v>
      </c>
      <c r="C495" s="200">
        <f t="shared" si="27"/>
        <v>0</v>
      </c>
      <c r="D495" s="200">
        <f t="shared" si="28"/>
        <v>0</v>
      </c>
      <c r="E495" s="200">
        <f t="shared" si="29"/>
        <v>0</v>
      </c>
      <c r="F495" s="199"/>
      <c r="G495" s="194"/>
      <c r="H495" s="188"/>
      <c r="I495" s="194"/>
    </row>
    <row r="496" spans="1:9">
      <c r="A496" s="242">
        <v>441</v>
      </c>
      <c r="B496" s="200">
        <f t="shared" si="26"/>
        <v>0</v>
      </c>
      <c r="C496" s="200">
        <f t="shared" si="27"/>
        <v>0</v>
      </c>
      <c r="D496" s="200">
        <f t="shared" si="28"/>
        <v>0</v>
      </c>
      <c r="E496" s="200">
        <f t="shared" si="29"/>
        <v>0</v>
      </c>
      <c r="F496" s="199"/>
      <c r="G496" s="194"/>
      <c r="H496" s="188"/>
      <c r="I496" s="194"/>
    </row>
    <row r="497" spans="1:9">
      <c r="A497" s="242">
        <v>442</v>
      </c>
      <c r="B497" s="200">
        <f t="shared" si="26"/>
        <v>0</v>
      </c>
      <c r="C497" s="200">
        <f t="shared" si="27"/>
        <v>0</v>
      </c>
      <c r="D497" s="200">
        <f t="shared" si="28"/>
        <v>0</v>
      </c>
      <c r="E497" s="200">
        <f t="shared" si="29"/>
        <v>0</v>
      </c>
      <c r="F497" s="199"/>
      <c r="G497" s="194"/>
      <c r="H497" s="188"/>
      <c r="I497" s="194"/>
    </row>
    <row r="498" spans="1:9">
      <c r="A498" s="242">
        <v>443</v>
      </c>
      <c r="B498" s="200">
        <f t="shared" si="26"/>
        <v>0</v>
      </c>
      <c r="C498" s="200">
        <f t="shared" si="27"/>
        <v>0</v>
      </c>
      <c r="D498" s="200">
        <f t="shared" si="28"/>
        <v>0</v>
      </c>
      <c r="E498" s="200">
        <f t="shared" si="29"/>
        <v>0</v>
      </c>
      <c r="F498" s="199"/>
      <c r="G498" s="194"/>
      <c r="H498" s="188"/>
      <c r="I498" s="194"/>
    </row>
    <row r="499" spans="1:9">
      <c r="A499" s="242">
        <v>444</v>
      </c>
      <c r="B499" s="200">
        <f t="shared" si="26"/>
        <v>0</v>
      </c>
      <c r="C499" s="200">
        <f t="shared" si="27"/>
        <v>0</v>
      </c>
      <c r="D499" s="200">
        <f t="shared" si="28"/>
        <v>0</v>
      </c>
      <c r="E499" s="200">
        <f t="shared" si="29"/>
        <v>0</v>
      </c>
      <c r="F499" s="199">
        <v>37</v>
      </c>
      <c r="G499" s="241"/>
      <c r="H499" s="208"/>
      <c r="I499" s="241"/>
    </row>
    <row r="500" spans="1:9">
      <c r="A500" s="242">
        <v>445</v>
      </c>
      <c r="B500" s="200">
        <f t="shared" si="26"/>
        <v>0</v>
      </c>
      <c r="C500" s="200">
        <f t="shared" si="27"/>
        <v>0</v>
      </c>
      <c r="D500" s="200">
        <f t="shared" si="28"/>
        <v>0</v>
      </c>
      <c r="E500" s="200">
        <f t="shared" si="29"/>
        <v>0</v>
      </c>
      <c r="F500" s="199"/>
      <c r="G500" s="194"/>
      <c r="H500" s="188"/>
      <c r="I500" s="241"/>
    </row>
    <row r="501" spans="1:9">
      <c r="A501" s="242">
        <v>446</v>
      </c>
      <c r="B501" s="200">
        <f t="shared" si="26"/>
        <v>0</v>
      </c>
      <c r="C501" s="200">
        <f t="shared" si="27"/>
        <v>0</v>
      </c>
      <c r="D501" s="200">
        <f t="shared" si="28"/>
        <v>0</v>
      </c>
      <c r="E501" s="200">
        <f t="shared" si="29"/>
        <v>0</v>
      </c>
      <c r="F501" s="199"/>
      <c r="G501" s="194"/>
      <c r="H501" s="188"/>
      <c r="I501" s="194"/>
    </row>
    <row r="502" spans="1:9">
      <c r="A502" s="242">
        <v>447</v>
      </c>
      <c r="B502" s="200">
        <f t="shared" si="26"/>
        <v>0</v>
      </c>
      <c r="C502" s="200">
        <f t="shared" si="27"/>
        <v>0</v>
      </c>
      <c r="D502" s="200">
        <f t="shared" si="28"/>
        <v>0</v>
      </c>
      <c r="E502" s="200">
        <f t="shared" si="29"/>
        <v>0</v>
      </c>
      <c r="F502" s="199"/>
      <c r="G502" s="194"/>
      <c r="H502" s="188"/>
      <c r="I502" s="194"/>
    </row>
    <row r="503" spans="1:9">
      <c r="A503" s="242">
        <v>448</v>
      </c>
      <c r="B503" s="200">
        <f t="shared" si="26"/>
        <v>0</v>
      </c>
      <c r="C503" s="200">
        <f t="shared" si="27"/>
        <v>0</v>
      </c>
      <c r="D503" s="200">
        <f t="shared" si="28"/>
        <v>0</v>
      </c>
      <c r="E503" s="200">
        <f t="shared" si="29"/>
        <v>0</v>
      </c>
      <c r="F503" s="199"/>
      <c r="G503" s="194"/>
      <c r="H503" s="188"/>
      <c r="I503" s="194"/>
    </row>
    <row r="504" spans="1:9">
      <c r="A504" s="242">
        <v>449</v>
      </c>
      <c r="B504" s="200">
        <f t="shared" ref="B504:B535" si="30">IF(A504&gt;12*$D$14,0,$D$20)</f>
        <v>0</v>
      </c>
      <c r="C504" s="200">
        <f t="shared" ref="C504:C535" si="31">IF(A504&gt;12*$D$14,0,E503*$D$10/12)</f>
        <v>0</v>
      </c>
      <c r="D504" s="200">
        <f t="shared" ref="D504:D535" si="32">IF(A504&gt;12*$D$14,0,B504-C504)</f>
        <v>0</v>
      </c>
      <c r="E504" s="200">
        <f t="shared" ref="E504:E535" si="33">IF(A504&gt;12*$D$14,0,E503-D504)</f>
        <v>0</v>
      </c>
      <c r="F504" s="199"/>
      <c r="G504" s="194"/>
      <c r="H504" s="188"/>
      <c r="I504" s="194"/>
    </row>
    <row r="505" spans="1:9">
      <c r="A505" s="242">
        <v>450</v>
      </c>
      <c r="B505" s="200">
        <f t="shared" si="30"/>
        <v>0</v>
      </c>
      <c r="C505" s="200">
        <f t="shared" si="31"/>
        <v>0</v>
      </c>
      <c r="D505" s="200">
        <f t="shared" si="32"/>
        <v>0</v>
      </c>
      <c r="E505" s="200">
        <f t="shared" si="33"/>
        <v>0</v>
      </c>
      <c r="F505" s="199"/>
      <c r="G505" s="241"/>
      <c r="H505" s="208"/>
      <c r="I505" s="194"/>
    </row>
    <row r="506" spans="1:9">
      <c r="A506" s="242">
        <v>451</v>
      </c>
      <c r="B506" s="200">
        <f t="shared" si="30"/>
        <v>0</v>
      </c>
      <c r="C506" s="200">
        <f t="shared" si="31"/>
        <v>0</v>
      </c>
      <c r="D506" s="200">
        <f t="shared" si="32"/>
        <v>0</v>
      </c>
      <c r="E506" s="200">
        <f t="shared" si="33"/>
        <v>0</v>
      </c>
      <c r="F506" s="199"/>
      <c r="G506" s="194"/>
      <c r="H506" s="188"/>
      <c r="I506" s="194"/>
    </row>
    <row r="507" spans="1:9">
      <c r="A507" s="242">
        <v>452</v>
      </c>
      <c r="B507" s="200">
        <f t="shared" si="30"/>
        <v>0</v>
      </c>
      <c r="C507" s="200">
        <f t="shared" si="31"/>
        <v>0</v>
      </c>
      <c r="D507" s="200">
        <f t="shared" si="32"/>
        <v>0</v>
      </c>
      <c r="E507" s="200">
        <f t="shared" si="33"/>
        <v>0</v>
      </c>
      <c r="F507" s="199"/>
      <c r="G507" s="194"/>
      <c r="H507" s="188"/>
      <c r="I507" s="194"/>
    </row>
    <row r="508" spans="1:9">
      <c r="A508" s="242">
        <v>453</v>
      </c>
      <c r="B508" s="200">
        <f t="shared" si="30"/>
        <v>0</v>
      </c>
      <c r="C508" s="200">
        <f t="shared" si="31"/>
        <v>0</v>
      </c>
      <c r="D508" s="200">
        <f t="shared" si="32"/>
        <v>0</v>
      </c>
      <c r="E508" s="200">
        <f t="shared" si="33"/>
        <v>0</v>
      </c>
      <c r="F508" s="199"/>
      <c r="G508" s="194"/>
      <c r="H508" s="188"/>
      <c r="I508" s="194"/>
    </row>
    <row r="509" spans="1:9">
      <c r="A509" s="242">
        <v>454</v>
      </c>
      <c r="B509" s="200">
        <f t="shared" si="30"/>
        <v>0</v>
      </c>
      <c r="C509" s="200">
        <f t="shared" si="31"/>
        <v>0</v>
      </c>
      <c r="D509" s="200">
        <f t="shared" si="32"/>
        <v>0</v>
      </c>
      <c r="E509" s="200">
        <f t="shared" si="33"/>
        <v>0</v>
      </c>
      <c r="F509" s="199"/>
      <c r="G509" s="194"/>
      <c r="H509" s="188"/>
      <c r="I509" s="194"/>
    </row>
    <row r="510" spans="1:9">
      <c r="A510" s="242">
        <v>455</v>
      </c>
      <c r="B510" s="200">
        <f t="shared" si="30"/>
        <v>0</v>
      </c>
      <c r="C510" s="200">
        <f t="shared" si="31"/>
        <v>0</v>
      </c>
      <c r="D510" s="200">
        <f t="shared" si="32"/>
        <v>0</v>
      </c>
      <c r="E510" s="200">
        <f t="shared" si="33"/>
        <v>0</v>
      </c>
      <c r="F510" s="199"/>
      <c r="G510" s="194"/>
      <c r="H510" s="188"/>
      <c r="I510" s="194"/>
    </row>
    <row r="511" spans="1:9">
      <c r="A511" s="242">
        <v>456</v>
      </c>
      <c r="B511" s="200">
        <f t="shared" si="30"/>
        <v>0</v>
      </c>
      <c r="C511" s="200">
        <f t="shared" si="31"/>
        <v>0</v>
      </c>
      <c r="D511" s="200">
        <f t="shared" si="32"/>
        <v>0</v>
      </c>
      <c r="E511" s="200">
        <f t="shared" si="33"/>
        <v>0</v>
      </c>
      <c r="F511" s="201">
        <v>38</v>
      </c>
      <c r="G511" s="194"/>
      <c r="H511" s="188"/>
      <c r="I511" s="194"/>
    </row>
    <row r="512" spans="1:9">
      <c r="A512" s="242">
        <v>457</v>
      </c>
      <c r="B512" s="200">
        <f t="shared" si="30"/>
        <v>0</v>
      </c>
      <c r="C512" s="200">
        <f t="shared" si="31"/>
        <v>0</v>
      </c>
      <c r="D512" s="200">
        <f t="shared" si="32"/>
        <v>0</v>
      </c>
      <c r="E512" s="200">
        <f t="shared" si="33"/>
        <v>0</v>
      </c>
      <c r="F512" s="199"/>
      <c r="G512" s="194"/>
      <c r="H512" s="188"/>
      <c r="I512" s="194"/>
    </row>
    <row r="513" spans="1:9">
      <c r="A513" s="242">
        <v>458</v>
      </c>
      <c r="B513" s="200">
        <f t="shared" si="30"/>
        <v>0</v>
      </c>
      <c r="C513" s="200">
        <f t="shared" si="31"/>
        <v>0</v>
      </c>
      <c r="D513" s="200">
        <f t="shared" si="32"/>
        <v>0</v>
      </c>
      <c r="E513" s="200">
        <f t="shared" si="33"/>
        <v>0</v>
      </c>
      <c r="F513" s="199"/>
      <c r="G513" s="194"/>
      <c r="H513" s="188"/>
      <c r="I513" s="194"/>
    </row>
    <row r="514" spans="1:9">
      <c r="A514" s="242">
        <v>459</v>
      </c>
      <c r="B514" s="200">
        <f t="shared" si="30"/>
        <v>0</v>
      </c>
      <c r="C514" s="200">
        <f t="shared" si="31"/>
        <v>0</v>
      </c>
      <c r="D514" s="200">
        <f t="shared" si="32"/>
        <v>0</v>
      </c>
      <c r="E514" s="200">
        <f t="shared" si="33"/>
        <v>0</v>
      </c>
      <c r="F514" s="199"/>
      <c r="G514" s="194"/>
      <c r="H514" s="188"/>
      <c r="I514" s="194"/>
    </row>
    <row r="515" spans="1:9">
      <c r="A515" s="242">
        <v>460</v>
      </c>
      <c r="B515" s="200">
        <f t="shared" si="30"/>
        <v>0</v>
      </c>
      <c r="C515" s="200">
        <f t="shared" si="31"/>
        <v>0</v>
      </c>
      <c r="D515" s="200">
        <f t="shared" si="32"/>
        <v>0</v>
      </c>
      <c r="E515" s="200">
        <f t="shared" si="33"/>
        <v>0</v>
      </c>
      <c r="F515" s="199"/>
      <c r="G515" s="194"/>
      <c r="H515" s="188"/>
      <c r="I515" s="194"/>
    </row>
    <row r="516" spans="1:9">
      <c r="A516" s="242">
        <v>461</v>
      </c>
      <c r="B516" s="200">
        <f t="shared" si="30"/>
        <v>0</v>
      </c>
      <c r="C516" s="200">
        <f t="shared" si="31"/>
        <v>0</v>
      </c>
      <c r="D516" s="200">
        <f t="shared" si="32"/>
        <v>0</v>
      </c>
      <c r="E516" s="200">
        <f t="shared" si="33"/>
        <v>0</v>
      </c>
      <c r="F516" s="199"/>
      <c r="G516" s="194"/>
      <c r="H516" s="188"/>
      <c r="I516" s="194"/>
    </row>
    <row r="517" spans="1:9">
      <c r="A517" s="242">
        <v>462</v>
      </c>
      <c r="B517" s="200">
        <f t="shared" si="30"/>
        <v>0</v>
      </c>
      <c r="C517" s="200">
        <f t="shared" si="31"/>
        <v>0</v>
      </c>
      <c r="D517" s="200">
        <f t="shared" si="32"/>
        <v>0</v>
      </c>
      <c r="E517" s="200">
        <f t="shared" si="33"/>
        <v>0</v>
      </c>
      <c r="F517" s="199"/>
      <c r="G517" s="194"/>
      <c r="H517" s="188"/>
      <c r="I517" s="194"/>
    </row>
    <row r="518" spans="1:9">
      <c r="A518" s="242">
        <v>463</v>
      </c>
      <c r="B518" s="200">
        <f t="shared" si="30"/>
        <v>0</v>
      </c>
      <c r="C518" s="200">
        <f t="shared" si="31"/>
        <v>0</v>
      </c>
      <c r="D518" s="200">
        <f t="shared" si="32"/>
        <v>0</v>
      </c>
      <c r="E518" s="200">
        <f t="shared" si="33"/>
        <v>0</v>
      </c>
      <c r="F518" s="199"/>
      <c r="G518" s="194"/>
      <c r="H518" s="188"/>
      <c r="I518" s="194"/>
    </row>
    <row r="519" spans="1:9">
      <c r="A519" s="242">
        <v>464</v>
      </c>
      <c r="B519" s="200">
        <f t="shared" si="30"/>
        <v>0</v>
      </c>
      <c r="C519" s="200">
        <f t="shared" si="31"/>
        <v>0</v>
      </c>
      <c r="D519" s="200">
        <f t="shared" si="32"/>
        <v>0</v>
      </c>
      <c r="E519" s="200">
        <f t="shared" si="33"/>
        <v>0</v>
      </c>
      <c r="F519" s="199"/>
      <c r="G519" s="194"/>
      <c r="H519" s="188"/>
      <c r="I519" s="194"/>
    </row>
    <row r="520" spans="1:9">
      <c r="A520" s="242">
        <v>465</v>
      </c>
      <c r="B520" s="200">
        <f t="shared" si="30"/>
        <v>0</v>
      </c>
      <c r="C520" s="200">
        <f t="shared" si="31"/>
        <v>0</v>
      </c>
      <c r="D520" s="200">
        <f t="shared" si="32"/>
        <v>0</v>
      </c>
      <c r="E520" s="200">
        <f t="shared" si="33"/>
        <v>0</v>
      </c>
      <c r="F520" s="199"/>
      <c r="G520" s="194"/>
      <c r="H520" s="188"/>
      <c r="I520" s="194"/>
    </row>
    <row r="521" spans="1:9">
      <c r="A521" s="242">
        <v>466</v>
      </c>
      <c r="B521" s="200">
        <f t="shared" si="30"/>
        <v>0</v>
      </c>
      <c r="C521" s="200">
        <f t="shared" si="31"/>
        <v>0</v>
      </c>
      <c r="D521" s="200">
        <f t="shared" si="32"/>
        <v>0</v>
      </c>
      <c r="E521" s="200">
        <f t="shared" si="33"/>
        <v>0</v>
      </c>
      <c r="F521" s="199"/>
      <c r="G521" s="194"/>
      <c r="H521" s="188"/>
      <c r="I521" s="194"/>
    </row>
    <row r="522" spans="1:9">
      <c r="A522" s="242">
        <v>467</v>
      </c>
      <c r="B522" s="200">
        <f t="shared" si="30"/>
        <v>0</v>
      </c>
      <c r="C522" s="200">
        <f t="shared" si="31"/>
        <v>0</v>
      </c>
      <c r="D522" s="200">
        <f t="shared" si="32"/>
        <v>0</v>
      </c>
      <c r="E522" s="200">
        <f t="shared" si="33"/>
        <v>0</v>
      </c>
      <c r="F522" s="199"/>
      <c r="G522" s="194"/>
      <c r="H522" s="188"/>
      <c r="I522" s="194"/>
    </row>
    <row r="523" spans="1:9">
      <c r="A523" s="242">
        <v>468</v>
      </c>
      <c r="B523" s="200">
        <f t="shared" si="30"/>
        <v>0</v>
      </c>
      <c r="C523" s="200">
        <f t="shared" si="31"/>
        <v>0</v>
      </c>
      <c r="D523" s="200">
        <f t="shared" si="32"/>
        <v>0</v>
      </c>
      <c r="E523" s="200">
        <f t="shared" si="33"/>
        <v>0</v>
      </c>
      <c r="F523" s="199">
        <v>39</v>
      </c>
      <c r="G523" s="194"/>
      <c r="H523" s="188"/>
      <c r="I523" s="194"/>
    </row>
    <row r="524" spans="1:9">
      <c r="A524" s="242">
        <v>469</v>
      </c>
      <c r="B524" s="200">
        <f t="shared" si="30"/>
        <v>0</v>
      </c>
      <c r="C524" s="200">
        <f t="shared" si="31"/>
        <v>0</v>
      </c>
      <c r="D524" s="200">
        <f t="shared" si="32"/>
        <v>0</v>
      </c>
      <c r="E524" s="200">
        <f t="shared" si="33"/>
        <v>0</v>
      </c>
      <c r="F524" s="199"/>
      <c r="G524" s="194"/>
      <c r="H524" s="188"/>
      <c r="I524" s="194"/>
    </row>
    <row r="525" spans="1:9">
      <c r="A525" s="242">
        <v>470</v>
      </c>
      <c r="B525" s="200">
        <f t="shared" si="30"/>
        <v>0</v>
      </c>
      <c r="C525" s="200">
        <f t="shared" si="31"/>
        <v>0</v>
      </c>
      <c r="D525" s="200">
        <f t="shared" si="32"/>
        <v>0</v>
      </c>
      <c r="E525" s="200">
        <f t="shared" si="33"/>
        <v>0</v>
      </c>
      <c r="F525" s="199"/>
      <c r="G525" s="194"/>
      <c r="H525" s="188"/>
      <c r="I525" s="194"/>
    </row>
    <row r="526" spans="1:9">
      <c r="A526" s="242">
        <v>471</v>
      </c>
      <c r="B526" s="200">
        <f t="shared" si="30"/>
        <v>0</v>
      </c>
      <c r="C526" s="200">
        <f t="shared" si="31"/>
        <v>0</v>
      </c>
      <c r="D526" s="200">
        <f t="shared" si="32"/>
        <v>0</v>
      </c>
      <c r="E526" s="200">
        <f t="shared" si="33"/>
        <v>0</v>
      </c>
      <c r="F526" s="199"/>
      <c r="G526" s="194"/>
      <c r="H526" s="188"/>
      <c r="I526" s="194"/>
    </row>
    <row r="527" spans="1:9">
      <c r="A527" s="242">
        <v>472</v>
      </c>
      <c r="B527" s="200">
        <f t="shared" si="30"/>
        <v>0</v>
      </c>
      <c r="C527" s="200">
        <f t="shared" si="31"/>
        <v>0</v>
      </c>
      <c r="D527" s="200">
        <f t="shared" si="32"/>
        <v>0</v>
      </c>
      <c r="E527" s="200">
        <f t="shared" si="33"/>
        <v>0</v>
      </c>
      <c r="F527" s="199"/>
      <c r="G527" s="194"/>
      <c r="H527" s="188"/>
      <c r="I527" s="194"/>
    </row>
    <row r="528" spans="1:9">
      <c r="A528" s="242">
        <v>473</v>
      </c>
      <c r="B528" s="200">
        <f t="shared" si="30"/>
        <v>0</v>
      </c>
      <c r="C528" s="200">
        <f t="shared" si="31"/>
        <v>0</v>
      </c>
      <c r="D528" s="200">
        <f t="shared" si="32"/>
        <v>0</v>
      </c>
      <c r="E528" s="200">
        <f t="shared" si="33"/>
        <v>0</v>
      </c>
      <c r="F528" s="199"/>
      <c r="G528" s="194"/>
      <c r="H528" s="188"/>
      <c r="I528" s="194"/>
    </row>
    <row r="529" spans="1:9">
      <c r="A529" s="242">
        <v>474</v>
      </c>
      <c r="B529" s="200">
        <f t="shared" si="30"/>
        <v>0</v>
      </c>
      <c r="C529" s="200">
        <f t="shared" si="31"/>
        <v>0</v>
      </c>
      <c r="D529" s="200">
        <f t="shared" si="32"/>
        <v>0</v>
      </c>
      <c r="E529" s="200">
        <f t="shared" si="33"/>
        <v>0</v>
      </c>
      <c r="F529" s="199"/>
      <c r="G529" s="194"/>
      <c r="H529" s="188"/>
      <c r="I529" s="194"/>
    </row>
    <row r="530" spans="1:9">
      <c r="A530" s="242">
        <v>475</v>
      </c>
      <c r="B530" s="200">
        <f t="shared" si="30"/>
        <v>0</v>
      </c>
      <c r="C530" s="200">
        <f t="shared" si="31"/>
        <v>0</v>
      </c>
      <c r="D530" s="200">
        <f t="shared" si="32"/>
        <v>0</v>
      </c>
      <c r="E530" s="200">
        <f t="shared" si="33"/>
        <v>0</v>
      </c>
      <c r="F530" s="199"/>
      <c r="G530" s="194"/>
      <c r="H530" s="188"/>
      <c r="I530" s="194"/>
    </row>
    <row r="531" spans="1:9">
      <c r="A531" s="242">
        <v>476</v>
      </c>
      <c r="B531" s="200">
        <f t="shared" si="30"/>
        <v>0</v>
      </c>
      <c r="C531" s="200">
        <f t="shared" si="31"/>
        <v>0</v>
      </c>
      <c r="D531" s="200">
        <f t="shared" si="32"/>
        <v>0</v>
      </c>
      <c r="E531" s="200">
        <f t="shared" si="33"/>
        <v>0</v>
      </c>
      <c r="F531" s="199"/>
      <c r="G531" s="194"/>
      <c r="H531" s="188"/>
      <c r="I531" s="194"/>
    </row>
    <row r="532" spans="1:9">
      <c r="A532" s="242">
        <v>477</v>
      </c>
      <c r="B532" s="200">
        <f t="shared" si="30"/>
        <v>0</v>
      </c>
      <c r="C532" s="200">
        <f t="shared" si="31"/>
        <v>0</v>
      </c>
      <c r="D532" s="200">
        <f t="shared" si="32"/>
        <v>0</v>
      </c>
      <c r="E532" s="200">
        <f t="shared" si="33"/>
        <v>0</v>
      </c>
      <c r="F532" s="199"/>
      <c r="G532" s="194"/>
      <c r="H532" s="188"/>
      <c r="I532" s="194"/>
    </row>
    <row r="533" spans="1:9">
      <c r="A533" s="242">
        <v>478</v>
      </c>
      <c r="B533" s="200">
        <f t="shared" si="30"/>
        <v>0</v>
      </c>
      <c r="C533" s="200">
        <f t="shared" si="31"/>
        <v>0</v>
      </c>
      <c r="D533" s="200">
        <f t="shared" si="32"/>
        <v>0</v>
      </c>
      <c r="E533" s="200">
        <f t="shared" si="33"/>
        <v>0</v>
      </c>
      <c r="F533" s="199"/>
      <c r="G533" s="194"/>
      <c r="H533" s="188"/>
      <c r="I533" s="194"/>
    </row>
    <row r="534" spans="1:9">
      <c r="A534" s="242">
        <v>479</v>
      </c>
      <c r="B534" s="200">
        <f t="shared" si="30"/>
        <v>0</v>
      </c>
      <c r="C534" s="200">
        <f t="shared" si="31"/>
        <v>0</v>
      </c>
      <c r="D534" s="200">
        <f t="shared" si="32"/>
        <v>0</v>
      </c>
      <c r="E534" s="200">
        <f t="shared" si="33"/>
        <v>0</v>
      </c>
      <c r="F534" s="199"/>
      <c r="G534" s="194"/>
      <c r="H534" s="188"/>
      <c r="I534" s="194"/>
    </row>
    <row r="535" spans="1:9">
      <c r="A535" s="242">
        <v>480</v>
      </c>
      <c r="B535" s="200">
        <f t="shared" si="30"/>
        <v>0</v>
      </c>
      <c r="C535" s="200">
        <f t="shared" si="31"/>
        <v>0</v>
      </c>
      <c r="D535" s="200">
        <f t="shared" si="32"/>
        <v>0</v>
      </c>
      <c r="E535" s="200">
        <f t="shared" si="33"/>
        <v>0</v>
      </c>
      <c r="F535" s="199">
        <v>40</v>
      </c>
      <c r="G535" s="194"/>
      <c r="H535" s="188"/>
      <c r="I535" s="194"/>
    </row>
    <row r="536" spans="1:9">
      <c r="A536" s="179"/>
      <c r="G536" s="194"/>
      <c r="H536" s="188"/>
      <c r="I536" s="194"/>
    </row>
    <row r="537" spans="1:9">
      <c r="A537" s="179"/>
      <c r="G537" s="194"/>
      <c r="H537" s="188"/>
      <c r="I537" s="194"/>
    </row>
    <row r="538" spans="1:9">
      <c r="A538" s="179"/>
      <c r="G538" s="194"/>
      <c r="H538" s="188"/>
      <c r="I538" s="194"/>
    </row>
    <row r="539" spans="1:9">
      <c r="A539" s="179"/>
      <c r="G539" s="194"/>
      <c r="H539" s="188"/>
      <c r="I539" s="194"/>
    </row>
    <row r="540" spans="1:9">
      <c r="A540" s="179"/>
      <c r="G540" s="194"/>
      <c r="H540" s="188"/>
      <c r="I540" s="194"/>
    </row>
    <row r="541" spans="1:9">
      <c r="A541" s="179"/>
      <c r="G541" s="194"/>
      <c r="H541" s="188"/>
      <c r="I541" s="194"/>
    </row>
    <row r="542" spans="1:9">
      <c r="A542" s="179"/>
      <c r="G542" s="194"/>
      <c r="H542" s="188"/>
      <c r="I542" s="194"/>
    </row>
    <row r="543" spans="1:9">
      <c r="G543" s="194"/>
      <c r="H543" s="188"/>
      <c r="I543" s="194"/>
    </row>
    <row r="544" spans="1:9">
      <c r="G544" s="194"/>
      <c r="H544" s="188"/>
      <c r="I544" s="194"/>
    </row>
    <row r="545" spans="7:9">
      <c r="G545" s="194"/>
      <c r="H545" s="188"/>
      <c r="I545" s="194"/>
    </row>
    <row r="546" spans="7:9">
      <c r="G546" s="194"/>
      <c r="H546" s="188"/>
      <c r="I546" s="194"/>
    </row>
    <row r="547" spans="7:9">
      <c r="G547" s="194"/>
      <c r="H547" s="188"/>
      <c r="I547" s="194"/>
    </row>
    <row r="548" spans="7:9">
      <c r="G548" s="194"/>
      <c r="H548" s="188"/>
      <c r="I548" s="194"/>
    </row>
    <row r="549" spans="7:9">
      <c r="G549" s="194"/>
      <c r="H549" s="188"/>
      <c r="I549" s="194"/>
    </row>
    <row r="550" spans="7:9">
      <c r="G550" s="194"/>
      <c r="H550" s="188"/>
      <c r="I550" s="194"/>
    </row>
    <row r="551" spans="7:9">
      <c r="G551" s="194"/>
      <c r="H551" s="188"/>
      <c r="I551" s="194"/>
    </row>
    <row r="552" spans="7:9">
      <c r="G552" s="194"/>
      <c r="H552" s="188"/>
      <c r="I552" s="194"/>
    </row>
    <row r="553" spans="7:9">
      <c r="G553" s="194"/>
      <c r="H553" s="188"/>
      <c r="I553" s="194"/>
    </row>
    <row r="554" spans="7:9">
      <c r="G554" s="194"/>
      <c r="H554" s="188"/>
      <c r="I554" s="194"/>
    </row>
    <row r="555" spans="7:9">
      <c r="G555" s="194"/>
      <c r="H555" s="188"/>
      <c r="I555" s="194"/>
    </row>
    <row r="556" spans="7:9">
      <c r="G556" s="194"/>
      <c r="H556" s="188"/>
      <c r="I556" s="194"/>
    </row>
    <row r="557" spans="7:9">
      <c r="G557" s="194"/>
      <c r="H557" s="188"/>
      <c r="I557" s="194"/>
    </row>
    <row r="558" spans="7:9">
      <c r="G558" s="194"/>
      <c r="H558" s="188"/>
      <c r="I558" s="194"/>
    </row>
    <row r="559" spans="7:9">
      <c r="G559" s="194"/>
      <c r="H559" s="188"/>
      <c r="I559" s="194"/>
    </row>
    <row r="560" spans="7:9">
      <c r="G560" s="194"/>
      <c r="H560" s="188"/>
      <c r="I560" s="194"/>
    </row>
    <row r="561" spans="7:9">
      <c r="G561" s="194"/>
      <c r="H561" s="188"/>
      <c r="I561" s="194"/>
    </row>
    <row r="562" spans="7:9">
      <c r="G562" s="194"/>
      <c r="H562" s="188"/>
      <c r="I562" s="194"/>
    </row>
    <row r="563" spans="7:9">
      <c r="G563" s="194"/>
      <c r="H563" s="188"/>
      <c r="I563" s="194"/>
    </row>
    <row r="564" spans="7:9">
      <c r="G564" s="194"/>
      <c r="H564" s="188"/>
      <c r="I564" s="194"/>
    </row>
    <row r="565" spans="7:9">
      <c r="G565" s="194"/>
      <c r="H565" s="188"/>
      <c r="I565" s="194"/>
    </row>
    <row r="566" spans="7:9">
      <c r="G566" s="194"/>
      <c r="H566" s="188"/>
      <c r="I566" s="194"/>
    </row>
    <row r="567" spans="7:9">
      <c r="G567" s="194"/>
      <c r="H567" s="188"/>
      <c r="I567" s="194"/>
    </row>
    <row r="568" spans="7:9">
      <c r="G568" s="194"/>
      <c r="H568" s="188"/>
      <c r="I568" s="194"/>
    </row>
    <row r="569" spans="7:9">
      <c r="G569" s="194"/>
      <c r="H569" s="188"/>
      <c r="I569" s="194"/>
    </row>
    <row r="570" spans="7:9">
      <c r="G570" s="194"/>
      <c r="H570" s="188"/>
      <c r="I570" s="194"/>
    </row>
    <row r="571" spans="7:9">
      <c r="G571" s="194"/>
      <c r="H571" s="188"/>
      <c r="I571" s="194"/>
    </row>
    <row r="572" spans="7:9">
      <c r="G572" s="194"/>
      <c r="H572" s="188"/>
      <c r="I572" s="194"/>
    </row>
    <row r="573" spans="7:9">
      <c r="G573" s="194"/>
      <c r="H573" s="188"/>
      <c r="I573" s="194"/>
    </row>
    <row r="574" spans="7:9">
      <c r="G574" s="194"/>
      <c r="H574" s="188"/>
      <c r="I574" s="194"/>
    </row>
    <row r="575" spans="7:9">
      <c r="G575" s="194"/>
      <c r="H575" s="188"/>
      <c r="I575" s="194"/>
    </row>
    <row r="576" spans="7:9">
      <c r="G576" s="194"/>
      <c r="H576" s="188"/>
      <c r="I576" s="194"/>
    </row>
    <row r="577" spans="7:9">
      <c r="G577" s="194"/>
      <c r="H577" s="188"/>
      <c r="I577" s="194"/>
    </row>
    <row r="578" spans="7:9">
      <c r="G578" s="194"/>
      <c r="H578" s="188"/>
      <c r="I578" s="194"/>
    </row>
    <row r="579" spans="7:9">
      <c r="G579" s="194"/>
      <c r="H579" s="188"/>
      <c r="I579" s="194"/>
    </row>
    <row r="580" spans="7:9">
      <c r="G580" s="194"/>
      <c r="H580" s="188"/>
      <c r="I580" s="194"/>
    </row>
    <row r="581" spans="7:9">
      <c r="G581" s="194"/>
      <c r="H581" s="188"/>
      <c r="I581" s="194"/>
    </row>
    <row r="582" spans="7:9">
      <c r="G582" s="194"/>
      <c r="H582" s="188"/>
      <c r="I582" s="194"/>
    </row>
    <row r="583" spans="7:9">
      <c r="G583" s="194"/>
      <c r="H583" s="188"/>
      <c r="I583" s="194"/>
    </row>
    <row r="584" spans="7:9">
      <c r="G584" s="194"/>
      <c r="H584" s="188"/>
      <c r="I584" s="194"/>
    </row>
    <row r="585" spans="7:9">
      <c r="G585" s="194"/>
      <c r="H585" s="188"/>
      <c r="I585" s="194"/>
    </row>
    <row r="586" spans="7:9">
      <c r="G586" s="194"/>
      <c r="H586" s="188"/>
      <c r="I586" s="194"/>
    </row>
    <row r="587" spans="7:9">
      <c r="G587" s="194"/>
      <c r="H587" s="188"/>
      <c r="I587" s="194"/>
    </row>
    <row r="588" spans="7:9">
      <c r="G588" s="194"/>
      <c r="H588" s="188"/>
      <c r="I588" s="194"/>
    </row>
    <row r="589" spans="7:9">
      <c r="G589" s="194"/>
      <c r="H589" s="188"/>
      <c r="I589" s="194"/>
    </row>
    <row r="590" spans="7:9">
      <c r="G590" s="194"/>
      <c r="H590" s="188"/>
      <c r="I590" s="194"/>
    </row>
    <row r="591" spans="7:9">
      <c r="G591" s="194"/>
      <c r="H591" s="188"/>
      <c r="I591" s="194"/>
    </row>
    <row r="592" spans="7:9">
      <c r="G592" s="194"/>
      <c r="H592" s="188"/>
      <c r="I592" s="194"/>
    </row>
    <row r="593" spans="7:9">
      <c r="G593" s="194"/>
      <c r="H593" s="188"/>
      <c r="I593" s="194"/>
    </row>
    <row r="594" spans="7:9">
      <c r="G594" s="194"/>
      <c r="H594" s="188"/>
      <c r="I594" s="194"/>
    </row>
    <row r="595" spans="7:9">
      <c r="G595" s="194"/>
      <c r="H595" s="188"/>
      <c r="I595" s="194"/>
    </row>
    <row r="596" spans="7:9">
      <c r="G596" s="194"/>
      <c r="H596" s="188"/>
      <c r="I596" s="194"/>
    </row>
    <row r="597" spans="7:9">
      <c r="G597" s="194"/>
      <c r="H597" s="188"/>
      <c r="I597" s="194"/>
    </row>
    <row r="598" spans="7:9">
      <c r="G598" s="194"/>
      <c r="H598" s="188"/>
      <c r="I598" s="194"/>
    </row>
    <row r="599" spans="7:9">
      <c r="G599" s="194"/>
      <c r="H599" s="188"/>
      <c r="I599" s="194"/>
    </row>
    <row r="600" spans="7:9">
      <c r="G600" s="194"/>
      <c r="H600" s="188"/>
      <c r="I600" s="194"/>
    </row>
    <row r="601" spans="7:9">
      <c r="G601" s="194"/>
      <c r="H601" s="188"/>
      <c r="I601" s="194"/>
    </row>
    <row r="602" spans="7:9">
      <c r="G602" s="194"/>
      <c r="H602" s="188"/>
      <c r="I602" s="194"/>
    </row>
    <row r="603" spans="7:9">
      <c r="G603" s="194"/>
      <c r="H603" s="188"/>
      <c r="I603" s="194"/>
    </row>
    <row r="604" spans="7:9">
      <c r="G604" s="194"/>
      <c r="H604" s="188"/>
      <c r="I604" s="194"/>
    </row>
    <row r="605" spans="7:9">
      <c r="G605" s="194"/>
      <c r="H605" s="188"/>
      <c r="I605" s="194"/>
    </row>
    <row r="606" spans="7:9">
      <c r="G606" s="194"/>
      <c r="H606" s="188"/>
      <c r="I606" s="194"/>
    </row>
    <row r="607" spans="7:9">
      <c r="G607" s="194"/>
      <c r="H607" s="188"/>
      <c r="I607" s="194"/>
    </row>
    <row r="608" spans="7:9">
      <c r="G608" s="194"/>
      <c r="H608" s="188"/>
      <c r="I608" s="194"/>
    </row>
    <row r="609" spans="7:9">
      <c r="G609" s="194"/>
      <c r="H609" s="188"/>
      <c r="I609" s="194"/>
    </row>
    <row r="610" spans="7:9">
      <c r="G610" s="194"/>
      <c r="H610" s="188"/>
      <c r="I610" s="194"/>
    </row>
    <row r="611" spans="7:9">
      <c r="G611" s="194"/>
      <c r="H611" s="188"/>
      <c r="I611" s="194"/>
    </row>
    <row r="612" spans="7:9">
      <c r="G612" s="194"/>
      <c r="H612" s="188"/>
      <c r="I612" s="194"/>
    </row>
    <row r="613" spans="7:9">
      <c r="G613" s="194"/>
      <c r="H613" s="188"/>
      <c r="I613" s="194"/>
    </row>
    <row r="614" spans="7:9">
      <c r="G614" s="194"/>
      <c r="H614" s="188"/>
      <c r="I614" s="194"/>
    </row>
    <row r="615" spans="7:9">
      <c r="G615" s="194"/>
      <c r="H615" s="188"/>
      <c r="I615" s="194"/>
    </row>
    <row r="616" spans="7:9">
      <c r="G616" s="194"/>
      <c r="H616" s="188"/>
      <c r="I616" s="194"/>
    </row>
    <row r="617" spans="7:9">
      <c r="G617" s="194"/>
      <c r="H617" s="188"/>
      <c r="I617" s="194"/>
    </row>
    <row r="618" spans="7:9">
      <c r="G618" s="194"/>
      <c r="H618" s="188"/>
      <c r="I618" s="194"/>
    </row>
    <row r="619" spans="7:9">
      <c r="G619" s="194"/>
      <c r="H619" s="188"/>
      <c r="I619" s="194"/>
    </row>
    <row r="620" spans="7:9">
      <c r="G620" s="194"/>
      <c r="H620" s="188"/>
      <c r="I620" s="194"/>
    </row>
    <row r="621" spans="7:9">
      <c r="G621" s="194"/>
      <c r="H621" s="188"/>
      <c r="I621" s="194"/>
    </row>
    <row r="622" spans="7:9">
      <c r="G622" s="194"/>
      <c r="H622" s="188"/>
      <c r="I622" s="194"/>
    </row>
    <row r="623" spans="7:9">
      <c r="G623" s="194"/>
      <c r="H623" s="188"/>
      <c r="I623" s="194"/>
    </row>
    <row r="624" spans="7:9">
      <c r="G624" s="194"/>
      <c r="H624" s="188"/>
      <c r="I624" s="194"/>
    </row>
    <row r="625" spans="7:9">
      <c r="G625" s="194"/>
      <c r="H625" s="188"/>
      <c r="I625" s="194"/>
    </row>
    <row r="626" spans="7:9">
      <c r="G626" s="194"/>
      <c r="H626" s="188"/>
      <c r="I626" s="194"/>
    </row>
    <row r="627" spans="7:9">
      <c r="G627" s="194"/>
      <c r="H627" s="188"/>
      <c r="I627" s="194"/>
    </row>
    <row r="628" spans="7:9">
      <c r="G628" s="194"/>
      <c r="H628" s="188"/>
      <c r="I628" s="194"/>
    </row>
    <row r="629" spans="7:9">
      <c r="G629" s="194"/>
      <c r="H629" s="188"/>
      <c r="I629" s="194"/>
    </row>
    <row r="630" spans="7:9">
      <c r="G630" s="194"/>
      <c r="H630" s="188"/>
      <c r="I630" s="194"/>
    </row>
    <row r="631" spans="7:9">
      <c r="G631" s="194"/>
      <c r="H631" s="188"/>
      <c r="I631" s="194"/>
    </row>
    <row r="632" spans="7:9">
      <c r="G632" s="194"/>
      <c r="H632" s="188"/>
      <c r="I632" s="194"/>
    </row>
    <row r="633" spans="7:9">
      <c r="G633" s="194"/>
      <c r="H633" s="188"/>
      <c r="I633" s="194"/>
    </row>
    <row r="634" spans="7:9">
      <c r="G634" s="194"/>
      <c r="H634" s="188"/>
      <c r="I634" s="194"/>
    </row>
    <row r="635" spans="7:9">
      <c r="G635" s="194"/>
      <c r="H635" s="188"/>
      <c r="I635" s="194"/>
    </row>
    <row r="636" spans="7:9">
      <c r="G636" s="194"/>
      <c r="H636" s="188"/>
      <c r="I636" s="194"/>
    </row>
    <row r="637" spans="7:9">
      <c r="G637" s="194"/>
      <c r="H637" s="188"/>
      <c r="I637" s="194"/>
    </row>
    <row r="638" spans="7:9">
      <c r="G638" s="194"/>
      <c r="H638" s="188"/>
      <c r="I638" s="194"/>
    </row>
    <row r="639" spans="7:9">
      <c r="G639" s="194"/>
      <c r="H639" s="188"/>
      <c r="I639" s="194"/>
    </row>
    <row r="640" spans="7:9">
      <c r="G640" s="194"/>
      <c r="H640" s="188"/>
      <c r="I640" s="194"/>
    </row>
    <row r="641" spans="7:9">
      <c r="G641" s="194"/>
      <c r="H641" s="188"/>
      <c r="I641" s="194"/>
    </row>
    <row r="642" spans="7:9">
      <c r="G642" s="194"/>
      <c r="H642" s="188"/>
      <c r="I642" s="194"/>
    </row>
    <row r="643" spans="7:9">
      <c r="G643" s="194"/>
      <c r="H643" s="188"/>
      <c r="I643" s="194"/>
    </row>
    <row r="644" spans="7:9">
      <c r="G644" s="194"/>
      <c r="H644" s="188"/>
      <c r="I644" s="194"/>
    </row>
    <row r="645" spans="7:9">
      <c r="G645" s="194"/>
      <c r="H645" s="188"/>
      <c r="I645" s="194"/>
    </row>
    <row r="646" spans="7:9">
      <c r="G646" s="194"/>
      <c r="H646" s="188"/>
      <c r="I646" s="194"/>
    </row>
    <row r="647" spans="7:9">
      <c r="G647" s="194"/>
      <c r="H647" s="188"/>
      <c r="I647" s="194"/>
    </row>
    <row r="648" spans="7:9">
      <c r="G648" s="194"/>
      <c r="H648" s="188"/>
      <c r="I648" s="194"/>
    </row>
    <row r="649" spans="7:9">
      <c r="G649" s="194"/>
      <c r="H649" s="188"/>
      <c r="I649" s="194"/>
    </row>
    <row r="650" spans="7:9">
      <c r="G650" s="194"/>
      <c r="H650" s="188"/>
      <c r="I650" s="194"/>
    </row>
    <row r="651" spans="7:9">
      <c r="G651" s="194"/>
      <c r="H651" s="188"/>
      <c r="I651" s="194"/>
    </row>
    <row r="652" spans="7:9">
      <c r="G652" s="194"/>
      <c r="H652" s="188"/>
      <c r="I652" s="194"/>
    </row>
    <row r="653" spans="7:9">
      <c r="G653" s="194"/>
      <c r="H653" s="188"/>
      <c r="I653" s="194"/>
    </row>
    <row r="654" spans="7:9">
      <c r="G654" s="194"/>
      <c r="H654" s="188"/>
      <c r="I654" s="194"/>
    </row>
  </sheetData>
  <sheetProtection password="D64E" sheet="1" objects="1" scenarios="1"/>
  <mergeCells count="8">
    <mergeCell ref="A1:F1"/>
    <mergeCell ref="E5:F10"/>
    <mergeCell ref="A3:F3"/>
    <mergeCell ref="A51:F51"/>
    <mergeCell ref="C26:C27"/>
    <mergeCell ref="F26:F27"/>
    <mergeCell ref="A24:F24"/>
    <mergeCell ref="A50:F50"/>
  </mergeCells>
  <phoneticPr fontId="8"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52"/>
  <sheetViews>
    <sheetView showGridLines="0" topLeftCell="A171" zoomScaleNormal="100" workbookViewId="0">
      <selection activeCell="A171" sqref="A1:XFD1048576"/>
    </sheetView>
  </sheetViews>
  <sheetFormatPr defaultColWidth="9.140625" defaultRowHeight="12.75"/>
  <cols>
    <col min="1" max="1" width="2.42578125" style="307" customWidth="1"/>
    <col min="2" max="2" width="5.42578125" style="307" customWidth="1"/>
    <col min="3" max="3" width="18.28515625" style="307" customWidth="1"/>
    <col min="4" max="4" width="7.140625" style="307" customWidth="1"/>
    <col min="5" max="5" width="12.5703125" style="307" customWidth="1"/>
    <col min="6" max="6" width="10.42578125" style="307" customWidth="1"/>
    <col min="7" max="8" width="6.42578125" style="307" customWidth="1"/>
    <col min="9" max="9" width="1.85546875" style="307" customWidth="1"/>
    <col min="10" max="11" width="6.42578125" style="307" customWidth="1"/>
    <col min="12" max="12" width="1.85546875" style="307" customWidth="1"/>
    <col min="13" max="14" width="6.42578125" style="307" customWidth="1"/>
    <col min="15" max="15" width="1.85546875" style="307" customWidth="1"/>
    <col min="16" max="17" width="6.42578125" style="307" customWidth="1"/>
    <col min="18" max="18" width="1.85546875" style="307" customWidth="1"/>
    <col min="19" max="20" width="7" style="307" customWidth="1"/>
    <col min="21" max="21" width="5.85546875" style="307" customWidth="1"/>
    <col min="22" max="22" width="13.140625" style="307" customWidth="1"/>
    <col min="23" max="23" width="24.85546875" style="307" customWidth="1"/>
    <col min="24" max="24" width="73.42578125" style="307" customWidth="1"/>
    <col min="25" max="25" width="9.140625" style="307"/>
    <col min="26" max="29" width="8" style="307" customWidth="1"/>
    <col min="30" max="32" width="9.140625" style="307" bestFit="1" customWidth="1"/>
    <col min="33" max="33" width="8.42578125" style="307" bestFit="1" customWidth="1"/>
    <col min="34" max="51" width="8" style="307" customWidth="1"/>
    <col min="52" max="53" width="9.140625" style="1809"/>
    <col min="54" max="16384" width="9.140625" style="307"/>
  </cols>
  <sheetData>
    <row r="1" spans="1:53" s="1809" customFormat="1" ht="13.5" hidden="1" customHeight="1">
      <c r="G1" s="1809" t="s">
        <v>6645</v>
      </c>
      <c r="J1" s="1809" t="s">
        <v>6646</v>
      </c>
      <c r="M1" s="1809" t="s">
        <v>6647</v>
      </c>
      <c r="N1" s="1809" t="s">
        <v>6648</v>
      </c>
      <c r="P1" s="1809" t="s">
        <v>6649</v>
      </c>
      <c r="Q1" s="1809" t="s">
        <v>6650</v>
      </c>
      <c r="S1" s="1809" t="s">
        <v>6651</v>
      </c>
      <c r="BA1" s="1773">
        <v>1</v>
      </c>
    </row>
    <row r="2" spans="1:53" s="289" customFormat="1" ht="13.5" customHeight="1">
      <c r="A2" s="3745" t="str">
        <f>CONCATENATE("PART FOUR (A):  USES OF FUNDS","  -  ",'Part I-Project Information'!$O$7," ",'Part I-Project Information'!$F$35,", ",'Part I-Project Information'!F39,", ",'Part I-Project Information'!J40," County")</f>
        <v>PART FOUR (A):  USES OF FUNDS  -  2021-067 West Point Village Phase II, West Point, Troup County</v>
      </c>
      <c r="B2" s="3746"/>
      <c r="C2" s="3746"/>
      <c r="D2" s="3746"/>
      <c r="E2" s="3746"/>
      <c r="F2" s="3746"/>
      <c r="G2" s="3746"/>
      <c r="H2" s="3746"/>
      <c r="I2" s="3746"/>
      <c r="J2" s="3746"/>
      <c r="K2" s="3746"/>
      <c r="L2" s="3746"/>
      <c r="M2" s="3746"/>
      <c r="N2" s="3746"/>
      <c r="O2" s="3746"/>
      <c r="P2" s="3746"/>
      <c r="Q2" s="3746"/>
      <c r="R2" s="3746"/>
      <c r="S2" s="3746"/>
      <c r="T2" s="3746"/>
      <c r="W2" s="3747" t="str">
        <f>A2</f>
        <v>PART FOUR (A):  USES OF FUNDS  -  2021-067 West Point Village Phase II, West Point, Troup County</v>
      </c>
      <c r="X2" s="3747"/>
      <c r="AZ2" s="1808"/>
      <c r="BA2" s="1773">
        <v>2</v>
      </c>
    </row>
    <row r="3" spans="1:53" ht="2.25" customHeight="1">
      <c r="BA3" s="1773">
        <v>3</v>
      </c>
    </row>
    <row r="4" spans="1:53" s="289" customFormat="1" ht="4.5" customHeight="1">
      <c r="A4" s="291"/>
      <c r="B4" s="291"/>
      <c r="C4" s="291"/>
      <c r="D4" s="291"/>
      <c r="E4" s="291"/>
      <c r="F4" s="291"/>
      <c r="G4" s="291"/>
      <c r="H4" s="291"/>
      <c r="I4" s="291"/>
      <c r="J4" s="291"/>
      <c r="K4" s="291"/>
      <c r="L4" s="291"/>
      <c r="M4" s="291"/>
      <c r="N4" s="291"/>
      <c r="O4" s="291"/>
      <c r="P4" s="291"/>
      <c r="Q4" s="291"/>
      <c r="R4" s="291"/>
      <c r="S4" s="291"/>
      <c r="T4" s="291"/>
      <c r="AZ4" s="1808"/>
      <c r="BA4" s="1773">
        <v>4</v>
      </c>
    </row>
    <row r="5" spans="1:53" s="289" customFormat="1" ht="2.1" customHeight="1" thickBot="1">
      <c r="A5" s="1711"/>
      <c r="B5" s="1711"/>
      <c r="C5" s="1711"/>
      <c r="D5" s="455"/>
      <c r="E5" s="455"/>
      <c r="F5" s="455"/>
      <c r="G5" s="455"/>
      <c r="H5" s="455"/>
      <c r="I5" s="291"/>
      <c r="J5" s="1711"/>
      <c r="K5" s="1711"/>
      <c r="L5" s="1711"/>
      <c r="M5" s="1711"/>
      <c r="N5" s="1711"/>
      <c r="O5" s="1711"/>
      <c r="P5" s="1711"/>
      <c r="Q5" s="1711"/>
      <c r="R5" s="1711"/>
      <c r="S5" s="1711"/>
      <c r="T5" s="1711"/>
      <c r="AZ5" s="1808"/>
      <c r="BA5" s="1773">
        <v>5</v>
      </c>
    </row>
    <row r="6" spans="1:53" s="289" customFormat="1" ht="19.5" customHeight="1" thickBot="1">
      <c r="A6" s="410" t="s">
        <v>586</v>
      </c>
      <c r="B6" s="410" t="s">
        <v>866</v>
      </c>
      <c r="D6" s="3633" t="str">
        <f>'Part I-Project Information'!$B$7</f>
        <v>2021 Core App
May 10 Rev</v>
      </c>
      <c r="E6" s="3633"/>
      <c r="F6" s="3633"/>
      <c r="G6" s="3633"/>
      <c r="H6" s="3633"/>
      <c r="I6" s="455"/>
      <c r="J6" s="3689" t="s">
        <v>260</v>
      </c>
      <c r="K6" s="3690"/>
      <c r="L6" s="337"/>
      <c r="M6" s="3715" t="s">
        <v>468</v>
      </c>
      <c r="N6" s="3716"/>
      <c r="P6" s="3689" t="s">
        <v>261</v>
      </c>
      <c r="Q6" s="3690"/>
      <c r="S6" s="3689" t="s">
        <v>262</v>
      </c>
      <c r="T6" s="3690"/>
      <c r="V6" s="411" t="str">
        <f>B6</f>
        <v>DEVELOPMENT BUDGET</v>
      </c>
      <c r="AZ6" s="1808"/>
      <c r="BA6" s="1773">
        <v>6</v>
      </c>
    </row>
    <row r="7" spans="1:53" s="289" customFormat="1" ht="19.5" customHeight="1" thickBot="1">
      <c r="D7" s="1311"/>
      <c r="E7" s="1311"/>
      <c r="F7" s="1311"/>
      <c r="G7" s="3719" t="s">
        <v>94</v>
      </c>
      <c r="H7" s="3720"/>
      <c r="J7" s="3691"/>
      <c r="K7" s="3692"/>
      <c r="L7" s="337"/>
      <c r="M7" s="3717"/>
      <c r="N7" s="3718"/>
      <c r="P7" s="3691"/>
      <c r="Q7" s="3692"/>
      <c r="S7" s="3691"/>
      <c r="T7" s="3692"/>
      <c r="V7" s="325" t="s">
        <v>2536</v>
      </c>
      <c r="X7" s="325"/>
      <c r="AZ7" s="1808"/>
      <c r="BA7" s="1773">
        <v>7</v>
      </c>
    </row>
    <row r="8" spans="1:53" s="289" customFormat="1" ht="12" customHeight="1">
      <c r="B8" s="291" t="s">
        <v>95</v>
      </c>
      <c r="O8" s="1711" t="str">
        <f>B8</f>
        <v>PRE-DEVELOPMENT COSTS</v>
      </c>
      <c r="W8" s="289" t="str">
        <f>B8</f>
        <v>PRE-DEVELOPMENT COSTS</v>
      </c>
      <c r="AZ8" s="1808"/>
      <c r="BA8" s="1773">
        <v>8</v>
      </c>
    </row>
    <row r="9" spans="1:53" s="289" customFormat="1" ht="11.25" customHeight="1">
      <c r="B9" s="289" t="s">
        <v>1909</v>
      </c>
      <c r="G9" s="3554">
        <v>0</v>
      </c>
      <c r="H9" s="3555"/>
      <c r="J9" s="3554"/>
      <c r="K9" s="3555"/>
      <c r="L9" s="2644"/>
      <c r="M9" s="3554"/>
      <c r="N9" s="3555"/>
      <c r="P9" s="3554"/>
      <c r="Q9" s="3555"/>
      <c r="S9" s="3554"/>
      <c r="T9" s="3555"/>
      <c r="V9" s="2799"/>
      <c r="W9" s="3627"/>
      <c r="X9" s="3628"/>
      <c r="AZ9" s="1808"/>
      <c r="BA9" s="1773">
        <v>9</v>
      </c>
    </row>
    <row r="10" spans="1:53" s="289" customFormat="1" ht="11.25" customHeight="1">
      <c r="B10" s="289" t="s">
        <v>437</v>
      </c>
      <c r="G10" s="3542">
        <v>6750</v>
      </c>
      <c r="H10" s="3543"/>
      <c r="J10" s="3542">
        <v>6750</v>
      </c>
      <c r="K10" s="3543"/>
      <c r="L10" s="2644"/>
      <c r="M10" s="3542"/>
      <c r="N10" s="3543"/>
      <c r="P10" s="3542"/>
      <c r="Q10" s="3543"/>
      <c r="S10" s="3542"/>
      <c r="T10" s="3543"/>
      <c r="V10" s="2799"/>
      <c r="W10" s="3627"/>
      <c r="X10" s="3628"/>
      <c r="AZ10" s="1808"/>
      <c r="BA10" s="1773">
        <v>10</v>
      </c>
    </row>
    <row r="11" spans="1:53" s="289" customFormat="1" ht="11.25" customHeight="1">
      <c r="B11" s="289" t="s">
        <v>466</v>
      </c>
      <c r="G11" s="3542">
        <v>18500</v>
      </c>
      <c r="H11" s="3543"/>
      <c r="J11" s="3542">
        <v>18500</v>
      </c>
      <c r="K11" s="3543"/>
      <c r="L11" s="2644"/>
      <c r="M11" s="3542"/>
      <c r="N11" s="3543"/>
      <c r="P11" s="3542"/>
      <c r="Q11" s="3543"/>
      <c r="S11" s="3542"/>
      <c r="T11" s="3543"/>
      <c r="V11" s="2799"/>
      <c r="W11" s="3627"/>
      <c r="X11" s="3628"/>
      <c r="AZ11" s="1808"/>
      <c r="BA11" s="1773">
        <v>11</v>
      </c>
    </row>
    <row r="12" spans="1:53" s="289" customFormat="1" ht="11.25" customHeight="1">
      <c r="B12" s="289" t="s">
        <v>467</v>
      </c>
      <c r="G12" s="3542">
        <v>18000</v>
      </c>
      <c r="H12" s="3543"/>
      <c r="J12" s="3542">
        <v>18000</v>
      </c>
      <c r="K12" s="3543"/>
      <c r="L12" s="2644"/>
      <c r="M12" s="3542"/>
      <c r="N12" s="3543"/>
      <c r="P12" s="3542"/>
      <c r="Q12" s="3543"/>
      <c r="S12" s="3542"/>
      <c r="T12" s="3543"/>
      <c r="V12" s="2799"/>
      <c r="W12" s="3627"/>
      <c r="X12" s="3628"/>
      <c r="AZ12" s="1808"/>
      <c r="BA12" s="1773">
        <v>12</v>
      </c>
    </row>
    <row r="13" spans="1:53" s="289" customFormat="1" ht="11.25" customHeight="1">
      <c r="B13" s="289" t="s">
        <v>2384</v>
      </c>
      <c r="G13" s="3542">
        <v>35000</v>
      </c>
      <c r="H13" s="3543"/>
      <c r="J13" s="3542">
        <v>35000</v>
      </c>
      <c r="K13" s="3543"/>
      <c r="L13" s="2644"/>
      <c r="M13" s="3542"/>
      <c r="N13" s="3543"/>
      <c r="P13" s="3542"/>
      <c r="Q13" s="3543"/>
      <c r="S13" s="3542"/>
      <c r="T13" s="3543"/>
      <c r="V13" s="2799"/>
      <c r="W13" s="3627"/>
      <c r="X13" s="3628"/>
      <c r="AZ13" s="1808"/>
      <c r="BA13" s="1773">
        <v>13</v>
      </c>
    </row>
    <row r="14" spans="1:53" s="289" customFormat="1" ht="11.25" customHeight="1">
      <c r="B14" s="289" t="s">
        <v>182</v>
      </c>
      <c r="G14" s="3542">
        <v>0</v>
      </c>
      <c r="H14" s="3543"/>
      <c r="J14" s="3542"/>
      <c r="K14" s="3543"/>
      <c r="L14" s="2644"/>
      <c r="M14" s="3542"/>
      <c r="N14" s="3543"/>
      <c r="P14" s="3542"/>
      <c r="Q14" s="3543"/>
      <c r="S14" s="3542"/>
      <c r="T14" s="3543"/>
      <c r="V14" s="2799"/>
      <c r="W14" s="3627"/>
      <c r="X14" s="3628"/>
      <c r="AZ14" s="1808"/>
      <c r="BA14" s="1773">
        <v>14</v>
      </c>
    </row>
    <row r="15" spans="1:53" s="289" customFormat="1" ht="11.25" customHeight="1">
      <c r="A15" s="363" t="str">
        <f>IF(AND(G15&gt;0,OR(C15="",C15="&lt;Enter detailed description here; use Comments section if needed&gt;")),"X","")</f>
        <v/>
      </c>
      <c r="B15" s="170" t="s">
        <v>6576</v>
      </c>
      <c r="C15" s="3704" t="s">
        <v>3342</v>
      </c>
      <c r="D15" s="3704"/>
      <c r="E15" s="3704"/>
      <c r="F15" s="3705"/>
      <c r="G15" s="3542">
        <v>0</v>
      </c>
      <c r="H15" s="3543"/>
      <c r="J15" s="3542"/>
      <c r="K15" s="3543"/>
      <c r="L15" s="2644"/>
      <c r="M15" s="3542"/>
      <c r="N15" s="3543"/>
      <c r="P15" s="3542"/>
      <c r="Q15" s="3543"/>
      <c r="S15" s="3542"/>
      <c r="T15" s="3543"/>
      <c r="U15" s="362" t="str">
        <f>IF(AND(G15&gt;0,OR(C15="",C15="&lt;Enter detailed description here; use Comments section if needed&gt;")),"NO DESCRIPTION PROVIDED - please enter detailed description in Other box at left; use Comments section below if needed.","")</f>
        <v/>
      </c>
      <c r="V15" s="2800"/>
      <c r="W15" s="3627"/>
      <c r="X15" s="3628"/>
      <c r="AZ15" s="1808" t="s">
        <v>6677</v>
      </c>
      <c r="BA15" s="1773">
        <v>15</v>
      </c>
    </row>
    <row r="16" spans="1:53" s="289" customFormat="1" ht="11.25" customHeight="1">
      <c r="A16" s="363" t="str">
        <f>IF(AND(G16&gt;0,OR(C16="",C16="&lt;Enter detailed description here; use Comments section if needed&gt;")),"X","")</f>
        <v/>
      </c>
      <c r="B16" s="170" t="s">
        <v>6577</v>
      </c>
      <c r="C16" s="3704" t="s">
        <v>3342</v>
      </c>
      <c r="D16" s="3704"/>
      <c r="E16" s="3704"/>
      <c r="F16" s="3705"/>
      <c r="G16" s="3542">
        <v>0</v>
      </c>
      <c r="H16" s="3543"/>
      <c r="J16" s="3542"/>
      <c r="K16" s="3543"/>
      <c r="L16" s="2644"/>
      <c r="M16" s="3542"/>
      <c r="N16" s="3543"/>
      <c r="P16" s="3542"/>
      <c r="Q16" s="3543"/>
      <c r="S16" s="3542"/>
      <c r="T16" s="3543"/>
      <c r="U16" s="362" t="str">
        <f>IF(AND(G16&gt;0,OR(C16="",C16="&lt;Enter detailed description here; use Comments section if needed&gt;")),"NO DESCRIPTION PROVIDED - please enter detailed description in Other box at left; use Comments section below if needed.","")</f>
        <v/>
      </c>
      <c r="V16" s="2800"/>
      <c r="W16" s="3627"/>
      <c r="X16" s="3628"/>
      <c r="AZ16" s="1808" t="s">
        <v>6678</v>
      </c>
      <c r="BA16" s="1773">
        <v>16</v>
      </c>
    </row>
    <row r="17" spans="1:53" s="289" customFormat="1" ht="11.25" customHeight="1" thickBot="1">
      <c r="A17" s="363" t="str">
        <f>IF(AND(G17&gt;0,OR(C17="",C17="&lt;Enter detailed description here; use Comments section if needed&gt;")),"X","")</f>
        <v/>
      </c>
      <c r="B17" s="170" t="s">
        <v>6578</v>
      </c>
      <c r="C17" s="3704" t="s">
        <v>3342</v>
      </c>
      <c r="D17" s="3704"/>
      <c r="E17" s="3704"/>
      <c r="F17" s="3705"/>
      <c r="G17" s="3706">
        <v>0</v>
      </c>
      <c r="H17" s="3707"/>
      <c r="J17" s="3706"/>
      <c r="K17" s="3707"/>
      <c r="L17" s="2644"/>
      <c r="M17" s="3706"/>
      <c r="N17" s="3707"/>
      <c r="P17" s="3706"/>
      <c r="Q17" s="3707"/>
      <c r="S17" s="3706"/>
      <c r="T17" s="3707"/>
      <c r="U17" s="362" t="str">
        <f>IF(AND(G17&gt;0,OR(C17="",C17="&lt;Enter detailed description here; use Comments section if needed&gt;")),"NO DESCRIPTION PROVIDED - please enter detailed description in Other box at left; use Comments section below if needed.","")</f>
        <v/>
      </c>
      <c r="V17" s="2800"/>
      <c r="W17" s="3629"/>
      <c r="X17" s="3630"/>
      <c r="AZ17" s="1808" t="s">
        <v>6679</v>
      </c>
      <c r="BA17" s="1773">
        <v>17</v>
      </c>
    </row>
    <row r="18" spans="1:53" s="289" customFormat="1" ht="12.6" customHeight="1" thickTop="1">
      <c r="F18" s="338" t="s">
        <v>183</v>
      </c>
      <c r="G18" s="3708">
        <f>SUM(G9:G17)</f>
        <v>78250</v>
      </c>
      <c r="H18" s="3709"/>
      <c r="J18" s="3708">
        <f>SUM(J9:J17)</f>
        <v>78250</v>
      </c>
      <c r="K18" s="3709"/>
      <c r="L18" s="2644"/>
      <c r="M18" s="3708">
        <f>SUM(M9:M17)</f>
        <v>0</v>
      </c>
      <c r="N18" s="3709"/>
      <c r="P18" s="3708">
        <f>SUM(P9:P17)</f>
        <v>0</v>
      </c>
      <c r="Q18" s="3709"/>
      <c r="S18" s="3708">
        <f>SUM(S9:S17)</f>
        <v>0</v>
      </c>
      <c r="T18" s="3709"/>
      <c r="V18" s="2801">
        <f>SUM(V9:V17)</f>
        <v>0</v>
      </c>
      <c r="W18" s="3645"/>
      <c r="X18" s="3646"/>
      <c r="AZ18" s="1808" t="s">
        <v>6680</v>
      </c>
      <c r="BA18" s="1773">
        <v>18</v>
      </c>
    </row>
    <row r="19" spans="1:53" s="289" customFormat="1" ht="12" customHeight="1">
      <c r="B19" s="291" t="s">
        <v>2101</v>
      </c>
      <c r="J19" s="337"/>
      <c r="K19" s="337"/>
      <c r="M19" s="337"/>
      <c r="N19" s="337"/>
      <c r="O19" s="339" t="str">
        <f>B19</f>
        <v>ACQUISITION</v>
      </c>
      <c r="P19" s="337"/>
      <c r="Q19" s="337"/>
      <c r="S19" s="337"/>
      <c r="T19" s="337"/>
      <c r="V19" s="935"/>
      <c r="W19" s="289" t="str">
        <f>B19</f>
        <v>ACQUISITION</v>
      </c>
      <c r="AZ19" s="1808"/>
      <c r="BA19" s="1773">
        <v>19</v>
      </c>
    </row>
    <row r="20" spans="1:53" s="289" customFormat="1" ht="11.25" customHeight="1">
      <c r="B20" s="289" t="s">
        <v>2102</v>
      </c>
      <c r="E20" s="753" t="s">
        <v>3352</v>
      </c>
      <c r="F20" s="438">
        <f>IF('Part I-Project Information'!$O$38="","",G20/'Part I-Project Information'!$O$38)</f>
        <v>0</v>
      </c>
      <c r="G20" s="3554"/>
      <c r="H20" s="3555"/>
      <c r="J20" s="340"/>
      <c r="K20" s="337"/>
      <c r="L20" s="340"/>
      <c r="M20" s="340"/>
      <c r="N20" s="337"/>
      <c r="P20" s="340"/>
      <c r="Q20" s="337"/>
      <c r="S20" s="3554"/>
      <c r="T20" s="3555"/>
      <c r="V20" s="2799"/>
      <c r="W20" s="3627"/>
      <c r="X20" s="3628"/>
      <c r="AZ20" s="1808"/>
      <c r="BA20" s="1773">
        <v>20</v>
      </c>
    </row>
    <row r="21" spans="1:53" s="289" customFormat="1" ht="11.25" customHeight="1">
      <c r="B21" s="289" t="s">
        <v>1079</v>
      </c>
      <c r="G21" s="3542"/>
      <c r="H21" s="3543"/>
      <c r="J21" s="340"/>
      <c r="K21" s="337"/>
      <c r="L21" s="340"/>
      <c r="M21" s="340"/>
      <c r="N21" s="337"/>
      <c r="P21" s="340"/>
      <c r="Q21" s="337"/>
      <c r="S21" s="3542"/>
      <c r="T21" s="3543"/>
      <c r="V21" s="2799"/>
      <c r="W21" s="3627"/>
      <c r="X21" s="3628"/>
      <c r="AZ21" s="1808"/>
      <c r="BA21" s="1773">
        <v>21</v>
      </c>
    </row>
    <row r="22" spans="1:53" s="289" customFormat="1" ht="11.25" customHeight="1">
      <c r="B22" s="289" t="s">
        <v>438</v>
      </c>
      <c r="G22" s="3542"/>
      <c r="H22" s="3543"/>
      <c r="J22" s="340"/>
      <c r="K22" s="337"/>
      <c r="L22" s="340"/>
      <c r="M22" s="3554"/>
      <c r="N22" s="3555"/>
      <c r="P22" s="340"/>
      <c r="Q22" s="337"/>
      <c r="S22" s="3542"/>
      <c r="T22" s="3543"/>
      <c r="V22" s="2799"/>
      <c r="W22" s="3627"/>
      <c r="X22" s="3628"/>
      <c r="AZ22" s="1808"/>
      <c r="BA22" s="1773">
        <v>22</v>
      </c>
    </row>
    <row r="23" spans="1:53" s="289" customFormat="1" ht="11.25" customHeight="1" thickBot="1">
      <c r="B23" s="289" t="s">
        <v>411</v>
      </c>
      <c r="G23" s="3706"/>
      <c r="H23" s="3707"/>
      <c r="J23" s="340"/>
      <c r="K23" s="337"/>
      <c r="L23" s="340"/>
      <c r="M23" s="3706"/>
      <c r="N23" s="3707"/>
      <c r="P23" s="340"/>
      <c r="Q23" s="337"/>
      <c r="S23" s="3706"/>
      <c r="T23" s="3707"/>
      <c r="V23" s="2799"/>
      <c r="W23" s="3629"/>
      <c r="X23" s="3630"/>
      <c r="AZ23" s="1808"/>
      <c r="BA23" s="1773">
        <v>23</v>
      </c>
    </row>
    <row r="24" spans="1:53" s="289" customFormat="1" ht="12.6" customHeight="1" thickTop="1">
      <c r="F24" s="338" t="s">
        <v>183</v>
      </c>
      <c r="G24" s="3708">
        <f>SUM(G20:G23)</f>
        <v>0</v>
      </c>
      <c r="H24" s="3709"/>
      <c r="J24" s="340"/>
      <c r="K24" s="337"/>
      <c r="L24" s="340"/>
      <c r="M24" s="3708">
        <f>SUM(M22:M23)</f>
        <v>0</v>
      </c>
      <c r="N24" s="3709"/>
      <c r="P24" s="340"/>
      <c r="Q24" s="337"/>
      <c r="S24" s="3708">
        <f>SUM(S20:S23)</f>
        <v>0</v>
      </c>
      <c r="T24" s="3709"/>
      <c r="V24" s="2801">
        <f>SUM(V20:V23)</f>
        <v>0</v>
      </c>
      <c r="W24" s="3645"/>
      <c r="X24" s="3646"/>
      <c r="AZ24" s="1808" t="s">
        <v>6681</v>
      </c>
      <c r="BA24" s="1773">
        <v>24</v>
      </c>
    </row>
    <row r="25" spans="1:53" s="289" customFormat="1" ht="12" customHeight="1">
      <c r="B25" s="291" t="s">
        <v>1080</v>
      </c>
      <c r="J25" s="340"/>
      <c r="K25" s="337"/>
      <c r="M25" s="340"/>
      <c r="N25" s="337"/>
      <c r="O25" s="339" t="str">
        <f>B25</f>
        <v>LAND IMPROVEMENTS</v>
      </c>
      <c r="P25" s="340"/>
      <c r="Q25" s="337"/>
      <c r="S25" s="340"/>
      <c r="T25" s="337"/>
      <c r="V25" s="935"/>
      <c r="W25" s="289" t="str">
        <f>B25</f>
        <v>LAND IMPROVEMENTS</v>
      </c>
      <c r="AZ25" s="1808"/>
      <c r="BA25" s="1773">
        <v>25</v>
      </c>
    </row>
    <row r="26" spans="1:53" s="289" customFormat="1" ht="11.25" customHeight="1">
      <c r="B26" s="289" t="s">
        <v>1081</v>
      </c>
      <c r="E26" s="753" t="s">
        <v>3352</v>
      </c>
      <c r="F26" s="438">
        <f>IF('Part I-Project Information'!$O$38="","",G26/'Part I-Project Information'!$O$38)</f>
        <v>273435.18886679917</v>
      </c>
      <c r="G26" s="3554">
        <v>1375379</v>
      </c>
      <c r="H26" s="3555"/>
      <c r="J26" s="3554">
        <v>1169072.1499999999</v>
      </c>
      <c r="K26" s="3555"/>
      <c r="L26" s="2644"/>
      <c r="M26" s="3738"/>
      <c r="N26" s="3739"/>
      <c r="P26" s="3738"/>
      <c r="Q26" s="3739"/>
      <c r="S26" s="3554">
        <v>206306.85</v>
      </c>
      <c r="T26" s="3555"/>
      <c r="V26" s="2799"/>
      <c r="W26" s="3627"/>
      <c r="X26" s="3628"/>
      <c r="AZ26" s="1808"/>
      <c r="BA26" s="1773">
        <v>26</v>
      </c>
    </row>
    <row r="27" spans="1:53" s="289" customFormat="1" ht="11.25" customHeight="1" thickBot="1">
      <c r="B27" s="289" t="s">
        <v>1082</v>
      </c>
      <c r="G27" s="3706"/>
      <c r="H27" s="3707"/>
      <c r="J27" s="3706"/>
      <c r="K27" s="3707"/>
      <c r="L27" s="341"/>
      <c r="M27" s="3737"/>
      <c r="N27" s="3737"/>
      <c r="P27" s="3737"/>
      <c r="Q27" s="3737"/>
      <c r="S27" s="3706"/>
      <c r="T27" s="3707"/>
      <c r="V27" s="2799"/>
      <c r="W27" s="3629"/>
      <c r="X27" s="3630"/>
      <c r="AZ27" s="1808"/>
      <c r="BA27" s="1773">
        <v>27</v>
      </c>
    </row>
    <row r="28" spans="1:53" s="289" customFormat="1" ht="12.6" customHeight="1" thickTop="1">
      <c r="F28" s="338" t="s">
        <v>183</v>
      </c>
      <c r="G28" s="3708">
        <f>SUM(G26:G27)</f>
        <v>1375379</v>
      </c>
      <c r="H28" s="3709"/>
      <c r="J28" s="3708">
        <f>SUM(J26:J27)</f>
        <v>1169072.1499999999</v>
      </c>
      <c r="K28" s="3709"/>
      <c r="L28" s="340"/>
      <c r="M28" s="3708">
        <f>M26</f>
        <v>0</v>
      </c>
      <c r="N28" s="3709"/>
      <c r="P28" s="3708">
        <f>P26</f>
        <v>0</v>
      </c>
      <c r="Q28" s="3709"/>
      <c r="S28" s="3708">
        <f>SUM(S26:S27)</f>
        <v>206306.85</v>
      </c>
      <c r="T28" s="3709"/>
      <c r="V28" s="2801">
        <f>SUM(V26:V27)</f>
        <v>0</v>
      </c>
      <c r="W28" s="3645"/>
      <c r="X28" s="3646"/>
      <c r="AZ28" s="1808" t="s">
        <v>6682</v>
      </c>
      <c r="BA28" s="1773">
        <v>28</v>
      </c>
    </row>
    <row r="29" spans="1:53" s="289" customFormat="1" ht="12" customHeight="1">
      <c r="B29" s="291" t="s">
        <v>1083</v>
      </c>
      <c r="J29" s="340"/>
      <c r="K29" s="337"/>
      <c r="M29" s="340"/>
      <c r="N29" s="337"/>
      <c r="O29" s="339" t="str">
        <f>B29</f>
        <v>STRUCTURES</v>
      </c>
      <c r="P29" s="340"/>
      <c r="Q29" s="337"/>
      <c r="S29" s="340"/>
      <c r="T29" s="337"/>
      <c r="V29" s="935"/>
      <c r="W29" s="289" t="str">
        <f>B29</f>
        <v>STRUCTURES</v>
      </c>
      <c r="AZ29" s="1808"/>
      <c r="BA29" s="1773">
        <v>29</v>
      </c>
    </row>
    <row r="30" spans="1:53" s="289" customFormat="1" ht="11.25" customHeight="1">
      <c r="B30" s="289" t="s">
        <v>1084</v>
      </c>
      <c r="G30" s="3554">
        <v>7903123</v>
      </c>
      <c r="H30" s="3555"/>
      <c r="J30" s="3554">
        <v>7903123</v>
      </c>
      <c r="K30" s="3555"/>
      <c r="L30" s="2644"/>
      <c r="M30" s="3554"/>
      <c r="N30" s="3555"/>
      <c r="P30" s="3554"/>
      <c r="Q30" s="3555"/>
      <c r="S30" s="3554"/>
      <c r="T30" s="3555"/>
      <c r="V30" s="2799"/>
      <c r="W30" s="3627"/>
      <c r="X30" s="3628"/>
      <c r="AZ30" s="1808"/>
      <c r="BA30" s="1773">
        <v>30</v>
      </c>
    </row>
    <row r="31" spans="1:53" s="289" customFormat="1" ht="11.25" customHeight="1">
      <c r="B31" s="289" t="s">
        <v>1085</v>
      </c>
      <c r="G31" s="3542"/>
      <c r="H31" s="3543"/>
      <c r="J31" s="3542"/>
      <c r="K31" s="3543"/>
      <c r="L31" s="2644"/>
      <c r="M31" s="3542"/>
      <c r="N31" s="3543"/>
      <c r="P31" s="3542"/>
      <c r="Q31" s="3543"/>
      <c r="S31" s="3542"/>
      <c r="T31" s="3543"/>
      <c r="V31" s="2799"/>
      <c r="W31" s="3627"/>
      <c r="X31" s="3628"/>
      <c r="AZ31" s="1808"/>
      <c r="BA31" s="1773">
        <v>31</v>
      </c>
    </row>
    <row r="32" spans="1:53" s="289" customFormat="1" ht="11.25" customHeight="1">
      <c r="B32" s="289" t="s">
        <v>6299</v>
      </c>
      <c r="G32" s="3542"/>
      <c r="H32" s="3543"/>
      <c r="J32" s="3542"/>
      <c r="K32" s="3543"/>
      <c r="L32" s="2644"/>
      <c r="M32" s="3542"/>
      <c r="N32" s="3543"/>
      <c r="P32" s="3542"/>
      <c r="Q32" s="3543"/>
      <c r="S32" s="3542"/>
      <c r="T32" s="3543"/>
      <c r="V32" s="2799"/>
      <c r="W32" s="3627"/>
      <c r="X32" s="3628"/>
      <c r="AZ32" s="1808"/>
      <c r="BA32" s="1773">
        <v>32</v>
      </c>
    </row>
    <row r="33" spans="1:53" s="289" customFormat="1" ht="11.25" customHeight="1">
      <c r="B33" s="289" t="s">
        <v>6297</v>
      </c>
      <c r="G33" s="3542"/>
      <c r="H33" s="3543"/>
      <c r="J33" s="3542"/>
      <c r="K33" s="3543"/>
      <c r="L33" s="2644"/>
      <c r="M33" s="3542"/>
      <c r="N33" s="3543"/>
      <c r="P33" s="3542"/>
      <c r="Q33" s="3543"/>
      <c r="S33" s="3542"/>
      <c r="T33" s="3543"/>
      <c r="V33" s="2799"/>
      <c r="W33" s="3627"/>
      <c r="X33" s="3628"/>
      <c r="AZ33" s="1808"/>
      <c r="BA33" s="1773">
        <v>33</v>
      </c>
    </row>
    <row r="34" spans="1:53" ht="11.25" customHeight="1">
      <c r="B34" s="289" t="s">
        <v>2603</v>
      </c>
      <c r="G34" s="3542"/>
      <c r="H34" s="3543"/>
      <c r="I34" s="289"/>
      <c r="J34" s="3542"/>
      <c r="K34" s="3543"/>
      <c r="L34" s="2644"/>
      <c r="M34" s="3542"/>
      <c r="N34" s="3543"/>
      <c r="O34" s="289"/>
      <c r="P34" s="3542"/>
      <c r="Q34" s="3543"/>
      <c r="R34" s="289"/>
      <c r="S34" s="3542"/>
      <c r="T34" s="3543"/>
      <c r="V34" s="2799"/>
      <c r="W34" s="3629"/>
      <c r="X34" s="3630"/>
      <c r="BA34" s="1773">
        <v>34</v>
      </c>
    </row>
    <row r="35" spans="1:53" ht="11.25" customHeight="1" thickBot="1">
      <c r="B35" s="289" t="s">
        <v>6298</v>
      </c>
      <c r="G35" s="3735"/>
      <c r="H35" s="3736"/>
      <c r="I35" s="289"/>
      <c r="J35" s="3735"/>
      <c r="K35" s="3736"/>
      <c r="L35" s="2644"/>
      <c r="M35" s="3735"/>
      <c r="N35" s="3736"/>
      <c r="O35" s="289"/>
      <c r="P35" s="3735"/>
      <c r="Q35" s="3736"/>
      <c r="R35" s="289"/>
      <c r="S35" s="3735"/>
      <c r="T35" s="3736"/>
      <c r="V35" s="2799"/>
      <c r="W35" s="3629"/>
      <c r="X35" s="3630"/>
      <c r="BA35" s="1773">
        <v>35</v>
      </c>
    </row>
    <row r="36" spans="1:53" s="289" customFormat="1" ht="12.6" customHeight="1" thickTop="1">
      <c r="C36" s="3734"/>
      <c r="D36" s="3734"/>
      <c r="E36" s="2640"/>
      <c r="F36" s="338" t="s">
        <v>183</v>
      </c>
      <c r="G36" s="3708">
        <f>SUM(G30:G35)</f>
        <v>7903123</v>
      </c>
      <c r="H36" s="3709"/>
      <c r="J36" s="3708">
        <f>SUM(J30:J35)</f>
        <v>7903123</v>
      </c>
      <c r="K36" s="3709"/>
      <c r="L36" s="2644"/>
      <c r="M36" s="3708">
        <f>SUM(M30:M35)</f>
        <v>0</v>
      </c>
      <c r="N36" s="3709"/>
      <c r="P36" s="3708">
        <f>SUM(P30:P35)</f>
        <v>0</v>
      </c>
      <c r="Q36" s="3709"/>
      <c r="S36" s="3708">
        <f>SUM(S30:S35)</f>
        <v>0</v>
      </c>
      <c r="T36" s="3709"/>
      <c r="V36" s="2801">
        <f>SUM(V30:V35)</f>
        <v>0</v>
      </c>
      <c r="W36" s="3645"/>
      <c r="X36" s="3646"/>
      <c r="AZ36" s="1808" t="s">
        <v>6683</v>
      </c>
      <c r="BA36" s="1773">
        <v>36</v>
      </c>
    </row>
    <row r="37" spans="1:53" s="289" customFormat="1" ht="12" customHeight="1">
      <c r="B37" s="291" t="s">
        <v>2238</v>
      </c>
      <c r="D37" s="3733" t="s">
        <v>3356</v>
      </c>
      <c r="E37" s="3733"/>
      <c r="F37" s="851">
        <f>SUM(F38:F40)</f>
        <v>0.14000000000000001</v>
      </c>
      <c r="G37" s="860" t="str">
        <f>IF(G38&gt;E38,"Proposed Builder Profit exceeds DCA Maximum!!!",IF(G39&gt;E39,"Proposed Builder Overhead exceeds DCA Maximum!!!",IF(G40&gt;E40,"Proposed General Requirements exceeds DCA Maximum!!!",IF(G41&gt;E41,"Proposed Contractor Services amount exceeds DCA Maximum!!!",""))))</f>
        <v/>
      </c>
      <c r="H37" s="307"/>
      <c r="I37" s="307"/>
      <c r="J37" s="340"/>
      <c r="K37" s="337"/>
      <c r="M37" s="340"/>
      <c r="N37" s="337"/>
      <c r="O37" s="339" t="str">
        <f>B37</f>
        <v>CONTRACTOR SERVICES</v>
      </c>
      <c r="P37" s="340"/>
      <c r="Q37" s="337"/>
      <c r="S37" s="340"/>
      <c r="T37" s="337"/>
      <c r="V37" s="935"/>
      <c r="W37" s="289" t="str">
        <f>B37</f>
        <v>CONTRACTOR SERVICES</v>
      </c>
      <c r="AZ37" s="1808"/>
      <c r="BA37" s="1773">
        <v>37</v>
      </c>
    </row>
    <row r="38" spans="1:53" s="289" customFormat="1" ht="11.25" customHeight="1">
      <c r="B38" s="289" t="s">
        <v>2239</v>
      </c>
      <c r="D38" s="853">
        <f>'DCA Underwriting Assumptions'!$R$78</f>
        <v>0.06</v>
      </c>
      <c r="E38" s="855">
        <f>D38*(G28+G36)</f>
        <v>556710.12</v>
      </c>
      <c r="F38" s="852">
        <f>IF(($G$28+$G$36)=0,0,G38/($G$28+$G$36))</f>
        <v>0.06</v>
      </c>
      <c r="G38" s="3554">
        <v>556710.12</v>
      </c>
      <c r="H38" s="3555"/>
      <c r="I38" s="307"/>
      <c r="J38" s="3554">
        <v>556710.12</v>
      </c>
      <c r="K38" s="3555"/>
      <c r="L38" s="2644"/>
      <c r="M38" s="3554"/>
      <c r="N38" s="3555"/>
      <c r="P38" s="3554"/>
      <c r="Q38" s="3555"/>
      <c r="S38" s="3554"/>
      <c r="T38" s="3555"/>
      <c r="V38" s="2799"/>
      <c r="W38" s="3627"/>
      <c r="X38" s="3628"/>
      <c r="AZ38" s="1808"/>
      <c r="BA38" s="1773">
        <v>38</v>
      </c>
    </row>
    <row r="39" spans="1:53" s="289" customFormat="1" ht="11.25" customHeight="1">
      <c r="B39" s="289" t="s">
        <v>2573</v>
      </c>
      <c r="D39" s="854">
        <f>'DCA Underwriting Assumptions'!$R$79</f>
        <v>0.02</v>
      </c>
      <c r="E39" s="855">
        <f>D39*(G28+G36)</f>
        <v>185570.04</v>
      </c>
      <c r="F39" s="852">
        <f>IF(($G$28+$G$36)=0,0,G39/($G$28+$G$36))</f>
        <v>0.02</v>
      </c>
      <c r="G39" s="3542">
        <v>185570.04</v>
      </c>
      <c r="H39" s="3543"/>
      <c r="I39" s="307"/>
      <c r="J39" s="3542">
        <v>185570.04</v>
      </c>
      <c r="K39" s="3543"/>
      <c r="L39" s="2644"/>
      <c r="M39" s="3542"/>
      <c r="N39" s="3543"/>
      <c r="P39" s="3542"/>
      <c r="Q39" s="3543"/>
      <c r="S39" s="3542"/>
      <c r="T39" s="3543"/>
      <c r="V39" s="2799"/>
      <c r="W39" s="3627"/>
      <c r="X39" s="3628"/>
      <c r="AZ39" s="1808"/>
      <c r="BA39" s="1773">
        <v>39</v>
      </c>
    </row>
    <row r="40" spans="1:53" s="289" customFormat="1" ht="11.25" customHeight="1" thickBot="1">
      <c r="B40" s="289" t="s">
        <v>2574</v>
      </c>
      <c r="D40" s="858">
        <f>'DCA Underwriting Assumptions'!$R$80</f>
        <v>0.06</v>
      </c>
      <c r="E40" s="859">
        <f>D40*(G28+G36)</f>
        <v>556710.12</v>
      </c>
      <c r="F40" s="1014">
        <f>IF(($G$28+$G$36)=0,0,G40/($G$28+$G$36))</f>
        <v>0.06</v>
      </c>
      <c r="G40" s="3706">
        <v>556710.12</v>
      </c>
      <c r="H40" s="3707"/>
      <c r="I40" s="307"/>
      <c r="J40" s="3706">
        <v>556710.12</v>
      </c>
      <c r="K40" s="3707"/>
      <c r="L40" s="2644"/>
      <c r="M40" s="3706"/>
      <c r="N40" s="3707"/>
      <c r="P40" s="3706"/>
      <c r="Q40" s="3707"/>
      <c r="S40" s="3706"/>
      <c r="T40" s="3707"/>
      <c r="V40" s="2799"/>
      <c r="W40" s="3629"/>
      <c r="X40" s="3630"/>
      <c r="AZ40" s="1808"/>
      <c r="BA40" s="1773">
        <v>40</v>
      </c>
    </row>
    <row r="41" spans="1:53" s="289" customFormat="1" ht="12.6" customHeight="1" thickTop="1">
      <c r="B41" s="170" t="s">
        <v>3357</v>
      </c>
      <c r="D41" s="856">
        <f>SUM(D38:D40)</f>
        <v>0.14000000000000001</v>
      </c>
      <c r="E41" s="857">
        <f>SUM(E38:E40)</f>
        <v>1298990.28</v>
      </c>
      <c r="F41" s="839" t="s">
        <v>183</v>
      </c>
      <c r="G41" s="3708">
        <f>SUM(G38:G40)</f>
        <v>1298990.28</v>
      </c>
      <c r="H41" s="3709"/>
      <c r="J41" s="3708">
        <f>SUM(J38:J40)</f>
        <v>1298990.28</v>
      </c>
      <c r="K41" s="3709"/>
      <c r="L41" s="340"/>
      <c r="M41" s="3708">
        <f>SUM(M38:M40)</f>
        <v>0</v>
      </c>
      <c r="N41" s="3709"/>
      <c r="P41" s="3708">
        <f>SUM(P38:P40)</f>
        <v>0</v>
      </c>
      <c r="Q41" s="3709"/>
      <c r="S41" s="3708">
        <f>SUM(S38:S40)</f>
        <v>0</v>
      </c>
      <c r="T41" s="3709"/>
      <c r="V41" s="2801">
        <f>SUM(V38:V40)</f>
        <v>0</v>
      </c>
      <c r="W41" s="3645"/>
      <c r="X41" s="3646"/>
      <c r="AZ41" s="1808" t="s">
        <v>6684</v>
      </c>
      <c r="BA41" s="1773">
        <v>41</v>
      </c>
    </row>
    <row r="42" spans="1:53" s="289" customFormat="1" ht="3" customHeight="1">
      <c r="A42" s="1711"/>
      <c r="B42" s="1711"/>
      <c r="C42" s="1711"/>
      <c r="D42" s="1711"/>
      <c r="E42" s="1711"/>
      <c r="F42" s="1711"/>
      <c r="G42" s="1711"/>
      <c r="H42" s="1711"/>
      <c r="I42" s="1711"/>
      <c r="J42" s="1711"/>
      <c r="K42" s="1711"/>
      <c r="L42" s="1711"/>
      <c r="M42" s="1711"/>
      <c r="N42" s="1711"/>
      <c r="O42" s="1711"/>
      <c r="P42" s="1711"/>
      <c r="Q42" s="1711"/>
      <c r="R42" s="1711"/>
      <c r="S42" s="1711"/>
      <c r="T42" s="1711"/>
      <c r="V42" s="935"/>
      <c r="AZ42" s="1808"/>
      <c r="BA42" s="1773">
        <v>42</v>
      </c>
    </row>
    <row r="43" spans="1:53" s="289" customFormat="1">
      <c r="A43" s="1711"/>
      <c r="C43" s="1726" t="s">
        <v>6817</v>
      </c>
      <c r="D43" s="1779"/>
      <c r="E43" s="1727"/>
      <c r="F43" s="1727"/>
      <c r="G43" s="3624">
        <f>G28+G36+G41</f>
        <v>10577492.279999999</v>
      </c>
      <c r="H43" s="3625"/>
      <c r="I43" s="1711"/>
      <c r="J43" s="1711"/>
      <c r="K43" s="1711"/>
      <c r="L43" s="1711"/>
      <c r="M43" s="1711"/>
      <c r="N43" s="1711"/>
      <c r="O43" s="1711"/>
      <c r="P43" s="1711"/>
      <c r="Q43" s="1711"/>
      <c r="R43" s="1711"/>
      <c r="S43" s="1711"/>
      <c r="T43" s="1711"/>
      <c r="V43" s="935"/>
      <c r="AZ43" s="1808"/>
      <c r="BA43" s="1773">
        <v>43</v>
      </c>
    </row>
    <row r="44" spans="1:53" s="166" customFormat="1" ht="3" customHeight="1">
      <c r="A44" s="2802"/>
      <c r="B44" s="2802"/>
      <c r="C44" s="2802"/>
      <c r="D44" s="2802"/>
      <c r="E44" s="2802"/>
      <c r="F44" s="2802"/>
      <c r="G44" s="2802"/>
      <c r="H44" s="2802"/>
      <c r="I44" s="2802"/>
      <c r="J44" s="2802"/>
      <c r="K44" s="2802"/>
      <c r="L44" s="2802"/>
      <c r="M44" s="2802"/>
      <c r="N44" s="2802"/>
      <c r="O44" s="2802"/>
      <c r="P44" s="2802"/>
      <c r="Q44" s="2802"/>
      <c r="R44" s="2802"/>
      <c r="S44" s="2802"/>
      <c r="T44" s="2802"/>
      <c r="AZ44" s="1809" t="s">
        <v>6685</v>
      </c>
      <c r="BA44" s="1773">
        <v>44</v>
      </c>
    </row>
    <row r="45" spans="1:53" s="289" customFormat="1" ht="12" customHeight="1">
      <c r="B45" s="291" t="s">
        <v>2575</v>
      </c>
      <c r="J45" s="340"/>
      <c r="K45" s="337"/>
      <c r="M45" s="340"/>
      <c r="N45" s="337"/>
      <c r="O45" s="339" t="str">
        <f>B45</f>
        <v>OTHER CONSTRUCTION HARD COSTS (Non-GC work scope items done by Owner)</v>
      </c>
      <c r="P45" s="340"/>
      <c r="Q45" s="337"/>
      <c r="S45" s="340"/>
      <c r="T45" s="337"/>
      <c r="V45" s="935"/>
      <c r="W45" s="289" t="str">
        <f>B45</f>
        <v>OTHER CONSTRUCTION HARD COSTS (Non-GC work scope items done by Owner)</v>
      </c>
      <c r="AZ45" s="1808"/>
      <c r="BA45" s="1773">
        <v>45</v>
      </c>
    </row>
    <row r="46" spans="1:53" ht="11.25" customHeight="1">
      <c r="B46" s="170" t="s">
        <v>6579</v>
      </c>
      <c r="C46" s="3704" t="s">
        <v>3342</v>
      </c>
      <c r="D46" s="3731"/>
      <c r="E46" s="3731"/>
      <c r="F46" s="3732"/>
      <c r="G46" s="3727">
        <f>SUM(J46:T46)</f>
        <v>0</v>
      </c>
      <c r="H46" s="3728"/>
      <c r="I46" s="289"/>
      <c r="J46" s="3727"/>
      <c r="K46" s="3728"/>
      <c r="L46" s="2644"/>
      <c r="M46" s="3727"/>
      <c r="N46" s="3728"/>
      <c r="O46" s="289"/>
      <c r="P46" s="3727"/>
      <c r="Q46" s="3728"/>
      <c r="R46" s="289"/>
      <c r="S46" s="3727"/>
      <c r="T46" s="3728"/>
      <c r="V46" s="2799"/>
      <c r="W46" s="3618"/>
      <c r="X46" s="3619"/>
      <c r="AZ46" s="1808"/>
      <c r="BA46" s="1773">
        <v>46</v>
      </c>
    </row>
    <row r="47" spans="1:53" s="289" customFormat="1" ht="6" customHeight="1">
      <c r="A47" s="1711"/>
      <c r="B47" s="1711"/>
      <c r="C47" s="1711"/>
      <c r="D47" s="772"/>
      <c r="E47" s="772"/>
      <c r="F47" s="772"/>
      <c r="G47" s="1711"/>
      <c r="H47" s="1711"/>
      <c r="I47" s="1711"/>
      <c r="J47" s="1711"/>
      <c r="K47" s="1711"/>
      <c r="L47" s="1711"/>
      <c r="M47" s="1711"/>
      <c r="N47" s="1711"/>
      <c r="O47" s="1711"/>
      <c r="P47" s="1711"/>
      <c r="Q47" s="1711"/>
      <c r="R47" s="1711"/>
      <c r="S47" s="1711"/>
      <c r="T47" s="1711"/>
      <c r="V47" s="935"/>
      <c r="W47" s="3620"/>
      <c r="X47" s="3621"/>
      <c r="AZ47" s="1808" t="s">
        <v>6686</v>
      </c>
      <c r="BA47" s="1773">
        <v>47</v>
      </c>
    </row>
    <row r="48" spans="1:53" s="289" customFormat="1" ht="12.6" customHeight="1">
      <c r="B48" s="1740" t="s">
        <v>2579</v>
      </c>
      <c r="C48" s="1741"/>
      <c r="E48" s="3729" t="s">
        <v>2578</v>
      </c>
      <c r="F48" s="2642">
        <f>C49/'Part VI-Revenues &amp; Expenses'!$P$65</f>
        <v>146909.61499999999</v>
      </c>
      <c r="G48" s="2643" t="s">
        <v>2597</v>
      </c>
      <c r="H48" s="1742"/>
      <c r="I48" s="1742"/>
      <c r="J48" s="3612">
        <f>C49/'Part VI-Revenues &amp; Expenses'!$P$67</f>
        <v>146909.61499999999</v>
      </c>
      <c r="K48" s="3612"/>
      <c r="L48" s="1742"/>
      <c r="M48" s="3613" t="s">
        <v>6797</v>
      </c>
      <c r="N48" s="3613"/>
      <c r="O48" s="1742"/>
      <c r="P48" s="3612">
        <f>C49/'Part I-Project Information'!$P$70</f>
        <v>153.92159895227007</v>
      </c>
      <c r="Q48" s="3612"/>
      <c r="R48" s="1742"/>
      <c r="S48" s="3614" t="s">
        <v>6799</v>
      </c>
      <c r="T48" s="3615"/>
      <c r="V48" s="935"/>
      <c r="W48" s="3620"/>
      <c r="X48" s="3621"/>
      <c r="AZ48" s="1808"/>
      <c r="BA48" s="1773">
        <v>48</v>
      </c>
    </row>
    <row r="49" spans="1:53" s="289" customFormat="1" ht="12.6" customHeight="1">
      <c r="B49" s="1781" t="s">
        <v>6816</v>
      </c>
      <c r="C49" s="1780">
        <f>G28+G36+G41+G46</f>
        <v>10577492.279999999</v>
      </c>
      <c r="E49" s="3730"/>
      <c r="F49" s="2641">
        <f>C49/'Part VI-Revenues &amp; Expenses'!$P$166</f>
        <v>159.87745284159612</v>
      </c>
      <c r="G49" s="1743" t="s">
        <v>2598</v>
      </c>
      <c r="H49" s="1744"/>
      <c r="I49" s="1744"/>
      <c r="J49" s="3616">
        <f>C49/'Part VI-Revenues &amp; Expenses'!$P$168</f>
        <v>159.87745284159612</v>
      </c>
      <c r="K49" s="3616"/>
      <c r="L49" s="1744"/>
      <c r="M49" s="3617" t="s">
        <v>6798</v>
      </c>
      <c r="N49" s="3617"/>
      <c r="O49" s="1744"/>
      <c r="P49" s="1744"/>
      <c r="Q49" s="1744"/>
      <c r="R49" s="1744"/>
      <c r="S49" s="1744"/>
      <c r="T49" s="1745"/>
      <c r="V49" s="935"/>
      <c r="W49" s="3622"/>
      <c r="X49" s="3623"/>
      <c r="AZ49" s="1808"/>
      <c r="BA49" s="1773">
        <v>49</v>
      </c>
    </row>
    <row r="50" spans="1:53" s="289" customFormat="1" ht="3" customHeight="1" thickBot="1">
      <c r="A50" s="1711"/>
      <c r="B50" s="1711"/>
      <c r="C50" s="1711"/>
      <c r="D50" s="1711"/>
      <c r="E50" s="1711"/>
      <c r="F50" s="1711"/>
      <c r="G50" s="1711"/>
      <c r="H50" s="1711"/>
      <c r="I50" s="1711"/>
      <c r="J50" s="1711"/>
      <c r="K50" s="1711"/>
      <c r="L50" s="1711"/>
      <c r="M50" s="1711"/>
      <c r="N50" s="1711"/>
      <c r="O50" s="1711"/>
      <c r="P50" s="1711"/>
      <c r="Q50" s="1711"/>
      <c r="R50" s="1711"/>
      <c r="S50" s="1711"/>
      <c r="T50" s="1711"/>
      <c r="V50" s="935"/>
      <c r="AZ50" s="1808"/>
      <c r="BA50" s="1773">
        <v>56</v>
      </c>
    </row>
    <row r="51" spans="1:53" s="289" customFormat="1" ht="18.75" customHeight="1" thickBot="1">
      <c r="A51" s="410" t="s">
        <v>586</v>
      </c>
      <c r="B51" s="410" t="s">
        <v>2637</v>
      </c>
      <c r="H51" s="2628"/>
      <c r="I51" s="2628"/>
      <c r="J51" s="3689" t="s">
        <v>260</v>
      </c>
      <c r="K51" s="3690"/>
      <c r="L51" s="337"/>
      <c r="M51" s="3715" t="s">
        <v>468</v>
      </c>
      <c r="N51" s="3716"/>
      <c r="P51" s="3689" t="s">
        <v>261</v>
      </c>
      <c r="Q51" s="3690"/>
      <c r="S51" s="3689" t="s">
        <v>262</v>
      </c>
      <c r="T51" s="3690"/>
      <c r="V51" s="935"/>
      <c r="W51" s="411" t="str">
        <f>B51</f>
        <v>DEVELOPMENT BUDGET (cont'd)</v>
      </c>
      <c r="AZ51" s="1808"/>
      <c r="BA51" s="1773">
        <v>58</v>
      </c>
    </row>
    <row r="52" spans="1:53" s="289" customFormat="1" ht="18.75" customHeight="1" thickBot="1">
      <c r="G52" s="3719" t="s">
        <v>94</v>
      </c>
      <c r="H52" s="3720"/>
      <c r="J52" s="3691"/>
      <c r="K52" s="3692"/>
      <c r="L52" s="337"/>
      <c r="M52" s="3717"/>
      <c r="N52" s="3718"/>
      <c r="P52" s="3691"/>
      <c r="Q52" s="3692"/>
      <c r="S52" s="3691"/>
      <c r="T52" s="3692"/>
      <c r="V52" s="935"/>
      <c r="W52" s="3653" t="s">
        <v>2536</v>
      </c>
      <c r="X52" s="3653"/>
      <c r="AZ52" s="1808"/>
      <c r="BA52" s="1773">
        <v>59</v>
      </c>
    </row>
    <row r="53" spans="1:53" s="289" customFormat="1" ht="9" customHeight="1">
      <c r="A53" s="1711"/>
      <c r="B53" s="1711"/>
      <c r="C53" s="1711"/>
      <c r="D53" s="1711"/>
      <c r="E53" s="1711"/>
      <c r="F53" s="1711"/>
      <c r="G53" s="1711"/>
      <c r="H53" s="1711"/>
      <c r="I53" s="1711"/>
      <c r="J53" s="1711"/>
      <c r="K53" s="1711"/>
      <c r="L53" s="1711"/>
      <c r="M53" s="1711"/>
      <c r="N53" s="1711"/>
      <c r="O53" s="1711"/>
      <c r="P53" s="1711"/>
      <c r="Q53" s="1711"/>
      <c r="R53" s="1711"/>
      <c r="S53" s="1711"/>
      <c r="T53" s="1711"/>
      <c r="V53" s="935"/>
      <c r="AZ53" s="1809"/>
      <c r="BA53" s="1773">
        <v>50</v>
      </c>
    </row>
    <row r="54" spans="1:53" s="289" customFormat="1" ht="12" customHeight="1">
      <c r="B54" s="291" t="s">
        <v>6607</v>
      </c>
      <c r="F54" s="1850" t="s">
        <v>3562</v>
      </c>
      <c r="G54" s="928" t="str">
        <f>IF(G55&gt;E55,"Check Contingency Amount!!!!","")</f>
        <v/>
      </c>
      <c r="J54" s="340"/>
      <c r="K54" s="337"/>
      <c r="M54" s="340"/>
      <c r="N54" s="337"/>
      <c r="O54" s="339" t="str">
        <f>B54</f>
        <v>CONSTRUCTION CONTINGENCY (CC)</v>
      </c>
      <c r="P54" s="340"/>
      <c r="Q54" s="337"/>
      <c r="S54" s="340"/>
      <c r="T54" s="337"/>
      <c r="V54" s="935"/>
      <c r="W54" s="289" t="str">
        <f>B54</f>
        <v>CONSTRUCTION CONTINGENCY (CC)</v>
      </c>
      <c r="AZ54" s="1808"/>
      <c r="BA54" s="1773">
        <v>51</v>
      </c>
    </row>
    <row r="55" spans="1:53" ht="11.25" customHeight="1">
      <c r="B55" s="289" t="s">
        <v>1871</v>
      </c>
      <c r="D55" s="753" t="s">
        <v>3561</v>
      </c>
      <c r="E55" s="1848">
        <f>IF('Part VI-Revenues &amp; Expenses'!$P$67=0,"",(('Part VI-Revenues &amp; Expenses'!$P$115/'Part VI-Revenues &amp; Expenses'!$P$67)*'Part IV-A-Uses of Funds'!$C$49*'DCA Underwriting Assumptions'!$R$76+(('Part VI-Revenues &amp; Expenses'!$P$118+'Part VI-Revenues &amp; Expenses'!$P$121)/'Part VI-Revenues &amp; Expenses'!$P$67)*'Part IV-A-Uses of Funds'!$C$49*'DCA Underwriting Assumptions'!$R$77))</f>
        <v>528874.61399999994</v>
      </c>
      <c r="F55" s="1849">
        <f>G55/C49</f>
        <v>4.9999941952214785E-2</v>
      </c>
      <c r="G55" s="3727">
        <v>528874</v>
      </c>
      <c r="H55" s="3728"/>
      <c r="I55" s="289"/>
      <c r="J55" s="3727">
        <v>528874</v>
      </c>
      <c r="K55" s="3728"/>
      <c r="L55" s="2644"/>
      <c r="M55" s="3727"/>
      <c r="N55" s="3728"/>
      <c r="O55" s="289"/>
      <c r="P55" s="3727"/>
      <c r="Q55" s="3728"/>
      <c r="R55" s="289"/>
      <c r="S55" s="3727"/>
      <c r="T55" s="3728"/>
      <c r="V55" s="2799"/>
      <c r="W55" s="3627"/>
      <c r="X55" s="3628"/>
      <c r="AZ55" s="1808"/>
      <c r="BA55" s="1773">
        <v>52</v>
      </c>
    </row>
    <row r="56" spans="1:53" s="289" customFormat="1" ht="6" customHeight="1">
      <c r="A56" s="1711"/>
      <c r="B56" s="1711"/>
      <c r="C56" s="1711"/>
      <c r="D56" s="772"/>
      <c r="E56" s="772"/>
      <c r="F56" s="772"/>
      <c r="G56" s="1711"/>
      <c r="H56" s="1711"/>
      <c r="I56" s="1711"/>
      <c r="J56" s="1711"/>
      <c r="K56" s="1711"/>
      <c r="L56" s="1711"/>
      <c r="M56" s="1711"/>
      <c r="N56" s="1711"/>
      <c r="O56" s="1711"/>
      <c r="P56" s="1711"/>
      <c r="Q56" s="1711"/>
      <c r="R56" s="1711"/>
      <c r="S56" s="1711"/>
      <c r="T56" s="1711"/>
      <c r="V56" s="935"/>
      <c r="W56" s="3618"/>
      <c r="X56" s="3619"/>
      <c r="AZ56" s="1808"/>
      <c r="BA56" s="1773">
        <v>53</v>
      </c>
    </row>
    <row r="57" spans="1:53" s="289" customFormat="1" ht="12.6" customHeight="1">
      <c r="B57" s="1746" t="s">
        <v>6608</v>
      </c>
      <c r="C57" s="1741"/>
      <c r="E57" s="3610" t="s">
        <v>6609</v>
      </c>
      <c r="F57" s="2642">
        <f>B58/'Part VI-Revenues &amp; Expenses'!$P$65</f>
        <v>154255.08722222221</v>
      </c>
      <c r="G57" s="2643" t="s">
        <v>2597</v>
      </c>
      <c r="H57" s="1742"/>
      <c r="I57" s="1742"/>
      <c r="J57" s="3612">
        <f>B58/'Part VI-Revenues &amp; Expenses'!$P$67</f>
        <v>154255.08722222221</v>
      </c>
      <c r="K57" s="3612"/>
      <c r="L57" s="1742"/>
      <c r="M57" s="3613" t="s">
        <v>6797</v>
      </c>
      <c r="N57" s="3613"/>
      <c r="O57" s="1742"/>
      <c r="P57" s="3612">
        <f>B58/'Part I-Project Information'!$P$70</f>
        <v>161.61766996507566</v>
      </c>
      <c r="Q57" s="3612"/>
      <c r="R57" s="1742"/>
      <c r="S57" s="3614" t="s">
        <v>6799</v>
      </c>
      <c r="T57" s="3615"/>
      <c r="V57" s="935"/>
      <c r="W57" s="3620"/>
      <c r="X57" s="3621"/>
      <c r="AZ57" s="1808"/>
      <c r="BA57" s="1773">
        <v>54</v>
      </c>
    </row>
    <row r="58" spans="1:53" s="289" customFormat="1" ht="12.6" customHeight="1">
      <c r="B58" s="3608">
        <f>C49+G55</f>
        <v>11106366.279999999</v>
      </c>
      <c r="C58" s="3609"/>
      <c r="E58" s="3611"/>
      <c r="F58" s="2641">
        <f>B58/'Part VI-Revenues &amp; Expenses'!$P$166</f>
        <v>167.87131620314389</v>
      </c>
      <c r="G58" s="1743" t="s">
        <v>2598</v>
      </c>
      <c r="H58" s="1744"/>
      <c r="I58" s="1744"/>
      <c r="J58" s="3616">
        <f>B58/'Part VI-Revenues &amp; Expenses'!$P$168</f>
        <v>167.87131620314389</v>
      </c>
      <c r="K58" s="3616"/>
      <c r="L58" s="1744"/>
      <c r="M58" s="3617" t="s">
        <v>6798</v>
      </c>
      <c r="N58" s="3617"/>
      <c r="O58" s="1744"/>
      <c r="P58" s="1744"/>
      <c r="Q58" s="1744"/>
      <c r="R58" s="1744"/>
      <c r="S58" s="1744"/>
      <c r="T58" s="1745"/>
      <c r="V58" s="935"/>
      <c r="W58" s="3620"/>
      <c r="X58" s="3621"/>
      <c r="AZ58" s="1808"/>
      <c r="BA58" s="1773">
        <v>55</v>
      </c>
    </row>
    <row r="59" spans="1:53" s="289" customFormat="1" ht="6" customHeight="1">
      <c r="A59" s="1711"/>
      <c r="B59" s="1711"/>
      <c r="C59" s="1711"/>
      <c r="D59" s="772"/>
      <c r="E59" s="772"/>
      <c r="F59" s="772"/>
      <c r="G59" s="1711"/>
      <c r="H59" s="1711"/>
      <c r="I59" s="1711"/>
      <c r="J59" s="1711"/>
      <c r="K59" s="1711"/>
      <c r="L59" s="1711"/>
      <c r="M59" s="1711"/>
      <c r="N59" s="1711"/>
      <c r="O59" s="1711"/>
      <c r="P59" s="1711"/>
      <c r="Q59" s="1711"/>
      <c r="R59" s="1711"/>
      <c r="S59" s="1711"/>
      <c r="T59" s="1711"/>
      <c r="V59" s="935"/>
      <c r="W59" s="3622"/>
      <c r="X59" s="3623"/>
      <c r="AZ59" s="1808"/>
      <c r="BA59" s="1773">
        <v>53</v>
      </c>
    </row>
    <row r="60" spans="1:53" s="289" customFormat="1" ht="12" customHeight="1">
      <c r="B60" s="291" t="s">
        <v>692</v>
      </c>
      <c r="J60" s="340"/>
      <c r="K60" s="337"/>
      <c r="M60" s="340"/>
      <c r="N60" s="337"/>
      <c r="O60" s="339" t="str">
        <f>B60</f>
        <v>CONSTRUCTION PERIOD FINANCING</v>
      </c>
      <c r="P60" s="340"/>
      <c r="Q60" s="337"/>
      <c r="S60" s="340"/>
      <c r="T60" s="337"/>
      <c r="V60" s="935"/>
      <c r="W60" s="289" t="str">
        <f>B60</f>
        <v>CONSTRUCTION PERIOD FINANCING</v>
      </c>
      <c r="AZ60" s="1808"/>
      <c r="BA60" s="1773">
        <v>60</v>
      </c>
    </row>
    <row r="61" spans="1:53" s="289" customFormat="1" ht="12" customHeight="1">
      <c r="B61" s="289" t="s">
        <v>3358</v>
      </c>
      <c r="G61" s="3554"/>
      <c r="H61" s="3555"/>
      <c r="J61" s="3554"/>
      <c r="K61" s="3555"/>
      <c r="L61" s="2644"/>
      <c r="M61" s="3554"/>
      <c r="N61" s="3555"/>
      <c r="P61" s="3554"/>
      <c r="Q61" s="3555"/>
      <c r="S61" s="3554"/>
      <c r="T61" s="3555"/>
      <c r="V61" s="2803"/>
      <c r="W61" s="3627"/>
      <c r="X61" s="3628"/>
      <c r="AZ61" s="1808"/>
      <c r="BA61" s="1773">
        <v>61</v>
      </c>
    </row>
    <row r="62" spans="1:53" s="289" customFormat="1" ht="12" customHeight="1">
      <c r="B62" s="289" t="s">
        <v>3359</v>
      </c>
      <c r="G62" s="3542"/>
      <c r="H62" s="3543"/>
      <c r="J62" s="3542"/>
      <c r="K62" s="3543"/>
      <c r="L62" s="2644"/>
      <c r="M62" s="3542"/>
      <c r="N62" s="3543"/>
      <c r="P62" s="3542"/>
      <c r="Q62" s="3543"/>
      <c r="S62" s="3542"/>
      <c r="T62" s="3543"/>
      <c r="V62" s="2803"/>
      <c r="W62" s="3627"/>
      <c r="X62" s="3628"/>
      <c r="AZ62" s="1808"/>
      <c r="BA62" s="1773">
        <v>62</v>
      </c>
    </row>
    <row r="63" spans="1:53" s="289" customFormat="1" ht="12" customHeight="1">
      <c r="B63" s="289" t="s">
        <v>2241</v>
      </c>
      <c r="G63" s="3542">
        <v>26900</v>
      </c>
      <c r="H63" s="3543"/>
      <c r="J63" s="3542">
        <v>26900</v>
      </c>
      <c r="K63" s="3543"/>
      <c r="L63" s="2644"/>
      <c r="M63" s="3542"/>
      <c r="N63" s="3543"/>
      <c r="P63" s="3542"/>
      <c r="Q63" s="3543"/>
      <c r="S63" s="3542"/>
      <c r="T63" s="3543"/>
      <c r="V63" s="2803"/>
      <c r="W63" s="3627"/>
      <c r="X63" s="3628"/>
      <c r="AZ63" s="1808"/>
      <c r="BA63" s="1773">
        <v>63</v>
      </c>
    </row>
    <row r="64" spans="1:53" s="289" customFormat="1" ht="12" customHeight="1">
      <c r="B64" s="289" t="s">
        <v>2242</v>
      </c>
      <c r="G64" s="3542">
        <v>95915</v>
      </c>
      <c r="H64" s="3543"/>
      <c r="J64" s="3542">
        <v>95915</v>
      </c>
      <c r="K64" s="3543"/>
      <c r="L64" s="2644"/>
      <c r="M64" s="3542"/>
      <c r="N64" s="3543"/>
      <c r="P64" s="3542"/>
      <c r="Q64" s="3543"/>
      <c r="S64" s="3542"/>
      <c r="T64" s="3543"/>
      <c r="V64" s="2803"/>
      <c r="W64" s="3627"/>
      <c r="X64" s="3628"/>
      <c r="AZ64" s="1808"/>
      <c r="BA64" s="1773">
        <v>64</v>
      </c>
    </row>
    <row r="65" spans="1:53" s="289" customFormat="1" ht="12" customHeight="1">
      <c r="B65" s="289" t="s">
        <v>2243</v>
      </c>
      <c r="G65" s="3542">
        <v>60000</v>
      </c>
      <c r="H65" s="3543"/>
      <c r="J65" s="3542">
        <v>60000</v>
      </c>
      <c r="K65" s="3543"/>
      <c r="L65" s="2644"/>
      <c r="M65" s="3542"/>
      <c r="N65" s="3543"/>
      <c r="P65" s="3542"/>
      <c r="Q65" s="3543"/>
      <c r="S65" s="3542"/>
      <c r="T65" s="3543"/>
      <c r="V65" s="2803"/>
      <c r="W65" s="3627"/>
      <c r="X65" s="3628"/>
      <c r="AZ65" s="1808" t="s">
        <v>6687</v>
      </c>
      <c r="BA65" s="1773">
        <v>65</v>
      </c>
    </row>
    <row r="66" spans="1:53" s="289" customFormat="1" ht="12" customHeight="1">
      <c r="B66" s="289" t="s">
        <v>2538</v>
      </c>
      <c r="G66" s="3542">
        <v>24000</v>
      </c>
      <c r="H66" s="3543"/>
      <c r="J66" s="3542">
        <v>24000</v>
      </c>
      <c r="K66" s="3543"/>
      <c r="L66" s="2644"/>
      <c r="M66" s="3542"/>
      <c r="N66" s="3543"/>
      <c r="P66" s="3542"/>
      <c r="Q66" s="3543"/>
      <c r="S66" s="3542"/>
      <c r="T66" s="3543"/>
      <c r="V66" s="2803"/>
      <c r="W66" s="3627"/>
      <c r="X66" s="3628"/>
      <c r="AZ66" s="1808" t="s">
        <v>6688</v>
      </c>
      <c r="BA66" s="1773">
        <v>66</v>
      </c>
    </row>
    <row r="67" spans="1:53" s="289" customFormat="1" ht="12" customHeight="1">
      <c r="B67" s="289" t="s">
        <v>693</v>
      </c>
      <c r="G67" s="3542">
        <v>0</v>
      </c>
      <c r="H67" s="3543"/>
      <c r="J67" s="3542"/>
      <c r="K67" s="3543"/>
      <c r="L67" s="2644"/>
      <c r="M67" s="3542"/>
      <c r="N67" s="3543"/>
      <c r="P67" s="3542"/>
      <c r="Q67" s="3543"/>
      <c r="S67" s="3542"/>
      <c r="T67" s="3543"/>
      <c r="V67" s="2803"/>
      <c r="W67" s="3627"/>
      <c r="X67" s="3628"/>
      <c r="AZ67" s="1808" t="s">
        <v>6689</v>
      </c>
      <c r="BA67" s="1773">
        <v>67</v>
      </c>
    </row>
    <row r="68" spans="1:53" s="289" customFormat="1" ht="12" customHeight="1">
      <c r="B68" s="289" t="s">
        <v>2244</v>
      </c>
      <c r="G68" s="3542">
        <v>25000</v>
      </c>
      <c r="H68" s="3543"/>
      <c r="J68" s="3542">
        <v>25000</v>
      </c>
      <c r="K68" s="3543"/>
      <c r="L68" s="2644"/>
      <c r="M68" s="3542"/>
      <c r="N68" s="3543"/>
      <c r="P68" s="3542"/>
      <c r="Q68" s="3543"/>
      <c r="S68" s="3542"/>
      <c r="T68" s="3543"/>
      <c r="V68" s="2803"/>
      <c r="W68" s="3627"/>
      <c r="X68" s="3628"/>
      <c r="AZ68" s="1808"/>
      <c r="BA68" s="1773">
        <v>68</v>
      </c>
    </row>
    <row r="69" spans="1:53" s="289" customFormat="1" ht="12" customHeight="1">
      <c r="B69" s="289" t="s">
        <v>1228</v>
      </c>
      <c r="G69" s="3542">
        <v>65000</v>
      </c>
      <c r="H69" s="3543"/>
      <c r="J69" s="3542">
        <v>65000</v>
      </c>
      <c r="K69" s="3543"/>
      <c r="L69" s="2644"/>
      <c r="M69" s="3542"/>
      <c r="N69" s="3543"/>
      <c r="P69" s="3542"/>
      <c r="Q69" s="3543"/>
      <c r="S69" s="3542"/>
      <c r="T69" s="3543"/>
      <c r="V69" s="2803"/>
      <c r="W69" s="3627"/>
      <c r="X69" s="3628"/>
      <c r="AZ69" s="1808"/>
      <c r="BA69" s="1773">
        <v>69</v>
      </c>
    </row>
    <row r="70" spans="1:53" s="289" customFormat="1" ht="12" customHeight="1">
      <c r="B70" s="344" t="s">
        <v>1111</v>
      </c>
      <c r="D70" s="342"/>
      <c r="E70" s="342"/>
      <c r="F70" s="343"/>
      <c r="G70" s="3542">
        <v>91500</v>
      </c>
      <c r="H70" s="3543"/>
      <c r="I70" s="307"/>
      <c r="J70" s="3542">
        <v>84655</v>
      </c>
      <c r="K70" s="3543"/>
      <c r="L70" s="2644"/>
      <c r="M70" s="3542"/>
      <c r="N70" s="3543"/>
      <c r="P70" s="3542"/>
      <c r="Q70" s="3543"/>
      <c r="S70" s="3542">
        <v>6845</v>
      </c>
      <c r="T70" s="3543"/>
      <c r="V70" s="2803"/>
      <c r="W70" s="3627"/>
      <c r="X70" s="3628"/>
      <c r="AZ70" s="1808"/>
      <c r="BA70" s="1773">
        <v>70</v>
      </c>
    </row>
    <row r="71" spans="1:53" s="289" customFormat="1" ht="12" customHeight="1">
      <c r="A71" s="363" t="str">
        <f>IF(AND(G71&gt;0,OR(C71="",C71="&lt;Enter detailed description here; use Comments section if needed&gt;")),"X","")</f>
        <v/>
      </c>
      <c r="B71" s="170" t="s">
        <v>6581</v>
      </c>
      <c r="C71" s="3723" t="s">
        <v>6950</v>
      </c>
      <c r="D71" s="3723"/>
      <c r="E71" s="3723"/>
      <c r="F71" s="3724"/>
      <c r="G71" s="3542">
        <v>10000</v>
      </c>
      <c r="H71" s="3543"/>
      <c r="J71" s="3542">
        <v>10000</v>
      </c>
      <c r="K71" s="3543"/>
      <c r="L71" s="2644"/>
      <c r="M71" s="3542"/>
      <c r="N71" s="3543"/>
      <c r="P71" s="3542"/>
      <c r="Q71" s="3543"/>
      <c r="S71" s="3542"/>
      <c r="T71" s="3543"/>
      <c r="U71" s="362" t="str">
        <f>IF(AND(G71&gt;0,OR(C71="",C71="&lt;Enter detailed description here; use Comments section if needed&gt;")),"NO DESCRIPTION PROVIDED - please enter detailed description in Other box at left; use Comments section below if needed.","")</f>
        <v/>
      </c>
      <c r="V71" s="2803"/>
      <c r="W71" s="3627"/>
      <c r="X71" s="3628"/>
      <c r="AZ71" s="1808"/>
      <c r="BA71" s="1773">
        <v>71</v>
      </c>
    </row>
    <row r="72" spans="1:53" s="289" customFormat="1" ht="12" customHeight="1" thickBot="1">
      <c r="A72" s="363" t="str">
        <f>IF(AND(G72&gt;0,OR(C72="",C72="&lt;Enter detailed description here; use Comments section if needed&gt;")),"X","")</f>
        <v/>
      </c>
      <c r="B72" s="170" t="s">
        <v>6582</v>
      </c>
      <c r="C72" s="3725" t="s">
        <v>7016</v>
      </c>
      <c r="D72" s="3725"/>
      <c r="E72" s="3725"/>
      <c r="F72" s="3726"/>
      <c r="G72" s="3706">
        <v>15000</v>
      </c>
      <c r="H72" s="3707"/>
      <c r="J72" s="3706">
        <v>15000</v>
      </c>
      <c r="K72" s="3707"/>
      <c r="L72" s="2644"/>
      <c r="M72" s="3546"/>
      <c r="N72" s="3547"/>
      <c r="P72" s="3546"/>
      <c r="Q72" s="3547"/>
      <c r="S72" s="3546"/>
      <c r="T72" s="3547"/>
      <c r="U72" s="362" t="str">
        <f>IF(AND(G72&gt;0,OR(C72="",C72="&lt;Enter detailed description here; use Comments section if needed&gt;")),"NO DESCRIPTION PROVIDED - please enter detailed description in Other box at left; use Comments section below if needed.","")</f>
        <v/>
      </c>
      <c r="V72" s="2803"/>
      <c r="W72" s="3629"/>
      <c r="X72" s="3630"/>
      <c r="AZ72" s="1808"/>
      <c r="BA72" s="1773">
        <v>72</v>
      </c>
    </row>
    <row r="73" spans="1:53" s="289" customFormat="1" ht="12" customHeight="1" thickTop="1">
      <c r="F73" s="338" t="s">
        <v>183</v>
      </c>
      <c r="G73" s="3708">
        <f>SUM(G61:G72)</f>
        <v>413315</v>
      </c>
      <c r="H73" s="3709"/>
      <c r="J73" s="3708">
        <f>SUM(J61:J72)</f>
        <v>406470</v>
      </c>
      <c r="K73" s="3709"/>
      <c r="L73" s="340"/>
      <c r="M73" s="3708">
        <f>SUM(M61:M72)</f>
        <v>0</v>
      </c>
      <c r="N73" s="3709"/>
      <c r="P73" s="3708">
        <f>SUM(P61:P72)</f>
        <v>0</v>
      </c>
      <c r="Q73" s="3709"/>
      <c r="S73" s="3708">
        <f>SUM(S61:S72)</f>
        <v>6845</v>
      </c>
      <c r="T73" s="3709"/>
      <c r="V73" s="2804">
        <f>SUM(V61:V72)</f>
        <v>0</v>
      </c>
      <c r="W73" s="3645"/>
      <c r="X73" s="3646"/>
      <c r="AZ73" s="1808"/>
      <c r="BA73" s="1773">
        <v>73</v>
      </c>
    </row>
    <row r="74" spans="1:53" s="289" customFormat="1" ht="12" customHeight="1">
      <c r="B74" s="291" t="s">
        <v>456</v>
      </c>
      <c r="G74" s="337"/>
      <c r="H74" s="337"/>
      <c r="J74" s="337"/>
      <c r="K74" s="337"/>
      <c r="M74" s="337"/>
      <c r="N74" s="337"/>
      <c r="O74" s="339" t="str">
        <f>B74</f>
        <v>PROFESSIONAL SERVICES</v>
      </c>
      <c r="P74" s="337"/>
      <c r="Q74" s="337"/>
      <c r="S74" s="337"/>
      <c r="T74" s="337"/>
      <c r="V74" s="935"/>
      <c r="W74" s="289" t="str">
        <f>B74</f>
        <v>PROFESSIONAL SERVICES</v>
      </c>
      <c r="AZ74" s="1808"/>
      <c r="BA74" s="1773">
        <v>74</v>
      </c>
    </row>
    <row r="75" spans="1:53" s="289" customFormat="1" ht="12" customHeight="1">
      <c r="B75" s="289" t="s">
        <v>457</v>
      </c>
      <c r="G75" s="3554">
        <v>334650</v>
      </c>
      <c r="H75" s="3555"/>
      <c r="J75" s="3554">
        <v>334650</v>
      </c>
      <c r="K75" s="3555"/>
      <c r="L75" s="2644"/>
      <c r="M75" s="3554"/>
      <c r="N75" s="3555"/>
      <c r="P75" s="3554"/>
      <c r="Q75" s="3555"/>
      <c r="S75" s="3554"/>
      <c r="T75" s="3555"/>
      <c r="V75" s="2799"/>
      <c r="W75" s="3627"/>
      <c r="X75" s="3628"/>
      <c r="AZ75" s="1808"/>
      <c r="BA75" s="1773">
        <v>75</v>
      </c>
    </row>
    <row r="76" spans="1:53" s="289" customFormat="1" ht="12" customHeight="1">
      <c r="B76" s="289" t="s">
        <v>458</v>
      </c>
      <c r="G76" s="3542">
        <v>120000</v>
      </c>
      <c r="H76" s="3543"/>
      <c r="J76" s="3542">
        <v>120000</v>
      </c>
      <c r="K76" s="3543"/>
      <c r="L76" s="2644"/>
      <c r="M76" s="3542"/>
      <c r="N76" s="3543"/>
      <c r="P76" s="3542"/>
      <c r="Q76" s="3543"/>
      <c r="S76" s="3542"/>
      <c r="T76" s="3543"/>
      <c r="V76" s="2799"/>
      <c r="W76" s="3627"/>
      <c r="X76" s="3628"/>
      <c r="AZ76" s="1808"/>
      <c r="BA76" s="1773">
        <v>76</v>
      </c>
    </row>
    <row r="77" spans="1:53" s="289" customFormat="1" ht="12" customHeight="1">
      <c r="B77" s="289" t="s">
        <v>1086</v>
      </c>
      <c r="D77" s="301"/>
      <c r="E77" s="927"/>
      <c r="F77" s="928"/>
      <c r="G77" s="3542">
        <v>31075</v>
      </c>
      <c r="H77" s="3543"/>
      <c r="J77" s="3542">
        <v>31075</v>
      </c>
      <c r="K77" s="3543"/>
      <c r="L77" s="2644"/>
      <c r="M77" s="3542"/>
      <c r="N77" s="3543"/>
      <c r="P77" s="3542"/>
      <c r="Q77" s="3543"/>
      <c r="S77" s="3542"/>
      <c r="T77" s="3543"/>
      <c r="V77" s="2799"/>
      <c r="W77" s="3627"/>
      <c r="X77" s="3628"/>
      <c r="AZ77" s="1808"/>
      <c r="BA77" s="1773">
        <v>77</v>
      </c>
    </row>
    <row r="78" spans="1:53" s="289" customFormat="1" ht="12" customHeight="1">
      <c r="B78" s="289" t="s">
        <v>1087</v>
      </c>
      <c r="G78" s="3542">
        <v>7560</v>
      </c>
      <c r="H78" s="3543"/>
      <c r="J78" s="3542">
        <v>7560</v>
      </c>
      <c r="K78" s="3543"/>
      <c r="L78" s="2644"/>
      <c r="M78" s="3542"/>
      <c r="N78" s="3543"/>
      <c r="P78" s="3542"/>
      <c r="Q78" s="3543"/>
      <c r="S78" s="3542"/>
      <c r="T78" s="3543"/>
      <c r="V78" s="2799"/>
      <c r="W78" s="3627"/>
      <c r="X78" s="3628"/>
      <c r="AZ78" s="1808"/>
      <c r="BA78" s="1773">
        <v>78</v>
      </c>
    </row>
    <row r="79" spans="1:53" s="289" customFormat="1" ht="12" customHeight="1">
      <c r="B79" s="289" t="s">
        <v>1088</v>
      </c>
      <c r="G79" s="3542">
        <v>10000</v>
      </c>
      <c r="H79" s="3543"/>
      <c r="J79" s="3542">
        <v>10000</v>
      </c>
      <c r="K79" s="3543"/>
      <c r="L79" s="2644"/>
      <c r="M79" s="3542"/>
      <c r="N79" s="3543"/>
      <c r="P79" s="3542"/>
      <c r="Q79" s="3543"/>
      <c r="S79" s="3542"/>
      <c r="T79" s="3543"/>
      <c r="V79" s="2799"/>
      <c r="W79" s="3627"/>
      <c r="X79" s="3628"/>
      <c r="AZ79" s="1808" t="s">
        <v>6690</v>
      </c>
      <c r="BA79" s="1773">
        <v>79</v>
      </c>
    </row>
    <row r="80" spans="1:53" s="289" customFormat="1" ht="12" customHeight="1">
      <c r="B80" s="289" t="s">
        <v>1089</v>
      </c>
      <c r="G80" s="3542">
        <v>60000</v>
      </c>
      <c r="H80" s="3543"/>
      <c r="J80" s="3542">
        <v>60000</v>
      </c>
      <c r="K80" s="3543"/>
      <c r="L80" s="2644"/>
      <c r="M80" s="3542"/>
      <c r="N80" s="3543"/>
      <c r="P80" s="3542"/>
      <c r="Q80" s="3543"/>
      <c r="S80" s="3542"/>
      <c r="T80" s="3543"/>
      <c r="V80" s="2799"/>
      <c r="W80" s="3627"/>
      <c r="X80" s="3628"/>
      <c r="AZ80" s="1808" t="s">
        <v>6691</v>
      </c>
      <c r="BA80" s="1773">
        <v>80</v>
      </c>
    </row>
    <row r="81" spans="1:53" s="289" customFormat="1" ht="12" customHeight="1">
      <c r="B81" s="289" t="s">
        <v>459</v>
      </c>
      <c r="G81" s="3542">
        <v>145000</v>
      </c>
      <c r="H81" s="3543"/>
      <c r="J81" s="3542">
        <v>145000</v>
      </c>
      <c r="K81" s="3543"/>
      <c r="L81" s="2644"/>
      <c r="M81" s="3542"/>
      <c r="N81" s="3543"/>
      <c r="P81" s="3542"/>
      <c r="Q81" s="3543"/>
      <c r="S81" s="3542"/>
      <c r="T81" s="3543"/>
      <c r="V81" s="2799"/>
      <c r="W81" s="3627"/>
      <c r="X81" s="3628"/>
      <c r="AZ81" s="1809"/>
      <c r="BA81" s="1773">
        <v>81</v>
      </c>
    </row>
    <row r="82" spans="1:53" s="289" customFormat="1" ht="12" customHeight="1">
      <c r="B82" s="289" t="s">
        <v>460</v>
      </c>
      <c r="G82" s="3542">
        <v>150000</v>
      </c>
      <c r="H82" s="3543"/>
      <c r="J82" s="3542">
        <v>150000</v>
      </c>
      <c r="K82" s="3543"/>
      <c r="L82" s="2644"/>
      <c r="M82" s="3542"/>
      <c r="N82" s="3543"/>
      <c r="P82" s="3542"/>
      <c r="Q82" s="3543"/>
      <c r="S82" s="3542"/>
      <c r="T82" s="3543"/>
      <c r="V82" s="2799"/>
      <c r="W82" s="3627"/>
      <c r="X82" s="3628"/>
      <c r="AZ82" s="1808"/>
      <c r="BA82" s="1773">
        <v>82</v>
      </c>
    </row>
    <row r="83" spans="1:53" s="289" customFormat="1" ht="12" customHeight="1">
      <c r="B83" s="289" t="s">
        <v>1956</v>
      </c>
      <c r="G83" s="3542">
        <v>36000</v>
      </c>
      <c r="H83" s="3543"/>
      <c r="J83" s="3542">
        <v>36000</v>
      </c>
      <c r="K83" s="3543"/>
      <c r="L83" s="2644"/>
      <c r="M83" s="3542"/>
      <c r="N83" s="3543"/>
      <c r="P83" s="3542"/>
      <c r="Q83" s="3543"/>
      <c r="S83" s="3542"/>
      <c r="T83" s="3543"/>
      <c r="V83" s="2799"/>
      <c r="W83" s="3627"/>
      <c r="X83" s="3628"/>
      <c r="AZ83" s="1808"/>
      <c r="BA83" s="1773">
        <v>83</v>
      </c>
    </row>
    <row r="84" spans="1:53" s="289" customFormat="1" ht="12" customHeight="1">
      <c r="B84" s="289" t="s">
        <v>1229</v>
      </c>
      <c r="G84" s="3542"/>
      <c r="H84" s="3543"/>
      <c r="J84" s="3542"/>
      <c r="K84" s="3543"/>
      <c r="L84" s="2644"/>
      <c r="M84" s="3542"/>
      <c r="N84" s="3543"/>
      <c r="P84" s="3542"/>
      <c r="Q84" s="3543"/>
      <c r="S84" s="3542"/>
      <c r="T84" s="3543"/>
      <c r="V84" s="2799"/>
      <c r="W84" s="3627"/>
      <c r="X84" s="3628"/>
      <c r="AZ84" s="1808"/>
      <c r="BA84" s="1773">
        <v>84</v>
      </c>
    </row>
    <row r="85" spans="1:53" s="289" customFormat="1" ht="12" customHeight="1" thickBot="1">
      <c r="A85" s="363" t="str">
        <f>IF(AND(G85&gt;0,OR(C85="",C85="&lt;Enter detailed description here; use Comments section if needed&gt;")),"X","")</f>
        <v/>
      </c>
      <c r="B85" s="170" t="s">
        <v>6583</v>
      </c>
      <c r="C85" s="3704" t="s">
        <v>6949</v>
      </c>
      <c r="D85" s="3704"/>
      <c r="E85" s="3704"/>
      <c r="F85" s="3705"/>
      <c r="G85" s="3706">
        <v>20000</v>
      </c>
      <c r="H85" s="3707"/>
      <c r="J85" s="3706">
        <v>20000</v>
      </c>
      <c r="K85" s="3707"/>
      <c r="L85" s="2644"/>
      <c r="M85" s="3546"/>
      <c r="N85" s="3547"/>
      <c r="P85" s="3546"/>
      <c r="Q85" s="3547"/>
      <c r="S85" s="3546"/>
      <c r="T85" s="3547"/>
      <c r="U85" s="362" t="str">
        <f>IF(AND(G85&gt;0,OR(C85="",C85="&lt;Enter detailed description here; use Comments section if needed&gt;")),"NO DESCRIPTION PROVIDED - please enter detailed description in Other box at left; use Comments section below if needed.","")</f>
        <v/>
      </c>
      <c r="V85" s="2799"/>
      <c r="W85" s="3629"/>
      <c r="X85" s="3630"/>
      <c r="AZ85" s="1808"/>
      <c r="BA85" s="1773">
        <v>85</v>
      </c>
    </row>
    <row r="86" spans="1:53" s="289" customFormat="1" ht="12" customHeight="1" thickTop="1">
      <c r="F86" s="338" t="s">
        <v>183</v>
      </c>
      <c r="G86" s="3708">
        <f>SUM(G75:G85)</f>
        <v>914285</v>
      </c>
      <c r="H86" s="3709"/>
      <c r="J86" s="3708">
        <f>SUM(J75:J85)</f>
        <v>914285</v>
      </c>
      <c r="K86" s="3709"/>
      <c r="L86" s="340"/>
      <c r="M86" s="3708">
        <f>SUM(M75:M85)</f>
        <v>0</v>
      </c>
      <c r="N86" s="3709"/>
      <c r="P86" s="3708">
        <f>SUM(P75:P85)</f>
        <v>0</v>
      </c>
      <c r="Q86" s="3709"/>
      <c r="S86" s="3708">
        <f>SUM(S75:S85)</f>
        <v>0</v>
      </c>
      <c r="T86" s="3709"/>
      <c r="V86" s="2801">
        <f>SUM(V75:V85)</f>
        <v>0</v>
      </c>
      <c r="W86" s="3645"/>
      <c r="X86" s="3646"/>
      <c r="AZ86" s="1808" t="s">
        <v>6692</v>
      </c>
      <c r="BA86" s="1773">
        <v>86</v>
      </c>
    </row>
    <row r="87" spans="1:53" ht="12" customHeight="1">
      <c r="A87" s="289"/>
      <c r="B87" s="291" t="s">
        <v>1221</v>
      </c>
      <c r="C87" s="289"/>
      <c r="D87" s="788" t="s">
        <v>3361</v>
      </c>
      <c r="E87" s="861">
        <f>G92/'Part VI-Revenues &amp; Expenses'!$P$67</f>
        <v>1686.1388888888889</v>
      </c>
      <c r="F87" s="289"/>
      <c r="G87" s="289"/>
      <c r="H87" s="289"/>
      <c r="I87" s="289"/>
      <c r="J87" s="340"/>
      <c r="K87" s="340"/>
      <c r="M87" s="340"/>
      <c r="N87" s="340"/>
      <c r="O87" s="339" t="str">
        <f>B87</f>
        <v>LOCAL GOVERNMENT FEES</v>
      </c>
      <c r="P87" s="340"/>
      <c r="Q87" s="340"/>
      <c r="S87" s="340"/>
      <c r="T87" s="340"/>
      <c r="V87" s="935"/>
      <c r="W87" s="289" t="str">
        <f>B87</f>
        <v>LOCAL GOVERNMENT FEES</v>
      </c>
      <c r="AZ87" s="1808"/>
      <c r="BA87" s="1773">
        <v>87</v>
      </c>
    </row>
    <row r="88" spans="1:53" s="289" customFormat="1" ht="12" customHeight="1">
      <c r="B88" s="289" t="s">
        <v>1222</v>
      </c>
      <c r="G88" s="3554">
        <v>121402</v>
      </c>
      <c r="H88" s="3555"/>
      <c r="J88" s="3554">
        <v>121402</v>
      </c>
      <c r="K88" s="3555"/>
      <c r="L88" s="2644"/>
      <c r="M88" s="3554"/>
      <c r="N88" s="3555"/>
      <c r="P88" s="3554"/>
      <c r="Q88" s="3555"/>
      <c r="S88" s="3554"/>
      <c r="T88" s="3555"/>
      <c r="V88" s="2799"/>
      <c r="W88" s="3627"/>
      <c r="X88" s="3628"/>
      <c r="AZ88" s="1808"/>
      <c r="BA88" s="1773">
        <v>88</v>
      </c>
    </row>
    <row r="89" spans="1:53" s="289" customFormat="1" ht="12" customHeight="1">
      <c r="B89" s="289" t="s">
        <v>1223</v>
      </c>
      <c r="G89" s="3542"/>
      <c r="H89" s="3543"/>
      <c r="J89" s="3542"/>
      <c r="K89" s="3543"/>
      <c r="L89" s="2644"/>
      <c r="M89" s="3542"/>
      <c r="N89" s="3543"/>
      <c r="P89" s="3542"/>
      <c r="Q89" s="3543"/>
      <c r="S89" s="3542"/>
      <c r="T89" s="3543"/>
      <c r="V89" s="2799"/>
      <c r="W89" s="3627"/>
      <c r="X89" s="3628"/>
      <c r="AZ89" s="1808"/>
      <c r="BA89" s="1773">
        <v>89</v>
      </c>
    </row>
    <row r="90" spans="1:53" s="289" customFormat="1" ht="12" customHeight="1">
      <c r="B90" s="289" t="s">
        <v>1224</v>
      </c>
      <c r="D90" s="346" t="s">
        <v>1353</v>
      </c>
      <c r="E90" s="2805" t="s">
        <v>2771</v>
      </c>
      <c r="G90" s="3542"/>
      <c r="H90" s="3543"/>
      <c r="I90" s="307"/>
      <c r="J90" s="3542"/>
      <c r="K90" s="3543"/>
      <c r="L90" s="2644"/>
      <c r="M90" s="3542"/>
      <c r="N90" s="3543"/>
      <c r="P90" s="3542"/>
      <c r="Q90" s="3543"/>
      <c r="S90" s="3542"/>
      <c r="T90" s="3543"/>
      <c r="V90" s="2799"/>
      <c r="W90" s="3627"/>
      <c r="X90" s="3628"/>
      <c r="AZ90" s="1808"/>
      <c r="BA90" s="1773">
        <v>90</v>
      </c>
    </row>
    <row r="91" spans="1:53" s="289" customFormat="1" ht="12" customHeight="1" thickBot="1">
      <c r="B91" s="289" t="s">
        <v>1225</v>
      </c>
      <c r="D91" s="346" t="s">
        <v>1353</v>
      </c>
      <c r="E91" s="2806" t="s">
        <v>2771</v>
      </c>
      <c r="G91" s="3546"/>
      <c r="H91" s="3547"/>
      <c r="I91" s="307"/>
      <c r="J91" s="3546"/>
      <c r="K91" s="3547"/>
      <c r="L91" s="2644"/>
      <c r="M91" s="3546"/>
      <c r="N91" s="3547"/>
      <c r="P91" s="3546"/>
      <c r="Q91" s="3547"/>
      <c r="S91" s="3546"/>
      <c r="T91" s="3547"/>
      <c r="V91" s="2799"/>
      <c r="W91" s="3629"/>
      <c r="X91" s="3630"/>
      <c r="AZ91" s="1808"/>
      <c r="BA91" s="1773">
        <v>91</v>
      </c>
    </row>
    <row r="92" spans="1:53" s="289" customFormat="1" ht="12" customHeight="1" thickTop="1">
      <c r="F92" s="338" t="s">
        <v>183</v>
      </c>
      <c r="G92" s="3708">
        <f>SUM(G88:G91)</f>
        <v>121402</v>
      </c>
      <c r="H92" s="3709"/>
      <c r="J92" s="3708">
        <f>SUM(J88:J91)</f>
        <v>121402</v>
      </c>
      <c r="K92" s="3709"/>
      <c r="L92" s="340"/>
      <c r="M92" s="3708">
        <f>SUM(M88:M91)</f>
        <v>0</v>
      </c>
      <c r="N92" s="3709"/>
      <c r="P92" s="3708">
        <f>SUM(P88:P91)</f>
        <v>0</v>
      </c>
      <c r="Q92" s="3709"/>
      <c r="S92" s="3708">
        <f>SUM(S88:S91)</f>
        <v>0</v>
      </c>
      <c r="T92" s="3709"/>
      <c r="V92" s="2801">
        <f>SUM(V88:V91)</f>
        <v>0</v>
      </c>
      <c r="W92" s="3645"/>
      <c r="X92" s="3646"/>
      <c r="AZ92" s="1808"/>
      <c r="BA92" s="1773">
        <v>92</v>
      </c>
    </row>
    <row r="93" spans="1:53" s="289" customFormat="1" ht="6" customHeight="1" thickBot="1">
      <c r="A93" s="1711"/>
      <c r="B93" s="1711"/>
      <c r="C93" s="1711"/>
      <c r="D93" s="1711"/>
      <c r="E93" s="1711"/>
      <c r="F93" s="1711"/>
      <c r="G93" s="1711"/>
      <c r="H93" s="1711"/>
      <c r="I93" s="1711"/>
      <c r="J93" s="1711"/>
      <c r="K93" s="1711"/>
      <c r="L93" s="1711"/>
      <c r="M93" s="1711"/>
      <c r="N93" s="1711"/>
      <c r="O93" s="1711"/>
      <c r="P93" s="1711"/>
      <c r="Q93" s="1711"/>
      <c r="R93" s="1711"/>
      <c r="S93" s="1711"/>
      <c r="T93" s="1711"/>
      <c r="V93" s="935"/>
      <c r="AZ93" s="1808"/>
      <c r="BA93" s="1773">
        <v>101</v>
      </c>
    </row>
    <row r="94" spans="1:53" s="289" customFormat="1" ht="18" customHeight="1" thickBot="1">
      <c r="A94" s="410" t="s">
        <v>586</v>
      </c>
      <c r="B94" s="410" t="s">
        <v>2636</v>
      </c>
      <c r="H94" s="2628"/>
      <c r="I94" s="2628"/>
      <c r="J94" s="3689" t="s">
        <v>260</v>
      </c>
      <c r="K94" s="3690"/>
      <c r="L94" s="337"/>
      <c r="M94" s="3715" t="s">
        <v>468</v>
      </c>
      <c r="N94" s="3716"/>
      <c r="P94" s="3689" t="s">
        <v>261</v>
      </c>
      <c r="Q94" s="3690"/>
      <c r="S94" s="3689" t="s">
        <v>262</v>
      </c>
      <c r="T94" s="3690"/>
      <c r="V94" s="411" t="str">
        <f>B94</f>
        <v>DEVELOPMENT BUDGET  (cont'd)</v>
      </c>
      <c r="AZ94" s="1808"/>
      <c r="BA94" s="1773">
        <v>102</v>
      </c>
    </row>
    <row r="95" spans="1:53" s="289" customFormat="1" ht="18" customHeight="1" thickBot="1">
      <c r="G95" s="3719" t="s">
        <v>94</v>
      </c>
      <c r="H95" s="3720"/>
      <c r="J95" s="3691"/>
      <c r="K95" s="3692"/>
      <c r="L95" s="337"/>
      <c r="M95" s="3717"/>
      <c r="N95" s="3718"/>
      <c r="P95" s="3691"/>
      <c r="Q95" s="3692"/>
      <c r="S95" s="3691"/>
      <c r="T95" s="3692"/>
      <c r="V95" s="325" t="s">
        <v>2536</v>
      </c>
      <c r="X95" s="325"/>
      <c r="AZ95" s="1808"/>
      <c r="BA95" s="1773">
        <v>103</v>
      </c>
    </row>
    <row r="96" spans="1:53" s="289" customFormat="1" ht="12" customHeight="1">
      <c r="B96" s="291" t="s">
        <v>694</v>
      </c>
      <c r="J96" s="340"/>
      <c r="K96" s="340"/>
      <c r="M96" s="340"/>
      <c r="N96" s="340"/>
      <c r="O96" s="339" t="str">
        <f>B96</f>
        <v>PERMANENT FINANCING FEES</v>
      </c>
      <c r="P96" s="340"/>
      <c r="Q96" s="340"/>
      <c r="S96" s="340"/>
      <c r="T96" s="340"/>
      <c r="V96" s="935"/>
      <c r="W96" s="289" t="str">
        <f>B96</f>
        <v>PERMANENT FINANCING FEES</v>
      </c>
      <c r="AZ96" s="1808" t="s">
        <v>6693</v>
      </c>
      <c r="BA96" s="1773">
        <v>93</v>
      </c>
    </row>
    <row r="97" spans="1:53" s="289" customFormat="1" ht="12" customHeight="1">
      <c r="B97" s="289" t="s">
        <v>1226</v>
      </c>
      <c r="G97" s="3554">
        <v>50000</v>
      </c>
      <c r="H97" s="3555"/>
      <c r="J97" s="3714"/>
      <c r="K97" s="3714"/>
      <c r="L97" s="2644"/>
      <c r="M97" s="3714"/>
      <c r="N97" s="3714"/>
      <c r="P97" s="3714"/>
      <c r="Q97" s="3714"/>
      <c r="S97" s="3554">
        <v>50000</v>
      </c>
      <c r="T97" s="3555"/>
      <c r="V97" s="2799"/>
      <c r="W97" s="3627"/>
      <c r="X97" s="3628"/>
      <c r="AZ97" s="1808" t="s">
        <v>6694</v>
      </c>
      <c r="BA97" s="1773">
        <v>94</v>
      </c>
    </row>
    <row r="98" spans="1:53" s="289" customFormat="1" ht="12" customHeight="1">
      <c r="B98" s="289" t="s">
        <v>1227</v>
      </c>
      <c r="G98" s="3542">
        <v>30000</v>
      </c>
      <c r="H98" s="3543"/>
      <c r="J98" s="3714"/>
      <c r="K98" s="3714"/>
      <c r="L98" s="2644"/>
      <c r="M98" s="3714"/>
      <c r="N98" s="3714"/>
      <c r="P98" s="3714"/>
      <c r="Q98" s="3714"/>
      <c r="S98" s="3542">
        <v>30000</v>
      </c>
      <c r="T98" s="3543"/>
      <c r="V98" s="2799"/>
      <c r="W98" s="3627"/>
      <c r="X98" s="3628"/>
      <c r="AZ98" s="1808"/>
      <c r="BA98" s="1773">
        <v>95</v>
      </c>
    </row>
    <row r="99" spans="1:53" s="289" customFormat="1" ht="12" customHeight="1">
      <c r="B99" s="289" t="s">
        <v>1228</v>
      </c>
      <c r="G99" s="3542">
        <v>0</v>
      </c>
      <c r="H99" s="3543"/>
      <c r="J99" s="3714"/>
      <c r="K99" s="3714"/>
      <c r="L99" s="2644"/>
      <c r="M99" s="3714"/>
      <c r="N99" s="3714"/>
      <c r="P99" s="3714"/>
      <c r="Q99" s="3714"/>
      <c r="S99" s="3542"/>
      <c r="T99" s="3543"/>
      <c r="V99" s="2799"/>
      <c r="W99" s="3627"/>
      <c r="X99" s="3628"/>
      <c r="AZ99" s="1808"/>
      <c r="BA99" s="1773">
        <v>96</v>
      </c>
    </row>
    <row r="100" spans="1:53" s="289" customFormat="1" ht="12" customHeight="1">
      <c r="B100" s="289" t="s">
        <v>1230</v>
      </c>
      <c r="G100" s="3542">
        <v>0</v>
      </c>
      <c r="H100" s="3543"/>
      <c r="J100" s="3714"/>
      <c r="K100" s="3714"/>
      <c r="L100" s="2644"/>
      <c r="M100" s="3714"/>
      <c r="N100" s="3714"/>
      <c r="P100" s="3714"/>
      <c r="Q100" s="3714"/>
      <c r="S100" s="3542"/>
      <c r="T100" s="3543"/>
      <c r="V100" s="2799"/>
      <c r="W100" s="3627"/>
      <c r="X100" s="3628"/>
      <c r="AZ100" s="1808"/>
      <c r="BA100" s="1773">
        <v>97</v>
      </c>
    </row>
    <row r="101" spans="1:53" s="289" customFormat="1" ht="12" customHeight="1">
      <c r="B101" s="289" t="s">
        <v>2194</v>
      </c>
      <c r="G101" s="3542">
        <v>0</v>
      </c>
      <c r="H101" s="3543"/>
      <c r="J101" s="3714"/>
      <c r="K101" s="3714"/>
      <c r="L101" s="2644"/>
      <c r="M101" s="3714"/>
      <c r="N101" s="3714"/>
      <c r="P101" s="3714"/>
      <c r="Q101" s="3714"/>
      <c r="S101" s="3542"/>
      <c r="T101" s="3543"/>
      <c r="V101" s="2799"/>
      <c r="W101" s="3627"/>
      <c r="X101" s="3628"/>
      <c r="AZ101" s="1808"/>
      <c r="BA101" s="1773">
        <v>98</v>
      </c>
    </row>
    <row r="102" spans="1:53" s="289" customFormat="1" ht="12" customHeight="1" thickBot="1">
      <c r="A102" s="363" t="str">
        <f>IF(AND(G102&gt;0,OR(C102="",C102="&lt;Enter detailed description here; use Comments section if needed&gt;")),"X","")</f>
        <v/>
      </c>
      <c r="B102" s="170" t="s">
        <v>6584</v>
      </c>
      <c r="C102" s="3704" t="s">
        <v>3342</v>
      </c>
      <c r="D102" s="3704"/>
      <c r="E102" s="3704"/>
      <c r="F102" s="3705"/>
      <c r="G102" s="3706">
        <v>0</v>
      </c>
      <c r="H102" s="3707"/>
      <c r="J102" s="3714"/>
      <c r="K102" s="3714"/>
      <c r="L102" s="2644"/>
      <c r="M102" s="3714"/>
      <c r="N102" s="3714"/>
      <c r="P102" s="3714"/>
      <c r="Q102" s="3714"/>
      <c r="S102" s="3546"/>
      <c r="T102" s="3547"/>
      <c r="U102" s="362" t="str">
        <f>IF(AND(G102&gt;0,OR(C102="",C102="&lt;Enter detailed description here; use Comments section if needed&gt;")),"NO DESCRIPTION PROVIDED - please enter detailed description in Other box at left; use Comments section below if needed.","")</f>
        <v/>
      </c>
      <c r="V102" s="2799"/>
      <c r="W102" s="3629"/>
      <c r="X102" s="3630"/>
      <c r="AZ102" s="1808"/>
      <c r="BA102" s="1773">
        <v>99</v>
      </c>
    </row>
    <row r="103" spans="1:53" s="289" customFormat="1" ht="12" customHeight="1" thickTop="1">
      <c r="F103" s="338" t="s">
        <v>183</v>
      </c>
      <c r="G103" s="3708">
        <f>SUM(G97:G102)</f>
        <v>80000</v>
      </c>
      <c r="H103" s="3709"/>
      <c r="J103" s="3714"/>
      <c r="K103" s="3714"/>
      <c r="L103" s="340"/>
      <c r="M103" s="3714"/>
      <c r="N103" s="3714"/>
      <c r="P103" s="3714"/>
      <c r="Q103" s="3714"/>
      <c r="S103" s="3708">
        <f>SUM(S97:S102)</f>
        <v>80000</v>
      </c>
      <c r="T103" s="3709"/>
      <c r="V103" s="2801">
        <f>SUM(V97:V102)</f>
        <v>0</v>
      </c>
      <c r="W103" s="3645"/>
      <c r="X103" s="3646"/>
      <c r="AZ103" s="1808"/>
      <c r="BA103" s="1773">
        <v>100</v>
      </c>
    </row>
    <row r="104" spans="1:53" s="289" customFormat="1" ht="13.35" customHeight="1">
      <c r="B104" s="291" t="s">
        <v>695</v>
      </c>
      <c r="J104" s="340"/>
      <c r="K104" s="340"/>
      <c r="M104" s="340"/>
      <c r="N104" s="340"/>
      <c r="O104" s="339" t="str">
        <f>B104</f>
        <v>DCA-RELATED COSTS</v>
      </c>
      <c r="P104" s="340"/>
      <c r="Q104" s="340"/>
      <c r="S104" s="340"/>
      <c r="T104" s="340"/>
      <c r="V104" s="935"/>
      <c r="W104" s="289" t="str">
        <f>B104</f>
        <v>DCA-RELATED COSTS</v>
      </c>
      <c r="AZ104" s="1808"/>
      <c r="BA104" s="1773">
        <v>104</v>
      </c>
    </row>
    <row r="105" spans="1:53" s="289" customFormat="1" ht="12.6" customHeight="1">
      <c r="B105" s="289" t="str">
        <f>CONCATENATE("DCA HOME Loan Consent Pre-Application Fee ($",'DCA Underwriting Assumptions'!$Q$82, " FP/JV, $",'DCA Underwriting Assumptions'!$Q$83, " NP)")</f>
        <v>DCA HOME Loan Consent Pre-Application Fee ($1000 FP/JV, $500 NP)</v>
      </c>
      <c r="G105" s="3554">
        <v>1000</v>
      </c>
      <c r="H105" s="3555"/>
      <c r="J105" s="340"/>
      <c r="K105" s="340"/>
      <c r="L105" s="2644"/>
      <c r="M105" s="340"/>
      <c r="N105" s="340"/>
      <c r="P105" s="340"/>
      <c r="Q105" s="340"/>
      <c r="S105" s="3554">
        <v>1000</v>
      </c>
      <c r="T105" s="3555"/>
      <c r="V105" s="2799"/>
      <c r="W105" s="3627"/>
      <c r="X105" s="3628"/>
      <c r="AZ105" s="1808"/>
      <c r="BA105" s="1773">
        <v>105</v>
      </c>
    </row>
    <row r="106" spans="1:53" s="289" customFormat="1" ht="12.6" customHeight="1">
      <c r="B106" s="289" t="str">
        <f>CONCATENATE("Tax Credit Application Fee ($",'DCA Underwriting Assumptions'!$Q$88, " ForProf/JntVent, $",'DCA Underwriting Assumptions'!$Q$89, " NonProf)")</f>
        <v>Tax Credit Application Fee ($6500 ForProf/JntVent, $5500 NonProf)</v>
      </c>
      <c r="G106" s="3542">
        <v>6500</v>
      </c>
      <c r="H106" s="3543"/>
      <c r="J106" s="340"/>
      <c r="K106" s="340"/>
      <c r="L106" s="347"/>
      <c r="M106" s="340"/>
      <c r="N106" s="340"/>
      <c r="P106" s="340"/>
      <c r="Q106" s="340"/>
      <c r="S106" s="3542">
        <v>6500</v>
      </c>
      <c r="T106" s="3543"/>
      <c r="V106" s="2799"/>
      <c r="W106" s="3627"/>
      <c r="X106" s="3628"/>
      <c r="AZ106" s="1808" t="s">
        <v>6695</v>
      </c>
      <c r="BA106" s="1773">
        <v>106</v>
      </c>
    </row>
    <row r="107" spans="1:53" s="289" customFormat="1" ht="12.6" customHeight="1">
      <c r="B107" s="289" t="s">
        <v>3461</v>
      </c>
      <c r="G107" s="3542">
        <v>0</v>
      </c>
      <c r="H107" s="3543"/>
      <c r="J107" s="340"/>
      <c r="K107" s="340"/>
      <c r="L107" s="347"/>
      <c r="M107" s="340"/>
      <c r="N107" s="340"/>
      <c r="O107" s="2628"/>
      <c r="P107" s="340"/>
      <c r="Q107" s="340"/>
      <c r="S107" s="3542"/>
      <c r="T107" s="3543"/>
      <c r="V107" s="2799"/>
      <c r="W107" s="3627"/>
      <c r="X107" s="3628"/>
      <c r="AZ107" s="1808" t="s">
        <v>6696</v>
      </c>
      <c r="BA107" s="1773">
        <v>107</v>
      </c>
    </row>
    <row r="108" spans="1:53" s="289" customFormat="1" ht="12.6" customHeight="1">
      <c r="B108" s="289" t="s">
        <v>494</v>
      </c>
      <c r="E108" s="3721">
        <f>ROUNDUP('DCA Underwriting Assumptions'!$Q$93*J197,0)</f>
        <v>72000</v>
      </c>
      <c r="F108" s="3722"/>
      <c r="G108" s="3542">
        <v>72000</v>
      </c>
      <c r="H108" s="3543"/>
      <c r="J108" s="862" t="str">
        <f>IF(E108&gt;G108,"WARNING!  LIHTC Allocation Fee proposed is below minimum required.","")</f>
        <v/>
      </c>
      <c r="K108" s="340"/>
      <c r="L108" s="2644"/>
      <c r="M108" s="340"/>
      <c r="N108" s="340"/>
      <c r="O108" s="2628"/>
      <c r="P108" s="340"/>
      <c r="Q108" s="340"/>
      <c r="S108" s="3542">
        <v>72000</v>
      </c>
      <c r="T108" s="3543"/>
      <c r="V108" s="2799"/>
      <c r="W108" s="3627"/>
      <c r="X108" s="3628"/>
      <c r="AZ108" s="1808" t="s">
        <v>6697</v>
      </c>
      <c r="BA108" s="1773">
        <v>108</v>
      </c>
    </row>
    <row r="109" spans="1:53" s="289" customFormat="1" ht="12.6" customHeight="1">
      <c r="B109" s="289" t="s">
        <v>723</v>
      </c>
      <c r="E109" s="3721">
        <f>IF(NOT('Part I-Project Information'!$K$94="Income Averaging"),(('Part VI-Revenues &amp; Expenses'!$P$127+'Part VI-Revenues &amp; Expenses'!$P$138+'Part VI-Revenues &amp; Expenses'!$P$142)*'DCA Underwriting Assumptions'!$Q$97+('Part VI-Revenues &amp; Expenses'!$P$136+'Part VI-Revenues &amp; Expenses'!$P$137+'Part VI-Revenues &amp; Expenses'!$P$140+'Part VI-Revenues &amp; Expenses'!$P$141)*'DCA Underwriting Assumptions'!$Q$100),(('Part VI-Revenues &amp; Expenses'!$P$127+'Part VI-Revenues &amp; Expenses'!$P$138+'Part VI-Revenues &amp; Expenses'!$P$142)*'DCA Underwriting Assumptions'!$Q$98+('Part VI-Revenues &amp; Expenses'!$P$136+'Part VI-Revenues &amp; Expenses'!$P$137+'Part VI-Revenues &amp; Expenses'!$P$140+'Part VI-Revenues &amp; Expenses'!$P$141)*'DCA Underwriting Assumptions'!$Q$100))</f>
        <v>57600</v>
      </c>
      <c r="F109" s="3722"/>
      <c r="G109" s="3542">
        <v>57600</v>
      </c>
      <c r="H109" s="3543"/>
      <c r="I109" s="3756" t="str">
        <f>IF(E109&gt;G109,"WARNING!  LIHTC Compliance Fee proposed is below minimum required.","")</f>
        <v/>
      </c>
      <c r="J109" s="3757"/>
      <c r="K109" s="3757"/>
      <c r="L109" s="3757"/>
      <c r="M109" s="3757"/>
      <c r="N109" s="3757"/>
      <c r="O109" s="3757"/>
      <c r="P109" s="3757"/>
      <c r="Q109" s="3757"/>
      <c r="R109" s="3758"/>
      <c r="S109" s="3542">
        <v>57600</v>
      </c>
      <c r="T109" s="3543"/>
      <c r="V109" s="2799"/>
      <c r="W109" s="3627"/>
      <c r="X109" s="3628"/>
      <c r="AZ109" s="1808"/>
      <c r="BA109" s="1773">
        <v>109</v>
      </c>
    </row>
    <row r="110" spans="1:53" s="289" customFormat="1" ht="12.6" customHeight="1">
      <c r="B110" s="289" t="s">
        <v>3601</v>
      </c>
      <c r="F110" s="1034">
        <f>ROUNDUP('DCA Underwriting Assumptions'!$Q$95,0)</f>
        <v>0</v>
      </c>
      <c r="G110" s="3542">
        <v>0</v>
      </c>
      <c r="H110" s="3543"/>
      <c r="I110" s="3756"/>
      <c r="J110" s="3757"/>
      <c r="K110" s="3757"/>
      <c r="L110" s="3757"/>
      <c r="M110" s="3757"/>
      <c r="N110" s="3757"/>
      <c r="O110" s="3757"/>
      <c r="P110" s="3757"/>
      <c r="Q110" s="3757"/>
      <c r="R110" s="3758"/>
      <c r="S110" s="3542"/>
      <c r="T110" s="3543"/>
      <c r="V110" s="2799"/>
      <c r="W110" s="3627"/>
      <c r="X110" s="3628"/>
      <c r="AZ110" s="1808"/>
      <c r="BA110" s="1773">
        <v>110</v>
      </c>
    </row>
    <row r="111" spans="1:53" s="289" customFormat="1" ht="12.6" customHeight="1">
      <c r="B111" s="289" t="s">
        <v>3602</v>
      </c>
      <c r="F111" s="1034">
        <f>ROUNDUP('DCA Underwriting Assumptions'!$Q$128,0)</f>
        <v>3000</v>
      </c>
      <c r="G111" s="3542">
        <v>3000</v>
      </c>
      <c r="H111" s="3543"/>
      <c r="J111" s="267"/>
      <c r="K111" s="267"/>
      <c r="L111" s="267"/>
      <c r="M111" s="267"/>
      <c r="N111" s="267"/>
      <c r="O111" s="267"/>
      <c r="P111" s="267"/>
      <c r="Q111" s="267"/>
      <c r="S111" s="3542">
        <v>3000</v>
      </c>
      <c r="T111" s="3543"/>
      <c r="V111" s="2799"/>
      <c r="W111" s="3627"/>
      <c r="X111" s="3628"/>
      <c r="AZ111" s="1808"/>
      <c r="BA111" s="1773">
        <v>111</v>
      </c>
    </row>
    <row r="112" spans="1:53" s="289" customFormat="1" ht="12.6" customHeight="1">
      <c r="A112" s="363" t="str">
        <f>IF(AND(G112&gt;0,OR(C112="",C112="&lt;Enter detailed description here; use Comments section if needed&gt;")),"X","")</f>
        <v/>
      </c>
      <c r="B112" s="170" t="s">
        <v>6580</v>
      </c>
      <c r="C112" s="3723" t="s">
        <v>3342</v>
      </c>
      <c r="D112" s="3723"/>
      <c r="E112" s="3723"/>
      <c r="F112" s="3724"/>
      <c r="G112" s="3542">
        <v>0</v>
      </c>
      <c r="H112" s="3543"/>
      <c r="J112" s="267"/>
      <c r="K112" s="267"/>
      <c r="L112" s="267"/>
      <c r="M112" s="267"/>
      <c r="N112" s="267"/>
      <c r="O112" s="267"/>
      <c r="P112" s="267"/>
      <c r="Q112" s="267"/>
      <c r="S112" s="3542"/>
      <c r="T112" s="3543"/>
      <c r="U112" s="362" t="str">
        <f>IF(AND(G112&gt;0,OR(C112="",C112="&lt;Enter detailed description here; use Comments section if needed&gt;")),"NO DESCRIPTION PROVIDED - please enter detailed description in Other box at left; use Comments section below if needed.","")</f>
        <v/>
      </c>
      <c r="V112" s="2799"/>
      <c r="W112" s="3627"/>
      <c r="X112" s="3628"/>
      <c r="AZ112" s="1808"/>
      <c r="BA112" s="1773">
        <v>112</v>
      </c>
    </row>
    <row r="113" spans="1:53" s="289" customFormat="1" ht="12.6" customHeight="1" thickBot="1">
      <c r="A113" s="363" t="str">
        <f>IF(AND(G113&gt;0,OR(C113="",C113="&lt;Enter detailed description here; use Comments section if needed&gt;")),"X","")</f>
        <v/>
      </c>
      <c r="B113" s="170" t="s">
        <v>6580</v>
      </c>
      <c r="C113" s="3725" t="s">
        <v>3342</v>
      </c>
      <c r="D113" s="3725"/>
      <c r="E113" s="3725"/>
      <c r="F113" s="3726"/>
      <c r="G113" s="3706">
        <v>0</v>
      </c>
      <c r="H113" s="3707"/>
      <c r="J113" s="267"/>
      <c r="K113" s="267"/>
      <c r="L113" s="267"/>
      <c r="M113" s="267"/>
      <c r="N113" s="267"/>
      <c r="O113" s="267"/>
      <c r="P113" s="267"/>
      <c r="Q113" s="267"/>
      <c r="S113" s="3546"/>
      <c r="T113" s="3547"/>
      <c r="U113" s="362" t="str">
        <f>IF(AND(G113&gt;0,OR(C113="",C113="&lt;Enter detailed description here; use Comments section if needed&gt;")),"NO DESCRIPTION PROVIDED - please enter detailed description in Other box at left; use Comments section below if needed.","")</f>
        <v/>
      </c>
      <c r="V113" s="2799"/>
      <c r="W113" s="3629"/>
      <c r="X113" s="3630"/>
      <c r="AZ113" s="1808" t="s">
        <v>6698</v>
      </c>
      <c r="BA113" s="1773">
        <v>113</v>
      </c>
    </row>
    <row r="114" spans="1:53" s="289" customFormat="1" ht="12.6" customHeight="1" thickTop="1">
      <c r="F114" s="338" t="s">
        <v>183</v>
      </c>
      <c r="G114" s="3708">
        <f>SUM(G105:G113)</f>
        <v>140100</v>
      </c>
      <c r="H114" s="3709"/>
      <c r="J114" s="340"/>
      <c r="K114" s="340"/>
      <c r="L114" s="2644"/>
      <c r="M114" s="340"/>
      <c r="N114" s="340"/>
      <c r="P114" s="340"/>
      <c r="Q114" s="340"/>
      <c r="S114" s="3708">
        <f>SUM(S105:S113)</f>
        <v>140100</v>
      </c>
      <c r="T114" s="3709"/>
      <c r="V114" s="2801">
        <f>SUM(V105:V113)</f>
        <v>0</v>
      </c>
      <c r="W114" s="3631"/>
      <c r="X114" s="3632"/>
      <c r="AZ114" s="1808" t="s">
        <v>6699</v>
      </c>
      <c r="BA114" s="1773">
        <v>114</v>
      </c>
    </row>
    <row r="115" spans="1:53" s="289" customFormat="1" ht="13.35" customHeight="1">
      <c r="B115" s="291" t="s">
        <v>2195</v>
      </c>
      <c r="J115" s="340"/>
      <c r="K115" s="340"/>
      <c r="M115" s="340"/>
      <c r="N115" s="340"/>
      <c r="O115" s="339" t="str">
        <f>B115</f>
        <v>EQUITY COSTS</v>
      </c>
      <c r="P115" s="340"/>
      <c r="Q115" s="340"/>
      <c r="S115" s="340"/>
      <c r="T115" s="340"/>
      <c r="V115" s="935"/>
      <c r="W115" s="289" t="str">
        <f>B115</f>
        <v>EQUITY COSTS</v>
      </c>
      <c r="AZ115" s="2807"/>
      <c r="BA115" s="1773">
        <v>115</v>
      </c>
    </row>
    <row r="116" spans="1:53" s="289" customFormat="1" ht="12.6" customHeight="1">
      <c r="B116" s="289" t="s">
        <v>268</v>
      </c>
      <c r="G116" s="3554">
        <v>35000</v>
      </c>
      <c r="H116" s="3555"/>
      <c r="J116" s="3714"/>
      <c r="K116" s="3714"/>
      <c r="L116" s="2644"/>
      <c r="M116" s="3714"/>
      <c r="N116" s="3714"/>
      <c r="O116" s="2628"/>
      <c r="P116" s="3714"/>
      <c r="Q116" s="3714"/>
      <c r="S116" s="3554">
        <v>35000</v>
      </c>
      <c r="T116" s="3555"/>
      <c r="V116" s="2799"/>
      <c r="W116" s="3627"/>
      <c r="X116" s="3628"/>
      <c r="AZ116" s="2807"/>
      <c r="BA116" s="1773">
        <v>116</v>
      </c>
    </row>
    <row r="117" spans="1:53" s="289" customFormat="1" ht="12.6" customHeight="1">
      <c r="B117" s="289" t="s">
        <v>269</v>
      </c>
      <c r="G117" s="3542">
        <v>0</v>
      </c>
      <c r="H117" s="3543"/>
      <c r="J117" s="3714"/>
      <c r="K117" s="3714"/>
      <c r="L117" s="2644"/>
      <c r="M117" s="3714"/>
      <c r="N117" s="3714"/>
      <c r="O117" s="2628"/>
      <c r="P117" s="3714"/>
      <c r="Q117" s="3714"/>
      <c r="S117" s="3542"/>
      <c r="T117" s="3543"/>
      <c r="V117" s="2799"/>
      <c r="W117" s="3627"/>
      <c r="X117" s="3628"/>
      <c r="AZ117" s="2807"/>
      <c r="BA117" s="1773">
        <v>117</v>
      </c>
    </row>
    <row r="118" spans="1:53" s="289" customFormat="1" ht="12.6" customHeight="1">
      <c r="B118" s="289" t="s">
        <v>2278</v>
      </c>
      <c r="G118" s="3542">
        <v>0</v>
      </c>
      <c r="H118" s="3543"/>
      <c r="J118" s="3714"/>
      <c r="K118" s="3714"/>
      <c r="L118" s="2644"/>
      <c r="M118" s="3714"/>
      <c r="N118" s="3714"/>
      <c r="O118" s="2628"/>
      <c r="P118" s="3714"/>
      <c r="Q118" s="3714"/>
      <c r="S118" s="3542"/>
      <c r="T118" s="3543"/>
      <c r="V118" s="2799"/>
      <c r="W118" s="3627"/>
      <c r="X118" s="3628"/>
      <c r="AZ118" s="2807"/>
      <c r="BA118" s="1773">
        <v>118</v>
      </c>
    </row>
    <row r="119" spans="1:53" s="289" customFormat="1" ht="12.6" customHeight="1" thickBot="1">
      <c r="A119" s="363" t="str">
        <f>IF(AND(G119&gt;0,OR(C119="",C119="&lt;Enter detailed description here; use Comments section if needed&gt;")),"X","")</f>
        <v/>
      </c>
      <c r="B119" s="170" t="s">
        <v>6580</v>
      </c>
      <c r="C119" s="3704" t="s">
        <v>6951</v>
      </c>
      <c r="D119" s="3704"/>
      <c r="E119" s="3704"/>
      <c r="F119" s="3705"/>
      <c r="G119" s="3706">
        <v>40000</v>
      </c>
      <c r="H119" s="3707"/>
      <c r="J119" s="3714"/>
      <c r="K119" s="3714"/>
      <c r="L119" s="2644"/>
      <c r="M119" s="3714"/>
      <c r="N119" s="3714"/>
      <c r="O119" s="2628"/>
      <c r="P119" s="3714"/>
      <c r="Q119" s="3714"/>
      <c r="S119" s="3546">
        <v>40000</v>
      </c>
      <c r="T119" s="3547"/>
      <c r="U119" s="362" t="str">
        <f>IF(AND(G119&gt;0,OR(C119="",C119="&lt;Enter detailed description here; use Comments section if needed&gt;")),"NO DESCRIPTION PROVIDED - please enter detailed description in Other box at left; use Comments section below if needed.","")</f>
        <v/>
      </c>
      <c r="V119" s="2799"/>
      <c r="W119" s="3629"/>
      <c r="X119" s="3630"/>
      <c r="AZ119" s="2807"/>
      <c r="BA119" s="1773">
        <v>119</v>
      </c>
    </row>
    <row r="120" spans="1:53" s="289" customFormat="1" ht="12.6" customHeight="1" thickTop="1">
      <c r="F120" s="338" t="s">
        <v>183</v>
      </c>
      <c r="G120" s="3708">
        <f>SUM(G116:G119)</f>
        <v>75000</v>
      </c>
      <c r="H120" s="3709"/>
      <c r="J120" s="3714"/>
      <c r="K120" s="3714"/>
      <c r="L120" s="2644"/>
      <c r="M120" s="3714"/>
      <c r="N120" s="3714"/>
      <c r="O120" s="2628"/>
      <c r="P120" s="3714"/>
      <c r="Q120" s="3714"/>
      <c r="S120" s="3708">
        <f>SUM(S116:S119)</f>
        <v>75000</v>
      </c>
      <c r="T120" s="3709"/>
      <c r="V120" s="2801">
        <f>SUM(V116:V119)</f>
        <v>0</v>
      </c>
      <c r="W120" s="3645"/>
      <c r="X120" s="3646"/>
      <c r="AC120" s="3752" t="s">
        <v>4113</v>
      </c>
      <c r="AD120" s="3752" t="s">
        <v>4114</v>
      </c>
      <c r="AE120" s="3754" t="s">
        <v>4119</v>
      </c>
      <c r="AF120" s="3740" t="s">
        <v>4115</v>
      </c>
      <c r="AZ120" s="2807"/>
      <c r="BA120" s="1773">
        <v>120</v>
      </c>
    </row>
    <row r="121" spans="1:53" s="289" customFormat="1" ht="13.35" customHeight="1">
      <c r="B121" s="291" t="s">
        <v>270</v>
      </c>
      <c r="D121" s="552" t="s">
        <v>4116</v>
      </c>
      <c r="E121" s="1053" t="str">
        <f>IF(OR('Part I-Project Information'!F12="9% Credit Competitive Round only",'Part I-Project Information'!F12="9% Credit &amp; HOME",'Part I-Project Information'!F12="9% Credit &amp; NHTF",'Part I-Project Information'!F12="9% Credit &amp; NHTF &amp; HOME"),"9%",IF(OR('Part I-Project Information'!F12="4% Credit/TE Bond",'Part I-Project Information'!F12="4% Credit/TE Bond &amp; HOME",'Part I-Project Information'!F12="4% Credit/TE Bond &amp; HOME NOFA",'Part I-Project Information'!F12="4% Credit &amp; NHTF &amp; HOME"),"4%",""))</f>
        <v>9%</v>
      </c>
      <c r="F121" s="170"/>
      <c r="J121" s="340"/>
      <c r="K121" s="337"/>
      <c r="M121" s="340"/>
      <c r="N121" s="337"/>
      <c r="O121" s="339" t="str">
        <f>B121</f>
        <v>DEVELOPER'S FEE</v>
      </c>
      <c r="P121" s="340"/>
      <c r="Q121" s="337"/>
      <c r="S121" s="340"/>
      <c r="T121" s="337"/>
      <c r="V121" s="935"/>
      <c r="W121" s="289" t="str">
        <f>B121</f>
        <v>DEVELOPER'S FEE</v>
      </c>
      <c r="Y121" s="2808" t="s">
        <v>4104</v>
      </c>
      <c r="Z121" s="1371"/>
      <c r="AA121" s="274" t="s">
        <v>4110</v>
      </c>
      <c r="AB121" s="274" t="s">
        <v>4111</v>
      </c>
      <c r="AC121" s="3753"/>
      <c r="AD121" s="3753"/>
      <c r="AE121" s="3755"/>
      <c r="AF121" s="3741"/>
      <c r="AI121" s="27"/>
      <c r="AK121" s="418"/>
      <c r="AZ121" s="2807" t="s">
        <v>6700</v>
      </c>
      <c r="BA121" s="1773">
        <v>121</v>
      </c>
    </row>
    <row r="122" spans="1:53" s="289" customFormat="1" ht="12.6" customHeight="1">
      <c r="B122" s="289" t="s">
        <v>1773</v>
      </c>
      <c r="F122" s="388">
        <f>IF($G$127=0,0,G122/$G$127)</f>
        <v>0</v>
      </c>
      <c r="G122" s="3711"/>
      <c r="H122" s="3711"/>
      <c r="J122" s="3712"/>
      <c r="K122" s="3713"/>
      <c r="L122" s="339"/>
      <c r="M122" s="3712"/>
      <c r="N122" s="3713"/>
      <c r="P122" s="3712"/>
      <c r="Q122" s="3713"/>
      <c r="S122" s="3712"/>
      <c r="T122" s="3713"/>
      <c r="V122" s="2799"/>
      <c r="W122" s="3627"/>
      <c r="X122" s="3628"/>
      <c r="Y122" s="157"/>
      <c r="Z122" s="2809">
        <v>0.09</v>
      </c>
      <c r="AA122" s="2810">
        <f>'DCA Underwriting Assumptions'!$J$105</f>
        <v>1</v>
      </c>
      <c r="AB122" s="2810">
        <f>'DCA Underwriting Assumptions'!$K$105</f>
        <v>50</v>
      </c>
      <c r="AC122" s="2811">
        <f>'DCA Underwriting Assumptions'!$Q$105</f>
        <v>25000</v>
      </c>
      <c r="AD122" s="2811">
        <f>AB122*AC122</f>
        <v>1250000</v>
      </c>
      <c r="AE122" s="2811">
        <f>IF('Part VI-Revenues &amp; Expenses'!$P$67&lt;AA123,'Part VI-Revenues &amp; Expenses'!$P$67*'Part IV-A-Uses of Funds'!AC122,AB122*AC122)</f>
        <v>1250000</v>
      </c>
      <c r="AF122" s="3742">
        <f>SUM(AE122:AE124)</f>
        <v>1680000</v>
      </c>
      <c r="AI122" s="27"/>
      <c r="AZ122" s="2807"/>
      <c r="BA122" s="1773">
        <v>122</v>
      </c>
    </row>
    <row r="123" spans="1:53" s="289" customFormat="1" ht="12.6" customHeight="1">
      <c r="B123" s="289" t="s">
        <v>3563</v>
      </c>
      <c r="F123" s="2812">
        <f>G127*30%</f>
        <v>504000</v>
      </c>
      <c r="V123" s="2799"/>
      <c r="W123" s="3627"/>
      <c r="X123" s="3628"/>
      <c r="Y123" s="157"/>
      <c r="Z123" s="119"/>
      <c r="AA123" s="2813">
        <f>'DCA Underwriting Assumptions'!$J$106</f>
        <v>51</v>
      </c>
      <c r="AB123" s="2813">
        <f>'DCA Underwriting Assumptions'!$K$106</f>
        <v>70</v>
      </c>
      <c r="AC123" s="2814">
        <f>'DCA Underwriting Assumptions'!$Q$106</f>
        <v>20000</v>
      </c>
      <c r="AD123" s="2814">
        <f>(AB123-AB122)*AC123</f>
        <v>400000</v>
      </c>
      <c r="AE123" s="2814">
        <f>IF(AND('Part VI-Revenues &amp; Expenses'!$P$67&gt;AB122,'Part VI-Revenues &amp; Expenses'!$P$67&lt;AA124),('Part VI-Revenues &amp; Expenses'!$P$67-AB122)*'Part IV-A-Uses of Funds'!AC123,IF(AND('Part VI-Revenues &amp; Expenses'!$P$67&gt;AB122,'Part VI-Revenues &amp; Expenses'!$P$67&gt;AB123),(AB123-AB122)*'Part IV-A-Uses of Funds'!AC123,0))</f>
        <v>400000</v>
      </c>
      <c r="AF123" s="3743"/>
      <c r="AI123" s="27"/>
      <c r="AZ123" s="2807"/>
      <c r="BA123" s="1773">
        <v>123</v>
      </c>
    </row>
    <row r="124" spans="1:53" s="289" customFormat="1" ht="12.6" customHeight="1">
      <c r="B124" s="289" t="s">
        <v>1774</v>
      </c>
      <c r="F124" s="388">
        <f>IF($G$127=0,0,G124/$G$127)</f>
        <v>0</v>
      </c>
      <c r="G124" s="3554"/>
      <c r="H124" s="3555"/>
      <c r="J124" s="3554"/>
      <c r="K124" s="3555"/>
      <c r="L124" s="2644"/>
      <c r="M124" s="3554"/>
      <c r="N124" s="3555"/>
      <c r="P124" s="3554"/>
      <c r="Q124" s="3555"/>
      <c r="S124" s="3554"/>
      <c r="T124" s="3555"/>
      <c r="V124" s="2799"/>
      <c r="W124" s="3627"/>
      <c r="X124" s="3628"/>
      <c r="Y124" s="157"/>
      <c r="Z124" s="119"/>
      <c r="AA124" s="2815">
        <f>'DCA Underwriting Assumptions'!$J$107</f>
        <v>71</v>
      </c>
      <c r="AB124" s="2816"/>
      <c r="AC124" s="2817">
        <f>'DCA Underwriting Assumptions'!$Q$107</f>
        <v>15000</v>
      </c>
      <c r="AD124" s="2817">
        <f>AF130-AD123-AD122</f>
        <v>350000</v>
      </c>
      <c r="AE124" s="2817">
        <f>MIN(AD124,IF('Part VI-Revenues &amp; Expenses'!$P$67&gt;AB123,('Part VI-Revenues &amp; Expenses'!$P$67-AB123)*AC124,0))</f>
        <v>30000</v>
      </c>
      <c r="AF124" s="3744"/>
      <c r="AI124" s="27"/>
      <c r="AZ124" s="2807"/>
      <c r="BA124" s="1773">
        <v>124</v>
      </c>
    </row>
    <row r="125" spans="1:53" s="289" customFormat="1" ht="12.6" customHeight="1">
      <c r="B125" s="289" t="s">
        <v>3284</v>
      </c>
      <c r="F125" s="388">
        <f>IF($G$127=0,0,G125/$G$127)</f>
        <v>0</v>
      </c>
      <c r="G125" s="3542"/>
      <c r="H125" s="3543"/>
      <c r="J125" s="3542"/>
      <c r="K125" s="3543"/>
      <c r="L125" s="2644"/>
      <c r="M125" s="3542"/>
      <c r="N125" s="3543"/>
      <c r="P125" s="3542"/>
      <c r="Q125" s="3543"/>
      <c r="S125" s="3542"/>
      <c r="T125" s="3543"/>
      <c r="V125" s="2799"/>
      <c r="W125" s="3627"/>
      <c r="X125" s="3628"/>
      <c r="Y125" s="27"/>
      <c r="Z125" s="2809">
        <v>0.04</v>
      </c>
      <c r="AA125" s="2818">
        <f>'DCA Underwriting Assumptions'!$J$108</f>
        <v>1</v>
      </c>
      <c r="AB125" s="2818">
        <f>'DCA Underwriting Assumptions'!$K$108</f>
        <v>100</v>
      </c>
      <c r="AC125" s="2811">
        <f>'DCA Underwriting Assumptions'!$Q$108</f>
        <v>20500</v>
      </c>
      <c r="AD125" s="2811">
        <f>AB125*AC125</f>
        <v>2050000</v>
      </c>
      <c r="AE125" s="2811">
        <f>IF('Part VI-Revenues &amp; Expenses'!$P$67&lt;AA126,'Part VI-Revenues &amp; Expenses'!$P$67*'Part IV-A-Uses of Funds'!AC125,AB125*AC125)</f>
        <v>1476000</v>
      </c>
      <c r="AF125" s="3742">
        <f>SUM(AE125:AE127)</f>
        <v>1476000</v>
      </c>
      <c r="AG125" s="757">
        <f>51*AC125</f>
        <v>1045500</v>
      </c>
      <c r="AI125" s="27"/>
      <c r="AZ125" s="2807"/>
      <c r="BA125" s="1773">
        <v>125</v>
      </c>
    </row>
    <row r="126" spans="1:53" s="289" customFormat="1" ht="12.6" customHeight="1" thickBot="1">
      <c r="B126" s="289" t="s">
        <v>1766</v>
      </c>
      <c r="F126" s="388">
        <f>IF($G$127=0,0,G126/$G$127)</f>
        <v>1</v>
      </c>
      <c r="G126" s="3706">
        <v>1680000</v>
      </c>
      <c r="H126" s="3707"/>
      <c r="J126" s="3706">
        <v>1680000</v>
      </c>
      <c r="K126" s="3707"/>
      <c r="L126" s="2644"/>
      <c r="M126" s="3546"/>
      <c r="N126" s="3547"/>
      <c r="P126" s="3546"/>
      <c r="Q126" s="3547"/>
      <c r="S126" s="3546"/>
      <c r="T126" s="3547"/>
      <c r="V126" s="2799"/>
      <c r="W126" s="3629"/>
      <c r="X126" s="3630"/>
      <c r="Y126" s="27"/>
      <c r="Z126" s="80"/>
      <c r="AA126" s="2813">
        <f>'DCA Underwriting Assumptions'!$J$109</f>
        <v>101</v>
      </c>
      <c r="AB126" s="2813">
        <f>'DCA Underwriting Assumptions'!$K$109</f>
        <v>130</v>
      </c>
      <c r="AC126" s="2814">
        <f>'DCA Underwriting Assumptions'!$Q$109</f>
        <v>18500</v>
      </c>
      <c r="AD126" s="2814">
        <f>(AB126-AB125)*AC126</f>
        <v>555000</v>
      </c>
      <c r="AE126" s="2814">
        <f>IF(AND('Part VI-Revenues &amp; Expenses'!$P$67&gt;AB125,'Part VI-Revenues &amp; Expenses'!$P$67&lt;AA127),('Part VI-Revenues &amp; Expenses'!$P$67-AB125)*'Part IV-A-Uses of Funds'!AC126,IF(AND('Part VI-Revenues &amp; Expenses'!$P$67&gt;AB125,'Part VI-Revenues &amp; Expenses'!$P$67&gt;AB126),(AB126-AB125)*'Part IV-A-Uses of Funds'!AC126,0))</f>
        <v>0</v>
      </c>
      <c r="AF126" s="3743"/>
      <c r="AG126" s="757"/>
      <c r="AI126" s="27"/>
      <c r="AZ126" s="1808"/>
      <c r="BA126" s="1773">
        <v>126</v>
      </c>
    </row>
    <row r="127" spans="1:53" s="289" customFormat="1" ht="12.6" customHeight="1" thickTop="1">
      <c r="A127" s="1392" t="str">
        <f>IF(G127&gt;E127,"DF over limit!  Round down/Enter nbr.","")</f>
        <v/>
      </c>
      <c r="B127" s="1391"/>
      <c r="D127" s="552" t="s">
        <v>4112</v>
      </c>
      <c r="E127" s="1393">
        <f>IF(E121="9%",AF122,IF(E121="4%",AF125,"Enter app type!"))</f>
        <v>1680000</v>
      </c>
      <c r="F127" s="338" t="s">
        <v>183</v>
      </c>
      <c r="G127" s="3708">
        <f>SUM(G122:G126)</f>
        <v>1680000</v>
      </c>
      <c r="H127" s="3710"/>
      <c r="J127" s="3708">
        <f>SUM(J122:J126)</f>
        <v>1680000</v>
      </c>
      <c r="K127" s="3710"/>
      <c r="L127" s="2644"/>
      <c r="M127" s="3708">
        <f>SUM(M122:M126)</f>
        <v>0</v>
      </c>
      <c r="N127" s="3710"/>
      <c r="P127" s="3708">
        <f>SUM(P122:P126)</f>
        <v>0</v>
      </c>
      <c r="Q127" s="3710"/>
      <c r="S127" s="3708">
        <f>SUM(S122:S126)</f>
        <v>0</v>
      </c>
      <c r="T127" s="3710"/>
      <c r="V127" s="2801">
        <f>SUM(V122:V126)</f>
        <v>0</v>
      </c>
      <c r="W127" s="3645"/>
      <c r="X127" s="3646"/>
      <c r="Y127" s="27"/>
      <c r="Z127" s="80"/>
      <c r="AA127" s="2815">
        <f>'DCA Underwriting Assumptions'!$J$110</f>
        <v>131</v>
      </c>
      <c r="AB127" s="2816"/>
      <c r="AC127" s="2817">
        <f>'DCA Underwriting Assumptions'!$Q$110</f>
        <v>14000</v>
      </c>
      <c r="AD127" s="2817">
        <f>AF131-AD126-AD125</f>
        <v>895000</v>
      </c>
      <c r="AE127" s="2817">
        <f>MIN(AD127,IF('Part VI-Revenues &amp; Expenses'!$P$67&gt;AB126,('Part VI-Revenues &amp; Expenses'!$P$67-AB126)*AC127,0))</f>
        <v>0</v>
      </c>
      <c r="AF127" s="3744"/>
      <c r="AG127" s="757"/>
      <c r="AI127" s="27"/>
      <c r="AZ127" s="1808"/>
      <c r="BA127" s="1773">
        <v>127</v>
      </c>
    </row>
    <row r="128" spans="1:53" s="289" customFormat="1" ht="13.35" customHeight="1">
      <c r="B128" s="291" t="s">
        <v>1260</v>
      </c>
      <c r="J128" s="337"/>
      <c r="K128" s="337"/>
      <c r="M128" s="337"/>
      <c r="N128" s="337"/>
      <c r="O128" s="339" t="str">
        <f>B128</f>
        <v>START-UP AND RESERVES</v>
      </c>
      <c r="P128" s="337"/>
      <c r="Q128" s="337"/>
      <c r="S128" s="337"/>
      <c r="T128" s="337"/>
      <c r="V128" s="935"/>
      <c r="W128" s="289" t="str">
        <f>B128</f>
        <v>START-UP AND RESERVES</v>
      </c>
      <c r="Y128" s="2819"/>
      <c r="Z128" s="1390"/>
      <c r="AB128" s="2819"/>
      <c r="AC128" s="27"/>
      <c r="AD128" s="27"/>
      <c r="AF128" s="27"/>
      <c r="AG128" s="27"/>
      <c r="AH128" s="27"/>
      <c r="AI128" s="27"/>
      <c r="AJ128" s="27"/>
      <c r="AK128" s="27"/>
      <c r="AZ128" s="1808" t="s">
        <v>6701</v>
      </c>
      <c r="BA128" s="1773">
        <v>128</v>
      </c>
    </row>
    <row r="129" spans="1:53" s="289" customFormat="1" ht="12.6" customHeight="1">
      <c r="B129" s="289" t="s">
        <v>240</v>
      </c>
      <c r="G129" s="3554">
        <v>50000</v>
      </c>
      <c r="H129" s="3555"/>
      <c r="J129" s="348"/>
      <c r="K129" s="348"/>
      <c r="L129" s="348"/>
      <c r="M129" s="348"/>
      <c r="N129" s="348"/>
      <c r="P129" s="348"/>
      <c r="Q129" s="348"/>
      <c r="S129" s="3554">
        <v>50000</v>
      </c>
      <c r="T129" s="3555"/>
      <c r="V129" s="2799"/>
      <c r="W129" s="3627"/>
      <c r="X129" s="3628"/>
      <c r="Y129" s="1371" t="s">
        <v>4106</v>
      </c>
      <c r="Z129" s="1390"/>
      <c r="AB129" s="2819"/>
      <c r="AC129" s="27"/>
      <c r="AD129" s="27"/>
      <c r="AF129" s="27"/>
      <c r="AG129" s="27"/>
      <c r="AH129" s="27"/>
      <c r="AI129" s="27"/>
      <c r="AJ129" s="27"/>
      <c r="AK129" s="27"/>
      <c r="AZ129" s="1808" t="s">
        <v>6702</v>
      </c>
      <c r="BA129" s="1773">
        <v>129</v>
      </c>
    </row>
    <row r="130" spans="1:53" s="289" customFormat="1" ht="12.6" customHeight="1">
      <c r="B130" s="289" t="s">
        <v>1474</v>
      </c>
      <c r="F130" s="438">
        <f>+'Part VI-Revenues &amp; Expenses'!$Q$225*('DCA Underwriting Assumptions'!$Q$127/12)</f>
        <v>98100.5</v>
      </c>
      <c r="G130" s="3542">
        <v>127273</v>
      </c>
      <c r="H130" s="3543"/>
      <c r="J130" s="864" t="str">
        <f>IF(E130&gt;G130,"WARNING! Rent-Up Reserves proposed is below minimum - add comment.","")</f>
        <v/>
      </c>
      <c r="K130" s="864"/>
      <c r="L130" s="2644"/>
      <c r="M130" s="838"/>
      <c r="N130" s="838"/>
      <c r="O130" s="2628"/>
      <c r="P130" s="838"/>
      <c r="Q130" s="838"/>
      <c r="R130" s="2628"/>
      <c r="S130" s="3542">
        <v>127273</v>
      </c>
      <c r="T130" s="3543"/>
      <c r="V130" s="2799"/>
      <c r="W130" s="3627"/>
      <c r="X130" s="3628"/>
      <c r="Y130" s="27"/>
      <c r="Z130" s="2820">
        <v>0.09</v>
      </c>
      <c r="AB130" s="1371"/>
      <c r="AD130" s="27"/>
      <c r="AF130" s="2821">
        <f>'DCA Underwriting Assumptions'!$Q$112</f>
        <v>2000000</v>
      </c>
      <c r="AG130" s="27"/>
      <c r="AH130" s="27"/>
      <c r="AI130" s="27"/>
      <c r="AZ130" s="1808"/>
      <c r="BA130" s="1773">
        <v>130</v>
      </c>
    </row>
    <row r="131" spans="1:53" s="289" customFormat="1" ht="12.6" customHeight="1">
      <c r="B131" s="289" t="s">
        <v>648</v>
      </c>
      <c r="F131" s="438">
        <f>'Part VI-Revenues &amp; Expenses'!$Q$225*('DCA Underwriting Assumptions'!$Q$126/12)+('Part VII-Pro Forma'!$B$26+'Part VII-Pro Forma'!$B$27+'Part VII-Pro Forma'!$B$28+'Part VII-Pro Forma'!$B$29)*'DCA Underwriting Assumptions'!$Q$125/(-12)</f>
        <v>259099.21933835215</v>
      </c>
      <c r="G131" s="3542">
        <v>268099</v>
      </c>
      <c r="H131" s="3543"/>
      <c r="J131" s="864" t="str">
        <f>IF(E131&gt;G131,"WARNING! ODR proposed is below minimum - add comment.","")</f>
        <v/>
      </c>
      <c r="K131" s="347"/>
      <c r="L131" s="347"/>
      <c r="M131" s="347"/>
      <c r="N131" s="347"/>
      <c r="O131" s="2628"/>
      <c r="P131" s="347"/>
      <c r="Q131" s="347"/>
      <c r="R131" s="2628"/>
      <c r="S131" s="3542">
        <v>268099</v>
      </c>
      <c r="T131" s="3543"/>
      <c r="V131" s="2799"/>
      <c r="W131" s="3627"/>
      <c r="X131" s="3628"/>
      <c r="Y131" s="27"/>
      <c r="Z131" s="2820">
        <v>0.04</v>
      </c>
      <c r="AB131" s="1371"/>
      <c r="AD131" s="27"/>
      <c r="AF131" s="2821">
        <f>'DCA Underwriting Assumptions'!$Q$113</f>
        <v>3500000</v>
      </c>
      <c r="AG131" s="27"/>
      <c r="AH131" s="27"/>
      <c r="AI131" s="27"/>
      <c r="AZ131" s="1808"/>
      <c r="BA131" s="1773">
        <v>131</v>
      </c>
    </row>
    <row r="132" spans="1:53" s="289" customFormat="1" ht="12.6" customHeight="1">
      <c r="B132" s="289" t="s">
        <v>1198</v>
      </c>
      <c r="G132" s="3542">
        <v>0</v>
      </c>
      <c r="H132" s="3543"/>
      <c r="J132" s="348"/>
      <c r="K132" s="348"/>
      <c r="L132" s="348"/>
      <c r="M132" s="348"/>
      <c r="N132" s="348"/>
      <c r="P132" s="348"/>
      <c r="Q132" s="348"/>
      <c r="S132" s="3542"/>
      <c r="T132" s="3543"/>
      <c r="V132" s="2799"/>
      <c r="W132" s="3627"/>
      <c r="X132" s="3628"/>
      <c r="AZ132" s="1808" t="s">
        <v>6703</v>
      </c>
      <c r="BA132" s="1773">
        <v>132</v>
      </c>
    </row>
    <row r="133" spans="1:53" s="289" customFormat="1" ht="12.6" customHeight="1">
      <c r="B133" s="289" t="s">
        <v>1199</v>
      </c>
      <c r="E133" s="753" t="s">
        <v>3258</v>
      </c>
      <c r="F133" s="438">
        <f>IF('Part VI-Revenues &amp; Expenses'!$P$67=0,0,G133/'Part VI-Revenues &amp; Expenses'!$P$67)</f>
        <v>1736.1111111111111</v>
      </c>
      <c r="G133" s="3542">
        <v>125000</v>
      </c>
      <c r="H133" s="3543"/>
      <c r="J133" s="3554">
        <v>125000</v>
      </c>
      <c r="K133" s="3555"/>
      <c r="L133" s="2644"/>
      <c r="M133" s="3554"/>
      <c r="N133" s="3555"/>
      <c r="P133" s="3554"/>
      <c r="Q133" s="3555"/>
      <c r="S133" s="3542"/>
      <c r="T133" s="3543"/>
      <c r="V133" s="2799"/>
      <c r="W133" s="3627"/>
      <c r="X133" s="3628"/>
      <c r="AZ133" s="1808" t="s">
        <v>6704</v>
      </c>
      <c r="BA133" s="1773">
        <v>133</v>
      </c>
    </row>
    <row r="134" spans="1:53" s="289" customFormat="1" ht="12.6" customHeight="1" thickBot="1">
      <c r="A134" s="363" t="str">
        <f>IF(AND(G134&gt;0,OR(C134="",C134="&lt;Enter detailed description here; use Comments section if needed&gt;")),"X","")</f>
        <v/>
      </c>
      <c r="B134" s="170" t="s">
        <v>6580</v>
      </c>
      <c r="C134" s="3704" t="s">
        <v>3342</v>
      </c>
      <c r="D134" s="3704"/>
      <c r="E134" s="3704"/>
      <c r="F134" s="3705"/>
      <c r="G134" s="3706">
        <v>0</v>
      </c>
      <c r="H134" s="3707"/>
      <c r="J134" s="3706"/>
      <c r="K134" s="3707"/>
      <c r="L134" s="2644"/>
      <c r="M134" s="3546"/>
      <c r="N134" s="3547"/>
      <c r="P134" s="3546"/>
      <c r="Q134" s="3547"/>
      <c r="S134" s="3546"/>
      <c r="T134" s="3547"/>
      <c r="U134" s="362" t="str">
        <f>IF(AND(G134&gt;0,OR(C134="",C134="&lt;Enter detailed description here; use Comments section if needed&gt;")),"NO DESCRIPTION PROVIDED - please enter detailed description in Other box at left; use Comments section below if needed.","")</f>
        <v/>
      </c>
      <c r="V134" s="2799"/>
      <c r="W134" s="3629"/>
      <c r="X134" s="3630"/>
      <c r="AZ134" s="1808"/>
      <c r="BA134" s="1773">
        <v>134</v>
      </c>
    </row>
    <row r="135" spans="1:53" s="289" customFormat="1" ht="12.6" customHeight="1" thickTop="1">
      <c r="B135" s="349"/>
      <c r="F135" s="338" t="s">
        <v>183</v>
      </c>
      <c r="G135" s="3708">
        <f>SUM(G129:G134)</f>
        <v>570372</v>
      </c>
      <c r="H135" s="3709"/>
      <c r="J135" s="3708">
        <f>SUM(J133:J134)</f>
        <v>125000</v>
      </c>
      <c r="K135" s="3709"/>
      <c r="L135" s="2644"/>
      <c r="M135" s="3708">
        <f>SUM(M133:M134)</f>
        <v>0</v>
      </c>
      <c r="N135" s="3709"/>
      <c r="P135" s="3708">
        <f>SUM(P133:P134)</f>
        <v>0</v>
      </c>
      <c r="Q135" s="3709"/>
      <c r="S135" s="3708">
        <f>SUM(S129:S134)</f>
        <v>445372</v>
      </c>
      <c r="T135" s="3709"/>
      <c r="V135" s="2801">
        <f>SUM(V129:V134)</f>
        <v>0</v>
      </c>
      <c r="W135" s="3645"/>
      <c r="X135" s="3646"/>
      <c r="AZ135" s="1808"/>
      <c r="BA135" s="1773">
        <v>135</v>
      </c>
    </row>
    <row r="136" spans="1:53" s="289" customFormat="1" ht="3" customHeight="1">
      <c r="I136" s="350"/>
      <c r="L136" s="350"/>
      <c r="V136" s="935"/>
      <c r="AZ136" s="1808"/>
      <c r="BA136" s="1808"/>
    </row>
    <row r="137" spans="1:53" s="289" customFormat="1" ht="3.6" customHeight="1">
      <c r="D137" s="2620"/>
      <c r="E137" s="2620"/>
      <c r="I137" s="345"/>
      <c r="J137" s="345"/>
      <c r="K137" s="351"/>
      <c r="L137" s="2621"/>
      <c r="P137" s="2628"/>
      <c r="V137" s="935"/>
      <c r="AZ137" s="1808"/>
      <c r="BA137" s="1808"/>
    </row>
    <row r="138" spans="1:53" s="289" customFormat="1" ht="6" customHeight="1" thickBot="1">
      <c r="A138" s="1711"/>
      <c r="B138" s="1711"/>
      <c r="C138" s="1711"/>
      <c r="D138" s="1711"/>
      <c r="E138" s="1711"/>
      <c r="F138" s="1711"/>
      <c r="G138" s="1711"/>
      <c r="H138" s="1711"/>
      <c r="I138" s="1711"/>
      <c r="J138" s="1711"/>
      <c r="K138" s="1711"/>
      <c r="L138" s="1711"/>
      <c r="M138" s="1711"/>
      <c r="N138" s="1711"/>
      <c r="O138" s="1711"/>
      <c r="P138" s="1711"/>
      <c r="Q138" s="1711"/>
      <c r="R138" s="1711"/>
      <c r="S138" s="1711"/>
      <c r="T138" s="1711"/>
      <c r="V138" s="935"/>
      <c r="AZ138" s="1808"/>
      <c r="BA138" s="1773">
        <v>101</v>
      </c>
    </row>
    <row r="139" spans="1:53" s="289" customFormat="1" ht="18" customHeight="1" thickBot="1">
      <c r="A139" s="410" t="s">
        <v>586</v>
      </c>
      <c r="B139" s="410" t="s">
        <v>2636</v>
      </c>
      <c r="H139" s="2628"/>
      <c r="I139" s="2628"/>
      <c r="J139" s="3689" t="s">
        <v>260</v>
      </c>
      <c r="K139" s="3690"/>
      <c r="L139" s="337"/>
      <c r="M139" s="3715" t="s">
        <v>468</v>
      </c>
      <c r="N139" s="3716"/>
      <c r="P139" s="3689" t="s">
        <v>261</v>
      </c>
      <c r="Q139" s="3690"/>
      <c r="S139" s="3689" t="s">
        <v>262</v>
      </c>
      <c r="T139" s="3690"/>
      <c r="V139" s="411" t="str">
        <f>B139</f>
        <v>DEVELOPMENT BUDGET  (cont'd)</v>
      </c>
      <c r="AZ139" s="1808"/>
      <c r="BA139" s="1773">
        <v>102</v>
      </c>
    </row>
    <row r="140" spans="1:53" s="289" customFormat="1" ht="18" customHeight="1" thickBot="1">
      <c r="G140" s="3719" t="s">
        <v>94</v>
      </c>
      <c r="H140" s="3720"/>
      <c r="J140" s="3691"/>
      <c r="K140" s="3692"/>
      <c r="L140" s="337"/>
      <c r="M140" s="3717"/>
      <c r="N140" s="3718"/>
      <c r="P140" s="3691"/>
      <c r="Q140" s="3692"/>
      <c r="S140" s="3691"/>
      <c r="T140" s="3692"/>
      <c r="V140" s="325" t="s">
        <v>2536</v>
      </c>
      <c r="X140" s="325"/>
      <c r="AZ140" s="1808"/>
      <c r="BA140" s="1773">
        <v>103</v>
      </c>
    </row>
    <row r="141" spans="1:53" s="289" customFormat="1" ht="13.35" customHeight="1">
      <c r="B141" s="291" t="s">
        <v>581</v>
      </c>
      <c r="C141" s="2620"/>
      <c r="H141" s="345"/>
      <c r="I141" s="345"/>
      <c r="J141" s="337"/>
      <c r="K141" s="337"/>
      <c r="M141" s="337"/>
      <c r="N141" s="337"/>
      <c r="O141" s="339" t="str">
        <f>B141</f>
        <v>OTHER COSTS</v>
      </c>
      <c r="P141" s="337"/>
      <c r="Q141" s="337"/>
      <c r="S141" s="337"/>
      <c r="T141" s="337"/>
      <c r="V141" s="935"/>
      <c r="W141" s="289" t="str">
        <f>B141</f>
        <v>OTHER COSTS</v>
      </c>
      <c r="AZ141" s="1808"/>
      <c r="BA141" s="1773">
        <v>136</v>
      </c>
    </row>
    <row r="142" spans="1:53" s="289" customFormat="1" ht="12.6" customHeight="1">
      <c r="B142" s="289" t="s">
        <v>582</v>
      </c>
      <c r="C142" s="2620"/>
      <c r="G142" s="3554">
        <v>59141</v>
      </c>
      <c r="H142" s="3555"/>
      <c r="J142" s="3554"/>
      <c r="K142" s="3555"/>
      <c r="L142" s="339"/>
      <c r="M142" s="3554"/>
      <c r="N142" s="3555"/>
      <c r="P142" s="3554"/>
      <c r="Q142" s="3555"/>
      <c r="S142" s="3554">
        <v>59141</v>
      </c>
      <c r="T142" s="3555"/>
      <c r="V142" s="2799"/>
      <c r="W142" s="3627"/>
      <c r="X142" s="3628"/>
      <c r="AZ142" s="1808"/>
      <c r="BA142" s="1773">
        <v>137</v>
      </c>
    </row>
    <row r="143" spans="1:53" s="289" customFormat="1" ht="12.6" customHeight="1" thickBot="1">
      <c r="A143" s="363" t="str">
        <f>IF(AND(G143&gt;0,OR(C143="",C143="&lt;Enter detailed description here; use Comments section if needed&gt;")),"X","")</f>
        <v/>
      </c>
      <c r="B143" s="170" t="s">
        <v>6580</v>
      </c>
      <c r="C143" s="3704" t="s">
        <v>3342</v>
      </c>
      <c r="D143" s="3704"/>
      <c r="E143" s="3704"/>
      <c r="F143" s="3705"/>
      <c r="G143" s="3706">
        <v>0</v>
      </c>
      <c r="H143" s="3707"/>
      <c r="J143" s="3546"/>
      <c r="K143" s="3547"/>
      <c r="L143" s="2644"/>
      <c r="M143" s="3546"/>
      <c r="N143" s="3547"/>
      <c r="P143" s="3546"/>
      <c r="Q143" s="3547"/>
      <c r="S143" s="3546"/>
      <c r="T143" s="3547"/>
      <c r="U143" s="362" t="str">
        <f>IF(AND(G143&gt;0,OR(C143="",C143="&lt;Enter detailed description here; use Comments section if needed&gt;")),"NO DESCRIPTION PROVIDED - please enter detailed description in Other box at left; use Comments section below if needed.","")</f>
        <v/>
      </c>
      <c r="V143" s="2799"/>
      <c r="W143" s="3629"/>
      <c r="X143" s="3630"/>
      <c r="AZ143" s="1808"/>
      <c r="BA143" s="1773">
        <v>138</v>
      </c>
    </row>
    <row r="144" spans="1:53" s="289" customFormat="1" ht="12.6" customHeight="1" thickTop="1">
      <c r="C144" s="2620"/>
      <c r="F144" s="338" t="s">
        <v>183</v>
      </c>
      <c r="G144" s="3708">
        <f>SUM(G142:G143)</f>
        <v>59141</v>
      </c>
      <c r="H144" s="3709"/>
      <c r="J144" s="3708">
        <f>SUM(J142:J143)</f>
        <v>0</v>
      </c>
      <c r="K144" s="3709"/>
      <c r="L144" s="2644"/>
      <c r="M144" s="3708">
        <f>SUM(M142:M143)</f>
        <v>0</v>
      </c>
      <c r="N144" s="3709"/>
      <c r="P144" s="3708">
        <f>SUM(P142:P143)</f>
        <v>0</v>
      </c>
      <c r="Q144" s="3709"/>
      <c r="S144" s="3708">
        <f>SUM(S142:S143)</f>
        <v>59141</v>
      </c>
      <c r="T144" s="3709"/>
      <c r="V144" s="2801">
        <f>SUM(V142:V143)</f>
        <v>0</v>
      </c>
      <c r="W144" s="3645"/>
      <c r="X144" s="3646"/>
      <c r="AZ144" s="1808"/>
      <c r="BA144" s="1773">
        <v>139</v>
      </c>
    </row>
    <row r="145" spans="1:53" s="289" customFormat="1" ht="15" customHeight="1" thickBot="1">
      <c r="C145" s="2620"/>
      <c r="H145" s="345"/>
      <c r="I145" s="345"/>
      <c r="L145" s="2628"/>
      <c r="V145" s="935"/>
      <c r="W145" s="2822"/>
      <c r="X145" s="2823"/>
      <c r="AZ145" s="1808"/>
      <c r="BA145" s="1773">
        <v>140</v>
      </c>
    </row>
    <row r="146" spans="1:53" s="289" customFormat="1" ht="18.75" customHeight="1" thickBot="1">
      <c r="B146" s="1782" t="s">
        <v>6818</v>
      </c>
      <c r="E146" s="753"/>
      <c r="F146" s="1394"/>
      <c r="G146" s="3697">
        <f>G18+G24+G28+G36+G41+G46+G55+G73+G86+G92+G103+G114+G120+G127+G135+G144</f>
        <v>15238231.279999999</v>
      </c>
      <c r="H146" s="3698"/>
      <c r="J146" s="3697">
        <f>J18+J24+J28+J36+J41+J46+J55+J73+J86+J92+J103+J114+J120+J127+J135+J144</f>
        <v>14225466.43</v>
      </c>
      <c r="K146" s="3698"/>
      <c r="M146" s="3697">
        <f>M18+M24+M28+M36+M41+M46+M55+M73+M86+M92+M103+M114+M120+M127+M135+M144</f>
        <v>0</v>
      </c>
      <c r="N146" s="3698"/>
      <c r="P146" s="3697">
        <f>P18+P24+P28+P36+P41+P46+P55+P73+P86+P92+P103+P114+P120+P127+P135+P144</f>
        <v>0</v>
      </c>
      <c r="Q146" s="3698"/>
      <c r="S146" s="3697">
        <f>S18+S24+S28+S36+S41+S46+S55+S73+S86+S92+S103+S114+S120+S127+S135+S144</f>
        <v>1012764.85</v>
      </c>
      <c r="T146" s="3698"/>
      <c r="V146" s="2824">
        <f>V18+V24+V28+V36+V41+V46+V55+V73+V86+V92+V103+V114+V120+V127+V135+V144</f>
        <v>0</v>
      </c>
      <c r="W146" s="3699"/>
      <c r="X146" s="3646"/>
      <c r="AZ146" s="1808"/>
      <c r="BA146" s="1773">
        <v>141</v>
      </c>
    </row>
    <row r="147" spans="1:53" s="289" customFormat="1" ht="12" customHeight="1">
      <c r="C147" s="2620"/>
      <c r="H147" s="345"/>
      <c r="I147" s="345"/>
      <c r="L147" s="2628"/>
      <c r="V147" s="935"/>
      <c r="AZ147" s="1808"/>
      <c r="BA147" s="1773">
        <v>142</v>
      </c>
    </row>
    <row r="148" spans="1:53" s="289" customFormat="1" ht="14.1" customHeight="1">
      <c r="B148" s="472" t="s">
        <v>2593</v>
      </c>
      <c r="C148" s="470"/>
      <c r="D148" s="3686">
        <f>IF('Part VI-Revenues &amp; Expenses'!$P$67=0,0,G146/'Part VI-Revenues &amp; Expenses'!$P$67)</f>
        <v>211642.10111111111</v>
      </c>
      <c r="E148" s="3686"/>
      <c r="F148" s="471" t="s">
        <v>2592</v>
      </c>
      <c r="G148" s="3687">
        <f>IF('Part I-Project Information'!$P$70=0,0,G146/'Part I-Project Information'!$P$70)</f>
        <v>221.74376135040745</v>
      </c>
      <c r="H148" s="3688"/>
      <c r="I148" s="350"/>
      <c r="V148" s="935"/>
      <c r="AZ148" s="1808"/>
      <c r="BA148" s="1773">
        <v>143</v>
      </c>
    </row>
    <row r="149" spans="1:53" s="289" customFormat="1" ht="21" customHeight="1" thickBot="1">
      <c r="B149" s="1775"/>
      <c r="C149" s="1776"/>
      <c r="D149" s="1777"/>
      <c r="E149" s="1777"/>
      <c r="F149" s="1778"/>
      <c r="G149" s="1583"/>
      <c r="H149" s="1583"/>
      <c r="I149" s="350"/>
      <c r="V149" s="935"/>
      <c r="AZ149" s="1808"/>
      <c r="BA149" s="1773"/>
    </row>
    <row r="150" spans="1:53" s="289" customFormat="1" ht="26.1" customHeight="1">
      <c r="A150" s="410" t="s">
        <v>710</v>
      </c>
      <c r="B150" s="412" t="s">
        <v>1375</v>
      </c>
      <c r="C150" s="772"/>
      <c r="D150" s="2644"/>
      <c r="E150" s="2644"/>
      <c r="F150" s="2644"/>
      <c r="G150" s="2628"/>
      <c r="H150" s="2628"/>
      <c r="I150" s="352"/>
      <c r="J150" s="3689" t="s">
        <v>260</v>
      </c>
      <c r="K150" s="3690"/>
      <c r="M150" s="3689" t="s">
        <v>93</v>
      </c>
      <c r="N150" s="3690"/>
      <c r="P150" s="3689" t="s">
        <v>261</v>
      </c>
      <c r="Q150" s="3690"/>
      <c r="V150" s="935"/>
      <c r="W150" s="411" t="str">
        <f>B150</f>
        <v>TAX CREDIT CALCULATION - BASIS METHOD</v>
      </c>
      <c r="AZ150" s="1808"/>
      <c r="BA150" s="1808"/>
    </row>
    <row r="151" spans="1:53" s="289" customFormat="1" ht="15" customHeight="1" thickBot="1">
      <c r="B151" s="294" t="s">
        <v>1951</v>
      </c>
      <c r="D151" s="2644"/>
      <c r="E151" s="2644"/>
      <c r="I151" s="352"/>
      <c r="J151" s="3691"/>
      <c r="K151" s="3692"/>
      <c r="L151" s="772"/>
      <c r="M151" s="3691"/>
      <c r="N151" s="3692"/>
      <c r="P151" s="3691"/>
      <c r="Q151" s="3692"/>
      <c r="V151" s="935"/>
      <c r="W151" s="289" t="str">
        <f>B151</f>
        <v>Subtractions From Eligible Basis</v>
      </c>
      <c r="X151" s="325"/>
      <c r="AZ151" s="1808"/>
      <c r="BA151" s="1808"/>
    </row>
    <row r="152" spans="1:53" s="289" customFormat="1" ht="6" customHeight="1">
      <c r="D152" s="2620"/>
      <c r="E152" s="2620"/>
      <c r="I152" s="345"/>
      <c r="J152" s="345"/>
      <c r="K152" s="351"/>
      <c r="L152" s="2621"/>
      <c r="P152" s="2628"/>
      <c r="V152" s="935"/>
      <c r="AZ152" s="1808"/>
      <c r="BA152" s="1808"/>
    </row>
    <row r="153" spans="1:53" s="289" customFormat="1" ht="14.1" customHeight="1">
      <c r="B153" s="2620" t="s">
        <v>137</v>
      </c>
      <c r="D153" s="2628"/>
      <c r="E153" s="2628"/>
      <c r="F153" s="2628"/>
      <c r="G153" s="2628"/>
      <c r="H153" s="2628"/>
      <c r="I153" s="352"/>
      <c r="J153" s="3693"/>
      <c r="K153" s="3694"/>
      <c r="P153" s="3693"/>
      <c r="Q153" s="3694"/>
      <c r="V153" s="2799"/>
      <c r="W153" s="3627"/>
      <c r="X153" s="3628"/>
      <c r="AZ153" s="1808"/>
      <c r="BA153" s="1808"/>
    </row>
    <row r="154" spans="1:53" s="289" customFormat="1" ht="14.1" customHeight="1">
      <c r="B154" s="2628" t="s">
        <v>2057</v>
      </c>
      <c r="D154" s="2628"/>
      <c r="E154" s="2628"/>
      <c r="F154" s="2628"/>
      <c r="G154" s="2628"/>
      <c r="H154" s="2628"/>
      <c r="I154" s="352"/>
      <c r="J154" s="3695"/>
      <c r="K154" s="3696"/>
      <c r="P154" s="3695"/>
      <c r="Q154" s="3696"/>
      <c r="V154" s="2799"/>
      <c r="W154" s="3627"/>
      <c r="X154" s="3628"/>
      <c r="AZ154" s="1808"/>
      <c r="BA154" s="1808"/>
    </row>
    <row r="155" spans="1:53" s="289" customFormat="1" ht="14.1" customHeight="1">
      <c r="B155" s="2628" t="s">
        <v>1776</v>
      </c>
      <c r="D155" s="2628"/>
      <c r="E155" s="2628"/>
      <c r="I155" s="352"/>
      <c r="J155" s="3695"/>
      <c r="K155" s="3696"/>
      <c r="P155" s="3695"/>
      <c r="Q155" s="3696"/>
      <c r="V155" s="2799"/>
      <c r="W155" s="3627"/>
      <c r="X155" s="3628"/>
      <c r="AZ155" s="1808"/>
      <c r="BA155" s="1808"/>
    </row>
    <row r="156" spans="1:53" s="289" customFormat="1" ht="14.1" customHeight="1">
      <c r="B156" s="2628" t="s">
        <v>1777</v>
      </c>
      <c r="D156" s="2628"/>
      <c r="E156" s="2628"/>
      <c r="I156" s="352"/>
      <c r="J156" s="3695"/>
      <c r="K156" s="3696"/>
      <c r="P156" s="3695"/>
      <c r="Q156" s="3696"/>
      <c r="V156" s="2799"/>
      <c r="W156" s="3627"/>
      <c r="X156" s="3628"/>
      <c r="AZ156" s="1808"/>
      <c r="BA156" s="1808"/>
    </row>
    <row r="157" spans="1:53" s="289" customFormat="1" ht="14.1" customHeight="1">
      <c r="B157" s="2628" t="s">
        <v>243</v>
      </c>
      <c r="D157" s="2628"/>
      <c r="E157" s="2628"/>
      <c r="I157" s="352"/>
      <c r="J157" s="3695"/>
      <c r="K157" s="3696"/>
      <c r="P157" s="3695"/>
      <c r="Q157" s="3696"/>
      <c r="V157" s="2799"/>
      <c r="W157" s="3627"/>
      <c r="X157" s="3628"/>
      <c r="AZ157" s="1808"/>
      <c r="BA157" s="1808"/>
    </row>
    <row r="158" spans="1:53" s="289" customFormat="1" ht="14.1" customHeight="1" thickBot="1">
      <c r="B158" s="2628" t="s">
        <v>1535</v>
      </c>
      <c r="C158" s="3700" t="s">
        <v>2304</v>
      </c>
      <c r="D158" s="3700"/>
      <c r="E158" s="3700"/>
      <c r="F158" s="3700"/>
      <c r="G158" s="3700"/>
      <c r="H158" s="3700"/>
      <c r="I158" s="3701"/>
      <c r="J158" s="3702"/>
      <c r="K158" s="3703"/>
      <c r="P158" s="3702"/>
      <c r="Q158" s="3703"/>
      <c r="V158" s="2799"/>
      <c r="W158" s="3629"/>
      <c r="X158" s="3630"/>
      <c r="AZ158" s="1808"/>
      <c r="BA158" s="1808"/>
    </row>
    <row r="159" spans="1:53" s="289" customFormat="1" ht="14.1" customHeight="1" thickBot="1">
      <c r="B159" s="299" t="s">
        <v>1778</v>
      </c>
      <c r="C159" s="302"/>
      <c r="J159" s="3489">
        <f>SUM(J153:K158)</f>
        <v>0</v>
      </c>
      <c r="K159" s="3490"/>
      <c r="P159" s="3489">
        <f>SUM(P153:Q158)</f>
        <v>0</v>
      </c>
      <c r="Q159" s="3490"/>
      <c r="V159" s="2801">
        <f>SUM(V153:V158)</f>
        <v>0</v>
      </c>
      <c r="W159" s="3645"/>
      <c r="X159" s="3646"/>
      <c r="AZ159" s="1808"/>
      <c r="BA159" s="1808"/>
    </row>
    <row r="160" spans="1:53" s="289" customFormat="1" ht="3" customHeight="1">
      <c r="V160" s="935"/>
      <c r="AZ160" s="1808"/>
      <c r="BA160" s="1808"/>
    </row>
    <row r="161" spans="1:53" s="289" customFormat="1" ht="15" customHeight="1" thickBot="1">
      <c r="B161" s="291" t="s">
        <v>2235</v>
      </c>
      <c r="V161" s="935"/>
      <c r="W161" s="289" t="str">
        <f>B161</f>
        <v>Eligible Basis Calculation</v>
      </c>
      <c r="AZ161" s="1808"/>
      <c r="BA161" s="1808"/>
    </row>
    <row r="162" spans="1:53" s="289" customFormat="1" ht="14.1" customHeight="1">
      <c r="B162" s="289" t="s">
        <v>1710</v>
      </c>
      <c r="J162" s="3748">
        <f>J146</f>
        <v>14225466.43</v>
      </c>
      <c r="K162" s="3749"/>
      <c r="M162" s="3750">
        <f>M146</f>
        <v>0</v>
      </c>
      <c r="N162" s="3751"/>
      <c r="P162" s="3748">
        <f>P146</f>
        <v>0</v>
      </c>
      <c r="Q162" s="3749"/>
      <c r="R162" s="3634" t="s">
        <v>3930</v>
      </c>
      <c r="S162" s="3635"/>
      <c r="T162" s="3635"/>
      <c r="V162" s="2799"/>
      <c r="W162" s="3627"/>
      <c r="X162" s="3628"/>
      <c r="AZ162" s="1808"/>
      <c r="BA162" s="1808"/>
    </row>
    <row r="163" spans="1:53" s="289" customFormat="1" ht="14.1" customHeight="1">
      <c r="B163" s="289" t="s">
        <v>2118</v>
      </c>
      <c r="J163" s="3666">
        <f>J159</f>
        <v>0</v>
      </c>
      <c r="K163" s="3674"/>
      <c r="M163" s="3667"/>
      <c r="N163" s="3667"/>
      <c r="P163" s="3666">
        <f>P159</f>
        <v>0</v>
      </c>
      <c r="Q163" s="3674"/>
      <c r="R163" s="3634"/>
      <c r="S163" s="3635"/>
      <c r="T163" s="3635"/>
      <c r="U163" s="1249"/>
      <c r="V163" s="2799"/>
      <c r="W163" s="3627"/>
      <c r="X163" s="3628"/>
      <c r="AZ163" s="1808"/>
      <c r="BA163" s="1808"/>
    </row>
    <row r="164" spans="1:53" s="289" customFormat="1" ht="14.1" customHeight="1">
      <c r="B164" s="289" t="s">
        <v>2119</v>
      </c>
      <c r="J164" s="3666">
        <f>J162-J163</f>
        <v>14225466.43</v>
      </c>
      <c r="K164" s="3674"/>
      <c r="M164" s="3666">
        <f>M162</f>
        <v>0</v>
      </c>
      <c r="N164" s="3674"/>
      <c r="P164" s="3666">
        <f>P162-P163</f>
        <v>0</v>
      </c>
      <c r="Q164" s="3674"/>
      <c r="R164" s="3634"/>
      <c r="S164" s="3635"/>
      <c r="T164" s="3635"/>
      <c r="U164" s="1249"/>
      <c r="V164" s="2799"/>
      <c r="W164" s="3627"/>
      <c r="X164" s="3628"/>
      <c r="AZ164" s="1808"/>
      <c r="BA164" s="1808"/>
    </row>
    <row r="165" spans="1:53" s="289" customFormat="1" ht="14.1" customHeight="1">
      <c r="B165" s="289" t="s">
        <v>1426</v>
      </c>
      <c r="G165" s="2623" t="s">
        <v>1637</v>
      </c>
      <c r="H165" s="3366" t="s">
        <v>6952</v>
      </c>
      <c r="I165" s="3367"/>
      <c r="J165" s="3679">
        <v>1.3</v>
      </c>
      <c r="K165" s="3680"/>
      <c r="M165" s="3681"/>
      <c r="N165" s="3681"/>
      <c r="P165" s="3679">
        <v>1.3</v>
      </c>
      <c r="Q165" s="3680"/>
      <c r="R165" s="3636" t="s">
        <v>3333</v>
      </c>
      <c r="S165" s="3637"/>
      <c r="T165" s="3638"/>
      <c r="U165" s="1250"/>
      <c r="V165" s="2799"/>
      <c r="W165" s="3627"/>
      <c r="X165" s="3628"/>
      <c r="AZ165" s="1808"/>
      <c r="BA165" s="1808"/>
    </row>
    <row r="166" spans="1:53" s="289" customFormat="1" ht="14.1" customHeight="1">
      <c r="B166" s="289" t="s">
        <v>1961</v>
      </c>
      <c r="J166" s="3666">
        <f>J164*J165</f>
        <v>18493106.359000001</v>
      </c>
      <c r="K166" s="3674"/>
      <c r="M166" s="3666">
        <f>+M164</f>
        <v>0</v>
      </c>
      <c r="N166" s="3674"/>
      <c r="P166" s="3666">
        <f>P164*P165</f>
        <v>0</v>
      </c>
      <c r="Q166" s="3674"/>
      <c r="R166" s="3639"/>
      <c r="S166" s="3640"/>
      <c r="T166" s="3641"/>
      <c r="U166" s="1250"/>
      <c r="V166" s="2799"/>
      <c r="W166" s="3627"/>
      <c r="X166" s="3628"/>
      <c r="AZ166" s="1808"/>
      <c r="BA166" s="1808"/>
    </row>
    <row r="167" spans="1:53" s="289" customFormat="1" ht="14.1" customHeight="1">
      <c r="B167" s="289" t="s">
        <v>2422</v>
      </c>
      <c r="J167" s="3682">
        <f>MIN('Part VI-Revenues &amp; Expenses'!$P$63/'Part VI-Revenues &amp; Expenses'!$P$65,'Part VI-Revenues &amp; Expenses'!$P$164/'Part VI-Revenues &amp; Expenses'!$P$166)</f>
        <v>0.88888888888888884</v>
      </c>
      <c r="K167" s="3683"/>
      <c r="M167" s="3682">
        <f>MIN('Part VI-Revenues &amp; Expenses'!$P$63/'Part VI-Revenues &amp; Expenses'!$P$65,'Part VI-Revenues &amp; Expenses'!$P$164/'Part VI-Revenues &amp; Expenses'!$P$166)</f>
        <v>0.88888888888888884</v>
      </c>
      <c r="N167" s="3683"/>
      <c r="P167" s="3682">
        <f>MIN('Part VI-Revenues &amp; Expenses'!$P$63/'Part VI-Revenues &amp; Expenses'!$P$65,'Part VI-Revenues &amp; Expenses'!$P$164/'Part VI-Revenues &amp; Expenses'!$P$166)</f>
        <v>0.88888888888888884</v>
      </c>
      <c r="Q167" s="3683"/>
      <c r="R167" s="3642"/>
      <c r="S167" s="3643"/>
      <c r="T167" s="3644"/>
      <c r="V167" s="2799"/>
      <c r="W167" s="3627"/>
      <c r="X167" s="3628"/>
      <c r="AZ167" s="1808"/>
      <c r="BA167" s="1808"/>
    </row>
    <row r="168" spans="1:53" s="289" customFormat="1" ht="14.1" customHeight="1">
      <c r="B168" s="289" t="s">
        <v>1952</v>
      </c>
      <c r="J168" s="3666">
        <f>J166*J167</f>
        <v>16438316.763555557</v>
      </c>
      <c r="K168" s="3674"/>
      <c r="M168" s="3666">
        <f>M166*M167</f>
        <v>0</v>
      </c>
      <c r="N168" s="3674"/>
      <c r="P168" s="3666">
        <f>P166*P167</f>
        <v>0</v>
      </c>
      <c r="Q168" s="3674"/>
      <c r="V168" s="2799"/>
      <c r="W168" s="3627"/>
      <c r="X168" s="3628"/>
      <c r="AZ168" s="1808"/>
      <c r="BA168" s="1808"/>
    </row>
    <row r="169" spans="1:53" s="289" customFormat="1" ht="14.1" customHeight="1">
      <c r="B169" s="289" t="s">
        <v>1953</v>
      </c>
      <c r="J169" s="3679">
        <v>0.09</v>
      </c>
      <c r="K169" s="3680"/>
      <c r="M169" s="3679">
        <v>0.04</v>
      </c>
      <c r="N169" s="3680"/>
      <c r="P169" s="3679">
        <v>0.09</v>
      </c>
      <c r="Q169" s="3680"/>
      <c r="V169" s="2799"/>
      <c r="W169" s="3627"/>
      <c r="X169" s="3628"/>
      <c r="AZ169" s="1808"/>
      <c r="BA169" s="1808"/>
    </row>
    <row r="170" spans="1:53" s="289" customFormat="1" ht="14.1" customHeight="1" thickBot="1">
      <c r="B170" s="289" t="s">
        <v>2423</v>
      </c>
      <c r="J170" s="3684">
        <f>J168*J169</f>
        <v>1479448.50872</v>
      </c>
      <c r="K170" s="3685"/>
      <c r="M170" s="3684">
        <f>M168*M169</f>
        <v>0</v>
      </c>
      <c r="N170" s="3685"/>
      <c r="P170" s="3684">
        <f>P168*P169</f>
        <v>0</v>
      </c>
      <c r="Q170" s="3685"/>
      <c r="V170" s="2825"/>
      <c r="W170" s="3629"/>
      <c r="X170" s="3630"/>
      <c r="AZ170" s="1808"/>
      <c r="BA170" s="1808"/>
    </row>
    <row r="171" spans="1:53" s="289" customFormat="1" ht="14.1" customHeight="1" thickBot="1">
      <c r="B171" s="291" t="s">
        <v>1373</v>
      </c>
      <c r="J171" s="3489">
        <f>ROUNDDOWN(J170+M170+P170,0)</f>
        <v>1479448</v>
      </c>
      <c r="K171" s="3659"/>
      <c r="L171" s="3659"/>
      <c r="M171" s="3659"/>
      <c r="N171" s="3659"/>
      <c r="O171" s="3659"/>
      <c r="P171" s="3659"/>
      <c r="Q171" s="3490"/>
      <c r="V171" s="2801"/>
      <c r="W171" s="3631"/>
      <c r="X171" s="3632"/>
      <c r="AZ171" s="1808"/>
      <c r="BA171" s="1808"/>
    </row>
    <row r="172" spans="1:53" s="289" customFormat="1" ht="6" customHeight="1">
      <c r="B172" s="353"/>
      <c r="L172" s="354"/>
      <c r="M172" s="354"/>
      <c r="N172" s="354"/>
      <c r="O172" s="354"/>
      <c r="V172" s="935"/>
      <c r="AZ172" s="1808"/>
      <c r="BA172" s="1808"/>
    </row>
    <row r="173" spans="1:53" s="289" customFormat="1" ht="14.1" customHeight="1">
      <c r="A173" s="411" t="s">
        <v>712</v>
      </c>
      <c r="B173" s="411" t="s">
        <v>1376</v>
      </c>
      <c r="H173" s="345"/>
      <c r="I173" s="345"/>
      <c r="L173" s="2628"/>
      <c r="M173" s="450"/>
      <c r="N173" s="2628"/>
      <c r="O173" s="2628"/>
      <c r="P173" s="2628"/>
      <c r="Q173" s="2628"/>
      <c r="R173" s="2628"/>
      <c r="S173" s="2628"/>
      <c r="T173" s="2628"/>
      <c r="V173" s="935"/>
      <c r="AZ173" s="1808"/>
      <c r="BA173" s="1808"/>
    </row>
    <row r="174" spans="1:53" s="166" customFormat="1" ht="3" customHeight="1">
      <c r="H174" s="2826"/>
      <c r="I174" s="2826"/>
      <c r="M174" s="509"/>
      <c r="O174" s="3766"/>
      <c r="P174" s="3766"/>
      <c r="Q174" s="3766"/>
      <c r="R174" s="3766"/>
      <c r="S174" s="3766"/>
      <c r="T174" s="3766"/>
      <c r="U174" s="3766"/>
      <c r="V174" s="3766"/>
      <c r="AZ174" s="1808"/>
      <c r="BA174" s="1808"/>
    </row>
    <row r="175" spans="1:53" s="166" customFormat="1" ht="14.1" customHeight="1">
      <c r="B175" s="2802" t="s">
        <v>4127</v>
      </c>
      <c r="H175" s="2826"/>
      <c r="I175" s="2826"/>
      <c r="M175" s="509"/>
      <c r="O175" s="2827"/>
      <c r="P175" s="2827"/>
      <c r="Q175" s="2827"/>
      <c r="R175" s="2827"/>
      <c r="S175" s="2827"/>
      <c r="T175" s="2827"/>
      <c r="U175" s="2827"/>
      <c r="V175" s="2827"/>
      <c r="AZ175" s="1808"/>
      <c r="BA175" s="1808"/>
    </row>
    <row r="176" spans="1:53" s="166" customFormat="1" ht="15" customHeight="1">
      <c r="B176" s="166" t="s">
        <v>4129</v>
      </c>
      <c r="J176" s="3767">
        <f>G146</f>
        <v>15238231.279999999</v>
      </c>
      <c r="K176" s="3768"/>
      <c r="L176" s="3769"/>
      <c r="V176" s="2828"/>
      <c r="W176" s="2829"/>
      <c r="AZ176" s="1808"/>
      <c r="BA176" s="1808"/>
    </row>
    <row r="177" spans="1:53" s="166" customFormat="1" ht="13.5" customHeight="1">
      <c r="B177" s="166" t="s">
        <v>4131</v>
      </c>
      <c r="J177" s="3767">
        <f>'Part IV-A-Uses of Funds'!$G$92+'Part IV-A-Uses of Funds'!$G$114+SUM('Part IV-A-Uses of Funds'!$G$130:$H$132)</f>
        <v>656874</v>
      </c>
      <c r="K177" s="3768"/>
      <c r="L177" s="3769"/>
      <c r="V177" s="2828"/>
      <c r="W177" s="2829"/>
      <c r="AZ177" s="1808"/>
      <c r="BA177" s="1808"/>
    </row>
    <row r="178" spans="1:53" s="166" customFormat="1" ht="13.5" customHeight="1">
      <c r="B178" s="2729" t="s">
        <v>4130</v>
      </c>
      <c r="J178" s="3767">
        <f>J176-J177</f>
        <v>14581357.279999999</v>
      </c>
      <c r="K178" s="3768"/>
      <c r="L178" s="3769"/>
      <c r="M178" s="3626" t="str">
        <f>IF(J178&lt;=J179, "","Exceeds Project Cost Limit!   Needs Cost Limit waiver.")</f>
        <v/>
      </c>
      <c r="N178" s="3626"/>
      <c r="O178" s="3626"/>
      <c r="P178" s="3626"/>
      <c r="Q178" s="3626"/>
      <c r="R178" s="3626"/>
      <c r="S178" s="3626"/>
      <c r="T178" s="3626"/>
      <c r="V178" s="2828"/>
      <c r="W178" s="2829"/>
      <c r="AZ178" s="1808"/>
      <c r="BA178" s="1808"/>
    </row>
    <row r="179" spans="1:53" s="166" customFormat="1" ht="13.5" customHeight="1">
      <c r="B179" s="2830" t="s">
        <v>2596</v>
      </c>
      <c r="C179" s="2729"/>
      <c r="D179" s="2729"/>
      <c r="J179" s="3767">
        <f>'Part VIII-Threshold Criteria'!$P$63</f>
        <v>17510765</v>
      </c>
      <c r="K179" s="3768"/>
      <c r="L179" s="3769"/>
      <c r="V179" s="2828"/>
      <c r="W179" s="2829"/>
      <c r="AZ179" s="1808"/>
      <c r="BA179" s="1808"/>
    </row>
    <row r="180" spans="1:53" s="166" customFormat="1" ht="3" customHeight="1">
      <c r="B180" s="2830"/>
      <c r="C180" s="2729"/>
      <c r="D180" s="2729"/>
      <c r="J180" s="2831"/>
      <c r="K180" s="2831"/>
      <c r="L180" s="2831"/>
      <c r="V180" s="2828"/>
      <c r="W180" s="2829"/>
      <c r="AZ180" s="1808"/>
      <c r="BA180" s="1808"/>
    </row>
    <row r="181" spans="1:53" s="289" customFormat="1" ht="15" customHeight="1" thickBot="1">
      <c r="B181" s="291" t="s">
        <v>166</v>
      </c>
      <c r="O181" s="2628"/>
      <c r="P181" s="2628"/>
      <c r="Q181" s="2628"/>
      <c r="R181" s="2628"/>
      <c r="S181" s="2628"/>
      <c r="T181" s="2628"/>
      <c r="V181" s="935"/>
      <c r="W181" s="411" t="str">
        <f>B173</f>
        <v>TAX CREDIT CALCULATION - GAP METHOD</v>
      </c>
      <c r="AZ181" s="1808"/>
      <c r="BA181" s="1808"/>
    </row>
    <row r="182" spans="1:53" s="289" customFormat="1" ht="15" customHeight="1">
      <c r="B182" s="166" t="s">
        <v>4132</v>
      </c>
      <c r="J182" s="3663">
        <f>MIN(J176,J179+J177)</f>
        <v>15238231.279999999</v>
      </c>
      <c r="K182" s="3664"/>
      <c r="L182" s="3665"/>
      <c r="M182" s="3647" t="s">
        <v>4143</v>
      </c>
      <c r="N182" s="3648"/>
      <c r="O182" s="3648"/>
      <c r="P182" s="3648"/>
      <c r="Q182" s="3648"/>
      <c r="R182" s="3649"/>
      <c r="S182" s="3647" t="s">
        <v>3313</v>
      </c>
      <c r="T182" s="3649"/>
      <c r="V182" s="2799"/>
      <c r="W182" s="3627"/>
      <c r="X182" s="3628"/>
      <c r="AZ182" s="1808"/>
      <c r="BA182" s="1808"/>
    </row>
    <row r="183" spans="1:53" s="289" customFormat="1" ht="14.1" customHeight="1">
      <c r="B183" s="289" t="s">
        <v>252</v>
      </c>
      <c r="J183" s="3666">
        <f>'Part III-Sources of Funds'!$I$60-'Part III-Sources of Funds'!$I$44-'Part III-Sources of Funds'!$I$45-'Part III-Sources of Funds'!$I$51-'Part III-Sources of Funds'!$I$52</f>
        <v>2014379.0000000009</v>
      </c>
      <c r="K183" s="3667"/>
      <c r="L183" s="3668"/>
      <c r="M183" s="3650"/>
      <c r="N183" s="3651"/>
      <c r="O183" s="3651"/>
      <c r="P183" s="3651"/>
      <c r="Q183" s="3651"/>
      <c r="R183" s="3652"/>
      <c r="S183" s="3650"/>
      <c r="T183" s="3652"/>
      <c r="V183" s="2799"/>
      <c r="W183" s="3627"/>
      <c r="X183" s="3628"/>
      <c r="AZ183" s="1808"/>
      <c r="BA183" s="1808"/>
    </row>
    <row r="184" spans="1:53" s="289" customFormat="1" ht="14.1" customHeight="1">
      <c r="B184" s="289" t="s">
        <v>2130</v>
      </c>
      <c r="J184" s="3666">
        <f>+J182-J183</f>
        <v>13223852.279999997</v>
      </c>
      <c r="K184" s="3667"/>
      <c r="L184" s="3668"/>
      <c r="M184" s="3650"/>
      <c r="N184" s="3651"/>
      <c r="O184" s="3651"/>
      <c r="P184" s="3651"/>
      <c r="Q184" s="3651"/>
      <c r="R184" s="3652"/>
      <c r="S184" s="3650"/>
      <c r="T184" s="3652"/>
      <c r="V184" s="2799"/>
      <c r="W184" s="3627"/>
      <c r="X184" s="3628"/>
      <c r="AZ184" s="1808"/>
      <c r="BA184" s="1808"/>
    </row>
    <row r="185" spans="1:53" s="289" customFormat="1" ht="14.1" customHeight="1" thickBot="1">
      <c r="B185" s="289" t="s">
        <v>1238</v>
      </c>
      <c r="J185" s="3673" t="str">
        <f>"/ 10"</f>
        <v>/ 10</v>
      </c>
      <c r="K185" s="3673"/>
      <c r="L185" s="3673"/>
      <c r="M185" s="3669" t="s">
        <v>2580</v>
      </c>
      <c r="N185" s="3670"/>
      <c r="O185" s="3671">
        <f>'Part III-Sources of Funds'!$I$44</f>
        <v>0</v>
      </c>
      <c r="P185" s="3671"/>
      <c r="Q185" s="3671"/>
      <c r="R185" s="3672"/>
      <c r="S185" s="398" t="s">
        <v>1589</v>
      </c>
      <c r="T185" s="2832"/>
      <c r="V185" s="2799"/>
      <c r="W185" s="3627"/>
      <c r="X185" s="3628"/>
      <c r="AZ185" s="1808"/>
      <c r="BA185" s="1808"/>
    </row>
    <row r="186" spans="1:53" s="289" customFormat="1" ht="14.1" customHeight="1">
      <c r="B186" s="289" t="s">
        <v>1239</v>
      </c>
      <c r="J186" s="3666">
        <f>J184/10</f>
        <v>1322385.2279999997</v>
      </c>
      <c r="K186" s="3667"/>
      <c r="L186" s="3674"/>
      <c r="M186" s="2628"/>
      <c r="N186" s="448"/>
      <c r="O186" s="448"/>
      <c r="P186" s="448"/>
      <c r="Q186" s="448"/>
      <c r="R186" s="448"/>
      <c r="V186" s="935"/>
      <c r="W186" s="3627"/>
      <c r="X186" s="3628"/>
      <c r="AZ186" s="1808"/>
      <c r="BA186" s="1808"/>
    </row>
    <row r="187" spans="1:53" s="289" customFormat="1" ht="14.1" customHeight="1">
      <c r="M187" s="307"/>
      <c r="N187" s="3342" t="s">
        <v>1240</v>
      </c>
      <c r="O187" s="3342"/>
      <c r="Q187" s="3342" t="s">
        <v>1717</v>
      </c>
      <c r="R187" s="3342"/>
      <c r="V187" s="2799"/>
      <c r="W187" s="3627"/>
      <c r="X187" s="3628"/>
      <c r="AZ187" s="1808"/>
      <c r="BA187" s="1808"/>
    </row>
    <row r="188" spans="1:53" s="289" customFormat="1" ht="14.1" customHeight="1" thickBot="1">
      <c r="B188" s="289" t="s">
        <v>1425</v>
      </c>
      <c r="J188" s="3654">
        <f>N188+Q188</f>
        <v>1.43</v>
      </c>
      <c r="K188" s="3655"/>
      <c r="L188" s="3656"/>
      <c r="M188" s="2623" t="s">
        <v>1241</v>
      </c>
      <c r="N188" s="3657">
        <v>0.85</v>
      </c>
      <c r="O188" s="3658"/>
      <c r="P188" s="2623" t="s">
        <v>583</v>
      </c>
      <c r="Q188" s="3657">
        <v>0.57999999999999996</v>
      </c>
      <c r="R188" s="3658"/>
      <c r="V188" s="2799"/>
      <c r="W188" s="3627"/>
      <c r="X188" s="3628"/>
      <c r="AZ188" s="1808"/>
      <c r="BA188" s="1808"/>
    </row>
    <row r="189" spans="1:53" s="289" customFormat="1" ht="14.1" customHeight="1" thickBot="1">
      <c r="B189" s="291" t="s">
        <v>1374</v>
      </c>
      <c r="J189" s="3489">
        <f>ROUNDDOWN(IF(J188=0,"",J186/J188),0)</f>
        <v>924744</v>
      </c>
      <c r="K189" s="3659"/>
      <c r="L189" s="3490"/>
      <c r="M189" s="307"/>
      <c r="N189" s="2628"/>
      <c r="O189" s="2628"/>
      <c r="V189" s="2799"/>
      <c r="W189" s="3627"/>
      <c r="X189" s="3628"/>
      <c r="AZ189" s="1808"/>
      <c r="BA189" s="1808"/>
    </row>
    <row r="190" spans="1:53" s="289" customFormat="1" ht="6" customHeight="1">
      <c r="J190" s="355"/>
      <c r="K190" s="355"/>
      <c r="L190" s="355"/>
      <c r="M190" s="307"/>
      <c r="N190" s="2629"/>
      <c r="O190" s="2629"/>
      <c r="V190" s="935"/>
      <c r="W190" s="2833"/>
      <c r="X190" s="2833"/>
      <c r="AZ190" s="1808"/>
      <c r="BA190" s="1808"/>
    </row>
    <row r="191" spans="1:53" s="289" customFormat="1" ht="14.1" customHeight="1">
      <c r="A191" s="411" t="s">
        <v>1711</v>
      </c>
      <c r="B191" s="411" t="s">
        <v>4128</v>
      </c>
      <c r="H191" s="345"/>
      <c r="I191" s="345"/>
      <c r="L191" s="2628"/>
      <c r="M191" s="450"/>
      <c r="N191" s="2628"/>
      <c r="O191" s="2628"/>
      <c r="P191" s="2628"/>
      <c r="Q191" s="1728" t="s">
        <v>6539</v>
      </c>
      <c r="R191" s="170"/>
      <c r="S191" s="3762" t="str">
        <f>'Part I-Project Information'!$H$105</f>
        <v>Rural</v>
      </c>
      <c r="T191" s="3763"/>
      <c r="V191" s="935"/>
      <c r="AZ191" s="1808"/>
      <c r="BA191" s="1808"/>
    </row>
    <row r="192" spans="1:53" s="166" customFormat="1" ht="3" customHeight="1">
      <c r="H192" s="2826"/>
      <c r="I192" s="2826"/>
      <c r="M192" s="509"/>
      <c r="O192" s="2834"/>
      <c r="P192" s="2834"/>
      <c r="Q192" s="2580"/>
      <c r="R192" s="2580"/>
      <c r="S192" s="2835"/>
      <c r="T192" s="2835"/>
      <c r="U192" s="2834"/>
      <c r="V192" s="2834"/>
      <c r="AZ192" s="1809"/>
      <c r="BA192" s="1808"/>
    </row>
    <row r="193" spans="1:53" s="289" customFormat="1" ht="16.350000000000001" customHeight="1">
      <c r="B193" s="291" t="s">
        <v>6541</v>
      </c>
      <c r="J193" s="3660">
        <v>900000</v>
      </c>
      <c r="K193" s="3661"/>
      <c r="L193" s="3662"/>
      <c r="M193" s="307"/>
      <c r="Q193" s="279" t="s">
        <v>367</v>
      </c>
      <c r="R193" s="465"/>
      <c r="S193" s="3760" t="str">
        <f>'Part IX Scoring Criteria'!$M$43</f>
        <v>New Supply</v>
      </c>
      <c r="T193" s="3761"/>
      <c r="U193" s="1704" t="str">
        <f>IF(OR(S191="Atlanta Metro", "Other Metro"), "Metro", IF(S191="Rural","Rural",""))</f>
        <v>Rural</v>
      </c>
      <c r="V193" s="2799"/>
      <c r="W193" s="3627"/>
      <c r="X193" s="3628"/>
      <c r="AZ193" s="1809"/>
      <c r="BA193" s="1808"/>
    </row>
    <row r="194" spans="1:53" s="289" customFormat="1" ht="3" customHeight="1">
      <c r="J194" s="355"/>
      <c r="K194" s="355"/>
      <c r="L194" s="355"/>
      <c r="M194" s="307"/>
      <c r="N194" s="2629"/>
      <c r="O194" s="2629"/>
      <c r="Q194" s="170"/>
      <c r="R194" s="170"/>
      <c r="S194" s="2637"/>
      <c r="T194" s="2637"/>
      <c r="V194" s="935"/>
      <c r="W194" s="2822"/>
      <c r="X194" s="2823"/>
      <c r="AZ194" s="1809"/>
      <c r="BA194" s="1808"/>
    </row>
    <row r="195" spans="1:53" s="289" customFormat="1" ht="16.350000000000001" customHeight="1">
      <c r="B195" s="291" t="s">
        <v>4281</v>
      </c>
      <c r="J195" s="3660">
        <v>900000</v>
      </c>
      <c r="K195" s="3661"/>
      <c r="L195" s="3662"/>
      <c r="M195" s="3759" t="str">
        <f>IF(J193=0,"",IF(J195&gt;J193,"Request can't exceed Maximum - REVISE (Try Round Down)!",""))</f>
        <v/>
      </c>
      <c r="N195" s="3759"/>
      <c r="O195" s="3759"/>
      <c r="P195" s="3759"/>
      <c r="Q195" s="279" t="s">
        <v>4116</v>
      </c>
      <c r="R195" s="279"/>
      <c r="S195" s="1729" t="str">
        <f>IF(OR('Part I-Project Information'!$F$12="9% Credit Competitive Round only", 'Part I-Project Information'!$F$12="9% Credit &amp; HOME"),"9%",IF(OR('Part I-Project Information'!$F$12="4% Credit/TE Bond", 'Part I-Project Information'!$F$12="4% Credit/TE Bond &amp; HOME", 'Part I-Project Information'!$F$12="4% Credit/TE Bond &amp; HOME NOFA", 'Part I-Project Information'!$F$12="4% Credit &amp; NHTF", 'Part I-Project Information'!$F$12="4% Credit &amp; NHTF &amp; HOME"),"4%",""))</f>
        <v>9%</v>
      </c>
      <c r="T195" s="1730"/>
      <c r="V195" s="2799"/>
      <c r="W195" s="3627"/>
      <c r="X195" s="3628"/>
      <c r="AZ195" s="1809"/>
      <c r="BA195" s="1808"/>
    </row>
    <row r="196" spans="1:53" s="289" customFormat="1" ht="3" customHeight="1">
      <c r="J196" s="355"/>
      <c r="K196" s="355"/>
      <c r="L196" s="355"/>
      <c r="M196" s="3759"/>
      <c r="N196" s="3759"/>
      <c r="O196" s="3759"/>
      <c r="P196" s="3759"/>
      <c r="Q196" s="170"/>
      <c r="R196" s="465"/>
      <c r="S196" s="2638"/>
      <c r="T196" s="2638"/>
      <c r="V196" s="935"/>
      <c r="W196" s="2822"/>
      <c r="X196" s="2823"/>
      <c r="AZ196" s="1809"/>
      <c r="BA196" s="1808"/>
    </row>
    <row r="197" spans="1:53" s="289" customFormat="1" ht="16.350000000000001" customHeight="1">
      <c r="A197" s="411"/>
      <c r="B197" s="411" t="s">
        <v>4282</v>
      </c>
      <c r="D197" s="307"/>
      <c r="E197" s="307"/>
      <c r="F197" s="2621"/>
      <c r="J197" s="3675">
        <f>IF(J195="",0,+MIN(J193,J195))</f>
        <v>900000</v>
      </c>
      <c r="K197" s="3676"/>
      <c r="L197" s="3677"/>
      <c r="M197" s="3759"/>
      <c r="N197" s="3759"/>
      <c r="O197" s="3759"/>
      <c r="P197" s="3759"/>
      <c r="Q197" s="3764" t="s">
        <v>6540</v>
      </c>
      <c r="R197" s="3765"/>
      <c r="S197" s="1731" t="str">
        <f>IF('Part I-Project Information'!$P$101="","",IF('Part I-Project Information'!$P$101="Yes","Yes","No"))</f>
        <v>No</v>
      </c>
      <c r="T197" s="1266"/>
      <c r="V197" s="2799"/>
      <c r="W197" s="3627"/>
      <c r="X197" s="3628"/>
      <c r="AZ197" s="1809"/>
      <c r="BA197" s="1808"/>
    </row>
    <row r="198" spans="1:53" ht="3" customHeight="1"/>
    <row r="199" spans="1:53" ht="6" customHeight="1"/>
    <row r="200" spans="1:53" ht="12" customHeight="1">
      <c r="A200" s="291" t="s">
        <v>1713</v>
      </c>
      <c r="B200" s="315" t="s">
        <v>543</v>
      </c>
      <c r="N200" s="291" t="s">
        <v>505</v>
      </c>
      <c r="O200" s="291" t="s">
        <v>74</v>
      </c>
      <c r="AZ200" s="1808"/>
    </row>
    <row r="201" spans="1:53" ht="213" customHeight="1">
      <c r="A201" s="3469" t="s">
        <v>3360</v>
      </c>
      <c r="B201" s="3469"/>
      <c r="C201" s="3469"/>
      <c r="D201" s="3469"/>
      <c r="E201" s="3469"/>
      <c r="F201" s="3469"/>
      <c r="G201" s="3469"/>
      <c r="H201" s="3469"/>
      <c r="I201" s="3469"/>
      <c r="J201" s="3469"/>
      <c r="K201" s="3469"/>
      <c r="L201" s="3469"/>
      <c r="M201" s="3469"/>
      <c r="N201" s="3678"/>
      <c r="O201" s="3678"/>
      <c r="P201" s="3678"/>
      <c r="Q201" s="3678"/>
      <c r="R201" s="3678"/>
      <c r="S201" s="3678"/>
      <c r="T201" s="3678"/>
      <c r="V201" s="842"/>
      <c r="W201" s="3467" t="s">
        <v>2541</v>
      </c>
      <c r="X201" s="3467"/>
      <c r="AZ201" s="1808"/>
    </row>
    <row r="202" spans="1:53" ht="11.25" customHeight="1">
      <c r="AZ202" s="1808"/>
    </row>
    <row r="203" spans="1:53" ht="12" customHeight="1"/>
    <row r="204" spans="1:53" ht="12" customHeight="1">
      <c r="AZ204" s="1808"/>
    </row>
    <row r="205" spans="1:53" ht="14.45" customHeight="1"/>
    <row r="206" spans="1:53" s="289" customFormat="1" ht="14.45" customHeight="1">
      <c r="AZ206" s="1808"/>
      <c r="BA206" s="1808"/>
    </row>
    <row r="207" spans="1:53" s="289" customFormat="1" ht="14.45" customHeight="1">
      <c r="AZ207" s="1808"/>
      <c r="BA207" s="1808"/>
    </row>
    <row r="208" spans="1:53" s="289" customFormat="1" ht="14.45" customHeight="1">
      <c r="AZ208" s="1808"/>
      <c r="BA208" s="1808"/>
    </row>
    <row r="209" spans="1:53" ht="14.45" customHeight="1">
      <c r="AZ209" s="1808"/>
    </row>
    <row r="210" spans="1:53" s="289" customFormat="1" ht="14.45" customHeight="1">
      <c r="A210" s="294"/>
      <c r="AZ210" s="1808"/>
      <c r="BA210" s="1808"/>
    </row>
    <row r="211" spans="1:53" ht="14.45" customHeight="1">
      <c r="AZ211" s="1808"/>
    </row>
    <row r="212" spans="1:53" s="289" customFormat="1" ht="14.45" customHeight="1">
      <c r="AZ212" s="1808"/>
      <c r="BA212" s="1808"/>
    </row>
    <row r="213" spans="1:53" s="289" customFormat="1" ht="14.45" customHeight="1">
      <c r="A213" s="294"/>
      <c r="AZ213" s="1808"/>
      <c r="BA213" s="1808"/>
    </row>
    <row r="214" spans="1:53" s="289" customFormat="1" ht="14.45" customHeight="1">
      <c r="A214" s="1711"/>
      <c r="AZ214" s="1808"/>
      <c r="BA214" s="1808"/>
    </row>
    <row r="215" spans="1:53" s="289" customFormat="1" ht="14.45" customHeight="1">
      <c r="AZ215" s="1809"/>
      <c r="BA215" s="1808"/>
    </row>
    <row r="216" spans="1:53" s="289" customFormat="1" ht="14.45" customHeight="1">
      <c r="A216" s="326"/>
      <c r="AZ216" s="1809"/>
      <c r="BA216" s="1808"/>
    </row>
    <row r="217" spans="1:53" s="289" customFormat="1" ht="14.45" customHeight="1">
      <c r="A217" s="326"/>
      <c r="AZ217" s="1809"/>
      <c r="BA217" s="1808"/>
    </row>
    <row r="218" spans="1:53" s="289" customFormat="1" ht="14.45" customHeight="1">
      <c r="A218" s="326"/>
      <c r="AZ218" s="1809"/>
      <c r="BA218" s="1808"/>
    </row>
    <row r="219" spans="1:53" s="289" customFormat="1" ht="14.45" customHeight="1">
      <c r="AZ219" s="1809"/>
      <c r="BA219" s="1808"/>
    </row>
    <row r="220" spans="1:53" s="289" customFormat="1" ht="14.45" customHeight="1">
      <c r="AZ220" s="1809"/>
      <c r="BA220" s="1808"/>
    </row>
    <row r="221" spans="1:53" ht="14.45" customHeight="1"/>
    <row r="222" spans="1:53" ht="14.45" customHeight="1"/>
    <row r="223" spans="1:53" ht="14.45" customHeight="1">
      <c r="AZ223" s="1808"/>
    </row>
    <row r="224" spans="1:53" ht="14.45" customHeight="1"/>
    <row r="225" spans="52:53" ht="14.45" customHeight="1"/>
    <row r="226" spans="52:53" ht="14.45" customHeight="1"/>
    <row r="227" spans="52:53" ht="14.45" customHeight="1"/>
    <row r="228" spans="52:53" ht="14.45" customHeight="1"/>
    <row r="229" spans="52:53" s="289" customFormat="1" ht="14.45" customHeight="1">
      <c r="AZ229" s="1809"/>
      <c r="BA229" s="1808"/>
    </row>
    <row r="230" spans="52:53" ht="14.45" customHeight="1"/>
    <row r="231" spans="52:53" ht="14.45" customHeight="1"/>
    <row r="232" spans="52:53" ht="14.45" customHeight="1"/>
    <row r="233" spans="52:53" ht="14.45" customHeight="1"/>
    <row r="234" spans="52:53" ht="14.45" customHeight="1"/>
    <row r="235" spans="52:53" ht="14.45" customHeight="1"/>
    <row r="236" spans="52:53" ht="14.45" customHeight="1"/>
    <row r="237" spans="52:53" ht="14.45" customHeight="1"/>
    <row r="238" spans="52:53" ht="14.45" customHeight="1"/>
    <row r="239" spans="52:53" ht="14.45" customHeight="1"/>
    <row r="240" spans="52:53" ht="14.45" customHeight="1"/>
    <row r="241" spans="10:12" ht="14.45" customHeight="1"/>
    <row r="242" spans="10:12" ht="14.45" customHeight="1">
      <c r="K242" s="297"/>
      <c r="L242" s="297"/>
    </row>
    <row r="243" spans="10:12" ht="14.45" customHeight="1">
      <c r="J243" s="1326"/>
      <c r="K243" s="1752"/>
      <c r="L243" s="2628"/>
    </row>
    <row r="244" spans="10:12" ht="14.45" customHeight="1">
      <c r="J244" s="1326"/>
      <c r="K244" s="1752"/>
      <c r="L244" s="2628"/>
    </row>
    <row r="245" spans="10:12" ht="12.75" customHeight="1">
      <c r="J245" s="1326"/>
      <c r="K245" s="1752"/>
      <c r="L245" s="2628"/>
    </row>
    <row r="246" spans="10:12">
      <c r="J246" s="1326"/>
      <c r="K246" s="1752"/>
      <c r="L246" s="2628"/>
    </row>
    <row r="247" spans="10:12">
      <c r="J247" s="1326"/>
      <c r="K247" s="1752"/>
      <c r="L247" s="2628"/>
    </row>
    <row r="248" spans="10:12">
      <c r="J248" s="1326"/>
      <c r="K248" s="1752"/>
      <c r="L248" s="2628"/>
    </row>
    <row r="249" spans="10:12">
      <c r="J249" s="1326"/>
      <c r="K249" s="1752"/>
      <c r="L249" s="2628"/>
    </row>
    <row r="250" spans="10:12">
      <c r="J250" s="1326"/>
      <c r="K250" s="1752"/>
      <c r="L250" s="2628"/>
    </row>
    <row r="251" spans="10:12" ht="12.75" customHeight="1">
      <c r="J251" s="1326"/>
      <c r="K251" s="1752"/>
      <c r="L251" s="2628"/>
    </row>
    <row r="252" spans="10:12">
      <c r="J252" s="1326"/>
      <c r="K252" s="1752"/>
      <c r="L252" s="2628"/>
    </row>
  </sheetData>
  <sheetProtection algorithmName="SHA-512" hashValue="hP9Qe2uKH9nu+kaN1SSAPwF52Krty8Cxd5Nd93wfzQ4XQd0lKnHcGTwKKaIwUR8WehWqTSBIvW85gTD+K9rArA==" saltValue="4sNpLTbCgVO/UGd4AW2QeA==" spinCount="100000" sheet="1" objects="1" scenarios="1" selectLockedCells="1" selectUnlockedCells="1"/>
  <mergeCells count="716">
    <mergeCell ref="G140:H140"/>
    <mergeCell ref="I109:R110"/>
    <mergeCell ref="M195:P197"/>
    <mergeCell ref="S193:T193"/>
    <mergeCell ref="S191:T191"/>
    <mergeCell ref="Q197:R197"/>
    <mergeCell ref="S34:T34"/>
    <mergeCell ref="W34:X34"/>
    <mergeCell ref="O174:V174"/>
    <mergeCell ref="J176:L176"/>
    <mergeCell ref="J177:L177"/>
    <mergeCell ref="J178:L178"/>
    <mergeCell ref="J179:L179"/>
    <mergeCell ref="S40:T40"/>
    <mergeCell ref="M164:N164"/>
    <mergeCell ref="P164:Q164"/>
    <mergeCell ref="P169:Q169"/>
    <mergeCell ref="J166:K166"/>
    <mergeCell ref="M166:N166"/>
    <mergeCell ref="P166:Q166"/>
    <mergeCell ref="W75:X75"/>
    <mergeCell ref="W70:X70"/>
    <mergeCell ref="W71:X71"/>
    <mergeCell ref="W72:X72"/>
    <mergeCell ref="W73:X73"/>
    <mergeCell ref="W76:X76"/>
    <mergeCell ref="W38:X38"/>
    <mergeCell ref="AC120:AC121"/>
    <mergeCell ref="J171:Q171"/>
    <mergeCell ref="W169:X169"/>
    <mergeCell ref="W170:X170"/>
    <mergeCell ref="J163:K163"/>
    <mergeCell ref="M163:N163"/>
    <mergeCell ref="P163:Q163"/>
    <mergeCell ref="J164:K164"/>
    <mergeCell ref="S46:T46"/>
    <mergeCell ref="P55:Q55"/>
    <mergeCell ref="S55:T55"/>
    <mergeCell ref="W55:X55"/>
    <mergeCell ref="J51:K52"/>
    <mergeCell ref="M51:N52"/>
    <mergeCell ref="P51:Q52"/>
    <mergeCell ref="J65:K65"/>
    <mergeCell ref="M65:N65"/>
    <mergeCell ref="P65:Q65"/>
    <mergeCell ref="S65:T65"/>
    <mergeCell ref="S71:T71"/>
    <mergeCell ref="P80:Q80"/>
    <mergeCell ref="S80:T80"/>
    <mergeCell ref="P89:Q89"/>
    <mergeCell ref="S89:T89"/>
    <mergeCell ref="AD120:AD121"/>
    <mergeCell ref="AE120:AE121"/>
    <mergeCell ref="P158:Q158"/>
    <mergeCell ref="J159:K159"/>
    <mergeCell ref="W154:X154"/>
    <mergeCell ref="W155:X155"/>
    <mergeCell ref="W156:X156"/>
    <mergeCell ref="M126:N126"/>
    <mergeCell ref="P126:Q126"/>
    <mergeCell ref="S126:T126"/>
    <mergeCell ref="W89:X89"/>
    <mergeCell ref="W91:X91"/>
    <mergeCell ref="W92:X92"/>
    <mergeCell ref="W99:X99"/>
    <mergeCell ref="W100:X100"/>
    <mergeCell ref="W101:X101"/>
    <mergeCell ref="W102:X102"/>
    <mergeCell ref="W103:X103"/>
    <mergeCell ref="W90:X90"/>
    <mergeCell ref="W116:X116"/>
    <mergeCell ref="W117:X117"/>
    <mergeCell ref="J139:K140"/>
    <mergeCell ref="M139:N140"/>
    <mergeCell ref="J162:K162"/>
    <mergeCell ref="M162:N162"/>
    <mergeCell ref="P162:Q162"/>
    <mergeCell ref="P135:Q135"/>
    <mergeCell ref="S135:T135"/>
    <mergeCell ref="S143:T143"/>
    <mergeCell ref="W142:X142"/>
    <mergeCell ref="W127:X127"/>
    <mergeCell ref="W131:X131"/>
    <mergeCell ref="W132:X132"/>
    <mergeCell ref="W134:X134"/>
    <mergeCell ref="W135:X135"/>
    <mergeCell ref="W129:X129"/>
    <mergeCell ref="W130:X130"/>
    <mergeCell ref="W133:X133"/>
    <mergeCell ref="P139:Q140"/>
    <mergeCell ref="S139:T140"/>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J11:K11"/>
    <mergeCell ref="M11:N11"/>
    <mergeCell ref="P11:Q11"/>
    <mergeCell ref="S11:T11"/>
    <mergeCell ref="G9:H9"/>
    <mergeCell ref="J9:K9"/>
    <mergeCell ref="M9:N9"/>
    <mergeCell ref="P9:Q9"/>
    <mergeCell ref="S9:T9"/>
    <mergeCell ref="G10:H10"/>
    <mergeCell ref="J10:K10"/>
    <mergeCell ref="M10:N10"/>
    <mergeCell ref="P10:Q10"/>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G18:H18"/>
    <mergeCell ref="J18:K18"/>
    <mergeCell ref="M18:N18"/>
    <mergeCell ref="P18:Q18"/>
    <mergeCell ref="S18:T18"/>
    <mergeCell ref="G20:H20"/>
    <mergeCell ref="S20:T20"/>
    <mergeCell ref="C17:F17"/>
    <mergeCell ref="G17:H17"/>
    <mergeCell ref="J17:K17"/>
    <mergeCell ref="M17:N17"/>
    <mergeCell ref="P17:Q17"/>
    <mergeCell ref="S17:T17"/>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D37:E37"/>
    <mergeCell ref="G38:H38"/>
    <mergeCell ref="J38:K38"/>
    <mergeCell ref="M38:N38"/>
    <mergeCell ref="P38:Q38"/>
    <mergeCell ref="S38:T38"/>
    <mergeCell ref="C36:D36"/>
    <mergeCell ref="G36:H36"/>
    <mergeCell ref="J36:K36"/>
    <mergeCell ref="M36:N36"/>
    <mergeCell ref="P36:Q36"/>
    <mergeCell ref="S36:T36"/>
    <mergeCell ref="G41:H41"/>
    <mergeCell ref="J41:K41"/>
    <mergeCell ref="M41:N41"/>
    <mergeCell ref="P41:Q41"/>
    <mergeCell ref="S41:T41"/>
    <mergeCell ref="G39:H39"/>
    <mergeCell ref="J39:K39"/>
    <mergeCell ref="M39:N39"/>
    <mergeCell ref="P39:Q39"/>
    <mergeCell ref="S39:T39"/>
    <mergeCell ref="G40:H40"/>
    <mergeCell ref="J40:K40"/>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G66:H66"/>
    <mergeCell ref="J66:K66"/>
    <mergeCell ref="M66:N66"/>
    <mergeCell ref="P66:Q66"/>
    <mergeCell ref="S66:T66"/>
    <mergeCell ref="G65:H65"/>
    <mergeCell ref="G67:H67"/>
    <mergeCell ref="J67:K67"/>
    <mergeCell ref="M67:N67"/>
    <mergeCell ref="P67:Q67"/>
    <mergeCell ref="S67:T67"/>
    <mergeCell ref="G68:H68"/>
    <mergeCell ref="J68:K68"/>
    <mergeCell ref="M68:N68"/>
    <mergeCell ref="P68:Q68"/>
    <mergeCell ref="S68:T68"/>
    <mergeCell ref="G69:H69"/>
    <mergeCell ref="J69:K69"/>
    <mergeCell ref="M69:N69"/>
    <mergeCell ref="P69:Q69"/>
    <mergeCell ref="S69:T69"/>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G79:H79"/>
    <mergeCell ref="J79:K79"/>
    <mergeCell ref="M79:N79"/>
    <mergeCell ref="P79:Q79"/>
    <mergeCell ref="S79:T79"/>
    <mergeCell ref="G80:H80"/>
    <mergeCell ref="J80:K80"/>
    <mergeCell ref="M80:N80"/>
    <mergeCell ref="G73:H73"/>
    <mergeCell ref="J73:K73"/>
    <mergeCell ref="M73:N73"/>
    <mergeCell ref="P73:Q73"/>
    <mergeCell ref="S73:T73"/>
    <mergeCell ref="G75:H75"/>
    <mergeCell ref="J75:K75"/>
    <mergeCell ref="M75:N75"/>
    <mergeCell ref="P75:Q75"/>
    <mergeCell ref="S75:T75"/>
    <mergeCell ref="S77:T77"/>
    <mergeCell ref="G78:H78"/>
    <mergeCell ref="J78:K78"/>
    <mergeCell ref="M78:N78"/>
    <mergeCell ref="P78:Q78"/>
    <mergeCell ref="S78:T78"/>
    <mergeCell ref="G76:H76"/>
    <mergeCell ref="J76:K76"/>
    <mergeCell ref="M76:N76"/>
    <mergeCell ref="P76:Q76"/>
    <mergeCell ref="S76:T76"/>
    <mergeCell ref="G77:H77"/>
    <mergeCell ref="J77:K77"/>
    <mergeCell ref="M77:N77"/>
    <mergeCell ref="P77:Q77"/>
    <mergeCell ref="G81:H81"/>
    <mergeCell ref="J81:K81"/>
    <mergeCell ref="M81:N81"/>
    <mergeCell ref="P81:Q81"/>
    <mergeCell ref="S81:T81"/>
    <mergeCell ref="G82:H82"/>
    <mergeCell ref="J82:K82"/>
    <mergeCell ref="M82:N82"/>
    <mergeCell ref="P82:Q82"/>
    <mergeCell ref="S82:T82"/>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J94:K95"/>
    <mergeCell ref="M94:N95"/>
    <mergeCell ref="P94:Q95"/>
    <mergeCell ref="S94:T95"/>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117:H117"/>
    <mergeCell ref="J117:K117"/>
    <mergeCell ref="M117:N117"/>
    <mergeCell ref="P117:Q117"/>
    <mergeCell ref="S117:T117"/>
    <mergeCell ref="G118:H118"/>
    <mergeCell ref="J118:K118"/>
    <mergeCell ref="M118:N118"/>
    <mergeCell ref="P118:Q118"/>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G135:H135"/>
    <mergeCell ref="J135:K135"/>
    <mergeCell ref="M135:N135"/>
    <mergeCell ref="G124:H124"/>
    <mergeCell ref="J124:K124"/>
    <mergeCell ref="M124:N124"/>
    <mergeCell ref="P124:Q124"/>
    <mergeCell ref="S124:T124"/>
    <mergeCell ref="G125:H125"/>
    <mergeCell ref="J125:K125"/>
    <mergeCell ref="S129:T129"/>
    <mergeCell ref="P133:Q133"/>
    <mergeCell ref="S133:T133"/>
    <mergeCell ref="G129:H129"/>
    <mergeCell ref="M125:N125"/>
    <mergeCell ref="P125:Q125"/>
    <mergeCell ref="G127:H127"/>
    <mergeCell ref="J127:K127"/>
    <mergeCell ref="M127:N127"/>
    <mergeCell ref="P127:Q127"/>
    <mergeCell ref="S127:T127"/>
    <mergeCell ref="S125:T125"/>
    <mergeCell ref="G126:H126"/>
    <mergeCell ref="J126:K126"/>
    <mergeCell ref="G144:H144"/>
    <mergeCell ref="J144:K144"/>
    <mergeCell ref="M144:N144"/>
    <mergeCell ref="G142:H142"/>
    <mergeCell ref="J142:K142"/>
    <mergeCell ref="M142:N142"/>
    <mergeCell ref="P142:Q142"/>
    <mergeCell ref="S142:T142"/>
    <mergeCell ref="P144:Q144"/>
    <mergeCell ref="S144:T144"/>
    <mergeCell ref="G146:H146"/>
    <mergeCell ref="J146:K146"/>
    <mergeCell ref="M146:N146"/>
    <mergeCell ref="P146:Q146"/>
    <mergeCell ref="S146:T146"/>
    <mergeCell ref="W143:X143"/>
    <mergeCell ref="W159:X159"/>
    <mergeCell ref="W153:X153"/>
    <mergeCell ref="W144:X144"/>
    <mergeCell ref="W146:X146"/>
    <mergeCell ref="J155:K155"/>
    <mergeCell ref="P155:Q155"/>
    <mergeCell ref="J156:K156"/>
    <mergeCell ref="P156:Q156"/>
    <mergeCell ref="J157:K157"/>
    <mergeCell ref="P157:Q157"/>
    <mergeCell ref="P159:Q159"/>
    <mergeCell ref="C158:I158"/>
    <mergeCell ref="J158:K158"/>
    <mergeCell ref="C143:F143"/>
    <mergeCell ref="G143:H143"/>
    <mergeCell ref="J143:K143"/>
    <mergeCell ref="M143:N143"/>
    <mergeCell ref="P143:Q143"/>
    <mergeCell ref="D148:E148"/>
    <mergeCell ref="G148:H148"/>
    <mergeCell ref="J150:K151"/>
    <mergeCell ref="M150:N151"/>
    <mergeCell ref="P150:Q151"/>
    <mergeCell ref="J153:K153"/>
    <mergeCell ref="P153:Q153"/>
    <mergeCell ref="J154:K154"/>
    <mergeCell ref="P154:Q154"/>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W201:X201"/>
    <mergeCell ref="Q187:R187"/>
    <mergeCell ref="J188:L188"/>
    <mergeCell ref="N188:O188"/>
    <mergeCell ref="Q188:R188"/>
    <mergeCell ref="J189:L189"/>
    <mergeCell ref="J193:L193"/>
    <mergeCell ref="S182:T184"/>
    <mergeCell ref="J182:L182"/>
    <mergeCell ref="J183:L183"/>
    <mergeCell ref="J184:L184"/>
    <mergeCell ref="M185:N185"/>
    <mergeCell ref="O185:R185"/>
    <mergeCell ref="J185:L185"/>
    <mergeCell ref="J186:L186"/>
    <mergeCell ref="N187:O187"/>
    <mergeCell ref="J195:L195"/>
    <mergeCell ref="J197:L197"/>
    <mergeCell ref="N201:T201"/>
    <mergeCell ref="A201:M201"/>
    <mergeCell ref="W197:X197"/>
    <mergeCell ref="W193:X193"/>
    <mergeCell ref="W195:X195"/>
    <mergeCell ref="W186:X186"/>
    <mergeCell ref="W39:X39"/>
    <mergeCell ref="W40:X40"/>
    <mergeCell ref="W41:X41"/>
    <mergeCell ref="W61:X61"/>
    <mergeCell ref="M182:R184"/>
    <mergeCell ref="W62:X62"/>
    <mergeCell ref="W63:X63"/>
    <mergeCell ref="W64:X64"/>
    <mergeCell ref="W65:X65"/>
    <mergeCell ref="W66:X66"/>
    <mergeCell ref="W52:X52"/>
    <mergeCell ref="W67:X67"/>
    <mergeCell ref="W68:X68"/>
    <mergeCell ref="W98:X98"/>
    <mergeCell ref="W122:X122"/>
    <mergeCell ref="W124:X124"/>
    <mergeCell ref="W125:X125"/>
    <mergeCell ref="W126:X126"/>
    <mergeCell ref="W123:X123"/>
    <mergeCell ref="W69:X69"/>
    <mergeCell ref="W118:X118"/>
    <mergeCell ref="W119:X119"/>
    <mergeCell ref="W120:X120"/>
    <mergeCell ref="W88:X88"/>
    <mergeCell ref="W13:X13"/>
    <mergeCell ref="W23:X23"/>
    <mergeCell ref="W24:X24"/>
    <mergeCell ref="W30:X30"/>
    <mergeCell ref="W31:X31"/>
    <mergeCell ref="W32:X32"/>
    <mergeCell ref="W35:X35"/>
    <mergeCell ref="W36:X36"/>
    <mergeCell ref="W26:X26"/>
    <mergeCell ref="W27:X27"/>
    <mergeCell ref="W28:X28"/>
    <mergeCell ref="W17:X17"/>
    <mergeCell ref="W18:X18"/>
    <mergeCell ref="W20:X20"/>
    <mergeCell ref="W21:X21"/>
    <mergeCell ref="W22:X22"/>
    <mergeCell ref="W33:X33"/>
    <mergeCell ref="W16:X16"/>
    <mergeCell ref="W15:X15"/>
    <mergeCell ref="W14:X14"/>
    <mergeCell ref="W187:X187"/>
    <mergeCell ref="W188:X188"/>
    <mergeCell ref="W189:X189"/>
    <mergeCell ref="W166:X166"/>
    <mergeCell ref="W167:X167"/>
    <mergeCell ref="W168:X168"/>
    <mergeCell ref="W171:X171"/>
    <mergeCell ref="W183:X183"/>
    <mergeCell ref="W182:X182"/>
    <mergeCell ref="W185:X185"/>
    <mergeCell ref="W184:X184"/>
    <mergeCell ref="G43:H43"/>
    <mergeCell ref="M178:T178"/>
    <mergeCell ref="W157:X157"/>
    <mergeCell ref="W158:X158"/>
    <mergeCell ref="W114:X114"/>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B58:C58"/>
    <mergeCell ref="E57:E58"/>
    <mergeCell ref="J57:K57"/>
    <mergeCell ref="M57:N57"/>
    <mergeCell ref="P57:Q57"/>
    <mergeCell ref="S57:T57"/>
    <mergeCell ref="J58:K58"/>
    <mergeCell ref="M58:N58"/>
    <mergeCell ref="W56:X59"/>
  </mergeCells>
  <conditionalFormatting sqref="J197:L197">
    <cfRule type="cellIs" dxfId="90" priority="10" stopIfTrue="1" operator="greaterThan">
      <formula>$J$193</formula>
    </cfRule>
  </conditionalFormatting>
  <conditionalFormatting sqref="G37">
    <cfRule type="cellIs" priority="11" stopIfTrue="1" operator="equal">
      <formula>"""Exceeds the limit! Re-check amounts."""</formula>
    </cfRule>
  </conditionalFormatting>
  <conditionalFormatting sqref="J38:K38 M38:N38 P38:Q38">
    <cfRule type="cellIs" dxfId="89" priority="9" operator="greaterThan">
      <formula>$G$38</formula>
    </cfRule>
  </conditionalFormatting>
  <conditionalFormatting sqref="J39:K40 M39:N40 P39:Q40">
    <cfRule type="cellIs" dxfId="88" priority="8" operator="greaterThan">
      <formula>$G$40</formula>
    </cfRule>
  </conditionalFormatting>
  <conditionalFormatting sqref="G38">
    <cfRule type="cellIs" dxfId="87" priority="12" stopIfTrue="1" operator="greaterThan">
      <formula>$E38</formula>
    </cfRule>
  </conditionalFormatting>
  <conditionalFormatting sqref="G39">
    <cfRule type="cellIs" dxfId="86" priority="13" stopIfTrue="1" operator="greaterThan">
      <formula>$E$39</formula>
    </cfRule>
  </conditionalFormatting>
  <conditionalFormatting sqref="G40">
    <cfRule type="cellIs" dxfId="85" priority="14" operator="greaterThan">
      <formula>$E$40</formula>
    </cfRule>
  </conditionalFormatting>
  <conditionalFormatting sqref="M178:T178">
    <cfRule type="cellIs" dxfId="84" priority="3" operator="equal">
      <formula>"Exceeds Project Cost Limit!   Needs Cost Limit waiver."</formula>
    </cfRule>
    <cfRule type="cellIs" dxfId="83" priority="7" operator="equal">
      <formula>"QAP Cost Limit TDC exceeds Project Cost Limit!"</formula>
    </cfRule>
  </conditionalFormatting>
  <conditionalFormatting sqref="O174:V175">
    <cfRule type="cellIs" dxfId="82" priority="6" operator="equal">
      <formula>"QAP Cost Limit TDC exceeds Project Cost Limit!"</formula>
    </cfRule>
  </conditionalFormatting>
  <conditionalFormatting sqref="O192">
    <cfRule type="cellIs" dxfId="81" priority="4" operator="equal">
      <formula>"QAP Cost Limit TDC exceeds Project Cost Limit!"</formula>
    </cfRule>
  </conditionalFormatting>
  <conditionalFormatting sqref="G55:H55">
    <cfRule type="cellIs" dxfId="80" priority="2" operator="greaterThan">
      <formula>$E$55</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85"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2021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ColWidth="9.140625" defaultRowHeight="12.75"/>
  <cols>
    <col min="1" max="1" width="7.140625" style="1112" customWidth="1"/>
    <col min="2" max="2" width="12.85546875" style="1112" customWidth="1"/>
    <col min="3" max="3" width="7.85546875" style="1112" customWidth="1"/>
    <col min="4" max="4" width="12.85546875" style="1112" customWidth="1"/>
    <col min="5" max="5" width="0.85546875" style="1112" customWidth="1"/>
    <col min="6" max="6" width="46.85546875" style="1112" customWidth="1"/>
    <col min="7" max="7" width="0.85546875" style="1112" customWidth="1"/>
    <col min="8" max="8" width="46.85546875" style="1112" customWidth="1"/>
    <col min="9" max="16384" width="9.140625" style="1112"/>
  </cols>
  <sheetData>
    <row r="1" spans="1:14" ht="15.75">
      <c r="A1" s="3786" t="str">
        <f>CONCATENATE("PART FOUR (B) -  OTHER COSTS","  -  ",'Part I-Project Information'!$O$7," - ",'Part I-Project Information'!$F$35,"  -  ",'Part I-Project Information'!$F$39,"  -  ",'Part I-Project Information'!$J$40,",  ","County")</f>
        <v>PART FOUR (B) -  OTHER COSTS  -  2021-067 - West Point Village Phase II  -  West Point  -  Troup,  County</v>
      </c>
      <c r="B1" s="3787"/>
      <c r="C1" s="3787"/>
      <c r="D1" s="3787"/>
      <c r="E1" s="3787"/>
      <c r="F1" s="3787"/>
      <c r="G1" s="3787"/>
      <c r="H1" s="3787"/>
      <c r="I1" s="819"/>
      <c r="J1" s="819"/>
      <c r="K1" s="819"/>
      <c r="L1" s="819"/>
      <c r="M1" s="819"/>
      <c r="N1" s="819"/>
    </row>
    <row r="2" spans="1:14" ht="9" customHeight="1"/>
    <row r="3" spans="1:14" ht="57" customHeight="1">
      <c r="A3" s="3788" t="s">
        <v>3344</v>
      </c>
      <c r="B3" s="3789"/>
      <c r="C3" s="3789"/>
      <c r="D3" s="3789"/>
      <c r="E3" s="3789"/>
      <c r="F3" s="3789"/>
      <c r="G3" s="3789"/>
      <c r="H3" s="3790"/>
    </row>
    <row r="4" spans="1:14" ht="6" customHeight="1"/>
    <row r="5" spans="1:14" ht="38.25" customHeight="1">
      <c r="A5" s="3791" t="s">
        <v>3412</v>
      </c>
      <c r="B5" s="3791"/>
      <c r="C5" s="3791"/>
      <c r="D5" s="3791"/>
      <c r="F5" s="820" t="s">
        <v>3335</v>
      </c>
      <c r="G5" s="511"/>
      <c r="H5" s="820" t="s">
        <v>3336</v>
      </c>
    </row>
    <row r="6" spans="1:14" ht="6.75" customHeight="1">
      <c r="A6" s="511"/>
      <c r="B6" s="511"/>
      <c r="C6" s="511"/>
      <c r="D6" s="511"/>
    </row>
    <row r="7" spans="1:14" s="2836" customFormat="1" ht="4.5" customHeight="1">
      <c r="A7" s="821"/>
      <c r="B7" s="821"/>
      <c r="C7" s="821"/>
      <c r="D7" s="821"/>
      <c r="E7" s="821"/>
      <c r="F7" s="821"/>
      <c r="G7" s="821"/>
    </row>
    <row r="8" spans="1:14" s="2836" customFormat="1">
      <c r="A8" s="830" t="s">
        <v>95</v>
      </c>
      <c r="B8" s="822"/>
      <c r="C8" s="822"/>
      <c r="D8" s="822"/>
      <c r="E8" s="822"/>
      <c r="F8" s="822"/>
      <c r="G8" s="822"/>
      <c r="H8" s="822"/>
    </row>
    <row r="9" spans="1:14" s="2836" customFormat="1" ht="41.25" customHeight="1">
      <c r="A9" s="3783" t="str">
        <f>'Part IV-A-Uses of Funds'!$C$15</f>
        <v>&lt;&lt; Enter description here; provide detail &amp; justification in tab Part IV-b &gt;&gt;</v>
      </c>
      <c r="B9" s="3784"/>
      <c r="C9" s="3784"/>
      <c r="D9" s="3785"/>
      <c r="F9" s="3779"/>
      <c r="G9" s="822"/>
      <c r="H9" s="3779"/>
    </row>
    <row r="10" spans="1:14" s="2836" customFormat="1" ht="41.25" customHeight="1">
      <c r="A10" s="3773"/>
      <c r="B10" s="3774"/>
      <c r="C10" s="3774"/>
      <c r="D10" s="3775"/>
      <c r="F10" s="3780"/>
      <c r="G10" s="822"/>
      <c r="H10" s="3780"/>
    </row>
    <row r="11" spans="1:14" s="2836" customFormat="1" ht="4.5" customHeight="1">
      <c r="F11" s="3780"/>
      <c r="G11" s="822"/>
      <c r="H11" s="3780"/>
    </row>
    <row r="12" spans="1:14" s="2836" customFormat="1" ht="15" customHeight="1">
      <c r="A12" s="829" t="s">
        <v>3338</v>
      </c>
      <c r="B12" s="828">
        <f>'Part IV-A-Uses of Funds'!$G$15</f>
        <v>0</v>
      </c>
      <c r="C12" s="829" t="s">
        <v>1710</v>
      </c>
      <c r="D12" s="828">
        <f>'Part IV-A-Uses of Funds'!$J$15+'Part IV-A-Uses of Funds'!$M$15+'Part IV-A-Uses of Funds'!$P$15</f>
        <v>0</v>
      </c>
      <c r="F12" s="3780"/>
      <c r="G12" s="822"/>
      <c r="H12" s="3780"/>
    </row>
    <row r="13" spans="1:14" s="2836" customFormat="1" ht="6" customHeight="1">
      <c r="A13" s="822"/>
      <c r="B13" s="823"/>
      <c r="C13" s="822"/>
      <c r="D13" s="822"/>
      <c r="F13" s="3780"/>
      <c r="G13" s="824"/>
      <c r="H13" s="3780"/>
    </row>
    <row r="14" spans="1:14" s="2836" customFormat="1" ht="41.25" customHeight="1">
      <c r="A14" s="3783" t="str">
        <f>'Part IV-A-Uses of Funds'!$C$16</f>
        <v>&lt;&lt; Enter description here; provide detail &amp; justification in tab Part IV-b &gt;&gt;</v>
      </c>
      <c r="B14" s="3784"/>
      <c r="C14" s="3784"/>
      <c r="D14" s="3785"/>
      <c r="F14" s="3780"/>
      <c r="G14" s="822"/>
      <c r="H14" s="3780"/>
    </row>
    <row r="15" spans="1:14" s="2836" customFormat="1" ht="41.25" customHeight="1">
      <c r="A15" s="3773"/>
      <c r="B15" s="3774"/>
      <c r="C15" s="3774"/>
      <c r="D15" s="3775"/>
      <c r="F15" s="3780"/>
      <c r="G15" s="822"/>
      <c r="H15" s="3780"/>
    </row>
    <row r="16" spans="1:14" s="2836" customFormat="1" ht="4.5" customHeight="1">
      <c r="F16" s="3780"/>
      <c r="G16" s="822"/>
      <c r="H16" s="3780"/>
    </row>
    <row r="17" spans="1:8" s="2836" customFormat="1" ht="15" customHeight="1">
      <c r="A17" s="829" t="s">
        <v>3338</v>
      </c>
      <c r="B17" s="828">
        <f>'Part IV-A-Uses of Funds'!$G$16</f>
        <v>0</v>
      </c>
      <c r="C17" s="829" t="s">
        <v>1710</v>
      </c>
      <c r="D17" s="828">
        <f>'Part IV-A-Uses of Funds'!$J$16+'Part IV-A-Uses of Funds'!$M$16+'Part IV-A-Uses of Funds'!$P$16</f>
        <v>0</v>
      </c>
      <c r="F17" s="3780"/>
      <c r="G17" s="822"/>
      <c r="H17" s="3780"/>
    </row>
    <row r="18" spans="1:8" s="2836" customFormat="1" ht="6" customHeight="1">
      <c r="A18" s="822"/>
      <c r="B18" s="823"/>
      <c r="C18" s="822"/>
      <c r="D18" s="822"/>
      <c r="F18" s="3780"/>
      <c r="G18" s="824"/>
      <c r="H18" s="3780"/>
    </row>
    <row r="19" spans="1:8" s="2836" customFormat="1" ht="41.25" customHeight="1">
      <c r="A19" s="3783" t="str">
        <f>'Part IV-A-Uses of Funds'!$C$17</f>
        <v>&lt;&lt; Enter description here; provide detail &amp; justification in tab Part IV-b &gt;&gt;</v>
      </c>
      <c r="B19" s="3784"/>
      <c r="C19" s="3784"/>
      <c r="D19" s="3785"/>
      <c r="F19" s="3780"/>
      <c r="G19" s="822"/>
      <c r="H19" s="3780"/>
    </row>
    <row r="20" spans="1:8" s="2836" customFormat="1" ht="41.25" customHeight="1">
      <c r="A20" s="3773"/>
      <c r="B20" s="3774"/>
      <c r="C20" s="3774"/>
      <c r="D20" s="3775"/>
      <c r="F20" s="3780"/>
      <c r="G20" s="822"/>
      <c r="H20" s="3780"/>
    </row>
    <row r="21" spans="1:8" s="2836" customFormat="1" ht="4.5" customHeight="1">
      <c r="F21" s="3780"/>
      <c r="G21" s="822"/>
      <c r="H21" s="3780"/>
    </row>
    <row r="22" spans="1:8" s="2836" customFormat="1" ht="15" customHeight="1">
      <c r="A22" s="829" t="s">
        <v>3338</v>
      </c>
      <c r="B22" s="828">
        <f>'Part IV-A-Uses of Funds'!$G$17</f>
        <v>0</v>
      </c>
      <c r="C22" s="829" t="s">
        <v>1710</v>
      </c>
      <c r="D22" s="828">
        <f>'Part IV-A-Uses of Funds'!$J$17+'Part IV-A-Uses of Funds'!$M$17+'Part IV-A-Uses of Funds'!$P$17</f>
        <v>0</v>
      </c>
      <c r="F22" s="3780"/>
      <c r="G22" s="822"/>
      <c r="H22" s="3780"/>
    </row>
    <row r="23" spans="1:8" s="2836" customFormat="1" ht="6" customHeight="1">
      <c r="A23" s="822"/>
      <c r="B23" s="823"/>
      <c r="C23" s="822"/>
      <c r="D23" s="822"/>
      <c r="F23" s="3781"/>
      <c r="G23" s="824"/>
      <c r="H23" s="3781"/>
    </row>
    <row r="24" spans="1:8" s="2836" customFormat="1">
      <c r="A24" s="830" t="s">
        <v>3337</v>
      </c>
      <c r="B24" s="822"/>
      <c r="C24" s="822"/>
      <c r="D24" s="822"/>
      <c r="E24" s="822"/>
      <c r="F24" s="822"/>
      <c r="G24" s="822"/>
    </row>
    <row r="25" spans="1:8" s="2836" customFormat="1" ht="41.25" customHeight="1">
      <c r="A25" s="3783" t="str">
        <f>'Part IV-A-Uses of Funds'!$C$46</f>
        <v>&lt;&lt; Enter description here; provide detail &amp; justification in tab Part IV-b &gt;&gt;</v>
      </c>
      <c r="B25" s="3784"/>
      <c r="C25" s="3784"/>
      <c r="D25" s="3785"/>
      <c r="E25" s="822"/>
      <c r="F25" s="3776"/>
      <c r="G25" s="822"/>
      <c r="H25" s="3776"/>
    </row>
    <row r="26" spans="1:8" s="2836" customFormat="1" ht="41.25" customHeight="1">
      <c r="A26" s="3773"/>
      <c r="B26" s="3774"/>
      <c r="C26" s="3774"/>
      <c r="D26" s="3775"/>
      <c r="E26" s="822"/>
      <c r="F26" s="3777"/>
      <c r="G26" s="822"/>
      <c r="H26" s="3777"/>
    </row>
    <row r="27" spans="1:8" s="2836" customFormat="1" ht="4.5" customHeight="1">
      <c r="A27" s="822"/>
      <c r="B27" s="822"/>
      <c r="C27" s="822"/>
      <c r="D27" s="822"/>
      <c r="E27" s="822"/>
      <c r="F27" s="3777"/>
      <c r="G27" s="822"/>
      <c r="H27" s="3777"/>
    </row>
    <row r="28" spans="1:8" s="2836" customFormat="1" ht="25.5">
      <c r="A28" s="829" t="s">
        <v>3338</v>
      </c>
      <c r="B28" s="828">
        <f>'Part IV-A-Uses of Funds'!$G$46</f>
        <v>0</v>
      </c>
      <c r="C28" s="829" t="s">
        <v>1710</v>
      </c>
      <c r="D28" s="828">
        <f>'Part IV-A-Uses of Funds'!$J$46+'Part IV-A-Uses of Funds'!$M$46+'Part IV-A-Uses of Funds'!$P$46</f>
        <v>0</v>
      </c>
      <c r="E28" s="822"/>
      <c r="F28" s="3777"/>
      <c r="G28" s="822"/>
      <c r="H28" s="3777"/>
    </row>
    <row r="29" spans="1:8" s="2836" customFormat="1" ht="6" customHeight="1">
      <c r="A29" s="822"/>
      <c r="B29" s="823"/>
      <c r="C29" s="822"/>
      <c r="D29" s="822"/>
      <c r="E29" s="822"/>
      <c r="F29" s="3778"/>
      <c r="G29" s="824"/>
      <c r="H29" s="3778"/>
    </row>
    <row r="30" spans="1:8" s="2836" customFormat="1">
      <c r="A30" s="830" t="s">
        <v>692</v>
      </c>
      <c r="B30" s="822"/>
      <c r="C30" s="822"/>
      <c r="D30" s="822"/>
      <c r="E30" s="822"/>
      <c r="F30" s="822"/>
      <c r="G30" s="822"/>
    </row>
    <row r="31" spans="1:8" s="2836" customFormat="1" ht="41.25" customHeight="1">
      <c r="A31" s="3770" t="str">
        <f>'Part IV-A-Uses of Funds'!$C$71</f>
        <v>RAD CNA Tool</v>
      </c>
      <c r="B31" s="3771"/>
      <c r="C31" s="3771"/>
      <c r="D31" s="3772"/>
      <c r="E31" s="822"/>
      <c r="F31" s="3779" t="s">
        <v>6958</v>
      </c>
      <c r="G31" s="822"/>
      <c r="H31" s="3779" t="s">
        <v>6959</v>
      </c>
    </row>
    <row r="32" spans="1:8" s="2836" customFormat="1" ht="41.25" customHeight="1">
      <c r="A32" s="3773"/>
      <c r="B32" s="3774"/>
      <c r="C32" s="3774"/>
      <c r="D32" s="3775"/>
      <c r="E32" s="822"/>
      <c r="F32" s="3780"/>
      <c r="G32" s="822"/>
      <c r="H32" s="3780"/>
    </row>
    <row r="33" spans="1:8" s="2836" customFormat="1" ht="4.5" customHeight="1">
      <c r="A33" s="822"/>
      <c r="B33" s="822"/>
      <c r="C33" s="822"/>
      <c r="D33" s="822"/>
      <c r="E33" s="822"/>
      <c r="F33" s="3780"/>
      <c r="G33" s="822"/>
      <c r="H33" s="3780"/>
    </row>
    <row r="34" spans="1:8" s="2836" customFormat="1" ht="14.25" customHeight="1">
      <c r="A34" s="829" t="s">
        <v>3338</v>
      </c>
      <c r="B34" s="828">
        <f>'Part IV-A-Uses of Funds'!$G$71</f>
        <v>10000</v>
      </c>
      <c r="C34" s="829" t="s">
        <v>1710</v>
      </c>
      <c r="D34" s="828">
        <f>'Part IV-A-Uses of Funds'!$J$71+'Part IV-A-Uses of Funds'!$M$71+'Part IV-A-Uses of Funds'!$P$71</f>
        <v>10000</v>
      </c>
      <c r="E34" s="822"/>
      <c r="F34" s="3780"/>
      <c r="G34" s="822"/>
      <c r="H34" s="3780"/>
    </row>
    <row r="35" spans="1:8" s="2836" customFormat="1" ht="6" customHeight="1">
      <c r="D35" s="822"/>
      <c r="E35" s="822"/>
      <c r="F35" s="3780"/>
      <c r="G35" s="824"/>
      <c r="H35" s="3780"/>
    </row>
    <row r="36" spans="1:8" s="2836" customFormat="1" ht="41.25" customHeight="1">
      <c r="A36" s="3770" t="str">
        <f>'Part IV-A-Uses of Funds'!$C$72</f>
        <v>Construction lender due diligence</v>
      </c>
      <c r="B36" s="3771"/>
      <c r="C36" s="3771"/>
      <c r="D36" s="3772"/>
      <c r="E36" s="822"/>
      <c r="F36" s="3780" t="s">
        <v>7024</v>
      </c>
      <c r="G36" s="822"/>
      <c r="H36" s="3779" t="s">
        <v>6959</v>
      </c>
    </row>
    <row r="37" spans="1:8" s="2836" customFormat="1" ht="41.25" customHeight="1">
      <c r="A37" s="3773"/>
      <c r="B37" s="3774"/>
      <c r="C37" s="3774"/>
      <c r="D37" s="3775"/>
      <c r="E37" s="822"/>
      <c r="F37" s="3780"/>
      <c r="G37" s="822"/>
      <c r="H37" s="3780"/>
    </row>
    <row r="38" spans="1:8" s="2836" customFormat="1" ht="4.5" customHeight="1">
      <c r="A38" s="822"/>
      <c r="B38" s="822"/>
      <c r="C38" s="822"/>
      <c r="D38" s="822"/>
      <c r="E38" s="822"/>
      <c r="F38" s="3780"/>
      <c r="G38" s="822"/>
      <c r="H38" s="3780"/>
    </row>
    <row r="39" spans="1:8" s="2836" customFormat="1" ht="14.25" customHeight="1">
      <c r="A39" s="829" t="s">
        <v>3338</v>
      </c>
      <c r="B39" s="828">
        <f>'Part IV-A-Uses of Funds'!$G$72</f>
        <v>15000</v>
      </c>
      <c r="C39" s="829" t="s">
        <v>1710</v>
      </c>
      <c r="D39" s="828">
        <f>'Part IV-A-Uses of Funds'!$J$72+'Part IV-A-Uses of Funds'!$M$72+'Part IV-A-Uses of Funds'!$P$72</f>
        <v>15000</v>
      </c>
      <c r="E39" s="822"/>
      <c r="F39" s="3780"/>
      <c r="G39" s="822"/>
      <c r="H39" s="3780"/>
    </row>
    <row r="40" spans="1:8" s="2836" customFormat="1" ht="6" customHeight="1">
      <c r="D40" s="822"/>
      <c r="E40" s="822"/>
      <c r="F40" s="3781"/>
      <c r="G40" s="824"/>
      <c r="H40" s="3780"/>
    </row>
    <row r="41" spans="1:8" s="2836" customFormat="1">
      <c r="A41" s="830" t="s">
        <v>456</v>
      </c>
      <c r="B41" s="822"/>
      <c r="C41" s="822"/>
      <c r="D41" s="822"/>
      <c r="E41" s="826"/>
      <c r="F41" s="826"/>
      <c r="G41" s="822"/>
    </row>
    <row r="42" spans="1:8" s="2836" customFormat="1" ht="41.25" customHeight="1">
      <c r="A42" s="3770" t="str">
        <f>'Part IV-A-Uses of Funds'!$C$85</f>
        <v>Landscape Architect</v>
      </c>
      <c r="B42" s="3771"/>
      <c r="C42" s="3771"/>
      <c r="D42" s="3772"/>
      <c r="F42" s="3776" t="s">
        <v>6960</v>
      </c>
      <c r="G42" s="822"/>
      <c r="H42" s="3776" t="s">
        <v>7031</v>
      </c>
    </row>
    <row r="43" spans="1:8" s="2836" customFormat="1" ht="41.25" customHeight="1">
      <c r="A43" s="3773"/>
      <c r="B43" s="3774"/>
      <c r="C43" s="3774"/>
      <c r="D43" s="3775"/>
      <c r="E43" s="822"/>
      <c r="F43" s="3777"/>
      <c r="G43" s="822"/>
      <c r="H43" s="3777"/>
    </row>
    <row r="44" spans="1:8" s="2836" customFormat="1" ht="4.5" customHeight="1">
      <c r="A44" s="822"/>
      <c r="B44" s="822"/>
      <c r="C44" s="822"/>
      <c r="D44" s="822"/>
      <c r="E44" s="822"/>
      <c r="F44" s="3777"/>
      <c r="G44" s="822"/>
      <c r="H44" s="3777"/>
    </row>
    <row r="45" spans="1:8" s="2836" customFormat="1" ht="13.5" customHeight="1">
      <c r="A45" s="829" t="s">
        <v>3338</v>
      </c>
      <c r="B45" s="828">
        <f>'Part IV-A-Uses of Funds'!$G$85</f>
        <v>20000</v>
      </c>
      <c r="C45" s="829" t="s">
        <v>1710</v>
      </c>
      <c r="D45" s="828">
        <f>'Part IV-A-Uses of Funds'!$J$85+'Part IV-A-Uses of Funds'!$M$85+'Part IV-A-Uses of Funds'!$P$85</f>
        <v>20000</v>
      </c>
      <c r="E45" s="822"/>
      <c r="F45" s="3777"/>
      <c r="G45" s="822"/>
      <c r="H45" s="3777"/>
    </row>
    <row r="46" spans="1:8" s="2836" customFormat="1" ht="6" customHeight="1">
      <c r="A46" s="822"/>
      <c r="B46" s="823"/>
      <c r="C46" s="822"/>
      <c r="D46" s="822"/>
      <c r="E46" s="822"/>
      <c r="F46" s="3778"/>
      <c r="G46" s="824"/>
      <c r="H46" s="3778"/>
    </row>
    <row r="47" spans="1:8" s="2836" customFormat="1">
      <c r="A47" s="830" t="s">
        <v>694</v>
      </c>
      <c r="B47" s="822"/>
      <c r="C47" s="822"/>
      <c r="D47" s="822"/>
      <c r="E47" s="822"/>
      <c r="F47" s="822"/>
      <c r="G47" s="822"/>
    </row>
    <row r="48" spans="1:8" s="2836" customFormat="1" ht="41.25" customHeight="1">
      <c r="A48" s="3770" t="str">
        <f>'Part IV-A-Uses of Funds'!$C$102</f>
        <v>&lt;&lt; Enter description here; provide detail &amp; justification in tab Part IV-b &gt;&gt;</v>
      </c>
      <c r="B48" s="3771"/>
      <c r="C48" s="3771"/>
      <c r="D48" s="3772"/>
      <c r="F48" s="3776"/>
      <c r="G48" s="822"/>
    </row>
    <row r="49" spans="1:7" s="2836" customFormat="1" ht="41.25" customHeight="1">
      <c r="A49" s="3773"/>
      <c r="B49" s="3774"/>
      <c r="C49" s="3774"/>
      <c r="D49" s="3775"/>
      <c r="E49" s="822"/>
      <c r="F49" s="3777"/>
      <c r="G49" s="822"/>
    </row>
    <row r="50" spans="1:7" s="2836" customFormat="1" ht="3" customHeight="1">
      <c r="A50" s="822"/>
      <c r="B50" s="822"/>
      <c r="C50" s="822"/>
      <c r="D50" s="822"/>
      <c r="E50" s="822"/>
      <c r="F50" s="3777"/>
      <c r="G50" s="822"/>
    </row>
    <row r="51" spans="1:7" s="2836" customFormat="1" ht="13.5" customHeight="1">
      <c r="A51" s="829" t="s">
        <v>3338</v>
      </c>
      <c r="B51" s="828">
        <f>'Part IV-A-Uses of Funds'!$G$102</f>
        <v>0</v>
      </c>
      <c r="C51" s="825"/>
      <c r="D51" s="825"/>
      <c r="E51" s="822"/>
      <c r="F51" s="3777"/>
      <c r="G51" s="822"/>
    </row>
    <row r="52" spans="1:7" s="2836" customFormat="1" ht="3.75" customHeight="1">
      <c r="A52" s="822"/>
      <c r="B52" s="822"/>
      <c r="C52" s="822"/>
      <c r="D52" s="822"/>
      <c r="E52" s="822"/>
      <c r="F52" s="3778"/>
      <c r="G52" s="824"/>
    </row>
    <row r="53" spans="1:7" s="2836" customFormat="1">
      <c r="A53" s="830" t="s">
        <v>3339</v>
      </c>
      <c r="B53" s="822"/>
      <c r="C53" s="822"/>
      <c r="D53" s="822"/>
      <c r="E53" s="822"/>
      <c r="F53" s="822"/>
      <c r="G53" s="822"/>
    </row>
    <row r="54" spans="1:7" s="2836" customFormat="1" ht="41.25" customHeight="1">
      <c r="A54" s="3770" t="str">
        <f>'Part IV-A-Uses of Funds'!$C$112</f>
        <v>&lt;&lt; Enter description here; provide detail &amp; justification in tab Part IV-b &gt;&gt;</v>
      </c>
      <c r="B54" s="3771"/>
      <c r="C54" s="3771"/>
      <c r="D54" s="3772"/>
      <c r="F54" s="3779"/>
      <c r="G54" s="822"/>
    </row>
    <row r="55" spans="1:7" s="2836" customFormat="1" ht="41.25" customHeight="1">
      <c r="A55" s="3773"/>
      <c r="B55" s="3774"/>
      <c r="C55" s="3774"/>
      <c r="D55" s="3775"/>
      <c r="E55" s="822"/>
      <c r="F55" s="3780"/>
      <c r="G55" s="822"/>
    </row>
    <row r="56" spans="1:7" s="2836" customFormat="1" ht="3" customHeight="1">
      <c r="A56" s="822"/>
      <c r="B56" s="822"/>
      <c r="C56" s="822"/>
      <c r="D56" s="822"/>
      <c r="E56" s="822"/>
      <c r="F56" s="3780"/>
      <c r="G56" s="822"/>
    </row>
    <row r="57" spans="1:7" s="2836" customFormat="1" ht="25.5">
      <c r="A57" s="829" t="s">
        <v>3338</v>
      </c>
      <c r="B57" s="828">
        <f>'Part IV-A-Uses of Funds'!$G$112</f>
        <v>0</v>
      </c>
      <c r="C57" s="825"/>
      <c r="D57" s="825"/>
      <c r="E57" s="822"/>
      <c r="F57" s="3780"/>
      <c r="G57" s="822"/>
    </row>
    <row r="58" spans="1:7" s="2836" customFormat="1" ht="3.75" customHeight="1">
      <c r="A58" s="821"/>
      <c r="B58" s="821"/>
      <c r="C58" s="821"/>
      <c r="D58" s="821"/>
      <c r="E58" s="821"/>
      <c r="F58" s="3780"/>
      <c r="G58" s="824"/>
    </row>
    <row r="59" spans="1:7" s="2836" customFormat="1" ht="41.25" customHeight="1">
      <c r="A59" s="3770" t="str">
        <f>'Part IV-A-Uses of Funds'!$C$113</f>
        <v>&lt;&lt; Enter description here; provide detail &amp; justification in tab Part IV-b &gt;&gt;</v>
      </c>
      <c r="B59" s="3771"/>
      <c r="C59" s="3771"/>
      <c r="D59" s="3772"/>
      <c r="F59" s="3780"/>
      <c r="G59" s="822"/>
    </row>
    <row r="60" spans="1:7" s="2836" customFormat="1" ht="41.25" customHeight="1">
      <c r="A60" s="3773"/>
      <c r="B60" s="3774"/>
      <c r="C60" s="3774"/>
      <c r="D60" s="3775"/>
      <c r="E60" s="822"/>
      <c r="F60" s="3780"/>
      <c r="G60" s="822"/>
    </row>
    <row r="61" spans="1:7" s="2836" customFormat="1" ht="3" customHeight="1">
      <c r="A61" s="822"/>
      <c r="B61" s="822"/>
      <c r="C61" s="822"/>
      <c r="D61" s="822"/>
      <c r="E61" s="822"/>
      <c r="F61" s="3780"/>
      <c r="G61" s="822"/>
    </row>
    <row r="62" spans="1:7" s="2836" customFormat="1" ht="25.5">
      <c r="A62" s="829" t="s">
        <v>3338</v>
      </c>
      <c r="B62" s="828">
        <f>'Part IV-A-Uses of Funds'!$G$113</f>
        <v>0</v>
      </c>
      <c r="C62" s="825"/>
      <c r="D62" s="825"/>
      <c r="E62" s="822"/>
      <c r="F62" s="3780"/>
      <c r="G62" s="822"/>
    </row>
    <row r="63" spans="1:7" s="2836" customFormat="1" ht="3.75" customHeight="1">
      <c r="A63" s="821"/>
      <c r="B63" s="821"/>
      <c r="C63" s="821"/>
      <c r="D63" s="821"/>
      <c r="E63" s="821"/>
      <c r="F63" s="3781"/>
      <c r="G63" s="824"/>
    </row>
    <row r="64" spans="1:7" s="2836" customFormat="1">
      <c r="A64" s="830" t="s">
        <v>3340</v>
      </c>
      <c r="B64" s="822"/>
      <c r="C64" s="822"/>
      <c r="D64" s="822"/>
      <c r="E64" s="822"/>
      <c r="F64" s="822"/>
      <c r="G64" s="822"/>
    </row>
    <row r="65" spans="1:8" s="2836" customFormat="1" ht="41.25" customHeight="1">
      <c r="A65" s="3770" t="str">
        <f>'Part IV-A-Uses of Funds'!$C$119</f>
        <v>Syndicator Due Diligence Fees</v>
      </c>
      <c r="B65" s="3771"/>
      <c r="C65" s="3771"/>
      <c r="D65" s="3772"/>
      <c r="F65" s="3782" t="s">
        <v>6961</v>
      </c>
      <c r="G65" s="822"/>
    </row>
    <row r="66" spans="1:8" s="2836" customFormat="1" ht="41.25" customHeight="1">
      <c r="A66" s="3773"/>
      <c r="B66" s="3774"/>
      <c r="C66" s="3774"/>
      <c r="D66" s="3775"/>
      <c r="E66" s="822"/>
      <c r="F66" s="3777"/>
      <c r="G66" s="822"/>
    </row>
    <row r="67" spans="1:8" s="2836" customFormat="1" ht="3" customHeight="1">
      <c r="A67" s="822"/>
      <c r="B67" s="822"/>
      <c r="C67" s="822"/>
      <c r="D67" s="822"/>
      <c r="E67" s="822"/>
      <c r="F67" s="3777"/>
      <c r="G67" s="822"/>
    </row>
    <row r="68" spans="1:8" s="2836" customFormat="1" ht="25.5">
      <c r="A68" s="829" t="s">
        <v>3338</v>
      </c>
      <c r="B68" s="828">
        <f>'Part IV-A-Uses of Funds'!$G$119</f>
        <v>40000</v>
      </c>
      <c r="C68" s="825"/>
      <c r="D68" s="825"/>
      <c r="E68" s="822"/>
      <c r="F68" s="3777"/>
      <c r="G68" s="822"/>
    </row>
    <row r="69" spans="1:8" s="2836" customFormat="1" ht="3.75" customHeight="1">
      <c r="A69" s="822"/>
      <c r="B69" s="823"/>
      <c r="C69" s="822"/>
      <c r="D69" s="822"/>
      <c r="E69" s="822"/>
      <c r="F69" s="3778"/>
      <c r="G69" s="824"/>
    </row>
    <row r="70" spans="1:8" s="2836" customFormat="1">
      <c r="A70" s="830" t="s">
        <v>1260</v>
      </c>
      <c r="B70" s="822"/>
      <c r="C70" s="822"/>
      <c r="D70" s="822"/>
      <c r="E70" s="822"/>
      <c r="F70" s="822"/>
      <c r="G70" s="822"/>
    </row>
    <row r="71" spans="1:8" s="2836" customFormat="1" ht="41.25" customHeight="1">
      <c r="A71" s="3770" t="str">
        <f>'Part IV-A-Uses of Funds'!$C$134</f>
        <v>&lt;&lt; Enter description here; provide detail &amp; justification in tab Part IV-b &gt;&gt;</v>
      </c>
      <c r="B71" s="3771"/>
      <c r="C71" s="3771"/>
      <c r="D71" s="3772"/>
      <c r="F71" s="3776"/>
      <c r="G71" s="822"/>
      <c r="H71" s="3776"/>
    </row>
    <row r="72" spans="1:8" s="2836" customFormat="1" ht="41.25" customHeight="1">
      <c r="A72" s="3773"/>
      <c r="B72" s="3774"/>
      <c r="C72" s="3774"/>
      <c r="D72" s="3775"/>
      <c r="E72" s="822"/>
      <c r="F72" s="3777"/>
      <c r="G72" s="822"/>
      <c r="H72" s="3777"/>
    </row>
    <row r="73" spans="1:8" s="2836" customFormat="1" ht="4.5" customHeight="1">
      <c r="A73" s="822"/>
      <c r="B73" s="822"/>
      <c r="C73" s="822"/>
      <c r="D73" s="822"/>
      <c r="E73" s="822"/>
      <c r="F73" s="3777"/>
      <c r="G73" s="822"/>
      <c r="H73" s="3777"/>
    </row>
    <row r="74" spans="1:8" s="2836" customFormat="1" ht="12.75" customHeight="1">
      <c r="A74" s="829" t="s">
        <v>3338</v>
      </c>
      <c r="B74" s="828">
        <f>'Part IV-A-Uses of Funds'!$G$134</f>
        <v>0</v>
      </c>
      <c r="C74" s="829" t="s">
        <v>1710</v>
      </c>
      <c r="D74" s="828">
        <f>'Part IV-A-Uses of Funds'!$J$134+'Part IV-A-Uses of Funds'!$M$134+'Part IV-A-Uses of Funds'!$P$134</f>
        <v>0</v>
      </c>
      <c r="E74" s="822"/>
      <c r="F74" s="3777"/>
      <c r="G74" s="822"/>
      <c r="H74" s="3777"/>
    </row>
    <row r="75" spans="1:8" s="2836" customFormat="1" ht="6" customHeight="1">
      <c r="A75" s="822"/>
      <c r="B75" s="823"/>
      <c r="C75" s="822"/>
      <c r="D75" s="822"/>
      <c r="E75" s="822"/>
      <c r="F75" s="3778"/>
      <c r="G75" s="824"/>
      <c r="H75" s="3778"/>
    </row>
    <row r="76" spans="1:8" s="2836" customFormat="1">
      <c r="A76" s="830" t="s">
        <v>3341</v>
      </c>
      <c r="B76" s="823"/>
      <c r="C76" s="822"/>
      <c r="D76" s="822"/>
      <c r="E76" s="822"/>
      <c r="F76" s="822"/>
      <c r="G76" s="824"/>
    </row>
    <row r="77" spans="1:8" s="2836" customFormat="1" ht="41.25" customHeight="1">
      <c r="A77" s="3770" t="str">
        <f>'Part IV-A-Uses of Funds'!$C$143</f>
        <v>&lt;&lt; Enter description here; provide detail &amp; justification in tab Part IV-b &gt;&gt;</v>
      </c>
      <c r="B77" s="3771"/>
      <c r="C77" s="3771"/>
      <c r="D77" s="3772"/>
      <c r="F77" s="3776"/>
      <c r="G77" s="822"/>
      <c r="H77" s="3776"/>
    </row>
    <row r="78" spans="1:8" s="2836" customFormat="1" ht="41.25" customHeight="1">
      <c r="A78" s="3773"/>
      <c r="B78" s="3774"/>
      <c r="C78" s="3774"/>
      <c r="D78" s="3775"/>
      <c r="E78" s="822"/>
      <c r="F78" s="3777"/>
      <c r="G78" s="822"/>
      <c r="H78" s="3777"/>
    </row>
    <row r="79" spans="1:8" s="2836" customFormat="1" ht="4.5" customHeight="1">
      <c r="A79" s="822"/>
      <c r="B79" s="822"/>
      <c r="C79" s="822"/>
      <c r="D79" s="822"/>
      <c r="E79" s="822"/>
      <c r="F79" s="3777"/>
      <c r="G79" s="822"/>
      <c r="H79" s="3777"/>
    </row>
    <row r="80" spans="1:8" s="2836" customFormat="1" ht="12.75" customHeight="1">
      <c r="A80" s="829" t="s">
        <v>3338</v>
      </c>
      <c r="B80" s="828">
        <f>'Part IV-A-Uses of Funds'!$G$143</f>
        <v>0</v>
      </c>
      <c r="C80" s="829" t="s">
        <v>1710</v>
      </c>
      <c r="D80" s="828">
        <f>'Part IV-A-Uses of Funds'!$J$143+'Part IV-A-Uses of Funds'!$M$143+'Part IV-A-Uses of Funds'!$P$143</f>
        <v>0</v>
      </c>
      <c r="E80" s="827"/>
      <c r="F80" s="3777"/>
      <c r="G80" s="822"/>
      <c r="H80" s="3777"/>
    </row>
    <row r="81" spans="4:8" s="2836" customFormat="1" ht="6" customHeight="1">
      <c r="D81" s="2837"/>
      <c r="E81" s="2838"/>
      <c r="F81" s="3778"/>
      <c r="G81" s="824"/>
      <c r="H81" s="3778"/>
    </row>
    <row r="82" spans="4:8" s="2836" customFormat="1"/>
    <row r="83" spans="4:8" s="2836" customFormat="1"/>
    <row r="84" spans="4:8" s="2836" customFormat="1"/>
    <row r="85" spans="4:8" s="2836" customFormat="1"/>
    <row r="86" spans="4:8" s="2836" customFormat="1"/>
    <row r="87" spans="4:8" s="2836" customFormat="1"/>
    <row r="88" spans="4:8" s="2836" customFormat="1"/>
    <row r="89" spans="4:8" s="2836" customFormat="1"/>
    <row r="90" spans="4:8" s="2836" customFormat="1"/>
    <row r="91" spans="4:8" s="2836" customFormat="1"/>
    <row r="92" spans="4:8" s="2836" customFormat="1"/>
  </sheetData>
  <sheetProtection algorithmName="SHA-512" hashValue="x2gB2vh7Y0MlkSBCEI/1j9bzuVl9L+hAfFaD3GW73YhYa4OyKuk7gEPCUYfwBQ6AQDtbcQ1MGx2Ma5iDtuR7QQ==" saltValue="nX9fxpr15zZu5YuY+Rv/vQ==" spinCount="100000" sheet="1" objects="1" scenarios="1" selectLockedCells="1" selectUnlockedCells="1"/>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topLeftCell="A8" zoomScaleNormal="100" workbookViewId="0">
      <selection activeCell="A8" sqref="A1:XFD1048576"/>
    </sheetView>
  </sheetViews>
  <sheetFormatPr defaultColWidth="8.85546875" defaultRowHeight="12.75"/>
  <cols>
    <col min="1" max="1" width="2.140625" style="27" customWidth="1"/>
    <col min="2" max="3" width="8.85546875" style="27"/>
    <col min="4" max="4" width="12.85546875" style="27" customWidth="1"/>
    <col min="5" max="5" width="9.42578125" style="27" customWidth="1"/>
    <col min="6" max="7" width="9.85546875" style="27" customWidth="1"/>
    <col min="8" max="8" width="8.140625" style="27" customWidth="1"/>
    <col min="9" max="13" width="10.85546875" style="27" customWidth="1"/>
    <col min="14" max="14" width="3" style="27" customWidth="1"/>
    <col min="15" max="17" width="8.85546875" style="27"/>
    <col min="18" max="18" width="8.85546875" style="27" customWidth="1"/>
    <col min="19" max="16384" width="8.85546875" style="27"/>
  </cols>
  <sheetData>
    <row r="1" spans="1:25" s="8" customFormat="1" ht="14.1" customHeight="1">
      <c r="A1" s="3824" t="str">
        <f>CONCATENATE("PART FIVE - UTILITY ALLOWANCES","  -  ",'Part I-Project Information'!$O$7," ",'Part I-Project Information'!$F$35,", ",'Part I-Project Information'!F39,", ",'Part I-Project Information'!J40," County")</f>
        <v>PART FIVE - UTILITY ALLOWANCES  -  2021-067 West Point Village Phase II, West Point, Troup County</v>
      </c>
      <c r="B1" s="3825"/>
      <c r="C1" s="3825"/>
      <c r="D1" s="3825"/>
      <c r="E1" s="3825"/>
      <c r="F1" s="3825"/>
      <c r="G1" s="3825"/>
      <c r="H1" s="3825"/>
      <c r="I1" s="3825"/>
      <c r="J1" s="3825"/>
      <c r="K1" s="3825"/>
      <c r="L1" s="3825"/>
      <c r="M1" s="3825"/>
      <c r="N1" s="10"/>
      <c r="O1" s="10"/>
      <c r="P1" s="10"/>
      <c r="Q1" s="10"/>
      <c r="R1" s="16"/>
      <c r="S1" s="16"/>
      <c r="T1" s="16"/>
    </row>
    <row r="2" spans="1:25" s="8" customFormat="1" ht="7.5" customHeight="1"/>
    <row r="3" spans="1:25" s="8" customFormat="1" ht="12.75" customHeight="1">
      <c r="B3" s="3827" t="str">
        <f>'Part I-Project Information'!$B$7</f>
        <v>2021 Core App
May 10 Rev</v>
      </c>
      <c r="C3" s="3827"/>
      <c r="D3" s="3827"/>
      <c r="E3" s="3827"/>
      <c r="F3" s="4" t="s">
        <v>3825</v>
      </c>
      <c r="I3" s="2650" t="str">
        <f>VLOOKUP('Part I-Project Information'!$J$40,'DCA Underwriting Assumptions'!$G$174:$H$333,2)</f>
        <v>South</v>
      </c>
    </row>
    <row r="4" spans="1:25" s="8" customFormat="1" ht="6" customHeight="1" thickBot="1"/>
    <row r="5" spans="1:25">
      <c r="A5" s="249" t="s">
        <v>6833</v>
      </c>
      <c r="O5" s="3792" t="s">
        <v>6832</v>
      </c>
      <c r="P5" s="3793"/>
      <c r="Q5" s="3793"/>
      <c r="R5" s="3793"/>
      <c r="S5" s="3793"/>
      <c r="T5" s="3793"/>
      <c r="U5" s="3794"/>
      <c r="V5" s="474"/>
      <c r="W5" s="474"/>
      <c r="X5" s="474"/>
      <c r="Y5" s="474"/>
    </row>
    <row r="6" spans="1:25" ht="6" customHeight="1">
      <c r="A6" s="8"/>
      <c r="O6" s="3795"/>
      <c r="P6" s="3796"/>
      <c r="Q6" s="3796"/>
      <c r="R6" s="3796"/>
      <c r="S6" s="3796"/>
      <c r="T6" s="3796"/>
      <c r="U6" s="3797"/>
      <c r="V6" s="474"/>
      <c r="W6" s="474"/>
      <c r="X6" s="474"/>
      <c r="Y6" s="474"/>
    </row>
    <row r="7" spans="1:25" s="8" customFormat="1" ht="13.5" customHeight="1">
      <c r="A7" s="13" t="s">
        <v>586</v>
      </c>
      <c r="B7" s="13" t="s">
        <v>2125</v>
      </c>
      <c r="F7" s="1" t="s">
        <v>2400</v>
      </c>
      <c r="G7" s="1"/>
      <c r="H7" s="1"/>
      <c r="I7" s="3817" t="s">
        <v>7037</v>
      </c>
      <c r="J7" s="3818"/>
      <c r="K7" s="3818"/>
      <c r="L7" s="3818"/>
      <c r="M7" s="3819"/>
      <c r="O7" s="3795"/>
      <c r="P7" s="3796"/>
      <c r="Q7" s="3796"/>
      <c r="R7" s="3796"/>
      <c r="S7" s="3796"/>
      <c r="T7" s="3796"/>
      <c r="U7" s="3797"/>
      <c r="V7" s="474"/>
      <c r="W7" s="474"/>
      <c r="X7" s="474"/>
      <c r="Y7" s="474"/>
    </row>
    <row r="8" spans="1:25" s="8" customFormat="1" ht="13.35" customHeight="1">
      <c r="A8" s="13"/>
      <c r="F8" s="1" t="s">
        <v>606</v>
      </c>
      <c r="G8" s="1"/>
      <c r="H8" s="33"/>
      <c r="I8" s="3826">
        <v>44329</v>
      </c>
      <c r="J8" s="3821"/>
      <c r="K8" s="6" t="s">
        <v>514</v>
      </c>
      <c r="L8" s="3822" t="s">
        <v>6596</v>
      </c>
      <c r="M8" s="3823"/>
      <c r="O8" s="3795"/>
      <c r="P8" s="3796"/>
      <c r="Q8" s="3796"/>
      <c r="R8" s="3796"/>
      <c r="S8" s="3796"/>
      <c r="T8" s="3796"/>
      <c r="U8" s="3797"/>
      <c r="V8" s="474"/>
      <c r="W8" s="474"/>
      <c r="X8" s="474"/>
      <c r="Y8" s="474"/>
    </row>
    <row r="9" spans="1:25" s="8" customFormat="1" ht="4.5" customHeight="1">
      <c r="A9" s="13"/>
      <c r="O9" s="3795"/>
      <c r="P9" s="3796"/>
      <c r="Q9" s="3796"/>
      <c r="R9" s="3796"/>
      <c r="S9" s="3796"/>
      <c r="T9" s="3796"/>
      <c r="U9" s="3797"/>
      <c r="V9" s="474"/>
      <c r="W9" s="474"/>
      <c r="X9" s="474"/>
      <c r="Y9" s="474"/>
    </row>
    <row r="10" spans="1:25" s="13" customFormat="1" ht="13.5" customHeight="1">
      <c r="B10" s="243"/>
      <c r="C10" s="243"/>
      <c r="D10" s="243"/>
      <c r="E10" s="243"/>
      <c r="F10" s="3808" t="s">
        <v>580</v>
      </c>
      <c r="G10" s="3808"/>
      <c r="I10" s="3809" t="s">
        <v>192</v>
      </c>
      <c r="J10" s="3809"/>
      <c r="K10" s="3809"/>
      <c r="L10" s="3809"/>
      <c r="M10" s="3809"/>
      <c r="O10" s="3795"/>
      <c r="P10" s="3796"/>
      <c r="Q10" s="3796"/>
      <c r="R10" s="3796"/>
      <c r="S10" s="3796"/>
      <c r="T10" s="3796"/>
      <c r="U10" s="3797"/>
    </row>
    <row r="11" spans="1:25" s="13" customFormat="1" ht="13.5" customHeight="1">
      <c r="B11" s="243" t="s">
        <v>765</v>
      </c>
      <c r="D11" s="243" t="s">
        <v>1533</v>
      </c>
      <c r="F11" s="2646" t="s">
        <v>612</v>
      </c>
      <c r="G11" s="2646" t="s">
        <v>1763</v>
      </c>
      <c r="I11" s="244" t="s">
        <v>539</v>
      </c>
      <c r="J11" s="245">
        <v>1</v>
      </c>
      <c r="K11" s="245">
        <v>2</v>
      </c>
      <c r="L11" s="245">
        <v>3</v>
      </c>
      <c r="M11" s="245">
        <v>4</v>
      </c>
      <c r="O11" s="3795"/>
      <c r="P11" s="3796"/>
      <c r="Q11" s="3796"/>
      <c r="R11" s="3796"/>
      <c r="S11" s="3796"/>
      <c r="T11" s="3796"/>
      <c r="U11" s="3797"/>
    </row>
    <row r="12" spans="1:25" s="8" customFormat="1" ht="12" customHeight="1" thickBot="1">
      <c r="B12" s="1346" t="s">
        <v>1765</v>
      </c>
      <c r="C12" s="1347"/>
      <c r="D12" s="3810" t="s">
        <v>6953</v>
      </c>
      <c r="E12" s="3811"/>
      <c r="F12" s="2839" t="s">
        <v>422</v>
      </c>
      <c r="G12" s="2839"/>
      <c r="H12" s="908"/>
      <c r="I12" s="2840"/>
      <c r="J12" s="2840"/>
      <c r="K12" s="2840">
        <v>5</v>
      </c>
      <c r="L12" s="2840">
        <v>6</v>
      </c>
      <c r="M12" s="2840"/>
      <c r="O12" s="3798"/>
      <c r="P12" s="3799"/>
      <c r="Q12" s="3799"/>
      <c r="R12" s="3799"/>
      <c r="S12" s="3799"/>
      <c r="T12" s="3799"/>
      <c r="U12" s="3800"/>
    </row>
    <row r="13" spans="1:25" s="8" customFormat="1" ht="12" customHeight="1">
      <c r="B13" s="1348" t="s">
        <v>1531</v>
      </c>
      <c r="C13" s="1349"/>
      <c r="D13" s="3812" t="s">
        <v>1530</v>
      </c>
      <c r="E13" s="3813"/>
      <c r="F13" s="2841" t="s">
        <v>422</v>
      </c>
      <c r="G13" s="2841"/>
      <c r="H13" s="907"/>
      <c r="I13" s="2842"/>
      <c r="J13" s="2842"/>
      <c r="K13" s="2842">
        <v>9</v>
      </c>
      <c r="L13" s="2843">
        <v>11</v>
      </c>
      <c r="M13" s="2843"/>
      <c r="O13" s="3801" t="s">
        <v>3411</v>
      </c>
      <c r="P13" s="3801"/>
      <c r="Q13" s="3801"/>
    </row>
    <row r="14" spans="1:25" s="8" customFormat="1" ht="12" customHeight="1">
      <c r="B14" s="1350" t="s">
        <v>1532</v>
      </c>
      <c r="C14" s="1351"/>
      <c r="D14" s="3812" t="s">
        <v>1530</v>
      </c>
      <c r="E14" s="3813"/>
      <c r="F14" s="2841" t="s">
        <v>422</v>
      </c>
      <c r="G14" s="2841"/>
      <c r="H14" s="246"/>
      <c r="I14" s="2842"/>
      <c r="J14" s="2842"/>
      <c r="K14" s="2842">
        <v>18</v>
      </c>
      <c r="L14" s="2843">
        <v>23</v>
      </c>
      <c r="M14" s="2843"/>
      <c r="O14" s="3801"/>
      <c r="P14" s="3801"/>
      <c r="Q14" s="3801"/>
    </row>
    <row r="15" spans="1:25" s="8" customFormat="1" ht="12" customHeight="1">
      <c r="B15" s="1352" t="s">
        <v>447</v>
      </c>
      <c r="C15" s="1353"/>
      <c r="D15" s="1352" t="s">
        <v>1530</v>
      </c>
      <c r="E15" s="247"/>
      <c r="F15" s="2841" t="s">
        <v>422</v>
      </c>
      <c r="G15" s="2841"/>
      <c r="H15" s="906"/>
      <c r="I15" s="2842"/>
      <c r="J15" s="2842"/>
      <c r="K15" s="2842">
        <v>12</v>
      </c>
      <c r="L15" s="2843">
        <v>16</v>
      </c>
      <c r="M15" s="2843"/>
      <c r="O15" s="3801"/>
      <c r="P15" s="3801"/>
      <c r="Q15" s="3801"/>
    </row>
    <row r="16" spans="1:25" s="8" customFormat="1" ht="12" customHeight="1">
      <c r="B16" s="1354" t="s">
        <v>3405</v>
      </c>
      <c r="C16" s="1349"/>
      <c r="D16" s="1348" t="s">
        <v>1530</v>
      </c>
      <c r="E16" s="905"/>
      <c r="F16" s="2841"/>
      <c r="G16" s="2841"/>
      <c r="H16" s="907"/>
      <c r="I16" s="2842"/>
      <c r="J16" s="2842"/>
      <c r="K16" s="2842"/>
      <c r="L16" s="2843"/>
      <c r="M16" s="2843"/>
      <c r="O16" s="3801"/>
      <c r="P16" s="3801"/>
      <c r="Q16" s="3801"/>
    </row>
    <row r="17" spans="1:25" s="8" customFormat="1" ht="12" customHeight="1">
      <c r="B17" s="1354" t="s">
        <v>3406</v>
      </c>
      <c r="C17" s="1349"/>
      <c r="D17" s="1348" t="s">
        <v>1530</v>
      </c>
      <c r="E17" s="905"/>
      <c r="F17" s="2841"/>
      <c r="G17" s="2841"/>
      <c r="H17" s="907"/>
      <c r="I17" s="2842"/>
      <c r="J17" s="2842"/>
      <c r="K17" s="2842"/>
      <c r="L17" s="2843"/>
      <c r="M17" s="2843"/>
      <c r="O17" s="3801"/>
      <c r="P17" s="3801"/>
      <c r="Q17" s="3801"/>
    </row>
    <row r="18" spans="1:25" s="8" customFormat="1" ht="12" customHeight="1">
      <c r="B18" s="1355" t="s">
        <v>3407</v>
      </c>
      <c r="C18" s="1351"/>
      <c r="D18" s="1350" t="s">
        <v>1530</v>
      </c>
      <c r="E18" s="905"/>
      <c r="F18" s="2841" t="s">
        <v>422</v>
      </c>
      <c r="G18" s="2841"/>
      <c r="H18" s="246"/>
      <c r="I18" s="2842"/>
      <c r="J18" s="2842"/>
      <c r="K18" s="2842">
        <v>27</v>
      </c>
      <c r="L18" s="2843">
        <v>33</v>
      </c>
      <c r="M18" s="2843"/>
      <c r="O18" s="3801"/>
      <c r="P18" s="3801"/>
      <c r="Q18" s="3801"/>
    </row>
    <row r="19" spans="1:25" s="8" customFormat="1" ht="12" customHeight="1">
      <c r="B19" s="1352" t="s">
        <v>1321</v>
      </c>
      <c r="C19" s="1353"/>
      <c r="D19" s="1358" t="s">
        <v>3196</v>
      </c>
      <c r="E19" s="2844" t="s">
        <v>2768</v>
      </c>
      <c r="F19" s="2841" t="s">
        <v>422</v>
      </c>
      <c r="G19" s="2841"/>
      <c r="H19" s="906"/>
      <c r="I19" s="2842"/>
      <c r="J19" s="2842"/>
      <c r="K19" s="2842">
        <v>50</v>
      </c>
      <c r="L19" s="2843">
        <v>60</v>
      </c>
      <c r="M19" s="2843"/>
      <c r="O19" s="3801"/>
      <c r="P19" s="3801"/>
      <c r="Q19" s="3801"/>
    </row>
    <row r="20" spans="1:25" s="8" customFormat="1" ht="12" customHeight="1">
      <c r="B20" s="1356" t="s">
        <v>1764</v>
      </c>
      <c r="C20" s="1357"/>
      <c r="D20" s="248"/>
      <c r="E20" s="220"/>
      <c r="F20" s="2841"/>
      <c r="G20" s="2841" t="s">
        <v>422</v>
      </c>
      <c r="H20" s="907"/>
      <c r="I20" s="2842"/>
      <c r="J20" s="2842"/>
      <c r="K20" s="2842"/>
      <c r="L20" s="2843"/>
      <c r="M20" s="2843"/>
      <c r="O20" s="3801"/>
      <c r="P20" s="3801"/>
      <c r="Q20" s="3801"/>
    </row>
    <row r="21" spans="1:25" s="8" customFormat="1" ht="12" customHeight="1">
      <c r="B21" s="1356" t="s">
        <v>711</v>
      </c>
      <c r="C21" s="3814"/>
      <c r="D21" s="3815"/>
      <c r="E21" s="3816"/>
      <c r="F21" s="2845"/>
      <c r="G21" s="2845"/>
      <c r="H21" s="909"/>
      <c r="I21" s="2846"/>
      <c r="J21" s="2846"/>
      <c r="K21" s="2846"/>
      <c r="L21" s="2847"/>
      <c r="M21" s="2847"/>
      <c r="O21" s="3801"/>
      <c r="P21" s="3801"/>
      <c r="Q21" s="3801"/>
    </row>
    <row r="22" spans="1:25" s="8" customFormat="1" ht="13.5" thickBot="1">
      <c r="B22" s="243" t="s">
        <v>981</v>
      </c>
      <c r="D22" s="27"/>
      <c r="E22" s="27"/>
      <c r="F22" s="80"/>
      <c r="G22" s="80"/>
      <c r="I22" s="149">
        <f>IF(SUM(I12:I21)=0,0,IF(OR($D12="&lt;&lt;Select Fuel &gt;&gt;",$D13="&lt;&lt;Select Fuel &gt;&gt;",$D14="&lt;&lt;Select Fuel &gt;&gt;"),"Select Fuel",IF($E19="&lt;Select&gt;","Submeter?",SUM(I12:I21))))</f>
        <v>0</v>
      </c>
      <c r="J22" s="149">
        <f>IF(SUM(J12:J21)=0,0,IF(OR($D12="&lt;&lt;Select Fuel &gt;&gt;",$D13="&lt;&lt;Select Fuel &gt;&gt;",$D14="&lt;&lt;Select Fuel &gt;&gt;"),"Select Fuel",IF($E19="&lt;Select&gt;","Submeter?",SUM(J12:J21))))</f>
        <v>0</v>
      </c>
      <c r="K22" s="149">
        <f>IF(SUM(K12:K21)=0,0,IF(OR($D12="&lt;&lt;Select Fuel &gt;&gt;",$D13="&lt;&lt;Select Fuel &gt;&gt;",$D14="&lt;&lt;Select Fuel &gt;&gt;"),"Select Fuel",IF($E19="&lt;Select&gt;","Submeter?",SUM(K12:K21))))</f>
        <v>121</v>
      </c>
      <c r="L22" s="149">
        <f>IF(SUM(L12:L21)=0,0,IF(OR($D12="&lt;&lt;Select Fuel &gt;&gt;",$D13="&lt;&lt;Select Fuel &gt;&gt;",$D14="&lt;&lt;Select Fuel &gt;&gt;"),"Select Fuel",IF($E19="&lt;Select&gt;","Submeter?",SUM(L12:L21))))</f>
        <v>149</v>
      </c>
      <c r="M22" s="149">
        <f>IF(SUM(M12:M21)=0,0,IF(OR($D12="&lt;&lt;Select Fuel &gt;&gt;",$D13="&lt;&lt;Select Fuel &gt;&gt;",$D14="&lt;&lt;Select Fuel &gt;&gt;"),"Select Fuel",IF($E19="&lt;Select&gt;","Submeter?",SUM(M12:M21))))</f>
        <v>0</v>
      </c>
    </row>
    <row r="23" spans="1:25" s="8" customFormat="1" ht="7.5" customHeight="1">
      <c r="M23" s="27"/>
      <c r="N23" s="27"/>
      <c r="O23" s="3792" t="s">
        <v>6832</v>
      </c>
      <c r="P23" s="3793"/>
      <c r="Q23" s="3793"/>
      <c r="R23" s="3793"/>
      <c r="S23" s="3793"/>
      <c r="T23" s="3793"/>
      <c r="U23" s="3794"/>
      <c r="V23" s="474"/>
      <c r="W23" s="474"/>
      <c r="X23" s="474"/>
      <c r="Y23" s="474"/>
    </row>
    <row r="24" spans="1:25" s="8" customFormat="1" ht="12.75" customHeight="1">
      <c r="A24" s="13" t="s">
        <v>710</v>
      </c>
      <c r="B24" s="13" t="s">
        <v>2126</v>
      </c>
      <c r="F24" s="1" t="s">
        <v>2400</v>
      </c>
      <c r="G24" s="1"/>
      <c r="H24" s="1"/>
      <c r="I24" s="3817" t="s">
        <v>7038</v>
      </c>
      <c r="J24" s="3818"/>
      <c r="K24" s="3818"/>
      <c r="L24" s="3818"/>
      <c r="M24" s="3819"/>
      <c r="O24" s="3795"/>
      <c r="P24" s="3796"/>
      <c r="Q24" s="3796"/>
      <c r="R24" s="3796"/>
      <c r="S24" s="3796"/>
      <c r="T24" s="3796"/>
      <c r="U24" s="3797"/>
      <c r="V24" s="474"/>
      <c r="W24" s="474"/>
      <c r="X24" s="474"/>
      <c r="Y24" s="474"/>
    </row>
    <row r="25" spans="1:25" s="8" customFormat="1" ht="13.35" customHeight="1">
      <c r="A25" s="13"/>
      <c r="B25" s="13"/>
      <c r="F25" s="1" t="s">
        <v>606</v>
      </c>
      <c r="G25" s="1"/>
      <c r="H25" s="33"/>
      <c r="I25" s="3820">
        <v>44197</v>
      </c>
      <c r="J25" s="3821"/>
      <c r="K25" s="6" t="s">
        <v>514</v>
      </c>
      <c r="L25" s="3822" t="s">
        <v>6596</v>
      </c>
      <c r="M25" s="3823"/>
      <c r="O25" s="3795"/>
      <c r="P25" s="3796"/>
      <c r="Q25" s="3796"/>
      <c r="R25" s="3796"/>
      <c r="S25" s="3796"/>
      <c r="T25" s="3796"/>
      <c r="U25" s="3797"/>
      <c r="V25" s="474"/>
      <c r="W25" s="474"/>
      <c r="X25" s="474"/>
      <c r="Y25" s="474"/>
    </row>
    <row r="26" spans="1:25" s="8" customFormat="1" ht="4.5" customHeight="1">
      <c r="A26" s="13"/>
      <c r="O26" s="3795"/>
      <c r="P26" s="3796"/>
      <c r="Q26" s="3796"/>
      <c r="R26" s="3796"/>
      <c r="S26" s="3796"/>
      <c r="T26" s="3796"/>
      <c r="U26" s="3797"/>
      <c r="V26" s="474"/>
      <c r="W26" s="474"/>
      <c r="X26" s="474"/>
      <c r="Y26" s="474"/>
    </row>
    <row r="27" spans="1:25" s="13" customFormat="1">
      <c r="B27" s="243"/>
      <c r="C27" s="243"/>
      <c r="D27" s="243"/>
      <c r="E27" s="243"/>
      <c r="F27" s="3808" t="s">
        <v>580</v>
      </c>
      <c r="G27" s="3808"/>
      <c r="I27" s="3809" t="s">
        <v>192</v>
      </c>
      <c r="J27" s="3809"/>
      <c r="K27" s="3809"/>
      <c r="L27" s="3809"/>
      <c r="M27" s="3809"/>
      <c r="O27" s="3795"/>
      <c r="P27" s="3796"/>
      <c r="Q27" s="3796"/>
      <c r="R27" s="3796"/>
      <c r="S27" s="3796"/>
      <c r="T27" s="3796"/>
      <c r="U27" s="3797"/>
      <c r="V27" s="474"/>
      <c r="W27" s="474"/>
      <c r="X27" s="474"/>
      <c r="Y27" s="474"/>
    </row>
    <row r="28" spans="1:25" s="13" customFormat="1">
      <c r="B28" s="243" t="s">
        <v>765</v>
      </c>
      <c r="D28" s="243" t="s">
        <v>1533</v>
      </c>
      <c r="F28" s="2646" t="s">
        <v>612</v>
      </c>
      <c r="G28" s="2646" t="s">
        <v>1763</v>
      </c>
      <c r="I28" s="244" t="s">
        <v>539</v>
      </c>
      <c r="J28" s="245">
        <v>1</v>
      </c>
      <c r="K28" s="245">
        <v>2</v>
      </c>
      <c r="L28" s="245">
        <v>3</v>
      </c>
      <c r="M28" s="245">
        <v>4</v>
      </c>
      <c r="O28" s="3795"/>
      <c r="P28" s="3796"/>
      <c r="Q28" s="3796"/>
      <c r="R28" s="3796"/>
      <c r="S28" s="3796"/>
      <c r="T28" s="3796"/>
      <c r="U28" s="3797"/>
    </row>
    <row r="29" spans="1:25" s="8" customFormat="1" ht="12" customHeight="1">
      <c r="B29" s="1346" t="s">
        <v>1765</v>
      </c>
      <c r="C29" s="1347"/>
      <c r="D29" s="3810" t="s">
        <v>6953</v>
      </c>
      <c r="E29" s="3811"/>
      <c r="F29" s="2839" t="s">
        <v>422</v>
      </c>
      <c r="G29" s="2839"/>
      <c r="H29" s="908"/>
      <c r="I29" s="2840"/>
      <c r="J29" s="2840">
        <v>4</v>
      </c>
      <c r="K29" s="2840">
        <v>5</v>
      </c>
      <c r="L29" s="2840">
        <v>6</v>
      </c>
      <c r="M29" s="2840"/>
      <c r="O29" s="3795"/>
      <c r="P29" s="3796"/>
      <c r="Q29" s="3796"/>
      <c r="R29" s="3796"/>
      <c r="S29" s="3796"/>
      <c r="T29" s="3796"/>
      <c r="U29" s="3797"/>
      <c r="V29" s="13"/>
      <c r="W29" s="13"/>
      <c r="X29" s="13"/>
      <c r="Y29" s="13"/>
    </row>
    <row r="30" spans="1:25" s="8" customFormat="1" ht="12" customHeight="1" thickBot="1">
      <c r="B30" s="1348" t="s">
        <v>1531</v>
      </c>
      <c r="C30" s="1349"/>
      <c r="D30" s="3812" t="s">
        <v>1530</v>
      </c>
      <c r="E30" s="3813"/>
      <c r="F30" s="2841" t="s">
        <v>422</v>
      </c>
      <c r="G30" s="2841"/>
      <c r="H30" s="907"/>
      <c r="I30" s="2842"/>
      <c r="J30" s="2842">
        <v>7</v>
      </c>
      <c r="K30" s="2842">
        <v>9</v>
      </c>
      <c r="L30" s="2843">
        <v>11</v>
      </c>
      <c r="M30" s="2843"/>
      <c r="O30" s="3798"/>
      <c r="P30" s="3799"/>
      <c r="Q30" s="3799"/>
      <c r="R30" s="3799"/>
      <c r="S30" s="3799"/>
      <c r="T30" s="3799"/>
      <c r="U30" s="3800"/>
    </row>
    <row r="31" spans="1:25" s="8" customFormat="1" ht="12" customHeight="1">
      <c r="B31" s="1350" t="s">
        <v>1532</v>
      </c>
      <c r="C31" s="1351"/>
      <c r="D31" s="3812" t="s">
        <v>1530</v>
      </c>
      <c r="E31" s="3813"/>
      <c r="F31" s="2841" t="s">
        <v>422</v>
      </c>
      <c r="G31" s="2841"/>
      <c r="H31" s="246"/>
      <c r="I31" s="2842"/>
      <c r="J31" s="2842">
        <v>13</v>
      </c>
      <c r="K31" s="2842">
        <v>18</v>
      </c>
      <c r="L31" s="2843">
        <v>23</v>
      </c>
      <c r="M31" s="2843"/>
      <c r="O31" s="3801" t="s">
        <v>3411</v>
      </c>
      <c r="P31" s="3801"/>
      <c r="Q31" s="3801"/>
    </row>
    <row r="32" spans="1:25" s="8" customFormat="1" ht="12" customHeight="1">
      <c r="B32" s="1352" t="s">
        <v>447</v>
      </c>
      <c r="C32" s="1353"/>
      <c r="D32" s="1352" t="s">
        <v>1530</v>
      </c>
      <c r="E32" s="247"/>
      <c r="F32" s="2841" t="s">
        <v>422</v>
      </c>
      <c r="G32" s="2841"/>
      <c r="H32" s="906"/>
      <c r="I32" s="2842"/>
      <c r="J32" s="2842">
        <v>10</v>
      </c>
      <c r="K32" s="2842">
        <v>12</v>
      </c>
      <c r="L32" s="2843">
        <v>16</v>
      </c>
      <c r="M32" s="2843"/>
      <c r="O32" s="3801"/>
      <c r="P32" s="3801"/>
      <c r="Q32" s="3801"/>
    </row>
    <row r="33" spans="1:19" s="8" customFormat="1" ht="12" customHeight="1">
      <c r="B33" s="1354" t="s">
        <v>3405</v>
      </c>
      <c r="C33" s="1349"/>
      <c r="D33" s="1348" t="s">
        <v>1530</v>
      </c>
      <c r="E33" s="905"/>
      <c r="F33" s="2841"/>
      <c r="G33" s="2841"/>
      <c r="H33" s="907"/>
      <c r="I33" s="2842"/>
      <c r="J33" s="2842"/>
      <c r="K33" s="2842"/>
      <c r="L33" s="2843"/>
      <c r="M33" s="2843"/>
      <c r="O33" s="3801"/>
      <c r="P33" s="3801"/>
      <c r="Q33" s="3801"/>
    </row>
    <row r="34" spans="1:19" s="8" customFormat="1" ht="12" customHeight="1">
      <c r="B34" s="1354" t="s">
        <v>3406</v>
      </c>
      <c r="C34" s="1349"/>
      <c r="D34" s="1348" t="s">
        <v>1530</v>
      </c>
      <c r="E34" s="905"/>
      <c r="F34" s="2841"/>
      <c r="G34" s="2841"/>
      <c r="H34" s="907"/>
      <c r="I34" s="2842"/>
      <c r="J34" s="2842"/>
      <c r="K34" s="2842"/>
      <c r="L34" s="2843"/>
      <c r="M34" s="2843"/>
      <c r="O34" s="3801"/>
      <c r="P34" s="3801"/>
      <c r="Q34" s="3801"/>
    </row>
    <row r="35" spans="1:19" s="8" customFormat="1" ht="12" customHeight="1">
      <c r="B35" s="1355" t="s">
        <v>3407</v>
      </c>
      <c r="C35" s="1351"/>
      <c r="D35" s="1350" t="s">
        <v>1530</v>
      </c>
      <c r="E35" s="905"/>
      <c r="F35" s="2841" t="s">
        <v>422</v>
      </c>
      <c r="G35" s="2841"/>
      <c r="H35" s="246"/>
      <c r="I35" s="2842"/>
      <c r="J35" s="2842">
        <v>21</v>
      </c>
      <c r="K35" s="2842">
        <v>27</v>
      </c>
      <c r="L35" s="2843">
        <v>33</v>
      </c>
      <c r="M35" s="2843"/>
      <c r="O35" s="3801"/>
      <c r="P35" s="3801"/>
      <c r="Q35" s="3801"/>
    </row>
    <row r="36" spans="1:19" s="8" customFormat="1" ht="12" customHeight="1">
      <c r="B36" s="1352" t="s">
        <v>1321</v>
      </c>
      <c r="C36" s="1353"/>
      <c r="D36" s="1358" t="s">
        <v>3196</v>
      </c>
      <c r="E36" s="2844" t="s">
        <v>2768</v>
      </c>
      <c r="F36" s="2841" t="s">
        <v>422</v>
      </c>
      <c r="G36" s="2841"/>
      <c r="H36" s="906"/>
      <c r="I36" s="2842"/>
      <c r="J36" s="2842">
        <v>39</v>
      </c>
      <c r="K36" s="2842">
        <v>50</v>
      </c>
      <c r="L36" s="2843">
        <v>60</v>
      </c>
      <c r="M36" s="2843"/>
      <c r="O36" s="3801"/>
      <c r="P36" s="3801"/>
      <c r="Q36" s="3801"/>
    </row>
    <row r="37" spans="1:19" s="8" customFormat="1" ht="12" customHeight="1">
      <c r="B37" s="1356" t="s">
        <v>1764</v>
      </c>
      <c r="C37" s="1357"/>
      <c r="D37" s="248"/>
      <c r="E37" s="220"/>
      <c r="F37" s="2841"/>
      <c r="G37" s="2841" t="s">
        <v>422</v>
      </c>
      <c r="H37" s="907"/>
      <c r="I37" s="2842"/>
      <c r="J37" s="2842"/>
      <c r="K37" s="2842"/>
      <c r="L37" s="2843"/>
      <c r="M37" s="2843"/>
      <c r="O37" s="3801"/>
      <c r="P37" s="3801"/>
      <c r="Q37" s="3801"/>
    </row>
    <row r="38" spans="1:19" s="8" customFormat="1" ht="12" customHeight="1">
      <c r="B38" s="1356" t="s">
        <v>711</v>
      </c>
      <c r="C38" s="3814"/>
      <c r="D38" s="3815"/>
      <c r="E38" s="3816"/>
      <c r="F38" s="2845"/>
      <c r="G38" s="2845"/>
      <c r="H38" s="909"/>
      <c r="I38" s="2846"/>
      <c r="J38" s="2846"/>
      <c r="K38" s="2846"/>
      <c r="L38" s="2847"/>
      <c r="M38" s="2847"/>
      <c r="O38" s="3801"/>
      <c r="P38" s="3801"/>
      <c r="Q38" s="3801"/>
    </row>
    <row r="39" spans="1:19" s="8" customFormat="1">
      <c r="B39" s="243" t="s">
        <v>981</v>
      </c>
      <c r="D39" s="27"/>
      <c r="E39" s="27"/>
      <c r="F39" s="80"/>
      <c r="G39" s="80"/>
      <c r="I39" s="149">
        <f>IF(SUM(I29:I38)=0,0,IF(OR($D29="&lt;&lt;Select Fuel &gt;&gt;",$D31="&lt;&lt;Select Fuel &gt;&gt;",$D32="&lt;&lt;Select Fuel &gt;&gt;"),"Select Fuel",IF($E36="&lt;Select&gt;","Submeter?",SUM(I29:I38))))</f>
        <v>0</v>
      </c>
      <c r="J39" s="149">
        <f>IF(SUM(J29:J38)=0,0,IF(OR($D29="&lt;&lt;Select Fuel &gt;&gt;",$D31="&lt;&lt;Select Fuel &gt;&gt;",$D32="&lt;&lt;Select Fuel &gt;&gt;"),"Select Fuel",IF($E36="&lt;Select&gt;","Submeter?",SUM(J29:J38))))</f>
        <v>94</v>
      </c>
      <c r="K39" s="149">
        <f>IF(SUM(K29:K38)=0,0,IF(OR($D29="&lt;&lt;Select Fuel &gt;&gt;",$D31="&lt;&lt;Select Fuel &gt;&gt;",$D32="&lt;&lt;Select Fuel &gt;&gt;"),"Select Fuel",IF($E36="&lt;Select&gt;","Submeter?",SUM(K29:K38))))</f>
        <v>121</v>
      </c>
      <c r="L39" s="149">
        <f>IF(SUM(L29:L38)=0,0,IF(OR($D29="&lt;&lt;Select Fuel &gt;&gt;",$D31="&lt;&lt;Select Fuel &gt;&gt;",$D32="&lt;&lt;Select Fuel &gt;&gt;"),"Select Fuel",IF($E36="&lt;Select&gt;","Submeter?",SUM(L29:L38))))</f>
        <v>149</v>
      </c>
      <c r="M39" s="149">
        <f>IF(SUM(M29:M38)=0,0,IF(OR($D29="&lt;&lt;Select Fuel &gt;&gt;",$D31="&lt;&lt;Select Fuel &gt;&gt;",$D32="&lt;&lt;Select Fuel &gt;&gt;"),"Select Fuel",IF($E36="&lt;Select&gt;","Submeter?",SUM(M29:M38))))</f>
        <v>0</v>
      </c>
      <c r="O39" s="3801"/>
      <c r="P39" s="3801"/>
      <c r="Q39" s="3801"/>
    </row>
    <row r="40" spans="1:19" ht="6" customHeight="1">
      <c r="A40" s="8"/>
    </row>
    <row r="41" spans="1:19" s="8" customFormat="1">
      <c r="B41" s="418" t="s">
        <v>3197</v>
      </c>
      <c r="D41" s="27"/>
      <c r="E41" s="27"/>
      <c r="F41" s="80"/>
      <c r="G41" s="80"/>
      <c r="I41" s="2646"/>
      <c r="J41" s="2646"/>
      <c r="K41" s="2646"/>
      <c r="L41" s="2646"/>
      <c r="M41" s="2646"/>
    </row>
    <row r="42" spans="1:19" s="8" customFormat="1" ht="12" customHeight="1">
      <c r="A42" s="13"/>
      <c r="B42" s="13" t="s">
        <v>543</v>
      </c>
      <c r="M42" s="27"/>
      <c r="N42" s="27"/>
      <c r="O42" s="27"/>
      <c r="P42" s="27"/>
      <c r="Q42" s="27"/>
      <c r="R42" s="27"/>
      <c r="S42" s="27"/>
    </row>
    <row r="43" spans="1:19" s="8" customFormat="1" ht="49.5" customHeight="1">
      <c r="B43" s="3802" t="s">
        <v>7036</v>
      </c>
      <c r="C43" s="3803"/>
      <c r="D43" s="3803"/>
      <c r="E43" s="3803"/>
      <c r="F43" s="3803"/>
      <c r="G43" s="3803"/>
      <c r="H43" s="3803"/>
      <c r="I43" s="3803"/>
      <c r="J43" s="3803"/>
      <c r="K43" s="3803"/>
      <c r="L43" s="3803"/>
      <c r="M43" s="3804"/>
      <c r="N43" s="27"/>
      <c r="O43" s="3132" t="s">
        <v>2541</v>
      </c>
      <c r="P43" s="3132"/>
      <c r="Q43" s="3132"/>
      <c r="R43" s="3132"/>
      <c r="S43" s="3132"/>
    </row>
    <row r="44" spans="1:19" s="8" customFormat="1" ht="3" customHeight="1">
      <c r="M44" s="27"/>
      <c r="N44" s="27"/>
      <c r="O44" s="3132"/>
      <c r="P44" s="3132"/>
      <c r="Q44" s="3132"/>
      <c r="R44" s="3132"/>
      <c r="S44" s="3132"/>
    </row>
    <row r="45" spans="1:19" s="8" customFormat="1" ht="12" customHeight="1">
      <c r="A45" s="13"/>
      <c r="B45" s="13" t="s">
        <v>1759</v>
      </c>
      <c r="M45" s="27"/>
      <c r="N45" s="27"/>
      <c r="O45" s="3132"/>
      <c r="P45" s="3132"/>
      <c r="Q45" s="3132"/>
      <c r="R45" s="3132"/>
      <c r="S45" s="3132"/>
    </row>
    <row r="46" spans="1:19" s="8" customFormat="1" ht="24.75" customHeight="1">
      <c r="B46" s="3805"/>
      <c r="C46" s="3806"/>
      <c r="D46" s="3806"/>
      <c r="E46" s="3806"/>
      <c r="F46" s="3806"/>
      <c r="G46" s="3806"/>
      <c r="H46" s="3806"/>
      <c r="I46" s="3806"/>
      <c r="J46" s="3806"/>
      <c r="K46" s="3806"/>
      <c r="L46" s="3806"/>
      <c r="M46" s="3807"/>
      <c r="N46" s="27"/>
      <c r="O46" s="3132"/>
      <c r="P46" s="3132"/>
      <c r="Q46" s="3132"/>
      <c r="R46" s="3132"/>
      <c r="S46" s="3132"/>
    </row>
  </sheetData>
  <sheetProtection algorithmName="SHA-512" hashValue="KgwbdPKUdv0oYB1Ly0vYDuj43BdzZpQjJJ3gS90QfVHNE1fgAlsCpgjj2GeC8iUZnltyj/QL3zJNZl0bdsct2g==" saltValue="QNLtsKsmSnzShe0Qwzuifw==" spinCount="100000" sheet="1" objects="1" scenarios="1" selectLockedCells="1" selectUnlockedCells="1"/>
  <mergeCells count="27">
    <mergeCell ref="I24:M24"/>
    <mergeCell ref="I25:J25"/>
    <mergeCell ref="L25:M25"/>
    <mergeCell ref="D12:E12"/>
    <mergeCell ref="A1:M1"/>
    <mergeCell ref="I7:M7"/>
    <mergeCell ref="I8:J8"/>
    <mergeCell ref="L8:M8"/>
    <mergeCell ref="F10:G10"/>
    <mergeCell ref="I10:M10"/>
    <mergeCell ref="B3:E3"/>
    <mergeCell ref="O5:U12"/>
    <mergeCell ref="O13:Q21"/>
    <mergeCell ref="O23:U30"/>
    <mergeCell ref="O31:Q39"/>
    <mergeCell ref="B43:M43"/>
    <mergeCell ref="O43:S46"/>
    <mergeCell ref="B46:M46"/>
    <mergeCell ref="F27:G27"/>
    <mergeCell ref="I27:M27"/>
    <mergeCell ref="D29:E29"/>
    <mergeCell ref="D30:E30"/>
    <mergeCell ref="D31:E31"/>
    <mergeCell ref="C21:E21"/>
    <mergeCell ref="C38:E38"/>
    <mergeCell ref="D13:E13"/>
    <mergeCell ref="D14:E14"/>
  </mergeCells>
  <conditionalFormatting sqref="I22:M22">
    <cfRule type="cellIs" dxfId="79" priority="8" operator="equal">
      <formula>"""&lt;&lt;Select Fuel &gt;&gt;"""</formula>
    </cfRule>
  </conditionalFormatting>
  <conditionalFormatting sqref="I22:M22">
    <cfRule type="cellIs" dxfId="78" priority="6" operator="equal">
      <formula>"Select Fuel"</formula>
    </cfRule>
    <cfRule type="cellIs" dxfId="77" priority="7" operator="equal">
      <formula>"&lt;&lt;Select Fuel &gt;&gt;"</formula>
    </cfRule>
  </conditionalFormatting>
  <conditionalFormatting sqref="J22:M22">
    <cfRule type="cellIs" dxfId="76" priority="5" operator="equal">
      <formula>"Select Fuel"</formula>
    </cfRule>
  </conditionalFormatting>
  <conditionalFormatting sqref="I39:M39">
    <cfRule type="cellIs" dxfId="75" priority="4" operator="equal">
      <formula>"""&lt;&lt;Select Fuel &gt;&gt;"""</formula>
    </cfRule>
  </conditionalFormatting>
  <conditionalFormatting sqref="I39:M39">
    <cfRule type="cellIs" dxfId="74" priority="2" operator="equal">
      <formula>"Select Fuel"</formula>
    </cfRule>
    <cfRule type="cellIs" dxfId="73" priority="3" operator="equal">
      <formula>"&lt;&lt;Select Fuel &gt;&gt;"</formula>
    </cfRule>
  </conditionalFormatting>
  <conditionalFormatting sqref="J39:M39">
    <cfRule type="cellIs" dxfId="72"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D36E2DBE9C0E34A916604E87FFB7DA5" ma:contentTypeVersion="9" ma:contentTypeDescription="Create a new document." ma:contentTypeScope="" ma:versionID="e51a4fe6c45b50ae9de01ee74af511df">
  <xsd:schema xmlns:xsd="http://www.w3.org/2001/XMLSchema" xmlns:xs="http://www.w3.org/2001/XMLSchema" xmlns:p="http://schemas.microsoft.com/office/2006/metadata/properties" xmlns:ns2="4425f765-7ff5-4475-924d-a1e4ebf7f4e1" xmlns:ns3="431100d4-4470-42c1-96bc-46686c1829ae" targetNamespace="http://schemas.microsoft.com/office/2006/metadata/properties" ma:root="true" ma:fieldsID="2692cfba90ba3c8e442cd404cfa4aa41" ns2:_="" ns3:_="">
    <xsd:import namespace="4425f765-7ff5-4475-924d-a1e4ebf7f4e1"/>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25f765-7ff5-4475-924d-a1e4ebf7f4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0212B55-12BF-433E-A1FC-A929EADC6ABF}">
  <ds:schemaRefs>
    <ds:schemaRef ds:uri="http://schemas.microsoft.com/sharepoint/v3/contenttype/forms"/>
  </ds:schemaRefs>
</ds:datastoreItem>
</file>

<file path=customXml/itemProps2.xml><?xml version="1.0" encoding="utf-8"?>
<ds:datastoreItem xmlns:ds="http://schemas.openxmlformats.org/officeDocument/2006/customXml" ds:itemID="{487DFCF6-1FC7-4E91-8E8A-C7AB5C334E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25f765-7ff5-4475-924d-a1e4ebf7f4e1"/>
    <ds:schemaRef ds:uri="431100d4-4470-42c1-96bc-46686c1829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2E78C26-40DE-4B47-B36C-5A3CE7F71DEF}">
  <ds:schemaRefs>
    <ds:schemaRef ds:uri="http://purl.org/dc/elements/1.1/"/>
    <ds:schemaRef ds:uri="http://schemas.openxmlformats.org/package/2006/metadata/core-properties"/>
    <ds:schemaRef ds:uri="http://purl.org/dc/terms/"/>
    <ds:schemaRef ds:uri="4425f765-7ff5-4475-924d-a1e4ebf7f4e1"/>
    <ds:schemaRef ds:uri="http://www.w3.org/XML/1998/namespace"/>
    <ds:schemaRef ds:uri="http://schemas.microsoft.com/office/2006/documentManagement/types"/>
    <ds:schemaRef ds:uri="http://schemas.microsoft.com/office/infopath/2007/PartnerControls"/>
    <ds:schemaRef ds:uri="431100d4-4470-42c1-96bc-46686c1829ae"/>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38</vt:i4>
      </vt:variant>
    </vt:vector>
  </HeadingPairs>
  <TitlesOfParts>
    <vt:vector size="67"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Preview term</vt:lpstr>
      <vt:lpstr>Closing term sheet</vt:lpstr>
      <vt:lpstr>Part X - HOME NHTF Unit Calcs</vt:lpstr>
      <vt:lpstr>ProrationMethodCostAllocatnDCA</vt:lpstr>
      <vt:lpstr>Closing ExhA</vt:lpstr>
      <vt:lpstr>Closing ExhA New</vt:lpstr>
      <vt:lpstr>IDIS Setup</vt:lpstr>
      <vt:lpstr>DCA_SB_Only</vt:lpstr>
      <vt:lpstr>Part XI - Applicant Cert Ltr</vt:lpstr>
      <vt:lpstr>DCA Underwriting Assumptions</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HOME NHTF Unit Calcs'!Print_Area</vt:lpstr>
      <vt:lpstr>'Part XI - Applicant Cert Ltr'!Print_Area</vt:lpstr>
      <vt:lpstr>'Payments-Ex B'!Print_Area</vt:lpstr>
      <vt:lpstr>'Preview term'!Print_Area</vt:lpstr>
      <vt:lpstr>'Project Narrative'!Print_Area</vt:lpstr>
      <vt:lpstr>ProrationMethodCostAllocatnDCA!Print_Area</vt:lpstr>
      <vt:lpstr>'Sensitivity Analysis'!Print_Area</vt:lpstr>
      <vt:lpstr>'Subsidy Layering Memo'!Print_Area</vt:lpstr>
      <vt:lpstr>'Closing ExhA New'!Print_Titles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2021-05-21T13:38:46Z</cp:lastPrinted>
  <dcterms:created xsi:type="dcterms:W3CDTF">2005-09-15T20:51:37Z</dcterms:created>
  <dcterms:modified xsi:type="dcterms:W3CDTF">2021-10-08T20:45:01Z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0x010100FD36E2DBE9C0E34A916604E87FFB7DA5</vt:lpwstr>
  </property>
</Properties>
</file>